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tables/table5.xml" ContentType="application/vnd.openxmlformats-officedocument.spreadsheetml.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steve\Documents\GitHub\My Repositories\iFood-Campaign-Analytics\Analysis\"/>
    </mc:Choice>
  </mc:AlternateContent>
  <xr:revisionPtr revIDLastSave="0" documentId="13_ncr:1_{6FE655C1-6426-4652-8584-284B3D73C7DE}" xr6:coauthVersionLast="47" xr6:coauthVersionMax="47" xr10:uidLastSave="{00000000-0000-0000-0000-000000000000}"/>
  <bookViews>
    <workbookView xWindow="-110" yWindow="-110" windowWidth="25820" windowHeight="13900" firstSheet="5" activeTab="9" xr2:uid="{A71CB9F6-662E-4FDD-9E91-54B1DA62F648}"/>
  </bookViews>
  <sheets>
    <sheet name="Cleaned Data" sheetId="1" r:id="rId1"/>
    <sheet name="Regression Data" sheetId="23" r:id="rId2"/>
    <sheet name="Data Cleaning" sheetId="5" r:id="rId3"/>
    <sheet name="Data Quality Checks" sheetId="3" r:id="rId4"/>
    <sheet name="Demographics" sheetId="4" r:id="rId5"/>
    <sheet name="RFM Analysis" sheetId="6" r:id="rId6"/>
    <sheet name="Gross CLV" sheetId="21" r:id="rId7"/>
    <sheet name="Regression Models" sheetId="24" r:id="rId8"/>
    <sheet name="Campaign Cost" sheetId="16" r:id="rId9"/>
    <sheet name="ROI" sheetId="25" r:id="rId10"/>
    <sheet name="Premium vs Regular Prods" sheetId="15" r:id="rId11"/>
    <sheet name="Purchasing Behavior" sheetId="19" r:id="rId12"/>
  </sheets>
  <calcPr calcId="181029"/>
  <pivotCaches>
    <pivotCache cacheId="0" r:id="rId13"/>
  </pivotCaches>
</workbook>
</file>

<file path=xl/calcChain.xml><?xml version="1.0" encoding="utf-8"?>
<calcChain xmlns="http://schemas.openxmlformats.org/spreadsheetml/2006/main">
  <c r="B27" i="25" l="1"/>
  <c r="C27" i="25"/>
  <c r="D27" i="25"/>
  <c r="E27" i="25"/>
  <c r="F27" i="25"/>
  <c r="G27" i="25"/>
  <c r="B28" i="25"/>
  <c r="C28" i="25"/>
  <c r="D28" i="25"/>
  <c r="E28" i="25"/>
  <c r="F28" i="25"/>
  <c r="G28" i="25"/>
  <c r="B29" i="25"/>
  <c r="C29" i="25"/>
  <c r="D29" i="25"/>
  <c r="E29" i="25"/>
  <c r="F29" i="25"/>
  <c r="G29" i="25"/>
  <c r="B30" i="25"/>
  <c r="C30" i="25"/>
  <c r="D30" i="25"/>
  <c r="E30" i="25"/>
  <c r="F30" i="25"/>
  <c r="G30" i="25"/>
  <c r="B31" i="25"/>
  <c r="C31" i="25"/>
  <c r="D31" i="25"/>
  <c r="E31" i="25"/>
  <c r="F31" i="25"/>
  <c r="G31" i="25"/>
  <c r="C26" i="25"/>
  <c r="D26" i="25"/>
  <c r="E26" i="25"/>
  <c r="F26" i="25"/>
  <c r="G26" i="25"/>
  <c r="B26" i="25"/>
  <c r="C5" i="25"/>
  <c r="D5" i="25"/>
  <c r="E5" i="25"/>
  <c r="F5" i="25"/>
  <c r="G5" i="25"/>
  <c r="B5" i="25"/>
  <c r="B3" i="21"/>
  <c r="D54" i="15"/>
  <c r="E54" i="15"/>
  <c r="F54" i="15"/>
  <c r="G54" i="15"/>
  <c r="C54" i="15"/>
  <c r="B54" i="15"/>
  <c r="M3" i="19"/>
  <c r="N3" i="19"/>
  <c r="O3" i="19"/>
  <c r="P3" i="19"/>
  <c r="Q3" i="19"/>
  <c r="E41" i="15"/>
  <c r="F41" i="15"/>
  <c r="E42" i="15"/>
  <c r="F42" i="15"/>
  <c r="E43" i="15"/>
  <c r="F43" i="15"/>
  <c r="E44" i="15"/>
  <c r="F44" i="15"/>
  <c r="E45" i="15"/>
  <c r="F45" i="15"/>
  <c r="F40" i="15"/>
  <c r="E40" i="15"/>
  <c r="L24" i="6"/>
  <c r="E132" i="24"/>
  <c r="E133" i="24"/>
  <c r="E124" i="24"/>
  <c r="E341" i="24"/>
  <c r="E482" i="24"/>
  <c r="E156" i="24"/>
  <c r="E301" i="24"/>
  <c r="E149" i="24"/>
  <c r="E331" i="24"/>
  <c r="E259" i="24"/>
  <c r="E327" i="24"/>
  <c r="E202" i="24"/>
  <c r="E130" i="24"/>
  <c r="E343" i="24"/>
  <c r="E145" i="24"/>
  <c r="E314" i="24"/>
  <c r="E392" i="24"/>
  <c r="E168" i="24"/>
  <c r="E206" i="24"/>
  <c r="E129" i="24"/>
  <c r="E383" i="24"/>
  <c r="E131" i="24"/>
  <c r="E230" i="24"/>
  <c r="E121" i="24"/>
  <c r="E185" i="24"/>
  <c r="E233" i="24"/>
  <c r="E528" i="24"/>
  <c r="E125" i="24"/>
  <c r="E164" i="24"/>
  <c r="E153" i="24"/>
  <c r="E361" i="24"/>
  <c r="E235" i="24"/>
  <c r="E372" i="24"/>
  <c r="E116" i="24"/>
  <c r="E117" i="24"/>
  <c r="E471" i="24"/>
  <c r="E534" i="24"/>
  <c r="E351" i="24"/>
  <c r="E460" i="24"/>
  <c r="E138" i="24"/>
  <c r="E393" i="24"/>
  <c r="E395" i="24"/>
  <c r="E172" i="24"/>
  <c r="E118" i="24"/>
  <c r="E180" i="24"/>
  <c r="E147" i="24"/>
  <c r="E281" i="24"/>
  <c r="E402" i="24"/>
  <c r="E310" i="24"/>
  <c r="E268" i="24"/>
  <c r="E232" i="24"/>
  <c r="E274" i="24"/>
  <c r="E224" i="24"/>
  <c r="E354" i="24"/>
  <c r="E568" i="24"/>
  <c r="E120" i="24"/>
  <c r="E134" i="24"/>
  <c r="E238" i="24"/>
  <c r="E348" i="24"/>
  <c r="E407" i="24"/>
  <c r="E212" i="24"/>
  <c r="E161" i="24"/>
  <c r="E158" i="24"/>
  <c r="E474" i="24"/>
  <c r="E189" i="24"/>
  <c r="E488" i="24"/>
  <c r="E660" i="24"/>
  <c r="E196" i="24"/>
  <c r="E573" i="24"/>
  <c r="E517" i="24"/>
  <c r="E284" i="24"/>
  <c r="E408" i="24"/>
  <c r="E699" i="24"/>
  <c r="E329" i="24"/>
  <c r="E317" i="24"/>
  <c r="E240" i="24"/>
  <c r="E241" i="24"/>
  <c r="E242" i="24"/>
  <c r="E427" i="24"/>
  <c r="E342" i="24"/>
  <c r="E146" i="24"/>
  <c r="E575" i="24"/>
  <c r="E243" i="24"/>
  <c r="E370" i="24"/>
  <c r="E122" i="24"/>
  <c r="E538" i="24"/>
  <c r="E386" i="24"/>
  <c r="E190" i="24"/>
  <c r="E267" i="24"/>
  <c r="E449" i="24"/>
  <c r="E2130" i="24"/>
  <c r="E137" i="24"/>
  <c r="E442" i="24"/>
  <c r="E419" i="24"/>
  <c r="E375" i="24"/>
  <c r="E198" i="24"/>
  <c r="E200" i="24"/>
  <c r="E249" i="24"/>
  <c r="E300" i="24"/>
  <c r="E248" i="24"/>
  <c r="E355" i="24"/>
  <c r="E418" i="24"/>
  <c r="E413" i="24"/>
  <c r="E127" i="24"/>
  <c r="E144" i="24"/>
  <c r="E399" i="24"/>
  <c r="E542" i="24"/>
  <c r="E364" i="24"/>
  <c r="E142" i="24"/>
  <c r="E338" i="24"/>
  <c r="E444" i="24"/>
  <c r="E792" i="24"/>
  <c r="E288" i="24"/>
  <c r="E476" i="24"/>
  <c r="E192" i="24"/>
  <c r="E193" i="24"/>
  <c r="E277" i="24"/>
  <c r="E167" i="24"/>
  <c r="E570" i="24"/>
  <c r="E298" i="24"/>
  <c r="E245" i="24"/>
  <c r="E464" i="24"/>
  <c r="E455" i="24"/>
  <c r="E148" i="24"/>
  <c r="E495" i="24"/>
  <c r="E287" i="24"/>
  <c r="E302" i="24"/>
  <c r="E330" i="24"/>
  <c r="E316" i="24"/>
  <c r="E384" i="24"/>
  <c r="E143" i="24"/>
  <c r="E412" i="24"/>
  <c r="E472" i="24"/>
  <c r="E483" i="24"/>
  <c r="E810" i="24"/>
  <c r="E345" i="24"/>
  <c r="E498" i="24"/>
  <c r="E227" i="24"/>
  <c r="E585" i="24"/>
  <c r="E150" i="24"/>
  <c r="E426" i="24"/>
  <c r="E136" i="24"/>
  <c r="E312" i="24"/>
  <c r="E286" i="24"/>
  <c r="E228" i="24"/>
  <c r="E624" i="24"/>
  <c r="E556" i="24"/>
  <c r="E633" i="24"/>
  <c r="E546" i="24"/>
  <c r="E154" i="24"/>
  <c r="E270" i="24"/>
  <c r="E151" i="24"/>
  <c r="E369" i="24"/>
  <c r="E373" i="24"/>
  <c r="E484" i="24"/>
  <c r="E674" i="24"/>
  <c r="E182" i="24"/>
  <c r="E183" i="24"/>
  <c r="E433" i="24"/>
  <c r="E219" i="24"/>
  <c r="E588" i="24"/>
  <c r="E611" i="24"/>
  <c r="E186" i="24"/>
  <c r="E644" i="24"/>
  <c r="E297" i="24"/>
  <c r="E253" i="24"/>
  <c r="E893" i="24"/>
  <c r="E540" i="24"/>
  <c r="E545" i="24"/>
  <c r="E278" i="24"/>
  <c r="E215" i="24"/>
  <c r="E795" i="24"/>
  <c r="E217" i="24"/>
  <c r="E635" i="24"/>
  <c r="E115" i="24"/>
  <c r="E562" i="24"/>
  <c r="E111" i="24"/>
  <c r="E191" i="24"/>
  <c r="E440" i="24"/>
  <c r="E247" i="24"/>
  <c r="E176" i="24"/>
  <c r="E544" i="24"/>
  <c r="E441" i="24"/>
  <c r="E535" i="24"/>
  <c r="E859" i="24"/>
  <c r="E416" i="24"/>
  <c r="E335" i="24"/>
  <c r="E387" i="24"/>
  <c r="E452" i="24"/>
  <c r="E684" i="24"/>
  <c r="E479" i="24"/>
  <c r="E587" i="24"/>
  <c r="E256" i="24"/>
  <c r="E1024" i="24"/>
  <c r="E422" i="24"/>
  <c r="E552" i="24"/>
  <c r="E239" i="24"/>
  <c r="E359" i="24"/>
  <c r="E515" i="24"/>
  <c r="E622" i="24"/>
  <c r="E762" i="24"/>
  <c r="E353" i="24"/>
  <c r="E560" i="24"/>
  <c r="E126" i="24"/>
  <c r="E448" i="24"/>
  <c r="E974" i="24"/>
  <c r="E401" i="24"/>
  <c r="E763" i="24"/>
  <c r="E443" i="24"/>
  <c r="E282" i="24"/>
  <c r="E218" i="24"/>
  <c r="E347" i="24"/>
  <c r="E246" i="24"/>
  <c r="E365" i="24"/>
  <c r="E508" i="24"/>
  <c r="E339" i="24"/>
  <c r="E705" i="24"/>
  <c r="E646" i="24"/>
  <c r="E502" i="24"/>
  <c r="E309" i="24"/>
  <c r="E698" i="24"/>
  <c r="E415" i="24"/>
  <c r="E709" i="24"/>
  <c r="E197" i="24"/>
  <c r="E175" i="24"/>
  <c r="E346" i="24"/>
  <c r="E858" i="24"/>
  <c r="E625" i="24"/>
  <c r="E214" i="24"/>
  <c r="E306" i="24"/>
  <c r="E366" i="24"/>
  <c r="E619" i="24"/>
  <c r="E272" i="24"/>
  <c r="E615" i="24"/>
  <c r="E793" i="24"/>
  <c r="E223" i="24"/>
  <c r="E706" i="24"/>
  <c r="E428" i="24"/>
  <c r="E203" i="24"/>
  <c r="E559" i="24"/>
  <c r="E675" i="24"/>
  <c r="E208" i="24"/>
  <c r="E320" i="24"/>
  <c r="E429" i="24"/>
  <c r="E334" i="24"/>
  <c r="E135" i="24"/>
  <c r="E322" i="24"/>
  <c r="E169" i="24"/>
  <c r="E299" i="24"/>
  <c r="E828" i="24"/>
  <c r="E616" i="24"/>
  <c r="E221" i="24"/>
  <c r="E610" i="24"/>
  <c r="E225" i="24"/>
  <c r="E391" i="24"/>
  <c r="E252" i="24"/>
  <c r="E481" i="24"/>
  <c r="E677" i="24"/>
  <c r="E1065" i="24"/>
  <c r="E290" i="24"/>
  <c r="E157" i="24"/>
  <c r="E188" i="24"/>
  <c r="E357" i="24"/>
  <c r="E374" i="24"/>
  <c r="E491" i="24"/>
  <c r="E283" i="24"/>
  <c r="E296" i="24"/>
  <c r="E453" i="24"/>
  <c r="E608" i="24"/>
  <c r="E411" i="24"/>
  <c r="E521" i="24"/>
  <c r="E308" i="24"/>
  <c r="E307" i="24"/>
  <c r="E318" i="24"/>
  <c r="E184" i="24"/>
  <c r="E561" i="24"/>
  <c r="E843" i="24"/>
  <c r="E177" i="24"/>
  <c r="E265" i="24"/>
  <c r="E487" i="24"/>
  <c r="E742" i="24"/>
  <c r="E463" i="24"/>
  <c r="E493" i="24"/>
  <c r="E656" i="24"/>
  <c r="E436" i="24"/>
  <c r="E194" i="24"/>
  <c r="E236" i="24"/>
  <c r="E846" i="24"/>
  <c r="E637" i="24"/>
  <c r="E367" i="24"/>
  <c r="E325" i="24"/>
  <c r="E445" i="24"/>
  <c r="E458" i="24"/>
  <c r="E511" i="24"/>
  <c r="E800" i="24"/>
  <c r="E255" i="24"/>
  <c r="E888" i="24"/>
  <c r="E275" i="24"/>
  <c r="E178" i="24"/>
  <c r="E257" i="24"/>
  <c r="E477" i="24"/>
  <c r="E802" i="24"/>
  <c r="E285" i="24"/>
  <c r="E159" i="24"/>
  <c r="E430" i="24"/>
  <c r="E465" i="24"/>
  <c r="E817" i="24"/>
  <c r="E505" i="24"/>
  <c r="E141" i="24"/>
  <c r="E315" i="24"/>
  <c r="E363" i="24"/>
  <c r="E140" i="24"/>
  <c r="E543" i="24"/>
  <c r="E799" i="24"/>
  <c r="E398" i="24"/>
  <c r="E466" i="24"/>
  <c r="E647" i="24"/>
  <c r="E380" i="24"/>
  <c r="E410" i="24"/>
  <c r="E319" i="24"/>
  <c r="E289" i="24"/>
  <c r="E533" i="24"/>
  <c r="E526" i="24"/>
  <c r="E719" i="24"/>
  <c r="E273" i="24"/>
  <c r="E748" i="24"/>
  <c r="E620" i="24"/>
  <c r="E831" i="24"/>
  <c r="E708" i="24"/>
  <c r="E207" i="24"/>
  <c r="E629" i="24"/>
  <c r="E978" i="24"/>
  <c r="E1069" i="24"/>
  <c r="E226" i="24"/>
  <c r="E813" i="24"/>
  <c r="E823" i="24"/>
  <c r="E494" i="24"/>
  <c r="E592" i="24"/>
  <c r="E340" i="24"/>
  <c r="E603" i="24"/>
  <c r="E264" i="24"/>
  <c r="E432" i="24"/>
  <c r="E648" i="24"/>
  <c r="E475" i="24"/>
  <c r="E294" i="24"/>
  <c r="E292" i="24"/>
  <c r="E174" i="24"/>
  <c r="E114" i="24"/>
  <c r="E468" i="24"/>
  <c r="E434" i="24"/>
  <c r="E696" i="24"/>
  <c r="E269" i="24"/>
  <c r="E504" i="24"/>
  <c r="E492" i="24"/>
  <c r="E293" i="24"/>
  <c r="E251" i="24"/>
  <c r="E501" i="24"/>
  <c r="E397" i="24"/>
  <c r="E697" i="24"/>
  <c r="E579" i="24"/>
  <c r="E695" i="24"/>
  <c r="E462" i="24"/>
  <c r="E181" i="24"/>
  <c r="E385" i="24"/>
  <c r="E584" i="24"/>
  <c r="E173" i="24"/>
  <c r="E807" i="24"/>
  <c r="E564" i="24"/>
  <c r="E662" i="24"/>
  <c r="E266" i="24"/>
  <c r="E431" i="24"/>
  <c r="E1048" i="24"/>
  <c r="E349" i="24"/>
  <c r="E261" i="24"/>
  <c r="E403" i="24"/>
  <c r="E874" i="24"/>
  <c r="E875" i="24"/>
  <c r="E496" i="24"/>
  <c r="E352" i="24"/>
  <c r="E539" i="24"/>
  <c r="E764" i="24"/>
  <c r="E670" i="24"/>
  <c r="E549" i="24"/>
  <c r="E569" i="24"/>
  <c r="E849" i="24"/>
  <c r="E842" i="24"/>
  <c r="E394" i="24"/>
  <c r="E577" i="24"/>
  <c r="E389" i="24"/>
  <c r="E557" i="24"/>
  <c r="E424" i="24"/>
  <c r="E617" i="24"/>
  <c r="E618" i="24"/>
  <c r="E566" i="24"/>
  <c r="E195" i="24"/>
  <c r="E803" i="24"/>
  <c r="E606" i="24"/>
  <c r="E321" i="24"/>
  <c r="E721" i="24"/>
  <c r="E271" i="24"/>
  <c r="E643" i="24"/>
  <c r="E457" i="24"/>
  <c r="E179" i="24"/>
  <c r="E358" i="24"/>
  <c r="E414" i="24"/>
  <c r="E323" i="24"/>
  <c r="E777" i="24"/>
  <c r="E337" i="24"/>
  <c r="E876" i="24"/>
  <c r="E506" i="24"/>
  <c r="E653" i="24"/>
  <c r="E204" i="24"/>
  <c r="E328" i="24"/>
  <c r="E123" i="24"/>
  <c r="E459" i="24"/>
  <c r="E835" i="24"/>
  <c r="E818" i="24"/>
  <c r="E507" i="24"/>
  <c r="E826" i="24"/>
  <c r="E827" i="24"/>
  <c r="E825" i="24"/>
  <c r="E623" i="24"/>
  <c r="E209" i="24"/>
  <c r="E170" i="24"/>
  <c r="E565" i="24"/>
  <c r="E503" i="24"/>
  <c r="E601" i="24"/>
  <c r="E171" i="24"/>
  <c r="E213" i="24"/>
  <c r="E404" i="24"/>
  <c r="E558" i="24"/>
  <c r="E486" i="24"/>
  <c r="E450" i="24"/>
  <c r="E639" i="24"/>
  <c r="E469" i="24"/>
  <c r="E1265" i="24"/>
  <c r="E571" i="24"/>
  <c r="E437" i="24"/>
  <c r="E234" i="24"/>
  <c r="E371" i="24"/>
  <c r="E467" i="24"/>
  <c r="E332" i="24"/>
  <c r="E509" i="24"/>
  <c r="E303" i="24"/>
  <c r="E902" i="24"/>
  <c r="E536" i="24"/>
  <c r="E934" i="24"/>
  <c r="E400" i="24"/>
  <c r="E926" i="24"/>
  <c r="E128" i="24"/>
  <c r="E326" i="24"/>
  <c r="E672" i="24"/>
  <c r="E1099" i="24"/>
  <c r="E454" i="24"/>
  <c r="E165" i="24"/>
  <c r="E923" i="24"/>
  <c r="E525" i="24"/>
  <c r="E1010" i="24"/>
  <c r="E925" i="24"/>
  <c r="E640" i="24"/>
  <c r="E1150" i="24"/>
  <c r="E1151" i="24"/>
  <c r="E614" i="24"/>
  <c r="E736" i="24"/>
  <c r="E1313" i="24"/>
  <c r="E362" i="24"/>
  <c r="E954" i="24"/>
  <c r="E688" i="24"/>
  <c r="E231" i="24"/>
  <c r="E936" i="24"/>
  <c r="E634" i="24"/>
  <c r="E1182" i="24"/>
  <c r="E861" i="24"/>
  <c r="E523" i="24"/>
  <c r="E524" i="24"/>
  <c r="E947" i="24"/>
  <c r="E1016" i="24"/>
  <c r="E746" i="24"/>
  <c r="E747" i="24"/>
  <c r="E892" i="24"/>
  <c r="E519" i="24"/>
  <c r="E512" i="24"/>
  <c r="E470" i="24"/>
  <c r="E671" i="24"/>
  <c r="E1264" i="24"/>
  <c r="E547" i="24"/>
  <c r="E548" i="24"/>
  <c r="E712" i="24"/>
  <c r="E262" i="24"/>
  <c r="E690" i="24"/>
  <c r="E396" i="24"/>
  <c r="E456" i="24"/>
  <c r="E727" i="24"/>
  <c r="E806" i="24"/>
  <c r="E405" i="24"/>
  <c r="E187" i="24"/>
  <c r="E788" i="24"/>
  <c r="E237" i="24"/>
  <c r="E313" i="24"/>
  <c r="E581" i="24"/>
  <c r="E112" i="24"/>
  <c r="E657" i="24"/>
  <c r="E655" i="24"/>
  <c r="E113" i="24"/>
  <c r="E1002" i="24"/>
  <c r="E783" i="24"/>
  <c r="E718" i="24"/>
  <c r="E738" i="24"/>
  <c r="E276" i="24"/>
  <c r="E693" i="24"/>
  <c r="E716" i="24"/>
  <c r="E254" i="24"/>
  <c r="E485" i="24"/>
  <c r="E855" i="24"/>
  <c r="E594" i="24"/>
  <c r="E1041" i="24"/>
  <c r="E720" i="24"/>
  <c r="E782" i="24"/>
  <c r="E589" i="24"/>
  <c r="E750" i="24"/>
  <c r="E600" i="24"/>
  <c r="E1000" i="24"/>
  <c r="E1146" i="24"/>
  <c r="E199" i="24"/>
  <c r="E887" i="24"/>
  <c r="E1105" i="24"/>
  <c r="E216" i="24"/>
  <c r="E903" i="24"/>
  <c r="E595" i="24"/>
  <c r="E686" i="24"/>
  <c r="E913" i="24"/>
  <c r="E406" i="24"/>
  <c r="E258" i="24"/>
  <c r="E409" i="24"/>
  <c r="E574" i="24"/>
  <c r="E668" i="24"/>
  <c r="E945" i="24"/>
  <c r="E1032" i="24"/>
  <c r="E205" i="24"/>
  <c r="E516" i="24"/>
  <c r="E704" i="24"/>
  <c r="E722" i="24"/>
  <c r="E381" i="24"/>
  <c r="E733" i="24"/>
  <c r="E933" i="24"/>
  <c r="E155" i="24"/>
  <c r="E774" i="24"/>
  <c r="E602" i="24"/>
  <c r="E522" i="24"/>
  <c r="E305" i="24"/>
  <c r="E291" i="24"/>
  <c r="E641" i="24"/>
  <c r="E438" i="24"/>
  <c r="E805" i="24"/>
  <c r="E659" i="24"/>
  <c r="E968" i="24"/>
  <c r="E537" i="24"/>
  <c r="E682" i="24"/>
  <c r="E645" i="24"/>
  <c r="E852" i="24"/>
  <c r="E658" i="24"/>
  <c r="E955" i="24"/>
  <c r="E280" i="24"/>
  <c r="E580" i="24"/>
  <c r="E900" i="24"/>
  <c r="E1034" i="24"/>
  <c r="E666" i="24"/>
  <c r="E725" i="24"/>
  <c r="E910" i="24"/>
  <c r="E906" i="24"/>
  <c r="E1076" i="24"/>
  <c r="E356" i="24"/>
  <c r="E848" i="24"/>
  <c r="E513" i="24"/>
  <c r="E553" i="24"/>
  <c r="E965" i="24"/>
  <c r="E532" i="24"/>
  <c r="E1149" i="24"/>
  <c r="E478" i="24"/>
  <c r="E1063" i="24"/>
  <c r="E717" i="24"/>
  <c r="E744" i="24"/>
  <c r="E759" i="24"/>
  <c r="E815" i="24"/>
  <c r="E461" i="24"/>
  <c r="E1019" i="24"/>
  <c r="E976" i="24"/>
  <c r="E707" i="24"/>
  <c r="E304" i="24"/>
  <c r="E344" i="24"/>
  <c r="E420" i="24"/>
  <c r="E1102" i="24"/>
  <c r="E417" i="24"/>
  <c r="E263" i="24"/>
  <c r="E563" i="24"/>
  <c r="E388" i="24"/>
  <c r="E376" i="24"/>
  <c r="E229" i="24"/>
  <c r="E881" i="24"/>
  <c r="E578" i="24"/>
  <c r="E377" i="24"/>
  <c r="E862" i="24"/>
  <c r="E873" i="24"/>
  <c r="E642" i="24"/>
  <c r="E390" i="24"/>
  <c r="E279" i="24"/>
  <c r="E500" i="24"/>
  <c r="E841" i="24"/>
  <c r="E829" i="24"/>
  <c r="E1125" i="24"/>
  <c r="E834" i="24"/>
  <c r="E1052" i="24"/>
  <c r="E819" i="24"/>
  <c r="E681" i="24"/>
  <c r="E757" i="24"/>
  <c r="E1053" i="24"/>
  <c r="E866" i="24"/>
  <c r="E1006" i="24"/>
  <c r="E518" i="24"/>
  <c r="E350" i="24"/>
  <c r="E572" i="24"/>
  <c r="E1246" i="24"/>
  <c r="E1208" i="24"/>
  <c r="E1147" i="24"/>
  <c r="E311" i="24"/>
  <c r="E894" i="24"/>
  <c r="E901" i="24"/>
  <c r="E663" i="24"/>
  <c r="E435" i="24"/>
  <c r="E1112" i="24"/>
  <c r="E669" i="24"/>
  <c r="E856" i="24"/>
  <c r="E490" i="24"/>
  <c r="E260" i="24"/>
  <c r="E796" i="24"/>
  <c r="E605" i="24"/>
  <c r="E1198" i="24"/>
  <c r="E679" i="24"/>
  <c r="E860" i="24"/>
  <c r="E160" i="24"/>
  <c r="E830" i="24"/>
  <c r="E1003" i="24"/>
  <c r="E473" i="24"/>
  <c r="E295" i="24"/>
  <c r="E480" i="24"/>
  <c r="E447" i="24"/>
  <c r="E598" i="24"/>
  <c r="E871" i="24"/>
  <c r="E607" i="24"/>
  <c r="E591" i="24"/>
  <c r="E1156" i="24"/>
  <c r="E770" i="24"/>
  <c r="E551" i="24"/>
  <c r="E586" i="24"/>
  <c r="E785" i="24"/>
  <c r="E451" i="24"/>
  <c r="E863" i="24"/>
  <c r="E609" i="24"/>
  <c r="E661" i="24"/>
  <c r="E691" i="24"/>
  <c r="E889" i="24"/>
  <c r="E784" i="24"/>
  <c r="E794" i="24"/>
  <c r="E1049" i="24"/>
  <c r="E953" i="24"/>
  <c r="E1122" i="24"/>
  <c r="E701" i="24"/>
  <c r="E820" i="24"/>
  <c r="E897" i="24"/>
  <c r="E1022" i="24"/>
  <c r="E961" i="24"/>
  <c r="E368" i="24"/>
  <c r="E1011" i="24"/>
  <c r="E749" i="24"/>
  <c r="E244" i="24"/>
  <c r="E555" i="24"/>
  <c r="E599" i="24"/>
  <c r="E812" i="24"/>
  <c r="E1153" i="24"/>
  <c r="E743" i="24"/>
  <c r="E824" i="24"/>
  <c r="E446" i="24"/>
  <c r="E631" i="24"/>
  <c r="E780" i="24"/>
  <c r="E324" i="24"/>
  <c r="E527" i="24"/>
  <c r="E751" i="24"/>
  <c r="E336" i="24"/>
  <c r="E119" i="24"/>
  <c r="E654" i="24"/>
  <c r="E724" i="24"/>
  <c r="E421" i="24"/>
  <c r="E664" i="24"/>
  <c r="E676" i="24"/>
  <c r="E773" i="24"/>
  <c r="E222" i="24"/>
  <c r="E604" i="24"/>
  <c r="E163" i="24"/>
  <c r="E732" i="24"/>
  <c r="E550" i="24"/>
  <c r="E1200" i="24"/>
  <c r="E986" i="24"/>
  <c r="E977" i="24"/>
  <c r="E636" i="24"/>
  <c r="E1202" i="24"/>
  <c r="E911" i="24"/>
  <c r="E790" i="24"/>
  <c r="E844" i="24"/>
  <c r="E714" i="24"/>
  <c r="E220" i="24"/>
  <c r="E885" i="24"/>
  <c r="E898" i="24"/>
  <c r="E627" i="24"/>
  <c r="E1365" i="24"/>
  <c r="E920" i="24"/>
  <c r="E756" i="24"/>
  <c r="E734" i="24"/>
  <c r="E942" i="24"/>
  <c r="E650" i="24"/>
  <c r="E162" i="24"/>
  <c r="E250" i="24"/>
  <c r="E854" i="24"/>
  <c r="E789" i="24"/>
  <c r="E210" i="24"/>
  <c r="E211" i="24"/>
  <c r="E439" i="24"/>
  <c r="E838" i="24"/>
  <c r="E1073" i="24"/>
  <c r="E510" i="24"/>
  <c r="E969" i="24"/>
  <c r="E541" i="24"/>
  <c r="E944" i="24"/>
  <c r="E378" i="24"/>
  <c r="E754" i="24"/>
  <c r="E882" i="24"/>
  <c r="E649" i="24"/>
  <c r="E1031" i="24"/>
  <c r="E987" i="24"/>
  <c r="E1040" i="24"/>
  <c r="E895" i="24"/>
  <c r="E1106" i="24"/>
  <c r="E715" i="24"/>
  <c r="E613" i="24"/>
  <c r="E531" i="24"/>
  <c r="E1374" i="24"/>
  <c r="E1001" i="24"/>
  <c r="E816" i="24"/>
  <c r="E1114" i="24"/>
  <c r="E967" i="24"/>
  <c r="E950" i="24"/>
  <c r="E837" i="24"/>
  <c r="E497" i="24"/>
  <c r="E702" i="24"/>
  <c r="E1192" i="24"/>
  <c r="E139" i="24"/>
  <c r="E1100" i="24"/>
  <c r="E966" i="24"/>
  <c r="E935" i="24"/>
  <c r="E667" i="24"/>
  <c r="E771" i="24"/>
  <c r="E1064" i="24"/>
  <c r="E567" i="24"/>
  <c r="E1042" i="24"/>
  <c r="E891" i="24"/>
  <c r="E869" i="24"/>
  <c r="E665" i="24"/>
  <c r="E1020" i="24"/>
  <c r="E962" i="24"/>
  <c r="E1305" i="24"/>
  <c r="E924" i="24"/>
  <c r="E1438" i="24"/>
  <c r="E1346" i="24"/>
  <c r="E769" i="24"/>
  <c r="E1059" i="24"/>
  <c r="E1134" i="24"/>
  <c r="E713" i="24"/>
  <c r="E529" i="24"/>
  <c r="E1058" i="24"/>
  <c r="E990" i="24"/>
  <c r="E914" i="24"/>
  <c r="E1459" i="24"/>
  <c r="E379" i="24"/>
  <c r="E710" i="24"/>
  <c r="E1252" i="24"/>
  <c r="E597" i="24"/>
  <c r="E1039" i="24"/>
  <c r="E530" i="24"/>
  <c r="E768" i="24"/>
  <c r="E872" i="24"/>
  <c r="E776" i="24"/>
  <c r="E729" i="24"/>
  <c r="E1221" i="24"/>
  <c r="E1083" i="24"/>
  <c r="E1087" i="24"/>
  <c r="E890" i="24"/>
  <c r="E382" i="24"/>
  <c r="E940" i="24"/>
  <c r="E840" i="24"/>
  <c r="E814" i="24"/>
  <c r="E520" i="24"/>
  <c r="E1030" i="24"/>
  <c r="E621" i="24"/>
  <c r="E896" i="24"/>
  <c r="E984" i="24"/>
  <c r="E1551" i="24"/>
  <c r="E1260" i="24"/>
  <c r="E590" i="24"/>
  <c r="E499" i="24"/>
  <c r="E1028" i="24"/>
  <c r="E832" i="24"/>
  <c r="E333" i="24"/>
  <c r="E1169" i="24"/>
  <c r="E845" i="24"/>
  <c r="E1230" i="24"/>
  <c r="E993" i="24"/>
  <c r="E1057" i="24"/>
  <c r="E922" i="24"/>
  <c r="E982" i="24"/>
  <c r="E772" i="24"/>
  <c r="E514" i="24"/>
  <c r="E1005" i="24"/>
  <c r="E638" i="24"/>
  <c r="E680" i="24"/>
  <c r="E1416" i="24"/>
  <c r="E737" i="24"/>
  <c r="E809" i="24"/>
  <c r="E912" i="24"/>
  <c r="E689" i="24"/>
  <c r="E735" i="24"/>
  <c r="E981" i="24"/>
  <c r="E1440" i="24"/>
  <c r="E652" i="24"/>
  <c r="E997" i="24"/>
  <c r="E787" i="24"/>
  <c r="E1214" i="24"/>
  <c r="E979" i="24"/>
  <c r="E1135" i="24"/>
  <c r="E596" i="24"/>
  <c r="E1366" i="24"/>
  <c r="E1143" i="24"/>
  <c r="E797" i="24"/>
  <c r="E767" i="24"/>
  <c r="E1311" i="24"/>
  <c r="E1013" i="24"/>
  <c r="E1271" i="24"/>
  <c r="E1309" i="24"/>
  <c r="E1109" i="24"/>
  <c r="E1060" i="24"/>
  <c r="E975" i="24"/>
  <c r="E779" i="24"/>
  <c r="E1170" i="24"/>
  <c r="E1141" i="24"/>
  <c r="E1684" i="24"/>
  <c r="E946" i="24"/>
  <c r="E711" i="24"/>
  <c r="E1420" i="24"/>
  <c r="E766" i="24"/>
  <c r="E1297" i="24"/>
  <c r="E1285" i="24"/>
  <c r="E868" i="24"/>
  <c r="E700" i="24"/>
  <c r="E1116" i="24"/>
  <c r="E166" i="24"/>
  <c r="E1501" i="24"/>
  <c r="E1009" i="24"/>
  <c r="E1376" i="24"/>
  <c r="E781" i="24"/>
  <c r="E973" i="24"/>
  <c r="E983" i="24"/>
  <c r="E886" i="24"/>
  <c r="E943" i="24"/>
  <c r="E877" i="24"/>
  <c r="E1215" i="24"/>
  <c r="E730" i="24"/>
  <c r="E554" i="24"/>
  <c r="E1367" i="24"/>
  <c r="E919" i="24"/>
  <c r="E1096" i="24"/>
  <c r="E1190" i="24"/>
  <c r="E1191" i="24"/>
  <c r="E1186" i="24"/>
  <c r="E899" i="24"/>
  <c r="E423" i="24"/>
  <c r="E1304" i="24"/>
  <c r="E1038" i="24"/>
  <c r="E941" i="24"/>
  <c r="E870" i="24"/>
  <c r="E1349" i="24"/>
  <c r="E1027" i="24"/>
  <c r="E1243" i="24"/>
  <c r="E952" i="24"/>
  <c r="E1293" i="24"/>
  <c r="E1607" i="24"/>
  <c r="E989" i="24"/>
  <c r="E740" i="24"/>
  <c r="E1709" i="24"/>
  <c r="E576" i="24"/>
  <c r="E929" i="24"/>
  <c r="E1085" i="24"/>
  <c r="E745" i="24"/>
  <c r="E959" i="24"/>
  <c r="E980" i="24"/>
  <c r="E948" i="24"/>
  <c r="E1172" i="24"/>
  <c r="E1037" i="24"/>
  <c r="E1199" i="24"/>
  <c r="E1197" i="24"/>
  <c r="E1121" i="24"/>
  <c r="E201" i="24"/>
  <c r="E1068" i="24"/>
  <c r="E1025" i="24"/>
  <c r="E1128" i="24"/>
  <c r="E1089" i="24"/>
  <c r="E839" i="24"/>
  <c r="E1044" i="24"/>
  <c r="E1137" i="24"/>
  <c r="E1176" i="24"/>
  <c r="E847" i="24"/>
  <c r="E1196" i="24"/>
  <c r="E1194" i="24"/>
  <c r="E1207" i="24"/>
  <c r="E489" i="24"/>
  <c r="E1017" i="24"/>
  <c r="E1161" i="24"/>
  <c r="E1280" i="24"/>
  <c r="E1012" i="24"/>
  <c r="E630" i="24"/>
  <c r="E761" i="24"/>
  <c r="E917" i="24"/>
  <c r="E857" i="24"/>
  <c r="E904" i="24"/>
  <c r="E755" i="24"/>
  <c r="E1600" i="24"/>
  <c r="E1095" i="24"/>
  <c r="E822" i="24"/>
  <c r="E626" i="24"/>
  <c r="E728" i="24"/>
  <c r="E1312" i="24"/>
  <c r="E1047" i="24"/>
  <c r="E850" i="24"/>
  <c r="E851" i="24"/>
  <c r="E1371" i="24"/>
  <c r="E1628" i="24"/>
  <c r="E583" i="24"/>
  <c r="E1564" i="24"/>
  <c r="E1142" i="24"/>
  <c r="E1446" i="24"/>
  <c r="E1067" i="24"/>
  <c r="E996" i="24"/>
  <c r="E879" i="24"/>
  <c r="E1014" i="24"/>
  <c r="E752" i="24"/>
  <c r="E1762" i="24"/>
  <c r="E883" i="24"/>
  <c r="E1518" i="24"/>
  <c r="E1086" i="24"/>
  <c r="E1255" i="24"/>
  <c r="E1004" i="24"/>
  <c r="E1092" i="24"/>
  <c r="E1091" i="24"/>
  <c r="E425" i="24"/>
  <c r="E1454" i="24"/>
  <c r="E1356" i="24"/>
  <c r="E951" i="24"/>
  <c r="E1430" i="24"/>
  <c r="E360" i="24"/>
  <c r="E1411" i="24"/>
  <c r="E1301" i="24"/>
  <c r="E1007" i="24"/>
  <c r="E1390" i="24"/>
  <c r="E760" i="24"/>
  <c r="E1466" i="24"/>
  <c r="E949" i="24"/>
  <c r="E593" i="24"/>
  <c r="E741" i="24"/>
  <c r="E1225" i="24"/>
  <c r="E1226" i="24"/>
  <c r="E1177" i="24"/>
  <c r="E985" i="24"/>
  <c r="E928" i="24"/>
  <c r="E1302" i="24"/>
  <c r="E612" i="24"/>
  <c r="E1236" i="24"/>
  <c r="E1080" i="24"/>
  <c r="E1071" i="24"/>
  <c r="E1288" i="24"/>
  <c r="E1407" i="24"/>
  <c r="E1185" i="24"/>
  <c r="E921" i="24"/>
  <c r="E1461" i="24"/>
  <c r="E1538" i="24"/>
  <c r="E1074" i="24"/>
  <c r="E692" i="24"/>
  <c r="E1609" i="24"/>
  <c r="E1179" i="24"/>
  <c r="E1323" i="24"/>
  <c r="E1473" i="24"/>
  <c r="E1310" i="24"/>
  <c r="E1046" i="24"/>
  <c r="E1245" i="24"/>
  <c r="E1107" i="24"/>
  <c r="E1216" i="24"/>
  <c r="E1834" i="24"/>
  <c r="E865" i="24"/>
  <c r="E758" i="24"/>
  <c r="E1033" i="24"/>
  <c r="E1450" i="24"/>
  <c r="E1550" i="24"/>
  <c r="E1248" i="24"/>
  <c r="E1557" i="24"/>
  <c r="E1463" i="24"/>
  <c r="E1478" i="24"/>
  <c r="E908" i="24"/>
  <c r="E1338" i="24"/>
  <c r="E1625" i="24"/>
  <c r="E1237" i="24"/>
  <c r="E1167" i="24"/>
  <c r="E1240" i="24"/>
  <c r="E1253" i="24"/>
  <c r="E1384" i="24"/>
  <c r="E1292" i="24"/>
  <c r="E1090" i="24"/>
  <c r="E1213" i="24"/>
  <c r="E1168" i="24"/>
  <c r="E916" i="24"/>
  <c r="E1284" i="24"/>
  <c r="E1050" i="24"/>
  <c r="E1228" i="24"/>
  <c r="E632" i="24"/>
  <c r="E678" i="24"/>
  <c r="E1088" i="24"/>
  <c r="E1638" i="24"/>
  <c r="E1639" i="24"/>
  <c r="E1335" i="24"/>
  <c r="E1329" i="24"/>
  <c r="E628" i="24"/>
  <c r="E1165" i="24"/>
  <c r="E1242" i="24"/>
  <c r="E1889" i="24"/>
  <c r="E1530" i="24"/>
  <c r="E1546" i="24"/>
  <c r="E726" i="24"/>
  <c r="E1688" i="24"/>
  <c r="E1205" i="24"/>
  <c r="E1328" i="24"/>
  <c r="E765" i="24"/>
  <c r="E1379" i="24"/>
  <c r="E1104" i="24"/>
  <c r="E1195" i="24"/>
  <c r="E1219" i="24"/>
  <c r="E1708" i="24"/>
  <c r="E937" i="24"/>
  <c r="E1471" i="24"/>
  <c r="E1155" i="24"/>
  <c r="E1340" i="24"/>
  <c r="E1856" i="24"/>
  <c r="E932" i="24"/>
  <c r="E786" i="24"/>
  <c r="E971" i="24"/>
  <c r="E1568" i="24"/>
  <c r="E1180" i="24"/>
  <c r="E1357" i="24"/>
  <c r="E1166" i="24"/>
  <c r="E1334" i="24"/>
  <c r="E963" i="24"/>
  <c r="E791" i="24"/>
  <c r="E1276" i="24"/>
  <c r="E1220" i="24"/>
  <c r="E938" i="24"/>
  <c r="E1351" i="24"/>
  <c r="E1604" i="24"/>
  <c r="E651" i="24"/>
  <c r="E1535" i="24"/>
  <c r="E1187" i="24"/>
  <c r="E992" i="24"/>
  <c r="E703" i="24"/>
  <c r="E1181" i="24"/>
  <c r="E1504" i="24"/>
  <c r="E110" i="24"/>
  <c r="E1152" i="24"/>
  <c r="E1244" i="24"/>
  <c r="E1123" i="24"/>
  <c r="E1406" i="24"/>
  <c r="E1514" i="24"/>
  <c r="E1464" i="24"/>
  <c r="E918" i="24"/>
  <c r="E1124" i="24"/>
  <c r="E1375" i="24"/>
  <c r="E1227" i="24"/>
  <c r="E1674" i="24"/>
  <c r="E1964" i="24"/>
  <c r="E685" i="24"/>
  <c r="E1339" i="24"/>
  <c r="E1489" i="24"/>
  <c r="E694" i="24"/>
  <c r="E880" i="24"/>
  <c r="E731" i="24"/>
  <c r="E1502" i="24"/>
  <c r="E1372" i="24"/>
  <c r="E1395" i="24"/>
  <c r="E1713" i="24"/>
  <c r="E1273" i="24"/>
  <c r="E1381" i="24"/>
  <c r="E1148" i="24"/>
  <c r="E1344" i="24"/>
  <c r="E1126" i="24"/>
  <c r="E673" i="24"/>
  <c r="E778" i="24"/>
  <c r="E1363" i="24"/>
  <c r="E1140" i="24"/>
  <c r="E1251" i="24"/>
  <c r="E1138" i="24"/>
  <c r="E1678" i="24"/>
  <c r="E1203" i="24"/>
  <c r="E1388" i="24"/>
  <c r="E753" i="24"/>
  <c r="E1061" i="24"/>
  <c r="E1101" i="24"/>
  <c r="E582" i="24"/>
  <c r="E995" i="24"/>
  <c r="E1480" i="24"/>
  <c r="E1605" i="24"/>
  <c r="E1441" i="24"/>
  <c r="E1421" i="24"/>
  <c r="E1093" i="24"/>
  <c r="E1287" i="24"/>
  <c r="E1412" i="24"/>
  <c r="E930" i="24"/>
  <c r="E1077" i="24"/>
  <c r="E909" i="24"/>
  <c r="E1475" i="24"/>
  <c r="E1373" i="24"/>
  <c r="E739" i="24"/>
  <c r="E1825" i="24"/>
  <c r="E1467" i="24"/>
  <c r="E1355" i="24"/>
  <c r="E1387" i="24"/>
  <c r="E1350" i="24"/>
  <c r="E1895" i="24"/>
  <c r="E1157" i="24"/>
  <c r="E1129" i="24"/>
  <c r="E1481" i="24"/>
  <c r="E927" i="24"/>
  <c r="E1029" i="24"/>
  <c r="E1452" i="24"/>
  <c r="E687" i="24"/>
  <c r="E1174" i="24"/>
  <c r="E1117" i="24"/>
  <c r="E1449" i="24"/>
  <c r="E1289" i="24"/>
  <c r="E1098" i="24"/>
  <c r="E1771" i="24"/>
  <c r="E1110" i="24"/>
  <c r="E1097" i="24"/>
  <c r="E775" i="24"/>
  <c r="E1282" i="24"/>
  <c r="E1462" i="24"/>
  <c r="E683" i="24"/>
  <c r="E723" i="24"/>
  <c r="E1499" i="24"/>
  <c r="E1294" i="24"/>
  <c r="E1262" i="24"/>
  <c r="E994" i="24"/>
  <c r="E958" i="24"/>
  <c r="E1295" i="24"/>
  <c r="E960" i="24"/>
  <c r="E1431" i="24"/>
  <c r="E1108" i="24"/>
  <c r="E1397" i="24"/>
  <c r="E1664" i="24"/>
  <c r="E1306" i="24"/>
  <c r="E1410" i="24"/>
  <c r="E804" i="24"/>
  <c r="E833" i="24"/>
  <c r="E1081" i="24"/>
  <c r="E1164" i="24"/>
  <c r="E1593" i="24"/>
  <c r="E1043" i="24"/>
  <c r="E1549" i="24"/>
  <c r="E1229" i="24"/>
  <c r="E1079" i="24"/>
  <c r="E1490" i="24"/>
  <c r="E1330" i="24"/>
  <c r="E1396" i="24"/>
  <c r="E1082" i="24"/>
  <c r="E1479" i="24"/>
  <c r="E1468" i="24"/>
  <c r="E1706" i="24"/>
  <c r="E1865" i="24"/>
  <c r="E1776" i="24"/>
  <c r="E853" i="24"/>
  <c r="E1078" i="24"/>
  <c r="E1232" i="24"/>
  <c r="E811" i="24"/>
  <c r="E1492" i="24"/>
  <c r="E1528" i="24"/>
  <c r="E1308" i="24"/>
  <c r="E1267" i="24"/>
  <c r="E1343" i="24"/>
  <c r="E1382" i="24"/>
  <c r="E1130" i="24"/>
  <c r="E1261" i="24"/>
  <c r="E1070" i="24"/>
  <c r="E1394" i="24"/>
  <c r="E1424" i="24"/>
  <c r="E1353" i="24"/>
  <c r="E1364" i="24"/>
  <c r="E1392" i="24"/>
  <c r="E1805" i="24"/>
  <c r="E1472" i="24"/>
  <c r="E999" i="24"/>
  <c r="E1209" i="24"/>
  <c r="E798" i="24"/>
  <c r="E1175" i="24"/>
  <c r="E1673" i="24"/>
  <c r="E1414" i="24"/>
  <c r="E864" i="24"/>
  <c r="E1054" i="24"/>
  <c r="E1231" i="24"/>
  <c r="E1659" i="24"/>
  <c r="E1984" i="24"/>
  <c r="E1401" i="24"/>
  <c r="E1558" i="24"/>
  <c r="E1509" i="24"/>
  <c r="E1599" i="24"/>
  <c r="E1647" i="24"/>
  <c r="E1383" i="24"/>
  <c r="E1370" i="24"/>
  <c r="E1541" i="24"/>
  <c r="E1494" i="24"/>
  <c r="E1523" i="24"/>
  <c r="E1035" i="24"/>
  <c r="E1036" i="24"/>
  <c r="E1747" i="24"/>
  <c r="E1316" i="24"/>
  <c r="E1066" i="24"/>
  <c r="E1239" i="24"/>
  <c r="E1163" i="24"/>
  <c r="E1045" i="24"/>
  <c r="E1154" i="24"/>
  <c r="E1524" i="24"/>
  <c r="E1696" i="24"/>
  <c r="E1827" i="24"/>
  <c r="E1132" i="24"/>
  <c r="E821" i="24"/>
  <c r="E1536" i="24"/>
  <c r="E1667" i="24"/>
  <c r="E939" i="24"/>
  <c r="E884" i="24"/>
  <c r="E907" i="24"/>
  <c r="E1427" i="24"/>
  <c r="E1946" i="24"/>
  <c r="E1808" i="24"/>
  <c r="E1400" i="24"/>
  <c r="E1998" i="24"/>
  <c r="E1470" i="24"/>
  <c r="E1103" i="24"/>
  <c r="E964" i="24"/>
  <c r="E1819" i="24"/>
  <c r="E1021" i="24"/>
  <c r="E1758" i="24"/>
  <c r="E1491" i="24"/>
  <c r="E1649" i="24"/>
  <c r="E1298" i="24"/>
  <c r="E1701" i="24"/>
  <c r="E1651" i="24"/>
  <c r="E1433" i="24"/>
  <c r="E1173" i="24"/>
  <c r="E1426" i="24"/>
  <c r="E1893" i="24"/>
  <c r="E1210" i="24"/>
  <c r="E1914" i="24"/>
  <c r="E2006" i="24"/>
  <c r="E1325" i="24"/>
  <c r="E2123" i="24"/>
  <c r="E2125" i="24"/>
  <c r="E1224" i="24"/>
  <c r="E1303" i="24"/>
  <c r="E1572" i="24"/>
  <c r="E957" i="24"/>
  <c r="E1753" i="24"/>
  <c r="E1055" i="24"/>
  <c r="E1565" i="24"/>
  <c r="E1296" i="24"/>
  <c r="E1515" i="24"/>
  <c r="E2073" i="24"/>
  <c r="E1695" i="24"/>
  <c r="E988" i="24"/>
  <c r="E1171" i="24"/>
  <c r="E1533" i="24"/>
  <c r="E1681" i="24"/>
  <c r="E1204" i="24"/>
  <c r="E1474" i="24"/>
  <c r="E1658" i="24"/>
  <c r="E1432" i="24"/>
  <c r="E970" i="24"/>
  <c r="E1665" i="24"/>
  <c r="E867" i="24"/>
  <c r="E1233" i="24"/>
  <c r="E1778" i="24"/>
  <c r="E1766" i="24"/>
  <c r="E1746" i="24"/>
  <c r="E801" i="24"/>
  <c r="E1700" i="24"/>
  <c r="E1415" i="24"/>
  <c r="E1075" i="24"/>
  <c r="E1408" i="24"/>
  <c r="E1580" i="24"/>
  <c r="E1968" i="24"/>
  <c r="E1361" i="24"/>
  <c r="E1676" i="24"/>
  <c r="E1544" i="24"/>
  <c r="E956" i="24"/>
  <c r="E1543" i="24"/>
  <c r="E1162" i="24"/>
  <c r="E1629" i="24"/>
  <c r="E1159" i="24"/>
  <c r="E1788" i="24"/>
  <c r="E998" i="24"/>
  <c r="E1495" i="24"/>
  <c r="E1393" i="24"/>
  <c r="E1978" i="24"/>
  <c r="E1874" i="24"/>
  <c r="E1189" i="24"/>
  <c r="E1368" i="24"/>
  <c r="E1144" i="24"/>
  <c r="E1160" i="24"/>
  <c r="E1578" i="24"/>
  <c r="E1211" i="24"/>
  <c r="E2029" i="24"/>
  <c r="E1277" i="24"/>
  <c r="E1694" i="24"/>
  <c r="E1690" i="24"/>
  <c r="E1422" i="24"/>
  <c r="E1692" i="24"/>
  <c r="E1751" i="24"/>
  <c r="E2009" i="24"/>
  <c r="E1062" i="24"/>
  <c r="E1250" i="24"/>
  <c r="E1487" i="24"/>
  <c r="E1425" i="24"/>
  <c r="E1741" i="24"/>
  <c r="E1026" i="24"/>
  <c r="E1519" i="24"/>
  <c r="E1728" i="24"/>
  <c r="E1916" i="24"/>
  <c r="E1620" i="24"/>
  <c r="E1270" i="24"/>
  <c r="E836" i="24"/>
  <c r="E1763" i="24"/>
  <c r="E1945" i="24"/>
  <c r="E1610" i="24"/>
  <c r="E1828" i="24"/>
  <c r="E1201" i="24"/>
  <c r="E1326" i="24"/>
  <c r="E915" i="24"/>
  <c r="E1008" i="24"/>
  <c r="E1018" i="24"/>
  <c r="E1765" i="24"/>
  <c r="E1327" i="24"/>
  <c r="E1608" i="24"/>
  <c r="E1569" i="24"/>
  <c r="E1511" i="24"/>
  <c r="E1439" i="24"/>
  <c r="E1526" i="24"/>
  <c r="E1386" i="24"/>
  <c r="E1360" i="24"/>
  <c r="E1206" i="24"/>
  <c r="E1581" i="24"/>
  <c r="E1733" i="24"/>
  <c r="E808" i="24"/>
  <c r="E1448" i="24"/>
  <c r="E1127" i="24"/>
  <c r="E1178" i="24"/>
  <c r="E1794" i="24"/>
  <c r="E1508" i="24"/>
  <c r="E905" i="24"/>
  <c r="E1119" i="24"/>
  <c r="E1113" i="24"/>
  <c r="E1953" i="24"/>
  <c r="E1290" i="24"/>
  <c r="E1291" i="24"/>
  <c r="E1780" i="24"/>
  <c r="E1283" i="24"/>
  <c r="E1740" i="24"/>
  <c r="E1585" i="24"/>
  <c r="E1734" i="24"/>
  <c r="E2113" i="24"/>
  <c r="E1687" i="24"/>
  <c r="E1579" i="24"/>
  <c r="E1575" i="24"/>
  <c r="E1496" i="24"/>
  <c r="E1790" i="24"/>
  <c r="E1498" i="24"/>
  <c r="E1934" i="24"/>
  <c r="E1630" i="24"/>
  <c r="E1738" i="24"/>
  <c r="E1642" i="24"/>
  <c r="E1863" i="24"/>
  <c r="E1985" i="24"/>
  <c r="E1662" i="24"/>
  <c r="E1553" i="24"/>
  <c r="E1680" i="24"/>
  <c r="E1145" i="24"/>
  <c r="E1783" i="24"/>
  <c r="E1554" i="24"/>
  <c r="E1586" i="24"/>
  <c r="E1559" i="24"/>
  <c r="E1560" i="24"/>
  <c r="E1736" i="24"/>
  <c r="E1756" i="24"/>
  <c r="E1615" i="24"/>
  <c r="E1525" i="24"/>
  <c r="E1669" i="24"/>
  <c r="E1537" i="24"/>
  <c r="E1460" i="24"/>
  <c r="E1730" i="24"/>
  <c r="E1500" i="24"/>
  <c r="E1640" i="24"/>
  <c r="E1967" i="24"/>
  <c r="E1402" i="24"/>
  <c r="E1993" i="24"/>
  <c r="E1866" i="24"/>
  <c r="E1403" i="24"/>
  <c r="E1769" i="24"/>
  <c r="E1520" i="24"/>
  <c r="E1621" i="24"/>
  <c r="E1908" i="24"/>
  <c r="E1910" i="24"/>
  <c r="E1739" i="24"/>
  <c r="E1423" i="24"/>
  <c r="E1223" i="24"/>
  <c r="E1773" i="24"/>
  <c r="E1677" i="24"/>
  <c r="E1624" i="24"/>
  <c r="E1269" i="24"/>
  <c r="E972" i="24"/>
  <c r="E1699" i="24"/>
  <c r="E1622" i="24"/>
  <c r="E1722" i="24"/>
  <c r="E2080" i="24"/>
  <c r="E1891" i="24"/>
  <c r="E1670" i="24"/>
  <c r="E2115" i="24"/>
  <c r="E1732" i="24"/>
  <c r="E1868" i="24"/>
  <c r="E1183" i="24"/>
  <c r="E1611" i="24"/>
  <c r="E1354" i="24"/>
  <c r="E1482" i="24"/>
  <c r="E1348" i="24"/>
  <c r="E1341" i="24"/>
  <c r="E1710" i="24"/>
  <c r="E1723" i="24"/>
  <c r="E1217" i="24"/>
  <c r="E1752" i="24"/>
  <c r="E1241" i="24"/>
  <c r="E2045" i="24"/>
  <c r="E1876" i="24"/>
  <c r="E1749" i="24"/>
  <c r="E1643" i="24"/>
  <c r="E1789" i="24"/>
  <c r="E991" i="24"/>
  <c r="E1332" i="24"/>
  <c r="E1317" i="24"/>
  <c r="E1477" i="24"/>
  <c r="E1331" i="24"/>
  <c r="E1429" i="24"/>
  <c r="E2078" i="24"/>
  <c r="E1768" i="24"/>
  <c r="E1582" i="24"/>
  <c r="E1799" i="24"/>
  <c r="E1254" i="24"/>
  <c r="E1256" i="24"/>
  <c r="E1299" i="24"/>
  <c r="E931" i="24"/>
  <c r="E1451" i="24"/>
  <c r="E1469" i="24"/>
  <c r="E1274" i="24"/>
  <c r="E2106" i="24"/>
  <c r="E2112" i="24"/>
  <c r="E2070" i="24"/>
  <c r="E1977" i="24"/>
  <c r="E2095" i="24"/>
  <c r="E1238" i="24"/>
  <c r="E1212" i="24"/>
  <c r="E1369" i="24"/>
  <c r="E1139" i="24"/>
  <c r="E1409" i="24"/>
  <c r="E1595" i="24"/>
  <c r="E1314" i="24"/>
  <c r="E1333" i="24"/>
  <c r="E2010" i="24"/>
  <c r="E1115" i="24"/>
  <c r="E1784" i="24"/>
  <c r="E2109" i="24"/>
  <c r="E2031" i="24"/>
  <c r="E1222" i="24"/>
  <c r="E1999" i="24"/>
  <c r="E1597" i="24"/>
  <c r="E1965" i="24"/>
  <c r="E1847" i="24"/>
  <c r="E2002" i="24"/>
  <c r="E1484" i="24"/>
  <c r="E2062" i="24"/>
  <c r="E1920" i="24"/>
  <c r="E1810" i="24"/>
  <c r="E1641" i="24"/>
  <c r="E2096" i="24"/>
  <c r="E1989" i="24"/>
  <c r="E1131" i="24"/>
  <c r="E1486" i="24"/>
  <c r="E1631" i="24"/>
  <c r="E2083" i="24"/>
  <c r="E1974" i="24"/>
  <c r="E1023" i="24"/>
  <c r="E2085" i="24"/>
  <c r="E1632" i="24"/>
  <c r="E1894" i="24"/>
  <c r="E2061" i="24"/>
  <c r="E1931" i="24"/>
  <c r="E1760" i="24"/>
  <c r="E1990" i="24"/>
  <c r="E1928" i="24"/>
  <c r="E1516" i="24"/>
  <c r="E1919" i="24"/>
  <c r="E1583" i="24"/>
  <c r="E1742" i="24"/>
  <c r="E2088" i="24"/>
  <c r="E1802" i="24"/>
  <c r="E1315" i="24"/>
  <c r="E1272" i="24"/>
  <c r="E1719" i="24"/>
  <c r="E2049" i="24"/>
  <c r="E1235" i="24"/>
  <c r="E1884" i="24"/>
  <c r="E1493" i="24"/>
  <c r="E1849" i="24"/>
  <c r="E1505" i="24"/>
  <c r="E1133" i="24"/>
  <c r="E1979" i="24"/>
  <c r="E1721" i="24"/>
  <c r="E2075" i="24"/>
  <c r="E2053" i="24"/>
  <c r="E1781" i="24"/>
  <c r="E1485" i="24"/>
  <c r="E1517" i="24"/>
  <c r="E1837" i="24"/>
  <c r="E1806" i="24"/>
  <c r="E1836" i="24"/>
  <c r="E1872" i="24"/>
  <c r="E1832" i="24"/>
  <c r="E1428" i="24"/>
  <c r="E1823" i="24"/>
  <c r="E1775" i="24"/>
  <c r="E1380" i="24"/>
  <c r="E1988" i="24"/>
  <c r="E1594" i="24"/>
  <c r="E1822" i="24"/>
  <c r="E1635" i="24"/>
  <c r="E2048" i="24"/>
  <c r="E1744" i="24"/>
  <c r="E1465" i="24"/>
  <c r="E2077" i="24"/>
  <c r="E1596" i="24"/>
  <c r="E1405" i="24"/>
  <c r="E2015" i="24"/>
  <c r="E1897" i="24"/>
  <c r="E1592" i="24"/>
  <c r="E1918" i="24"/>
  <c r="E1761" i="24"/>
  <c r="E1883" i="24"/>
  <c r="E2072" i="24"/>
  <c r="E2101" i="24"/>
  <c r="E1644" i="24"/>
  <c r="E1646" i="24"/>
  <c r="E1861" i="24"/>
  <c r="E1767" i="24"/>
  <c r="E1973" i="24"/>
  <c r="E1319" i="24"/>
  <c r="E1774" i="24"/>
  <c r="E2027" i="24"/>
  <c r="E2018" i="24"/>
  <c r="E2025" i="24"/>
  <c r="E1857" i="24"/>
  <c r="E1545" i="24"/>
  <c r="E2069" i="24"/>
  <c r="E2064" i="24"/>
  <c r="E1966" i="24"/>
  <c r="E2017" i="24"/>
  <c r="E1911" i="24"/>
  <c r="E1591" i="24"/>
  <c r="E1867" i="24"/>
  <c r="E1645" i="24"/>
  <c r="E1981" i="24"/>
  <c r="E2020" i="24"/>
  <c r="E1830" i="24"/>
  <c r="E1831" i="24"/>
  <c r="E2067" i="24"/>
  <c r="E2044" i="24"/>
  <c r="E2076" i="24"/>
  <c r="E1933" i="24"/>
  <c r="E1909" i="24"/>
  <c r="E1803" i="24"/>
  <c r="E1759" i="24"/>
  <c r="E1887" i="24"/>
  <c r="E1342" i="24"/>
  <c r="E2021" i="24"/>
  <c r="E2040" i="24"/>
  <c r="E2016" i="24"/>
  <c r="E1952" i="24"/>
  <c r="E1648" i="24"/>
  <c r="E1279" i="24"/>
  <c r="E1996" i="24"/>
  <c r="E1932" i="24"/>
  <c r="E1925" i="24"/>
  <c r="E1718" i="24"/>
  <c r="E1743" i="24"/>
  <c r="E1969" i="24"/>
  <c r="E1992" i="24"/>
  <c r="E1555" i="24"/>
  <c r="E1444" i="24"/>
  <c r="E1986" i="24"/>
  <c r="E1976" i="24"/>
  <c r="E1668" i="24"/>
  <c r="E2004" i="24"/>
  <c r="E1926" i="24"/>
  <c r="E1786" i="24"/>
  <c r="E2103" i="24"/>
  <c r="E1840" i="24"/>
  <c r="E1626" i="24"/>
  <c r="E1850" i="24"/>
  <c r="E1458" i="24"/>
  <c r="E1845" i="24"/>
  <c r="E1862" i="24"/>
  <c r="E1882" i="24"/>
  <c r="E2056" i="24"/>
  <c r="E2057" i="24"/>
  <c r="E1960" i="24"/>
  <c r="E1399" i="24"/>
  <c r="E2089" i="24"/>
  <c r="E1754" i="24"/>
  <c r="E2035" i="24"/>
  <c r="E2022" i="24"/>
  <c r="E1826" i="24"/>
  <c r="E1807" i="24"/>
  <c r="E1685" i="24"/>
  <c r="E1571" i="24"/>
  <c r="E1404" i="24"/>
  <c r="E1218" i="24"/>
  <c r="E1563" i="24"/>
  <c r="E1015" i="24"/>
  <c r="E1795" i="24"/>
  <c r="E1556" i="24"/>
  <c r="E1854" i="24"/>
  <c r="E1855" i="24"/>
  <c r="E1957" i="24"/>
  <c r="E2005" i="24"/>
  <c r="E1844" i="24"/>
  <c r="E1717" i="24"/>
  <c r="E1617" i="24"/>
  <c r="E2059" i="24"/>
  <c r="E1547" i="24"/>
  <c r="E1724" i="24"/>
  <c r="E1663" i="24"/>
  <c r="E1136" i="24"/>
  <c r="E1447" i="24"/>
  <c r="E1358" i="24"/>
  <c r="E1281" i="24"/>
  <c r="E1193" i="24"/>
  <c r="E1603" i="24"/>
  <c r="E2028" i="24"/>
  <c r="E1879" i="24"/>
  <c r="E1249" i="24"/>
  <c r="E1672" i="24"/>
  <c r="E1359" i="24"/>
  <c r="E1300" i="24"/>
  <c r="E1705" i="24"/>
  <c r="E1726" i="24"/>
  <c r="E1320" i="24"/>
  <c r="E2071" i="24"/>
  <c r="E1927" i="24"/>
  <c r="E1703" i="24"/>
  <c r="E1539" i="24"/>
  <c r="E1816" i="24"/>
  <c r="E1829" i="24"/>
  <c r="E1804" i="24"/>
  <c r="E1548" i="24"/>
  <c r="E2119" i="24"/>
  <c r="E1835" i="24"/>
  <c r="E1435" i="24"/>
  <c r="E1257" i="24"/>
  <c r="E1263" i="24"/>
  <c r="E1188" i="24"/>
  <c r="E1602" i="24"/>
  <c r="E1419" i="24"/>
  <c r="E1275" i="24"/>
  <c r="E1385" i="24"/>
  <c r="E1675" i="24"/>
  <c r="E1084" i="24"/>
  <c r="E1072" i="24"/>
  <c r="E1577" i="24"/>
  <c r="E1542" i="24"/>
  <c r="E1094" i="24"/>
  <c r="E1247" i="24"/>
  <c r="E1936" i="24"/>
  <c r="E2032" i="24"/>
  <c r="E1598" i="24"/>
  <c r="E2126" i="24"/>
  <c r="E1956" i="24"/>
  <c r="E1817" i="24"/>
  <c r="E1689" i="24"/>
  <c r="E1307" i="24"/>
  <c r="E1278" i="24"/>
  <c r="E1362" i="24"/>
  <c r="E1118" i="24"/>
  <c r="E1869" i="24"/>
  <c r="E1852" i="24"/>
  <c r="E1637" i="24"/>
  <c r="E1258" i="24"/>
  <c r="E1691" i="24"/>
  <c r="E2014" i="24"/>
  <c r="E1839" i="24"/>
  <c r="E1871" i="24"/>
  <c r="E1527" i="24"/>
  <c r="E2121" i="24"/>
  <c r="E2034" i="24"/>
  <c r="E1378" i="24"/>
  <c r="E1994" i="24"/>
  <c r="E1764" i="24"/>
  <c r="E1573" i="24"/>
  <c r="E1782" i="24"/>
  <c r="E2023" i="24"/>
  <c r="E1503" i="24"/>
  <c r="E2104" i="24"/>
  <c r="E1791" i="24"/>
  <c r="E1813" i="24"/>
  <c r="E1552" i="24"/>
  <c r="E1714" i="24"/>
  <c r="E2127" i="24"/>
  <c r="E1980" i="24"/>
  <c r="E2094" i="24"/>
  <c r="E1801" i="24"/>
  <c r="E1679" i="24"/>
  <c r="E1513" i="24"/>
  <c r="E1886" i="24"/>
  <c r="E1930" i="24"/>
  <c r="E2091" i="24"/>
  <c r="E2019" i="24"/>
  <c r="E1483" i="24"/>
  <c r="E1716" i="24"/>
  <c r="E2063" i="24"/>
  <c r="E1899" i="24"/>
  <c r="E1935" i="24"/>
  <c r="E2007" i="24"/>
  <c r="E1987" i="24"/>
  <c r="E1636" i="24"/>
  <c r="E1853" i="24"/>
  <c r="E1612" i="24"/>
  <c r="E1352" i="24"/>
  <c r="E1660" i="24"/>
  <c r="E1815" i="24"/>
  <c r="E1949" i="24"/>
  <c r="E2068" i="24"/>
  <c r="E1324" i="24"/>
  <c r="E1601" i="24"/>
  <c r="E1975" i="24"/>
  <c r="E1442" i="24"/>
  <c r="E1456" i="24"/>
  <c r="E2081" i="24"/>
  <c r="E1772" i="24"/>
  <c r="E1729" i="24"/>
  <c r="E1922" i="24"/>
  <c r="E1693" i="24"/>
  <c r="E1777" i="24"/>
  <c r="E2116" i="24"/>
  <c r="E1796" i="24"/>
  <c r="E1051" i="24"/>
  <c r="E1512" i="24"/>
  <c r="E1417" i="24"/>
  <c r="E1942" i="24"/>
  <c r="E1814" i="24"/>
  <c r="E2036" i="24"/>
  <c r="E1940" i="24"/>
  <c r="E1875" i="24"/>
  <c r="E1683" i="24"/>
  <c r="E2118" i="24"/>
  <c r="E1259" i="24"/>
  <c r="E2122" i="24"/>
  <c r="E2079" i="24"/>
  <c r="E2107" i="24"/>
  <c r="E1590" i="24"/>
  <c r="E1898" i="24"/>
  <c r="E2098" i="24"/>
  <c r="E1903" i="24"/>
  <c r="E2097" i="24"/>
  <c r="E2084" i="24"/>
  <c r="E1510" i="24"/>
  <c r="E1650" i="24"/>
  <c r="E2100" i="24"/>
  <c r="E1878" i="24"/>
  <c r="E1842" i="24"/>
  <c r="E1941" i="24"/>
  <c r="E1661" i="24"/>
  <c r="E2050" i="24"/>
  <c r="E2030" i="24"/>
  <c r="E1614" i="24"/>
  <c r="E1391" i="24"/>
  <c r="E1757" i="24"/>
  <c r="E1653" i="24"/>
  <c r="E1654" i="24"/>
  <c r="E1655" i="24"/>
  <c r="E1567" i="24"/>
  <c r="E1453" i="24"/>
  <c r="E2087" i="24"/>
  <c r="E1321" i="24"/>
  <c r="E1961" i="24"/>
  <c r="E1809" i="24"/>
  <c r="E1434" i="24"/>
  <c r="E1584" i="24"/>
  <c r="E1445" i="24"/>
  <c r="E2110" i="24"/>
  <c r="E2099" i="24"/>
  <c r="E1666" i="24"/>
  <c r="E1970" i="24"/>
  <c r="E1890" i="24"/>
  <c r="E1561" i="24"/>
  <c r="E2124" i="24"/>
  <c r="E1619" i="24"/>
  <c r="E1532" i="24"/>
  <c r="E2114" i="24"/>
  <c r="E1921" i="24"/>
  <c r="E2008" i="24"/>
  <c r="E2026" i="24"/>
  <c r="E1711" i="24"/>
  <c r="E2086" i="24"/>
  <c r="E1838" i="24"/>
  <c r="E2046" i="24"/>
  <c r="E2003" i="24"/>
  <c r="E2012" i="24"/>
  <c r="E1924" i="24"/>
  <c r="E2011" i="24"/>
  <c r="E1912" i="24"/>
  <c r="E1901" i="24"/>
  <c r="E1792" i="24"/>
  <c r="E1793" i="24"/>
  <c r="E1858" i="24"/>
  <c r="E1618" i="24"/>
  <c r="E2000" i="24"/>
  <c r="E1820" i="24"/>
  <c r="E1623" i="24"/>
  <c r="E2092" i="24"/>
  <c r="E1944" i="24"/>
  <c r="E1437" i="24"/>
  <c r="E1900" i="24"/>
  <c r="E1574" i="24"/>
  <c r="E2038" i="24"/>
  <c r="E1418" i="24"/>
  <c r="E1982" i="24"/>
  <c r="E1873" i="24"/>
  <c r="E1963" i="24"/>
  <c r="E1843" i="24"/>
  <c r="E1971" i="24"/>
  <c r="E1707" i="24"/>
  <c r="E2058" i="24"/>
  <c r="E1702" i="24"/>
  <c r="E1347" i="24"/>
  <c r="E2074" i="24"/>
  <c r="E1322" i="24"/>
  <c r="E1634" i="24"/>
  <c r="E1587" i="24"/>
  <c r="E2105" i="24"/>
  <c r="E2052" i="24"/>
  <c r="E1755" i="24"/>
  <c r="E1345" i="24"/>
  <c r="E1906" i="24"/>
  <c r="E1955" i="24"/>
  <c r="E1851" i="24"/>
  <c r="E1627" i="24"/>
  <c r="E1566" i="24"/>
  <c r="E1652" i="24"/>
  <c r="E2111" i="24"/>
  <c r="E1907" i="24"/>
  <c r="E1497" i="24"/>
  <c r="E1821" i="24"/>
  <c r="E1715" i="24"/>
  <c r="E1158" i="24"/>
  <c r="E2120" i="24"/>
  <c r="E1997" i="24"/>
  <c r="E1991" i="24"/>
  <c r="E1943" i="24"/>
  <c r="E1833" i="24"/>
  <c r="E1562" i="24"/>
  <c r="E1950" i="24"/>
  <c r="E1848" i="24"/>
  <c r="E1266" i="24"/>
  <c r="E2039" i="24"/>
  <c r="E1959" i="24"/>
  <c r="E1947" i="24"/>
  <c r="E1436" i="24"/>
  <c r="E2102" i="24"/>
  <c r="E1731" i="24"/>
  <c r="E1712" i="24"/>
  <c r="E1286" i="24"/>
  <c r="E2043" i="24"/>
  <c r="E1958" i="24"/>
  <c r="E1954" i="24"/>
  <c r="E1589" i="24"/>
  <c r="E1770" i="24"/>
  <c r="E1657" i="24"/>
  <c r="E1534" i="24"/>
  <c r="E2090" i="24"/>
  <c r="E1896" i="24"/>
  <c r="E2108" i="24"/>
  <c r="E1398" i="24"/>
  <c r="E878" i="24"/>
  <c r="E1859" i="24"/>
  <c r="E1720" i="24"/>
  <c r="E1377" i="24"/>
  <c r="E1885" i="24"/>
  <c r="E1443" i="24"/>
  <c r="E1917" i="24"/>
  <c r="E1671" i="24"/>
  <c r="E2051" i="24"/>
  <c r="E1737" i="24"/>
  <c r="E1120" i="24"/>
  <c r="E1455" i="24"/>
  <c r="E1507" i="24"/>
  <c r="E1937" i="24"/>
  <c r="E1870" i="24"/>
  <c r="E1336" i="24"/>
  <c r="E1234" i="24"/>
  <c r="E1184" i="24"/>
  <c r="E1529" i="24"/>
  <c r="E1588" i="24"/>
  <c r="E1522" i="24"/>
  <c r="E1915" i="24"/>
  <c r="E1798" i="24"/>
  <c r="E1686" i="24"/>
  <c r="E1962" i="24"/>
  <c r="E1413" i="24"/>
  <c r="E2024" i="24"/>
  <c r="E2042" i="24"/>
  <c r="E2033" i="24"/>
  <c r="E1841" i="24"/>
  <c r="E1818" i="24"/>
  <c r="E1745" i="24"/>
  <c r="E1929" i="24"/>
  <c r="E1811" i="24"/>
  <c r="E1576" i="24"/>
  <c r="E1111" i="24"/>
  <c r="E1056" i="24"/>
  <c r="E2082" i="24"/>
  <c r="E1268" i="24"/>
  <c r="E1521" i="24"/>
  <c r="E1318" i="24"/>
  <c r="E1697" i="24"/>
  <c r="E1698" i="24"/>
  <c r="E1457" i="24"/>
  <c r="E1983" i="24"/>
  <c r="E1905" i="24"/>
  <c r="E1812" i="24"/>
  <c r="E2047" i="24"/>
  <c r="E1904" i="24"/>
  <c r="E1616" i="24"/>
  <c r="E1531" i="24"/>
  <c r="E1779" i="24"/>
  <c r="E1633" i="24"/>
  <c r="E1337" i="24"/>
  <c r="E1995" i="24"/>
  <c r="E1570" i="24"/>
  <c r="E1880" i="24"/>
  <c r="E2055" i="24"/>
  <c r="E1860" i="24"/>
  <c r="E1748" i="24"/>
  <c r="E1750" i="24"/>
  <c r="E1506" i="24"/>
  <c r="E1892" i="24"/>
  <c r="E1787" i="24"/>
  <c r="E2117" i="24"/>
  <c r="E1656" i="24"/>
  <c r="E1846" i="24"/>
  <c r="E1613" i="24"/>
  <c r="E1488" i="24"/>
  <c r="E1938" i="24"/>
  <c r="E1797" i="24"/>
  <c r="E1923" i="24"/>
  <c r="E1735" i="24"/>
  <c r="E1540" i="24"/>
  <c r="E2060" i="24"/>
  <c r="E1877" i="24"/>
  <c r="E1881" i="24"/>
  <c r="E1682" i="24"/>
  <c r="E2013" i="24"/>
  <c r="E1888" i="24"/>
  <c r="E1725" i="24"/>
  <c r="E1951" i="24"/>
  <c r="E1785" i="24"/>
  <c r="E1913" i="24"/>
  <c r="E1389" i="24"/>
  <c r="E2037" i="24"/>
  <c r="E2001" i="24"/>
  <c r="E1902" i="24"/>
  <c r="E1476" i="24"/>
  <c r="E1606" i="24"/>
  <c r="E2041" i="24"/>
  <c r="E1972" i="24"/>
  <c r="E2054" i="24"/>
  <c r="E2066" i="24"/>
  <c r="E1948" i="24"/>
  <c r="E1864" i="24"/>
  <c r="E1800" i="24"/>
  <c r="E1824" i="24"/>
  <c r="E2129" i="24"/>
  <c r="E1704" i="24"/>
  <c r="E1939" i="24"/>
  <c r="E2093" i="24"/>
  <c r="E1727" i="24"/>
  <c r="E2065" i="24"/>
  <c r="E2128" i="24"/>
  <c r="E152" i="24"/>
  <c r="C90" i="6"/>
  <c r="A35" i="15"/>
  <c r="G8" i="21" l="1"/>
  <c r="G28" i="21" s="1"/>
  <c r="F8" i="21"/>
  <c r="F28" i="21" s="1"/>
  <c r="E8" i="21"/>
  <c r="E28" i="21" s="1"/>
  <c r="D8" i="21"/>
  <c r="D28" i="21" s="1"/>
  <c r="C8" i="21"/>
  <c r="C28" i="21" s="1"/>
  <c r="I29" i="6"/>
  <c r="J29" i="6"/>
  <c r="K29" i="6"/>
  <c r="L29" i="6"/>
  <c r="M29" i="6"/>
  <c r="N29" i="6"/>
  <c r="O29" i="6"/>
  <c r="I30" i="6"/>
  <c r="J30" i="6"/>
  <c r="K30" i="6"/>
  <c r="L30" i="6"/>
  <c r="M30" i="6"/>
  <c r="N30" i="6"/>
  <c r="O30" i="6"/>
  <c r="I31" i="6"/>
  <c r="J31" i="6"/>
  <c r="K31" i="6"/>
  <c r="L31" i="6"/>
  <c r="M31" i="6"/>
  <c r="N31" i="6"/>
  <c r="O31" i="6"/>
  <c r="I32" i="6"/>
  <c r="J32" i="6"/>
  <c r="K32" i="6"/>
  <c r="L32" i="6"/>
  <c r="M32" i="6"/>
  <c r="N32" i="6"/>
  <c r="O32" i="6"/>
  <c r="J28" i="6"/>
  <c r="K28" i="6"/>
  <c r="L28" i="6"/>
  <c r="M28" i="6"/>
  <c r="N28" i="6"/>
  <c r="O28" i="6"/>
  <c r="I28" i="6"/>
  <c r="AC2022" i="1"/>
  <c r="AC160" i="1"/>
  <c r="AC46" i="1"/>
  <c r="AC45" i="1"/>
  <c r="AC127" i="1"/>
  <c r="AC30" i="1"/>
  <c r="AC140" i="1"/>
  <c r="AC7" i="1"/>
  <c r="AC219" i="1"/>
  <c r="AC109" i="1"/>
  <c r="AC162" i="1"/>
  <c r="AC17" i="1"/>
  <c r="AC319" i="1"/>
  <c r="AC130" i="1"/>
  <c r="AC240" i="1"/>
  <c r="AC75" i="1"/>
  <c r="AC19" i="1"/>
  <c r="AC13" i="1"/>
  <c r="AC24" i="1"/>
  <c r="AC25" i="1"/>
  <c r="AC253" i="1"/>
  <c r="AC283" i="1"/>
  <c r="AC234" i="1"/>
  <c r="AC9" i="1"/>
  <c r="AC285" i="1"/>
  <c r="AC67" i="1"/>
  <c r="AC299" i="1"/>
  <c r="AC43" i="1"/>
  <c r="AC26" i="1"/>
  <c r="AC169" i="1"/>
  <c r="AC347" i="1"/>
  <c r="AC132" i="1"/>
  <c r="AC133" i="1"/>
  <c r="AC64" i="1"/>
  <c r="AC243" i="1"/>
  <c r="AC94" i="1"/>
  <c r="AC60" i="1"/>
  <c r="AC77" i="1"/>
  <c r="AC59" i="1"/>
  <c r="AC333" i="1"/>
  <c r="AC340" i="1"/>
  <c r="AC450" i="1"/>
  <c r="AC206" i="1"/>
  <c r="AC20" i="1"/>
  <c r="AC432" i="1"/>
  <c r="AC291" i="1"/>
  <c r="AC188" i="1"/>
  <c r="AC44" i="1"/>
  <c r="AC189" i="1"/>
  <c r="AC36" i="1"/>
  <c r="AC209" i="1"/>
  <c r="AC84" i="1"/>
  <c r="AC23" i="1"/>
  <c r="AC21" i="1"/>
  <c r="AC14" i="1"/>
  <c r="AC22" i="1"/>
  <c r="AC34" i="1"/>
  <c r="AC364" i="1"/>
  <c r="AC374" i="1"/>
  <c r="AC190" i="1"/>
  <c r="AC223" i="1"/>
  <c r="AC110" i="1"/>
  <c r="AC352" i="1"/>
  <c r="AC78" i="1"/>
  <c r="AC137" i="1"/>
  <c r="AC235" i="1"/>
  <c r="AC275" i="1"/>
  <c r="AC70" i="1"/>
  <c r="AC98" i="1"/>
  <c r="AC322" i="1"/>
  <c r="AC367" i="1"/>
  <c r="AC264" i="1"/>
  <c r="AC107" i="1"/>
  <c r="AC18" i="1"/>
  <c r="AC41" i="1"/>
  <c r="AC89" i="1"/>
  <c r="AC159" i="1"/>
  <c r="AC170" i="1"/>
  <c r="AC10" i="1"/>
  <c r="AC257" i="1"/>
  <c r="AC83" i="1"/>
  <c r="AC90" i="1"/>
  <c r="AC16" i="1"/>
  <c r="AC50" i="1"/>
  <c r="AC427" i="1"/>
  <c r="AC37" i="1"/>
  <c r="AC99" i="1"/>
  <c r="AC8" i="1"/>
  <c r="AC233" i="1"/>
  <c r="AC480" i="1"/>
  <c r="AC138" i="1"/>
  <c r="AC182" i="1"/>
  <c r="AC246" i="1"/>
  <c r="AC383" i="1"/>
  <c r="AC167" i="1"/>
  <c r="AC38" i="1"/>
  <c r="AC157" i="1"/>
  <c r="AC63" i="1"/>
  <c r="AC399" i="1"/>
  <c r="AC141" i="1"/>
  <c r="AC134" i="1"/>
  <c r="AC166" i="1"/>
  <c r="AC178" i="1"/>
  <c r="AC116" i="1"/>
  <c r="AC68" i="1"/>
  <c r="AC201" i="1"/>
  <c r="AC125" i="1"/>
  <c r="AC151" i="1"/>
  <c r="AC29" i="1"/>
  <c r="AC202" i="1"/>
  <c r="AC35" i="1"/>
  <c r="AC354" i="1"/>
  <c r="AC284" i="1"/>
  <c r="AC266" i="1"/>
  <c r="AC104" i="1"/>
  <c r="AC355" i="1"/>
  <c r="AC48" i="1"/>
  <c r="AC156" i="1"/>
  <c r="AC229" i="1"/>
  <c r="AC345" i="1"/>
  <c r="AC106" i="1"/>
  <c r="AC460" i="1"/>
  <c r="AC208" i="1"/>
  <c r="AC222" i="1"/>
  <c r="AC336" i="1"/>
  <c r="AC279" i="1"/>
  <c r="AC122" i="1"/>
  <c r="AC39" i="1"/>
  <c r="AC80" i="1"/>
  <c r="AC47" i="1"/>
  <c r="AC96" i="1"/>
  <c r="AC108" i="1"/>
  <c r="AC332" i="1"/>
  <c r="AC91" i="1"/>
  <c r="AC293" i="1"/>
  <c r="AC531" i="1"/>
  <c r="AC305" i="1"/>
  <c r="AC265" i="1"/>
  <c r="AC221" i="1"/>
  <c r="AC426" i="1"/>
  <c r="AC294" i="1"/>
  <c r="AC143" i="1"/>
  <c r="AC272" i="1"/>
  <c r="AC444" i="1"/>
  <c r="AC69" i="1"/>
  <c r="AC430" i="1"/>
  <c r="AC387" i="1"/>
  <c r="AC245" i="1"/>
  <c r="AC213" i="1"/>
  <c r="AC146" i="1"/>
  <c r="AC92" i="1"/>
  <c r="AC552" i="1"/>
  <c r="AC111" i="1"/>
  <c r="AC73" i="1"/>
  <c r="AC165" i="1"/>
  <c r="AC181" i="1"/>
  <c r="AC400" i="1"/>
  <c r="AC174" i="1"/>
  <c r="AC308" i="1"/>
  <c r="AC237" i="1"/>
  <c r="AC348" i="1"/>
  <c r="AC119" i="1"/>
  <c r="AC56" i="1"/>
  <c r="AC295" i="1"/>
  <c r="AC320" i="1"/>
  <c r="AC232" i="1"/>
  <c r="AC200" i="1"/>
  <c r="AC150" i="1"/>
  <c r="AC95" i="1"/>
  <c r="AC310" i="1"/>
  <c r="AC192" i="1"/>
  <c r="AC199" i="1"/>
  <c r="AC230" i="1"/>
  <c r="AC527" i="1"/>
  <c r="AC302" i="1"/>
  <c r="AC227" i="1"/>
  <c r="AC292" i="1"/>
  <c r="AC214" i="1"/>
  <c r="AC261" i="1"/>
  <c r="AC144" i="1"/>
  <c r="AC139" i="1"/>
  <c r="AC278" i="1"/>
  <c r="AC379" i="1"/>
  <c r="AC184" i="1"/>
  <c r="AC298" i="1"/>
  <c r="AC194" i="1"/>
  <c r="AC349" i="1"/>
  <c r="AC211" i="1"/>
  <c r="AC511" i="1"/>
  <c r="AC516" i="1"/>
  <c r="AC198" i="1"/>
  <c r="AC168" i="1"/>
  <c r="AC306" i="1"/>
  <c r="AC173" i="1"/>
  <c r="AC346" i="1"/>
  <c r="AC344" i="1"/>
  <c r="AC309" i="1"/>
  <c r="AC163" i="1"/>
  <c r="AC117" i="1"/>
  <c r="AC329" i="1"/>
  <c r="AC325" i="1"/>
  <c r="AC239" i="1"/>
  <c r="AC62" i="1"/>
  <c r="AC415" i="1"/>
  <c r="AC416" i="1"/>
  <c r="AC434" i="1"/>
  <c r="AC179" i="1"/>
  <c r="AC371" i="1"/>
  <c r="AC314" i="1"/>
  <c r="AC477" i="1"/>
  <c r="AC709" i="1"/>
  <c r="AC734" i="1"/>
  <c r="AC304" i="1"/>
  <c r="AC155" i="1"/>
  <c r="AC324" i="1"/>
  <c r="AC479" i="1"/>
  <c r="AC191" i="1"/>
  <c r="AC342" i="1"/>
  <c r="AC71" i="1"/>
  <c r="AC457" i="1"/>
  <c r="AC175" i="1"/>
  <c r="AC260" i="1"/>
  <c r="AC437" i="1"/>
  <c r="AC263" i="1"/>
  <c r="AC384" i="1"/>
  <c r="AC507" i="1"/>
  <c r="AC818" i="1"/>
  <c r="AC569" i="1"/>
  <c r="AC176" i="1"/>
  <c r="AC727" i="1"/>
  <c r="AC276" i="1"/>
  <c r="AC87" i="1"/>
  <c r="AC397" i="1"/>
  <c r="AC417" i="1"/>
  <c r="AC335" i="1"/>
  <c r="AC154" i="1"/>
  <c r="AC502" i="1"/>
  <c r="AC193" i="1"/>
  <c r="AC286" i="1"/>
  <c r="AC307" i="1"/>
  <c r="AC244" i="1"/>
  <c r="AC380" i="1"/>
  <c r="AC12" i="1"/>
  <c r="AC369" i="1"/>
  <c r="AC591" i="1"/>
  <c r="AC525" i="1"/>
  <c r="AC216" i="1"/>
  <c r="AC203" i="1"/>
  <c r="AC142" i="1"/>
  <c r="AC303" i="1"/>
  <c r="AC149" i="1"/>
  <c r="AC124" i="1"/>
  <c r="AC5" i="1"/>
  <c r="AC215" i="1"/>
  <c r="AC378" i="1"/>
  <c r="AC398" i="1"/>
  <c r="AC360" i="1"/>
  <c r="AC135" i="1"/>
  <c r="AC123" i="1"/>
  <c r="AC334" i="1"/>
  <c r="AC145" i="1"/>
  <c r="AC81" i="1"/>
  <c r="AC42" i="1"/>
  <c r="AC826" i="1"/>
  <c r="AC685" i="1"/>
  <c r="AC503" i="1"/>
  <c r="AC454" i="1"/>
  <c r="AC126" i="1"/>
  <c r="AC102" i="1"/>
  <c r="AC103" i="1"/>
  <c r="AC675" i="1"/>
  <c r="AC510" i="1"/>
  <c r="AC478" i="1"/>
  <c r="AC385" i="1"/>
  <c r="AC532" i="1"/>
  <c r="AC86" i="1"/>
  <c r="AC326" i="1"/>
  <c r="AC375" i="1"/>
  <c r="AC120" i="1"/>
  <c r="AC180" i="1"/>
  <c r="AC262" i="1"/>
  <c r="AC242" i="1"/>
  <c r="AC435" i="1"/>
  <c r="AC321" i="1"/>
  <c r="AC74" i="1"/>
  <c r="AC281" i="1"/>
  <c r="AC267" i="1"/>
  <c r="AC323" i="1"/>
  <c r="AC289" i="1"/>
  <c r="AC394" i="1"/>
  <c r="AC377" i="1"/>
  <c r="AC53" i="1"/>
  <c r="AC97" i="1"/>
  <c r="AC382" i="1"/>
  <c r="AC72" i="1"/>
  <c r="AC393" i="1"/>
  <c r="AC481" i="1"/>
  <c r="AC249" i="1"/>
  <c r="AC241" i="1"/>
  <c r="AC65" i="1"/>
  <c r="AC785" i="1"/>
  <c r="AC431" i="1"/>
  <c r="AC740" i="1"/>
  <c r="AC177" i="1"/>
  <c r="AC916" i="1"/>
  <c r="AC311" i="1"/>
  <c r="AC452" i="1"/>
  <c r="AC420" i="1"/>
  <c r="AC187" i="1"/>
  <c r="AC76" i="1"/>
  <c r="AC277" i="1"/>
  <c r="AC164" i="1"/>
  <c r="AC66" i="1"/>
  <c r="AC331" i="1"/>
  <c r="AC256" i="1"/>
  <c r="AC205" i="1"/>
  <c r="AC614" i="1"/>
  <c r="AC185" i="1"/>
  <c r="AC337" i="1"/>
  <c r="AC735" i="1"/>
  <c r="AC363" i="1"/>
  <c r="AC195" i="1"/>
  <c r="AC370" i="1"/>
  <c r="AC407" i="1"/>
  <c r="AC467" i="1"/>
  <c r="AC79" i="1"/>
  <c r="AC161" i="1"/>
  <c r="AC290" i="1"/>
  <c r="AC61" i="1"/>
  <c r="AC723" i="1"/>
  <c r="AC226" i="1"/>
  <c r="AC372" i="1"/>
  <c r="AC273" i="1"/>
  <c r="AC112" i="1"/>
  <c r="AC828" i="1"/>
  <c r="AC710" i="1"/>
  <c r="AC817" i="1"/>
  <c r="AC359" i="1"/>
  <c r="AC902" i="1"/>
  <c r="AC610" i="1"/>
  <c r="AC567" i="1"/>
  <c r="AC508" i="1"/>
  <c r="AC121" i="1"/>
  <c r="AC88" i="1"/>
  <c r="AC619" i="1"/>
  <c r="AC361" i="1"/>
  <c r="AC438" i="1"/>
  <c r="AC691" i="1"/>
  <c r="AC469" i="1"/>
  <c r="AC597" i="1"/>
  <c r="AC28" i="1"/>
  <c r="AC32" i="1"/>
  <c r="AC251" i="1"/>
  <c r="AC425" i="1"/>
  <c r="AC128" i="1"/>
  <c r="AC339" i="1"/>
  <c r="AC57" i="1"/>
  <c r="AC85" i="1"/>
  <c r="AC316" i="1"/>
  <c r="AC505" i="1"/>
  <c r="AC250" i="1"/>
  <c r="AC115" i="1"/>
  <c r="AC744" i="1"/>
  <c r="AC589" i="1"/>
  <c r="AC536" i="1"/>
  <c r="AC669" i="1"/>
  <c r="AC224" i="1"/>
  <c r="AC392" i="1"/>
  <c r="AC458" i="1"/>
  <c r="AC462" i="1"/>
  <c r="AC924" i="1"/>
  <c r="AC101" i="1"/>
  <c r="AC448" i="1"/>
  <c r="AC312" i="1"/>
  <c r="AC898" i="1"/>
  <c r="AC624" i="1"/>
  <c r="AC258" i="1"/>
  <c r="AC409" i="1"/>
  <c r="AC702" i="1"/>
  <c r="AC217" i="1"/>
  <c r="AC220" i="1"/>
  <c r="AC529" i="1"/>
  <c r="AC282" i="1"/>
  <c r="AC408" i="1"/>
  <c r="AC341" i="1"/>
  <c r="AC301" i="1"/>
  <c r="AC82" i="1"/>
  <c r="AC777" i="1"/>
  <c r="AC487" i="1"/>
  <c r="AC451" i="1"/>
  <c r="AC402" i="1"/>
  <c r="AC255" i="1"/>
  <c r="AC362" i="1"/>
  <c r="AC271" i="1"/>
  <c r="AC300" i="1"/>
  <c r="AC753" i="1"/>
  <c r="AC859" i="1"/>
  <c r="AC765" i="1"/>
  <c r="AC540" i="1"/>
  <c r="AC280" i="1"/>
  <c r="AC441" i="1"/>
  <c r="AC411" i="1"/>
  <c r="AC212" i="1"/>
  <c r="AC238" i="1"/>
  <c r="AC994" i="1"/>
  <c r="AC403" i="1"/>
  <c r="AC218" i="1"/>
  <c r="AC424" i="1"/>
  <c r="AC676" i="1"/>
  <c r="AC357" i="1"/>
  <c r="AC677" i="1"/>
  <c r="AC446" i="1"/>
  <c r="AC287" i="1"/>
  <c r="AC204" i="1"/>
  <c r="AC549" i="1"/>
  <c r="AC616" i="1"/>
  <c r="AC353" i="1"/>
  <c r="AC113" i="1"/>
  <c r="AC247" i="1"/>
  <c r="AC662" i="1"/>
  <c r="AC750" i="1"/>
  <c r="AC548" i="1"/>
  <c r="AC404" i="1"/>
  <c r="AC521" i="1"/>
  <c r="AC419" i="1"/>
  <c r="AC366" i="1"/>
  <c r="AC680" i="1"/>
  <c r="AC428" i="1"/>
  <c r="AC476" i="1"/>
  <c r="AC551" i="1"/>
  <c r="AC58" i="1"/>
  <c r="AC390" i="1"/>
  <c r="AC1017" i="1"/>
  <c r="AC606" i="1"/>
  <c r="AC423" i="1"/>
  <c r="AC494" i="1"/>
  <c r="AC373" i="1"/>
  <c r="AC854" i="1"/>
  <c r="AC747" i="1"/>
  <c r="AC152" i="1"/>
  <c r="AC827" i="1"/>
  <c r="AC466" i="1"/>
  <c r="AC436" i="1"/>
  <c r="AC131" i="1"/>
  <c r="AC396" i="1"/>
  <c r="AC343" i="1"/>
  <c r="AC509" i="1"/>
  <c r="AC489" i="1"/>
  <c r="AC722" i="1"/>
  <c r="AC630" i="1"/>
  <c r="AC461" i="1"/>
  <c r="AC197" i="1"/>
  <c r="AC793" i="1"/>
  <c r="AC463" i="1"/>
  <c r="AC270" i="1"/>
  <c r="AC555" i="1"/>
  <c r="AC225" i="1"/>
  <c r="AC694" i="1"/>
  <c r="AC328" i="1"/>
  <c r="AC885" i="1"/>
  <c r="AC692" i="1"/>
  <c r="AC365" i="1"/>
  <c r="AC538" i="1"/>
  <c r="AC950" i="1"/>
  <c r="AC456" i="1"/>
  <c r="AC625" i="1"/>
  <c r="AC576" i="1"/>
  <c r="AC498" i="1"/>
  <c r="AC473" i="1"/>
  <c r="AC684" i="1"/>
  <c r="AC698" i="1"/>
  <c r="AC368" i="1"/>
  <c r="AC486" i="1"/>
  <c r="AC148" i="1"/>
  <c r="AC726" i="1"/>
  <c r="AC752" i="1"/>
  <c r="AC1197" i="1"/>
  <c r="AC210" i="1"/>
  <c r="AC1092" i="1"/>
  <c r="AC471" i="1"/>
  <c r="AC439" i="1"/>
  <c r="AC596" i="1"/>
  <c r="AC664" i="1"/>
  <c r="AC582" i="1"/>
  <c r="AC259" i="1"/>
  <c r="AC695" i="1"/>
  <c r="AC1048" i="1"/>
  <c r="AC613" i="1"/>
  <c r="AC526" i="1"/>
  <c r="AC533" i="1"/>
  <c r="AC449" i="1"/>
  <c r="AC666" i="1"/>
  <c r="AC932" i="1"/>
  <c r="AC553" i="1"/>
  <c r="AC779" i="1"/>
  <c r="AC1268" i="1"/>
  <c r="AC514" i="1"/>
  <c r="AC1238" i="1"/>
  <c r="AC1026" i="1"/>
  <c r="AC638" i="1"/>
  <c r="AC639" i="1"/>
  <c r="AC172" i="1"/>
  <c r="AC440" i="1"/>
  <c r="AC998" i="1"/>
  <c r="AC649" i="1"/>
  <c r="AC269" i="1"/>
  <c r="AC418" i="1"/>
  <c r="AC153" i="1"/>
  <c r="AC975" i="1"/>
  <c r="AC1576" i="1"/>
  <c r="AC535" i="1"/>
  <c r="AC499" i="1"/>
  <c r="AC470" i="1"/>
  <c r="AC1138" i="1"/>
  <c r="AC406" i="1"/>
  <c r="AC643" i="1"/>
  <c r="AC955" i="1"/>
  <c r="AC866" i="1"/>
  <c r="AC442" i="1"/>
  <c r="AC656" i="1"/>
  <c r="AC236" i="1"/>
  <c r="AC1430" i="1"/>
  <c r="AC512" i="1"/>
  <c r="AC780" i="1"/>
  <c r="AC774" i="1"/>
  <c r="AC587" i="1"/>
  <c r="AC608" i="1"/>
  <c r="AC562" i="1"/>
  <c r="AC539" i="1"/>
  <c r="AC816" i="1"/>
  <c r="AC356" i="1"/>
  <c r="AC268" i="1"/>
  <c r="AC410" i="1"/>
  <c r="AC895" i="1"/>
  <c r="AC617" i="1"/>
  <c r="AC571" i="1"/>
  <c r="AC561" i="1"/>
  <c r="AC546" i="1"/>
  <c r="AC350" i="1"/>
  <c r="AC871" i="1"/>
  <c r="AC583" i="1"/>
  <c r="AC472" i="1"/>
  <c r="AC825" i="1"/>
  <c r="AC802" i="1"/>
  <c r="AC231" i="1"/>
  <c r="AC501" i="1"/>
  <c r="AC338" i="1"/>
  <c r="AC699" i="1"/>
  <c r="AC414" i="1"/>
  <c r="AC358" i="1"/>
  <c r="AC1410" i="1"/>
  <c r="AC773" i="1"/>
  <c r="AC837" i="1"/>
  <c r="AC556" i="1"/>
  <c r="AC493" i="1"/>
  <c r="AC1020" i="1"/>
  <c r="AC751" i="1"/>
  <c r="AC1074" i="1"/>
  <c r="AC654" i="1"/>
  <c r="AC422" i="1"/>
  <c r="AC136" i="1"/>
  <c r="AC930" i="1"/>
  <c r="AC977" i="1"/>
  <c r="AC530" i="1"/>
  <c r="AC933" i="1"/>
  <c r="AC566" i="1"/>
  <c r="AC627" i="1"/>
  <c r="AC987" i="1"/>
  <c r="AC590" i="1"/>
  <c r="AC405" i="1"/>
  <c r="AC870" i="1"/>
  <c r="AC609" i="1"/>
  <c r="AC754" i="1"/>
  <c r="AC1156" i="1"/>
  <c r="AC758" i="1"/>
  <c r="AC663" i="1"/>
  <c r="AC274" i="1"/>
  <c r="AC764" i="1"/>
  <c r="AC1330" i="1"/>
  <c r="AC688" i="1"/>
  <c r="AC490" i="1"/>
  <c r="AC914" i="1"/>
  <c r="AC812" i="1"/>
  <c r="AC376" i="1"/>
  <c r="AC564" i="1"/>
  <c r="AC655" i="1"/>
  <c r="AC296" i="1"/>
  <c r="AC768" i="1"/>
  <c r="AC674" i="1"/>
  <c r="AC604" i="1"/>
  <c r="AC1185" i="1"/>
  <c r="AC1263" i="1"/>
  <c r="AC495" i="1"/>
  <c r="AC492" i="1"/>
  <c r="AC496" i="1"/>
  <c r="AC661" i="1"/>
  <c r="AC504" i="1"/>
  <c r="AC500" i="1"/>
  <c r="AC806" i="1"/>
  <c r="AC832" i="1"/>
  <c r="AC798" i="1"/>
  <c r="AC541" i="1"/>
  <c r="AC882" i="1"/>
  <c r="AC445" i="1"/>
  <c r="AC513" i="1"/>
  <c r="AC443" i="1"/>
  <c r="AC834" i="1"/>
  <c r="AC598" i="1"/>
  <c r="AC580" i="1"/>
  <c r="AC912" i="1"/>
  <c r="AC665" i="1"/>
  <c r="AC1338" i="1"/>
  <c r="AC1071" i="1"/>
  <c r="AC992" i="1"/>
  <c r="AC547" i="1"/>
  <c r="AC506" i="1"/>
  <c r="AC497" i="1"/>
  <c r="AC550" i="1"/>
  <c r="AC207" i="1"/>
  <c r="AC183" i="1"/>
  <c r="AC879" i="1"/>
  <c r="AC330" i="1"/>
  <c r="AC485" i="1"/>
  <c r="AC733" i="1"/>
  <c r="AC705" i="1"/>
  <c r="AC413" i="1"/>
  <c r="AC537" i="1"/>
  <c r="AC911" i="1"/>
  <c r="AC455" i="1"/>
  <c r="AC1100" i="1"/>
  <c r="AC1004" i="1"/>
  <c r="AC518" i="1"/>
  <c r="AC920" i="1"/>
  <c r="AC1205" i="1"/>
  <c r="AC545" i="1"/>
  <c r="AC248" i="1"/>
  <c r="AC894" i="1"/>
  <c r="AC708" i="1"/>
  <c r="AC628" i="1"/>
  <c r="AC588" i="1"/>
  <c r="AC465" i="1"/>
  <c r="AC1061" i="1"/>
  <c r="AC1053" i="1"/>
  <c r="AC860" i="1"/>
  <c r="AC737" i="1"/>
  <c r="AC581" i="1"/>
  <c r="AC559" i="1"/>
  <c r="AC944" i="1"/>
  <c r="AC729" i="1"/>
  <c r="AC711" i="1"/>
  <c r="AC659" i="1"/>
  <c r="AC1062" i="1"/>
  <c r="AC483" i="1"/>
  <c r="AC781" i="1"/>
  <c r="AC748" i="1"/>
  <c r="AC861" i="1"/>
  <c r="AC794" i="1"/>
  <c r="AC297" i="1"/>
  <c r="AC433" i="1"/>
  <c r="AC1157" i="1"/>
  <c r="AC653" i="1"/>
  <c r="AC563" i="1"/>
  <c r="AC1006" i="1"/>
  <c r="AC612" i="1"/>
  <c r="AC401" i="1"/>
  <c r="AC607" i="1"/>
  <c r="AC599" i="1"/>
  <c r="AC351" i="1"/>
  <c r="AC620" i="1"/>
  <c r="AC315" i="1"/>
  <c r="AC1449" i="1"/>
  <c r="AC464" i="1"/>
  <c r="AC386" i="1"/>
  <c r="AC873" i="1"/>
  <c r="AC814" i="1"/>
  <c r="AC715" i="1"/>
  <c r="AC815" i="1"/>
  <c r="AC1089" i="1"/>
  <c r="AC857" i="1"/>
  <c r="AC952" i="1"/>
  <c r="AC997" i="1"/>
  <c r="AC968" i="1"/>
  <c r="AC721" i="1"/>
  <c r="AC578" i="1"/>
  <c r="AC534" i="1"/>
  <c r="AC1654" i="1"/>
  <c r="AC1530" i="1"/>
  <c r="AC1531" i="1"/>
  <c r="AC786" i="1"/>
  <c r="AC682" i="1"/>
  <c r="AC978" i="1"/>
  <c r="AC965" i="1"/>
  <c r="AC634" i="1"/>
  <c r="AC517" i="1"/>
  <c r="AC840" i="1"/>
  <c r="AC6" i="1"/>
  <c r="AC1201" i="1"/>
  <c r="AC1520" i="1"/>
  <c r="AC904" i="1"/>
  <c r="AC1232" i="1"/>
  <c r="AC923" i="1"/>
  <c r="AC877" i="1"/>
  <c r="AC554" i="1"/>
  <c r="AC1308" i="1"/>
  <c r="AC963" i="1"/>
  <c r="AC568" i="1"/>
  <c r="AC736" i="1"/>
  <c r="AC1492" i="1"/>
  <c r="AC1203" i="1"/>
  <c r="AC519" i="1"/>
  <c r="AC762" i="1"/>
  <c r="AC790" i="1"/>
  <c r="AC558" i="1"/>
  <c r="AC447" i="1"/>
  <c r="AC1257" i="1"/>
  <c r="AC792" i="1"/>
  <c r="AC981" i="1"/>
  <c r="AC1041" i="1"/>
  <c r="AC951" i="1"/>
  <c r="AC881" i="1"/>
  <c r="AC795" i="1"/>
  <c r="AC642" i="1"/>
  <c r="AC651" i="1"/>
  <c r="AC33" i="1"/>
  <c r="AC842" i="1"/>
  <c r="AC573" i="1"/>
  <c r="AC523" i="1"/>
  <c r="AC31" i="1"/>
  <c r="AC1393" i="1"/>
  <c r="AC966" i="1"/>
  <c r="AC594" i="1"/>
  <c r="AC1298" i="1"/>
  <c r="AC888" i="1"/>
  <c r="AC1757" i="1"/>
  <c r="AC1496" i="1"/>
  <c r="AC1353" i="1"/>
  <c r="AC395" i="1"/>
  <c r="AC1605" i="1"/>
  <c r="AC741" i="1"/>
  <c r="AC584" i="1"/>
  <c r="AC318" i="1"/>
  <c r="AC453" i="1"/>
  <c r="AC1601" i="1"/>
  <c r="AC1027" i="1"/>
  <c r="AC650" i="1"/>
  <c r="AC313" i="1"/>
  <c r="AC55" i="1"/>
  <c r="AC605" i="1"/>
  <c r="AC1517" i="1"/>
  <c r="AC1259" i="1"/>
  <c r="AC847" i="1"/>
  <c r="AC429" i="1"/>
  <c r="AC673" i="1"/>
  <c r="AC254" i="1"/>
  <c r="AC129" i="1"/>
  <c r="AC54" i="1"/>
  <c r="AC11" i="1"/>
  <c r="AC917" i="1"/>
  <c r="AC646" i="1"/>
  <c r="AC603" i="1"/>
  <c r="AC574" i="1"/>
  <c r="AC520" i="1"/>
  <c r="AC317" i="1"/>
  <c r="AC412" i="1"/>
  <c r="AC1001" i="1"/>
  <c r="AC593" i="1"/>
  <c r="AC1090" i="1"/>
  <c r="AC835" i="1"/>
  <c r="AC1781" i="1"/>
  <c r="AC720" i="1"/>
  <c r="AC884" i="1"/>
  <c r="AC843" i="1"/>
  <c r="AC660" i="1"/>
  <c r="AC652" i="1"/>
  <c r="AC118" i="1"/>
  <c r="AC40" i="1"/>
  <c r="AC1443" i="1"/>
  <c r="AC809" i="1"/>
  <c r="AC718" i="1"/>
  <c r="AC719" i="1"/>
  <c r="AC49" i="1"/>
  <c r="AC15" i="1"/>
  <c r="AC389" i="1"/>
  <c r="AC171" i="1"/>
  <c r="AC893" i="1"/>
  <c r="AC1422" i="1"/>
  <c r="AC1045" i="1"/>
  <c r="AC878" i="1"/>
  <c r="AC712" i="1"/>
  <c r="AC105" i="1"/>
  <c r="AC147" i="1"/>
  <c r="AC869" i="1"/>
  <c r="AC804" i="1"/>
  <c r="AC683" i="1"/>
  <c r="AC196" i="1"/>
  <c r="AC1136" i="1"/>
  <c r="AC839" i="1"/>
  <c r="AC648" i="1"/>
  <c r="AC542" i="1"/>
  <c r="AC1177" i="1"/>
  <c r="AC1220" i="1"/>
  <c r="AC381" i="1"/>
  <c r="AC158" i="1"/>
  <c r="AC1204" i="1"/>
  <c r="AC772" i="1"/>
  <c r="AC1787" i="1"/>
  <c r="AC1299" i="1"/>
  <c r="AC459" i="1"/>
  <c r="AC942" i="1"/>
  <c r="AC874" i="1"/>
  <c r="AC783" i="1"/>
  <c r="AC228" i="1"/>
  <c r="AC1371" i="1"/>
  <c r="AC1322" i="1"/>
  <c r="AC1147" i="1"/>
  <c r="AC979" i="1"/>
  <c r="AC186" i="1"/>
  <c r="AC27" i="1"/>
  <c r="AC1460" i="1"/>
  <c r="AC1072" i="1"/>
  <c r="AC1040" i="1"/>
  <c r="AC769" i="1"/>
  <c r="AC421" i="1"/>
  <c r="AC51" i="1"/>
  <c r="AC1231" i="1"/>
  <c r="AC803" i="1"/>
  <c r="AC491" i="1"/>
  <c r="AC668" i="1"/>
  <c r="AC327" i="1"/>
  <c r="AC522" i="1"/>
  <c r="AC288" i="1"/>
  <c r="AC52" i="1"/>
  <c r="AC1088" i="1"/>
  <c r="AC585" i="1"/>
  <c r="AC936" i="1"/>
  <c r="AC3" i="1"/>
  <c r="AC1438" i="1"/>
  <c r="AC867" i="1"/>
  <c r="AC100" i="1"/>
  <c r="AC93" i="1"/>
  <c r="AC657" i="1"/>
  <c r="AC738" i="1"/>
  <c r="AC679" i="1"/>
  <c r="AC602" i="1"/>
  <c r="AC4" i="1"/>
  <c r="AC1856" i="1"/>
  <c r="AC1241" i="1"/>
  <c r="AC595" i="1"/>
  <c r="AC991" i="1"/>
  <c r="AC846" i="1"/>
  <c r="AC784" i="1"/>
  <c r="AC1120" i="1"/>
  <c r="AC1137" i="1"/>
  <c r="AC1094" i="1"/>
  <c r="AC714" i="1"/>
  <c r="AC686" i="1"/>
  <c r="AC528" i="1"/>
  <c r="AC114" i="1"/>
  <c r="AC1306" i="1"/>
  <c r="AC1304" i="1"/>
  <c r="AC1039" i="1"/>
  <c r="AC830" i="1"/>
  <c r="AC635" i="1"/>
  <c r="AC1033" i="1"/>
  <c r="AC730" i="1"/>
  <c r="AC475" i="1"/>
  <c r="AC560" i="1"/>
  <c r="AC1344" i="1"/>
  <c r="AC1221" i="1"/>
  <c r="AC1087" i="1"/>
  <c r="AC640" i="1"/>
  <c r="AC488" i="1"/>
  <c r="AC1406" i="1"/>
  <c r="AC1236" i="1"/>
  <c r="AC724" i="1"/>
  <c r="AC611" i="1"/>
  <c r="AC1113" i="1"/>
  <c r="AC1499" i="1"/>
  <c r="AC1008" i="1"/>
  <c r="AC1354" i="1"/>
  <c r="AC1312" i="1"/>
  <c r="AC1018" i="1"/>
  <c r="AC671" i="1"/>
  <c r="AC1356" i="1"/>
  <c r="AC1200" i="1"/>
  <c r="AC647" i="1"/>
  <c r="AC1078" i="1"/>
  <c r="AC949" i="1"/>
  <c r="AC755" i="1"/>
  <c r="AC667" i="1"/>
  <c r="AC641" i="1"/>
  <c r="AC1332" i="1"/>
  <c r="AC1266" i="1"/>
  <c r="AC956" i="1"/>
  <c r="AC704" i="1"/>
  <c r="AC1551" i="1"/>
  <c r="AC972" i="1"/>
  <c r="AC905" i="1"/>
  <c r="AC757" i="1"/>
  <c r="AC1255" i="1"/>
  <c r="AC822" i="1"/>
  <c r="AC810" i="1"/>
  <c r="AC468" i="1"/>
  <c r="AC1168" i="1"/>
  <c r="AC1193" i="1"/>
  <c r="AC988" i="1"/>
  <c r="AC821" i="1"/>
  <c r="AC760" i="1"/>
  <c r="AC1202" i="1"/>
  <c r="AC1227" i="1"/>
  <c r="AC1107" i="1"/>
  <c r="AC1009" i="1"/>
  <c r="AC939" i="1"/>
  <c r="AC1456" i="1"/>
  <c r="AC1215" i="1"/>
  <c r="AC892" i="1"/>
  <c r="AC717" i="1"/>
  <c r="AC482" i="1"/>
  <c r="AC1084" i="1"/>
  <c r="AC941" i="1"/>
  <c r="AC796" i="1"/>
  <c r="AC1346" i="1"/>
  <c r="AC1056" i="1"/>
  <c r="AC716" i="1"/>
  <c r="AC633" i="1"/>
  <c r="AC1748" i="1"/>
  <c r="AC1286" i="1"/>
  <c r="AC1135" i="1"/>
  <c r="AC1196" i="1"/>
  <c r="AC945" i="1"/>
  <c r="AC732" i="1"/>
  <c r="AC706" i="1"/>
  <c r="AC622" i="1"/>
  <c r="AC1598" i="1"/>
  <c r="AC1485" i="1"/>
  <c r="AC1152" i="1"/>
  <c r="AC959" i="1"/>
  <c r="AC876" i="1"/>
  <c r="AC1145" i="1"/>
  <c r="AC1134" i="1"/>
  <c r="AC983" i="1"/>
  <c r="AC1360" i="1"/>
  <c r="AC957" i="1"/>
  <c r="AC868" i="1"/>
  <c r="AC623" i="1"/>
  <c r="AC252" i="1"/>
  <c r="AC1159" i="1"/>
  <c r="AC1057" i="1"/>
  <c r="AC1034" i="1"/>
  <c r="AC1427" i="1"/>
  <c r="AC1381" i="1"/>
  <c r="AC1073" i="1"/>
  <c r="AC1029" i="1"/>
  <c r="AC851" i="1"/>
  <c r="AC1077" i="1"/>
  <c r="AC899" i="1"/>
  <c r="AC1373" i="1"/>
  <c r="AC1491" i="1"/>
  <c r="AC1580" i="1"/>
  <c r="AC1341" i="1"/>
  <c r="AC1038" i="1"/>
  <c r="AC969" i="1"/>
  <c r="AC763" i="1"/>
  <c r="AC813" i="1"/>
  <c r="AC515" i="1"/>
  <c r="AC1106" i="1"/>
  <c r="AC844" i="1"/>
  <c r="AC575" i="1"/>
  <c r="AC1279" i="1"/>
  <c r="AC1316" i="1"/>
  <c r="AC1249" i="1"/>
  <c r="AC771" i="1"/>
  <c r="AC391" i="1"/>
  <c r="AC1016" i="1"/>
  <c r="AC1358" i="1"/>
  <c r="AC1180" i="1"/>
  <c r="AC1069" i="1"/>
  <c r="AC579" i="1"/>
  <c r="AC935" i="1"/>
  <c r="AC749" i="1"/>
  <c r="AC1289" i="1"/>
  <c r="AC697" i="1"/>
  <c r="AC484" i="1"/>
  <c r="AC1355" i="1"/>
  <c r="AC1333" i="1"/>
  <c r="AC1245" i="1"/>
  <c r="AC1176" i="1"/>
  <c r="AC1122" i="1"/>
  <c r="AC1042" i="1"/>
  <c r="AC1043" i="1"/>
  <c r="AC782" i="1"/>
  <c r="AC836" i="1"/>
  <c r="AC707" i="1"/>
  <c r="AC681" i="1"/>
  <c r="AC629" i="1"/>
  <c r="AC601" i="1"/>
  <c r="AC1428" i="1"/>
  <c r="AC1396" i="1"/>
  <c r="AC1248" i="1"/>
  <c r="AC1111" i="1"/>
  <c r="AC925" i="1"/>
  <c r="AC524" i="1"/>
  <c r="AC853" i="1"/>
  <c r="AC789" i="1"/>
  <c r="AC388" i="1"/>
  <c r="AC658" i="1"/>
  <c r="AC1711" i="1"/>
  <c r="AC1303" i="1"/>
  <c r="AC1242" i="1"/>
  <c r="AC1165" i="1"/>
  <c r="AC1129" i="1"/>
  <c r="AC820" i="1"/>
  <c r="AC838" i="1"/>
  <c r="AC865" i="1"/>
  <c r="AC474" i="1"/>
  <c r="AC1559" i="1"/>
  <c r="AC1195" i="1"/>
  <c r="AC1132" i="1"/>
  <c r="AC577" i="1"/>
  <c r="AC543" i="1"/>
  <c r="AC1876" i="1"/>
  <c r="AC1717" i="1"/>
  <c r="AC1054" i="1"/>
  <c r="AC1124" i="1"/>
  <c r="AC1049" i="1"/>
  <c r="AC1064" i="1"/>
  <c r="AC1264" i="1"/>
  <c r="AC934" i="1"/>
  <c r="AC922" i="1"/>
  <c r="AC761" i="1"/>
  <c r="AC787" i="1"/>
  <c r="AC1806" i="1"/>
  <c r="AC1194" i="1"/>
  <c r="AC1501" i="1"/>
  <c r="AC824" i="1"/>
  <c r="AC1235" i="1"/>
  <c r="AC1032" i="1"/>
  <c r="AC929" i="1"/>
  <c r="AC557" i="1"/>
  <c r="AC544" i="1"/>
  <c r="AC889" i="1"/>
  <c r="AC703" i="1"/>
  <c r="AC570" i="1"/>
  <c r="AC1838" i="1"/>
  <c r="AC1267" i="1"/>
  <c r="AC845" i="1"/>
  <c r="AC632" i="1"/>
  <c r="AC1318" i="1"/>
  <c r="AC1276" i="1"/>
  <c r="AC1046" i="1"/>
  <c r="AC903" i="1"/>
  <c r="AC841" i="1"/>
  <c r="AC696" i="1"/>
  <c r="AC687" i="1"/>
  <c r="AC1600" i="1"/>
  <c r="AC1416" i="1"/>
  <c r="AC829" i="1"/>
  <c r="AC1119" i="1"/>
  <c r="AC961" i="1"/>
  <c r="AC908" i="1"/>
  <c r="AC1700" i="1"/>
  <c r="AC1366" i="1"/>
  <c r="AC1300" i="1"/>
  <c r="AC1256" i="1"/>
  <c r="AC1189" i="1"/>
  <c r="AC1144" i="1"/>
  <c r="AC615" i="1"/>
  <c r="AC1588" i="1"/>
  <c r="AC1262" i="1"/>
  <c r="AC858" i="1"/>
  <c r="AC1293" i="1"/>
  <c r="AC1184" i="1"/>
  <c r="AC980" i="1"/>
  <c r="AC927" i="1"/>
  <c r="AC928" i="1"/>
  <c r="AC913" i="1"/>
  <c r="AC831" i="1"/>
  <c r="AC805" i="1"/>
  <c r="AC618" i="1"/>
  <c r="AC1639" i="1"/>
  <c r="AC1593" i="1"/>
  <c r="AC1472" i="1"/>
  <c r="AC1464" i="1"/>
  <c r="AC1384" i="1"/>
  <c r="AC1359" i="1"/>
  <c r="AC1363" i="1"/>
  <c r="AC1174" i="1"/>
  <c r="AC1112" i="1"/>
  <c r="AC746" i="1"/>
  <c r="AC1342" i="1"/>
  <c r="AC1247" i="1"/>
  <c r="AC1860" i="1"/>
  <c r="AC1044" i="1"/>
  <c r="AC891" i="1"/>
  <c r="AC1128" i="1"/>
  <c r="AC1101" i="1"/>
  <c r="AC1015" i="1"/>
  <c r="AC982" i="1"/>
  <c r="AC931" i="1"/>
  <c r="AC1313" i="1"/>
  <c r="AC1282" i="1"/>
  <c r="AC887" i="1"/>
  <c r="AC926" i="1"/>
  <c r="AC872" i="1"/>
  <c r="AC855" i="1"/>
  <c r="AC636" i="1"/>
  <c r="AC1420" i="1"/>
  <c r="AC1726" i="1"/>
  <c r="AC1441" i="1"/>
  <c r="AC1394" i="1"/>
  <c r="AC1450" i="1"/>
  <c r="AC1292" i="1"/>
  <c r="AC852" i="1"/>
  <c r="AC1323" i="1"/>
  <c r="AC1285" i="1"/>
  <c r="AC1060" i="1"/>
  <c r="AC909" i="1"/>
  <c r="AC565" i="1"/>
  <c r="AC1253" i="1"/>
  <c r="AC1539" i="1"/>
  <c r="AC1391" i="1"/>
  <c r="AC1117" i="1"/>
  <c r="AC1118" i="1"/>
  <c r="AC1870" i="1"/>
  <c r="AC1433" i="1"/>
  <c r="AC745" i="1"/>
  <c r="AC626" i="1"/>
  <c r="AC586" i="1"/>
  <c r="AC849" i="1"/>
  <c r="AC600" i="1"/>
  <c r="AC756" i="1"/>
  <c r="AC678" i="1"/>
  <c r="AC637" i="1"/>
  <c r="AC621" i="1"/>
  <c r="AC1550" i="1"/>
  <c r="AC1058" i="1"/>
  <c r="AC1086" i="1"/>
  <c r="AC788" i="1"/>
  <c r="AC742" i="1"/>
  <c r="AC743" i="1"/>
  <c r="AC1890" i="1"/>
  <c r="AC1785" i="1"/>
  <c r="AC1280" i="1"/>
  <c r="AC1568" i="1"/>
  <c r="AC985" i="1"/>
  <c r="AC1383" i="1"/>
  <c r="AC819" i="1"/>
  <c r="AC1162" i="1"/>
  <c r="AC989" i="1"/>
  <c r="AC1556" i="1"/>
  <c r="AC1324" i="1"/>
  <c r="AC1121" i="1"/>
  <c r="AC1047" i="1"/>
  <c r="AC940" i="1"/>
  <c r="AC766" i="1"/>
  <c r="AC767" i="1"/>
  <c r="AC672" i="1"/>
  <c r="AC1021" i="1"/>
  <c r="AC1436" i="1"/>
  <c r="AC1362" i="1"/>
  <c r="AC1287" i="1"/>
  <c r="AC1208" i="1"/>
  <c r="AC1186" i="1"/>
  <c r="AC999" i="1"/>
  <c r="AC848" i="1"/>
  <c r="AC808" i="1"/>
  <c r="AC670" i="1"/>
  <c r="AC1314" i="1"/>
  <c r="AC1179" i="1"/>
  <c r="AC1116" i="1"/>
  <c r="AC1154" i="1"/>
  <c r="AC801" i="1"/>
  <c r="AC725" i="1"/>
  <c r="AC1670" i="1"/>
  <c r="AC1407" i="1"/>
  <c r="AC1271" i="1"/>
  <c r="AC1351" i="1"/>
  <c r="AC1275" i="1"/>
  <c r="AC1668" i="1"/>
  <c r="AC1541" i="1"/>
  <c r="AC1288" i="1"/>
  <c r="AC1143" i="1"/>
  <c r="AC1657" i="1"/>
  <c r="AC1052" i="1"/>
  <c r="AC1473" i="1"/>
  <c r="AC1367" i="1"/>
  <c r="AC1219" i="1"/>
  <c r="AC1181" i="1"/>
  <c r="AC1632" i="1"/>
  <c r="AC1566" i="1"/>
  <c r="AC1190" i="1"/>
  <c r="AC1198" i="1"/>
  <c r="AC690" i="1"/>
  <c r="AC970" i="1"/>
  <c r="AC901" i="1"/>
  <c r="AC886" i="1"/>
  <c r="AC906" i="1"/>
  <c r="AC731" i="1"/>
  <c r="AC1965" i="1"/>
  <c r="AC1587" i="1"/>
  <c r="AC1079" i="1"/>
  <c r="AC880" i="1"/>
  <c r="AC1153" i="1"/>
  <c r="AC1140" i="1"/>
  <c r="AC1099" i="1"/>
  <c r="AC1108" i="1"/>
  <c r="AC1766" i="1"/>
  <c r="AC1658" i="1"/>
  <c r="AC1584" i="1"/>
  <c r="AC1105" i="1"/>
  <c r="AC1035" i="1"/>
  <c r="AC990" i="1"/>
  <c r="AC946" i="1"/>
  <c r="AC1898" i="1"/>
  <c r="AC1412" i="1"/>
  <c r="AC728" i="1"/>
  <c r="AC1663" i="1"/>
  <c r="AC1514" i="1"/>
  <c r="AC1470" i="1"/>
  <c r="AC1374" i="1"/>
  <c r="AC1325" i="1"/>
  <c r="AC1217" i="1"/>
  <c r="AC1091" i="1"/>
  <c r="AC896" i="1"/>
  <c r="AC644" i="1"/>
  <c r="AC1655" i="1"/>
  <c r="AC1554" i="1"/>
  <c r="AC1522" i="1"/>
  <c r="AC995" i="1"/>
  <c r="AC776" i="1"/>
  <c r="AC592" i="1"/>
  <c r="AC2015" i="1"/>
  <c r="AC1643" i="1"/>
  <c r="AC1586" i="1"/>
  <c r="AC1386" i="1"/>
  <c r="AC1372" i="1"/>
  <c r="AC1302" i="1"/>
  <c r="AC1284" i="1"/>
  <c r="AC645" i="1"/>
  <c r="AC1030" i="1"/>
  <c r="AC850" i="1"/>
  <c r="AC1301" i="1"/>
  <c r="AC1243" i="1"/>
  <c r="AC1123" i="1"/>
  <c r="AC947" i="1"/>
  <c r="AC921" i="1"/>
  <c r="AC572" i="1"/>
  <c r="AC1970" i="1"/>
  <c r="AC1682" i="1"/>
  <c r="AC1614" i="1"/>
  <c r="AC1638" i="1"/>
  <c r="AC1570" i="1"/>
  <c r="AC1435" i="1"/>
  <c r="AC1365" i="1"/>
  <c r="AC1081" i="1"/>
  <c r="AC953" i="1"/>
  <c r="AC958" i="1"/>
  <c r="AC1972" i="1"/>
  <c r="AC1837" i="1"/>
  <c r="AC1487" i="1"/>
  <c r="AC1500" i="1"/>
  <c r="AC1533" i="1"/>
  <c r="AC1513" i="1"/>
  <c r="AC1265" i="1"/>
  <c r="AC800" i="1"/>
  <c r="AC993" i="1"/>
  <c r="AC971" i="1"/>
  <c r="AC1013" i="1"/>
  <c r="AC996" i="1"/>
  <c r="AC1014" i="1"/>
  <c r="AC739" i="1"/>
  <c r="AC1919" i="1"/>
  <c r="AC1902" i="1"/>
  <c r="AC1885" i="1"/>
  <c r="AC1758" i="1"/>
  <c r="AC1675" i="1"/>
  <c r="AC1645" i="1"/>
  <c r="AC1240" i="1"/>
  <c r="AC862" i="1"/>
  <c r="AC1133" i="1"/>
  <c r="AC693" i="1"/>
  <c r="AC1067" i="1"/>
  <c r="AC1066" i="1"/>
  <c r="AC811" i="1"/>
  <c r="AC791" i="1"/>
  <c r="AC1988" i="1"/>
  <c r="AC1937" i="1"/>
  <c r="AC1866" i="1"/>
  <c r="AC1207" i="1"/>
  <c r="AC1719" i="1"/>
  <c r="AC1633" i="1"/>
  <c r="AC1461" i="1"/>
  <c r="AC1273" i="1"/>
  <c r="AC973" i="1"/>
  <c r="AC915" i="1"/>
  <c r="AC919" i="1"/>
  <c r="AC799" i="1"/>
  <c r="AC1502" i="1"/>
  <c r="AC1626" i="1"/>
  <c r="AC1446" i="1"/>
  <c r="AC1415" i="1"/>
  <c r="AC1442" i="1"/>
  <c r="AC1403" i="1"/>
  <c r="AC1230" i="1"/>
  <c r="AC1182" i="1"/>
  <c r="AC1183" i="1"/>
  <c r="AC1142" i="1"/>
  <c r="AC984" i="1"/>
  <c r="AC918" i="1"/>
  <c r="AC689" i="1"/>
  <c r="AC1921" i="1"/>
  <c r="AC1998" i="1"/>
  <c r="AC1800" i="1"/>
  <c r="AC1802" i="1"/>
  <c r="AC1783" i="1"/>
  <c r="AC1579" i="1"/>
  <c r="AC1445" i="1"/>
  <c r="AC1457" i="1"/>
  <c r="AC1131" i="1"/>
  <c r="AC1163" i="1"/>
  <c r="AC1103" i="1"/>
  <c r="AC1068" i="1"/>
  <c r="AC1000" i="1"/>
  <c r="AC960" i="1"/>
  <c r="AC1660" i="1"/>
  <c r="AC1923" i="1"/>
  <c r="AC1409" i="1"/>
  <c r="AC1379" i="1"/>
  <c r="AC1697" i="1"/>
  <c r="AC1729" i="1"/>
  <c r="AC1698" i="1"/>
  <c r="AC1739" i="1"/>
  <c r="AC1630" i="1"/>
  <c r="AC1557" i="1"/>
  <c r="AC1474" i="1"/>
  <c r="AC1417" i="1"/>
  <c r="AC1169" i="1"/>
  <c r="AC1095" i="1"/>
  <c r="AC1114" i="1"/>
  <c r="AC1592" i="1"/>
  <c r="AC1894" i="1"/>
  <c r="AC1572" i="1"/>
  <c r="AC1768" i="1"/>
  <c r="AC1720" i="1"/>
  <c r="AC1744" i="1"/>
  <c r="AC1722" i="1"/>
  <c r="AC1723" i="1"/>
  <c r="AC1631" i="1"/>
  <c r="AC1561" i="1"/>
  <c r="AC1429" i="1"/>
  <c r="AC1331" i="1"/>
  <c r="AC1370" i="1"/>
  <c r="AC1295" i="1"/>
  <c r="AC1063" i="1"/>
  <c r="AC1093" i="1"/>
  <c r="AC1082" i="1"/>
  <c r="AC1083" i="1"/>
  <c r="AC875" i="1"/>
  <c r="AC833" i="1"/>
  <c r="AC778" i="1"/>
  <c r="AC1969" i="1"/>
  <c r="AC1959" i="1"/>
  <c r="AC1936" i="1"/>
  <c r="AC1910" i="1"/>
  <c r="AC1774" i="1"/>
  <c r="AC1411" i="1"/>
  <c r="AC1652" i="1"/>
  <c r="AC1641" i="1"/>
  <c r="AC1535" i="1"/>
  <c r="AC1565" i="1"/>
  <c r="AC1497" i="1"/>
  <c r="AC1352" i="1"/>
  <c r="AC1376" i="1"/>
  <c r="AC1188" i="1"/>
  <c r="AC1102" i="1"/>
  <c r="AC1059" i="1"/>
  <c r="AC1977" i="1"/>
  <c r="AC1534" i="1"/>
  <c r="AC1826" i="1"/>
  <c r="AC1747" i="1"/>
  <c r="AC1741" i="1"/>
  <c r="AC1622" i="1"/>
  <c r="AC1625" i="1"/>
  <c r="AC1524" i="1"/>
  <c r="AC1478" i="1"/>
  <c r="AC1451" i="1"/>
  <c r="AC1452" i="1"/>
  <c r="AC1397" i="1"/>
  <c r="AC1274" i="1"/>
  <c r="AC1055" i="1"/>
  <c r="AC1022" i="1"/>
  <c r="AC1948" i="1"/>
  <c r="AC1949" i="1"/>
  <c r="AC1852" i="1"/>
  <c r="AC1401" i="1"/>
  <c r="AC1828" i="1"/>
  <c r="AC1849" i="1"/>
  <c r="AC1628" i="1"/>
  <c r="AC1620" i="1"/>
  <c r="AC1521" i="1"/>
  <c r="AC1467" i="1"/>
  <c r="AC1392" i="1"/>
  <c r="AC1390" i="1"/>
  <c r="AC1364" i="1"/>
  <c r="AC1307" i="1"/>
  <c r="AC1258" i="1"/>
  <c r="AC1172" i="1"/>
  <c r="AC1164" i="1"/>
  <c r="AC1097" i="1"/>
  <c r="AC1070" i="1"/>
  <c r="AC1024" i="1"/>
  <c r="AC897" i="1"/>
  <c r="AC701" i="1"/>
  <c r="AC1954" i="1"/>
  <c r="AC1907" i="1"/>
  <c r="AC1789" i="1"/>
  <c r="AC1715" i="1"/>
  <c r="AC1686" i="1"/>
  <c r="AC1678" i="1"/>
  <c r="AC1648" i="1"/>
  <c r="AC1681" i="1"/>
  <c r="AC1667" i="1"/>
  <c r="AC1532" i="1"/>
  <c r="AC1529" i="1"/>
  <c r="AC1315" i="1"/>
  <c r="AC1291" i="1"/>
  <c r="AC1272" i="1"/>
  <c r="AC1192" i="1"/>
  <c r="AC1218" i="1"/>
  <c r="AC1981" i="1"/>
  <c r="AC1611" i="1"/>
  <c r="AC1941" i="1"/>
  <c r="AC1915" i="1"/>
  <c r="AC1917" i="1"/>
  <c r="AC1880" i="1"/>
  <c r="AC1901" i="1"/>
  <c r="AC1881" i="1"/>
  <c r="AC1859" i="1"/>
  <c r="AC1814" i="1"/>
  <c r="AC1749" i="1"/>
  <c r="AC1755" i="1"/>
  <c r="AC1691" i="1"/>
  <c r="AC1582" i="1"/>
  <c r="AC1483" i="1"/>
  <c r="AC1437" i="1"/>
  <c r="AC1317" i="1"/>
  <c r="AC1187" i="1"/>
  <c r="AC1146" i="1"/>
  <c r="AC1025" i="1"/>
  <c r="AC967" i="1"/>
  <c r="AC883" i="1"/>
  <c r="AC2005" i="1"/>
  <c r="AC1968" i="1"/>
  <c r="AC1562" i="1"/>
  <c r="AC1891" i="1"/>
  <c r="AC1897" i="1"/>
  <c r="AC1882" i="1"/>
  <c r="AC1871" i="1"/>
  <c r="AC1824" i="1"/>
  <c r="AC1817" i="1"/>
  <c r="AC1825" i="1"/>
  <c r="AC1759" i="1"/>
  <c r="AC1610" i="1"/>
  <c r="AC1597" i="1"/>
  <c r="AC1618" i="1"/>
  <c r="AC1471" i="1"/>
  <c r="AC1425" i="1"/>
  <c r="AC1418" i="1"/>
  <c r="AC1395" i="1"/>
  <c r="AC1226" i="1"/>
  <c r="AC1233" i="1"/>
  <c r="AC1115" i="1"/>
  <c r="AC863" i="1"/>
  <c r="AC759" i="1"/>
  <c r="AC2007" i="1"/>
  <c r="AC1995" i="1"/>
  <c r="AC1646" i="1"/>
  <c r="AC1927" i="1"/>
  <c r="AC1924" i="1"/>
  <c r="AC1820" i="1"/>
  <c r="AC1786" i="1"/>
  <c r="AC1808" i="1"/>
  <c r="AC1760" i="1"/>
  <c r="AC1732" i="1"/>
  <c r="AC1635" i="1"/>
  <c r="AC1486" i="1"/>
  <c r="AC1537" i="1"/>
  <c r="AC1484" i="1"/>
  <c r="AC1408" i="1"/>
  <c r="AC1400" i="1"/>
  <c r="AC1294" i="1"/>
  <c r="AC1212" i="1"/>
  <c r="AC1148" i="1"/>
  <c r="AC1051" i="1"/>
  <c r="AC1007" i="1"/>
  <c r="AC938" i="1"/>
  <c r="AC2004" i="1"/>
  <c r="AC1979" i="1"/>
  <c r="AC1962" i="1"/>
  <c r="AC1961" i="1"/>
  <c r="AC1963" i="1"/>
  <c r="AC1953" i="1"/>
  <c r="AC1914" i="1"/>
  <c r="AC1861" i="1"/>
  <c r="AC1823" i="1"/>
  <c r="AC1812" i="1"/>
  <c r="AC1791" i="1"/>
  <c r="AC1736" i="1"/>
  <c r="AC1718" i="1"/>
  <c r="AC1665" i="1"/>
  <c r="AC1602" i="1"/>
  <c r="AC1672" i="1"/>
  <c r="AC1650" i="1"/>
  <c r="AC1542" i="1"/>
  <c r="AC1543" i="1"/>
  <c r="AC1569" i="1"/>
  <c r="AC1573" i="1"/>
  <c r="AC1489" i="1"/>
  <c r="AC1536" i="1"/>
  <c r="AC1319" i="1"/>
  <c r="AC1278" i="1"/>
  <c r="AC1175" i="1"/>
  <c r="AC1150" i="1"/>
  <c r="AC1127" i="1"/>
  <c r="AC1065" i="1"/>
  <c r="AC1005" i="1"/>
  <c r="AC974" i="1"/>
  <c r="AC700" i="1"/>
  <c r="AC1801" i="1"/>
  <c r="AC1992" i="1"/>
  <c r="AC1986" i="1"/>
  <c r="AC1518" i="1"/>
  <c r="AC1869" i="1"/>
  <c r="AC1810" i="1"/>
  <c r="AC1827" i="1"/>
  <c r="AC1742" i="1"/>
  <c r="AC1702" i="1"/>
  <c r="AC1695" i="1"/>
  <c r="AC1693" i="1"/>
  <c r="AC1680" i="1"/>
  <c r="AC1224" i="1"/>
  <c r="AC1609" i="1"/>
  <c r="AC1651" i="1"/>
  <c r="AC1075" i="1"/>
  <c r="AC1676" i="1"/>
  <c r="AC1583" i="1"/>
  <c r="AC1585" i="1"/>
  <c r="AC1571" i="1"/>
  <c r="AC1509" i="1"/>
  <c r="AC1350" i="1"/>
  <c r="AC954" i="1"/>
  <c r="AC1125" i="1"/>
  <c r="AC807" i="1"/>
  <c r="AC775" i="1"/>
  <c r="AC1877" i="1"/>
  <c r="AC1996" i="1"/>
  <c r="AC1728" i="1"/>
  <c r="AC1951" i="1"/>
  <c r="AC1906" i="1"/>
  <c r="AC1490" i="1"/>
  <c r="AC1884" i="1"/>
  <c r="AC1873" i="1"/>
  <c r="AC1819" i="1"/>
  <c r="AC1779" i="1"/>
  <c r="AC1776" i="1"/>
  <c r="AC1683" i="1"/>
  <c r="AC1699" i="1"/>
  <c r="AC1595" i="1"/>
  <c r="AC1538" i="1"/>
  <c r="AC1558" i="1"/>
  <c r="AC1023" i="1"/>
  <c r="AC1507" i="1"/>
  <c r="AC1431" i="1"/>
  <c r="AC1447" i="1"/>
  <c r="AC1488" i="1"/>
  <c r="AC1234" i="1"/>
  <c r="AC1191" i="1"/>
  <c r="AC2014" i="1"/>
  <c r="AC1753" i="1"/>
  <c r="AC1956" i="1"/>
  <c r="AC1913" i="1"/>
  <c r="AC1899" i="1"/>
  <c r="AC1862" i="1"/>
  <c r="AC1811" i="1"/>
  <c r="AC1782" i="1"/>
  <c r="AC1770" i="1"/>
  <c r="AC1378" i="1"/>
  <c r="AC1734" i="1"/>
  <c r="AC1708" i="1"/>
  <c r="AC1714" i="1"/>
  <c r="AC1721" i="1"/>
  <c r="AC1696" i="1"/>
  <c r="AC1669" i="1"/>
  <c r="AC1659" i="1"/>
  <c r="AC1577" i="1"/>
  <c r="AC1475" i="1"/>
  <c r="AC1439" i="1"/>
  <c r="AC1440" i="1"/>
  <c r="AC1405" i="1"/>
  <c r="AC1340" i="1"/>
  <c r="AC900" i="1"/>
  <c r="AC797" i="1"/>
  <c r="AC2018" i="1"/>
  <c r="AC2017" i="1"/>
  <c r="AC2011" i="1"/>
  <c r="AC1971" i="1"/>
  <c r="AC1938" i="1"/>
  <c r="AC1879" i="1"/>
  <c r="AC1858" i="1"/>
  <c r="AC1848" i="1"/>
  <c r="AC1833" i="1"/>
  <c r="AC1213" i="1"/>
  <c r="AC1731" i="1"/>
  <c r="AC1206" i="1"/>
  <c r="AC1737" i="1"/>
  <c r="AC1662" i="1"/>
  <c r="AC1209" i="1"/>
  <c r="AC1709" i="1"/>
  <c r="AC1634" i="1"/>
  <c r="AC1624" i="1"/>
  <c r="AC1661" i="1"/>
  <c r="AC1653" i="1"/>
  <c r="AC1613" i="1"/>
  <c r="AC1616" i="1"/>
  <c r="AC1615" i="1"/>
  <c r="AC1528" i="1"/>
  <c r="AC1516" i="1"/>
  <c r="AC1336" i="1"/>
  <c r="AC1297" i="1"/>
  <c r="AC1225" i="1"/>
  <c r="AC1037" i="1"/>
  <c r="AC631" i="1"/>
  <c r="AC937" i="1"/>
  <c r="AC823" i="1"/>
  <c r="AC1912" i="1"/>
  <c r="AC2008" i="1"/>
  <c r="AC1999" i="1"/>
  <c r="AC1775" i="1"/>
  <c r="AC1793" i="1"/>
  <c r="AC1980" i="1"/>
  <c r="AC1763" i="1"/>
  <c r="AC1967" i="1"/>
  <c r="AC1932" i="1"/>
  <c r="AC1908" i="1"/>
  <c r="AC1878" i="1"/>
  <c r="AC1527" i="1"/>
  <c r="AC1909" i="1"/>
  <c r="AC1523" i="1"/>
  <c r="AC1865" i="1"/>
  <c r="AC1868" i="1"/>
  <c r="AC1853" i="1"/>
  <c r="AC1369" i="1"/>
  <c r="AC1807" i="1"/>
  <c r="AC1778" i="1"/>
  <c r="AC1705" i="1"/>
  <c r="AC1688" i="1"/>
  <c r="AC1727" i="1"/>
  <c r="AC1050" i="1"/>
  <c r="AC1555" i="1"/>
  <c r="AC1482" i="1"/>
  <c r="AC1479" i="1"/>
  <c r="AC1463" i="1"/>
  <c r="AC1419" i="1"/>
  <c r="AC1512" i="1"/>
  <c r="AC1388" i="1"/>
  <c r="AC1343" i="1"/>
  <c r="AC1327" i="1"/>
  <c r="AC910" i="1"/>
  <c r="AC1296" i="1"/>
  <c r="AC1260" i="1"/>
  <c r="AC1252" i="1"/>
  <c r="AC1161" i="1"/>
  <c r="AC1149" i="1"/>
  <c r="AC1155" i="1"/>
  <c r="AC1098" i="1"/>
  <c r="AC1080" i="1"/>
  <c r="AC962" i="1"/>
  <c r="AC864" i="1"/>
  <c r="AC2012" i="1"/>
  <c r="AC2013" i="1"/>
  <c r="AC1813" i="1"/>
  <c r="AC1964" i="1"/>
  <c r="AC1560" i="1"/>
  <c r="AC1926" i="1"/>
  <c r="AC1822" i="1"/>
  <c r="AC1844" i="1"/>
  <c r="AC1803" i="1"/>
  <c r="AC1754" i="1"/>
  <c r="AC1764" i="1"/>
  <c r="AC1792" i="1"/>
  <c r="AC1701" i="1"/>
  <c r="AC1684" i="1"/>
  <c r="AC1685" i="1"/>
  <c r="AC1724" i="1"/>
  <c r="AC1649" i="1"/>
  <c r="AC1549" i="1"/>
  <c r="AC1540" i="1"/>
  <c r="AC1553" i="1"/>
  <c r="AC1494" i="1"/>
  <c r="AC1466" i="1"/>
  <c r="AC1426" i="1"/>
  <c r="AC1444" i="1"/>
  <c r="AC1311" i="1"/>
  <c r="AC1326" i="1"/>
  <c r="AC1270" i="1"/>
  <c r="AC1222" i="1"/>
  <c r="AC1223" i="1"/>
  <c r="AC1171" i="1"/>
  <c r="AC1216" i="1"/>
  <c r="AC1167" i="1"/>
  <c r="AC1109" i="1"/>
  <c r="AC1036" i="1"/>
  <c r="AC943" i="1"/>
  <c r="AC856" i="1"/>
  <c r="AC1997" i="1"/>
  <c r="AC1987" i="1"/>
  <c r="AC1606" i="1"/>
  <c r="AC1942" i="1"/>
  <c r="AC1944" i="1"/>
  <c r="AC1945" i="1"/>
  <c r="AC1940" i="1"/>
  <c r="AC1900" i="1"/>
  <c r="AC1895" i="1"/>
  <c r="AC1904" i="1"/>
  <c r="AC1889" i="1"/>
  <c r="AC1896" i="1"/>
  <c r="AC1493" i="1"/>
  <c r="AC1845" i="1"/>
  <c r="AC1818" i="1"/>
  <c r="AC1790" i="1"/>
  <c r="AC1673" i="1"/>
  <c r="AC1563" i="1"/>
  <c r="AC1647" i="1"/>
  <c r="AC1581" i="1"/>
  <c r="AC1110" i="1"/>
  <c r="AC1503" i="1"/>
  <c r="AC1455" i="1"/>
  <c r="AC1476" i="1"/>
  <c r="AC1404" i="1"/>
  <c r="AC1377" i="1"/>
  <c r="AC1337" i="1"/>
  <c r="AC1237" i="1"/>
  <c r="AC1309" i="1"/>
  <c r="AC1277" i="1"/>
  <c r="AC1246" i="1"/>
  <c r="AC1130" i="1"/>
  <c r="AC1028" i="1"/>
  <c r="AC907" i="1"/>
  <c r="AC890" i="1"/>
  <c r="AC1990" i="1"/>
  <c r="AC1983" i="1"/>
  <c r="AC1982" i="1"/>
  <c r="AC1591" i="1"/>
  <c r="AC1918" i="1"/>
  <c r="AC1883" i="1"/>
  <c r="AC1886" i="1"/>
  <c r="AC1911" i="1"/>
  <c r="AC1887" i="1"/>
  <c r="AC1453" i="1"/>
  <c r="AC1874" i="1"/>
  <c r="AC1867" i="1"/>
  <c r="AC1816" i="1"/>
  <c r="AC1834" i="1"/>
  <c r="AC1835" i="1"/>
  <c r="AC1788" i="1"/>
  <c r="AC1339" i="1"/>
  <c r="AC1750" i="1"/>
  <c r="AC1745" i="1"/>
  <c r="AC1725" i="1"/>
  <c r="AC1706" i="1"/>
  <c r="AC1690" i="1"/>
  <c r="AC1567" i="1"/>
  <c r="AC1545" i="1"/>
  <c r="AC1546" i="1"/>
  <c r="AC1547" i="1"/>
  <c r="AC1462" i="1"/>
  <c r="AC1504" i="1"/>
  <c r="AC1454" i="1"/>
  <c r="AC1349" i="1"/>
  <c r="AC1320" i="1"/>
  <c r="AC1334" i="1"/>
  <c r="AC1244" i="1"/>
  <c r="AC1250" i="1"/>
  <c r="AC1173" i="1"/>
  <c r="AC1104" i="1"/>
  <c r="AC976" i="1"/>
  <c r="AC964" i="1"/>
  <c r="AC2016" i="1"/>
  <c r="AC2000" i="1"/>
  <c r="AC2002" i="1"/>
  <c r="AC1842" i="1"/>
  <c r="AC1943" i="1"/>
  <c r="AC1687" i="1"/>
  <c r="AC1930" i="1"/>
  <c r="AC1928" i="1"/>
  <c r="AC1922" i="1"/>
  <c r="AC1888" i="1"/>
  <c r="AC1578" i="1"/>
  <c r="AC1903" i="1"/>
  <c r="AC1857" i="1"/>
  <c r="AC1875" i="1"/>
  <c r="AC1854" i="1"/>
  <c r="AC1832" i="1"/>
  <c r="AC1798" i="1"/>
  <c r="AC1797" i="1"/>
  <c r="AC1348" i="1"/>
  <c r="AC1795" i="1"/>
  <c r="AC1740" i="1"/>
  <c r="AC1704" i="1"/>
  <c r="AC1765" i="1"/>
  <c r="AC1656" i="1"/>
  <c r="AC1629" i="1"/>
  <c r="AC1603" i="1"/>
  <c r="AC1594" i="1"/>
  <c r="AC1510" i="1"/>
  <c r="AC1511" i="1"/>
  <c r="AC1448" i="1"/>
  <c r="AC1477" i="1"/>
  <c r="AC1385" i="1"/>
  <c r="AC1459" i="1"/>
  <c r="AC1361" i="1"/>
  <c r="AC1375" i="1"/>
  <c r="AC1305" i="1"/>
  <c r="AC1290" i="1"/>
  <c r="AC1261" i="1"/>
  <c r="AC1211" i="1"/>
  <c r="AC1199" i="1"/>
  <c r="AC1158" i="1"/>
  <c r="AC1085" i="1"/>
  <c r="AC713" i="1"/>
  <c r="AC1031" i="1"/>
  <c r="AC770" i="1"/>
  <c r="AC2019" i="1"/>
  <c r="AC1973" i="1"/>
  <c r="AC1939" i="1"/>
  <c r="AC1916" i="1"/>
  <c r="AC1934" i="1"/>
  <c r="AC1931" i="1"/>
  <c r="AC1552" i="1"/>
  <c r="AC1855" i="1"/>
  <c r="AC1872" i="1"/>
  <c r="AC1424" i="1"/>
  <c r="AC1851" i="1"/>
  <c r="AC1847" i="1"/>
  <c r="AC1839" i="1"/>
  <c r="AC1328" i="1"/>
  <c r="AC1746" i="1"/>
  <c r="AC1767" i="1"/>
  <c r="AC1751" i="1"/>
  <c r="AC1743" i="1"/>
  <c r="AC1735" i="1"/>
  <c r="AC1694" i="1"/>
  <c r="AC1664" i="1"/>
  <c r="AC1636" i="1"/>
  <c r="AC1506" i="1"/>
  <c r="AC1519" i="1"/>
  <c r="AC1458" i="1"/>
  <c r="AC1495" i="1"/>
  <c r="AC1012" i="1"/>
  <c r="AC1380" i="1"/>
  <c r="AC1382" i="1"/>
  <c r="AC1347" i="1"/>
  <c r="AC1321" i="1"/>
  <c r="AC1283" i="1"/>
  <c r="AC1170" i="1"/>
  <c r="AC1239" i="1"/>
  <c r="AC1096" i="1"/>
  <c r="AC1011" i="1"/>
  <c r="AC1002" i="1"/>
  <c r="AC2006" i="1"/>
  <c r="AC1989" i="1"/>
  <c r="AC1994" i="1"/>
  <c r="AC1796" i="1"/>
  <c r="AC1772" i="1"/>
  <c r="AC1966" i="1"/>
  <c r="AC1947" i="1"/>
  <c r="AC1925" i="1"/>
  <c r="AC1920" i="1"/>
  <c r="AC1544" i="1"/>
  <c r="AC1892" i="1"/>
  <c r="AC1830" i="1"/>
  <c r="AC1368" i="1"/>
  <c r="AC1805" i="1"/>
  <c r="AC1773" i="1"/>
  <c r="AC1771" i="1"/>
  <c r="AC1752" i="1"/>
  <c r="AC1784" i="1"/>
  <c r="AC1733" i="1"/>
  <c r="AC1712" i="1"/>
  <c r="AC1707" i="1"/>
  <c r="AC1710" i="1"/>
  <c r="AC1666" i="1"/>
  <c r="AC1689" i="1"/>
  <c r="AC1141" i="1"/>
  <c r="AC1637" i="1"/>
  <c r="AC1612" i="1"/>
  <c r="AC1640" i="1"/>
  <c r="AC1608" i="1"/>
  <c r="AC1575" i="1"/>
  <c r="AC1515" i="1"/>
  <c r="AC1508" i="1"/>
  <c r="AC1574" i="1"/>
  <c r="AC1498" i="1"/>
  <c r="AC1465" i="1"/>
  <c r="AC1469" i="1"/>
  <c r="AC1399" i="1"/>
  <c r="AC1387" i="1"/>
  <c r="AC1281" i="1"/>
  <c r="AC1310" i="1"/>
  <c r="AC1254" i="1"/>
  <c r="AC1269" i="1"/>
  <c r="AC1214" i="1"/>
  <c r="AC1166" i="1"/>
  <c r="AC1010" i="1"/>
  <c r="AC2010" i="1"/>
  <c r="AC1978" i="1"/>
  <c r="AC1976" i="1"/>
  <c r="AC1679" i="1"/>
  <c r="AC1984" i="1"/>
  <c r="AC1929" i="1"/>
  <c r="AC1933" i="1"/>
  <c r="AC1905" i="1"/>
  <c r="AC1526" i="1"/>
  <c r="AC1863" i="1"/>
  <c r="AC1829" i="1"/>
  <c r="AC1840" i="1"/>
  <c r="AC1815" i="1"/>
  <c r="AC1841" i="1"/>
  <c r="AC1821" i="1"/>
  <c r="AC1836" i="1"/>
  <c r="AC1777" i="1"/>
  <c r="AC1703" i="1"/>
  <c r="AC1623" i="1"/>
  <c r="AC1642" i="1"/>
  <c r="AC1604" i="1"/>
  <c r="AC1468" i="1"/>
  <c r="AC1434" i="1"/>
  <c r="AC1423" i="1"/>
  <c r="AC1345" i="1"/>
  <c r="AC1335" i="1"/>
  <c r="AC1151" i="1"/>
  <c r="AC1003" i="1"/>
  <c r="AC986" i="1"/>
  <c r="AC948" i="1"/>
  <c r="AC1985" i="1"/>
  <c r="AC1893" i="1"/>
  <c r="AC2009" i="1"/>
  <c r="AC2001" i="1"/>
  <c r="AC2003" i="1"/>
  <c r="AC1991" i="1"/>
  <c r="AC1993" i="1"/>
  <c r="AC1974" i="1"/>
  <c r="AC1955" i="1"/>
  <c r="AC1599" i="1"/>
  <c r="AC1864" i="1"/>
  <c r="AC1804" i="1"/>
  <c r="AC1799" i="1"/>
  <c r="AC1389" i="1"/>
  <c r="AC1780" i="1"/>
  <c r="AC1762" i="1"/>
  <c r="AC1756" i="1"/>
  <c r="AC1671" i="1"/>
  <c r="AC1692" i="1"/>
  <c r="AC1627" i="1"/>
  <c r="AC1160" i="1"/>
  <c r="AC1644" i="1"/>
  <c r="AC1617" i="1"/>
  <c r="AC1564" i="1"/>
  <c r="AC1548" i="1"/>
  <c r="AC1398" i="1"/>
  <c r="AC1432" i="1"/>
  <c r="AC1413" i="1"/>
  <c r="AC1329" i="1"/>
  <c r="AC1228" i="1"/>
  <c r="AC1210" i="1"/>
  <c r="AC1178" i="1"/>
  <c r="AC1126" i="1"/>
  <c r="AC1139" i="1"/>
  <c r="AC1076" i="1"/>
  <c r="AC1019" i="1"/>
  <c r="AC2" i="1"/>
  <c r="AC1716" i="1"/>
  <c r="AC1975" i="1"/>
  <c r="AC1738" i="1"/>
  <c r="AC1946" i="1"/>
  <c r="AC1960" i="1"/>
  <c r="AC1935" i="1"/>
  <c r="AC1850" i="1"/>
  <c r="AC1846" i="1"/>
  <c r="AC1809" i="1"/>
  <c r="AC1843" i="1"/>
  <c r="AC1421" i="1"/>
  <c r="AC1794" i="1"/>
  <c r="AC1761" i="1"/>
  <c r="AC1730" i="1"/>
  <c r="AC1713" i="1"/>
  <c r="AC1674" i="1"/>
  <c r="AC1621" i="1"/>
  <c r="AC1619" i="1"/>
  <c r="AC1589" i="1"/>
  <c r="AC1590" i="1"/>
  <c r="AC1481" i="1"/>
  <c r="AC1480" i="1"/>
  <c r="AC1414" i="1"/>
  <c r="AC1402" i="1"/>
  <c r="AC1357" i="1"/>
  <c r="AC1251" i="1"/>
  <c r="AC2020" i="1"/>
  <c r="AC2021" i="1"/>
  <c r="AC1957" i="1"/>
  <c r="AC1952" i="1"/>
  <c r="AC1958" i="1"/>
  <c r="AC1607" i="1"/>
  <c r="AC1950" i="1"/>
  <c r="AC1525" i="1"/>
  <c r="AC1769" i="1"/>
  <c r="AC1677" i="1"/>
  <c r="AC1596" i="1"/>
  <c r="AC1505" i="1"/>
  <c r="AC1229" i="1"/>
  <c r="AC1831" i="1"/>
  <c r="N84" i="19"/>
  <c r="O84" i="19"/>
  <c r="P84" i="19"/>
  <c r="Q84" i="19"/>
  <c r="M84" i="19"/>
  <c r="K84" i="19"/>
  <c r="S84" i="19" s="1"/>
  <c r="D84" i="19"/>
  <c r="E84" i="19"/>
  <c r="F84" i="19"/>
  <c r="G84" i="19"/>
  <c r="C84" i="19"/>
  <c r="B84" i="19"/>
  <c r="M74" i="19"/>
  <c r="N74" i="19"/>
  <c r="O74" i="19"/>
  <c r="P74" i="19"/>
  <c r="L74" i="19"/>
  <c r="K74" i="19"/>
  <c r="D74" i="19"/>
  <c r="E74" i="19"/>
  <c r="F74" i="19"/>
  <c r="G74" i="19"/>
  <c r="C74" i="19"/>
  <c r="B74" i="19"/>
  <c r="Q44" i="19"/>
  <c r="P44" i="19"/>
  <c r="O44" i="19"/>
  <c r="N44" i="19"/>
  <c r="M44" i="19"/>
  <c r="K44" i="19"/>
  <c r="G44" i="19"/>
  <c r="F44" i="19"/>
  <c r="E44" i="19"/>
  <c r="D44" i="19"/>
  <c r="C44" i="19"/>
  <c r="B44" i="19"/>
  <c r="Q43" i="19"/>
  <c r="P43" i="19"/>
  <c r="O43" i="19"/>
  <c r="N43" i="19"/>
  <c r="M43" i="19"/>
  <c r="K43" i="19"/>
  <c r="G43" i="19"/>
  <c r="F43" i="19"/>
  <c r="E43" i="19"/>
  <c r="D43" i="19"/>
  <c r="C43" i="19"/>
  <c r="B43" i="19"/>
  <c r="Q42" i="19"/>
  <c r="Q45" i="19" s="1"/>
  <c r="P42" i="19"/>
  <c r="P45" i="19" s="1"/>
  <c r="O42" i="19"/>
  <c r="O45" i="19" s="1"/>
  <c r="N42" i="19"/>
  <c r="M42" i="19"/>
  <c r="K42" i="19"/>
  <c r="G42" i="19"/>
  <c r="F42" i="19"/>
  <c r="E42" i="19"/>
  <c r="D42" i="19"/>
  <c r="C42" i="19"/>
  <c r="B42" i="19"/>
  <c r="Q8" i="19"/>
  <c r="P8" i="19"/>
  <c r="O8" i="19"/>
  <c r="N8" i="19"/>
  <c r="M8" i="19"/>
  <c r="K8" i="19"/>
  <c r="Q7" i="19"/>
  <c r="P7" i="19"/>
  <c r="O7" i="19"/>
  <c r="N7" i="19"/>
  <c r="M7" i="19"/>
  <c r="K7" i="19"/>
  <c r="Q6" i="19"/>
  <c r="P6" i="19"/>
  <c r="O6" i="19"/>
  <c r="N6" i="19"/>
  <c r="M6" i="19"/>
  <c r="K6" i="19"/>
  <c r="Q5" i="19"/>
  <c r="P5" i="19"/>
  <c r="O5" i="19"/>
  <c r="N5" i="19"/>
  <c r="M5" i="19"/>
  <c r="K5" i="19"/>
  <c r="Q4" i="19"/>
  <c r="P4" i="19"/>
  <c r="O4" i="19"/>
  <c r="N4" i="19"/>
  <c r="M4" i="19"/>
  <c r="K4" i="19"/>
  <c r="K3" i="19"/>
  <c r="B3" i="19"/>
  <c r="D50" i="15"/>
  <c r="E50" i="15"/>
  <c r="F50" i="15"/>
  <c r="G50" i="15"/>
  <c r="D51" i="15"/>
  <c r="E51" i="15"/>
  <c r="F51" i="15"/>
  <c r="G51" i="15"/>
  <c r="C51" i="15"/>
  <c r="C50" i="15"/>
  <c r="D3" i="19"/>
  <c r="E3" i="19"/>
  <c r="F3" i="19"/>
  <c r="G3" i="19"/>
  <c r="C3" i="19"/>
  <c r="D8" i="19"/>
  <c r="E8" i="19"/>
  <c r="F8" i="19"/>
  <c r="G8" i="19"/>
  <c r="C8" i="19"/>
  <c r="B8" i="19"/>
  <c r="D7" i="19"/>
  <c r="E7" i="19"/>
  <c r="F7" i="19"/>
  <c r="G7" i="19"/>
  <c r="C7" i="19"/>
  <c r="B7" i="19"/>
  <c r="D6" i="19"/>
  <c r="E6" i="19"/>
  <c r="F6" i="19"/>
  <c r="G6" i="19"/>
  <c r="C6" i="19"/>
  <c r="B6" i="19"/>
  <c r="D5" i="19"/>
  <c r="E5" i="19"/>
  <c r="F5" i="19"/>
  <c r="G5" i="19"/>
  <c r="C5" i="19"/>
  <c r="B5" i="19"/>
  <c r="D4" i="19"/>
  <c r="E4" i="19"/>
  <c r="F4" i="19"/>
  <c r="G4" i="19"/>
  <c r="C4" i="19"/>
  <c r="B4" i="19"/>
  <c r="G7" i="16"/>
  <c r="N24" i="6"/>
  <c r="O24" i="6"/>
  <c r="P24" i="6"/>
  <c r="Q24" i="6"/>
  <c r="M24" i="6"/>
  <c r="AK33" i="4"/>
  <c r="AK48" i="4"/>
  <c r="AJ48" i="4"/>
  <c r="AI48" i="4"/>
  <c r="AH48" i="4"/>
  <c r="AG48" i="4"/>
  <c r="AK42" i="4"/>
  <c r="AJ42" i="4"/>
  <c r="AI42" i="4"/>
  <c r="AH42" i="4"/>
  <c r="AG42" i="4"/>
  <c r="AJ33" i="4"/>
  <c r="AI33" i="4"/>
  <c r="AH33" i="4"/>
  <c r="AG33" i="4"/>
  <c r="AK24" i="4"/>
  <c r="AJ24" i="4"/>
  <c r="AI24" i="4"/>
  <c r="AH24" i="4"/>
  <c r="AG24" i="4"/>
  <c r="AK17" i="4"/>
  <c r="AJ17" i="4"/>
  <c r="AI17" i="4"/>
  <c r="AH17" i="4"/>
  <c r="AG17" i="4"/>
  <c r="B51" i="15"/>
  <c r="B50" i="15"/>
  <c r="C8" i="16"/>
  <c r="D8" i="16"/>
  <c r="E8" i="16"/>
  <c r="F8" i="16"/>
  <c r="B8" i="16"/>
  <c r="C7" i="16"/>
  <c r="C16" i="16" s="1"/>
  <c r="D7" i="16"/>
  <c r="D16" i="16" s="1"/>
  <c r="E7" i="16"/>
  <c r="E16" i="16" s="1"/>
  <c r="F7" i="16"/>
  <c r="F16" i="16" s="1"/>
  <c r="B7" i="16"/>
  <c r="B16" i="16" s="1"/>
  <c r="Z21" i="4"/>
  <c r="AA21" i="4"/>
  <c r="AB21" i="4"/>
  <c r="AC21" i="4"/>
  <c r="AD21" i="4"/>
  <c r="Z22" i="4"/>
  <c r="AA22" i="4"/>
  <c r="AB22" i="4"/>
  <c r="AC22" i="4"/>
  <c r="AD22" i="4"/>
  <c r="Z23" i="4"/>
  <c r="AA23" i="4"/>
  <c r="AB23" i="4"/>
  <c r="AC23" i="4"/>
  <c r="AD23" i="4"/>
  <c r="Z24" i="4"/>
  <c r="AA24" i="4"/>
  <c r="AB24" i="4"/>
  <c r="AC24" i="4"/>
  <c r="AD24" i="4"/>
  <c r="Z28" i="4"/>
  <c r="AA28" i="4"/>
  <c r="AB28" i="4"/>
  <c r="AC28" i="4"/>
  <c r="AD28" i="4"/>
  <c r="Z29" i="4"/>
  <c r="AA29" i="4"/>
  <c r="AB29" i="4"/>
  <c r="AC29" i="4"/>
  <c r="AD29" i="4"/>
  <c r="Z30" i="4"/>
  <c r="AA30" i="4"/>
  <c r="AB30" i="4"/>
  <c r="AC30" i="4"/>
  <c r="AD30" i="4"/>
  <c r="Z31" i="4"/>
  <c r="AA31" i="4"/>
  <c r="AB31" i="4"/>
  <c r="AC31" i="4"/>
  <c r="AD31" i="4"/>
  <c r="Z32" i="4"/>
  <c r="AA32" i="4"/>
  <c r="AB32" i="4"/>
  <c r="AC32" i="4"/>
  <c r="AD32" i="4"/>
  <c r="Z33" i="4"/>
  <c r="AA33" i="4"/>
  <c r="AB33" i="4"/>
  <c r="AC33" i="4"/>
  <c r="AD33" i="4"/>
  <c r="Z37" i="4"/>
  <c r="AA37" i="4"/>
  <c r="AB37" i="4"/>
  <c r="AC37" i="4"/>
  <c r="AD37" i="4"/>
  <c r="Z38" i="4"/>
  <c r="AA38" i="4"/>
  <c r="AB38" i="4"/>
  <c r="AC38" i="4"/>
  <c r="AD38" i="4"/>
  <c r="Z39" i="4"/>
  <c r="AA39" i="4"/>
  <c r="AB39" i="4"/>
  <c r="AC39" i="4"/>
  <c r="AD39" i="4"/>
  <c r="Z40" i="4"/>
  <c r="AA40" i="4"/>
  <c r="AB40" i="4"/>
  <c r="AC40" i="4"/>
  <c r="AD40" i="4"/>
  <c r="Z41" i="4"/>
  <c r="AA41" i="4"/>
  <c r="AB41" i="4"/>
  <c r="AC41" i="4"/>
  <c r="AD41" i="4"/>
  <c r="Z42" i="4"/>
  <c r="AA42" i="4"/>
  <c r="AB42" i="4"/>
  <c r="AC42" i="4"/>
  <c r="AD42" i="4"/>
  <c r="Z46" i="4"/>
  <c r="AA46" i="4"/>
  <c r="AB46" i="4"/>
  <c r="AC46" i="4"/>
  <c r="AD46" i="4"/>
  <c r="Z47" i="4"/>
  <c r="AA47" i="4"/>
  <c r="AB47" i="4"/>
  <c r="AC47" i="4"/>
  <c r="AD47" i="4"/>
  <c r="Z48" i="4"/>
  <c r="AA48" i="4"/>
  <c r="AB48" i="4"/>
  <c r="AC48" i="4"/>
  <c r="AD48" i="4"/>
  <c r="Z14" i="4"/>
  <c r="AA14" i="4"/>
  <c r="AB14" i="4"/>
  <c r="AC14" i="4"/>
  <c r="AD14" i="4"/>
  <c r="Z15" i="4"/>
  <c r="AA15" i="4"/>
  <c r="AB15" i="4"/>
  <c r="AC15" i="4"/>
  <c r="AD15" i="4"/>
  <c r="Z16" i="4"/>
  <c r="AA16" i="4"/>
  <c r="AB16" i="4"/>
  <c r="AC16" i="4"/>
  <c r="AD16" i="4"/>
  <c r="Z17" i="4"/>
  <c r="AA17" i="4"/>
  <c r="AB17" i="4"/>
  <c r="AC17" i="4"/>
  <c r="AD17" i="4"/>
  <c r="AA13" i="4"/>
  <c r="AB13" i="4"/>
  <c r="AC13" i="4"/>
  <c r="AD13" i="4"/>
  <c r="Z13" i="4"/>
  <c r="R38" i="4"/>
  <c r="S38" i="4"/>
  <c r="T38" i="4"/>
  <c r="U38" i="4"/>
  <c r="V38" i="4"/>
  <c r="W38" i="4"/>
  <c r="R39" i="4"/>
  <c r="S39" i="4"/>
  <c r="T39" i="4"/>
  <c r="U39" i="4"/>
  <c r="V39" i="4"/>
  <c r="W39" i="4"/>
  <c r="R40" i="4"/>
  <c r="S40" i="4"/>
  <c r="T40" i="4"/>
  <c r="U40" i="4"/>
  <c r="V40" i="4"/>
  <c r="W40" i="4"/>
  <c r="R41" i="4"/>
  <c r="S41" i="4"/>
  <c r="T41" i="4"/>
  <c r="U41" i="4"/>
  <c r="V41" i="4"/>
  <c r="W41" i="4"/>
  <c r="R42" i="4"/>
  <c r="S42" i="4"/>
  <c r="T42" i="4"/>
  <c r="U42" i="4"/>
  <c r="V42" i="4"/>
  <c r="W42" i="4"/>
  <c r="S37" i="4"/>
  <c r="T37" i="4"/>
  <c r="U37" i="4"/>
  <c r="V37" i="4"/>
  <c r="W37" i="4"/>
  <c r="R37" i="4"/>
  <c r="R47" i="4"/>
  <c r="S47" i="4"/>
  <c r="T47" i="4"/>
  <c r="U47" i="4"/>
  <c r="V47" i="4"/>
  <c r="W47" i="4"/>
  <c r="R48" i="4"/>
  <c r="S48" i="4"/>
  <c r="T48" i="4"/>
  <c r="U48" i="4"/>
  <c r="V48" i="4"/>
  <c r="W48" i="4"/>
  <c r="S46" i="4"/>
  <c r="T46" i="4"/>
  <c r="U46" i="4"/>
  <c r="V46" i="4"/>
  <c r="W46" i="4"/>
  <c r="R46" i="4"/>
  <c r="S28" i="4"/>
  <c r="T28" i="4"/>
  <c r="U28" i="4"/>
  <c r="V28" i="4"/>
  <c r="W28" i="4"/>
  <c r="S29" i="4"/>
  <c r="T29" i="4"/>
  <c r="U29" i="4"/>
  <c r="V29" i="4"/>
  <c r="W29" i="4"/>
  <c r="S30" i="4"/>
  <c r="T30" i="4"/>
  <c r="U30" i="4"/>
  <c r="V30" i="4"/>
  <c r="W30" i="4"/>
  <c r="S31" i="4"/>
  <c r="T31" i="4"/>
  <c r="U31" i="4"/>
  <c r="V31" i="4"/>
  <c r="W31" i="4"/>
  <c r="S32" i="4"/>
  <c r="T32" i="4"/>
  <c r="U32" i="4"/>
  <c r="V32" i="4"/>
  <c r="W32" i="4"/>
  <c r="S33" i="4"/>
  <c r="T33" i="4"/>
  <c r="U33" i="4"/>
  <c r="V33" i="4"/>
  <c r="W33" i="4"/>
  <c r="R29" i="4"/>
  <c r="R30" i="4"/>
  <c r="R31" i="4"/>
  <c r="R32" i="4"/>
  <c r="R33" i="4"/>
  <c r="R28" i="4"/>
  <c r="S21" i="4"/>
  <c r="T21" i="4"/>
  <c r="U21" i="4"/>
  <c r="V21" i="4"/>
  <c r="W21" i="4"/>
  <c r="S22" i="4"/>
  <c r="T22" i="4"/>
  <c r="U22" i="4"/>
  <c r="V22" i="4"/>
  <c r="W22" i="4"/>
  <c r="S23" i="4"/>
  <c r="T23" i="4"/>
  <c r="U23" i="4"/>
  <c r="V23" i="4"/>
  <c r="W23" i="4"/>
  <c r="S24" i="4"/>
  <c r="T24" i="4"/>
  <c r="U24" i="4"/>
  <c r="V24" i="4"/>
  <c r="W24" i="4"/>
  <c r="R22" i="4"/>
  <c r="R23" i="4"/>
  <c r="R24" i="4"/>
  <c r="R21" i="4"/>
  <c r="S13" i="4"/>
  <c r="T13" i="4"/>
  <c r="U13" i="4"/>
  <c r="V13" i="4"/>
  <c r="W13" i="4"/>
  <c r="S14" i="4"/>
  <c r="T14" i="4"/>
  <c r="U14" i="4"/>
  <c r="V14" i="4"/>
  <c r="W14" i="4"/>
  <c r="S15" i="4"/>
  <c r="T15" i="4"/>
  <c r="U15" i="4"/>
  <c r="V15" i="4"/>
  <c r="W15" i="4"/>
  <c r="S16" i="4"/>
  <c r="T16" i="4"/>
  <c r="U16" i="4"/>
  <c r="V16" i="4"/>
  <c r="W16" i="4"/>
  <c r="S17" i="4"/>
  <c r="T17" i="4"/>
  <c r="U17" i="4"/>
  <c r="V17" i="4"/>
  <c r="W17" i="4"/>
  <c r="R14" i="4"/>
  <c r="R15" i="4"/>
  <c r="R16" i="4"/>
  <c r="R17" i="4"/>
  <c r="R13" i="4"/>
  <c r="AP527" i="1"/>
  <c r="AP1239" i="1"/>
  <c r="AP313" i="1"/>
  <c r="AP1789" i="1"/>
  <c r="AP809" i="1"/>
  <c r="AP730" i="1"/>
  <c r="AP920" i="1"/>
  <c r="AP1593" i="1"/>
  <c r="AP1722" i="1"/>
  <c r="AP2019" i="1"/>
  <c r="AP1912" i="1"/>
  <c r="AP457" i="1"/>
  <c r="AP855" i="1"/>
  <c r="AP1646" i="1"/>
  <c r="AP147" i="1"/>
  <c r="AP1317" i="1"/>
  <c r="AP1079" i="1"/>
  <c r="AP477" i="1"/>
  <c r="AP1582" i="1"/>
  <c r="AP1016" i="1"/>
  <c r="AP2022" i="1"/>
  <c r="AP892" i="1"/>
  <c r="AP679" i="1"/>
  <c r="AP1442" i="1"/>
  <c r="AP1660" i="1"/>
  <c r="AP971" i="1"/>
  <c r="AP1407" i="1"/>
  <c r="AP84" i="1"/>
  <c r="AP1813" i="1"/>
  <c r="AP1021" i="1"/>
  <c r="AP1387" i="1"/>
  <c r="AP1236" i="1"/>
  <c r="AP384" i="1"/>
  <c r="AP1146" i="1"/>
  <c r="AP599" i="1"/>
  <c r="AP1873" i="1"/>
  <c r="AP1321" i="1"/>
  <c r="AP773" i="1"/>
  <c r="AP379" i="1"/>
  <c r="AP1919" i="1"/>
  <c r="AP1931" i="1"/>
  <c r="AP2012" i="1"/>
  <c r="AP152" i="1"/>
  <c r="AP1877" i="1"/>
  <c r="AP1350" i="1"/>
  <c r="AP529" i="1"/>
  <c r="AP673" i="1"/>
  <c r="AP190" i="1"/>
  <c r="AP1532" i="1"/>
  <c r="AP95" i="1"/>
  <c r="AP603" i="1"/>
  <c r="AP135" i="1"/>
  <c r="AP342" i="1"/>
  <c r="AP1750" i="1"/>
  <c r="AP919" i="1"/>
  <c r="AP214" i="1"/>
  <c r="AP602" i="1"/>
  <c r="AP790" i="1"/>
  <c r="AP621" i="1"/>
  <c r="AP359" i="1"/>
  <c r="AP1839" i="1"/>
  <c r="AP1677" i="1"/>
  <c r="AP255" i="1"/>
  <c r="AP581" i="1"/>
  <c r="AP479" i="1"/>
  <c r="AP397" i="1"/>
  <c r="AP676" i="1"/>
  <c r="AP761" i="1"/>
  <c r="AP1378" i="1"/>
  <c r="AP1380" i="1"/>
  <c r="AP240" i="1"/>
  <c r="AP223" i="1"/>
  <c r="AP1368" i="1"/>
  <c r="AP557" i="1"/>
  <c r="AP1711" i="1"/>
  <c r="AP1830" i="1"/>
  <c r="AP1881" i="1"/>
  <c r="AP102" i="1"/>
  <c r="AP1776" i="1"/>
  <c r="AP1543" i="1"/>
  <c r="AP1105" i="1"/>
  <c r="AP165" i="1"/>
  <c r="AP970" i="1"/>
  <c r="AP1326" i="1"/>
  <c r="AP1884" i="1"/>
  <c r="AP1705" i="1"/>
  <c r="AP1163" i="1"/>
  <c r="AP1031" i="1"/>
  <c r="AP216" i="1"/>
  <c r="AP647" i="1"/>
  <c r="AP1166" i="1"/>
  <c r="AP1636" i="1"/>
  <c r="AP296" i="1"/>
  <c r="AP428" i="1"/>
  <c r="AP63" i="1"/>
  <c r="AP1847" i="1"/>
  <c r="AP1123" i="1"/>
  <c r="AP1017" i="1"/>
  <c r="AP1435" i="1"/>
  <c r="AP52" i="1"/>
  <c r="AP424" i="1"/>
  <c r="AP341" i="1"/>
  <c r="AP897" i="1"/>
  <c r="AP54" i="1"/>
  <c r="AP1241" i="1"/>
  <c r="AP1070" i="1"/>
  <c r="AP36" i="1"/>
  <c r="AP1499" i="1"/>
  <c r="AP1729" i="1"/>
  <c r="AP1922" i="1"/>
  <c r="AP951" i="1"/>
  <c r="AP1675" i="1"/>
  <c r="AP1930" i="1"/>
  <c r="AP1699" i="1"/>
  <c r="AP4" i="1"/>
  <c r="AP317" i="1"/>
  <c r="AP140" i="1"/>
  <c r="AP1005" i="1"/>
  <c r="AP459" i="1"/>
  <c r="AP749" i="1"/>
  <c r="AP788" i="1"/>
  <c r="AP274" i="1"/>
  <c r="AP1372" i="1"/>
  <c r="AP444" i="1"/>
  <c r="AP2003" i="1"/>
  <c r="AP1655" i="1"/>
  <c r="AP1545" i="1"/>
  <c r="AP1528" i="1"/>
  <c r="AP13" i="1"/>
  <c r="AP638" i="1"/>
  <c r="AP70" i="1"/>
  <c r="AP573" i="1"/>
  <c r="AP1288" i="1"/>
  <c r="AP786" i="1"/>
  <c r="AP1871" i="1"/>
  <c r="AP1426" i="1"/>
  <c r="AP1551" i="1"/>
  <c r="AP693" i="1"/>
  <c r="AP851" i="1"/>
  <c r="AP637" i="1"/>
  <c r="AP1184" i="1"/>
  <c r="AP1561" i="1"/>
  <c r="AP805" i="1"/>
  <c r="AP373" i="1"/>
  <c r="AP1111" i="1"/>
  <c r="AP770" i="1"/>
  <c r="AP913" i="1"/>
  <c r="AP185" i="1"/>
  <c r="AP1756" i="1"/>
  <c r="AP368" i="1"/>
  <c r="AP1870" i="1"/>
  <c r="AP259" i="1"/>
  <c r="AP1301" i="1"/>
  <c r="AP475" i="1"/>
  <c r="AP645" i="1"/>
  <c r="AP362" i="1"/>
  <c r="AP1859" i="1"/>
  <c r="AP1649" i="1"/>
  <c r="AP1746" i="1"/>
  <c r="AP1063" i="1"/>
  <c r="AP1011" i="1"/>
  <c r="AP1037" i="1"/>
  <c r="AP380" i="1"/>
  <c r="AP118" i="1"/>
  <c r="AP1447" i="1"/>
  <c r="AP1498" i="1"/>
  <c r="AP1022" i="1"/>
  <c r="AP1964" i="1"/>
  <c r="AP405" i="1"/>
  <c r="AP1694" i="1"/>
  <c r="AP1348" i="1"/>
  <c r="AP1824" i="1"/>
  <c r="AP1674" i="1"/>
  <c r="AP769" i="1"/>
  <c r="AP261" i="1"/>
  <c r="AP1233" i="1"/>
  <c r="AP1844" i="1"/>
  <c r="AP360" i="1"/>
  <c r="AP1392" i="1"/>
  <c r="AP1047" i="1"/>
  <c r="AP1684" i="1"/>
  <c r="AP327" i="1"/>
  <c r="AP189" i="1"/>
  <c r="AP71" i="1"/>
  <c r="AP1159" i="1"/>
  <c r="AP592" i="1"/>
  <c r="AP232" i="1"/>
  <c r="AP669" i="1"/>
  <c r="AP6" i="1"/>
  <c r="AP1405" i="1"/>
  <c r="AP1607" i="1"/>
  <c r="AP1708" i="1"/>
  <c r="AP1136" i="1"/>
  <c r="AP1261" i="1"/>
  <c r="AP702" i="1"/>
  <c r="AP1242" i="1"/>
  <c r="AP220" i="1"/>
  <c r="AP1265" i="1"/>
  <c r="AP1189" i="1"/>
  <c r="AP295" i="1"/>
  <c r="AP1338" i="1"/>
  <c r="AP1003" i="1"/>
  <c r="AP120" i="1"/>
  <c r="AP1302" i="1"/>
  <c r="AP545" i="1"/>
  <c r="AP1169" i="1"/>
  <c r="AP292" i="1"/>
  <c r="AP433" i="1"/>
  <c r="AP1697" i="1"/>
  <c r="AP699" i="1"/>
  <c r="AP1319" i="1"/>
  <c r="AP1034" i="1"/>
  <c r="AP1074" i="1"/>
  <c r="AP159" i="1"/>
  <c r="AP1563" i="1"/>
  <c r="AP1520" i="1"/>
  <c r="AP376" i="1"/>
  <c r="AP1454" i="1"/>
  <c r="AP1796" i="1"/>
  <c r="AP727" i="1"/>
  <c r="AP1907" i="1"/>
  <c r="AP1863" i="1"/>
  <c r="AP412" i="1"/>
  <c r="AP2013" i="1"/>
  <c r="AP275" i="1"/>
  <c r="AP680" i="1"/>
  <c r="AP1903" i="1"/>
  <c r="AP239" i="1"/>
  <c r="AP795" i="1"/>
  <c r="AP1710" i="1"/>
  <c r="AP390" i="1"/>
  <c r="AP500" i="1"/>
  <c r="AP352" i="1"/>
  <c r="AP655" i="1"/>
  <c r="AP1698" i="1"/>
  <c r="AP1704" i="1"/>
  <c r="AP5" i="1"/>
  <c r="AP1420" i="1"/>
  <c r="AP469" i="1"/>
  <c r="AP1706" i="1"/>
  <c r="AP718" i="1"/>
  <c r="AP1227" i="1"/>
  <c r="AP1960" i="1"/>
  <c r="AP1423" i="1"/>
  <c r="AP1982" i="1"/>
  <c r="AP561" i="1"/>
  <c r="AP1267" i="1"/>
  <c r="AP1458" i="1"/>
  <c r="AP1333" i="1"/>
  <c r="AP1478" i="1"/>
  <c r="AP177" i="1"/>
  <c r="AP1470" i="1"/>
  <c r="AP280" i="1"/>
  <c r="AP1917" i="1"/>
  <c r="AP371" i="1"/>
  <c r="AP1652" i="1"/>
  <c r="AP725" i="1"/>
  <c r="AP1779" i="1"/>
  <c r="AP1657" i="1"/>
  <c r="AP635" i="1"/>
  <c r="AP499" i="1"/>
  <c r="AP187" i="1"/>
  <c r="AP309" i="1"/>
  <c r="AP686" i="1"/>
  <c r="AP1845" i="1"/>
  <c r="AP620" i="1"/>
  <c r="AP1244" i="1"/>
  <c r="AP1715" i="1"/>
  <c r="AP269" i="1"/>
  <c r="AP1092" i="1"/>
  <c r="AP174" i="1"/>
  <c r="AP1145" i="1"/>
  <c r="AP1141" i="1"/>
  <c r="AP1464" i="1"/>
  <c r="AP92" i="1"/>
  <c r="AP1977" i="1"/>
  <c r="AP1762" i="1"/>
  <c r="AP957" i="1"/>
  <c r="AP1510" i="1"/>
  <c r="AP1278" i="1"/>
  <c r="AP343" i="1"/>
  <c r="AP868" i="1"/>
  <c r="AP1613" i="1"/>
  <c r="AP861" i="1"/>
  <c r="AP1162" i="1"/>
  <c r="AP1354" i="1"/>
  <c r="AP1852" i="1"/>
  <c r="AP158" i="1"/>
  <c r="AP1379" i="1"/>
  <c r="AP241" i="1"/>
  <c r="AP689" i="1"/>
  <c r="AP819" i="1"/>
  <c r="AP1996" i="1"/>
  <c r="AP1911" i="1"/>
  <c r="AP308" i="1"/>
  <c r="AP973" i="1"/>
  <c r="AP1795" i="1"/>
  <c r="AP1390" i="1"/>
  <c r="AP584" i="1"/>
  <c r="AP1765" i="1"/>
  <c r="AP660" i="1"/>
  <c r="AP1594" i="1"/>
  <c r="AP1178" i="1"/>
  <c r="AP691" i="1"/>
  <c r="AP1443" i="1"/>
  <c r="AP476" i="1"/>
  <c r="AP1988" i="1"/>
  <c r="AP1778" i="1"/>
  <c r="AP1010" i="1"/>
  <c r="AP1700" i="1"/>
  <c r="AP1851" i="1"/>
  <c r="AP1075" i="1"/>
  <c r="AP656" i="1"/>
  <c r="AP1577" i="1"/>
  <c r="AP1895" i="1"/>
  <c r="AP752" i="1"/>
  <c r="AP238" i="1"/>
  <c r="AP1718" i="1"/>
  <c r="AP111" i="1"/>
  <c r="AP333" i="1"/>
  <c r="AP880" i="1"/>
  <c r="AP940" i="1"/>
  <c r="AP865" i="1"/>
  <c r="AP1797" i="1"/>
  <c r="AP136" i="1"/>
  <c r="AP1277" i="1"/>
  <c r="AP79" i="1"/>
  <c r="AP1731" i="1"/>
  <c r="AP1627" i="1"/>
  <c r="AP555" i="1"/>
  <c r="AP502" i="1"/>
  <c r="AP346" i="1"/>
  <c r="AP289" i="1"/>
  <c r="AP780" i="1"/>
  <c r="AP1431" i="1"/>
  <c r="AP1098" i="1"/>
  <c r="AP364" i="1"/>
  <c r="AP445" i="1"/>
  <c r="AP1248" i="1"/>
  <c r="AP206" i="1"/>
  <c r="AP732" i="1"/>
  <c r="AP1764" i="1"/>
  <c r="AP1053" i="1"/>
  <c r="AP949" i="1"/>
  <c r="AP188" i="1"/>
  <c r="AP1678" i="1"/>
  <c r="AP310" i="1"/>
  <c r="AP997" i="1"/>
  <c r="AP1511" i="1"/>
  <c r="AP1121" i="1"/>
  <c r="AP1751" i="1"/>
  <c r="AP692" i="1"/>
  <c r="AP1451" i="1"/>
  <c r="AP1182" i="1"/>
  <c r="AP1518" i="1"/>
  <c r="AP1683" i="1"/>
  <c r="AP640" i="1"/>
  <c r="AP1721" i="1"/>
  <c r="AP1637" i="1"/>
  <c r="AP1925" i="1"/>
  <c r="AP1406" i="1"/>
  <c r="AP1505" i="1"/>
  <c r="AP2002" i="1"/>
  <c r="AP1282" i="1"/>
  <c r="AP721" i="1"/>
  <c r="AP1512" i="1"/>
  <c r="AP351" i="1"/>
  <c r="AP34" i="1"/>
  <c r="AP696" i="1"/>
  <c r="AP224" i="1"/>
  <c r="AP703" i="1"/>
  <c r="AP542" i="1"/>
  <c r="AP325" i="1"/>
  <c r="AP1275" i="1"/>
  <c r="AP1979" i="1"/>
  <c r="AP1855" i="1"/>
  <c r="AP1987" i="1"/>
  <c r="AP1739" i="1"/>
  <c r="AP254" i="1"/>
  <c r="AP1318" i="1"/>
  <c r="AP1279" i="1"/>
  <c r="AP960" i="1"/>
  <c r="AP1149" i="1"/>
  <c r="AP1800" i="1"/>
  <c r="AP623" i="1"/>
  <c r="AP1723" i="1"/>
  <c r="AP1078" i="1"/>
  <c r="AP1865" i="1"/>
  <c r="AP955" i="1"/>
  <c r="AP654" i="1"/>
  <c r="AP1128" i="1"/>
  <c r="AP487" i="1"/>
  <c r="AP272" i="1"/>
  <c r="AP1940" i="1"/>
  <c r="AP113" i="1"/>
  <c r="AP27" i="1"/>
  <c r="AP1094" i="1"/>
  <c r="AP1483" i="1"/>
  <c r="AP1946" i="1"/>
  <c r="AP100" i="1"/>
  <c r="AP37" i="1"/>
  <c r="AP1158" i="1"/>
  <c r="AP14" i="1"/>
  <c r="AP441" i="1"/>
  <c r="AP1999" i="1"/>
  <c r="AP758" i="1"/>
  <c r="AP85" i="1"/>
  <c r="AP1268" i="1"/>
  <c r="AP604" i="1"/>
  <c r="AP481" i="1"/>
  <c r="AP1741" i="1"/>
  <c r="AP1085" i="1"/>
  <c r="AP606" i="1"/>
  <c r="AP1091" i="1"/>
  <c r="AP1680" i="1"/>
  <c r="AP2006" i="1"/>
  <c r="AP1734" i="1"/>
  <c r="AP958" i="1"/>
  <c r="AP1738" i="1"/>
  <c r="AP1599" i="1"/>
  <c r="AP1525" i="1"/>
  <c r="AP1316" i="1"/>
  <c r="AP144" i="1"/>
  <c r="AP1868" i="1"/>
  <c r="AP959" i="1"/>
  <c r="AP898" i="1"/>
  <c r="AP894" i="1"/>
  <c r="AP1533" i="1"/>
  <c r="AP522" i="1"/>
  <c r="AP610" i="1"/>
  <c r="AP1438" i="1"/>
  <c r="AP45" i="1"/>
  <c r="AP1289" i="1"/>
  <c r="AP1119" i="1"/>
  <c r="AP369" i="1"/>
  <c r="AP793" i="1"/>
  <c r="AP365" i="1"/>
  <c r="AP1096" i="1"/>
  <c r="AP1632" i="1"/>
  <c r="AP385" i="1"/>
  <c r="AP267" i="1"/>
  <c r="AP1689" i="1"/>
  <c r="AP1027" i="1"/>
  <c r="AP1100" i="1"/>
  <c r="AP735" i="1"/>
  <c r="AP1462" i="1"/>
  <c r="AP847" i="1"/>
  <c r="AP1439" i="1"/>
  <c r="AP1916" i="1"/>
  <c r="AP754" i="1"/>
  <c r="AP1345" i="1"/>
  <c r="AP901" i="1"/>
  <c r="AP731" i="1"/>
  <c r="AP1346" i="1"/>
  <c r="AP1437" i="1"/>
  <c r="AP1475" i="1"/>
  <c r="AP1663" i="1"/>
  <c r="AP1287" i="1"/>
  <c r="AP114" i="1"/>
  <c r="AP196" i="1"/>
  <c r="AP639" i="1"/>
  <c r="AP783" i="1"/>
  <c r="AP1994" i="1"/>
  <c r="AP1371" i="1"/>
  <c r="AP426" i="1"/>
  <c r="AP1168" i="1"/>
  <c r="AP256" i="1"/>
  <c r="AP853" i="1"/>
  <c r="AP594" i="1"/>
  <c r="AP827" i="1"/>
  <c r="AP907" i="1"/>
  <c r="AP409" i="1"/>
  <c r="AP619" i="1"/>
  <c r="AP442" i="1"/>
  <c r="AP1849" i="1"/>
  <c r="AP1151" i="1"/>
  <c r="AP1401" i="1"/>
  <c r="AP634" i="1"/>
  <c r="AP613" i="1"/>
  <c r="AP614" i="1"/>
  <c r="AP101" i="1"/>
  <c r="AP1054" i="1"/>
  <c r="AP787" i="1"/>
  <c r="AP1384" i="1"/>
  <c r="AP765" i="1"/>
  <c r="AP1129" i="1"/>
  <c r="AP53" i="1"/>
  <c r="AP1342" i="1"/>
  <c r="AP122" i="1"/>
  <c r="AP1568" i="1"/>
  <c r="AP1790" i="1"/>
  <c r="AP331" i="1"/>
  <c r="AP202" i="1"/>
  <c r="AP1737" i="1"/>
  <c r="AP251" i="1"/>
  <c r="AP824" i="1"/>
  <c r="AP356" i="1"/>
  <c r="AP1806" i="1"/>
  <c r="AP1609" i="1"/>
  <c r="AP217" i="1"/>
  <c r="AP653" i="1"/>
  <c r="AP467" i="1"/>
  <c r="AP1132" i="1"/>
  <c r="AP1135" i="1"/>
  <c r="AP509" i="1"/>
  <c r="AP833" i="1"/>
  <c r="AP667" i="1"/>
  <c r="AP1747" i="1"/>
  <c r="AP1220" i="1"/>
  <c r="AP1252" i="1"/>
  <c r="AP218" i="1"/>
  <c r="AP921" i="1"/>
  <c r="AP1880" i="1"/>
  <c r="AP1834" i="1"/>
  <c r="AP1286" i="1"/>
  <c r="AP1271" i="1"/>
  <c r="AP72" i="1"/>
  <c r="AP950" i="1"/>
  <c r="AP1822" i="1"/>
  <c r="AP75" i="1"/>
  <c r="AP1116" i="1"/>
  <c r="AP1948" i="1"/>
  <c r="AP1799" i="1"/>
  <c r="AP1444" i="1"/>
  <c r="AP1894" i="1"/>
  <c r="AP778" i="1"/>
  <c r="AP1550" i="1"/>
  <c r="AP168" i="1"/>
  <c r="AP1344" i="1"/>
  <c r="AP923" i="1"/>
  <c r="AP137" i="1"/>
  <c r="AP1753" i="1"/>
  <c r="AP287" i="1"/>
  <c r="AP1624" i="1"/>
  <c r="AP109" i="1"/>
  <c r="AP523" i="1"/>
  <c r="AP722" i="1"/>
  <c r="AP1134" i="1"/>
  <c r="AP1066" i="1"/>
  <c r="AP628" i="1"/>
  <c r="AP1794" i="1"/>
  <c r="AP1126" i="1"/>
  <c r="AP1468" i="1"/>
  <c r="AP1231" i="1"/>
  <c r="AP1465" i="1"/>
  <c r="AP1433" i="1"/>
  <c r="AP670" i="1"/>
  <c r="AP1474" i="1"/>
  <c r="AP715" i="1"/>
  <c r="AP1055" i="1"/>
  <c r="AP1995" i="1"/>
  <c r="AP1161" i="1"/>
  <c r="AP989" i="1"/>
  <c r="AP1222" i="1"/>
  <c r="AP1150" i="1"/>
  <c r="AP1411" i="1"/>
  <c r="AP1385" i="1"/>
  <c r="AP1811" i="1"/>
  <c r="AP194" i="1"/>
  <c r="AP764" i="1"/>
  <c r="AP1013" i="1"/>
  <c r="AP1493" i="1"/>
  <c r="AP1374" i="1"/>
  <c r="AP23" i="1"/>
  <c r="AP345" i="1"/>
  <c r="AP1621" i="1"/>
  <c r="AP485" i="1"/>
  <c r="AP1963" i="1"/>
  <c r="AP1882" i="1"/>
  <c r="AP1337" i="1"/>
  <c r="AP1810" i="1"/>
  <c r="AP1682" i="1"/>
  <c r="AP1761" i="1"/>
  <c r="AP736" i="1"/>
  <c r="AP306" i="1"/>
  <c r="AP804" i="1"/>
  <c r="AP1103" i="1"/>
  <c r="AP1890" i="1"/>
  <c r="AP1862" i="1"/>
  <c r="AP1707" i="1"/>
  <c r="AP143" i="1"/>
  <c r="AP1373" i="1"/>
  <c r="AP887" i="1"/>
  <c r="AP1950" i="1"/>
  <c r="AP726" i="1"/>
  <c r="AP1202" i="1"/>
  <c r="AP1575" i="1"/>
  <c r="AP943" i="1"/>
  <c r="AP1748" i="1"/>
  <c r="AP984" i="1"/>
  <c r="AP1209" i="1"/>
  <c r="AP330" i="1"/>
  <c r="AP1482" i="1"/>
  <c r="AP312" i="1"/>
  <c r="AP1992" i="1"/>
  <c r="AP329" i="1"/>
  <c r="AP552" i="1"/>
  <c r="AP1586" i="1"/>
  <c r="AP1757" i="1"/>
  <c r="AP566" i="1"/>
  <c r="AP414" i="1"/>
  <c r="AP1224" i="1"/>
  <c r="AP83" i="1"/>
  <c r="AP1229" i="1"/>
  <c r="AP99" i="1"/>
  <c r="AP925" i="1"/>
  <c r="AP750" i="1"/>
  <c r="AP498" i="1"/>
  <c r="AP266" i="1"/>
  <c r="AP738" i="1"/>
  <c r="AP1230" i="1"/>
  <c r="AP235" i="1"/>
  <c r="AP1181" i="1"/>
  <c r="AP3" i="1"/>
  <c r="AP935" i="1"/>
  <c r="AP401" i="1"/>
  <c r="AP632" i="1"/>
  <c r="AP8" i="1"/>
  <c r="AP1732" i="1"/>
  <c r="AP587" i="1"/>
  <c r="AP1114" i="1"/>
  <c r="AP1137" i="1"/>
  <c r="AP799" i="1"/>
  <c r="AP532" i="1"/>
  <c r="AP1190" i="1"/>
  <c r="AP922" i="1"/>
  <c r="AP825" i="1"/>
  <c r="AP1369" i="1"/>
  <c r="AP1793" i="1"/>
  <c r="AP1687" i="1"/>
  <c r="AP1228" i="1"/>
  <c r="AP1908" i="1"/>
  <c r="AP1767" i="1"/>
  <c r="AP946" i="1"/>
  <c r="AP826" i="1"/>
  <c r="AP835" i="1"/>
  <c r="AP609" i="1"/>
  <c r="AP421" i="1"/>
  <c r="AP1805" i="1"/>
  <c r="AP386" i="1"/>
  <c r="AP315" i="1"/>
  <c r="AP1491" i="1"/>
  <c r="AP389" i="1"/>
  <c r="AP593" i="1"/>
  <c r="AP363" i="1"/>
  <c r="AP904" i="1"/>
  <c r="AP1485" i="1"/>
  <c r="AP398" i="1"/>
  <c r="AP605" i="1"/>
  <c r="AP60" i="1"/>
  <c r="AP175" i="1"/>
  <c r="AP348" i="1"/>
  <c r="AP1082" i="1"/>
  <c r="AP470" i="1"/>
  <c r="AP1360" i="1"/>
  <c r="AP1842" i="1"/>
  <c r="AP1218" i="1"/>
  <c r="AP759" i="1"/>
  <c r="AP1050" i="1"/>
  <c r="AP1866" i="1"/>
  <c r="AP806" i="1"/>
  <c r="AP205" i="1"/>
  <c r="AP402" i="1"/>
  <c r="AP513" i="1"/>
  <c r="AP521" i="1"/>
  <c r="AP28" i="1"/>
  <c r="AP1364" i="1"/>
  <c r="AP1567" i="1"/>
  <c r="AP1351" i="1"/>
  <c r="AP672" i="1"/>
  <c r="AP1815" i="1"/>
  <c r="AP945" i="1"/>
  <c r="AP1628" i="1"/>
  <c r="AP530" i="1"/>
  <c r="AP1049" i="1"/>
  <c r="AP212" i="1"/>
  <c r="AP62" i="1"/>
  <c r="AP1817" i="1"/>
  <c r="AP828" i="1"/>
  <c r="AP1269" i="1"/>
  <c r="AP486" i="1"/>
  <c r="AP519" i="1"/>
  <c r="AP1939" i="1"/>
  <c r="AP305" i="1"/>
  <c r="AP2011" i="1"/>
  <c r="AP182" i="1"/>
  <c r="AP236" i="1"/>
  <c r="AP899" i="1"/>
  <c r="AP31" i="1"/>
  <c r="AP1617" i="1"/>
  <c r="AP1029" i="1"/>
  <c r="AP1304" i="1"/>
  <c r="AP231" i="1"/>
  <c r="AP336" i="1"/>
  <c r="AP589" i="1"/>
  <c r="AP570" i="1"/>
  <c r="AP1952" i="1"/>
  <c r="AP709" i="1"/>
  <c r="AP717" i="1"/>
  <c r="AP1630" i="1"/>
  <c r="AP1164" i="1"/>
  <c r="AP1429" i="1"/>
  <c r="AP121" i="1"/>
  <c r="AP115" i="1"/>
  <c r="AP1971" i="1"/>
  <c r="AP273" i="1"/>
  <c r="AP1629" i="1"/>
  <c r="AP456" i="1"/>
  <c r="AP89" i="1"/>
  <c r="AP1064" i="1"/>
  <c r="AP141" i="1"/>
  <c r="AP226" i="1"/>
  <c r="AP408" i="1"/>
  <c r="AP723" i="1"/>
  <c r="AP846" i="1"/>
  <c r="AP1352" i="1"/>
  <c r="AP1477" i="1"/>
  <c r="AP1524" i="1"/>
  <c r="AP406" i="1"/>
  <c r="AP164" i="1"/>
  <c r="AP1673" i="1"/>
  <c r="AP271" i="1"/>
  <c r="AP1153" i="1"/>
  <c r="AP234" i="1"/>
  <c r="AP357" i="1"/>
  <c r="AP1188" i="1"/>
  <c r="AP771" i="1"/>
  <c r="AP505" i="1"/>
  <c r="AP210" i="1"/>
  <c r="AP1332" i="1"/>
  <c r="AP1622" i="1"/>
  <c r="AP2017" i="1"/>
  <c r="AP1413" i="1"/>
  <c r="AP1400" i="1"/>
  <c r="AP277" i="1"/>
  <c r="AP1080" i="1"/>
  <c r="AP511" i="1"/>
  <c r="AP302" i="1"/>
  <c r="AP1515" i="1"/>
  <c r="AP1934" i="1"/>
  <c r="AP1725" i="1"/>
  <c r="AP1693" i="1"/>
  <c r="AP1920" i="1"/>
  <c r="AP1981" i="1"/>
  <c r="AP1330" i="1"/>
  <c r="AP1259" i="1"/>
  <c r="AP1355" i="1"/>
  <c r="AP480" i="1"/>
  <c r="AP142" i="1"/>
  <c r="AP1763" i="1"/>
  <c r="AP1032" i="1"/>
  <c r="AP1217" i="1"/>
  <c r="AP829" i="1"/>
  <c r="AP568" i="1"/>
  <c r="AP802" i="1"/>
  <c r="AP265" i="1"/>
  <c r="AP1953" i="1"/>
  <c r="AP737" i="1"/>
  <c r="AP1216" i="1"/>
  <c r="AP1645" i="1"/>
  <c r="AP153" i="1"/>
  <c r="AP751" i="1"/>
  <c r="AP1068" i="1"/>
  <c r="AP883" i="1"/>
  <c r="AP963" i="1"/>
  <c r="AP798" i="1"/>
  <c r="AP507" i="1"/>
  <c r="AP1339" i="1"/>
  <c r="AP1924" i="1"/>
  <c r="AP270" i="1"/>
  <c r="AP1048" i="1"/>
  <c r="AP18" i="1"/>
  <c r="AP622" i="1"/>
  <c r="AP1703" i="1"/>
  <c r="AP1576" i="1"/>
  <c r="AP626" i="1"/>
  <c r="AP1818" i="1"/>
  <c r="AP209" i="1"/>
  <c r="AP1913" i="1"/>
  <c r="AP544" i="1"/>
  <c r="AP437" i="1"/>
  <c r="AP204" i="1"/>
  <c r="AP1504" i="1"/>
  <c r="AP394" i="1"/>
  <c r="AP1966" i="1"/>
  <c r="AP915" i="1"/>
  <c r="AP659" i="1"/>
  <c r="AP905" i="1"/>
  <c r="AP1832" i="1"/>
  <c r="AP1581" i="1"/>
  <c r="AP551" i="1"/>
  <c r="AP1087" i="1"/>
  <c r="AP110" i="1"/>
  <c r="AP1170" i="1"/>
  <c r="AP876" i="1"/>
  <c r="AP1676" i="1"/>
  <c r="AP1394" i="1"/>
  <c r="AP1937" i="1"/>
  <c r="AP123" i="1"/>
  <c r="AP130" i="1"/>
  <c r="AP431" i="1"/>
  <c r="AP965" i="1"/>
  <c r="AP1101" i="1"/>
  <c r="AP1986" i="1"/>
  <c r="AP1095" i="1"/>
  <c r="AP132" i="1"/>
  <c r="AP1730" i="1"/>
  <c r="AP1172" i="1"/>
  <c r="AP753" i="1"/>
  <c r="AP1448" i="1"/>
  <c r="AP893" i="1"/>
  <c r="AP1494" i="1"/>
  <c r="AP57" i="1"/>
  <c r="AP1897" i="1"/>
  <c r="AP1255" i="1"/>
  <c r="AP1893" i="1"/>
  <c r="AP1396" i="1"/>
  <c r="AP1073" i="1"/>
  <c r="AP843" i="1"/>
  <c r="AP1303" i="1"/>
  <c r="AP1929" i="1"/>
  <c r="AP972" i="1"/>
  <c r="AP1702" i="1"/>
  <c r="AP311" i="1"/>
  <c r="AP747" i="1"/>
  <c r="AP1914" i="1"/>
  <c r="AP1293" i="1"/>
  <c r="AP733" i="1"/>
  <c r="AP179" i="1"/>
  <c r="AP1312" i="1"/>
  <c r="AP1366" i="1"/>
  <c r="AP73" i="1"/>
  <c r="AP1965" i="1"/>
  <c r="AP1858" i="1"/>
  <c r="AP1538" i="1"/>
  <c r="AP1508" i="1"/>
  <c r="AP1025" i="1"/>
  <c r="AP116" i="1"/>
  <c r="AP1247" i="1"/>
  <c r="AP1357" i="1"/>
  <c r="AP1062" i="1"/>
  <c r="AP358" i="1"/>
  <c r="AP1681" i="1"/>
  <c r="AP1058" i="1"/>
  <c r="AP203" i="1"/>
  <c r="AP1769" i="1"/>
  <c r="AP926" i="1"/>
  <c r="AP708" i="1"/>
  <c r="AP438" i="1"/>
  <c r="AP1492" i="1"/>
  <c r="AP1891" i="1"/>
  <c r="AP155" i="1"/>
  <c r="AP962" i="1"/>
  <c r="AP382" i="1"/>
  <c r="AP524" i="1"/>
  <c r="AP822" i="1"/>
  <c r="AP66" i="1"/>
  <c r="AP67" i="1"/>
  <c r="AP1214" i="1"/>
  <c r="AP1133" i="1"/>
  <c r="AP745" i="1"/>
  <c r="AP201" i="1"/>
  <c r="AP211" i="1"/>
  <c r="AP1042" i="1"/>
  <c r="AP1559" i="1"/>
  <c r="AP9" i="1"/>
  <c r="AP466" i="1"/>
  <c r="AP297" i="1"/>
  <c r="AP1363" i="1"/>
  <c r="AP276" i="1"/>
  <c r="AP1251" i="1"/>
  <c r="AP263" i="1"/>
  <c r="AP1417" i="1"/>
  <c r="AP1667" i="1"/>
  <c r="AP334" i="1"/>
  <c r="AP1430" i="1"/>
  <c r="AP195" i="1"/>
  <c r="AP246" i="1"/>
  <c r="AP569" i="1"/>
  <c r="AP163" i="1"/>
  <c r="AP1142" i="1"/>
  <c r="AP697" i="1"/>
  <c r="AP1804" i="1"/>
  <c r="AP1651" i="1"/>
  <c r="AP301" i="1"/>
  <c r="AP591" i="1"/>
  <c r="AP932" i="1"/>
  <c r="AP763" i="1"/>
  <c r="AP698" i="1"/>
  <c r="AP931" i="1"/>
  <c r="AP96" i="1"/>
  <c r="AP22" i="1"/>
  <c r="AP1728" i="1"/>
  <c r="AP600" i="1"/>
  <c r="AP814" i="1"/>
  <c r="AP565" i="1"/>
  <c r="AP1395" i="1"/>
  <c r="AP578" i="1"/>
  <c r="AP1770" i="1"/>
  <c r="AP1007" i="1"/>
  <c r="AP1262" i="1"/>
  <c r="AP1314" i="1"/>
  <c r="AP1173" i="1"/>
  <c r="AP1969" i="1"/>
  <c r="AP808" i="1"/>
  <c r="AP1026" i="1"/>
  <c r="AP807" i="1"/>
  <c r="AP996" i="1"/>
  <c r="AP547" i="1"/>
  <c r="AP1035" i="1"/>
  <c r="AP1377" i="1"/>
  <c r="AP1383" i="1"/>
  <c r="AP1056" i="1"/>
  <c r="AP975" i="1"/>
  <c r="AP19" i="1"/>
  <c r="AP1626" i="1"/>
  <c r="AP1589" i="1"/>
  <c r="AP1238" i="1"/>
  <c r="AP65" i="1"/>
  <c r="AP1388" i="1"/>
  <c r="AP1972" i="1"/>
  <c r="AP844" i="1"/>
  <c r="AP145" i="1"/>
  <c r="AP97" i="1"/>
  <c r="AP124" i="1"/>
  <c r="AP1615" i="1"/>
  <c r="AP1041" i="1"/>
  <c r="AP1210" i="1"/>
  <c r="AP1957" i="1"/>
  <c r="AP1610" i="1"/>
  <c r="AP186" i="1"/>
  <c r="AP633" i="1"/>
  <c r="AP104" i="1"/>
  <c r="AP233" i="1"/>
  <c r="AP156" i="1"/>
  <c r="AP1616" i="1"/>
  <c r="AP82" i="1"/>
  <c r="AP1854" i="1"/>
  <c r="AP1308" i="1"/>
  <c r="AP616" i="1"/>
  <c r="AP700" i="1"/>
  <c r="AP227" i="1"/>
  <c r="AP994" i="1"/>
  <c r="AP1243" i="1"/>
  <c r="AP446" i="1"/>
  <c r="AP12" i="1"/>
  <c r="AP873" i="1"/>
  <c r="AP1878" i="1"/>
  <c r="AP1570" i="1"/>
  <c r="AP1601" i="1"/>
  <c r="AP677" i="1"/>
  <c r="AP1949" i="1"/>
  <c r="AP1548" i="1"/>
  <c r="AP420" i="1"/>
  <c r="AP1081" i="1"/>
  <c r="AP1717" i="1"/>
  <c r="AP1620" i="1"/>
  <c r="AP1463" i="1"/>
  <c r="AP518" i="1"/>
  <c r="AP328" i="1"/>
  <c r="AP579" i="1"/>
  <c r="AP1664" i="1"/>
  <c r="AP1592" i="1"/>
  <c r="AP1579" i="1"/>
  <c r="AP1768" i="1"/>
  <c r="AP705" i="1"/>
  <c r="AP1644" i="1"/>
  <c r="AP1961" i="1"/>
  <c r="AP912" i="1"/>
  <c r="AP1758" i="1"/>
  <c r="AP1980" i="1"/>
  <c r="AP1713" i="1"/>
  <c r="AP588" i="1"/>
  <c r="AP257" i="1"/>
  <c r="AP30" i="1"/>
  <c r="AP361" i="1"/>
  <c r="AP1696" i="1"/>
  <c r="AP1298" i="1"/>
  <c r="AP1536" i="1"/>
  <c r="AP1175" i="1"/>
  <c r="AP1503" i="1"/>
  <c r="AP1203" i="1"/>
  <c r="AP791" i="1"/>
  <c r="AP1488" i="1"/>
  <c r="AP1876" i="1"/>
  <c r="AP242" i="1"/>
  <c r="AP1542" i="1"/>
  <c r="AP1658" i="1"/>
  <c r="AP1643" i="1"/>
  <c r="AP458" i="1"/>
  <c r="AP1530" i="1"/>
  <c r="AP1266" i="1"/>
  <c r="AP1780" i="1"/>
  <c r="AP374" i="1"/>
  <c r="AP1833" i="1"/>
  <c r="AP1782" i="1"/>
  <c r="AP298" i="1"/>
  <c r="AP1313" i="1"/>
  <c r="AP631" i="1"/>
  <c r="AP324" i="1"/>
  <c r="AP353" i="1"/>
  <c r="AP766" i="1"/>
  <c r="AP674" i="1"/>
  <c r="AP854" i="1"/>
  <c r="AP1546" i="1"/>
  <c r="AP658" i="1"/>
  <c r="AP1984" i="1"/>
  <c r="AP68" i="1"/>
  <c r="AP684" i="1"/>
  <c r="AP1578" i="1"/>
  <c r="AP370" i="1"/>
  <c r="AP548" i="1"/>
  <c r="AP834" i="1"/>
  <c r="AP1469" i="1"/>
  <c r="AP800" i="1"/>
  <c r="AP56" i="1"/>
  <c r="AP51" i="1"/>
  <c r="AP1798" i="1"/>
  <c r="AP1077" i="1"/>
  <c r="AP1347" i="1"/>
  <c r="AP392" i="1"/>
  <c r="AP1517" i="1"/>
  <c r="AP199" i="1"/>
  <c r="AP1349" i="1"/>
  <c r="AP243" i="1"/>
  <c r="AP944" i="1"/>
  <c r="AP1875" i="1"/>
  <c r="AP93" i="1"/>
  <c r="AP1237" i="1"/>
  <c r="AP323" i="1"/>
  <c r="AP64" i="1"/>
  <c r="AP1425" i="1"/>
  <c r="AP1452" i="1"/>
  <c r="AP890" i="1"/>
  <c r="AP714" i="1"/>
  <c r="AP410" i="1"/>
  <c r="AP112" i="1"/>
  <c r="AP1773" i="1"/>
  <c r="AP860" i="1"/>
  <c r="AP81" i="1"/>
  <c r="AP942" i="1"/>
  <c r="AP1410" i="1"/>
  <c r="AP993" i="1"/>
  <c r="AP1736" i="1"/>
  <c r="AP249" i="1"/>
  <c r="AP1104" i="1"/>
  <c r="AP629" i="1"/>
  <c r="AP618" i="1"/>
  <c r="AP244" i="1"/>
  <c r="AP105" i="1"/>
  <c r="AP948" i="1"/>
  <c r="AP1968" i="1"/>
  <c r="AP517" i="1"/>
  <c r="AP1597" i="1"/>
  <c r="AP1044" i="1"/>
  <c r="AP1527" i="1"/>
  <c r="AP1144" i="1"/>
  <c r="AP546" i="1"/>
  <c r="AP1670" i="1"/>
  <c r="AP1018" i="1"/>
  <c r="AP1102" i="1"/>
  <c r="AP1232" i="1"/>
  <c r="AP1449" i="1"/>
  <c r="AP304" i="1"/>
  <c r="AP1148" i="1"/>
  <c r="AP1679" i="1"/>
  <c r="AP450" i="1"/>
  <c r="AP636" i="1"/>
  <c r="AP1843" i="1"/>
  <c r="AP1291" i="1"/>
  <c r="AP299" i="1"/>
  <c r="AP264" i="1"/>
  <c r="AP1072" i="1"/>
  <c r="AP1522" i="1"/>
  <c r="AP76" i="1"/>
  <c r="AP1112" i="1"/>
  <c r="AP1445" i="1"/>
  <c r="AP1918" i="1"/>
  <c r="AP1661" i="1"/>
  <c r="AP473" i="1"/>
  <c r="AP1923" i="1"/>
  <c r="AP1300" i="1"/>
  <c r="AP992" i="1"/>
  <c r="AP906" i="1"/>
  <c r="AP1788" i="1"/>
  <c r="AP564" i="1"/>
  <c r="AP590" i="1"/>
  <c r="AP2009" i="1"/>
  <c r="AP90" i="1"/>
  <c r="AP990" i="1"/>
  <c r="AP1909" i="1"/>
  <c r="AP1177" i="1"/>
  <c r="AP526" i="1"/>
  <c r="AP191" i="1"/>
  <c r="AP924" i="1"/>
  <c r="AP1273" i="1"/>
  <c r="AP811" i="1"/>
  <c r="AP108" i="1"/>
  <c r="AP1382" i="1"/>
  <c r="AP706" i="1"/>
  <c r="AP1115" i="1"/>
  <c r="AP1584" i="1"/>
  <c r="AP248" i="1"/>
  <c r="AP126" i="1"/>
  <c r="AP1716" i="1"/>
  <c r="AP230" i="1"/>
  <c r="AP644" i="1"/>
  <c r="AP1869" i="1"/>
  <c r="AP1187" i="1"/>
  <c r="AP1690" i="1"/>
  <c r="AP929" i="1"/>
  <c r="AP1755" i="1"/>
  <c r="AP24" i="1"/>
  <c r="AP1196" i="1"/>
  <c r="AP1341" i="1"/>
  <c r="AP961" i="1"/>
  <c r="AP1993" i="1"/>
  <c r="AP1807" i="1"/>
  <c r="AP1883" i="1"/>
  <c r="AP1272" i="1"/>
  <c r="AP784" i="1"/>
  <c r="AP1719" i="1"/>
  <c r="AP1199" i="1"/>
  <c r="AP192" i="1"/>
  <c r="AP601" i="1"/>
  <c r="AP864" i="1"/>
  <c r="AP776" i="1"/>
  <c r="AP1285" i="1"/>
  <c r="AP554" i="1"/>
  <c r="AP197" i="1"/>
  <c r="AP839" i="1"/>
  <c r="AP927" i="1"/>
  <c r="AP879" i="1"/>
  <c r="AP1067" i="1"/>
  <c r="AP399" i="1"/>
  <c r="AP1084" i="1"/>
  <c r="AP1606" i="1"/>
  <c r="AP1434" i="1"/>
  <c r="AP1557" i="1"/>
  <c r="AP1370" i="1"/>
  <c r="AP671" i="1"/>
  <c r="AP439" i="1"/>
  <c r="AP253" i="1"/>
  <c r="AP886" i="1"/>
  <c r="AP1324" i="1"/>
  <c r="AP760" i="1"/>
  <c r="AP1650" i="1"/>
  <c r="AP1625" i="1"/>
  <c r="AP2001" i="1"/>
  <c r="AP1821" i="1"/>
  <c r="AP228" i="1"/>
  <c r="AP1361" i="1"/>
  <c r="AP1672" i="1"/>
  <c r="AP495" i="1"/>
  <c r="AP491" i="1"/>
  <c r="AP1879" i="1"/>
  <c r="AP938" i="1"/>
  <c r="AP1507" i="1"/>
  <c r="AP1256" i="1"/>
  <c r="AP1419" i="1"/>
  <c r="AP1320" i="1"/>
  <c r="AP1749" i="1"/>
  <c r="AP1476" i="1"/>
  <c r="AP662" i="1"/>
  <c r="AP967" i="1"/>
  <c r="AP74" i="1"/>
  <c r="AP1325" i="1"/>
  <c r="AP1809" i="1"/>
  <c r="AP823" i="1"/>
  <c r="AP464" i="1"/>
  <c r="AP423" i="1"/>
  <c r="AP1781" i="1"/>
  <c r="AP1985" i="1"/>
  <c r="AP2005" i="1"/>
  <c r="AP1399" i="1"/>
  <c r="AP1933" i="1"/>
  <c r="AP642" i="1"/>
  <c r="AP344" i="1"/>
  <c r="AP630" i="1"/>
  <c r="AP436" i="1"/>
  <c r="AP478" i="1"/>
  <c r="AP939" i="1"/>
  <c r="AP742" i="1"/>
  <c r="AP482" i="1"/>
  <c r="AP1414" i="1"/>
  <c r="AP219" i="1"/>
  <c r="AP29" i="1"/>
  <c r="AP262" i="1"/>
  <c r="AP1727" i="1"/>
  <c r="AP1225" i="1"/>
  <c r="AP1006" i="1"/>
  <c r="AP1945" i="1"/>
  <c r="AP1284" i="1"/>
  <c r="AP80" i="1"/>
  <c r="AP585" i="1"/>
  <c r="AP688" i="1"/>
  <c r="AP1441" i="1"/>
  <c r="AP889" i="1"/>
  <c r="AP1885" i="1"/>
  <c r="AP611" i="1"/>
  <c r="AP1479" i="1"/>
  <c r="AP1403" i="1"/>
  <c r="AP288" i="1"/>
  <c r="AP1176" i="1"/>
  <c r="AP166" i="1"/>
  <c r="AP695" i="1"/>
  <c r="AP1529" i="1"/>
  <c r="AP1020" i="1"/>
  <c r="AP1427" i="1"/>
  <c r="AP1618" i="1"/>
  <c r="AP875" i="1"/>
  <c r="AP1171" i="1"/>
  <c r="AP94" i="1"/>
  <c r="AP607" i="1"/>
  <c r="AP1772" i="1"/>
  <c r="AP1295" i="1"/>
  <c r="AP1281" i="1"/>
  <c r="AP1130" i="1"/>
  <c r="AP831" i="1"/>
  <c r="AP1595" i="1"/>
  <c r="AP869" i="1"/>
  <c r="AP222" i="1"/>
  <c r="AP2010" i="1"/>
  <c r="AP1453" i="1"/>
  <c r="AP1264" i="1"/>
  <c r="AP290" i="1"/>
  <c r="AP781" i="1"/>
  <c r="AP1060" i="1"/>
  <c r="AP148" i="1"/>
  <c r="AP388" i="1"/>
  <c r="AP794" i="1"/>
  <c r="AP663" i="1"/>
  <c r="AP427" i="1"/>
  <c r="AP1249" i="1"/>
  <c r="AP501" i="1"/>
  <c r="AP772" i="1"/>
  <c r="AP1820" i="1"/>
  <c r="AP1180" i="1"/>
  <c r="AP1192" i="1"/>
  <c r="AP1455" i="1"/>
  <c r="AP139" i="1"/>
  <c r="AP1221" i="1"/>
  <c r="AP440" i="1"/>
  <c r="AP1460" i="1"/>
  <c r="AP1956" i="1"/>
  <c r="AP514" i="1"/>
  <c r="AP1409" i="1"/>
  <c r="AP1208" i="1"/>
  <c r="AP1921" i="1"/>
  <c r="AP349" i="1"/>
  <c r="AP1786" i="1"/>
  <c r="AP1120" i="1"/>
  <c r="AP539" i="1"/>
  <c r="AP49" i="1"/>
  <c r="AP260" i="1"/>
  <c r="AP1015" i="1"/>
  <c r="AP281" i="1"/>
  <c r="AP1052" i="1"/>
  <c r="AP1459" i="1"/>
  <c r="AP1381" i="1"/>
  <c r="AP1097" i="1"/>
  <c r="AP1276" i="1"/>
  <c r="AP767" i="1"/>
  <c r="AP1591" i="1"/>
  <c r="AP1846" i="1"/>
  <c r="AP1836" i="1"/>
  <c r="AP716" i="1"/>
  <c r="AP245" i="1"/>
  <c r="AP286" i="1"/>
  <c r="AP1943" i="1"/>
  <c r="AP575" i="1"/>
  <c r="AP335" i="1"/>
  <c r="AP571" i="1"/>
  <c r="AP1446" i="1"/>
  <c r="AP489" i="1"/>
  <c r="AP160" i="1"/>
  <c r="AP1638" i="1"/>
  <c r="AP838" i="1"/>
  <c r="AP1951" i="1"/>
  <c r="AP987" i="1"/>
  <c r="AP666" i="1"/>
  <c r="AP789" i="1"/>
  <c r="AP493" i="1"/>
  <c r="AP1147" i="1"/>
  <c r="AP1466" i="1"/>
  <c r="AP615" i="1"/>
  <c r="AP852" i="1"/>
  <c r="AP1093" i="1"/>
  <c r="AP1083" i="1"/>
  <c r="AP911" i="1"/>
  <c r="AP1140" i="1"/>
  <c r="AP896" i="1"/>
  <c r="AP1906" i="1"/>
  <c r="AP863" i="1"/>
  <c r="AP1235" i="1"/>
  <c r="AP995" i="1"/>
  <c r="AP1927" i="1"/>
  <c r="AP38" i="1"/>
  <c r="AP1212" i="1"/>
  <c r="AP969" i="1"/>
  <c r="AP1902" i="1"/>
  <c r="AP1440" i="1"/>
  <c r="AP1336" i="1"/>
  <c r="AP1743" i="1"/>
  <c r="AP712" i="1"/>
  <c r="AP1398" i="1"/>
  <c r="AP1812" i="1"/>
  <c r="AP1057" i="1"/>
  <c r="AP801" i="1"/>
  <c r="AP1541" i="1"/>
  <c r="AP1566" i="1"/>
  <c r="AP1257" i="1"/>
  <c r="AP1521" i="1"/>
  <c r="AP643" i="1"/>
  <c r="AP936" i="1"/>
  <c r="AP1573" i="1"/>
  <c r="AP553" i="1"/>
  <c r="AP1305" i="1"/>
  <c r="AP198" i="1"/>
  <c r="AP1539" i="1"/>
  <c r="AP840" i="1"/>
  <c r="AP690" i="1"/>
  <c r="AP1540" i="1"/>
  <c r="AP1861" i="1"/>
  <c r="AP1596" i="1"/>
  <c r="AP391" i="1"/>
  <c r="AP964" i="1"/>
  <c r="AP1783" i="1"/>
  <c r="AP1590" i="1"/>
  <c r="AP1290" i="1"/>
  <c r="AP1484" i="1"/>
  <c r="AP1194" i="1"/>
  <c r="AP1701" i="1"/>
  <c r="AP15" i="1"/>
  <c r="AP1585" i="1"/>
  <c r="AP543" i="1"/>
  <c r="AP1688" i="1"/>
  <c r="AP1544" i="1"/>
  <c r="AP910" i="1"/>
  <c r="AP1691" i="1"/>
  <c r="AP1604" i="1"/>
  <c r="AP1910" i="1"/>
  <c r="AP221" i="1"/>
  <c r="AP151" i="1"/>
  <c r="AP657" i="1"/>
  <c r="AP200" i="1"/>
  <c r="AP1039" i="1"/>
  <c r="AP316" i="1"/>
  <c r="AP559" i="1"/>
  <c r="AP1200" i="1"/>
  <c r="AP213" i="1"/>
  <c r="AP293" i="1"/>
  <c r="AP1408" i="1"/>
  <c r="AP1185" i="1"/>
  <c r="AP1292" i="1"/>
  <c r="AP1823" i="1"/>
  <c r="AP16" i="1"/>
  <c r="AP1001" i="1"/>
  <c r="AP701" i="1"/>
  <c r="AP882" i="1"/>
  <c r="AP1973" i="1"/>
  <c r="AP1754" i="1"/>
  <c r="AP1113" i="1"/>
  <c r="AP1106" i="1"/>
  <c r="AP1432" i="1"/>
  <c r="AP597" i="1"/>
  <c r="AP1896" i="1"/>
  <c r="AP1588" i="1"/>
  <c r="AP1608" i="1"/>
  <c r="AP150" i="1"/>
  <c r="AP675" i="1"/>
  <c r="AP1457" i="1"/>
  <c r="AP797" i="1"/>
  <c r="AP891" i="1"/>
  <c r="AP908" i="1"/>
  <c r="AP1938" i="1"/>
  <c r="AP1942" i="1"/>
  <c r="AP461" i="1"/>
  <c r="AP534" i="1"/>
  <c r="AP178" i="1"/>
  <c r="AP739" i="1"/>
  <c r="AP465" i="1"/>
  <c r="AP1071" i="1"/>
  <c r="AP777" i="1"/>
  <c r="AP1367" i="1"/>
  <c r="AP44" i="1"/>
  <c r="AP832" i="1"/>
  <c r="AP1487" i="1"/>
  <c r="AP411" i="1"/>
  <c r="AP1634" i="1"/>
  <c r="AP991" i="1"/>
  <c r="AP538" i="1"/>
  <c r="AP337" i="1"/>
  <c r="AP980" i="1"/>
  <c r="AP1322" i="1"/>
  <c r="AP956" i="1"/>
  <c r="AP720" i="1"/>
  <c r="AP429" i="1"/>
  <c r="AP874" i="1"/>
  <c r="AP1156" i="1"/>
  <c r="AP183" i="1"/>
  <c r="AP1004" i="1"/>
  <c r="AP503" i="1"/>
  <c r="AP138" i="1"/>
  <c r="AP1560" i="1"/>
  <c r="AP1009" i="1"/>
  <c r="AP941" i="1"/>
  <c r="AP1473" i="1"/>
  <c r="AP1802" i="1"/>
  <c r="AP50" i="1"/>
  <c r="AP340" i="1"/>
  <c r="AP1467" i="1"/>
  <c r="AP2020" i="1"/>
  <c r="AP812" i="1"/>
  <c r="AP161" i="1"/>
  <c r="AP1808" i="1"/>
  <c r="AP237" i="1"/>
  <c r="AP1955" i="1"/>
  <c r="AP866" i="1"/>
  <c r="AP1030" i="1"/>
  <c r="AP558" i="1"/>
  <c r="AP1183" i="1"/>
  <c r="AP1857" i="1"/>
  <c r="AP1856" i="1"/>
  <c r="AP2000" i="1"/>
  <c r="AP378" i="1"/>
  <c r="AP515" i="1"/>
  <c r="AP818" i="1"/>
  <c r="AP1631" i="1"/>
  <c r="AP494" i="1"/>
  <c r="AP383" i="1"/>
  <c r="AP1076" i="1"/>
  <c r="AP1045" i="1"/>
  <c r="AP1206" i="1"/>
  <c r="AP1253" i="1"/>
  <c r="AP661" i="1"/>
  <c r="AP1480" i="1"/>
  <c r="AP918" i="1"/>
  <c r="AP225" i="1"/>
  <c r="AP710" i="1"/>
  <c r="AP1519" i="1"/>
  <c r="AP1186" i="1"/>
  <c r="AP1671" i="1"/>
  <c r="AP1826" i="1"/>
  <c r="AP537" i="1"/>
  <c r="AP1829" i="1"/>
  <c r="AP419" i="1"/>
  <c r="AP1219" i="1"/>
  <c r="AP1193" i="1"/>
  <c r="AP694" i="1"/>
  <c r="AP497" i="1"/>
  <c r="AP979" i="1"/>
  <c r="AP492" i="1"/>
  <c r="AP25" i="1"/>
  <c r="AP1774" i="1"/>
  <c r="AP1497" i="1"/>
  <c r="AP1195" i="1"/>
  <c r="AP176" i="1"/>
  <c r="AP762" i="1"/>
  <c r="AP1640" i="1"/>
  <c r="AP229" i="1"/>
  <c r="AP146" i="1"/>
  <c r="AP1223" i="1"/>
  <c r="AP103" i="1"/>
  <c r="AP1547" i="1"/>
  <c r="AP1450" i="1"/>
  <c r="AP474" i="1"/>
  <c r="AP1556" i="1"/>
  <c r="AP208" i="1"/>
  <c r="AP282" i="1"/>
  <c r="AP1989" i="1"/>
  <c r="AP1019" i="1"/>
  <c r="AP1117" i="1"/>
  <c r="AP1496" i="1"/>
  <c r="AP451" i="1"/>
  <c r="AP1506" i="1"/>
  <c r="AP988" i="1"/>
  <c r="AP48" i="1"/>
  <c r="AP350" i="1"/>
  <c r="AP1283" i="1"/>
  <c r="AP1828" i="1"/>
  <c r="AP986" i="1"/>
  <c r="AP510" i="1"/>
  <c r="AP998" i="1"/>
  <c r="AP775" i="1"/>
  <c r="AP1801" i="1"/>
  <c r="AP387" i="1"/>
  <c r="AP1605" i="1"/>
  <c r="AP1685" i="1"/>
  <c r="AP895" i="1"/>
  <c r="AP1752" i="1"/>
  <c r="AP830" i="1"/>
  <c r="AP1038" i="1"/>
  <c r="AP1051" i="1"/>
  <c r="AP1954" i="1"/>
  <c r="AP1088" i="1"/>
  <c r="AP974" i="1"/>
  <c r="AP1002" i="1"/>
  <c r="AP1157" i="1"/>
  <c r="AP952" i="1"/>
  <c r="AP1936" i="1"/>
  <c r="AP1514" i="1"/>
  <c r="AP1323" i="1"/>
  <c r="AP1036" i="1"/>
  <c r="AP1887" i="1"/>
  <c r="AP836" i="1"/>
  <c r="AP1122" i="1"/>
  <c r="AP372" i="1"/>
  <c r="AP1270" i="1"/>
  <c r="AP1712" i="1"/>
  <c r="AP1558" i="1"/>
  <c r="AP687" i="1"/>
  <c r="AP871" i="1"/>
  <c r="AP447" i="1"/>
  <c r="AP1012" i="1"/>
  <c r="AP820" i="1"/>
  <c r="AP496" i="1"/>
  <c r="AP531" i="1"/>
  <c r="AP947" i="1"/>
  <c r="AP1886" i="1"/>
  <c r="AP131" i="1"/>
  <c r="AP1633" i="1"/>
  <c r="AP1892" i="1"/>
  <c r="AP1535" i="1"/>
  <c r="AP1580" i="1"/>
  <c r="AP755" i="1"/>
  <c r="AP1061" i="1"/>
  <c r="AP278" i="1"/>
  <c r="AP1089" i="1"/>
  <c r="AP1598" i="1"/>
  <c r="AP649" i="1"/>
  <c r="AP1297" i="1"/>
  <c r="AP1315" i="1"/>
  <c r="AP704" i="1"/>
  <c r="AP1564" i="1"/>
  <c r="AP985" i="1"/>
  <c r="AP78" i="1"/>
  <c r="AP125" i="1"/>
  <c r="AP567" i="1"/>
  <c r="AP1534" i="1"/>
  <c r="AP1787" i="1"/>
  <c r="AP1978" i="1"/>
  <c r="AP1069" i="1"/>
  <c r="AP1614" i="1"/>
  <c r="AP314" i="1"/>
  <c r="AP1461" i="1"/>
  <c r="AP1926" i="1"/>
  <c r="AP1864" i="1"/>
  <c r="AP1143" i="1"/>
  <c r="AP1334" i="1"/>
  <c r="AP169" i="1"/>
  <c r="AP903" i="1"/>
  <c r="AP837" i="1"/>
  <c r="AP1152" i="1"/>
  <c r="AP435" i="1"/>
  <c r="AP1947" i="1"/>
  <c r="AP1850" i="1"/>
  <c r="AP1611" i="1"/>
  <c r="AP774" i="1"/>
  <c r="AP1335" i="1"/>
  <c r="AP55" i="1"/>
  <c r="AP1402" i="1"/>
  <c r="AP516" i="1"/>
  <c r="AP744" i="1"/>
  <c r="AP1941" i="1"/>
  <c r="AP934" i="1"/>
  <c r="AP2004" i="1"/>
  <c r="AP1428" i="1"/>
  <c r="AP870" i="1"/>
  <c r="AP1040" i="1"/>
  <c r="AP646" i="1"/>
  <c r="AP953" i="1"/>
  <c r="AP77" i="1"/>
  <c r="AP452" i="1"/>
  <c r="AP1343" i="1"/>
  <c r="AP162" i="1"/>
  <c r="AP1932" i="1"/>
  <c r="AP1531" i="1"/>
  <c r="AP817" i="1"/>
  <c r="AP1904" i="1"/>
  <c r="AP1245" i="1"/>
  <c r="AP914" i="1"/>
  <c r="AP1958" i="1"/>
  <c r="AP17" i="1"/>
  <c r="AP26" i="1"/>
  <c r="AP119" i="1"/>
  <c r="AP1422" i="1"/>
  <c r="AP1970" i="1"/>
  <c r="AP1359" i="1"/>
  <c r="AP1899" i="1"/>
  <c r="AP562" i="1"/>
  <c r="AP1191" i="1"/>
  <c r="AP1553" i="1"/>
  <c r="AP117" i="1"/>
  <c r="AP488" i="1"/>
  <c r="AP576" i="1"/>
  <c r="AP215" i="1"/>
  <c r="AP966" i="1"/>
  <c r="AP1327" i="1"/>
  <c r="AP937" i="1"/>
  <c r="AP1456" i="1"/>
  <c r="AP862" i="1"/>
  <c r="AP367" i="1"/>
  <c r="AP845" i="1"/>
  <c r="AP157" i="1"/>
  <c r="AP1389" i="1"/>
  <c r="AP556" i="1"/>
  <c r="AP193" i="1"/>
  <c r="AP719" i="1"/>
  <c r="AP1656" i="1"/>
  <c r="AP1086" i="1"/>
  <c r="AP1976" i="1"/>
  <c r="AP1376" i="1"/>
  <c r="AP1416" i="1"/>
  <c r="AP1495" i="1"/>
  <c r="AP422" i="1"/>
  <c r="AP724" i="1"/>
  <c r="AP1990" i="1"/>
  <c r="AP796" i="1"/>
  <c r="AP506" i="1"/>
  <c r="AP1888" i="1"/>
  <c r="AP625" i="1"/>
  <c r="AP1481" i="1"/>
  <c r="AP1131" i="1"/>
  <c r="AP1837" i="1"/>
  <c r="AP87" i="1"/>
  <c r="AP1329" i="1"/>
  <c r="AP1280" i="1"/>
  <c r="AP1418" i="1"/>
  <c r="AP381" i="1"/>
  <c r="AP1928" i="1"/>
  <c r="AP1307" i="1"/>
  <c r="AP413" i="1"/>
  <c r="AP550" i="1"/>
  <c r="AP1600" i="1"/>
  <c r="AP1174" i="1"/>
  <c r="AP1099" i="1"/>
  <c r="AP1500" i="1"/>
  <c r="AP741" i="1"/>
  <c r="AP128" i="1"/>
  <c r="AP1668" i="1"/>
  <c r="AP1792" i="1"/>
  <c r="AP757" i="1"/>
  <c r="AP1513" i="1"/>
  <c r="AP707" i="1"/>
  <c r="AP404" i="1"/>
  <c r="AP460" i="1"/>
  <c r="AP856" i="1"/>
  <c r="AP1310" i="1"/>
  <c r="AP2015" i="1"/>
  <c r="AP46" i="1"/>
  <c r="AP430" i="1"/>
  <c r="AP1205" i="1"/>
  <c r="AP172" i="1"/>
  <c r="AP400" i="1"/>
  <c r="AP540" i="1"/>
  <c r="AP1900" i="1"/>
  <c r="AP803" i="1"/>
  <c r="AP326" i="1"/>
  <c r="AP1107" i="1"/>
  <c r="AP1692" i="1"/>
  <c r="AP740" i="1"/>
  <c r="AP1246" i="1"/>
  <c r="AP682" i="1"/>
  <c r="AP596" i="1"/>
  <c r="AP1853" i="1"/>
  <c r="AP982" i="1"/>
  <c r="AP167" i="1"/>
  <c r="AP170" i="1"/>
  <c r="AP1898" i="1"/>
  <c r="AP1720" i="1"/>
  <c r="AP1274" i="1"/>
  <c r="AP968" i="1"/>
  <c r="AP1124" i="1"/>
  <c r="AP928" i="1"/>
  <c r="AP1331" i="1"/>
  <c r="AP154" i="1"/>
  <c r="AP1179" i="1"/>
  <c r="AP743" i="1"/>
  <c r="AP916" i="1"/>
  <c r="AP1639" i="1"/>
  <c r="AP91" i="1"/>
  <c r="AP1814" i="1"/>
  <c r="AP377" i="1"/>
  <c r="AP652" i="1"/>
  <c r="AP58" i="1"/>
  <c r="AP2021" i="1"/>
  <c r="AP1207" i="1"/>
  <c r="AP872" i="1"/>
  <c r="AP1816" i="1"/>
  <c r="AP69" i="1"/>
  <c r="AP1905" i="1"/>
  <c r="AP283" i="1"/>
  <c r="AP432" i="1"/>
  <c r="AP86" i="1"/>
  <c r="AP484" i="1"/>
  <c r="AP900" i="1"/>
  <c r="AP1562" i="1"/>
  <c r="AP332" i="1"/>
  <c r="AP930" i="1"/>
  <c r="AP574" i="1"/>
  <c r="AP1831" i="1"/>
  <c r="AP533" i="1"/>
  <c r="AP782" i="1"/>
  <c r="AP1659" i="1"/>
  <c r="AP1549" i="1"/>
  <c r="AP1726" i="1"/>
  <c r="AP98" i="1"/>
  <c r="AP1827" i="1"/>
  <c r="AP563" i="1"/>
  <c r="AP1250" i="1"/>
  <c r="AP842" i="1"/>
  <c r="AP1139" i="1"/>
  <c r="AP1424" i="1"/>
  <c r="AP1197" i="1"/>
  <c r="AP303" i="1"/>
  <c r="AP582" i="1"/>
  <c r="AP536" i="1"/>
  <c r="AP300" i="1"/>
  <c r="AP1735" i="1"/>
  <c r="AP1065" i="1"/>
  <c r="AP711" i="1"/>
  <c r="AP1213" i="1"/>
  <c r="AP981" i="1"/>
  <c r="AP1309" i="1"/>
  <c r="AP59" i="1"/>
  <c r="AP443" i="1"/>
  <c r="AP1299" i="1"/>
  <c r="AP39" i="1"/>
  <c r="AP1665" i="1"/>
  <c r="AP746" i="1"/>
  <c r="AP338" i="1"/>
  <c r="AP1154" i="1"/>
  <c r="AP42" i="1"/>
  <c r="AP2" i="1"/>
  <c r="AP1490" i="1"/>
  <c r="AP252" i="1"/>
  <c r="AP1744" i="1"/>
  <c r="AP1226" i="1"/>
  <c r="AP779" i="1"/>
  <c r="AP1602" i="1"/>
  <c r="AP1110" i="1"/>
  <c r="AP1669" i="1"/>
  <c r="AP32" i="1"/>
  <c r="AP598" i="1"/>
  <c r="AP434" i="1"/>
  <c r="AP1043" i="1"/>
  <c r="AP884" i="1"/>
  <c r="AP1509" i="1"/>
  <c r="AP1623" i="1"/>
  <c r="AP1666" i="1"/>
  <c r="AP528" i="1"/>
  <c r="AP40" i="1"/>
  <c r="AP247" i="1"/>
  <c r="AP393" i="1"/>
  <c r="AP1889" i="1"/>
  <c r="AP322" i="1"/>
  <c r="AP425" i="1"/>
  <c r="AP729" i="1"/>
  <c r="AP728" i="1"/>
  <c r="AP650" i="1"/>
  <c r="AP1915" i="1"/>
  <c r="AP1759" i="1"/>
  <c r="AP490" i="1"/>
  <c r="AP1571" i="1"/>
  <c r="AP977" i="1"/>
  <c r="AP1014" i="1"/>
  <c r="AP1642" i="1"/>
  <c r="AP1841" i="1"/>
  <c r="AP258" i="1"/>
  <c r="AP1819" i="1"/>
  <c r="AP1872" i="1"/>
  <c r="AP268" i="1"/>
  <c r="AP1587" i="1"/>
  <c r="AP354" i="1"/>
  <c r="AP417" i="1"/>
  <c r="AP339" i="1"/>
  <c r="AP1554" i="1"/>
  <c r="AP713" i="1"/>
  <c r="AP867" i="1"/>
  <c r="AP181" i="1"/>
  <c r="AP284" i="1"/>
  <c r="AP468" i="1"/>
  <c r="AP250" i="1"/>
  <c r="AP1740" i="1"/>
  <c r="AP1215" i="1"/>
  <c r="AP7" i="1"/>
  <c r="AP560" i="1"/>
  <c r="AP318" i="1"/>
  <c r="AP1234" i="1"/>
  <c r="AP1436" i="1"/>
  <c r="AP1125" i="1"/>
  <c r="AP291" i="1"/>
  <c r="AP665" i="1"/>
  <c r="AP449" i="1"/>
  <c r="AP320" i="1"/>
  <c r="AP61" i="1"/>
  <c r="AP933" i="1"/>
  <c r="AP1404" i="1"/>
  <c r="AP1358" i="1"/>
  <c r="AP2018" i="1"/>
  <c r="AP1201" i="1"/>
  <c r="AP1471" i="1"/>
  <c r="AP1486" i="1"/>
  <c r="AP1662" i="1"/>
  <c r="AP1838" i="1"/>
  <c r="AP21" i="1"/>
  <c r="AP848" i="1"/>
  <c r="AP983" i="1"/>
  <c r="AP850" i="1"/>
  <c r="AP595" i="1"/>
  <c r="AP1860" i="1"/>
  <c r="AP888" i="1"/>
  <c r="AP294" i="1"/>
  <c r="AP1415" i="1"/>
  <c r="AP41" i="1"/>
  <c r="AP180" i="1"/>
  <c r="AP1997" i="1"/>
  <c r="AP11" i="1"/>
  <c r="AP171" i="1"/>
  <c r="AP881" i="1"/>
  <c r="AP1654" i="1"/>
  <c r="AP577" i="1"/>
  <c r="AP1874" i="1"/>
  <c r="AP1784" i="1"/>
  <c r="AP1901" i="1"/>
  <c r="AP1160" i="1"/>
  <c r="AP1714" i="1"/>
  <c r="AP685" i="1"/>
  <c r="AP1365" i="1"/>
  <c r="AP586" i="1"/>
  <c r="AP648" i="1"/>
  <c r="AP319" i="1"/>
  <c r="AP1386" i="1"/>
  <c r="AP10" i="1"/>
  <c r="AP1090" i="1"/>
  <c r="AP375" i="1"/>
  <c r="AP1023" i="1"/>
  <c r="AP1791" i="1"/>
  <c r="AP1935" i="1"/>
  <c r="AP1733" i="1"/>
  <c r="AP1760" i="1"/>
  <c r="AP1240" i="1"/>
  <c r="AP1165" i="1"/>
  <c r="AP471" i="1"/>
  <c r="AP535" i="1"/>
  <c r="AP1635" i="1"/>
  <c r="AP1552" i="1"/>
  <c r="AP1138" i="1"/>
  <c r="AP2007" i="1"/>
  <c r="AP617" i="1"/>
  <c r="AP624" i="1"/>
  <c r="AP1959" i="1"/>
  <c r="AP902" i="1"/>
  <c r="AP1356" i="1"/>
  <c r="AP813" i="1"/>
  <c r="AP463" i="1"/>
  <c r="AP816" i="1"/>
  <c r="AP1412" i="1"/>
  <c r="AP448" i="1"/>
  <c r="AP627" i="1"/>
  <c r="AP355" i="1"/>
  <c r="AP1742" i="1"/>
  <c r="AP1211" i="1"/>
  <c r="AP1501" i="1"/>
  <c r="AP1306" i="1"/>
  <c r="AP1024" i="1"/>
  <c r="AP396" i="1"/>
  <c r="AP454" i="1"/>
  <c r="AP184" i="1"/>
  <c r="AP1709" i="1"/>
  <c r="AP909" i="1"/>
  <c r="AP472" i="1"/>
  <c r="AP1569" i="1"/>
  <c r="AP1155" i="1"/>
  <c r="AP1502" i="1"/>
  <c r="AP525" i="1"/>
  <c r="AP857" i="1"/>
  <c r="AP1296" i="1"/>
  <c r="AP651" i="1"/>
  <c r="AP954" i="1"/>
  <c r="AP462" i="1"/>
  <c r="AP1648" i="1"/>
  <c r="AP1583" i="1"/>
  <c r="AP1008" i="1"/>
  <c r="AP541" i="1"/>
  <c r="AP321" i="1"/>
  <c r="AP664" i="1"/>
  <c r="AP1777" i="1"/>
  <c r="AP1572" i="1"/>
  <c r="AP1785" i="1"/>
  <c r="AP1059" i="1"/>
  <c r="AP47" i="1"/>
  <c r="AP407" i="1"/>
  <c r="AP1695" i="1"/>
  <c r="AP1612" i="1"/>
  <c r="AP978" i="1"/>
  <c r="AP1526" i="1"/>
  <c r="AP520" i="1"/>
  <c r="AP129" i="1"/>
  <c r="AP1167" i="1"/>
  <c r="AP149" i="1"/>
  <c r="AP1000" i="1"/>
  <c r="AP366" i="1"/>
  <c r="AP453" i="1"/>
  <c r="AP976" i="1"/>
  <c r="AP1983" i="1"/>
  <c r="AP418" i="1"/>
  <c r="AP1775" i="1"/>
  <c r="AP504" i="1"/>
  <c r="AP1198" i="1"/>
  <c r="AP127" i="1"/>
  <c r="AP885" i="1"/>
  <c r="AP792" i="1"/>
  <c r="AP1647" i="1"/>
  <c r="AP1294" i="1"/>
  <c r="AP1263" i="1"/>
  <c r="AP612" i="1"/>
  <c r="AP1771" i="1"/>
  <c r="AP580" i="1"/>
  <c r="AP307" i="1"/>
  <c r="AP1835" i="1"/>
  <c r="AP1472" i="1"/>
  <c r="AP1840" i="1"/>
  <c r="AP1260" i="1"/>
  <c r="AP1033" i="1"/>
  <c r="AP1109" i="1"/>
  <c r="AP88" i="1"/>
  <c r="AP403" i="1"/>
  <c r="AP1619" i="1"/>
  <c r="AP285" i="1"/>
  <c r="AP1975" i="1"/>
  <c r="AP415" i="1"/>
  <c r="AP841" i="1"/>
  <c r="AP1391" i="1"/>
  <c r="AP756" i="1"/>
  <c r="AP1766" i="1"/>
  <c r="AP1944" i="1"/>
  <c r="AP1555" i="1"/>
  <c r="AP1516" i="1"/>
  <c r="AP1523" i="1"/>
  <c r="AP641" i="1"/>
  <c r="AP207" i="1"/>
  <c r="AP1745" i="1"/>
  <c r="AP1397" i="1"/>
  <c r="AP683" i="1"/>
  <c r="AP1340" i="1"/>
  <c r="AP1127" i="1"/>
  <c r="AP347" i="1"/>
  <c r="AP1967" i="1"/>
  <c r="AP1641" i="1"/>
  <c r="AP1362" i="1"/>
  <c r="AP1603" i="1"/>
  <c r="AP878" i="1"/>
  <c r="AP810" i="1"/>
  <c r="AP785" i="1"/>
  <c r="AP678" i="1"/>
  <c r="AP1204" i="1"/>
  <c r="AP279" i="1"/>
  <c r="AP1974" i="1"/>
  <c r="AP1686" i="1"/>
  <c r="AP20" i="1"/>
  <c r="AP33" i="1"/>
  <c r="AP1311" i="1"/>
  <c r="AP572" i="1"/>
  <c r="AP395" i="1"/>
  <c r="AP748" i="1"/>
  <c r="AP549" i="1"/>
  <c r="AP681" i="1"/>
  <c r="AP173" i="1"/>
  <c r="AP134" i="1"/>
  <c r="AP1118" i="1"/>
  <c r="AP999" i="1"/>
  <c r="AP1825" i="1"/>
  <c r="AP1258" i="1"/>
  <c r="AP1803" i="1"/>
  <c r="AP1028" i="1"/>
  <c r="AP608" i="1"/>
  <c r="AP455" i="1"/>
  <c r="AP107" i="1"/>
  <c r="AP416" i="1"/>
  <c r="AP1848" i="1"/>
  <c r="AP35" i="1"/>
  <c r="AP1375" i="1"/>
  <c r="AP1421" i="1"/>
  <c r="AP133" i="1"/>
  <c r="AP508" i="1"/>
  <c r="AP2014" i="1"/>
  <c r="AP849" i="1"/>
  <c r="AP917" i="1"/>
  <c r="AP1108" i="1"/>
  <c r="AP1489" i="1"/>
  <c r="AP1962" i="1"/>
  <c r="AP859" i="1"/>
  <c r="AP483" i="1"/>
  <c r="AP1565" i="1"/>
  <c r="AP734" i="1"/>
  <c r="AP1724" i="1"/>
  <c r="AP1991" i="1"/>
  <c r="AP1254" i="1"/>
  <c r="AP1393" i="1"/>
  <c r="AP43" i="1"/>
  <c r="AP1537" i="1"/>
  <c r="AP106" i="1"/>
  <c r="AP2016" i="1"/>
  <c r="AP1574" i="1"/>
  <c r="AP1353" i="1"/>
  <c r="AP821" i="1"/>
  <c r="AP2008" i="1"/>
  <c r="AP1653" i="1"/>
  <c r="AP858" i="1"/>
  <c r="AP668" i="1"/>
  <c r="AP877" i="1"/>
  <c r="AP1867" i="1"/>
  <c r="AP1998" i="1"/>
  <c r="AP815" i="1"/>
  <c r="AP1328" i="1"/>
  <c r="AP768" i="1"/>
  <c r="AP512" i="1"/>
  <c r="AP583" i="1"/>
  <c r="AP1046" i="1"/>
  <c r="V527" i="1"/>
  <c r="BF527" i="1" s="1"/>
  <c r="V1239" i="1"/>
  <c r="BF1239" i="1" s="1"/>
  <c r="V313" i="1"/>
  <c r="BF313" i="1" s="1"/>
  <c r="V1789" i="1"/>
  <c r="BF1789" i="1" s="1"/>
  <c r="V809" i="1"/>
  <c r="BF809" i="1" s="1"/>
  <c r="V730" i="1"/>
  <c r="BF730" i="1" s="1"/>
  <c r="V920" i="1"/>
  <c r="BF920" i="1" s="1"/>
  <c r="V1593" i="1"/>
  <c r="BF1593" i="1" s="1"/>
  <c r="V1722" i="1"/>
  <c r="BF1722" i="1" s="1"/>
  <c r="V2019" i="1"/>
  <c r="BF2019" i="1" s="1"/>
  <c r="V1912" i="1"/>
  <c r="BF1912" i="1" s="1"/>
  <c r="V457" i="1"/>
  <c r="BF457" i="1" s="1"/>
  <c r="V855" i="1"/>
  <c r="BF855" i="1" s="1"/>
  <c r="V1646" i="1"/>
  <c r="BF1646" i="1" s="1"/>
  <c r="V147" i="1"/>
  <c r="BF147" i="1" s="1"/>
  <c r="V1317" i="1"/>
  <c r="BF1317" i="1" s="1"/>
  <c r="V1079" i="1"/>
  <c r="BF1079" i="1" s="1"/>
  <c r="V477" i="1"/>
  <c r="BF477" i="1" s="1"/>
  <c r="V1582" i="1"/>
  <c r="BF1582" i="1" s="1"/>
  <c r="V1016" i="1"/>
  <c r="BF1016" i="1" s="1"/>
  <c r="V2022" i="1"/>
  <c r="BF2022" i="1" s="1"/>
  <c r="V892" i="1"/>
  <c r="BF892" i="1" s="1"/>
  <c r="V679" i="1"/>
  <c r="BF679" i="1" s="1"/>
  <c r="V1442" i="1"/>
  <c r="BF1442" i="1" s="1"/>
  <c r="V1660" i="1"/>
  <c r="BF1660" i="1" s="1"/>
  <c r="V971" i="1"/>
  <c r="BF971" i="1" s="1"/>
  <c r="V1407" i="1"/>
  <c r="BF1407" i="1" s="1"/>
  <c r="V84" i="1"/>
  <c r="BF84" i="1" s="1"/>
  <c r="V1813" i="1"/>
  <c r="BF1813" i="1" s="1"/>
  <c r="V1021" i="1"/>
  <c r="BF1021" i="1" s="1"/>
  <c r="V1387" i="1"/>
  <c r="BF1387" i="1" s="1"/>
  <c r="V1236" i="1"/>
  <c r="BF1236" i="1" s="1"/>
  <c r="V384" i="1"/>
  <c r="BF384" i="1" s="1"/>
  <c r="V1146" i="1"/>
  <c r="BF1146" i="1" s="1"/>
  <c r="V599" i="1"/>
  <c r="BF599" i="1" s="1"/>
  <c r="V1873" i="1"/>
  <c r="BF1873" i="1" s="1"/>
  <c r="V1321" i="1"/>
  <c r="BF1321" i="1" s="1"/>
  <c r="V773" i="1"/>
  <c r="BF773" i="1" s="1"/>
  <c r="V379" i="1"/>
  <c r="BF379" i="1" s="1"/>
  <c r="V1919" i="1"/>
  <c r="BF1919" i="1" s="1"/>
  <c r="V1931" i="1"/>
  <c r="BF1931" i="1" s="1"/>
  <c r="V2012" i="1"/>
  <c r="BF2012" i="1" s="1"/>
  <c r="V152" i="1"/>
  <c r="BF152" i="1" s="1"/>
  <c r="V1877" i="1"/>
  <c r="BF1877" i="1" s="1"/>
  <c r="V1350" i="1"/>
  <c r="BF1350" i="1" s="1"/>
  <c r="V529" i="1"/>
  <c r="BF529" i="1" s="1"/>
  <c r="V673" i="1"/>
  <c r="BF673" i="1" s="1"/>
  <c r="V190" i="1"/>
  <c r="BF190" i="1" s="1"/>
  <c r="V1532" i="1"/>
  <c r="BF1532" i="1" s="1"/>
  <c r="V95" i="1"/>
  <c r="BF95" i="1" s="1"/>
  <c r="V603" i="1"/>
  <c r="BF603" i="1" s="1"/>
  <c r="V135" i="1"/>
  <c r="BF135" i="1" s="1"/>
  <c r="V342" i="1"/>
  <c r="BF342" i="1" s="1"/>
  <c r="V1750" i="1"/>
  <c r="BF1750" i="1" s="1"/>
  <c r="V919" i="1"/>
  <c r="BF919" i="1" s="1"/>
  <c r="V214" i="1"/>
  <c r="BF214" i="1" s="1"/>
  <c r="V602" i="1"/>
  <c r="BF602" i="1" s="1"/>
  <c r="V790" i="1"/>
  <c r="BF790" i="1" s="1"/>
  <c r="V621" i="1"/>
  <c r="BF621" i="1" s="1"/>
  <c r="V359" i="1"/>
  <c r="BF359" i="1" s="1"/>
  <c r="V1839" i="1"/>
  <c r="BF1839" i="1" s="1"/>
  <c r="V1677" i="1"/>
  <c r="BF1677" i="1" s="1"/>
  <c r="V255" i="1"/>
  <c r="BF255" i="1" s="1"/>
  <c r="V581" i="1"/>
  <c r="BF581" i="1" s="1"/>
  <c r="V479" i="1"/>
  <c r="BF479" i="1" s="1"/>
  <c r="V397" i="1"/>
  <c r="BF397" i="1" s="1"/>
  <c r="V676" i="1"/>
  <c r="BF676" i="1" s="1"/>
  <c r="V761" i="1"/>
  <c r="BF761" i="1" s="1"/>
  <c r="V1378" i="1"/>
  <c r="BF1378" i="1" s="1"/>
  <c r="V1380" i="1"/>
  <c r="BF1380" i="1" s="1"/>
  <c r="V240" i="1"/>
  <c r="BF240" i="1" s="1"/>
  <c r="V223" i="1"/>
  <c r="BF223" i="1" s="1"/>
  <c r="V1368" i="1"/>
  <c r="BF1368" i="1" s="1"/>
  <c r="V557" i="1"/>
  <c r="BF557" i="1" s="1"/>
  <c r="V1711" i="1"/>
  <c r="BF1711" i="1" s="1"/>
  <c r="V1830" i="1"/>
  <c r="BF1830" i="1" s="1"/>
  <c r="V1881" i="1"/>
  <c r="BF1881" i="1" s="1"/>
  <c r="V102" i="1"/>
  <c r="BF102" i="1" s="1"/>
  <c r="V1776" i="1"/>
  <c r="BF1776" i="1" s="1"/>
  <c r="V1543" i="1"/>
  <c r="BF1543" i="1" s="1"/>
  <c r="V1105" i="1"/>
  <c r="BF1105" i="1" s="1"/>
  <c r="V165" i="1"/>
  <c r="BF165" i="1" s="1"/>
  <c r="V970" i="1"/>
  <c r="BF970" i="1" s="1"/>
  <c r="V1326" i="1"/>
  <c r="BF1326" i="1" s="1"/>
  <c r="V1884" i="1"/>
  <c r="BF1884" i="1" s="1"/>
  <c r="V1705" i="1"/>
  <c r="BF1705" i="1" s="1"/>
  <c r="V1163" i="1"/>
  <c r="BF1163" i="1" s="1"/>
  <c r="V1031" i="1"/>
  <c r="BF1031" i="1" s="1"/>
  <c r="V216" i="1"/>
  <c r="BF216" i="1" s="1"/>
  <c r="V647" i="1"/>
  <c r="BF647" i="1" s="1"/>
  <c r="V1166" i="1"/>
  <c r="BF1166" i="1" s="1"/>
  <c r="V1636" i="1"/>
  <c r="BF1636" i="1" s="1"/>
  <c r="V296" i="1"/>
  <c r="BF296" i="1" s="1"/>
  <c r="V428" i="1"/>
  <c r="BF428" i="1" s="1"/>
  <c r="V63" i="1"/>
  <c r="BF63" i="1" s="1"/>
  <c r="V1847" i="1"/>
  <c r="BF1847" i="1" s="1"/>
  <c r="V1123" i="1"/>
  <c r="BF1123" i="1" s="1"/>
  <c r="V1017" i="1"/>
  <c r="BF1017" i="1" s="1"/>
  <c r="V1435" i="1"/>
  <c r="BF1435" i="1" s="1"/>
  <c r="V52" i="1"/>
  <c r="BF52" i="1" s="1"/>
  <c r="V424" i="1"/>
  <c r="BF424" i="1" s="1"/>
  <c r="V341" i="1"/>
  <c r="BF341" i="1" s="1"/>
  <c r="V897" i="1"/>
  <c r="BF897" i="1" s="1"/>
  <c r="V54" i="1"/>
  <c r="BF54" i="1" s="1"/>
  <c r="V1241" i="1"/>
  <c r="BF1241" i="1" s="1"/>
  <c r="V1070" i="1"/>
  <c r="BF1070" i="1" s="1"/>
  <c r="V36" i="1"/>
  <c r="BF36" i="1" s="1"/>
  <c r="V1499" i="1"/>
  <c r="BF1499" i="1" s="1"/>
  <c r="V1729" i="1"/>
  <c r="BF1729" i="1" s="1"/>
  <c r="V1922" i="1"/>
  <c r="BF1922" i="1" s="1"/>
  <c r="V951" i="1"/>
  <c r="BF951" i="1" s="1"/>
  <c r="V1675" i="1"/>
  <c r="BF1675" i="1" s="1"/>
  <c r="V1930" i="1"/>
  <c r="BF1930" i="1" s="1"/>
  <c r="V1699" i="1"/>
  <c r="BF1699" i="1" s="1"/>
  <c r="V4" i="1"/>
  <c r="BF4" i="1" s="1"/>
  <c r="V317" i="1"/>
  <c r="BF317" i="1" s="1"/>
  <c r="V140" i="1"/>
  <c r="BF140" i="1" s="1"/>
  <c r="V1005" i="1"/>
  <c r="BF1005" i="1" s="1"/>
  <c r="V459" i="1"/>
  <c r="BF459" i="1" s="1"/>
  <c r="V749" i="1"/>
  <c r="BF749" i="1" s="1"/>
  <c r="V788" i="1"/>
  <c r="BF788" i="1" s="1"/>
  <c r="V274" i="1"/>
  <c r="BF274" i="1" s="1"/>
  <c r="V1372" i="1"/>
  <c r="BF1372" i="1" s="1"/>
  <c r="V444" i="1"/>
  <c r="BF444" i="1" s="1"/>
  <c r="V2003" i="1"/>
  <c r="BF2003" i="1" s="1"/>
  <c r="V1655" i="1"/>
  <c r="BF1655" i="1" s="1"/>
  <c r="V1545" i="1"/>
  <c r="BF1545" i="1" s="1"/>
  <c r="V1528" i="1"/>
  <c r="BF1528" i="1" s="1"/>
  <c r="V13" i="1"/>
  <c r="BF13" i="1" s="1"/>
  <c r="V638" i="1"/>
  <c r="BF638" i="1" s="1"/>
  <c r="V70" i="1"/>
  <c r="BF70" i="1" s="1"/>
  <c r="V573" i="1"/>
  <c r="BF573" i="1" s="1"/>
  <c r="V1288" i="1"/>
  <c r="BF1288" i="1" s="1"/>
  <c r="V786" i="1"/>
  <c r="BF786" i="1" s="1"/>
  <c r="V1871" i="1"/>
  <c r="BF1871" i="1" s="1"/>
  <c r="V1426" i="1"/>
  <c r="BF1426" i="1" s="1"/>
  <c r="V1551" i="1"/>
  <c r="BF1551" i="1" s="1"/>
  <c r="V693" i="1"/>
  <c r="BF693" i="1" s="1"/>
  <c r="V851" i="1"/>
  <c r="BF851" i="1" s="1"/>
  <c r="V637" i="1"/>
  <c r="BF637" i="1" s="1"/>
  <c r="V1184" i="1"/>
  <c r="BF1184" i="1" s="1"/>
  <c r="V1561" i="1"/>
  <c r="BF1561" i="1" s="1"/>
  <c r="V805" i="1"/>
  <c r="BF805" i="1" s="1"/>
  <c r="V373" i="1"/>
  <c r="BF373" i="1" s="1"/>
  <c r="V1111" i="1"/>
  <c r="BF1111" i="1" s="1"/>
  <c r="V770" i="1"/>
  <c r="BF770" i="1" s="1"/>
  <c r="V913" i="1"/>
  <c r="BF913" i="1" s="1"/>
  <c r="V185" i="1"/>
  <c r="BF185" i="1" s="1"/>
  <c r="V1756" i="1"/>
  <c r="BF1756" i="1" s="1"/>
  <c r="V368" i="1"/>
  <c r="BF368" i="1" s="1"/>
  <c r="V1870" i="1"/>
  <c r="BF1870" i="1" s="1"/>
  <c r="V259" i="1"/>
  <c r="BF259" i="1" s="1"/>
  <c r="V1301" i="1"/>
  <c r="BF1301" i="1" s="1"/>
  <c r="V475" i="1"/>
  <c r="BF475" i="1" s="1"/>
  <c r="V645" i="1"/>
  <c r="BF645" i="1" s="1"/>
  <c r="V362" i="1"/>
  <c r="BF362" i="1" s="1"/>
  <c r="V1859" i="1"/>
  <c r="BF1859" i="1" s="1"/>
  <c r="V1649" i="1"/>
  <c r="BF1649" i="1" s="1"/>
  <c r="V1746" i="1"/>
  <c r="BF1746" i="1" s="1"/>
  <c r="V1063" i="1"/>
  <c r="BF1063" i="1" s="1"/>
  <c r="V1011" i="1"/>
  <c r="BF1011" i="1" s="1"/>
  <c r="V1037" i="1"/>
  <c r="BF1037" i="1" s="1"/>
  <c r="V380" i="1"/>
  <c r="BF380" i="1" s="1"/>
  <c r="V118" i="1"/>
  <c r="BF118" i="1" s="1"/>
  <c r="V1447" i="1"/>
  <c r="BF1447" i="1" s="1"/>
  <c r="V1498" i="1"/>
  <c r="BF1498" i="1" s="1"/>
  <c r="V1022" i="1"/>
  <c r="BF1022" i="1" s="1"/>
  <c r="V1964" i="1"/>
  <c r="BF1964" i="1" s="1"/>
  <c r="V405" i="1"/>
  <c r="BF405" i="1" s="1"/>
  <c r="V1694" i="1"/>
  <c r="BF1694" i="1" s="1"/>
  <c r="V1348" i="1"/>
  <c r="BF1348" i="1" s="1"/>
  <c r="V1824" i="1"/>
  <c r="BF1824" i="1" s="1"/>
  <c r="V1674" i="1"/>
  <c r="BF1674" i="1" s="1"/>
  <c r="V769" i="1"/>
  <c r="BF769" i="1" s="1"/>
  <c r="V261" i="1"/>
  <c r="BF261" i="1" s="1"/>
  <c r="V1233" i="1"/>
  <c r="BF1233" i="1" s="1"/>
  <c r="V1844" i="1"/>
  <c r="BF1844" i="1" s="1"/>
  <c r="V360" i="1"/>
  <c r="BF360" i="1" s="1"/>
  <c r="V1392" i="1"/>
  <c r="BF1392" i="1" s="1"/>
  <c r="V1047" i="1"/>
  <c r="BF1047" i="1" s="1"/>
  <c r="V1684" i="1"/>
  <c r="BF1684" i="1" s="1"/>
  <c r="V327" i="1"/>
  <c r="BF327" i="1" s="1"/>
  <c r="V189" i="1"/>
  <c r="BF189" i="1" s="1"/>
  <c r="V71" i="1"/>
  <c r="BF71" i="1" s="1"/>
  <c r="V1159" i="1"/>
  <c r="BF1159" i="1" s="1"/>
  <c r="V592" i="1"/>
  <c r="BF592" i="1" s="1"/>
  <c r="V232" i="1"/>
  <c r="BF232" i="1" s="1"/>
  <c r="V669" i="1"/>
  <c r="BF669" i="1" s="1"/>
  <c r="V6" i="1"/>
  <c r="BF6" i="1" s="1"/>
  <c r="V1405" i="1"/>
  <c r="BF1405" i="1" s="1"/>
  <c r="V1607" i="1"/>
  <c r="BF1607" i="1" s="1"/>
  <c r="V1708" i="1"/>
  <c r="BF1708" i="1" s="1"/>
  <c r="V1136" i="1"/>
  <c r="BF1136" i="1" s="1"/>
  <c r="V1261" i="1"/>
  <c r="BF1261" i="1" s="1"/>
  <c r="V702" i="1"/>
  <c r="BF702" i="1" s="1"/>
  <c r="V1242" i="1"/>
  <c r="BF1242" i="1" s="1"/>
  <c r="V220" i="1"/>
  <c r="BF220" i="1" s="1"/>
  <c r="V1265" i="1"/>
  <c r="BF1265" i="1" s="1"/>
  <c r="V1189" i="1"/>
  <c r="BF1189" i="1" s="1"/>
  <c r="V295" i="1"/>
  <c r="BF295" i="1" s="1"/>
  <c r="V1338" i="1"/>
  <c r="BF1338" i="1" s="1"/>
  <c r="V1003" i="1"/>
  <c r="BF1003" i="1" s="1"/>
  <c r="V120" i="1"/>
  <c r="BF120" i="1" s="1"/>
  <c r="V1302" i="1"/>
  <c r="BF1302" i="1" s="1"/>
  <c r="V545" i="1"/>
  <c r="BF545" i="1" s="1"/>
  <c r="V1169" i="1"/>
  <c r="BF1169" i="1" s="1"/>
  <c r="V292" i="1"/>
  <c r="BF292" i="1" s="1"/>
  <c r="V433" i="1"/>
  <c r="BF433" i="1" s="1"/>
  <c r="V1697" i="1"/>
  <c r="BF1697" i="1" s="1"/>
  <c r="V699" i="1"/>
  <c r="BF699" i="1" s="1"/>
  <c r="V1319" i="1"/>
  <c r="BF1319" i="1" s="1"/>
  <c r="V1034" i="1"/>
  <c r="BF1034" i="1" s="1"/>
  <c r="V1074" i="1"/>
  <c r="BF1074" i="1" s="1"/>
  <c r="V159" i="1"/>
  <c r="BF159" i="1" s="1"/>
  <c r="V1563" i="1"/>
  <c r="BF1563" i="1" s="1"/>
  <c r="V1520" i="1"/>
  <c r="BF1520" i="1" s="1"/>
  <c r="V376" i="1"/>
  <c r="BF376" i="1" s="1"/>
  <c r="V1454" i="1"/>
  <c r="BF1454" i="1" s="1"/>
  <c r="V1796" i="1"/>
  <c r="BF1796" i="1" s="1"/>
  <c r="V727" i="1"/>
  <c r="BF727" i="1" s="1"/>
  <c r="V1907" i="1"/>
  <c r="BF1907" i="1" s="1"/>
  <c r="V1863" i="1"/>
  <c r="BF1863" i="1" s="1"/>
  <c r="V412" i="1"/>
  <c r="BF412" i="1" s="1"/>
  <c r="V2013" i="1"/>
  <c r="BF2013" i="1" s="1"/>
  <c r="V275" i="1"/>
  <c r="BF275" i="1" s="1"/>
  <c r="V680" i="1"/>
  <c r="BF680" i="1" s="1"/>
  <c r="V1903" i="1"/>
  <c r="BF1903" i="1" s="1"/>
  <c r="V239" i="1"/>
  <c r="BF239" i="1" s="1"/>
  <c r="V795" i="1"/>
  <c r="BF795" i="1" s="1"/>
  <c r="V1710" i="1"/>
  <c r="BF1710" i="1" s="1"/>
  <c r="V390" i="1"/>
  <c r="BF390" i="1" s="1"/>
  <c r="V500" i="1"/>
  <c r="BF500" i="1" s="1"/>
  <c r="V352" i="1"/>
  <c r="BF352" i="1" s="1"/>
  <c r="V655" i="1"/>
  <c r="BF655" i="1" s="1"/>
  <c r="V1698" i="1"/>
  <c r="BF1698" i="1" s="1"/>
  <c r="V1704" i="1"/>
  <c r="BF1704" i="1" s="1"/>
  <c r="V5" i="1"/>
  <c r="BF5" i="1" s="1"/>
  <c r="V1420" i="1"/>
  <c r="BF1420" i="1" s="1"/>
  <c r="V469" i="1"/>
  <c r="BF469" i="1" s="1"/>
  <c r="V1706" i="1"/>
  <c r="BF1706" i="1" s="1"/>
  <c r="V718" i="1"/>
  <c r="BF718" i="1" s="1"/>
  <c r="V1227" i="1"/>
  <c r="BF1227" i="1" s="1"/>
  <c r="V1960" i="1"/>
  <c r="BF1960" i="1" s="1"/>
  <c r="V1423" i="1"/>
  <c r="BF1423" i="1" s="1"/>
  <c r="V1982" i="1"/>
  <c r="BF1982" i="1" s="1"/>
  <c r="V561" i="1"/>
  <c r="BF561" i="1" s="1"/>
  <c r="V1267" i="1"/>
  <c r="BF1267" i="1" s="1"/>
  <c r="V1458" i="1"/>
  <c r="BF1458" i="1" s="1"/>
  <c r="V1333" i="1"/>
  <c r="BF1333" i="1" s="1"/>
  <c r="V1478" i="1"/>
  <c r="BF1478" i="1" s="1"/>
  <c r="V177" i="1"/>
  <c r="BF177" i="1" s="1"/>
  <c r="V1470" i="1"/>
  <c r="BF1470" i="1" s="1"/>
  <c r="V280" i="1"/>
  <c r="BF280" i="1" s="1"/>
  <c r="V1917" i="1"/>
  <c r="BF1917" i="1" s="1"/>
  <c r="V371" i="1"/>
  <c r="BF371" i="1" s="1"/>
  <c r="V1652" i="1"/>
  <c r="BF1652" i="1" s="1"/>
  <c r="V725" i="1"/>
  <c r="BF725" i="1" s="1"/>
  <c r="V1779" i="1"/>
  <c r="BF1779" i="1" s="1"/>
  <c r="V1657" i="1"/>
  <c r="BF1657" i="1" s="1"/>
  <c r="V635" i="1"/>
  <c r="BF635" i="1" s="1"/>
  <c r="V499" i="1"/>
  <c r="BF499" i="1" s="1"/>
  <c r="V187" i="1"/>
  <c r="BF187" i="1" s="1"/>
  <c r="V309" i="1"/>
  <c r="BF309" i="1" s="1"/>
  <c r="V686" i="1"/>
  <c r="BF686" i="1" s="1"/>
  <c r="V1845" i="1"/>
  <c r="BF1845" i="1" s="1"/>
  <c r="V620" i="1"/>
  <c r="BF620" i="1" s="1"/>
  <c r="V1244" i="1"/>
  <c r="BF1244" i="1" s="1"/>
  <c r="V1715" i="1"/>
  <c r="BF1715" i="1" s="1"/>
  <c r="V269" i="1"/>
  <c r="BF269" i="1" s="1"/>
  <c r="V1092" i="1"/>
  <c r="BF1092" i="1" s="1"/>
  <c r="V174" i="1"/>
  <c r="BF174" i="1" s="1"/>
  <c r="V1145" i="1"/>
  <c r="BF1145" i="1" s="1"/>
  <c r="V1141" i="1"/>
  <c r="BF1141" i="1" s="1"/>
  <c r="V1464" i="1"/>
  <c r="BF1464" i="1" s="1"/>
  <c r="V92" i="1"/>
  <c r="BF92" i="1" s="1"/>
  <c r="V1977" i="1"/>
  <c r="BF1977" i="1" s="1"/>
  <c r="V1762" i="1"/>
  <c r="BF1762" i="1" s="1"/>
  <c r="V957" i="1"/>
  <c r="BF957" i="1" s="1"/>
  <c r="V1510" i="1"/>
  <c r="BF1510" i="1" s="1"/>
  <c r="V1278" i="1"/>
  <c r="BF1278" i="1" s="1"/>
  <c r="V343" i="1"/>
  <c r="BF343" i="1" s="1"/>
  <c r="V868" i="1"/>
  <c r="BF868" i="1" s="1"/>
  <c r="V1613" i="1"/>
  <c r="BF1613" i="1" s="1"/>
  <c r="V861" i="1"/>
  <c r="BF861" i="1" s="1"/>
  <c r="V1162" i="1"/>
  <c r="BF1162" i="1" s="1"/>
  <c r="V1354" i="1"/>
  <c r="BF1354" i="1" s="1"/>
  <c r="V1852" i="1"/>
  <c r="BF1852" i="1" s="1"/>
  <c r="V158" i="1"/>
  <c r="BF158" i="1" s="1"/>
  <c r="V1379" i="1"/>
  <c r="BF1379" i="1" s="1"/>
  <c r="V241" i="1"/>
  <c r="BF241" i="1" s="1"/>
  <c r="V689" i="1"/>
  <c r="BF689" i="1" s="1"/>
  <c r="V819" i="1"/>
  <c r="BF819" i="1" s="1"/>
  <c r="V1996" i="1"/>
  <c r="BF1996" i="1" s="1"/>
  <c r="V1911" i="1"/>
  <c r="BF1911" i="1" s="1"/>
  <c r="V308" i="1"/>
  <c r="BF308" i="1" s="1"/>
  <c r="V973" i="1"/>
  <c r="BF973" i="1" s="1"/>
  <c r="V1795" i="1"/>
  <c r="BF1795" i="1" s="1"/>
  <c r="V1390" i="1"/>
  <c r="BF1390" i="1" s="1"/>
  <c r="V584" i="1"/>
  <c r="BF584" i="1" s="1"/>
  <c r="V1765" i="1"/>
  <c r="BF1765" i="1" s="1"/>
  <c r="V660" i="1"/>
  <c r="BF660" i="1" s="1"/>
  <c r="V1594" i="1"/>
  <c r="BF1594" i="1" s="1"/>
  <c r="V1178" i="1"/>
  <c r="BF1178" i="1" s="1"/>
  <c r="V691" i="1"/>
  <c r="BF691" i="1" s="1"/>
  <c r="V1443" i="1"/>
  <c r="BF1443" i="1" s="1"/>
  <c r="V476" i="1"/>
  <c r="BF476" i="1" s="1"/>
  <c r="V1988" i="1"/>
  <c r="BF1988" i="1" s="1"/>
  <c r="V1778" i="1"/>
  <c r="BF1778" i="1" s="1"/>
  <c r="V1010" i="1"/>
  <c r="BF1010" i="1" s="1"/>
  <c r="V1700" i="1"/>
  <c r="BF1700" i="1" s="1"/>
  <c r="V1851" i="1"/>
  <c r="BF1851" i="1" s="1"/>
  <c r="V1075" i="1"/>
  <c r="BF1075" i="1" s="1"/>
  <c r="V656" i="1"/>
  <c r="BF656" i="1" s="1"/>
  <c r="V1577" i="1"/>
  <c r="BF1577" i="1" s="1"/>
  <c r="V1895" i="1"/>
  <c r="BF1895" i="1" s="1"/>
  <c r="V752" i="1"/>
  <c r="BF752" i="1" s="1"/>
  <c r="V238" i="1"/>
  <c r="BF238" i="1" s="1"/>
  <c r="V1718" i="1"/>
  <c r="BF1718" i="1" s="1"/>
  <c r="V111" i="1"/>
  <c r="BF111" i="1" s="1"/>
  <c r="V333" i="1"/>
  <c r="BF333" i="1" s="1"/>
  <c r="V880" i="1"/>
  <c r="BF880" i="1" s="1"/>
  <c r="V940" i="1"/>
  <c r="BF940" i="1" s="1"/>
  <c r="V865" i="1"/>
  <c r="BF865" i="1" s="1"/>
  <c r="V1797" i="1"/>
  <c r="BF1797" i="1" s="1"/>
  <c r="V136" i="1"/>
  <c r="BF136" i="1" s="1"/>
  <c r="V1277" i="1"/>
  <c r="BF1277" i="1" s="1"/>
  <c r="V79" i="1"/>
  <c r="BF79" i="1" s="1"/>
  <c r="V1731" i="1"/>
  <c r="BF1731" i="1" s="1"/>
  <c r="V1627" i="1"/>
  <c r="BF1627" i="1" s="1"/>
  <c r="V555" i="1"/>
  <c r="BF555" i="1" s="1"/>
  <c r="V502" i="1"/>
  <c r="BF502" i="1" s="1"/>
  <c r="V346" i="1"/>
  <c r="BF346" i="1" s="1"/>
  <c r="V289" i="1"/>
  <c r="BF289" i="1" s="1"/>
  <c r="V780" i="1"/>
  <c r="BF780" i="1" s="1"/>
  <c r="V1431" i="1"/>
  <c r="BF1431" i="1" s="1"/>
  <c r="V1098" i="1"/>
  <c r="BF1098" i="1" s="1"/>
  <c r="V364" i="1"/>
  <c r="BF364" i="1" s="1"/>
  <c r="V445" i="1"/>
  <c r="BF445" i="1" s="1"/>
  <c r="V1248" i="1"/>
  <c r="BF1248" i="1" s="1"/>
  <c r="V206" i="1"/>
  <c r="BF206" i="1" s="1"/>
  <c r="V732" i="1"/>
  <c r="BF732" i="1" s="1"/>
  <c r="V1764" i="1"/>
  <c r="BF1764" i="1" s="1"/>
  <c r="V1053" i="1"/>
  <c r="BF1053" i="1" s="1"/>
  <c r="V949" i="1"/>
  <c r="BF949" i="1" s="1"/>
  <c r="V188" i="1"/>
  <c r="BF188" i="1" s="1"/>
  <c r="V1678" i="1"/>
  <c r="BF1678" i="1" s="1"/>
  <c r="V310" i="1"/>
  <c r="BF310" i="1" s="1"/>
  <c r="V997" i="1"/>
  <c r="BF997" i="1" s="1"/>
  <c r="V1511" i="1"/>
  <c r="BF1511" i="1" s="1"/>
  <c r="V1121" i="1"/>
  <c r="BF1121" i="1" s="1"/>
  <c r="V1751" i="1"/>
  <c r="BF1751" i="1" s="1"/>
  <c r="V692" i="1"/>
  <c r="BF692" i="1" s="1"/>
  <c r="V1451" i="1"/>
  <c r="BF1451" i="1" s="1"/>
  <c r="V1182" i="1"/>
  <c r="BF1182" i="1" s="1"/>
  <c r="V1518" i="1"/>
  <c r="BF1518" i="1" s="1"/>
  <c r="V1683" i="1"/>
  <c r="BF1683" i="1" s="1"/>
  <c r="V640" i="1"/>
  <c r="BF640" i="1" s="1"/>
  <c r="V1721" i="1"/>
  <c r="BF1721" i="1" s="1"/>
  <c r="V1637" i="1"/>
  <c r="BF1637" i="1" s="1"/>
  <c r="V1925" i="1"/>
  <c r="BF1925" i="1" s="1"/>
  <c r="V1406" i="1"/>
  <c r="BF1406" i="1" s="1"/>
  <c r="V1505" i="1"/>
  <c r="BF1505" i="1" s="1"/>
  <c r="V2002" i="1"/>
  <c r="BF2002" i="1" s="1"/>
  <c r="V1282" i="1"/>
  <c r="BF1282" i="1" s="1"/>
  <c r="V721" i="1"/>
  <c r="BF721" i="1" s="1"/>
  <c r="V1512" i="1"/>
  <c r="BF1512" i="1" s="1"/>
  <c r="V351" i="1"/>
  <c r="BF351" i="1" s="1"/>
  <c r="V34" i="1"/>
  <c r="BF34" i="1" s="1"/>
  <c r="V696" i="1"/>
  <c r="BF696" i="1" s="1"/>
  <c r="V224" i="1"/>
  <c r="BF224" i="1" s="1"/>
  <c r="V703" i="1"/>
  <c r="BF703" i="1" s="1"/>
  <c r="V542" i="1"/>
  <c r="BF542" i="1" s="1"/>
  <c r="V325" i="1"/>
  <c r="BF325" i="1" s="1"/>
  <c r="V1275" i="1"/>
  <c r="BF1275" i="1" s="1"/>
  <c r="V1979" i="1"/>
  <c r="BF1979" i="1" s="1"/>
  <c r="V1855" i="1"/>
  <c r="BF1855" i="1" s="1"/>
  <c r="V1987" i="1"/>
  <c r="BF1987" i="1" s="1"/>
  <c r="V1739" i="1"/>
  <c r="BF1739" i="1" s="1"/>
  <c r="V254" i="1"/>
  <c r="BF254" i="1" s="1"/>
  <c r="V1318" i="1"/>
  <c r="BF1318" i="1" s="1"/>
  <c r="V1279" i="1"/>
  <c r="BF1279" i="1" s="1"/>
  <c r="V960" i="1"/>
  <c r="BF960" i="1" s="1"/>
  <c r="V1149" i="1"/>
  <c r="BF1149" i="1" s="1"/>
  <c r="V1800" i="1"/>
  <c r="BF1800" i="1" s="1"/>
  <c r="V623" i="1"/>
  <c r="BF623" i="1" s="1"/>
  <c r="V1723" i="1"/>
  <c r="BF1723" i="1" s="1"/>
  <c r="V1078" i="1"/>
  <c r="BF1078" i="1" s="1"/>
  <c r="V1865" i="1"/>
  <c r="BF1865" i="1" s="1"/>
  <c r="V955" i="1"/>
  <c r="BF955" i="1" s="1"/>
  <c r="V654" i="1"/>
  <c r="BF654" i="1" s="1"/>
  <c r="V1128" i="1"/>
  <c r="BF1128" i="1" s="1"/>
  <c r="V487" i="1"/>
  <c r="BF487" i="1" s="1"/>
  <c r="V272" i="1"/>
  <c r="BF272" i="1" s="1"/>
  <c r="V1940" i="1"/>
  <c r="BF1940" i="1" s="1"/>
  <c r="V113" i="1"/>
  <c r="BF113" i="1" s="1"/>
  <c r="V27" i="1"/>
  <c r="BF27" i="1" s="1"/>
  <c r="V1094" i="1"/>
  <c r="BF1094" i="1" s="1"/>
  <c r="V1483" i="1"/>
  <c r="BF1483" i="1" s="1"/>
  <c r="V1946" i="1"/>
  <c r="BF1946" i="1" s="1"/>
  <c r="V100" i="1"/>
  <c r="BF100" i="1" s="1"/>
  <c r="V37" i="1"/>
  <c r="BF37" i="1" s="1"/>
  <c r="V1158" i="1"/>
  <c r="BF1158" i="1" s="1"/>
  <c r="V14" i="1"/>
  <c r="BF14" i="1" s="1"/>
  <c r="V441" i="1"/>
  <c r="BF441" i="1" s="1"/>
  <c r="V1999" i="1"/>
  <c r="BF1999" i="1" s="1"/>
  <c r="V758" i="1"/>
  <c r="BF758" i="1" s="1"/>
  <c r="V85" i="1"/>
  <c r="BF85" i="1" s="1"/>
  <c r="V1268" i="1"/>
  <c r="BF1268" i="1" s="1"/>
  <c r="V604" i="1"/>
  <c r="BF604" i="1" s="1"/>
  <c r="V481" i="1"/>
  <c r="BF481" i="1" s="1"/>
  <c r="V1741" i="1"/>
  <c r="BF1741" i="1" s="1"/>
  <c r="V1085" i="1"/>
  <c r="BF1085" i="1" s="1"/>
  <c r="V606" i="1"/>
  <c r="BF606" i="1" s="1"/>
  <c r="V1091" i="1"/>
  <c r="BF1091" i="1" s="1"/>
  <c r="V1680" i="1"/>
  <c r="BF1680" i="1" s="1"/>
  <c r="V2006" i="1"/>
  <c r="BF2006" i="1" s="1"/>
  <c r="V1734" i="1"/>
  <c r="BF1734" i="1" s="1"/>
  <c r="V958" i="1"/>
  <c r="BF958" i="1" s="1"/>
  <c r="V1738" i="1"/>
  <c r="BF1738" i="1" s="1"/>
  <c r="V1599" i="1"/>
  <c r="BF1599" i="1" s="1"/>
  <c r="V1525" i="1"/>
  <c r="BF1525" i="1" s="1"/>
  <c r="V1316" i="1"/>
  <c r="BF1316" i="1" s="1"/>
  <c r="V144" i="1"/>
  <c r="BF144" i="1" s="1"/>
  <c r="V1868" i="1"/>
  <c r="BF1868" i="1" s="1"/>
  <c r="V959" i="1"/>
  <c r="BF959" i="1" s="1"/>
  <c r="V898" i="1"/>
  <c r="BF898" i="1" s="1"/>
  <c r="V894" i="1"/>
  <c r="BF894" i="1" s="1"/>
  <c r="V1533" i="1"/>
  <c r="BF1533" i="1" s="1"/>
  <c r="V522" i="1"/>
  <c r="BF522" i="1" s="1"/>
  <c r="V610" i="1"/>
  <c r="BF610" i="1" s="1"/>
  <c r="V1438" i="1"/>
  <c r="BF1438" i="1" s="1"/>
  <c r="V45" i="1"/>
  <c r="BF45" i="1" s="1"/>
  <c r="V1289" i="1"/>
  <c r="BF1289" i="1" s="1"/>
  <c r="V1119" i="1"/>
  <c r="BF1119" i="1" s="1"/>
  <c r="V369" i="1"/>
  <c r="BF369" i="1" s="1"/>
  <c r="V793" i="1"/>
  <c r="BF793" i="1" s="1"/>
  <c r="V365" i="1"/>
  <c r="BF365" i="1" s="1"/>
  <c r="V1096" i="1"/>
  <c r="BF1096" i="1" s="1"/>
  <c r="V1632" i="1"/>
  <c r="BF1632" i="1" s="1"/>
  <c r="V385" i="1"/>
  <c r="BF385" i="1" s="1"/>
  <c r="V267" i="1"/>
  <c r="BF267" i="1" s="1"/>
  <c r="V1689" i="1"/>
  <c r="BF1689" i="1" s="1"/>
  <c r="V1027" i="1"/>
  <c r="BF1027" i="1" s="1"/>
  <c r="V1100" i="1"/>
  <c r="BF1100" i="1" s="1"/>
  <c r="V735" i="1"/>
  <c r="BF735" i="1" s="1"/>
  <c r="V1462" i="1"/>
  <c r="BF1462" i="1" s="1"/>
  <c r="V847" i="1"/>
  <c r="BF847" i="1" s="1"/>
  <c r="V1439" i="1"/>
  <c r="BF1439" i="1" s="1"/>
  <c r="V1916" i="1"/>
  <c r="BF1916" i="1" s="1"/>
  <c r="V754" i="1"/>
  <c r="BF754" i="1" s="1"/>
  <c r="V1345" i="1"/>
  <c r="BF1345" i="1" s="1"/>
  <c r="V901" i="1"/>
  <c r="BF901" i="1" s="1"/>
  <c r="V731" i="1"/>
  <c r="BF731" i="1" s="1"/>
  <c r="V1346" i="1"/>
  <c r="BF1346" i="1" s="1"/>
  <c r="V1437" i="1"/>
  <c r="BF1437" i="1" s="1"/>
  <c r="V1475" i="1"/>
  <c r="BF1475" i="1" s="1"/>
  <c r="V1663" i="1"/>
  <c r="BF1663" i="1" s="1"/>
  <c r="V1287" i="1"/>
  <c r="BF1287" i="1" s="1"/>
  <c r="V114" i="1"/>
  <c r="BF114" i="1" s="1"/>
  <c r="V196" i="1"/>
  <c r="BF196" i="1" s="1"/>
  <c r="V639" i="1"/>
  <c r="BF639" i="1" s="1"/>
  <c r="V783" i="1"/>
  <c r="BF783" i="1" s="1"/>
  <c r="V1994" i="1"/>
  <c r="BF1994" i="1" s="1"/>
  <c r="V1371" i="1"/>
  <c r="BF1371" i="1" s="1"/>
  <c r="V426" i="1"/>
  <c r="BF426" i="1" s="1"/>
  <c r="V1168" i="1"/>
  <c r="BF1168" i="1" s="1"/>
  <c r="V256" i="1"/>
  <c r="BF256" i="1" s="1"/>
  <c r="V853" i="1"/>
  <c r="BF853" i="1" s="1"/>
  <c r="V594" i="1"/>
  <c r="BF594" i="1" s="1"/>
  <c r="V827" i="1"/>
  <c r="BF827" i="1" s="1"/>
  <c r="V907" i="1"/>
  <c r="BF907" i="1" s="1"/>
  <c r="V409" i="1"/>
  <c r="BF409" i="1" s="1"/>
  <c r="V619" i="1"/>
  <c r="BF619" i="1" s="1"/>
  <c r="V442" i="1"/>
  <c r="BF442" i="1" s="1"/>
  <c r="V1849" i="1"/>
  <c r="BF1849" i="1" s="1"/>
  <c r="V1151" i="1"/>
  <c r="BF1151" i="1" s="1"/>
  <c r="V1401" i="1"/>
  <c r="BF1401" i="1" s="1"/>
  <c r="V634" i="1"/>
  <c r="BF634" i="1" s="1"/>
  <c r="V613" i="1"/>
  <c r="BF613" i="1" s="1"/>
  <c r="V614" i="1"/>
  <c r="BF614" i="1" s="1"/>
  <c r="V101" i="1"/>
  <c r="BF101" i="1" s="1"/>
  <c r="V1054" i="1"/>
  <c r="BF1054" i="1" s="1"/>
  <c r="V787" i="1"/>
  <c r="BF787" i="1" s="1"/>
  <c r="V1384" i="1"/>
  <c r="BF1384" i="1" s="1"/>
  <c r="V765" i="1"/>
  <c r="BF765" i="1" s="1"/>
  <c r="V1129" i="1"/>
  <c r="BF1129" i="1" s="1"/>
  <c r="V53" i="1"/>
  <c r="BF53" i="1" s="1"/>
  <c r="V1342" i="1"/>
  <c r="BF1342" i="1" s="1"/>
  <c r="V122" i="1"/>
  <c r="BF122" i="1" s="1"/>
  <c r="V1568" i="1"/>
  <c r="BF1568" i="1" s="1"/>
  <c r="V1790" i="1"/>
  <c r="BF1790" i="1" s="1"/>
  <c r="V331" i="1"/>
  <c r="BF331" i="1" s="1"/>
  <c r="V202" i="1"/>
  <c r="BF202" i="1" s="1"/>
  <c r="V1737" i="1"/>
  <c r="BF1737" i="1" s="1"/>
  <c r="V251" i="1"/>
  <c r="BF251" i="1" s="1"/>
  <c r="V824" i="1"/>
  <c r="BF824" i="1" s="1"/>
  <c r="V356" i="1"/>
  <c r="BF356" i="1" s="1"/>
  <c r="V1806" i="1"/>
  <c r="BF1806" i="1" s="1"/>
  <c r="V1609" i="1"/>
  <c r="BF1609" i="1" s="1"/>
  <c r="V217" i="1"/>
  <c r="BF217" i="1" s="1"/>
  <c r="V653" i="1"/>
  <c r="BF653" i="1" s="1"/>
  <c r="V467" i="1"/>
  <c r="BF467" i="1" s="1"/>
  <c r="V1132" i="1"/>
  <c r="BF1132" i="1" s="1"/>
  <c r="V1135" i="1"/>
  <c r="BF1135" i="1" s="1"/>
  <c r="V509" i="1"/>
  <c r="BF509" i="1" s="1"/>
  <c r="V833" i="1"/>
  <c r="BF833" i="1" s="1"/>
  <c r="V667" i="1"/>
  <c r="BF667" i="1" s="1"/>
  <c r="V1747" i="1"/>
  <c r="BF1747" i="1" s="1"/>
  <c r="V1220" i="1"/>
  <c r="BF1220" i="1" s="1"/>
  <c r="V1252" i="1"/>
  <c r="BF1252" i="1" s="1"/>
  <c r="V218" i="1"/>
  <c r="BF218" i="1" s="1"/>
  <c r="V921" i="1"/>
  <c r="BF921" i="1" s="1"/>
  <c r="V1880" i="1"/>
  <c r="BF1880" i="1" s="1"/>
  <c r="V1834" i="1"/>
  <c r="BF1834" i="1" s="1"/>
  <c r="V1286" i="1"/>
  <c r="BF1286" i="1" s="1"/>
  <c r="V1271" i="1"/>
  <c r="BF1271" i="1" s="1"/>
  <c r="V72" i="1"/>
  <c r="BF72" i="1" s="1"/>
  <c r="V950" i="1"/>
  <c r="BF950" i="1" s="1"/>
  <c r="V1822" i="1"/>
  <c r="BF1822" i="1" s="1"/>
  <c r="V75" i="1"/>
  <c r="BF75" i="1" s="1"/>
  <c r="V1116" i="1"/>
  <c r="BF1116" i="1" s="1"/>
  <c r="V1948" i="1"/>
  <c r="BF1948" i="1" s="1"/>
  <c r="V1799" i="1"/>
  <c r="BF1799" i="1" s="1"/>
  <c r="V1444" i="1"/>
  <c r="BF1444" i="1" s="1"/>
  <c r="V1894" i="1"/>
  <c r="BF1894" i="1" s="1"/>
  <c r="V778" i="1"/>
  <c r="BF778" i="1" s="1"/>
  <c r="V1550" i="1"/>
  <c r="BF1550" i="1" s="1"/>
  <c r="V168" i="1"/>
  <c r="BF168" i="1" s="1"/>
  <c r="V1344" i="1"/>
  <c r="BF1344" i="1" s="1"/>
  <c r="V923" i="1"/>
  <c r="BF923" i="1" s="1"/>
  <c r="V137" i="1"/>
  <c r="BF137" i="1" s="1"/>
  <c r="V1753" i="1"/>
  <c r="BF1753" i="1" s="1"/>
  <c r="V287" i="1"/>
  <c r="BF287" i="1" s="1"/>
  <c r="V1624" i="1"/>
  <c r="BF1624" i="1" s="1"/>
  <c r="V109" i="1"/>
  <c r="BF109" i="1" s="1"/>
  <c r="V523" i="1"/>
  <c r="BF523" i="1" s="1"/>
  <c r="V722" i="1"/>
  <c r="BF722" i="1" s="1"/>
  <c r="V1134" i="1"/>
  <c r="BF1134" i="1" s="1"/>
  <c r="V1066" i="1"/>
  <c r="BF1066" i="1" s="1"/>
  <c r="V628" i="1"/>
  <c r="BF628" i="1" s="1"/>
  <c r="V1794" i="1"/>
  <c r="BF1794" i="1" s="1"/>
  <c r="V1126" i="1"/>
  <c r="BF1126" i="1" s="1"/>
  <c r="V1468" i="1"/>
  <c r="BF1468" i="1" s="1"/>
  <c r="V1231" i="1"/>
  <c r="BF1231" i="1" s="1"/>
  <c r="V1465" i="1"/>
  <c r="BF1465" i="1" s="1"/>
  <c r="V1433" i="1"/>
  <c r="BF1433" i="1" s="1"/>
  <c r="V670" i="1"/>
  <c r="BF670" i="1" s="1"/>
  <c r="V1474" i="1"/>
  <c r="BF1474" i="1" s="1"/>
  <c r="V715" i="1"/>
  <c r="BF715" i="1" s="1"/>
  <c r="V1055" i="1"/>
  <c r="BF1055" i="1" s="1"/>
  <c r="V1995" i="1"/>
  <c r="BF1995" i="1" s="1"/>
  <c r="V1161" i="1"/>
  <c r="BF1161" i="1" s="1"/>
  <c r="V989" i="1"/>
  <c r="BF989" i="1" s="1"/>
  <c r="V1222" i="1"/>
  <c r="BF1222" i="1" s="1"/>
  <c r="V1150" i="1"/>
  <c r="BF1150" i="1" s="1"/>
  <c r="V1411" i="1"/>
  <c r="BF1411" i="1" s="1"/>
  <c r="V1385" i="1"/>
  <c r="BF1385" i="1" s="1"/>
  <c r="V1811" i="1"/>
  <c r="BF1811" i="1" s="1"/>
  <c r="V194" i="1"/>
  <c r="BF194" i="1" s="1"/>
  <c r="V764" i="1"/>
  <c r="BF764" i="1" s="1"/>
  <c r="V1013" i="1"/>
  <c r="BF1013" i="1" s="1"/>
  <c r="V1493" i="1"/>
  <c r="BF1493" i="1" s="1"/>
  <c r="V1374" i="1"/>
  <c r="BF1374" i="1" s="1"/>
  <c r="V23" i="1"/>
  <c r="BF23" i="1" s="1"/>
  <c r="V345" i="1"/>
  <c r="BF345" i="1" s="1"/>
  <c r="V1621" i="1"/>
  <c r="BF1621" i="1" s="1"/>
  <c r="V485" i="1"/>
  <c r="BF485" i="1" s="1"/>
  <c r="V1963" i="1"/>
  <c r="BF1963" i="1" s="1"/>
  <c r="V1882" i="1"/>
  <c r="BF1882" i="1" s="1"/>
  <c r="V1337" i="1"/>
  <c r="BF1337" i="1" s="1"/>
  <c r="V1810" i="1"/>
  <c r="BF1810" i="1" s="1"/>
  <c r="V1682" i="1"/>
  <c r="BF1682" i="1" s="1"/>
  <c r="V1761" i="1"/>
  <c r="BF1761" i="1" s="1"/>
  <c r="V736" i="1"/>
  <c r="BF736" i="1" s="1"/>
  <c r="V306" i="1"/>
  <c r="BF306" i="1" s="1"/>
  <c r="V804" i="1"/>
  <c r="BF804" i="1" s="1"/>
  <c r="V1103" i="1"/>
  <c r="BF1103" i="1" s="1"/>
  <c r="V1890" i="1"/>
  <c r="BF1890" i="1" s="1"/>
  <c r="V1862" i="1"/>
  <c r="BF1862" i="1" s="1"/>
  <c r="V1707" i="1"/>
  <c r="BF1707" i="1" s="1"/>
  <c r="V143" i="1"/>
  <c r="BF143" i="1" s="1"/>
  <c r="V1373" i="1"/>
  <c r="BF1373" i="1" s="1"/>
  <c r="V887" i="1"/>
  <c r="BF887" i="1" s="1"/>
  <c r="V1950" i="1"/>
  <c r="BF1950" i="1" s="1"/>
  <c r="V726" i="1"/>
  <c r="BF726" i="1" s="1"/>
  <c r="V1202" i="1"/>
  <c r="BF1202" i="1" s="1"/>
  <c r="V1575" i="1"/>
  <c r="BF1575" i="1" s="1"/>
  <c r="V943" i="1"/>
  <c r="BF943" i="1" s="1"/>
  <c r="V1748" i="1"/>
  <c r="BF1748" i="1" s="1"/>
  <c r="V984" i="1"/>
  <c r="BF984" i="1" s="1"/>
  <c r="V1209" i="1"/>
  <c r="BF1209" i="1" s="1"/>
  <c r="V330" i="1"/>
  <c r="BF330" i="1" s="1"/>
  <c r="V1482" i="1"/>
  <c r="BF1482" i="1" s="1"/>
  <c r="V312" i="1"/>
  <c r="BF312" i="1" s="1"/>
  <c r="V1992" i="1"/>
  <c r="BF1992" i="1" s="1"/>
  <c r="V329" i="1"/>
  <c r="BF329" i="1" s="1"/>
  <c r="V552" i="1"/>
  <c r="BF552" i="1" s="1"/>
  <c r="V1586" i="1"/>
  <c r="BF1586" i="1" s="1"/>
  <c r="V1757" i="1"/>
  <c r="BF1757" i="1" s="1"/>
  <c r="V566" i="1"/>
  <c r="BF566" i="1" s="1"/>
  <c r="V414" i="1"/>
  <c r="BF414" i="1" s="1"/>
  <c r="V1224" i="1"/>
  <c r="BF1224" i="1" s="1"/>
  <c r="V83" i="1"/>
  <c r="BF83" i="1" s="1"/>
  <c r="V1229" i="1"/>
  <c r="BF1229" i="1" s="1"/>
  <c r="V99" i="1"/>
  <c r="BF99" i="1" s="1"/>
  <c r="V925" i="1"/>
  <c r="BF925" i="1" s="1"/>
  <c r="V750" i="1"/>
  <c r="BF750" i="1" s="1"/>
  <c r="V498" i="1"/>
  <c r="BF498" i="1" s="1"/>
  <c r="V266" i="1"/>
  <c r="BF266" i="1" s="1"/>
  <c r="V738" i="1"/>
  <c r="BF738" i="1" s="1"/>
  <c r="V1230" i="1"/>
  <c r="BF1230" i="1" s="1"/>
  <c r="V235" i="1"/>
  <c r="BF235" i="1" s="1"/>
  <c r="V1181" i="1"/>
  <c r="BF1181" i="1" s="1"/>
  <c r="V3" i="1"/>
  <c r="BF3" i="1" s="1"/>
  <c r="V935" i="1"/>
  <c r="BF935" i="1" s="1"/>
  <c r="V401" i="1"/>
  <c r="BF401" i="1" s="1"/>
  <c r="V632" i="1"/>
  <c r="BF632" i="1" s="1"/>
  <c r="V8" i="1"/>
  <c r="BF8" i="1" s="1"/>
  <c r="V1732" i="1"/>
  <c r="BF1732" i="1" s="1"/>
  <c r="V587" i="1"/>
  <c r="BF587" i="1" s="1"/>
  <c r="V1114" i="1"/>
  <c r="BF1114" i="1" s="1"/>
  <c r="V1137" i="1"/>
  <c r="BF1137" i="1" s="1"/>
  <c r="V799" i="1"/>
  <c r="BF799" i="1" s="1"/>
  <c r="V532" i="1"/>
  <c r="BF532" i="1" s="1"/>
  <c r="V1190" i="1"/>
  <c r="BF1190" i="1" s="1"/>
  <c r="V922" i="1"/>
  <c r="BF922" i="1" s="1"/>
  <c r="V825" i="1"/>
  <c r="BF825" i="1" s="1"/>
  <c r="V1369" i="1"/>
  <c r="BF1369" i="1" s="1"/>
  <c r="V1793" i="1"/>
  <c r="BF1793" i="1" s="1"/>
  <c r="V1687" i="1"/>
  <c r="BF1687" i="1" s="1"/>
  <c r="V1228" i="1"/>
  <c r="BF1228" i="1" s="1"/>
  <c r="V1908" i="1"/>
  <c r="BF1908" i="1" s="1"/>
  <c r="V1767" i="1"/>
  <c r="BF1767" i="1" s="1"/>
  <c r="V946" i="1"/>
  <c r="BF946" i="1" s="1"/>
  <c r="V826" i="1"/>
  <c r="BF826" i="1" s="1"/>
  <c r="V835" i="1"/>
  <c r="BF835" i="1" s="1"/>
  <c r="V609" i="1"/>
  <c r="BF609" i="1" s="1"/>
  <c r="V421" i="1"/>
  <c r="BF421" i="1" s="1"/>
  <c r="V1805" i="1"/>
  <c r="BF1805" i="1" s="1"/>
  <c r="V386" i="1"/>
  <c r="BF386" i="1" s="1"/>
  <c r="V315" i="1"/>
  <c r="BF315" i="1" s="1"/>
  <c r="V1491" i="1"/>
  <c r="BF1491" i="1" s="1"/>
  <c r="V389" i="1"/>
  <c r="BF389" i="1" s="1"/>
  <c r="V593" i="1"/>
  <c r="BF593" i="1" s="1"/>
  <c r="V363" i="1"/>
  <c r="BF363" i="1" s="1"/>
  <c r="V904" i="1"/>
  <c r="BF904" i="1" s="1"/>
  <c r="V1485" i="1"/>
  <c r="BF1485" i="1" s="1"/>
  <c r="V398" i="1"/>
  <c r="BF398" i="1" s="1"/>
  <c r="V605" i="1"/>
  <c r="BF605" i="1" s="1"/>
  <c r="V60" i="1"/>
  <c r="BF60" i="1" s="1"/>
  <c r="V175" i="1"/>
  <c r="BF175" i="1" s="1"/>
  <c r="V348" i="1"/>
  <c r="BF348" i="1" s="1"/>
  <c r="V1082" i="1"/>
  <c r="BF1082" i="1" s="1"/>
  <c r="V470" i="1"/>
  <c r="BF470" i="1" s="1"/>
  <c r="V1360" i="1"/>
  <c r="BF1360" i="1" s="1"/>
  <c r="V1842" i="1"/>
  <c r="BF1842" i="1" s="1"/>
  <c r="V1218" i="1"/>
  <c r="BF1218" i="1" s="1"/>
  <c r="V759" i="1"/>
  <c r="BF759" i="1" s="1"/>
  <c r="V1050" i="1"/>
  <c r="BF1050" i="1" s="1"/>
  <c r="V1866" i="1"/>
  <c r="BF1866" i="1" s="1"/>
  <c r="V806" i="1"/>
  <c r="BF806" i="1" s="1"/>
  <c r="V205" i="1"/>
  <c r="BF205" i="1" s="1"/>
  <c r="V402" i="1"/>
  <c r="BF402" i="1" s="1"/>
  <c r="V513" i="1"/>
  <c r="BF513" i="1" s="1"/>
  <c r="V521" i="1"/>
  <c r="BF521" i="1" s="1"/>
  <c r="V28" i="1"/>
  <c r="BF28" i="1" s="1"/>
  <c r="V1364" i="1"/>
  <c r="BF1364" i="1" s="1"/>
  <c r="V1567" i="1"/>
  <c r="BF1567" i="1" s="1"/>
  <c r="V1351" i="1"/>
  <c r="BF1351" i="1" s="1"/>
  <c r="V672" i="1"/>
  <c r="BF672" i="1" s="1"/>
  <c r="V1815" i="1"/>
  <c r="BF1815" i="1" s="1"/>
  <c r="V945" i="1"/>
  <c r="BF945" i="1" s="1"/>
  <c r="V1628" i="1"/>
  <c r="BF1628" i="1" s="1"/>
  <c r="V530" i="1"/>
  <c r="BF530" i="1" s="1"/>
  <c r="V1049" i="1"/>
  <c r="BF1049" i="1" s="1"/>
  <c r="V212" i="1"/>
  <c r="BF212" i="1" s="1"/>
  <c r="V62" i="1"/>
  <c r="BF62" i="1" s="1"/>
  <c r="V1817" i="1"/>
  <c r="BF1817" i="1" s="1"/>
  <c r="V828" i="1"/>
  <c r="BF828" i="1" s="1"/>
  <c r="V1269" i="1"/>
  <c r="BF1269" i="1" s="1"/>
  <c r="V486" i="1"/>
  <c r="BF486" i="1" s="1"/>
  <c r="V519" i="1"/>
  <c r="BF519" i="1" s="1"/>
  <c r="V1939" i="1"/>
  <c r="BF1939" i="1" s="1"/>
  <c r="V305" i="1"/>
  <c r="BF305" i="1" s="1"/>
  <c r="V2011" i="1"/>
  <c r="BF2011" i="1" s="1"/>
  <c r="V182" i="1"/>
  <c r="BF182" i="1" s="1"/>
  <c r="V236" i="1"/>
  <c r="BF236" i="1" s="1"/>
  <c r="V899" i="1"/>
  <c r="BF899" i="1" s="1"/>
  <c r="V31" i="1"/>
  <c r="BF31" i="1" s="1"/>
  <c r="V1617" i="1"/>
  <c r="BF1617" i="1" s="1"/>
  <c r="V1029" i="1"/>
  <c r="BF1029" i="1" s="1"/>
  <c r="V1304" i="1"/>
  <c r="BF1304" i="1" s="1"/>
  <c r="V231" i="1"/>
  <c r="BF231" i="1" s="1"/>
  <c r="V336" i="1"/>
  <c r="BF336" i="1" s="1"/>
  <c r="V589" i="1"/>
  <c r="BF589" i="1" s="1"/>
  <c r="V570" i="1"/>
  <c r="BF570" i="1" s="1"/>
  <c r="V1952" i="1"/>
  <c r="BF1952" i="1" s="1"/>
  <c r="V709" i="1"/>
  <c r="BF709" i="1" s="1"/>
  <c r="V717" i="1"/>
  <c r="BF717" i="1" s="1"/>
  <c r="V1630" i="1"/>
  <c r="BF1630" i="1" s="1"/>
  <c r="V1164" i="1"/>
  <c r="BF1164" i="1" s="1"/>
  <c r="V1429" i="1"/>
  <c r="BF1429" i="1" s="1"/>
  <c r="V121" i="1"/>
  <c r="BF121" i="1" s="1"/>
  <c r="V115" i="1"/>
  <c r="BF115" i="1" s="1"/>
  <c r="V1971" i="1"/>
  <c r="BF1971" i="1" s="1"/>
  <c r="V273" i="1"/>
  <c r="BF273" i="1" s="1"/>
  <c r="V1629" i="1"/>
  <c r="BF1629" i="1" s="1"/>
  <c r="V456" i="1"/>
  <c r="BF456" i="1" s="1"/>
  <c r="V89" i="1"/>
  <c r="BF89" i="1" s="1"/>
  <c r="V1064" i="1"/>
  <c r="BF1064" i="1" s="1"/>
  <c r="V141" i="1"/>
  <c r="BF141" i="1" s="1"/>
  <c r="V226" i="1"/>
  <c r="BF226" i="1" s="1"/>
  <c r="V408" i="1"/>
  <c r="BF408" i="1" s="1"/>
  <c r="V723" i="1"/>
  <c r="BF723" i="1" s="1"/>
  <c r="V846" i="1"/>
  <c r="BF846" i="1" s="1"/>
  <c r="V1352" i="1"/>
  <c r="BF1352" i="1" s="1"/>
  <c r="V1477" i="1"/>
  <c r="BF1477" i="1" s="1"/>
  <c r="V1524" i="1"/>
  <c r="BF1524" i="1" s="1"/>
  <c r="V406" i="1"/>
  <c r="BF406" i="1" s="1"/>
  <c r="V164" i="1"/>
  <c r="BF164" i="1" s="1"/>
  <c r="V1673" i="1"/>
  <c r="BF1673" i="1" s="1"/>
  <c r="V271" i="1"/>
  <c r="BF271" i="1" s="1"/>
  <c r="V1153" i="1"/>
  <c r="BF1153" i="1" s="1"/>
  <c r="V234" i="1"/>
  <c r="BF234" i="1" s="1"/>
  <c r="V357" i="1"/>
  <c r="BF357" i="1" s="1"/>
  <c r="V1188" i="1"/>
  <c r="BF1188" i="1" s="1"/>
  <c r="V771" i="1"/>
  <c r="BF771" i="1" s="1"/>
  <c r="V505" i="1"/>
  <c r="BF505" i="1" s="1"/>
  <c r="V210" i="1"/>
  <c r="BF210" i="1" s="1"/>
  <c r="V1332" i="1"/>
  <c r="BF1332" i="1" s="1"/>
  <c r="V1622" i="1"/>
  <c r="BF1622" i="1" s="1"/>
  <c r="V2017" i="1"/>
  <c r="BF2017" i="1" s="1"/>
  <c r="V1413" i="1"/>
  <c r="BF1413" i="1" s="1"/>
  <c r="V1400" i="1"/>
  <c r="BF1400" i="1" s="1"/>
  <c r="V277" i="1"/>
  <c r="BF277" i="1" s="1"/>
  <c r="V1080" i="1"/>
  <c r="BF1080" i="1" s="1"/>
  <c r="V511" i="1"/>
  <c r="BF511" i="1" s="1"/>
  <c r="V302" i="1"/>
  <c r="BF302" i="1" s="1"/>
  <c r="V1515" i="1"/>
  <c r="BF1515" i="1" s="1"/>
  <c r="V1934" i="1"/>
  <c r="BF1934" i="1" s="1"/>
  <c r="V1725" i="1"/>
  <c r="BF1725" i="1" s="1"/>
  <c r="V1693" i="1"/>
  <c r="BF1693" i="1" s="1"/>
  <c r="V1920" i="1"/>
  <c r="BF1920" i="1" s="1"/>
  <c r="V1981" i="1"/>
  <c r="BF1981" i="1" s="1"/>
  <c r="V1330" i="1"/>
  <c r="BF1330" i="1" s="1"/>
  <c r="V1259" i="1"/>
  <c r="BF1259" i="1" s="1"/>
  <c r="V1355" i="1"/>
  <c r="BF1355" i="1" s="1"/>
  <c r="V480" i="1"/>
  <c r="BF480" i="1" s="1"/>
  <c r="V142" i="1"/>
  <c r="BF142" i="1" s="1"/>
  <c r="V1763" i="1"/>
  <c r="BF1763" i="1" s="1"/>
  <c r="V1032" i="1"/>
  <c r="BF1032" i="1" s="1"/>
  <c r="V1217" i="1"/>
  <c r="BF1217" i="1" s="1"/>
  <c r="V829" i="1"/>
  <c r="BF829" i="1" s="1"/>
  <c r="V568" i="1"/>
  <c r="BF568" i="1" s="1"/>
  <c r="V802" i="1"/>
  <c r="BF802" i="1" s="1"/>
  <c r="V265" i="1"/>
  <c r="BF265" i="1" s="1"/>
  <c r="V1953" i="1"/>
  <c r="BF1953" i="1" s="1"/>
  <c r="V737" i="1"/>
  <c r="BF737" i="1" s="1"/>
  <c r="V1216" i="1"/>
  <c r="BF1216" i="1" s="1"/>
  <c r="V1645" i="1"/>
  <c r="BF1645" i="1" s="1"/>
  <c r="V153" i="1"/>
  <c r="BF153" i="1" s="1"/>
  <c r="V751" i="1"/>
  <c r="BF751" i="1" s="1"/>
  <c r="V1068" i="1"/>
  <c r="BF1068" i="1" s="1"/>
  <c r="V883" i="1"/>
  <c r="BF883" i="1" s="1"/>
  <c r="V963" i="1"/>
  <c r="BF963" i="1" s="1"/>
  <c r="V798" i="1"/>
  <c r="BF798" i="1" s="1"/>
  <c r="V507" i="1"/>
  <c r="BF507" i="1" s="1"/>
  <c r="V1339" i="1"/>
  <c r="BF1339" i="1" s="1"/>
  <c r="V1924" i="1"/>
  <c r="BF1924" i="1" s="1"/>
  <c r="V270" i="1"/>
  <c r="BF270" i="1" s="1"/>
  <c r="V1048" i="1"/>
  <c r="BF1048" i="1" s="1"/>
  <c r="V18" i="1"/>
  <c r="BF18" i="1" s="1"/>
  <c r="V622" i="1"/>
  <c r="BF622" i="1" s="1"/>
  <c r="V1703" i="1"/>
  <c r="BF1703" i="1" s="1"/>
  <c r="V1576" i="1"/>
  <c r="BF1576" i="1" s="1"/>
  <c r="V626" i="1"/>
  <c r="BF626" i="1" s="1"/>
  <c r="V1818" i="1"/>
  <c r="BF1818" i="1" s="1"/>
  <c r="V209" i="1"/>
  <c r="BF209" i="1" s="1"/>
  <c r="V1913" i="1"/>
  <c r="BF1913" i="1" s="1"/>
  <c r="V544" i="1"/>
  <c r="BF544" i="1" s="1"/>
  <c r="V437" i="1"/>
  <c r="BF437" i="1" s="1"/>
  <c r="V204" i="1"/>
  <c r="BF204" i="1" s="1"/>
  <c r="V1504" i="1"/>
  <c r="BF1504" i="1" s="1"/>
  <c r="V394" i="1"/>
  <c r="BF394" i="1" s="1"/>
  <c r="V1966" i="1"/>
  <c r="BF1966" i="1" s="1"/>
  <c r="V915" i="1"/>
  <c r="BF915" i="1" s="1"/>
  <c r="V659" i="1"/>
  <c r="BF659" i="1" s="1"/>
  <c r="V905" i="1"/>
  <c r="BF905" i="1" s="1"/>
  <c r="V1832" i="1"/>
  <c r="BF1832" i="1" s="1"/>
  <c r="V1581" i="1"/>
  <c r="BF1581" i="1" s="1"/>
  <c r="V551" i="1"/>
  <c r="BF551" i="1" s="1"/>
  <c r="V1087" i="1"/>
  <c r="BF1087" i="1" s="1"/>
  <c r="V110" i="1"/>
  <c r="BF110" i="1" s="1"/>
  <c r="V1170" i="1"/>
  <c r="BF1170" i="1" s="1"/>
  <c r="V876" i="1"/>
  <c r="BF876" i="1" s="1"/>
  <c r="V1676" i="1"/>
  <c r="BF1676" i="1" s="1"/>
  <c r="V1394" i="1"/>
  <c r="BF1394" i="1" s="1"/>
  <c r="V1937" i="1"/>
  <c r="BF1937" i="1" s="1"/>
  <c r="V123" i="1"/>
  <c r="BF123" i="1" s="1"/>
  <c r="V130" i="1"/>
  <c r="BF130" i="1" s="1"/>
  <c r="V431" i="1"/>
  <c r="BF431" i="1" s="1"/>
  <c r="V965" i="1"/>
  <c r="BF965" i="1" s="1"/>
  <c r="V1101" i="1"/>
  <c r="BF1101" i="1" s="1"/>
  <c r="V1986" i="1"/>
  <c r="BF1986" i="1" s="1"/>
  <c r="V1095" i="1"/>
  <c r="BF1095" i="1" s="1"/>
  <c r="V132" i="1"/>
  <c r="BF132" i="1" s="1"/>
  <c r="V1730" i="1"/>
  <c r="BF1730" i="1" s="1"/>
  <c r="V1172" i="1"/>
  <c r="BF1172" i="1" s="1"/>
  <c r="V753" i="1"/>
  <c r="BF753" i="1" s="1"/>
  <c r="V1448" i="1"/>
  <c r="BF1448" i="1" s="1"/>
  <c r="V893" i="1"/>
  <c r="BF893" i="1" s="1"/>
  <c r="V1494" i="1"/>
  <c r="BF1494" i="1" s="1"/>
  <c r="V57" i="1"/>
  <c r="BF57" i="1" s="1"/>
  <c r="V1897" i="1"/>
  <c r="BF1897" i="1" s="1"/>
  <c r="V1255" i="1"/>
  <c r="BF1255" i="1" s="1"/>
  <c r="V1893" i="1"/>
  <c r="BF1893" i="1" s="1"/>
  <c r="V1396" i="1"/>
  <c r="BF1396" i="1" s="1"/>
  <c r="V1073" i="1"/>
  <c r="BF1073" i="1" s="1"/>
  <c r="V843" i="1"/>
  <c r="BF843" i="1" s="1"/>
  <c r="V1303" i="1"/>
  <c r="BF1303" i="1" s="1"/>
  <c r="V1929" i="1"/>
  <c r="BF1929" i="1" s="1"/>
  <c r="V972" i="1"/>
  <c r="BF972" i="1" s="1"/>
  <c r="V1702" i="1"/>
  <c r="BF1702" i="1" s="1"/>
  <c r="V311" i="1"/>
  <c r="BF311" i="1" s="1"/>
  <c r="V747" i="1"/>
  <c r="BF747" i="1" s="1"/>
  <c r="V1914" i="1"/>
  <c r="BF1914" i="1" s="1"/>
  <c r="V1293" i="1"/>
  <c r="BF1293" i="1" s="1"/>
  <c r="V733" i="1"/>
  <c r="BF733" i="1" s="1"/>
  <c r="V179" i="1"/>
  <c r="BF179" i="1" s="1"/>
  <c r="V1312" i="1"/>
  <c r="BF1312" i="1" s="1"/>
  <c r="V1366" i="1"/>
  <c r="BF1366" i="1" s="1"/>
  <c r="V73" i="1"/>
  <c r="BF73" i="1" s="1"/>
  <c r="V1965" i="1"/>
  <c r="BF1965" i="1" s="1"/>
  <c r="V1858" i="1"/>
  <c r="BF1858" i="1" s="1"/>
  <c r="V1538" i="1"/>
  <c r="BF1538" i="1" s="1"/>
  <c r="V1508" i="1"/>
  <c r="BF1508" i="1" s="1"/>
  <c r="V1025" i="1"/>
  <c r="BF1025" i="1" s="1"/>
  <c r="V116" i="1"/>
  <c r="BF116" i="1" s="1"/>
  <c r="V1247" i="1"/>
  <c r="BF1247" i="1" s="1"/>
  <c r="V1357" i="1"/>
  <c r="BF1357" i="1" s="1"/>
  <c r="V1062" i="1"/>
  <c r="BF1062" i="1" s="1"/>
  <c r="V358" i="1"/>
  <c r="BF358" i="1" s="1"/>
  <c r="V1681" i="1"/>
  <c r="BF1681" i="1" s="1"/>
  <c r="V1058" i="1"/>
  <c r="BF1058" i="1" s="1"/>
  <c r="V203" i="1"/>
  <c r="BF203" i="1" s="1"/>
  <c r="V1769" i="1"/>
  <c r="BF1769" i="1" s="1"/>
  <c r="V926" i="1"/>
  <c r="BF926" i="1" s="1"/>
  <c r="V708" i="1"/>
  <c r="BF708" i="1" s="1"/>
  <c r="V438" i="1"/>
  <c r="BF438" i="1" s="1"/>
  <c r="V1492" i="1"/>
  <c r="BF1492" i="1" s="1"/>
  <c r="V1891" i="1"/>
  <c r="BF1891" i="1" s="1"/>
  <c r="V155" i="1"/>
  <c r="BF155" i="1" s="1"/>
  <c r="V962" i="1"/>
  <c r="BF962" i="1" s="1"/>
  <c r="V382" i="1"/>
  <c r="BF382" i="1" s="1"/>
  <c r="V524" i="1"/>
  <c r="BF524" i="1" s="1"/>
  <c r="V822" i="1"/>
  <c r="BF822" i="1" s="1"/>
  <c r="V66" i="1"/>
  <c r="BF66" i="1" s="1"/>
  <c r="V67" i="1"/>
  <c r="BF67" i="1" s="1"/>
  <c r="V1214" i="1"/>
  <c r="BF1214" i="1" s="1"/>
  <c r="V1133" i="1"/>
  <c r="BF1133" i="1" s="1"/>
  <c r="V745" i="1"/>
  <c r="BF745" i="1" s="1"/>
  <c r="V201" i="1"/>
  <c r="BF201" i="1" s="1"/>
  <c r="V211" i="1"/>
  <c r="BF211" i="1" s="1"/>
  <c r="V1042" i="1"/>
  <c r="BF1042" i="1" s="1"/>
  <c r="V1559" i="1"/>
  <c r="BF1559" i="1" s="1"/>
  <c r="V9" i="1"/>
  <c r="BF9" i="1" s="1"/>
  <c r="V466" i="1"/>
  <c r="BF466" i="1" s="1"/>
  <c r="V297" i="1"/>
  <c r="BF297" i="1" s="1"/>
  <c r="V1363" i="1"/>
  <c r="BF1363" i="1" s="1"/>
  <c r="V276" i="1"/>
  <c r="BF276" i="1" s="1"/>
  <c r="V1251" i="1"/>
  <c r="BF1251" i="1" s="1"/>
  <c r="V263" i="1"/>
  <c r="BF263" i="1" s="1"/>
  <c r="V1417" i="1"/>
  <c r="BF1417" i="1" s="1"/>
  <c r="V1667" i="1"/>
  <c r="BF1667" i="1" s="1"/>
  <c r="V334" i="1"/>
  <c r="BF334" i="1" s="1"/>
  <c r="V1430" i="1"/>
  <c r="BF1430" i="1" s="1"/>
  <c r="V195" i="1"/>
  <c r="BF195" i="1" s="1"/>
  <c r="V246" i="1"/>
  <c r="BF246" i="1" s="1"/>
  <c r="V569" i="1"/>
  <c r="BF569" i="1" s="1"/>
  <c r="V163" i="1"/>
  <c r="BF163" i="1" s="1"/>
  <c r="V1142" i="1"/>
  <c r="BF1142" i="1" s="1"/>
  <c r="V697" i="1"/>
  <c r="BF697" i="1" s="1"/>
  <c r="V1804" i="1"/>
  <c r="BF1804" i="1" s="1"/>
  <c r="V1651" i="1"/>
  <c r="BF1651" i="1" s="1"/>
  <c r="V301" i="1"/>
  <c r="BF301" i="1" s="1"/>
  <c r="V591" i="1"/>
  <c r="BF591" i="1" s="1"/>
  <c r="V932" i="1"/>
  <c r="BF932" i="1" s="1"/>
  <c r="V763" i="1"/>
  <c r="BF763" i="1" s="1"/>
  <c r="V698" i="1"/>
  <c r="BF698" i="1" s="1"/>
  <c r="V931" i="1"/>
  <c r="BF931" i="1" s="1"/>
  <c r="V96" i="1"/>
  <c r="BF96" i="1" s="1"/>
  <c r="V22" i="1"/>
  <c r="BF22" i="1" s="1"/>
  <c r="V1728" i="1"/>
  <c r="BF1728" i="1" s="1"/>
  <c r="V600" i="1"/>
  <c r="BF600" i="1" s="1"/>
  <c r="V814" i="1"/>
  <c r="BF814" i="1" s="1"/>
  <c r="V565" i="1"/>
  <c r="BF565" i="1" s="1"/>
  <c r="V1395" i="1"/>
  <c r="BF1395" i="1" s="1"/>
  <c r="V578" i="1"/>
  <c r="BF578" i="1" s="1"/>
  <c r="V1770" i="1"/>
  <c r="BF1770" i="1" s="1"/>
  <c r="V1007" i="1"/>
  <c r="BF1007" i="1" s="1"/>
  <c r="V1262" i="1"/>
  <c r="BF1262" i="1" s="1"/>
  <c r="V1314" i="1"/>
  <c r="BF1314" i="1" s="1"/>
  <c r="V1173" i="1"/>
  <c r="BF1173" i="1" s="1"/>
  <c r="V1969" i="1"/>
  <c r="BF1969" i="1" s="1"/>
  <c r="V808" i="1"/>
  <c r="BF808" i="1" s="1"/>
  <c r="V1026" i="1"/>
  <c r="BF1026" i="1" s="1"/>
  <c r="V807" i="1"/>
  <c r="BF807" i="1" s="1"/>
  <c r="V996" i="1"/>
  <c r="BF996" i="1" s="1"/>
  <c r="V547" i="1"/>
  <c r="BF547" i="1" s="1"/>
  <c r="V1035" i="1"/>
  <c r="BF1035" i="1" s="1"/>
  <c r="V1377" i="1"/>
  <c r="BF1377" i="1" s="1"/>
  <c r="V1383" i="1"/>
  <c r="BF1383" i="1" s="1"/>
  <c r="V1056" i="1"/>
  <c r="BF1056" i="1" s="1"/>
  <c r="V975" i="1"/>
  <c r="BF975" i="1" s="1"/>
  <c r="V19" i="1"/>
  <c r="BF19" i="1" s="1"/>
  <c r="V1626" i="1"/>
  <c r="BF1626" i="1" s="1"/>
  <c r="V1589" i="1"/>
  <c r="BF1589" i="1" s="1"/>
  <c r="V1238" i="1"/>
  <c r="BF1238" i="1" s="1"/>
  <c r="V65" i="1"/>
  <c r="BF65" i="1" s="1"/>
  <c r="V1388" i="1"/>
  <c r="BF1388" i="1" s="1"/>
  <c r="V1972" i="1"/>
  <c r="BF1972" i="1" s="1"/>
  <c r="V844" i="1"/>
  <c r="BF844" i="1" s="1"/>
  <c r="V145" i="1"/>
  <c r="BF145" i="1" s="1"/>
  <c r="V97" i="1"/>
  <c r="BF97" i="1" s="1"/>
  <c r="V124" i="1"/>
  <c r="BF124" i="1" s="1"/>
  <c r="V1615" i="1"/>
  <c r="BF1615" i="1" s="1"/>
  <c r="V1041" i="1"/>
  <c r="BF1041" i="1" s="1"/>
  <c r="V1210" i="1"/>
  <c r="BF1210" i="1" s="1"/>
  <c r="V1957" i="1"/>
  <c r="BF1957" i="1" s="1"/>
  <c r="V1610" i="1"/>
  <c r="BF1610" i="1" s="1"/>
  <c r="V186" i="1"/>
  <c r="BF186" i="1" s="1"/>
  <c r="V633" i="1"/>
  <c r="BF633" i="1" s="1"/>
  <c r="V104" i="1"/>
  <c r="BF104" i="1" s="1"/>
  <c r="V233" i="1"/>
  <c r="BF233" i="1" s="1"/>
  <c r="V156" i="1"/>
  <c r="BF156" i="1" s="1"/>
  <c r="V1616" i="1"/>
  <c r="BF1616" i="1" s="1"/>
  <c r="V82" i="1"/>
  <c r="BF82" i="1" s="1"/>
  <c r="V1854" i="1"/>
  <c r="BF1854" i="1" s="1"/>
  <c r="V1308" i="1"/>
  <c r="BF1308" i="1" s="1"/>
  <c r="V616" i="1"/>
  <c r="BF616" i="1" s="1"/>
  <c r="V700" i="1"/>
  <c r="BF700" i="1" s="1"/>
  <c r="V227" i="1"/>
  <c r="BF227" i="1" s="1"/>
  <c r="V994" i="1"/>
  <c r="BF994" i="1" s="1"/>
  <c r="V1243" i="1"/>
  <c r="BF1243" i="1" s="1"/>
  <c r="V446" i="1"/>
  <c r="BF446" i="1" s="1"/>
  <c r="V12" i="1"/>
  <c r="BF12" i="1" s="1"/>
  <c r="V873" i="1"/>
  <c r="BF873" i="1" s="1"/>
  <c r="V1878" i="1"/>
  <c r="BF1878" i="1" s="1"/>
  <c r="V1570" i="1"/>
  <c r="BF1570" i="1" s="1"/>
  <c r="V1601" i="1"/>
  <c r="BF1601" i="1" s="1"/>
  <c r="V677" i="1"/>
  <c r="BF677" i="1" s="1"/>
  <c r="V1949" i="1"/>
  <c r="BF1949" i="1" s="1"/>
  <c r="V1548" i="1"/>
  <c r="BF1548" i="1" s="1"/>
  <c r="V420" i="1"/>
  <c r="BF420" i="1" s="1"/>
  <c r="V1081" i="1"/>
  <c r="BF1081" i="1" s="1"/>
  <c r="V1717" i="1"/>
  <c r="BF1717" i="1" s="1"/>
  <c r="V1620" i="1"/>
  <c r="BF1620" i="1" s="1"/>
  <c r="V1463" i="1"/>
  <c r="BF1463" i="1" s="1"/>
  <c r="V518" i="1"/>
  <c r="BF518" i="1" s="1"/>
  <c r="V328" i="1"/>
  <c r="BF328" i="1" s="1"/>
  <c r="V579" i="1"/>
  <c r="BF579" i="1" s="1"/>
  <c r="V1664" i="1"/>
  <c r="BF1664" i="1" s="1"/>
  <c r="V1592" i="1"/>
  <c r="BF1592" i="1" s="1"/>
  <c r="V1579" i="1"/>
  <c r="BF1579" i="1" s="1"/>
  <c r="V1768" i="1"/>
  <c r="BF1768" i="1" s="1"/>
  <c r="V705" i="1"/>
  <c r="BF705" i="1" s="1"/>
  <c r="V1644" i="1"/>
  <c r="BF1644" i="1" s="1"/>
  <c r="V1961" i="1"/>
  <c r="BF1961" i="1" s="1"/>
  <c r="V912" i="1"/>
  <c r="BF912" i="1" s="1"/>
  <c r="V1758" i="1"/>
  <c r="BF1758" i="1" s="1"/>
  <c r="V1980" i="1"/>
  <c r="BF1980" i="1" s="1"/>
  <c r="V1713" i="1"/>
  <c r="BF1713" i="1" s="1"/>
  <c r="V588" i="1"/>
  <c r="BF588" i="1" s="1"/>
  <c r="V257" i="1"/>
  <c r="BF257" i="1" s="1"/>
  <c r="V30" i="1"/>
  <c r="BF30" i="1" s="1"/>
  <c r="V361" i="1"/>
  <c r="BF361" i="1" s="1"/>
  <c r="V1696" i="1"/>
  <c r="BF1696" i="1" s="1"/>
  <c r="V1298" i="1"/>
  <c r="BF1298" i="1" s="1"/>
  <c r="V1536" i="1"/>
  <c r="BF1536" i="1" s="1"/>
  <c r="V1175" i="1"/>
  <c r="BF1175" i="1" s="1"/>
  <c r="V1503" i="1"/>
  <c r="BF1503" i="1" s="1"/>
  <c r="V1203" i="1"/>
  <c r="BF1203" i="1" s="1"/>
  <c r="V791" i="1"/>
  <c r="BF791" i="1" s="1"/>
  <c r="V1488" i="1"/>
  <c r="BF1488" i="1" s="1"/>
  <c r="V1876" i="1"/>
  <c r="BF1876" i="1" s="1"/>
  <c r="V242" i="1"/>
  <c r="BF242" i="1" s="1"/>
  <c r="V1542" i="1"/>
  <c r="BF1542" i="1" s="1"/>
  <c r="V1658" i="1"/>
  <c r="BF1658" i="1" s="1"/>
  <c r="V1643" i="1"/>
  <c r="BF1643" i="1" s="1"/>
  <c r="V458" i="1"/>
  <c r="BF458" i="1" s="1"/>
  <c r="V1530" i="1"/>
  <c r="BF1530" i="1" s="1"/>
  <c r="V1266" i="1"/>
  <c r="BF1266" i="1" s="1"/>
  <c r="V1780" i="1"/>
  <c r="BF1780" i="1" s="1"/>
  <c r="V374" i="1"/>
  <c r="BF374" i="1" s="1"/>
  <c r="V1833" i="1"/>
  <c r="BF1833" i="1" s="1"/>
  <c r="V1782" i="1"/>
  <c r="BF1782" i="1" s="1"/>
  <c r="V298" i="1"/>
  <c r="BF298" i="1" s="1"/>
  <c r="V1313" i="1"/>
  <c r="BF1313" i="1" s="1"/>
  <c r="V631" i="1"/>
  <c r="BF631" i="1" s="1"/>
  <c r="V324" i="1"/>
  <c r="BF324" i="1" s="1"/>
  <c r="V353" i="1"/>
  <c r="BF353" i="1" s="1"/>
  <c r="V766" i="1"/>
  <c r="BF766" i="1" s="1"/>
  <c r="V674" i="1"/>
  <c r="BF674" i="1" s="1"/>
  <c r="V854" i="1"/>
  <c r="BF854" i="1" s="1"/>
  <c r="V1546" i="1"/>
  <c r="BF1546" i="1" s="1"/>
  <c r="V658" i="1"/>
  <c r="BF658" i="1" s="1"/>
  <c r="V1984" i="1"/>
  <c r="BF1984" i="1" s="1"/>
  <c r="V68" i="1"/>
  <c r="BF68" i="1" s="1"/>
  <c r="V684" i="1"/>
  <c r="BF684" i="1" s="1"/>
  <c r="V1578" i="1"/>
  <c r="BF1578" i="1" s="1"/>
  <c r="V370" i="1"/>
  <c r="BF370" i="1" s="1"/>
  <c r="V548" i="1"/>
  <c r="BF548" i="1" s="1"/>
  <c r="V834" i="1"/>
  <c r="BF834" i="1" s="1"/>
  <c r="V1469" i="1"/>
  <c r="BF1469" i="1" s="1"/>
  <c r="V800" i="1"/>
  <c r="BF800" i="1" s="1"/>
  <c r="V56" i="1"/>
  <c r="BF56" i="1" s="1"/>
  <c r="V51" i="1"/>
  <c r="BF51" i="1" s="1"/>
  <c r="V1798" i="1"/>
  <c r="BF1798" i="1" s="1"/>
  <c r="V1077" i="1"/>
  <c r="BF1077" i="1" s="1"/>
  <c r="V1347" i="1"/>
  <c r="BF1347" i="1" s="1"/>
  <c r="V392" i="1"/>
  <c r="BF392" i="1" s="1"/>
  <c r="V1517" i="1"/>
  <c r="BF1517" i="1" s="1"/>
  <c r="V199" i="1"/>
  <c r="BF199" i="1" s="1"/>
  <c r="V1349" i="1"/>
  <c r="BF1349" i="1" s="1"/>
  <c r="V243" i="1"/>
  <c r="BF243" i="1" s="1"/>
  <c r="V944" i="1"/>
  <c r="BF944" i="1" s="1"/>
  <c r="V1875" i="1"/>
  <c r="BF1875" i="1" s="1"/>
  <c r="V93" i="1"/>
  <c r="BF93" i="1" s="1"/>
  <c r="V1237" i="1"/>
  <c r="BF1237" i="1" s="1"/>
  <c r="V323" i="1"/>
  <c r="BF323" i="1" s="1"/>
  <c r="V64" i="1"/>
  <c r="BF64" i="1" s="1"/>
  <c r="V1425" i="1"/>
  <c r="BF1425" i="1" s="1"/>
  <c r="V1452" i="1"/>
  <c r="BF1452" i="1" s="1"/>
  <c r="V890" i="1"/>
  <c r="BF890" i="1" s="1"/>
  <c r="V714" i="1"/>
  <c r="BF714" i="1" s="1"/>
  <c r="V410" i="1"/>
  <c r="BF410" i="1" s="1"/>
  <c r="V112" i="1"/>
  <c r="BF112" i="1" s="1"/>
  <c r="V1773" i="1"/>
  <c r="BF1773" i="1" s="1"/>
  <c r="V860" i="1"/>
  <c r="BF860" i="1" s="1"/>
  <c r="V81" i="1"/>
  <c r="BF81" i="1" s="1"/>
  <c r="V942" i="1"/>
  <c r="BF942" i="1" s="1"/>
  <c r="V1410" i="1"/>
  <c r="BF1410" i="1" s="1"/>
  <c r="V993" i="1"/>
  <c r="BF993" i="1" s="1"/>
  <c r="V1736" i="1"/>
  <c r="BF1736" i="1" s="1"/>
  <c r="V249" i="1"/>
  <c r="BF249" i="1" s="1"/>
  <c r="V1104" i="1"/>
  <c r="BF1104" i="1" s="1"/>
  <c r="V629" i="1"/>
  <c r="BF629" i="1" s="1"/>
  <c r="V618" i="1"/>
  <c r="BF618" i="1" s="1"/>
  <c r="V244" i="1"/>
  <c r="BF244" i="1" s="1"/>
  <c r="V105" i="1"/>
  <c r="BF105" i="1" s="1"/>
  <c r="V948" i="1"/>
  <c r="BF948" i="1" s="1"/>
  <c r="V1968" i="1"/>
  <c r="BF1968" i="1" s="1"/>
  <c r="V517" i="1"/>
  <c r="BF517" i="1" s="1"/>
  <c r="V1597" i="1"/>
  <c r="BF1597" i="1" s="1"/>
  <c r="V1044" i="1"/>
  <c r="BF1044" i="1" s="1"/>
  <c r="V1527" i="1"/>
  <c r="BF1527" i="1" s="1"/>
  <c r="V1144" i="1"/>
  <c r="BF1144" i="1" s="1"/>
  <c r="V546" i="1"/>
  <c r="BF546" i="1" s="1"/>
  <c r="V1670" i="1"/>
  <c r="BF1670" i="1" s="1"/>
  <c r="V1018" i="1"/>
  <c r="BF1018" i="1" s="1"/>
  <c r="V1102" i="1"/>
  <c r="BF1102" i="1" s="1"/>
  <c r="V1232" i="1"/>
  <c r="BF1232" i="1" s="1"/>
  <c r="V1449" i="1"/>
  <c r="BF1449" i="1" s="1"/>
  <c r="V304" i="1"/>
  <c r="BF304" i="1" s="1"/>
  <c r="V1148" i="1"/>
  <c r="BF1148" i="1" s="1"/>
  <c r="V1679" i="1"/>
  <c r="BF1679" i="1" s="1"/>
  <c r="V450" i="1"/>
  <c r="BF450" i="1" s="1"/>
  <c r="V636" i="1"/>
  <c r="BF636" i="1" s="1"/>
  <c r="V1843" i="1"/>
  <c r="BF1843" i="1" s="1"/>
  <c r="V1291" i="1"/>
  <c r="BF1291" i="1" s="1"/>
  <c r="V299" i="1"/>
  <c r="BF299" i="1" s="1"/>
  <c r="V264" i="1"/>
  <c r="BF264" i="1" s="1"/>
  <c r="V1072" i="1"/>
  <c r="BF1072" i="1" s="1"/>
  <c r="V1522" i="1"/>
  <c r="BF1522" i="1" s="1"/>
  <c r="V76" i="1"/>
  <c r="BF76" i="1" s="1"/>
  <c r="V1112" i="1"/>
  <c r="BF1112" i="1" s="1"/>
  <c r="V1445" i="1"/>
  <c r="BF1445" i="1" s="1"/>
  <c r="V1918" i="1"/>
  <c r="BF1918" i="1" s="1"/>
  <c r="V1661" i="1"/>
  <c r="BF1661" i="1" s="1"/>
  <c r="V473" i="1"/>
  <c r="BF473" i="1" s="1"/>
  <c r="V1923" i="1"/>
  <c r="BF1923" i="1" s="1"/>
  <c r="V1300" i="1"/>
  <c r="BF1300" i="1" s="1"/>
  <c r="V992" i="1"/>
  <c r="BF992" i="1" s="1"/>
  <c r="V906" i="1"/>
  <c r="BF906" i="1" s="1"/>
  <c r="V1788" i="1"/>
  <c r="BF1788" i="1" s="1"/>
  <c r="V564" i="1"/>
  <c r="BF564" i="1" s="1"/>
  <c r="V590" i="1"/>
  <c r="BF590" i="1" s="1"/>
  <c r="V2009" i="1"/>
  <c r="BF2009" i="1" s="1"/>
  <c r="V90" i="1"/>
  <c r="BF90" i="1" s="1"/>
  <c r="V990" i="1"/>
  <c r="BF990" i="1" s="1"/>
  <c r="V1909" i="1"/>
  <c r="BF1909" i="1" s="1"/>
  <c r="V1177" i="1"/>
  <c r="BF1177" i="1" s="1"/>
  <c r="V526" i="1"/>
  <c r="BF526" i="1" s="1"/>
  <c r="V191" i="1"/>
  <c r="BF191" i="1" s="1"/>
  <c r="V924" i="1"/>
  <c r="BF924" i="1" s="1"/>
  <c r="V1273" i="1"/>
  <c r="BF1273" i="1" s="1"/>
  <c r="V811" i="1"/>
  <c r="BF811" i="1" s="1"/>
  <c r="V108" i="1"/>
  <c r="BF108" i="1" s="1"/>
  <c r="V1382" i="1"/>
  <c r="BF1382" i="1" s="1"/>
  <c r="V706" i="1"/>
  <c r="BF706" i="1" s="1"/>
  <c r="V1115" i="1"/>
  <c r="BF1115" i="1" s="1"/>
  <c r="V1584" i="1"/>
  <c r="BF1584" i="1" s="1"/>
  <c r="V248" i="1"/>
  <c r="BF248" i="1" s="1"/>
  <c r="V126" i="1"/>
  <c r="BF126" i="1" s="1"/>
  <c r="V1716" i="1"/>
  <c r="BF1716" i="1" s="1"/>
  <c r="V230" i="1"/>
  <c r="BF230" i="1" s="1"/>
  <c r="V644" i="1"/>
  <c r="BF644" i="1" s="1"/>
  <c r="V1869" i="1"/>
  <c r="BF1869" i="1" s="1"/>
  <c r="V1187" i="1"/>
  <c r="BF1187" i="1" s="1"/>
  <c r="V1690" i="1"/>
  <c r="BF1690" i="1" s="1"/>
  <c r="V929" i="1"/>
  <c r="BF929" i="1" s="1"/>
  <c r="V1755" i="1"/>
  <c r="BF1755" i="1" s="1"/>
  <c r="V24" i="1"/>
  <c r="BF24" i="1" s="1"/>
  <c r="V1196" i="1"/>
  <c r="BF1196" i="1" s="1"/>
  <c r="V1341" i="1"/>
  <c r="BF1341" i="1" s="1"/>
  <c r="V961" i="1"/>
  <c r="BF961" i="1" s="1"/>
  <c r="V1993" i="1"/>
  <c r="BF1993" i="1" s="1"/>
  <c r="V1807" i="1"/>
  <c r="BF1807" i="1" s="1"/>
  <c r="V1883" i="1"/>
  <c r="BF1883" i="1" s="1"/>
  <c r="V1272" i="1"/>
  <c r="BF1272" i="1" s="1"/>
  <c r="V784" i="1"/>
  <c r="BF784" i="1" s="1"/>
  <c r="V1719" i="1"/>
  <c r="BF1719" i="1" s="1"/>
  <c r="V1199" i="1"/>
  <c r="BF1199" i="1" s="1"/>
  <c r="V192" i="1"/>
  <c r="BF192" i="1" s="1"/>
  <c r="V601" i="1"/>
  <c r="BF601" i="1" s="1"/>
  <c r="V864" i="1"/>
  <c r="BF864" i="1" s="1"/>
  <c r="V776" i="1"/>
  <c r="BF776" i="1" s="1"/>
  <c r="V1285" i="1"/>
  <c r="BF1285" i="1" s="1"/>
  <c r="V554" i="1"/>
  <c r="BF554" i="1" s="1"/>
  <c r="V197" i="1"/>
  <c r="BF197" i="1" s="1"/>
  <c r="V839" i="1"/>
  <c r="BF839" i="1" s="1"/>
  <c r="V927" i="1"/>
  <c r="BF927" i="1" s="1"/>
  <c r="V879" i="1"/>
  <c r="BF879" i="1" s="1"/>
  <c r="V1067" i="1"/>
  <c r="BF1067" i="1" s="1"/>
  <c r="V399" i="1"/>
  <c r="BF399" i="1" s="1"/>
  <c r="V1084" i="1"/>
  <c r="BF1084" i="1" s="1"/>
  <c r="V1606" i="1"/>
  <c r="BF1606" i="1" s="1"/>
  <c r="V1434" i="1"/>
  <c r="BF1434" i="1" s="1"/>
  <c r="V1557" i="1"/>
  <c r="BF1557" i="1" s="1"/>
  <c r="V1370" i="1"/>
  <c r="BF1370" i="1" s="1"/>
  <c r="V671" i="1"/>
  <c r="BF671" i="1" s="1"/>
  <c r="V439" i="1"/>
  <c r="BF439" i="1" s="1"/>
  <c r="V253" i="1"/>
  <c r="BF253" i="1" s="1"/>
  <c r="V886" i="1"/>
  <c r="BF886" i="1" s="1"/>
  <c r="V1324" i="1"/>
  <c r="BF1324" i="1" s="1"/>
  <c r="V760" i="1"/>
  <c r="BF760" i="1" s="1"/>
  <c r="V1650" i="1"/>
  <c r="BF1650" i="1" s="1"/>
  <c r="V1625" i="1"/>
  <c r="BF1625" i="1" s="1"/>
  <c r="V2001" i="1"/>
  <c r="BF2001" i="1" s="1"/>
  <c r="V1821" i="1"/>
  <c r="BF1821" i="1" s="1"/>
  <c r="V228" i="1"/>
  <c r="BF228" i="1" s="1"/>
  <c r="V1361" i="1"/>
  <c r="BF1361" i="1" s="1"/>
  <c r="V1672" i="1"/>
  <c r="BF1672" i="1" s="1"/>
  <c r="V495" i="1"/>
  <c r="BF495" i="1" s="1"/>
  <c r="V491" i="1"/>
  <c r="BF491" i="1" s="1"/>
  <c r="V1879" i="1"/>
  <c r="BF1879" i="1" s="1"/>
  <c r="V938" i="1"/>
  <c r="BF938" i="1" s="1"/>
  <c r="V1507" i="1"/>
  <c r="BF1507" i="1" s="1"/>
  <c r="V1256" i="1"/>
  <c r="BF1256" i="1" s="1"/>
  <c r="V1419" i="1"/>
  <c r="BF1419" i="1" s="1"/>
  <c r="V1320" i="1"/>
  <c r="BF1320" i="1" s="1"/>
  <c r="V1749" i="1"/>
  <c r="BF1749" i="1" s="1"/>
  <c r="V1476" i="1"/>
  <c r="BF1476" i="1" s="1"/>
  <c r="V662" i="1"/>
  <c r="BF662" i="1" s="1"/>
  <c r="V967" i="1"/>
  <c r="BF967" i="1" s="1"/>
  <c r="V74" i="1"/>
  <c r="BF74" i="1" s="1"/>
  <c r="V1325" i="1"/>
  <c r="BF1325" i="1" s="1"/>
  <c r="V1809" i="1"/>
  <c r="BF1809" i="1" s="1"/>
  <c r="V823" i="1"/>
  <c r="BF823" i="1" s="1"/>
  <c r="V464" i="1"/>
  <c r="BF464" i="1" s="1"/>
  <c r="V423" i="1"/>
  <c r="BF423" i="1" s="1"/>
  <c r="V1781" i="1"/>
  <c r="BF1781" i="1" s="1"/>
  <c r="V1985" i="1"/>
  <c r="BF1985" i="1" s="1"/>
  <c r="V2005" i="1"/>
  <c r="BF2005" i="1" s="1"/>
  <c r="V1399" i="1"/>
  <c r="BF1399" i="1" s="1"/>
  <c r="V1933" i="1"/>
  <c r="BF1933" i="1" s="1"/>
  <c r="V642" i="1"/>
  <c r="BF642" i="1" s="1"/>
  <c r="V344" i="1"/>
  <c r="BF344" i="1" s="1"/>
  <c r="V630" i="1"/>
  <c r="BF630" i="1" s="1"/>
  <c r="V436" i="1"/>
  <c r="BF436" i="1" s="1"/>
  <c r="V478" i="1"/>
  <c r="BF478" i="1" s="1"/>
  <c r="V939" i="1"/>
  <c r="BF939" i="1" s="1"/>
  <c r="V742" i="1"/>
  <c r="BF742" i="1" s="1"/>
  <c r="V482" i="1"/>
  <c r="BF482" i="1" s="1"/>
  <c r="V1414" i="1"/>
  <c r="BF1414" i="1" s="1"/>
  <c r="V219" i="1"/>
  <c r="BF219" i="1" s="1"/>
  <c r="V29" i="1"/>
  <c r="BF29" i="1" s="1"/>
  <c r="V262" i="1"/>
  <c r="BF262" i="1" s="1"/>
  <c r="V1727" i="1"/>
  <c r="BF1727" i="1" s="1"/>
  <c r="V1225" i="1"/>
  <c r="BF1225" i="1" s="1"/>
  <c r="V1006" i="1"/>
  <c r="BF1006" i="1" s="1"/>
  <c r="V1945" i="1"/>
  <c r="BF1945" i="1" s="1"/>
  <c r="V1284" i="1"/>
  <c r="BF1284" i="1" s="1"/>
  <c r="V80" i="1"/>
  <c r="BF80" i="1" s="1"/>
  <c r="V585" i="1"/>
  <c r="BF585" i="1" s="1"/>
  <c r="V688" i="1"/>
  <c r="BF688" i="1" s="1"/>
  <c r="V1441" i="1"/>
  <c r="BF1441" i="1" s="1"/>
  <c r="V889" i="1"/>
  <c r="BF889" i="1" s="1"/>
  <c r="V1885" i="1"/>
  <c r="BF1885" i="1" s="1"/>
  <c r="V611" i="1"/>
  <c r="BF611" i="1" s="1"/>
  <c r="V1479" i="1"/>
  <c r="BF1479" i="1" s="1"/>
  <c r="V1403" i="1"/>
  <c r="BF1403" i="1" s="1"/>
  <c r="V288" i="1"/>
  <c r="BF288" i="1" s="1"/>
  <c r="V1176" i="1"/>
  <c r="BF1176" i="1" s="1"/>
  <c r="V166" i="1"/>
  <c r="BF166" i="1" s="1"/>
  <c r="V695" i="1"/>
  <c r="BF695" i="1" s="1"/>
  <c r="V1529" i="1"/>
  <c r="BF1529" i="1" s="1"/>
  <c r="V1020" i="1"/>
  <c r="BF1020" i="1" s="1"/>
  <c r="V1427" i="1"/>
  <c r="BF1427" i="1" s="1"/>
  <c r="V1618" i="1"/>
  <c r="BF1618" i="1" s="1"/>
  <c r="V875" i="1"/>
  <c r="BF875" i="1" s="1"/>
  <c r="V1171" i="1"/>
  <c r="BF1171" i="1" s="1"/>
  <c r="V94" i="1"/>
  <c r="BF94" i="1" s="1"/>
  <c r="V607" i="1"/>
  <c r="BF607" i="1" s="1"/>
  <c r="V1772" i="1"/>
  <c r="BF1772" i="1" s="1"/>
  <c r="V1295" i="1"/>
  <c r="BF1295" i="1" s="1"/>
  <c r="V1281" i="1"/>
  <c r="BF1281" i="1" s="1"/>
  <c r="V1130" i="1"/>
  <c r="BF1130" i="1" s="1"/>
  <c r="V831" i="1"/>
  <c r="BF831" i="1" s="1"/>
  <c r="V1595" i="1"/>
  <c r="BF1595" i="1" s="1"/>
  <c r="V869" i="1"/>
  <c r="BF869" i="1" s="1"/>
  <c r="V222" i="1"/>
  <c r="BF222" i="1" s="1"/>
  <c r="V2010" i="1"/>
  <c r="BF2010" i="1" s="1"/>
  <c r="V1453" i="1"/>
  <c r="BF1453" i="1" s="1"/>
  <c r="V1264" i="1"/>
  <c r="BF1264" i="1" s="1"/>
  <c r="V290" i="1"/>
  <c r="BF290" i="1" s="1"/>
  <c r="V781" i="1"/>
  <c r="BF781" i="1" s="1"/>
  <c r="V1060" i="1"/>
  <c r="BF1060" i="1" s="1"/>
  <c r="V148" i="1"/>
  <c r="BF148" i="1" s="1"/>
  <c r="V388" i="1"/>
  <c r="BF388" i="1" s="1"/>
  <c r="V794" i="1"/>
  <c r="BF794" i="1" s="1"/>
  <c r="V663" i="1"/>
  <c r="BF663" i="1" s="1"/>
  <c r="V427" i="1"/>
  <c r="BF427" i="1" s="1"/>
  <c r="V1249" i="1"/>
  <c r="BF1249" i="1" s="1"/>
  <c r="V501" i="1"/>
  <c r="BF501" i="1" s="1"/>
  <c r="V772" i="1"/>
  <c r="BF772" i="1" s="1"/>
  <c r="V1820" i="1"/>
  <c r="BF1820" i="1" s="1"/>
  <c r="V1180" i="1"/>
  <c r="BF1180" i="1" s="1"/>
  <c r="V1192" i="1"/>
  <c r="BF1192" i="1" s="1"/>
  <c r="V1455" i="1"/>
  <c r="BF1455" i="1" s="1"/>
  <c r="V139" i="1"/>
  <c r="BF139" i="1" s="1"/>
  <c r="V1221" i="1"/>
  <c r="BF1221" i="1" s="1"/>
  <c r="V440" i="1"/>
  <c r="BF440" i="1" s="1"/>
  <c r="V1460" i="1"/>
  <c r="BF1460" i="1" s="1"/>
  <c r="V1956" i="1"/>
  <c r="BF1956" i="1" s="1"/>
  <c r="V514" i="1"/>
  <c r="BF514" i="1" s="1"/>
  <c r="V1409" i="1"/>
  <c r="BF1409" i="1" s="1"/>
  <c r="V1208" i="1"/>
  <c r="BF1208" i="1" s="1"/>
  <c r="V1921" i="1"/>
  <c r="BF1921" i="1" s="1"/>
  <c r="V349" i="1"/>
  <c r="BF349" i="1" s="1"/>
  <c r="V1786" i="1"/>
  <c r="BF1786" i="1" s="1"/>
  <c r="V1120" i="1"/>
  <c r="BF1120" i="1" s="1"/>
  <c r="V539" i="1"/>
  <c r="BF539" i="1" s="1"/>
  <c r="V49" i="1"/>
  <c r="BF49" i="1" s="1"/>
  <c r="V260" i="1"/>
  <c r="BF260" i="1" s="1"/>
  <c r="V1015" i="1"/>
  <c r="BF1015" i="1" s="1"/>
  <c r="V281" i="1"/>
  <c r="BF281" i="1" s="1"/>
  <c r="V1052" i="1"/>
  <c r="BF1052" i="1" s="1"/>
  <c r="V1459" i="1"/>
  <c r="BF1459" i="1" s="1"/>
  <c r="V1381" i="1"/>
  <c r="BF1381" i="1" s="1"/>
  <c r="V1097" i="1"/>
  <c r="BF1097" i="1" s="1"/>
  <c r="V1276" i="1"/>
  <c r="BF1276" i="1" s="1"/>
  <c r="V767" i="1"/>
  <c r="BF767" i="1" s="1"/>
  <c r="V1591" i="1"/>
  <c r="BF1591" i="1" s="1"/>
  <c r="V1846" i="1"/>
  <c r="BF1846" i="1" s="1"/>
  <c r="V1836" i="1"/>
  <c r="BF1836" i="1" s="1"/>
  <c r="V716" i="1"/>
  <c r="BF716" i="1" s="1"/>
  <c r="V245" i="1"/>
  <c r="BF245" i="1" s="1"/>
  <c r="V286" i="1"/>
  <c r="BF286" i="1" s="1"/>
  <c r="V1943" i="1"/>
  <c r="BF1943" i="1" s="1"/>
  <c r="V575" i="1"/>
  <c r="BF575" i="1" s="1"/>
  <c r="V335" i="1"/>
  <c r="BF335" i="1" s="1"/>
  <c r="V571" i="1"/>
  <c r="BF571" i="1" s="1"/>
  <c r="V1446" i="1"/>
  <c r="BF1446" i="1" s="1"/>
  <c r="V489" i="1"/>
  <c r="BF489" i="1" s="1"/>
  <c r="V160" i="1"/>
  <c r="BF160" i="1" s="1"/>
  <c r="V1638" i="1"/>
  <c r="BF1638" i="1" s="1"/>
  <c r="V838" i="1"/>
  <c r="BF838" i="1" s="1"/>
  <c r="V1951" i="1"/>
  <c r="BF1951" i="1" s="1"/>
  <c r="V987" i="1"/>
  <c r="BF987" i="1" s="1"/>
  <c r="V666" i="1"/>
  <c r="BF666" i="1" s="1"/>
  <c r="V789" i="1"/>
  <c r="BF789" i="1" s="1"/>
  <c r="V493" i="1"/>
  <c r="BF493" i="1" s="1"/>
  <c r="V1147" i="1"/>
  <c r="BF1147" i="1" s="1"/>
  <c r="V1466" i="1"/>
  <c r="BF1466" i="1" s="1"/>
  <c r="V615" i="1"/>
  <c r="BF615" i="1" s="1"/>
  <c r="V852" i="1"/>
  <c r="BF852" i="1" s="1"/>
  <c r="V1093" i="1"/>
  <c r="BF1093" i="1" s="1"/>
  <c r="V1083" i="1"/>
  <c r="BF1083" i="1" s="1"/>
  <c r="V911" i="1"/>
  <c r="BF911" i="1" s="1"/>
  <c r="V1140" i="1"/>
  <c r="BF1140" i="1" s="1"/>
  <c r="V896" i="1"/>
  <c r="BF896" i="1" s="1"/>
  <c r="V1906" i="1"/>
  <c r="BF1906" i="1" s="1"/>
  <c r="V863" i="1"/>
  <c r="BF863" i="1" s="1"/>
  <c r="V1235" i="1"/>
  <c r="BF1235" i="1" s="1"/>
  <c r="V995" i="1"/>
  <c r="BF995" i="1" s="1"/>
  <c r="V1927" i="1"/>
  <c r="BF1927" i="1" s="1"/>
  <c r="V38" i="1"/>
  <c r="BF38" i="1" s="1"/>
  <c r="V1212" i="1"/>
  <c r="BF1212" i="1" s="1"/>
  <c r="V969" i="1"/>
  <c r="BF969" i="1" s="1"/>
  <c r="V1902" i="1"/>
  <c r="BF1902" i="1" s="1"/>
  <c r="V1440" i="1"/>
  <c r="BF1440" i="1" s="1"/>
  <c r="V1336" i="1"/>
  <c r="BF1336" i="1" s="1"/>
  <c r="V1743" i="1"/>
  <c r="BF1743" i="1" s="1"/>
  <c r="V712" i="1"/>
  <c r="BF712" i="1" s="1"/>
  <c r="V1398" i="1"/>
  <c r="BF1398" i="1" s="1"/>
  <c r="V1812" i="1"/>
  <c r="BF1812" i="1" s="1"/>
  <c r="V1057" i="1"/>
  <c r="BF1057" i="1" s="1"/>
  <c r="V801" i="1"/>
  <c r="BF801" i="1" s="1"/>
  <c r="V1541" i="1"/>
  <c r="BF1541" i="1" s="1"/>
  <c r="V1566" i="1"/>
  <c r="BF1566" i="1" s="1"/>
  <c r="V1257" i="1"/>
  <c r="BF1257" i="1" s="1"/>
  <c r="V1521" i="1"/>
  <c r="BF1521" i="1" s="1"/>
  <c r="V643" i="1"/>
  <c r="BF643" i="1" s="1"/>
  <c r="V936" i="1"/>
  <c r="BF936" i="1" s="1"/>
  <c r="V1573" i="1"/>
  <c r="BF1573" i="1" s="1"/>
  <c r="V553" i="1"/>
  <c r="BF553" i="1" s="1"/>
  <c r="V1305" i="1"/>
  <c r="BF1305" i="1" s="1"/>
  <c r="V198" i="1"/>
  <c r="BF198" i="1" s="1"/>
  <c r="V1539" i="1"/>
  <c r="BF1539" i="1" s="1"/>
  <c r="V840" i="1"/>
  <c r="BF840" i="1" s="1"/>
  <c r="V690" i="1"/>
  <c r="BF690" i="1" s="1"/>
  <c r="V1540" i="1"/>
  <c r="BF1540" i="1" s="1"/>
  <c r="V1861" i="1"/>
  <c r="BF1861" i="1" s="1"/>
  <c r="V1596" i="1"/>
  <c r="BF1596" i="1" s="1"/>
  <c r="V391" i="1"/>
  <c r="BF391" i="1" s="1"/>
  <c r="V964" i="1"/>
  <c r="BF964" i="1" s="1"/>
  <c r="V1783" i="1"/>
  <c r="BF1783" i="1" s="1"/>
  <c r="V1590" i="1"/>
  <c r="BF1590" i="1" s="1"/>
  <c r="V1290" i="1"/>
  <c r="BF1290" i="1" s="1"/>
  <c r="V1484" i="1"/>
  <c r="BF1484" i="1" s="1"/>
  <c r="V1194" i="1"/>
  <c r="BF1194" i="1" s="1"/>
  <c r="V1701" i="1"/>
  <c r="BF1701" i="1" s="1"/>
  <c r="V15" i="1"/>
  <c r="BF15" i="1" s="1"/>
  <c r="V1585" i="1"/>
  <c r="BF1585" i="1" s="1"/>
  <c r="V543" i="1"/>
  <c r="BF543" i="1" s="1"/>
  <c r="V1688" i="1"/>
  <c r="BF1688" i="1" s="1"/>
  <c r="V1544" i="1"/>
  <c r="BF1544" i="1" s="1"/>
  <c r="V910" i="1"/>
  <c r="BF910" i="1" s="1"/>
  <c r="V1691" i="1"/>
  <c r="BF1691" i="1" s="1"/>
  <c r="V1604" i="1"/>
  <c r="BF1604" i="1" s="1"/>
  <c r="V1910" i="1"/>
  <c r="BF1910" i="1" s="1"/>
  <c r="V221" i="1"/>
  <c r="BF221" i="1" s="1"/>
  <c r="V151" i="1"/>
  <c r="BF151" i="1" s="1"/>
  <c r="V657" i="1"/>
  <c r="BF657" i="1" s="1"/>
  <c r="V200" i="1"/>
  <c r="BF200" i="1" s="1"/>
  <c r="V1039" i="1"/>
  <c r="BF1039" i="1" s="1"/>
  <c r="V316" i="1"/>
  <c r="BF316" i="1" s="1"/>
  <c r="V559" i="1"/>
  <c r="BF559" i="1" s="1"/>
  <c r="V1200" i="1"/>
  <c r="BF1200" i="1" s="1"/>
  <c r="V213" i="1"/>
  <c r="BF213" i="1" s="1"/>
  <c r="V293" i="1"/>
  <c r="BF293" i="1" s="1"/>
  <c r="V1408" i="1"/>
  <c r="BF1408" i="1" s="1"/>
  <c r="V1185" i="1"/>
  <c r="BF1185" i="1" s="1"/>
  <c r="V1292" i="1"/>
  <c r="BF1292" i="1" s="1"/>
  <c r="V1823" i="1"/>
  <c r="BF1823" i="1" s="1"/>
  <c r="V16" i="1"/>
  <c r="BF16" i="1" s="1"/>
  <c r="V1001" i="1"/>
  <c r="BF1001" i="1" s="1"/>
  <c r="V701" i="1"/>
  <c r="BF701" i="1" s="1"/>
  <c r="V882" i="1"/>
  <c r="BF882" i="1" s="1"/>
  <c r="V1973" i="1"/>
  <c r="BF1973" i="1" s="1"/>
  <c r="V1754" i="1"/>
  <c r="BF1754" i="1" s="1"/>
  <c r="V1113" i="1"/>
  <c r="BF1113" i="1" s="1"/>
  <c r="V1106" i="1"/>
  <c r="BF1106" i="1" s="1"/>
  <c r="V1432" i="1"/>
  <c r="BF1432" i="1" s="1"/>
  <c r="V597" i="1"/>
  <c r="BF597" i="1" s="1"/>
  <c r="V1896" i="1"/>
  <c r="BF1896" i="1" s="1"/>
  <c r="V1588" i="1"/>
  <c r="BF1588" i="1" s="1"/>
  <c r="V1608" i="1"/>
  <c r="BF1608" i="1" s="1"/>
  <c r="V150" i="1"/>
  <c r="BF150" i="1" s="1"/>
  <c r="V675" i="1"/>
  <c r="BF675" i="1" s="1"/>
  <c r="V1457" i="1"/>
  <c r="BF1457" i="1" s="1"/>
  <c r="V797" i="1"/>
  <c r="BF797" i="1" s="1"/>
  <c r="V891" i="1"/>
  <c r="BF891" i="1" s="1"/>
  <c r="V908" i="1"/>
  <c r="BF908" i="1" s="1"/>
  <c r="V1938" i="1"/>
  <c r="BF1938" i="1" s="1"/>
  <c r="V1942" i="1"/>
  <c r="BF1942" i="1" s="1"/>
  <c r="V461" i="1"/>
  <c r="BF461" i="1" s="1"/>
  <c r="V534" i="1"/>
  <c r="BF534" i="1" s="1"/>
  <c r="V178" i="1"/>
  <c r="BF178" i="1" s="1"/>
  <c r="V739" i="1"/>
  <c r="BF739" i="1" s="1"/>
  <c r="V465" i="1"/>
  <c r="BF465" i="1" s="1"/>
  <c r="V1071" i="1"/>
  <c r="BF1071" i="1" s="1"/>
  <c r="V777" i="1"/>
  <c r="BF777" i="1" s="1"/>
  <c r="V1367" i="1"/>
  <c r="BF1367" i="1" s="1"/>
  <c r="V44" i="1"/>
  <c r="BF44" i="1" s="1"/>
  <c r="V832" i="1"/>
  <c r="BF832" i="1" s="1"/>
  <c r="V1487" i="1"/>
  <c r="BF1487" i="1" s="1"/>
  <c r="V411" i="1"/>
  <c r="BF411" i="1" s="1"/>
  <c r="V1634" i="1"/>
  <c r="BF1634" i="1" s="1"/>
  <c r="V991" i="1"/>
  <c r="BF991" i="1" s="1"/>
  <c r="V538" i="1"/>
  <c r="BF538" i="1" s="1"/>
  <c r="V337" i="1"/>
  <c r="BF337" i="1" s="1"/>
  <c r="V980" i="1"/>
  <c r="BF980" i="1" s="1"/>
  <c r="V1322" i="1"/>
  <c r="BF1322" i="1" s="1"/>
  <c r="V956" i="1"/>
  <c r="BF956" i="1" s="1"/>
  <c r="V720" i="1"/>
  <c r="BF720" i="1" s="1"/>
  <c r="V429" i="1"/>
  <c r="BF429" i="1" s="1"/>
  <c r="V874" i="1"/>
  <c r="BF874" i="1" s="1"/>
  <c r="V1156" i="1"/>
  <c r="BF1156" i="1" s="1"/>
  <c r="V183" i="1"/>
  <c r="BF183" i="1" s="1"/>
  <c r="V1004" i="1"/>
  <c r="BF1004" i="1" s="1"/>
  <c r="V503" i="1"/>
  <c r="BF503" i="1" s="1"/>
  <c r="V138" i="1"/>
  <c r="BF138" i="1" s="1"/>
  <c r="V1560" i="1"/>
  <c r="BF1560" i="1" s="1"/>
  <c r="V1009" i="1"/>
  <c r="BF1009" i="1" s="1"/>
  <c r="V941" i="1"/>
  <c r="BF941" i="1" s="1"/>
  <c r="V1473" i="1"/>
  <c r="BF1473" i="1" s="1"/>
  <c r="V1802" i="1"/>
  <c r="BF1802" i="1" s="1"/>
  <c r="V50" i="1"/>
  <c r="BF50" i="1" s="1"/>
  <c r="V340" i="1"/>
  <c r="BF340" i="1" s="1"/>
  <c r="V1467" i="1"/>
  <c r="BF1467" i="1" s="1"/>
  <c r="V2020" i="1"/>
  <c r="BF2020" i="1" s="1"/>
  <c r="V812" i="1"/>
  <c r="BF812" i="1" s="1"/>
  <c r="V161" i="1"/>
  <c r="BF161" i="1" s="1"/>
  <c r="V1808" i="1"/>
  <c r="BF1808" i="1" s="1"/>
  <c r="V237" i="1"/>
  <c r="BF237" i="1" s="1"/>
  <c r="V1955" i="1"/>
  <c r="BF1955" i="1" s="1"/>
  <c r="V866" i="1"/>
  <c r="BF866" i="1" s="1"/>
  <c r="V1030" i="1"/>
  <c r="BF1030" i="1" s="1"/>
  <c r="V558" i="1"/>
  <c r="BF558" i="1" s="1"/>
  <c r="V1183" i="1"/>
  <c r="BF1183" i="1" s="1"/>
  <c r="V1857" i="1"/>
  <c r="BF1857" i="1" s="1"/>
  <c r="V1856" i="1"/>
  <c r="BF1856" i="1" s="1"/>
  <c r="V2000" i="1"/>
  <c r="BF2000" i="1" s="1"/>
  <c r="V378" i="1"/>
  <c r="BF378" i="1" s="1"/>
  <c r="V515" i="1"/>
  <c r="BF515" i="1" s="1"/>
  <c r="V818" i="1"/>
  <c r="BF818" i="1" s="1"/>
  <c r="V1631" i="1"/>
  <c r="BF1631" i="1" s="1"/>
  <c r="V494" i="1"/>
  <c r="BF494" i="1" s="1"/>
  <c r="V383" i="1"/>
  <c r="BF383" i="1" s="1"/>
  <c r="V1076" i="1"/>
  <c r="BF1076" i="1" s="1"/>
  <c r="V1045" i="1"/>
  <c r="BF1045" i="1" s="1"/>
  <c r="V1206" i="1"/>
  <c r="BF1206" i="1" s="1"/>
  <c r="V1253" i="1"/>
  <c r="BF1253" i="1" s="1"/>
  <c r="V661" i="1"/>
  <c r="BF661" i="1" s="1"/>
  <c r="V1480" i="1"/>
  <c r="BF1480" i="1" s="1"/>
  <c r="V918" i="1"/>
  <c r="BF918" i="1" s="1"/>
  <c r="V225" i="1"/>
  <c r="BF225" i="1" s="1"/>
  <c r="V710" i="1"/>
  <c r="BF710" i="1" s="1"/>
  <c r="V1519" i="1"/>
  <c r="BF1519" i="1" s="1"/>
  <c r="V1186" i="1"/>
  <c r="BF1186" i="1" s="1"/>
  <c r="V1671" i="1"/>
  <c r="BF1671" i="1" s="1"/>
  <c r="V1826" i="1"/>
  <c r="BF1826" i="1" s="1"/>
  <c r="V537" i="1"/>
  <c r="BF537" i="1" s="1"/>
  <c r="V1829" i="1"/>
  <c r="BF1829" i="1" s="1"/>
  <c r="V419" i="1"/>
  <c r="BF419" i="1" s="1"/>
  <c r="V1219" i="1"/>
  <c r="BF1219" i="1" s="1"/>
  <c r="V1193" i="1"/>
  <c r="BF1193" i="1" s="1"/>
  <c r="V694" i="1"/>
  <c r="BF694" i="1" s="1"/>
  <c r="V497" i="1"/>
  <c r="BF497" i="1" s="1"/>
  <c r="V979" i="1"/>
  <c r="BF979" i="1" s="1"/>
  <c r="V492" i="1"/>
  <c r="BF492" i="1" s="1"/>
  <c r="V25" i="1"/>
  <c r="BF25" i="1" s="1"/>
  <c r="V1774" i="1"/>
  <c r="BF1774" i="1" s="1"/>
  <c r="V1497" i="1"/>
  <c r="BF1497" i="1" s="1"/>
  <c r="V1195" i="1"/>
  <c r="BF1195" i="1" s="1"/>
  <c r="V176" i="1"/>
  <c r="BF176" i="1" s="1"/>
  <c r="V762" i="1"/>
  <c r="BF762" i="1" s="1"/>
  <c r="V1640" i="1"/>
  <c r="BF1640" i="1" s="1"/>
  <c r="V229" i="1"/>
  <c r="BF229" i="1" s="1"/>
  <c r="V146" i="1"/>
  <c r="BF146" i="1" s="1"/>
  <c r="V1223" i="1"/>
  <c r="BF1223" i="1" s="1"/>
  <c r="V103" i="1"/>
  <c r="BF103" i="1" s="1"/>
  <c r="V1547" i="1"/>
  <c r="BF1547" i="1" s="1"/>
  <c r="V1450" i="1"/>
  <c r="BF1450" i="1" s="1"/>
  <c r="V474" i="1"/>
  <c r="BF474" i="1" s="1"/>
  <c r="V1556" i="1"/>
  <c r="BF1556" i="1" s="1"/>
  <c r="V208" i="1"/>
  <c r="BF208" i="1" s="1"/>
  <c r="V282" i="1"/>
  <c r="BF282" i="1" s="1"/>
  <c r="V1989" i="1"/>
  <c r="BF1989" i="1" s="1"/>
  <c r="V1019" i="1"/>
  <c r="BF1019" i="1" s="1"/>
  <c r="V1117" i="1"/>
  <c r="BF1117" i="1" s="1"/>
  <c r="V1496" i="1"/>
  <c r="BF1496" i="1" s="1"/>
  <c r="V451" i="1"/>
  <c r="BF451" i="1" s="1"/>
  <c r="V1506" i="1"/>
  <c r="BF1506" i="1" s="1"/>
  <c r="V988" i="1"/>
  <c r="BF988" i="1" s="1"/>
  <c r="V48" i="1"/>
  <c r="BF48" i="1" s="1"/>
  <c r="V350" i="1"/>
  <c r="BF350" i="1" s="1"/>
  <c r="V1283" i="1"/>
  <c r="BF1283" i="1" s="1"/>
  <c r="V1828" i="1"/>
  <c r="BF1828" i="1" s="1"/>
  <c r="V986" i="1"/>
  <c r="BF986" i="1" s="1"/>
  <c r="V510" i="1"/>
  <c r="BF510" i="1" s="1"/>
  <c r="V998" i="1"/>
  <c r="BF998" i="1" s="1"/>
  <c r="V775" i="1"/>
  <c r="BF775" i="1" s="1"/>
  <c r="V1801" i="1"/>
  <c r="BF1801" i="1" s="1"/>
  <c r="V387" i="1"/>
  <c r="BF387" i="1" s="1"/>
  <c r="V1605" i="1"/>
  <c r="BF1605" i="1" s="1"/>
  <c r="V1685" i="1"/>
  <c r="BF1685" i="1" s="1"/>
  <c r="V895" i="1"/>
  <c r="BF895" i="1" s="1"/>
  <c r="V1752" i="1"/>
  <c r="BF1752" i="1" s="1"/>
  <c r="V830" i="1"/>
  <c r="BF830" i="1" s="1"/>
  <c r="V1038" i="1"/>
  <c r="BF1038" i="1" s="1"/>
  <c r="V1051" i="1"/>
  <c r="BF1051" i="1" s="1"/>
  <c r="V1954" i="1"/>
  <c r="BF1954" i="1" s="1"/>
  <c r="V1088" i="1"/>
  <c r="BF1088" i="1" s="1"/>
  <c r="V974" i="1"/>
  <c r="BF974" i="1" s="1"/>
  <c r="V1002" i="1"/>
  <c r="BF1002" i="1" s="1"/>
  <c r="V1157" i="1"/>
  <c r="BF1157" i="1" s="1"/>
  <c r="V952" i="1"/>
  <c r="BF952" i="1" s="1"/>
  <c r="V1936" i="1"/>
  <c r="BF1936" i="1" s="1"/>
  <c r="V1514" i="1"/>
  <c r="BF1514" i="1" s="1"/>
  <c r="V1323" i="1"/>
  <c r="BF1323" i="1" s="1"/>
  <c r="V1036" i="1"/>
  <c r="BF1036" i="1" s="1"/>
  <c r="V1887" i="1"/>
  <c r="BF1887" i="1" s="1"/>
  <c r="V836" i="1"/>
  <c r="BF836" i="1" s="1"/>
  <c r="V1122" i="1"/>
  <c r="BF1122" i="1" s="1"/>
  <c r="V372" i="1"/>
  <c r="BF372" i="1" s="1"/>
  <c r="V1270" i="1"/>
  <c r="BF1270" i="1" s="1"/>
  <c r="V1712" i="1"/>
  <c r="BF1712" i="1" s="1"/>
  <c r="V1558" i="1"/>
  <c r="BF1558" i="1" s="1"/>
  <c r="V687" i="1"/>
  <c r="BF687" i="1" s="1"/>
  <c r="V871" i="1"/>
  <c r="BF871" i="1" s="1"/>
  <c r="V447" i="1"/>
  <c r="BF447" i="1" s="1"/>
  <c r="V1012" i="1"/>
  <c r="BF1012" i="1" s="1"/>
  <c r="V820" i="1"/>
  <c r="BF820" i="1" s="1"/>
  <c r="V496" i="1"/>
  <c r="BF496" i="1" s="1"/>
  <c r="V531" i="1"/>
  <c r="BF531" i="1" s="1"/>
  <c r="V947" i="1"/>
  <c r="BF947" i="1" s="1"/>
  <c r="V1886" i="1"/>
  <c r="BF1886" i="1" s="1"/>
  <c r="V131" i="1"/>
  <c r="BF131" i="1" s="1"/>
  <c r="V1633" i="1"/>
  <c r="BF1633" i="1" s="1"/>
  <c r="V1892" i="1"/>
  <c r="BF1892" i="1" s="1"/>
  <c r="V1535" i="1"/>
  <c r="BF1535" i="1" s="1"/>
  <c r="V1580" i="1"/>
  <c r="BF1580" i="1" s="1"/>
  <c r="V755" i="1"/>
  <c r="BF755" i="1" s="1"/>
  <c r="V1061" i="1"/>
  <c r="BF1061" i="1" s="1"/>
  <c r="V278" i="1"/>
  <c r="BF278" i="1" s="1"/>
  <c r="V1089" i="1"/>
  <c r="BF1089" i="1" s="1"/>
  <c r="V1598" i="1"/>
  <c r="BF1598" i="1" s="1"/>
  <c r="V649" i="1"/>
  <c r="BF649" i="1" s="1"/>
  <c r="V1297" i="1"/>
  <c r="BF1297" i="1" s="1"/>
  <c r="V1315" i="1"/>
  <c r="BF1315" i="1" s="1"/>
  <c r="V704" i="1"/>
  <c r="BF704" i="1" s="1"/>
  <c r="V1564" i="1"/>
  <c r="BF1564" i="1" s="1"/>
  <c r="V985" i="1"/>
  <c r="BF985" i="1" s="1"/>
  <c r="V78" i="1"/>
  <c r="BF78" i="1" s="1"/>
  <c r="V125" i="1"/>
  <c r="BF125" i="1" s="1"/>
  <c r="V567" i="1"/>
  <c r="BF567" i="1" s="1"/>
  <c r="V1534" i="1"/>
  <c r="BF1534" i="1" s="1"/>
  <c r="V1787" i="1"/>
  <c r="BF1787" i="1" s="1"/>
  <c r="V1978" i="1"/>
  <c r="BF1978" i="1" s="1"/>
  <c r="V1069" i="1"/>
  <c r="BF1069" i="1" s="1"/>
  <c r="V1614" i="1"/>
  <c r="BF1614" i="1" s="1"/>
  <c r="V314" i="1"/>
  <c r="BF314" i="1" s="1"/>
  <c r="V1461" i="1"/>
  <c r="BF1461" i="1" s="1"/>
  <c r="V1926" i="1"/>
  <c r="BF1926" i="1" s="1"/>
  <c r="V1864" i="1"/>
  <c r="BF1864" i="1" s="1"/>
  <c r="V1143" i="1"/>
  <c r="BF1143" i="1" s="1"/>
  <c r="V1334" i="1"/>
  <c r="BF1334" i="1" s="1"/>
  <c r="V169" i="1"/>
  <c r="BF169" i="1" s="1"/>
  <c r="V903" i="1"/>
  <c r="BF903" i="1" s="1"/>
  <c r="V837" i="1"/>
  <c r="BF837" i="1" s="1"/>
  <c r="V1152" i="1"/>
  <c r="BF1152" i="1" s="1"/>
  <c r="V435" i="1"/>
  <c r="BF435" i="1" s="1"/>
  <c r="V1947" i="1"/>
  <c r="BF1947" i="1" s="1"/>
  <c r="V1850" i="1"/>
  <c r="BF1850" i="1" s="1"/>
  <c r="V1611" i="1"/>
  <c r="BF1611" i="1" s="1"/>
  <c r="V774" i="1"/>
  <c r="BF774" i="1" s="1"/>
  <c r="V1335" i="1"/>
  <c r="BF1335" i="1" s="1"/>
  <c r="V55" i="1"/>
  <c r="BF55" i="1" s="1"/>
  <c r="V1402" i="1"/>
  <c r="BF1402" i="1" s="1"/>
  <c r="V516" i="1"/>
  <c r="BF516" i="1" s="1"/>
  <c r="V744" i="1"/>
  <c r="BF744" i="1" s="1"/>
  <c r="V1941" i="1"/>
  <c r="BF1941" i="1" s="1"/>
  <c r="V934" i="1"/>
  <c r="BF934" i="1" s="1"/>
  <c r="V2004" i="1"/>
  <c r="BF2004" i="1" s="1"/>
  <c r="V1428" i="1"/>
  <c r="BF1428" i="1" s="1"/>
  <c r="V870" i="1"/>
  <c r="BF870" i="1" s="1"/>
  <c r="V1040" i="1"/>
  <c r="BF1040" i="1" s="1"/>
  <c r="V646" i="1"/>
  <c r="BF646" i="1" s="1"/>
  <c r="V953" i="1"/>
  <c r="BF953" i="1" s="1"/>
  <c r="V77" i="1"/>
  <c r="BF77" i="1" s="1"/>
  <c r="V452" i="1"/>
  <c r="BF452" i="1" s="1"/>
  <c r="V1343" i="1"/>
  <c r="BF1343" i="1" s="1"/>
  <c r="V162" i="1"/>
  <c r="BF162" i="1" s="1"/>
  <c r="V1932" i="1"/>
  <c r="BF1932" i="1" s="1"/>
  <c r="V1531" i="1"/>
  <c r="BF1531" i="1" s="1"/>
  <c r="V817" i="1"/>
  <c r="BF817" i="1" s="1"/>
  <c r="V1904" i="1"/>
  <c r="BF1904" i="1" s="1"/>
  <c r="V1245" i="1"/>
  <c r="BF1245" i="1" s="1"/>
  <c r="V914" i="1"/>
  <c r="BF914" i="1" s="1"/>
  <c r="V1958" i="1"/>
  <c r="BF1958" i="1" s="1"/>
  <c r="V17" i="1"/>
  <c r="BF17" i="1" s="1"/>
  <c r="V26" i="1"/>
  <c r="BF26" i="1" s="1"/>
  <c r="V119" i="1"/>
  <c r="BF119" i="1" s="1"/>
  <c r="V1422" i="1"/>
  <c r="BF1422" i="1" s="1"/>
  <c r="V1970" i="1"/>
  <c r="BF1970" i="1" s="1"/>
  <c r="V1359" i="1"/>
  <c r="BF1359" i="1" s="1"/>
  <c r="V1899" i="1"/>
  <c r="BF1899" i="1" s="1"/>
  <c r="V562" i="1"/>
  <c r="BF562" i="1" s="1"/>
  <c r="V1191" i="1"/>
  <c r="BF1191" i="1" s="1"/>
  <c r="V1553" i="1"/>
  <c r="BF1553" i="1" s="1"/>
  <c r="V117" i="1"/>
  <c r="BF117" i="1" s="1"/>
  <c r="V488" i="1"/>
  <c r="BF488" i="1" s="1"/>
  <c r="V576" i="1"/>
  <c r="BF576" i="1" s="1"/>
  <c r="V215" i="1"/>
  <c r="BF215" i="1" s="1"/>
  <c r="V966" i="1"/>
  <c r="BF966" i="1" s="1"/>
  <c r="V1327" i="1"/>
  <c r="BF1327" i="1" s="1"/>
  <c r="V937" i="1"/>
  <c r="BF937" i="1" s="1"/>
  <c r="V1456" i="1"/>
  <c r="BF1456" i="1" s="1"/>
  <c r="V862" i="1"/>
  <c r="BF862" i="1" s="1"/>
  <c r="V367" i="1"/>
  <c r="BF367" i="1" s="1"/>
  <c r="V845" i="1"/>
  <c r="BF845" i="1" s="1"/>
  <c r="V157" i="1"/>
  <c r="BF157" i="1" s="1"/>
  <c r="V1389" i="1"/>
  <c r="BF1389" i="1" s="1"/>
  <c r="V556" i="1"/>
  <c r="BF556" i="1" s="1"/>
  <c r="V193" i="1"/>
  <c r="BF193" i="1" s="1"/>
  <c r="V719" i="1"/>
  <c r="BF719" i="1" s="1"/>
  <c r="V1656" i="1"/>
  <c r="BF1656" i="1" s="1"/>
  <c r="V1086" i="1"/>
  <c r="BF1086" i="1" s="1"/>
  <c r="V1976" i="1"/>
  <c r="BF1976" i="1" s="1"/>
  <c r="V1376" i="1"/>
  <c r="BF1376" i="1" s="1"/>
  <c r="V1416" i="1"/>
  <c r="BF1416" i="1" s="1"/>
  <c r="V1495" i="1"/>
  <c r="BF1495" i="1" s="1"/>
  <c r="V422" i="1"/>
  <c r="BF422" i="1" s="1"/>
  <c r="V724" i="1"/>
  <c r="BF724" i="1" s="1"/>
  <c r="V1990" i="1"/>
  <c r="BF1990" i="1" s="1"/>
  <c r="V796" i="1"/>
  <c r="BF796" i="1" s="1"/>
  <c r="V506" i="1"/>
  <c r="BF506" i="1" s="1"/>
  <c r="V1888" i="1"/>
  <c r="BF1888" i="1" s="1"/>
  <c r="V625" i="1"/>
  <c r="BF625" i="1" s="1"/>
  <c r="V1481" i="1"/>
  <c r="BF1481" i="1" s="1"/>
  <c r="V1131" i="1"/>
  <c r="BF1131" i="1" s="1"/>
  <c r="V1837" i="1"/>
  <c r="BF1837" i="1" s="1"/>
  <c r="V87" i="1"/>
  <c r="BF87" i="1" s="1"/>
  <c r="V1329" i="1"/>
  <c r="BF1329" i="1" s="1"/>
  <c r="V1280" i="1"/>
  <c r="BF1280" i="1" s="1"/>
  <c r="V1418" i="1"/>
  <c r="BF1418" i="1" s="1"/>
  <c r="V381" i="1"/>
  <c r="BF381" i="1" s="1"/>
  <c r="V1928" i="1"/>
  <c r="BF1928" i="1" s="1"/>
  <c r="V1307" i="1"/>
  <c r="BF1307" i="1" s="1"/>
  <c r="V413" i="1"/>
  <c r="BF413" i="1" s="1"/>
  <c r="V550" i="1"/>
  <c r="BF550" i="1" s="1"/>
  <c r="V1600" i="1"/>
  <c r="BF1600" i="1" s="1"/>
  <c r="V1174" i="1"/>
  <c r="BF1174" i="1" s="1"/>
  <c r="V1099" i="1"/>
  <c r="BF1099" i="1" s="1"/>
  <c r="V1500" i="1"/>
  <c r="BF1500" i="1" s="1"/>
  <c r="V741" i="1"/>
  <c r="BF741" i="1" s="1"/>
  <c r="V128" i="1"/>
  <c r="BF128" i="1" s="1"/>
  <c r="V1668" i="1"/>
  <c r="BF1668" i="1" s="1"/>
  <c r="V1792" i="1"/>
  <c r="BF1792" i="1" s="1"/>
  <c r="V757" i="1"/>
  <c r="BF757" i="1" s="1"/>
  <c r="V1513" i="1"/>
  <c r="BF1513" i="1" s="1"/>
  <c r="V707" i="1"/>
  <c r="BF707" i="1" s="1"/>
  <c r="V404" i="1"/>
  <c r="BF404" i="1" s="1"/>
  <c r="V460" i="1"/>
  <c r="BF460" i="1" s="1"/>
  <c r="V856" i="1"/>
  <c r="BF856" i="1" s="1"/>
  <c r="V1310" i="1"/>
  <c r="BF1310" i="1" s="1"/>
  <c r="V2015" i="1"/>
  <c r="BF2015" i="1" s="1"/>
  <c r="V46" i="1"/>
  <c r="BF46" i="1" s="1"/>
  <c r="V430" i="1"/>
  <c r="BF430" i="1" s="1"/>
  <c r="V1205" i="1"/>
  <c r="BF1205" i="1" s="1"/>
  <c r="V172" i="1"/>
  <c r="BF172" i="1" s="1"/>
  <c r="V400" i="1"/>
  <c r="BF400" i="1" s="1"/>
  <c r="V540" i="1"/>
  <c r="BF540" i="1" s="1"/>
  <c r="V1900" i="1"/>
  <c r="BF1900" i="1" s="1"/>
  <c r="V803" i="1"/>
  <c r="BF803" i="1" s="1"/>
  <c r="V326" i="1"/>
  <c r="BF326" i="1" s="1"/>
  <c r="V1107" i="1"/>
  <c r="BF1107" i="1" s="1"/>
  <c r="V1692" i="1"/>
  <c r="BF1692" i="1" s="1"/>
  <c r="V740" i="1"/>
  <c r="BF740" i="1" s="1"/>
  <c r="V1246" i="1"/>
  <c r="BF1246" i="1" s="1"/>
  <c r="V682" i="1"/>
  <c r="BF682" i="1" s="1"/>
  <c r="V596" i="1"/>
  <c r="BF596" i="1" s="1"/>
  <c r="V1853" i="1"/>
  <c r="BF1853" i="1" s="1"/>
  <c r="V982" i="1"/>
  <c r="BF982" i="1" s="1"/>
  <c r="V167" i="1"/>
  <c r="BF167" i="1" s="1"/>
  <c r="V170" i="1"/>
  <c r="BF170" i="1" s="1"/>
  <c r="V1898" i="1"/>
  <c r="BF1898" i="1" s="1"/>
  <c r="V1720" i="1"/>
  <c r="BF1720" i="1" s="1"/>
  <c r="V1274" i="1"/>
  <c r="BF1274" i="1" s="1"/>
  <c r="V968" i="1"/>
  <c r="BF968" i="1" s="1"/>
  <c r="V1124" i="1"/>
  <c r="BF1124" i="1" s="1"/>
  <c r="V928" i="1"/>
  <c r="BF928" i="1" s="1"/>
  <c r="V1331" i="1"/>
  <c r="BF1331" i="1" s="1"/>
  <c r="V154" i="1"/>
  <c r="BF154" i="1" s="1"/>
  <c r="V1179" i="1"/>
  <c r="BF1179" i="1" s="1"/>
  <c r="V743" i="1"/>
  <c r="BF743" i="1" s="1"/>
  <c r="V916" i="1"/>
  <c r="BF916" i="1" s="1"/>
  <c r="V1639" i="1"/>
  <c r="BF1639" i="1" s="1"/>
  <c r="V91" i="1"/>
  <c r="BF91" i="1" s="1"/>
  <c r="V1814" i="1"/>
  <c r="BF1814" i="1" s="1"/>
  <c r="V377" i="1"/>
  <c r="BF377" i="1" s="1"/>
  <c r="V652" i="1"/>
  <c r="BF652" i="1" s="1"/>
  <c r="V58" i="1"/>
  <c r="BF58" i="1" s="1"/>
  <c r="V2021" i="1"/>
  <c r="BF2021" i="1" s="1"/>
  <c r="V1207" i="1"/>
  <c r="BF1207" i="1" s="1"/>
  <c r="V872" i="1"/>
  <c r="BF872" i="1" s="1"/>
  <c r="V1816" i="1"/>
  <c r="BF1816" i="1" s="1"/>
  <c r="V69" i="1"/>
  <c r="BF69" i="1" s="1"/>
  <c r="V1905" i="1"/>
  <c r="BF1905" i="1" s="1"/>
  <c r="V283" i="1"/>
  <c r="BF283" i="1" s="1"/>
  <c r="V432" i="1"/>
  <c r="BF432" i="1" s="1"/>
  <c r="V86" i="1"/>
  <c r="BF86" i="1" s="1"/>
  <c r="V484" i="1"/>
  <c r="BF484" i="1" s="1"/>
  <c r="V900" i="1"/>
  <c r="BF900" i="1" s="1"/>
  <c r="V1562" i="1"/>
  <c r="BF1562" i="1" s="1"/>
  <c r="V332" i="1"/>
  <c r="BF332" i="1" s="1"/>
  <c r="V930" i="1"/>
  <c r="BF930" i="1" s="1"/>
  <c r="V574" i="1"/>
  <c r="BF574" i="1" s="1"/>
  <c r="V1831" i="1"/>
  <c r="BF1831" i="1" s="1"/>
  <c r="V533" i="1"/>
  <c r="BF533" i="1" s="1"/>
  <c r="V782" i="1"/>
  <c r="BF782" i="1" s="1"/>
  <c r="V1659" i="1"/>
  <c r="BF1659" i="1" s="1"/>
  <c r="V1549" i="1"/>
  <c r="BF1549" i="1" s="1"/>
  <c r="V1726" i="1"/>
  <c r="BF1726" i="1" s="1"/>
  <c r="V98" i="1"/>
  <c r="BF98" i="1" s="1"/>
  <c r="V1827" i="1"/>
  <c r="BF1827" i="1" s="1"/>
  <c r="V563" i="1"/>
  <c r="BF563" i="1" s="1"/>
  <c r="V1250" i="1"/>
  <c r="BF1250" i="1" s="1"/>
  <c r="V842" i="1"/>
  <c r="BF842" i="1" s="1"/>
  <c r="V1139" i="1"/>
  <c r="BF1139" i="1" s="1"/>
  <c r="V1424" i="1"/>
  <c r="BF1424" i="1" s="1"/>
  <c r="V1197" i="1"/>
  <c r="BF1197" i="1" s="1"/>
  <c r="V303" i="1"/>
  <c r="BF303" i="1" s="1"/>
  <c r="V582" i="1"/>
  <c r="BF582" i="1" s="1"/>
  <c r="V536" i="1"/>
  <c r="BF536" i="1" s="1"/>
  <c r="V300" i="1"/>
  <c r="BF300" i="1" s="1"/>
  <c r="V1735" i="1"/>
  <c r="BF1735" i="1" s="1"/>
  <c r="V1065" i="1"/>
  <c r="BF1065" i="1" s="1"/>
  <c r="V711" i="1"/>
  <c r="BF711" i="1" s="1"/>
  <c r="V1213" i="1"/>
  <c r="BF1213" i="1" s="1"/>
  <c r="V981" i="1"/>
  <c r="BF981" i="1" s="1"/>
  <c r="V1309" i="1"/>
  <c r="BF1309" i="1" s="1"/>
  <c r="V59" i="1"/>
  <c r="BF59" i="1" s="1"/>
  <c r="V443" i="1"/>
  <c r="BF443" i="1" s="1"/>
  <c r="V1299" i="1"/>
  <c r="BF1299" i="1" s="1"/>
  <c r="V39" i="1"/>
  <c r="BF39" i="1" s="1"/>
  <c r="V1665" i="1"/>
  <c r="BF1665" i="1" s="1"/>
  <c r="V746" i="1"/>
  <c r="BF746" i="1" s="1"/>
  <c r="V338" i="1"/>
  <c r="BF338" i="1" s="1"/>
  <c r="V1154" i="1"/>
  <c r="BF1154" i="1" s="1"/>
  <c r="V42" i="1"/>
  <c r="BF42" i="1" s="1"/>
  <c r="V2" i="1"/>
  <c r="BF2" i="1" s="1"/>
  <c r="V1490" i="1"/>
  <c r="BF1490" i="1" s="1"/>
  <c r="V252" i="1"/>
  <c r="BF252" i="1" s="1"/>
  <c r="V1744" i="1"/>
  <c r="BF1744" i="1" s="1"/>
  <c r="V1226" i="1"/>
  <c r="BF1226" i="1" s="1"/>
  <c r="V779" i="1"/>
  <c r="BF779" i="1" s="1"/>
  <c r="V1602" i="1"/>
  <c r="BF1602" i="1" s="1"/>
  <c r="V1110" i="1"/>
  <c r="BF1110" i="1" s="1"/>
  <c r="V1669" i="1"/>
  <c r="BF1669" i="1" s="1"/>
  <c r="V32" i="1"/>
  <c r="BF32" i="1" s="1"/>
  <c r="V598" i="1"/>
  <c r="BF598" i="1" s="1"/>
  <c r="V434" i="1"/>
  <c r="BF434" i="1" s="1"/>
  <c r="V1043" i="1"/>
  <c r="BF1043" i="1" s="1"/>
  <c r="V884" i="1"/>
  <c r="BF884" i="1" s="1"/>
  <c r="V1509" i="1"/>
  <c r="BF1509" i="1" s="1"/>
  <c r="V1623" i="1"/>
  <c r="BF1623" i="1" s="1"/>
  <c r="V1666" i="1"/>
  <c r="BF1666" i="1" s="1"/>
  <c r="V528" i="1"/>
  <c r="BF528" i="1" s="1"/>
  <c r="V40" i="1"/>
  <c r="BF40" i="1" s="1"/>
  <c r="V247" i="1"/>
  <c r="BF247" i="1" s="1"/>
  <c r="V393" i="1"/>
  <c r="BF393" i="1" s="1"/>
  <c r="V1889" i="1"/>
  <c r="BF1889" i="1" s="1"/>
  <c r="V322" i="1"/>
  <c r="BF322" i="1" s="1"/>
  <c r="V425" i="1"/>
  <c r="BF425" i="1" s="1"/>
  <c r="V729" i="1"/>
  <c r="BF729" i="1" s="1"/>
  <c r="V728" i="1"/>
  <c r="BF728" i="1" s="1"/>
  <c r="V650" i="1"/>
  <c r="BF650" i="1" s="1"/>
  <c r="V1915" i="1"/>
  <c r="BF1915" i="1" s="1"/>
  <c r="V1759" i="1"/>
  <c r="BF1759" i="1" s="1"/>
  <c r="V490" i="1"/>
  <c r="BF490" i="1" s="1"/>
  <c r="V1571" i="1"/>
  <c r="BF1571" i="1" s="1"/>
  <c r="V977" i="1"/>
  <c r="BF977" i="1" s="1"/>
  <c r="V1014" i="1"/>
  <c r="BF1014" i="1" s="1"/>
  <c r="V1642" i="1"/>
  <c r="BF1642" i="1" s="1"/>
  <c r="V1841" i="1"/>
  <c r="BF1841" i="1" s="1"/>
  <c r="V258" i="1"/>
  <c r="BF258" i="1" s="1"/>
  <c r="V1819" i="1"/>
  <c r="BF1819" i="1" s="1"/>
  <c r="V1872" i="1"/>
  <c r="BF1872" i="1" s="1"/>
  <c r="V268" i="1"/>
  <c r="BF268" i="1" s="1"/>
  <c r="V1587" i="1"/>
  <c r="BF1587" i="1" s="1"/>
  <c r="V354" i="1"/>
  <c r="BF354" i="1" s="1"/>
  <c r="V417" i="1"/>
  <c r="BF417" i="1" s="1"/>
  <c r="V339" i="1"/>
  <c r="BF339" i="1" s="1"/>
  <c r="V1554" i="1"/>
  <c r="BF1554" i="1" s="1"/>
  <c r="V713" i="1"/>
  <c r="BF713" i="1" s="1"/>
  <c r="V867" i="1"/>
  <c r="BF867" i="1" s="1"/>
  <c r="V181" i="1"/>
  <c r="BF181" i="1" s="1"/>
  <c r="V284" i="1"/>
  <c r="BF284" i="1" s="1"/>
  <c r="V468" i="1"/>
  <c r="BF468" i="1" s="1"/>
  <c r="V250" i="1"/>
  <c r="BF250" i="1" s="1"/>
  <c r="V1740" i="1"/>
  <c r="BF1740" i="1" s="1"/>
  <c r="V1215" i="1"/>
  <c r="BF1215" i="1" s="1"/>
  <c r="V7" i="1"/>
  <c r="BF7" i="1" s="1"/>
  <c r="V560" i="1"/>
  <c r="BF560" i="1" s="1"/>
  <c r="V318" i="1"/>
  <c r="BF318" i="1" s="1"/>
  <c r="V1234" i="1"/>
  <c r="BF1234" i="1" s="1"/>
  <c r="V1436" i="1"/>
  <c r="BF1436" i="1" s="1"/>
  <c r="V1125" i="1"/>
  <c r="BF1125" i="1" s="1"/>
  <c r="V291" i="1"/>
  <c r="BF291" i="1" s="1"/>
  <c r="V665" i="1"/>
  <c r="BF665" i="1" s="1"/>
  <c r="V449" i="1"/>
  <c r="BF449" i="1" s="1"/>
  <c r="V320" i="1"/>
  <c r="BF320" i="1" s="1"/>
  <c r="V61" i="1"/>
  <c r="BF61" i="1" s="1"/>
  <c r="V933" i="1"/>
  <c r="BF933" i="1" s="1"/>
  <c r="V1404" i="1"/>
  <c r="BF1404" i="1" s="1"/>
  <c r="V1358" i="1"/>
  <c r="BF1358" i="1" s="1"/>
  <c r="V2018" i="1"/>
  <c r="BF2018" i="1" s="1"/>
  <c r="V1201" i="1"/>
  <c r="BF1201" i="1" s="1"/>
  <c r="V1471" i="1"/>
  <c r="BF1471" i="1" s="1"/>
  <c r="V1486" i="1"/>
  <c r="BF1486" i="1" s="1"/>
  <c r="V1662" i="1"/>
  <c r="BF1662" i="1" s="1"/>
  <c r="V1838" i="1"/>
  <c r="BF1838" i="1" s="1"/>
  <c r="V21" i="1"/>
  <c r="BF21" i="1" s="1"/>
  <c r="V848" i="1"/>
  <c r="BF848" i="1" s="1"/>
  <c r="V983" i="1"/>
  <c r="BF983" i="1" s="1"/>
  <c r="V850" i="1"/>
  <c r="BF850" i="1" s="1"/>
  <c r="V595" i="1"/>
  <c r="BF595" i="1" s="1"/>
  <c r="V1860" i="1"/>
  <c r="BF1860" i="1" s="1"/>
  <c r="V888" i="1"/>
  <c r="BF888" i="1" s="1"/>
  <c r="V294" i="1"/>
  <c r="BF294" i="1" s="1"/>
  <c r="V1415" i="1"/>
  <c r="BF1415" i="1" s="1"/>
  <c r="V41" i="1"/>
  <c r="BF41" i="1" s="1"/>
  <c r="V180" i="1"/>
  <c r="BF180" i="1" s="1"/>
  <c r="V1997" i="1"/>
  <c r="BF1997" i="1" s="1"/>
  <c r="V11" i="1"/>
  <c r="BF11" i="1" s="1"/>
  <c r="V171" i="1"/>
  <c r="BF171" i="1" s="1"/>
  <c r="V881" i="1"/>
  <c r="BF881" i="1" s="1"/>
  <c r="V1654" i="1"/>
  <c r="BF1654" i="1" s="1"/>
  <c r="V577" i="1"/>
  <c r="BF577" i="1" s="1"/>
  <c r="V1874" i="1"/>
  <c r="BF1874" i="1" s="1"/>
  <c r="V1784" i="1"/>
  <c r="BF1784" i="1" s="1"/>
  <c r="V1901" i="1"/>
  <c r="BF1901" i="1" s="1"/>
  <c r="V1160" i="1"/>
  <c r="BF1160" i="1" s="1"/>
  <c r="V1714" i="1"/>
  <c r="BF1714" i="1" s="1"/>
  <c r="V685" i="1"/>
  <c r="BF685" i="1" s="1"/>
  <c r="V1365" i="1"/>
  <c r="BF1365" i="1" s="1"/>
  <c r="V586" i="1"/>
  <c r="BF586" i="1" s="1"/>
  <c r="V648" i="1"/>
  <c r="BF648" i="1" s="1"/>
  <c r="V319" i="1"/>
  <c r="BF319" i="1" s="1"/>
  <c r="V1386" i="1"/>
  <c r="BF1386" i="1" s="1"/>
  <c r="V10" i="1"/>
  <c r="BF10" i="1" s="1"/>
  <c r="V1090" i="1"/>
  <c r="BF1090" i="1" s="1"/>
  <c r="V375" i="1"/>
  <c r="BF375" i="1" s="1"/>
  <c r="V1023" i="1"/>
  <c r="BF1023" i="1" s="1"/>
  <c r="V1791" i="1"/>
  <c r="BF1791" i="1" s="1"/>
  <c r="V1935" i="1"/>
  <c r="BF1935" i="1" s="1"/>
  <c r="V1733" i="1"/>
  <c r="BF1733" i="1" s="1"/>
  <c r="V1760" i="1"/>
  <c r="BF1760" i="1" s="1"/>
  <c r="V1240" i="1"/>
  <c r="BF1240" i="1" s="1"/>
  <c r="V1165" i="1"/>
  <c r="BF1165" i="1" s="1"/>
  <c r="V471" i="1"/>
  <c r="BF471" i="1" s="1"/>
  <c r="V535" i="1"/>
  <c r="BF535" i="1" s="1"/>
  <c r="V1635" i="1"/>
  <c r="BF1635" i="1" s="1"/>
  <c r="V1552" i="1"/>
  <c r="BF1552" i="1" s="1"/>
  <c r="V1138" i="1"/>
  <c r="BF1138" i="1" s="1"/>
  <c r="V2007" i="1"/>
  <c r="BF2007" i="1" s="1"/>
  <c r="V617" i="1"/>
  <c r="BF617" i="1" s="1"/>
  <c r="V624" i="1"/>
  <c r="BF624" i="1" s="1"/>
  <c r="V1959" i="1"/>
  <c r="BF1959" i="1" s="1"/>
  <c r="V902" i="1"/>
  <c r="BF902" i="1" s="1"/>
  <c r="V1356" i="1"/>
  <c r="BF1356" i="1" s="1"/>
  <c r="V813" i="1"/>
  <c r="BF813" i="1" s="1"/>
  <c r="V463" i="1"/>
  <c r="BF463" i="1" s="1"/>
  <c r="V816" i="1"/>
  <c r="BF816" i="1" s="1"/>
  <c r="V1412" i="1"/>
  <c r="BF1412" i="1" s="1"/>
  <c r="V448" i="1"/>
  <c r="BF448" i="1" s="1"/>
  <c r="V627" i="1"/>
  <c r="BF627" i="1" s="1"/>
  <c r="V355" i="1"/>
  <c r="BF355" i="1" s="1"/>
  <c r="V1742" i="1"/>
  <c r="BF1742" i="1" s="1"/>
  <c r="V1211" i="1"/>
  <c r="BF1211" i="1" s="1"/>
  <c r="V1501" i="1"/>
  <c r="BF1501" i="1" s="1"/>
  <c r="V1306" i="1"/>
  <c r="BF1306" i="1" s="1"/>
  <c r="V1024" i="1"/>
  <c r="BF1024" i="1" s="1"/>
  <c r="V396" i="1"/>
  <c r="BF396" i="1" s="1"/>
  <c r="V454" i="1"/>
  <c r="BF454" i="1" s="1"/>
  <c r="V184" i="1"/>
  <c r="BF184" i="1" s="1"/>
  <c r="V1709" i="1"/>
  <c r="BF1709" i="1" s="1"/>
  <c r="V909" i="1"/>
  <c r="BF909" i="1" s="1"/>
  <c r="V472" i="1"/>
  <c r="BF472" i="1" s="1"/>
  <c r="V1569" i="1"/>
  <c r="BF1569" i="1" s="1"/>
  <c r="V1155" i="1"/>
  <c r="BF1155" i="1" s="1"/>
  <c r="V1502" i="1"/>
  <c r="BF1502" i="1" s="1"/>
  <c r="V525" i="1"/>
  <c r="BF525" i="1" s="1"/>
  <c r="V857" i="1"/>
  <c r="BF857" i="1" s="1"/>
  <c r="V1296" i="1"/>
  <c r="BF1296" i="1" s="1"/>
  <c r="V651" i="1"/>
  <c r="BF651" i="1" s="1"/>
  <c r="V954" i="1"/>
  <c r="BF954" i="1" s="1"/>
  <c r="V462" i="1"/>
  <c r="BF462" i="1" s="1"/>
  <c r="V1648" i="1"/>
  <c r="BF1648" i="1" s="1"/>
  <c r="V1583" i="1"/>
  <c r="BF1583" i="1" s="1"/>
  <c r="V1008" i="1"/>
  <c r="BF1008" i="1" s="1"/>
  <c r="V541" i="1"/>
  <c r="BF541" i="1" s="1"/>
  <c r="V321" i="1"/>
  <c r="BF321" i="1" s="1"/>
  <c r="V664" i="1"/>
  <c r="BF664" i="1" s="1"/>
  <c r="V1777" i="1"/>
  <c r="BF1777" i="1" s="1"/>
  <c r="V1572" i="1"/>
  <c r="BF1572" i="1" s="1"/>
  <c r="V1785" i="1"/>
  <c r="BF1785" i="1" s="1"/>
  <c r="V1059" i="1"/>
  <c r="BF1059" i="1" s="1"/>
  <c r="V47" i="1"/>
  <c r="BF47" i="1" s="1"/>
  <c r="V407" i="1"/>
  <c r="BF407" i="1" s="1"/>
  <c r="V1695" i="1"/>
  <c r="BF1695" i="1" s="1"/>
  <c r="V1612" i="1"/>
  <c r="BF1612" i="1" s="1"/>
  <c r="V978" i="1"/>
  <c r="BF978" i="1" s="1"/>
  <c r="V1526" i="1"/>
  <c r="BF1526" i="1" s="1"/>
  <c r="V520" i="1"/>
  <c r="BF520" i="1" s="1"/>
  <c r="V129" i="1"/>
  <c r="BF129" i="1" s="1"/>
  <c r="V1167" i="1"/>
  <c r="BF1167" i="1" s="1"/>
  <c r="V149" i="1"/>
  <c r="BF149" i="1" s="1"/>
  <c r="V1000" i="1"/>
  <c r="BF1000" i="1" s="1"/>
  <c r="V366" i="1"/>
  <c r="BF366" i="1" s="1"/>
  <c r="V453" i="1"/>
  <c r="BF453" i="1" s="1"/>
  <c r="V976" i="1"/>
  <c r="BF976" i="1" s="1"/>
  <c r="V1983" i="1"/>
  <c r="BF1983" i="1" s="1"/>
  <c r="V418" i="1"/>
  <c r="BF418" i="1" s="1"/>
  <c r="V1775" i="1"/>
  <c r="BF1775" i="1" s="1"/>
  <c r="V504" i="1"/>
  <c r="BF504" i="1" s="1"/>
  <c r="V1198" i="1"/>
  <c r="BF1198" i="1" s="1"/>
  <c r="V127" i="1"/>
  <c r="BF127" i="1" s="1"/>
  <c r="V885" i="1"/>
  <c r="BF885" i="1" s="1"/>
  <c r="V792" i="1"/>
  <c r="BF792" i="1" s="1"/>
  <c r="V1647" i="1"/>
  <c r="BF1647" i="1" s="1"/>
  <c r="V1294" i="1"/>
  <c r="BF1294" i="1" s="1"/>
  <c r="V1263" i="1"/>
  <c r="BF1263" i="1" s="1"/>
  <c r="V612" i="1"/>
  <c r="BF612" i="1" s="1"/>
  <c r="V1771" i="1"/>
  <c r="BF1771" i="1" s="1"/>
  <c r="V580" i="1"/>
  <c r="BF580" i="1" s="1"/>
  <c r="V307" i="1"/>
  <c r="BF307" i="1" s="1"/>
  <c r="V1835" i="1"/>
  <c r="BF1835" i="1" s="1"/>
  <c r="V1472" i="1"/>
  <c r="BF1472" i="1" s="1"/>
  <c r="V1840" i="1"/>
  <c r="BF1840" i="1" s="1"/>
  <c r="V1260" i="1"/>
  <c r="BF1260" i="1" s="1"/>
  <c r="V1033" i="1"/>
  <c r="BF1033" i="1" s="1"/>
  <c r="V1109" i="1"/>
  <c r="BF1109" i="1" s="1"/>
  <c r="V88" i="1"/>
  <c r="BF88" i="1" s="1"/>
  <c r="V403" i="1"/>
  <c r="BF403" i="1" s="1"/>
  <c r="V1619" i="1"/>
  <c r="BF1619" i="1" s="1"/>
  <c r="V285" i="1"/>
  <c r="BF285" i="1" s="1"/>
  <c r="V1975" i="1"/>
  <c r="BF1975" i="1" s="1"/>
  <c r="V415" i="1"/>
  <c r="BF415" i="1" s="1"/>
  <c r="V841" i="1"/>
  <c r="BF841" i="1" s="1"/>
  <c r="V1391" i="1"/>
  <c r="BF1391" i="1" s="1"/>
  <c r="V756" i="1"/>
  <c r="BF756" i="1" s="1"/>
  <c r="V1766" i="1"/>
  <c r="BF1766" i="1" s="1"/>
  <c r="V1944" i="1"/>
  <c r="BF1944" i="1" s="1"/>
  <c r="V1555" i="1"/>
  <c r="BF1555" i="1" s="1"/>
  <c r="V1516" i="1"/>
  <c r="BF1516" i="1" s="1"/>
  <c r="V1523" i="1"/>
  <c r="BF1523" i="1" s="1"/>
  <c r="V641" i="1"/>
  <c r="BF641" i="1" s="1"/>
  <c r="V207" i="1"/>
  <c r="BF207" i="1" s="1"/>
  <c r="V1745" i="1"/>
  <c r="BF1745" i="1" s="1"/>
  <c r="V1397" i="1"/>
  <c r="BF1397" i="1" s="1"/>
  <c r="V683" i="1"/>
  <c r="BF683" i="1" s="1"/>
  <c r="V1340" i="1"/>
  <c r="BF1340" i="1" s="1"/>
  <c r="V1127" i="1"/>
  <c r="BF1127" i="1" s="1"/>
  <c r="V347" i="1"/>
  <c r="BF347" i="1" s="1"/>
  <c r="V1967" i="1"/>
  <c r="BF1967" i="1" s="1"/>
  <c r="V1641" i="1"/>
  <c r="BF1641" i="1" s="1"/>
  <c r="V1362" i="1"/>
  <c r="BF1362" i="1" s="1"/>
  <c r="V1603" i="1"/>
  <c r="BF1603" i="1" s="1"/>
  <c r="V878" i="1"/>
  <c r="BF878" i="1" s="1"/>
  <c r="V810" i="1"/>
  <c r="BF810" i="1" s="1"/>
  <c r="V785" i="1"/>
  <c r="BF785" i="1" s="1"/>
  <c r="V678" i="1"/>
  <c r="BF678" i="1" s="1"/>
  <c r="V1204" i="1"/>
  <c r="BF1204" i="1" s="1"/>
  <c r="V279" i="1"/>
  <c r="BF279" i="1" s="1"/>
  <c r="V1974" i="1"/>
  <c r="BF1974" i="1" s="1"/>
  <c r="V1686" i="1"/>
  <c r="BF1686" i="1" s="1"/>
  <c r="V20" i="1"/>
  <c r="BF20" i="1" s="1"/>
  <c r="V33" i="1"/>
  <c r="BF33" i="1" s="1"/>
  <c r="V1311" i="1"/>
  <c r="BF1311" i="1" s="1"/>
  <c r="V572" i="1"/>
  <c r="BF572" i="1" s="1"/>
  <c r="V395" i="1"/>
  <c r="BF395" i="1" s="1"/>
  <c r="V748" i="1"/>
  <c r="BF748" i="1" s="1"/>
  <c r="V549" i="1"/>
  <c r="BF549" i="1" s="1"/>
  <c r="V681" i="1"/>
  <c r="BF681" i="1" s="1"/>
  <c r="V173" i="1"/>
  <c r="BF173" i="1" s="1"/>
  <c r="V134" i="1"/>
  <c r="BF134" i="1" s="1"/>
  <c r="V1118" i="1"/>
  <c r="BF1118" i="1" s="1"/>
  <c r="V999" i="1"/>
  <c r="BF999" i="1" s="1"/>
  <c r="V1825" i="1"/>
  <c r="BF1825" i="1" s="1"/>
  <c r="V1258" i="1"/>
  <c r="BF1258" i="1" s="1"/>
  <c r="V1803" i="1"/>
  <c r="BF1803" i="1" s="1"/>
  <c r="V1028" i="1"/>
  <c r="BF1028" i="1" s="1"/>
  <c r="V608" i="1"/>
  <c r="BF608" i="1" s="1"/>
  <c r="V455" i="1"/>
  <c r="BF455" i="1" s="1"/>
  <c r="V107" i="1"/>
  <c r="BF107" i="1" s="1"/>
  <c r="V416" i="1"/>
  <c r="BF416" i="1" s="1"/>
  <c r="V1848" i="1"/>
  <c r="BF1848" i="1" s="1"/>
  <c r="V35" i="1"/>
  <c r="BF35" i="1" s="1"/>
  <c r="V1375" i="1"/>
  <c r="BF1375" i="1" s="1"/>
  <c r="V1421" i="1"/>
  <c r="BF1421" i="1" s="1"/>
  <c r="V133" i="1"/>
  <c r="BF133" i="1" s="1"/>
  <c r="V508" i="1"/>
  <c r="BF508" i="1" s="1"/>
  <c r="V2014" i="1"/>
  <c r="BF2014" i="1" s="1"/>
  <c r="V849" i="1"/>
  <c r="BF849" i="1" s="1"/>
  <c r="V917" i="1"/>
  <c r="BF917" i="1" s="1"/>
  <c r="V1108" i="1"/>
  <c r="BF1108" i="1" s="1"/>
  <c r="V1489" i="1"/>
  <c r="BF1489" i="1" s="1"/>
  <c r="V1962" i="1"/>
  <c r="BF1962" i="1" s="1"/>
  <c r="V859" i="1"/>
  <c r="BF859" i="1" s="1"/>
  <c r="V483" i="1"/>
  <c r="BF483" i="1" s="1"/>
  <c r="V1565" i="1"/>
  <c r="BF1565" i="1" s="1"/>
  <c r="V734" i="1"/>
  <c r="BF734" i="1" s="1"/>
  <c r="V1724" i="1"/>
  <c r="BF1724" i="1" s="1"/>
  <c r="V1991" i="1"/>
  <c r="BF1991" i="1" s="1"/>
  <c r="V1254" i="1"/>
  <c r="BF1254" i="1" s="1"/>
  <c r="V1393" i="1"/>
  <c r="BF1393" i="1" s="1"/>
  <c r="V43" i="1"/>
  <c r="BF43" i="1" s="1"/>
  <c r="V1537" i="1"/>
  <c r="BF1537" i="1" s="1"/>
  <c r="V106" i="1"/>
  <c r="BF106" i="1" s="1"/>
  <c r="V2016" i="1"/>
  <c r="BF2016" i="1" s="1"/>
  <c r="V1574" i="1"/>
  <c r="BF1574" i="1" s="1"/>
  <c r="V1353" i="1"/>
  <c r="BF1353" i="1" s="1"/>
  <c r="V821" i="1"/>
  <c r="BF821" i="1" s="1"/>
  <c r="V2008" i="1"/>
  <c r="BF2008" i="1" s="1"/>
  <c r="V1653" i="1"/>
  <c r="BF1653" i="1" s="1"/>
  <c r="V858" i="1"/>
  <c r="BF858" i="1" s="1"/>
  <c r="V668" i="1"/>
  <c r="BF668" i="1" s="1"/>
  <c r="V877" i="1"/>
  <c r="BF877" i="1" s="1"/>
  <c r="V1867" i="1"/>
  <c r="BF1867" i="1" s="1"/>
  <c r="V1998" i="1"/>
  <c r="BF1998" i="1" s="1"/>
  <c r="V815" i="1"/>
  <c r="BF815" i="1" s="1"/>
  <c r="V1328" i="1"/>
  <c r="BF1328" i="1" s="1"/>
  <c r="V768" i="1"/>
  <c r="BF768" i="1" s="1"/>
  <c r="V512" i="1"/>
  <c r="BF512" i="1" s="1"/>
  <c r="V583" i="1"/>
  <c r="BF583" i="1" s="1"/>
  <c r="V1046" i="1"/>
  <c r="BF1046" i="1" s="1"/>
  <c r="AR527" i="1"/>
  <c r="BE527" i="1" s="1"/>
  <c r="AR1239" i="1"/>
  <c r="BE1239" i="1" s="1"/>
  <c r="AR313" i="1"/>
  <c r="BE313" i="1" s="1"/>
  <c r="AR1789" i="1"/>
  <c r="BE1789" i="1" s="1"/>
  <c r="AR809" i="1"/>
  <c r="BE809" i="1" s="1"/>
  <c r="AR730" i="1"/>
  <c r="BE730" i="1" s="1"/>
  <c r="AR920" i="1"/>
  <c r="BE920" i="1" s="1"/>
  <c r="AR1593" i="1"/>
  <c r="BE1593" i="1" s="1"/>
  <c r="AR1722" i="1"/>
  <c r="BE1722" i="1" s="1"/>
  <c r="AR2019" i="1"/>
  <c r="BE2019" i="1" s="1"/>
  <c r="AR1912" i="1"/>
  <c r="BE1912" i="1" s="1"/>
  <c r="AR457" i="1"/>
  <c r="BE457" i="1" s="1"/>
  <c r="AR855" i="1"/>
  <c r="BE855" i="1" s="1"/>
  <c r="AR1646" i="1"/>
  <c r="BE1646" i="1" s="1"/>
  <c r="AR147" i="1"/>
  <c r="BE147" i="1" s="1"/>
  <c r="AR1317" i="1"/>
  <c r="BE1317" i="1" s="1"/>
  <c r="AR1079" i="1"/>
  <c r="BE1079" i="1" s="1"/>
  <c r="AR477" i="1"/>
  <c r="BE477" i="1" s="1"/>
  <c r="AR1582" i="1"/>
  <c r="BE1582" i="1" s="1"/>
  <c r="AR1016" i="1"/>
  <c r="BE1016" i="1" s="1"/>
  <c r="AR2022" i="1"/>
  <c r="BE2022" i="1" s="1"/>
  <c r="AR892" i="1"/>
  <c r="BE892" i="1" s="1"/>
  <c r="AR679" i="1"/>
  <c r="BE679" i="1" s="1"/>
  <c r="AR1442" i="1"/>
  <c r="BE1442" i="1" s="1"/>
  <c r="AR1660" i="1"/>
  <c r="BE1660" i="1" s="1"/>
  <c r="AR971" i="1"/>
  <c r="BE971" i="1" s="1"/>
  <c r="AR1407" i="1"/>
  <c r="BE1407" i="1" s="1"/>
  <c r="AR84" i="1"/>
  <c r="BE84" i="1" s="1"/>
  <c r="AR1813" i="1"/>
  <c r="BE1813" i="1" s="1"/>
  <c r="AR1021" i="1"/>
  <c r="BE1021" i="1" s="1"/>
  <c r="AR1387" i="1"/>
  <c r="BE1387" i="1" s="1"/>
  <c r="AR1236" i="1"/>
  <c r="BE1236" i="1" s="1"/>
  <c r="AR384" i="1"/>
  <c r="BE384" i="1" s="1"/>
  <c r="AR1146" i="1"/>
  <c r="BE1146" i="1" s="1"/>
  <c r="AR599" i="1"/>
  <c r="BE599" i="1" s="1"/>
  <c r="AR1873" i="1"/>
  <c r="BE1873" i="1" s="1"/>
  <c r="AR1321" i="1"/>
  <c r="BE1321" i="1" s="1"/>
  <c r="AR773" i="1"/>
  <c r="BE773" i="1" s="1"/>
  <c r="AR379" i="1"/>
  <c r="BE379" i="1" s="1"/>
  <c r="AR1919" i="1"/>
  <c r="BE1919" i="1" s="1"/>
  <c r="AR1931" i="1"/>
  <c r="BE1931" i="1" s="1"/>
  <c r="AR2012" i="1"/>
  <c r="BE2012" i="1" s="1"/>
  <c r="AR152" i="1"/>
  <c r="BE152" i="1" s="1"/>
  <c r="AR1877" i="1"/>
  <c r="BE1877" i="1" s="1"/>
  <c r="AR1350" i="1"/>
  <c r="BE1350" i="1" s="1"/>
  <c r="AR529" i="1"/>
  <c r="BE529" i="1" s="1"/>
  <c r="AR673" i="1"/>
  <c r="BE673" i="1" s="1"/>
  <c r="AR190" i="1"/>
  <c r="BE190" i="1" s="1"/>
  <c r="AR1532" i="1"/>
  <c r="BE1532" i="1" s="1"/>
  <c r="AR95" i="1"/>
  <c r="BE95" i="1" s="1"/>
  <c r="AR603" i="1"/>
  <c r="BE603" i="1" s="1"/>
  <c r="AR135" i="1"/>
  <c r="BE135" i="1" s="1"/>
  <c r="AR342" i="1"/>
  <c r="BE342" i="1" s="1"/>
  <c r="AR1750" i="1"/>
  <c r="BE1750" i="1" s="1"/>
  <c r="AR919" i="1"/>
  <c r="BE919" i="1" s="1"/>
  <c r="AR214" i="1"/>
  <c r="BE214" i="1" s="1"/>
  <c r="AR602" i="1"/>
  <c r="BE602" i="1" s="1"/>
  <c r="AR790" i="1"/>
  <c r="BE790" i="1" s="1"/>
  <c r="AR621" i="1"/>
  <c r="BE621" i="1" s="1"/>
  <c r="AR359" i="1"/>
  <c r="BE359" i="1" s="1"/>
  <c r="AR1839" i="1"/>
  <c r="BE1839" i="1" s="1"/>
  <c r="AR1677" i="1"/>
  <c r="BE1677" i="1" s="1"/>
  <c r="AR255" i="1"/>
  <c r="BE255" i="1" s="1"/>
  <c r="AR581" i="1"/>
  <c r="BE581" i="1" s="1"/>
  <c r="AR479" i="1"/>
  <c r="BE479" i="1" s="1"/>
  <c r="AR397" i="1"/>
  <c r="BE397" i="1" s="1"/>
  <c r="AR676" i="1"/>
  <c r="BE676" i="1" s="1"/>
  <c r="AR761" i="1"/>
  <c r="BE761" i="1" s="1"/>
  <c r="AR1378" i="1"/>
  <c r="BE1378" i="1" s="1"/>
  <c r="AR1380" i="1"/>
  <c r="BE1380" i="1" s="1"/>
  <c r="AR240" i="1"/>
  <c r="BE240" i="1" s="1"/>
  <c r="AR223" i="1"/>
  <c r="BE223" i="1" s="1"/>
  <c r="AR1368" i="1"/>
  <c r="BE1368" i="1" s="1"/>
  <c r="AR557" i="1"/>
  <c r="BE557" i="1" s="1"/>
  <c r="AR1711" i="1"/>
  <c r="BE1711" i="1" s="1"/>
  <c r="AR1830" i="1"/>
  <c r="BE1830" i="1" s="1"/>
  <c r="AR1881" i="1"/>
  <c r="BE1881" i="1" s="1"/>
  <c r="AR102" i="1"/>
  <c r="BE102" i="1" s="1"/>
  <c r="AR1776" i="1"/>
  <c r="BE1776" i="1" s="1"/>
  <c r="AR1543" i="1"/>
  <c r="BE1543" i="1" s="1"/>
  <c r="AR1105" i="1"/>
  <c r="BE1105" i="1" s="1"/>
  <c r="AR165" i="1"/>
  <c r="BE165" i="1" s="1"/>
  <c r="AR970" i="1"/>
  <c r="BE970" i="1" s="1"/>
  <c r="AR1326" i="1"/>
  <c r="BE1326" i="1" s="1"/>
  <c r="AR1884" i="1"/>
  <c r="BE1884" i="1" s="1"/>
  <c r="AR1705" i="1"/>
  <c r="BE1705" i="1" s="1"/>
  <c r="AR1163" i="1"/>
  <c r="BE1163" i="1" s="1"/>
  <c r="AR1031" i="1"/>
  <c r="BE1031" i="1" s="1"/>
  <c r="AR216" i="1"/>
  <c r="BE216" i="1" s="1"/>
  <c r="AR647" i="1"/>
  <c r="BE647" i="1" s="1"/>
  <c r="AR1166" i="1"/>
  <c r="BE1166" i="1" s="1"/>
  <c r="AR1636" i="1"/>
  <c r="BE1636" i="1" s="1"/>
  <c r="AR296" i="1"/>
  <c r="BE296" i="1" s="1"/>
  <c r="AR428" i="1"/>
  <c r="BE428" i="1" s="1"/>
  <c r="AR63" i="1"/>
  <c r="BE63" i="1" s="1"/>
  <c r="AR1847" i="1"/>
  <c r="BE1847" i="1" s="1"/>
  <c r="AR1123" i="1"/>
  <c r="BE1123" i="1" s="1"/>
  <c r="AR1017" i="1"/>
  <c r="BE1017" i="1" s="1"/>
  <c r="AR1435" i="1"/>
  <c r="BE1435" i="1" s="1"/>
  <c r="AR52" i="1"/>
  <c r="BE52" i="1" s="1"/>
  <c r="AR424" i="1"/>
  <c r="BE424" i="1" s="1"/>
  <c r="AR341" i="1"/>
  <c r="BE341" i="1" s="1"/>
  <c r="AR897" i="1"/>
  <c r="BE897" i="1" s="1"/>
  <c r="AR54" i="1"/>
  <c r="BE54" i="1" s="1"/>
  <c r="AR1241" i="1"/>
  <c r="BE1241" i="1" s="1"/>
  <c r="AR1070" i="1"/>
  <c r="BE1070" i="1" s="1"/>
  <c r="AR36" i="1"/>
  <c r="BE36" i="1" s="1"/>
  <c r="AR1499" i="1"/>
  <c r="BE1499" i="1" s="1"/>
  <c r="AR1729" i="1"/>
  <c r="BE1729" i="1" s="1"/>
  <c r="AR1922" i="1"/>
  <c r="BE1922" i="1" s="1"/>
  <c r="AR951" i="1"/>
  <c r="BE951" i="1" s="1"/>
  <c r="AR1675" i="1"/>
  <c r="BE1675" i="1" s="1"/>
  <c r="AR1930" i="1"/>
  <c r="BE1930" i="1" s="1"/>
  <c r="AR1699" i="1"/>
  <c r="BE1699" i="1" s="1"/>
  <c r="AR4" i="1"/>
  <c r="BE4" i="1" s="1"/>
  <c r="AR317" i="1"/>
  <c r="BE317" i="1" s="1"/>
  <c r="AR140" i="1"/>
  <c r="BE140" i="1" s="1"/>
  <c r="AR1005" i="1"/>
  <c r="BE1005" i="1" s="1"/>
  <c r="AR459" i="1"/>
  <c r="BE459" i="1" s="1"/>
  <c r="AR749" i="1"/>
  <c r="BE749" i="1" s="1"/>
  <c r="AR788" i="1"/>
  <c r="BE788" i="1" s="1"/>
  <c r="AR274" i="1"/>
  <c r="BE274" i="1" s="1"/>
  <c r="AR1372" i="1"/>
  <c r="BE1372" i="1" s="1"/>
  <c r="AR444" i="1"/>
  <c r="BE444" i="1" s="1"/>
  <c r="AR2003" i="1"/>
  <c r="BE2003" i="1" s="1"/>
  <c r="AR1655" i="1"/>
  <c r="BE1655" i="1" s="1"/>
  <c r="AR1545" i="1"/>
  <c r="BE1545" i="1" s="1"/>
  <c r="AR1528" i="1"/>
  <c r="BE1528" i="1" s="1"/>
  <c r="AR13" i="1"/>
  <c r="BE13" i="1" s="1"/>
  <c r="AR638" i="1"/>
  <c r="BE638" i="1" s="1"/>
  <c r="AR70" i="1"/>
  <c r="BE70" i="1" s="1"/>
  <c r="AR573" i="1"/>
  <c r="BE573" i="1" s="1"/>
  <c r="AR1288" i="1"/>
  <c r="BE1288" i="1" s="1"/>
  <c r="AR786" i="1"/>
  <c r="BE786" i="1" s="1"/>
  <c r="AR1871" i="1"/>
  <c r="BE1871" i="1" s="1"/>
  <c r="AR1426" i="1"/>
  <c r="BE1426" i="1" s="1"/>
  <c r="AR1551" i="1"/>
  <c r="BE1551" i="1" s="1"/>
  <c r="AR693" i="1"/>
  <c r="BE693" i="1" s="1"/>
  <c r="AR851" i="1"/>
  <c r="BE851" i="1" s="1"/>
  <c r="AR637" i="1"/>
  <c r="BE637" i="1" s="1"/>
  <c r="AR1184" i="1"/>
  <c r="BE1184" i="1" s="1"/>
  <c r="AR1561" i="1"/>
  <c r="BE1561" i="1" s="1"/>
  <c r="AR805" i="1"/>
  <c r="BE805" i="1" s="1"/>
  <c r="AR373" i="1"/>
  <c r="BE373" i="1" s="1"/>
  <c r="AR1111" i="1"/>
  <c r="BE1111" i="1" s="1"/>
  <c r="AR770" i="1"/>
  <c r="BE770" i="1" s="1"/>
  <c r="AR913" i="1"/>
  <c r="BE913" i="1" s="1"/>
  <c r="AR185" i="1"/>
  <c r="BE185" i="1" s="1"/>
  <c r="AR1756" i="1"/>
  <c r="BE1756" i="1" s="1"/>
  <c r="AR368" i="1"/>
  <c r="BE368" i="1" s="1"/>
  <c r="AR1870" i="1"/>
  <c r="BE1870" i="1" s="1"/>
  <c r="AR259" i="1"/>
  <c r="BE259" i="1" s="1"/>
  <c r="AR1301" i="1"/>
  <c r="BE1301" i="1" s="1"/>
  <c r="AR475" i="1"/>
  <c r="BE475" i="1" s="1"/>
  <c r="AR645" i="1"/>
  <c r="BE645" i="1" s="1"/>
  <c r="AR362" i="1"/>
  <c r="BE362" i="1" s="1"/>
  <c r="AR1859" i="1"/>
  <c r="BE1859" i="1" s="1"/>
  <c r="AR1649" i="1"/>
  <c r="BE1649" i="1" s="1"/>
  <c r="AR1746" i="1"/>
  <c r="BE1746" i="1" s="1"/>
  <c r="AR1063" i="1"/>
  <c r="BE1063" i="1" s="1"/>
  <c r="AR1011" i="1"/>
  <c r="BE1011" i="1" s="1"/>
  <c r="AR1037" i="1"/>
  <c r="BE1037" i="1" s="1"/>
  <c r="AR380" i="1"/>
  <c r="BE380" i="1" s="1"/>
  <c r="AR118" i="1"/>
  <c r="BE118" i="1" s="1"/>
  <c r="AR1447" i="1"/>
  <c r="BE1447" i="1" s="1"/>
  <c r="AR1498" i="1"/>
  <c r="BE1498" i="1" s="1"/>
  <c r="AR1022" i="1"/>
  <c r="BE1022" i="1" s="1"/>
  <c r="AR1964" i="1"/>
  <c r="BE1964" i="1" s="1"/>
  <c r="AR405" i="1"/>
  <c r="BE405" i="1" s="1"/>
  <c r="AR1694" i="1"/>
  <c r="BE1694" i="1" s="1"/>
  <c r="AR1348" i="1"/>
  <c r="BE1348" i="1" s="1"/>
  <c r="AR1824" i="1"/>
  <c r="BE1824" i="1" s="1"/>
  <c r="AR1674" i="1"/>
  <c r="BE1674" i="1" s="1"/>
  <c r="AR769" i="1"/>
  <c r="BE769" i="1" s="1"/>
  <c r="AR261" i="1"/>
  <c r="BE261" i="1" s="1"/>
  <c r="AR1233" i="1"/>
  <c r="BE1233" i="1" s="1"/>
  <c r="AR1844" i="1"/>
  <c r="BE1844" i="1" s="1"/>
  <c r="AR360" i="1"/>
  <c r="BE360" i="1" s="1"/>
  <c r="AR1392" i="1"/>
  <c r="BE1392" i="1" s="1"/>
  <c r="AR1047" i="1"/>
  <c r="BE1047" i="1" s="1"/>
  <c r="AR1684" i="1"/>
  <c r="BE1684" i="1" s="1"/>
  <c r="AR327" i="1"/>
  <c r="BE327" i="1" s="1"/>
  <c r="AR189" i="1"/>
  <c r="BE189" i="1" s="1"/>
  <c r="AR71" i="1"/>
  <c r="BE71" i="1" s="1"/>
  <c r="AR1159" i="1"/>
  <c r="BE1159" i="1" s="1"/>
  <c r="AR592" i="1"/>
  <c r="BE592" i="1" s="1"/>
  <c r="AR232" i="1"/>
  <c r="BE232" i="1" s="1"/>
  <c r="AR669" i="1"/>
  <c r="BE669" i="1" s="1"/>
  <c r="AR6" i="1"/>
  <c r="BE6" i="1" s="1"/>
  <c r="AR1405" i="1"/>
  <c r="BE1405" i="1" s="1"/>
  <c r="AR1607" i="1"/>
  <c r="BE1607" i="1" s="1"/>
  <c r="AR1708" i="1"/>
  <c r="BE1708" i="1" s="1"/>
  <c r="AR1136" i="1"/>
  <c r="BE1136" i="1" s="1"/>
  <c r="AR1261" i="1"/>
  <c r="BE1261" i="1" s="1"/>
  <c r="AR702" i="1"/>
  <c r="BE702" i="1" s="1"/>
  <c r="AR1242" i="1"/>
  <c r="BE1242" i="1" s="1"/>
  <c r="AR220" i="1"/>
  <c r="BE220" i="1" s="1"/>
  <c r="AR1265" i="1"/>
  <c r="BE1265" i="1" s="1"/>
  <c r="AR1189" i="1"/>
  <c r="BE1189" i="1" s="1"/>
  <c r="AR295" i="1"/>
  <c r="BE295" i="1" s="1"/>
  <c r="AR1338" i="1"/>
  <c r="BE1338" i="1" s="1"/>
  <c r="AR1003" i="1"/>
  <c r="BE1003" i="1" s="1"/>
  <c r="AR120" i="1"/>
  <c r="BE120" i="1" s="1"/>
  <c r="AR1302" i="1"/>
  <c r="BE1302" i="1" s="1"/>
  <c r="AR545" i="1"/>
  <c r="BE545" i="1" s="1"/>
  <c r="AR1169" i="1"/>
  <c r="BE1169" i="1" s="1"/>
  <c r="AR292" i="1"/>
  <c r="BE292" i="1" s="1"/>
  <c r="AR433" i="1"/>
  <c r="BE433" i="1" s="1"/>
  <c r="AR1697" i="1"/>
  <c r="BE1697" i="1" s="1"/>
  <c r="AR699" i="1"/>
  <c r="BE699" i="1" s="1"/>
  <c r="AR1319" i="1"/>
  <c r="BE1319" i="1" s="1"/>
  <c r="AR1034" i="1"/>
  <c r="BE1034" i="1" s="1"/>
  <c r="AR1074" i="1"/>
  <c r="BE1074" i="1" s="1"/>
  <c r="AR159" i="1"/>
  <c r="BE159" i="1" s="1"/>
  <c r="AR1563" i="1"/>
  <c r="BE1563" i="1" s="1"/>
  <c r="AR1520" i="1"/>
  <c r="BE1520" i="1" s="1"/>
  <c r="AR376" i="1"/>
  <c r="BE376" i="1" s="1"/>
  <c r="AR1454" i="1"/>
  <c r="BE1454" i="1" s="1"/>
  <c r="AR1796" i="1"/>
  <c r="BE1796" i="1" s="1"/>
  <c r="AR727" i="1"/>
  <c r="BE727" i="1" s="1"/>
  <c r="AR1907" i="1"/>
  <c r="BE1907" i="1" s="1"/>
  <c r="AR1863" i="1"/>
  <c r="BE1863" i="1" s="1"/>
  <c r="AR412" i="1"/>
  <c r="BE412" i="1" s="1"/>
  <c r="AR2013" i="1"/>
  <c r="BE2013" i="1" s="1"/>
  <c r="AR275" i="1"/>
  <c r="BE275" i="1" s="1"/>
  <c r="AR680" i="1"/>
  <c r="BE680" i="1" s="1"/>
  <c r="AR1903" i="1"/>
  <c r="BE1903" i="1" s="1"/>
  <c r="AR239" i="1"/>
  <c r="BE239" i="1" s="1"/>
  <c r="AR795" i="1"/>
  <c r="BE795" i="1" s="1"/>
  <c r="AR1710" i="1"/>
  <c r="BE1710" i="1" s="1"/>
  <c r="AR390" i="1"/>
  <c r="BE390" i="1" s="1"/>
  <c r="AR500" i="1"/>
  <c r="BE500" i="1" s="1"/>
  <c r="AR352" i="1"/>
  <c r="BE352" i="1" s="1"/>
  <c r="AR655" i="1"/>
  <c r="BE655" i="1" s="1"/>
  <c r="AR1698" i="1"/>
  <c r="BE1698" i="1" s="1"/>
  <c r="AR1704" i="1"/>
  <c r="BE1704" i="1" s="1"/>
  <c r="AR5" i="1"/>
  <c r="BE5" i="1" s="1"/>
  <c r="AR1420" i="1"/>
  <c r="BE1420" i="1" s="1"/>
  <c r="AR469" i="1"/>
  <c r="BE469" i="1" s="1"/>
  <c r="AR1706" i="1"/>
  <c r="BE1706" i="1" s="1"/>
  <c r="AR718" i="1"/>
  <c r="BE718" i="1" s="1"/>
  <c r="AR1227" i="1"/>
  <c r="BE1227" i="1" s="1"/>
  <c r="AR1960" i="1"/>
  <c r="BE1960" i="1" s="1"/>
  <c r="AR1423" i="1"/>
  <c r="BE1423" i="1" s="1"/>
  <c r="AR1982" i="1"/>
  <c r="BE1982" i="1" s="1"/>
  <c r="AR561" i="1"/>
  <c r="BE561" i="1" s="1"/>
  <c r="AR1267" i="1"/>
  <c r="BE1267" i="1" s="1"/>
  <c r="AR1458" i="1"/>
  <c r="BE1458" i="1" s="1"/>
  <c r="AR1333" i="1"/>
  <c r="BE1333" i="1" s="1"/>
  <c r="AR1478" i="1"/>
  <c r="BE1478" i="1" s="1"/>
  <c r="AR177" i="1"/>
  <c r="BE177" i="1" s="1"/>
  <c r="AR1470" i="1"/>
  <c r="BE1470" i="1" s="1"/>
  <c r="AR280" i="1"/>
  <c r="BE280" i="1" s="1"/>
  <c r="AR1917" i="1"/>
  <c r="BE1917" i="1" s="1"/>
  <c r="AR371" i="1"/>
  <c r="BE371" i="1" s="1"/>
  <c r="AR1652" i="1"/>
  <c r="BE1652" i="1" s="1"/>
  <c r="AR725" i="1"/>
  <c r="BE725" i="1" s="1"/>
  <c r="AR1779" i="1"/>
  <c r="BE1779" i="1" s="1"/>
  <c r="AR1657" i="1"/>
  <c r="BE1657" i="1" s="1"/>
  <c r="AR635" i="1"/>
  <c r="BE635" i="1" s="1"/>
  <c r="AR499" i="1"/>
  <c r="BE499" i="1" s="1"/>
  <c r="AR187" i="1"/>
  <c r="BE187" i="1" s="1"/>
  <c r="AR309" i="1"/>
  <c r="BE309" i="1" s="1"/>
  <c r="AR686" i="1"/>
  <c r="BE686" i="1" s="1"/>
  <c r="AR1845" i="1"/>
  <c r="BE1845" i="1" s="1"/>
  <c r="AR620" i="1"/>
  <c r="BE620" i="1" s="1"/>
  <c r="AR1244" i="1"/>
  <c r="BE1244" i="1" s="1"/>
  <c r="AR1715" i="1"/>
  <c r="BE1715" i="1" s="1"/>
  <c r="AR269" i="1"/>
  <c r="BE269" i="1" s="1"/>
  <c r="AR1092" i="1"/>
  <c r="BE1092" i="1" s="1"/>
  <c r="AR174" i="1"/>
  <c r="BE174" i="1" s="1"/>
  <c r="AR1145" i="1"/>
  <c r="BE1145" i="1" s="1"/>
  <c r="AR1141" i="1"/>
  <c r="BE1141" i="1" s="1"/>
  <c r="AR1464" i="1"/>
  <c r="BE1464" i="1" s="1"/>
  <c r="AR92" i="1"/>
  <c r="BE92" i="1" s="1"/>
  <c r="AR1977" i="1"/>
  <c r="BE1977" i="1" s="1"/>
  <c r="AR1762" i="1"/>
  <c r="BE1762" i="1" s="1"/>
  <c r="AR957" i="1"/>
  <c r="BE957" i="1" s="1"/>
  <c r="AR1510" i="1"/>
  <c r="BE1510" i="1" s="1"/>
  <c r="AR1278" i="1"/>
  <c r="BE1278" i="1" s="1"/>
  <c r="AR343" i="1"/>
  <c r="BE343" i="1" s="1"/>
  <c r="AR868" i="1"/>
  <c r="BE868" i="1" s="1"/>
  <c r="AR1613" i="1"/>
  <c r="BE1613" i="1" s="1"/>
  <c r="AR861" i="1"/>
  <c r="BE861" i="1" s="1"/>
  <c r="AR1162" i="1"/>
  <c r="BE1162" i="1" s="1"/>
  <c r="AR1354" i="1"/>
  <c r="BE1354" i="1" s="1"/>
  <c r="AR1852" i="1"/>
  <c r="BE1852" i="1" s="1"/>
  <c r="AR158" i="1"/>
  <c r="BE158" i="1" s="1"/>
  <c r="AR1379" i="1"/>
  <c r="BE1379" i="1" s="1"/>
  <c r="AR241" i="1"/>
  <c r="BE241" i="1" s="1"/>
  <c r="AR689" i="1"/>
  <c r="BE689" i="1" s="1"/>
  <c r="AR819" i="1"/>
  <c r="BE819" i="1" s="1"/>
  <c r="AR1996" i="1"/>
  <c r="BE1996" i="1" s="1"/>
  <c r="AR1911" i="1"/>
  <c r="BE1911" i="1" s="1"/>
  <c r="AR308" i="1"/>
  <c r="BE308" i="1" s="1"/>
  <c r="AR973" i="1"/>
  <c r="BE973" i="1" s="1"/>
  <c r="AR1795" i="1"/>
  <c r="BE1795" i="1" s="1"/>
  <c r="AR1390" i="1"/>
  <c r="BE1390" i="1" s="1"/>
  <c r="AR584" i="1"/>
  <c r="BE584" i="1" s="1"/>
  <c r="AR1765" i="1"/>
  <c r="BE1765" i="1" s="1"/>
  <c r="AR660" i="1"/>
  <c r="BE660" i="1" s="1"/>
  <c r="AR1594" i="1"/>
  <c r="BE1594" i="1" s="1"/>
  <c r="AR1178" i="1"/>
  <c r="BE1178" i="1" s="1"/>
  <c r="AR691" i="1"/>
  <c r="BE691" i="1" s="1"/>
  <c r="AR1443" i="1"/>
  <c r="BE1443" i="1" s="1"/>
  <c r="AR476" i="1"/>
  <c r="BE476" i="1" s="1"/>
  <c r="AR1988" i="1"/>
  <c r="BE1988" i="1" s="1"/>
  <c r="AR1778" i="1"/>
  <c r="BE1778" i="1" s="1"/>
  <c r="AR1010" i="1"/>
  <c r="BE1010" i="1" s="1"/>
  <c r="AR1700" i="1"/>
  <c r="BE1700" i="1" s="1"/>
  <c r="AR1851" i="1"/>
  <c r="BE1851" i="1" s="1"/>
  <c r="AR1075" i="1"/>
  <c r="BE1075" i="1" s="1"/>
  <c r="AR656" i="1"/>
  <c r="BE656" i="1" s="1"/>
  <c r="AR1577" i="1"/>
  <c r="BE1577" i="1" s="1"/>
  <c r="AR1895" i="1"/>
  <c r="BE1895" i="1" s="1"/>
  <c r="AR752" i="1"/>
  <c r="BE752" i="1" s="1"/>
  <c r="AR238" i="1"/>
  <c r="BE238" i="1" s="1"/>
  <c r="AR1718" i="1"/>
  <c r="BE1718" i="1" s="1"/>
  <c r="AR111" i="1"/>
  <c r="BE111" i="1" s="1"/>
  <c r="AR333" i="1"/>
  <c r="BE333" i="1" s="1"/>
  <c r="AR880" i="1"/>
  <c r="BE880" i="1" s="1"/>
  <c r="AR940" i="1"/>
  <c r="BE940" i="1" s="1"/>
  <c r="AR865" i="1"/>
  <c r="BE865" i="1" s="1"/>
  <c r="AR1797" i="1"/>
  <c r="BE1797" i="1" s="1"/>
  <c r="AR136" i="1"/>
  <c r="BE136" i="1" s="1"/>
  <c r="AR1277" i="1"/>
  <c r="BE1277" i="1" s="1"/>
  <c r="AR79" i="1"/>
  <c r="BE79" i="1" s="1"/>
  <c r="AR1731" i="1"/>
  <c r="BE1731" i="1" s="1"/>
  <c r="AR1627" i="1"/>
  <c r="BE1627" i="1" s="1"/>
  <c r="AR555" i="1"/>
  <c r="BE555" i="1" s="1"/>
  <c r="AR502" i="1"/>
  <c r="BE502" i="1" s="1"/>
  <c r="AR346" i="1"/>
  <c r="BE346" i="1" s="1"/>
  <c r="AR289" i="1"/>
  <c r="BE289" i="1" s="1"/>
  <c r="AR780" i="1"/>
  <c r="BE780" i="1" s="1"/>
  <c r="AR1431" i="1"/>
  <c r="BE1431" i="1" s="1"/>
  <c r="AR1098" i="1"/>
  <c r="BE1098" i="1" s="1"/>
  <c r="AR364" i="1"/>
  <c r="BE364" i="1" s="1"/>
  <c r="AR445" i="1"/>
  <c r="BE445" i="1" s="1"/>
  <c r="AR1248" i="1"/>
  <c r="BE1248" i="1" s="1"/>
  <c r="AR206" i="1"/>
  <c r="BE206" i="1" s="1"/>
  <c r="AR732" i="1"/>
  <c r="BE732" i="1" s="1"/>
  <c r="AR1764" i="1"/>
  <c r="BE1764" i="1" s="1"/>
  <c r="AR1053" i="1"/>
  <c r="BE1053" i="1" s="1"/>
  <c r="AR949" i="1"/>
  <c r="BE949" i="1" s="1"/>
  <c r="AR188" i="1"/>
  <c r="BE188" i="1" s="1"/>
  <c r="AR1678" i="1"/>
  <c r="BE1678" i="1" s="1"/>
  <c r="AR310" i="1"/>
  <c r="BE310" i="1" s="1"/>
  <c r="AR997" i="1"/>
  <c r="BE997" i="1" s="1"/>
  <c r="AR1511" i="1"/>
  <c r="BE1511" i="1" s="1"/>
  <c r="AR1121" i="1"/>
  <c r="BE1121" i="1" s="1"/>
  <c r="AR1751" i="1"/>
  <c r="BE1751" i="1" s="1"/>
  <c r="AR692" i="1"/>
  <c r="BE692" i="1" s="1"/>
  <c r="AR1451" i="1"/>
  <c r="BE1451" i="1" s="1"/>
  <c r="AR1182" i="1"/>
  <c r="BE1182" i="1" s="1"/>
  <c r="AR1518" i="1"/>
  <c r="BE1518" i="1" s="1"/>
  <c r="AR1683" i="1"/>
  <c r="BE1683" i="1" s="1"/>
  <c r="AR640" i="1"/>
  <c r="BE640" i="1" s="1"/>
  <c r="AR1721" i="1"/>
  <c r="BE1721" i="1" s="1"/>
  <c r="AR1637" i="1"/>
  <c r="BE1637" i="1" s="1"/>
  <c r="AR1925" i="1"/>
  <c r="BE1925" i="1" s="1"/>
  <c r="AR1406" i="1"/>
  <c r="BE1406" i="1" s="1"/>
  <c r="AR1505" i="1"/>
  <c r="BE1505" i="1" s="1"/>
  <c r="AR2002" i="1"/>
  <c r="BE2002" i="1" s="1"/>
  <c r="AR1282" i="1"/>
  <c r="BE1282" i="1" s="1"/>
  <c r="AR721" i="1"/>
  <c r="BE721" i="1" s="1"/>
  <c r="AR1512" i="1"/>
  <c r="BE1512" i="1" s="1"/>
  <c r="AR351" i="1"/>
  <c r="BE351" i="1" s="1"/>
  <c r="AR34" i="1"/>
  <c r="BE34" i="1" s="1"/>
  <c r="AR696" i="1"/>
  <c r="BE696" i="1" s="1"/>
  <c r="AR224" i="1"/>
  <c r="BE224" i="1" s="1"/>
  <c r="AR703" i="1"/>
  <c r="BE703" i="1" s="1"/>
  <c r="AR542" i="1"/>
  <c r="BE542" i="1" s="1"/>
  <c r="AR325" i="1"/>
  <c r="BE325" i="1" s="1"/>
  <c r="AR1275" i="1"/>
  <c r="BE1275" i="1" s="1"/>
  <c r="AR1979" i="1"/>
  <c r="BE1979" i="1" s="1"/>
  <c r="AR1855" i="1"/>
  <c r="BE1855" i="1" s="1"/>
  <c r="AR1987" i="1"/>
  <c r="BE1987" i="1" s="1"/>
  <c r="AR1739" i="1"/>
  <c r="BE1739" i="1" s="1"/>
  <c r="AR254" i="1"/>
  <c r="BE254" i="1" s="1"/>
  <c r="AR1318" i="1"/>
  <c r="BE1318" i="1" s="1"/>
  <c r="AR1279" i="1"/>
  <c r="BE1279" i="1" s="1"/>
  <c r="AR960" i="1"/>
  <c r="BE960" i="1" s="1"/>
  <c r="AR1149" i="1"/>
  <c r="BE1149" i="1" s="1"/>
  <c r="AR1800" i="1"/>
  <c r="BE1800" i="1" s="1"/>
  <c r="AR623" i="1"/>
  <c r="BE623" i="1" s="1"/>
  <c r="AR1723" i="1"/>
  <c r="BE1723" i="1" s="1"/>
  <c r="AR1078" i="1"/>
  <c r="BE1078" i="1" s="1"/>
  <c r="AR1865" i="1"/>
  <c r="BE1865" i="1" s="1"/>
  <c r="AR955" i="1"/>
  <c r="BE955" i="1" s="1"/>
  <c r="AR654" i="1"/>
  <c r="BE654" i="1" s="1"/>
  <c r="AR1128" i="1"/>
  <c r="BE1128" i="1" s="1"/>
  <c r="AR487" i="1"/>
  <c r="BE487" i="1" s="1"/>
  <c r="AR272" i="1"/>
  <c r="BE272" i="1" s="1"/>
  <c r="AR1940" i="1"/>
  <c r="BE1940" i="1" s="1"/>
  <c r="AR113" i="1"/>
  <c r="BE113" i="1" s="1"/>
  <c r="AR27" i="1"/>
  <c r="BE27" i="1" s="1"/>
  <c r="AR1094" i="1"/>
  <c r="BE1094" i="1" s="1"/>
  <c r="AR1483" i="1"/>
  <c r="BE1483" i="1" s="1"/>
  <c r="AR1946" i="1"/>
  <c r="BE1946" i="1" s="1"/>
  <c r="AR100" i="1"/>
  <c r="BE100" i="1" s="1"/>
  <c r="AR37" i="1"/>
  <c r="BE37" i="1" s="1"/>
  <c r="AR1158" i="1"/>
  <c r="BE1158" i="1" s="1"/>
  <c r="AR14" i="1"/>
  <c r="BE14" i="1" s="1"/>
  <c r="AR441" i="1"/>
  <c r="BE441" i="1" s="1"/>
  <c r="AR1999" i="1"/>
  <c r="BE1999" i="1" s="1"/>
  <c r="AR758" i="1"/>
  <c r="BE758" i="1" s="1"/>
  <c r="AR85" i="1"/>
  <c r="BE85" i="1" s="1"/>
  <c r="AR1268" i="1"/>
  <c r="BE1268" i="1" s="1"/>
  <c r="AR604" i="1"/>
  <c r="BE604" i="1" s="1"/>
  <c r="AR481" i="1"/>
  <c r="BE481" i="1" s="1"/>
  <c r="AR1741" i="1"/>
  <c r="BE1741" i="1" s="1"/>
  <c r="AR1085" i="1"/>
  <c r="BE1085" i="1" s="1"/>
  <c r="AR606" i="1"/>
  <c r="BE606" i="1" s="1"/>
  <c r="AR1091" i="1"/>
  <c r="BE1091" i="1" s="1"/>
  <c r="AR1680" i="1"/>
  <c r="BE1680" i="1" s="1"/>
  <c r="AR2006" i="1"/>
  <c r="BE2006" i="1" s="1"/>
  <c r="AR1734" i="1"/>
  <c r="BE1734" i="1" s="1"/>
  <c r="AR958" i="1"/>
  <c r="BE958" i="1" s="1"/>
  <c r="AR1738" i="1"/>
  <c r="BE1738" i="1" s="1"/>
  <c r="AR1599" i="1"/>
  <c r="BE1599" i="1" s="1"/>
  <c r="AR1525" i="1"/>
  <c r="BE1525" i="1" s="1"/>
  <c r="AR1316" i="1"/>
  <c r="BE1316" i="1" s="1"/>
  <c r="AR144" i="1"/>
  <c r="BE144" i="1" s="1"/>
  <c r="AR1868" i="1"/>
  <c r="BE1868" i="1" s="1"/>
  <c r="AR959" i="1"/>
  <c r="BE959" i="1" s="1"/>
  <c r="AR898" i="1"/>
  <c r="BE898" i="1" s="1"/>
  <c r="AR894" i="1"/>
  <c r="BE894" i="1" s="1"/>
  <c r="AR1533" i="1"/>
  <c r="BE1533" i="1" s="1"/>
  <c r="AR522" i="1"/>
  <c r="BE522" i="1" s="1"/>
  <c r="AR610" i="1"/>
  <c r="BE610" i="1" s="1"/>
  <c r="AR1438" i="1"/>
  <c r="BE1438" i="1" s="1"/>
  <c r="AR45" i="1"/>
  <c r="BE45" i="1" s="1"/>
  <c r="AR1289" i="1"/>
  <c r="BE1289" i="1" s="1"/>
  <c r="AR1119" i="1"/>
  <c r="BE1119" i="1" s="1"/>
  <c r="AR369" i="1"/>
  <c r="BE369" i="1" s="1"/>
  <c r="AR793" i="1"/>
  <c r="BE793" i="1" s="1"/>
  <c r="AR365" i="1"/>
  <c r="BE365" i="1" s="1"/>
  <c r="AR1096" i="1"/>
  <c r="BE1096" i="1" s="1"/>
  <c r="AR1632" i="1"/>
  <c r="BE1632" i="1" s="1"/>
  <c r="AR385" i="1"/>
  <c r="BE385" i="1" s="1"/>
  <c r="AR267" i="1"/>
  <c r="BE267" i="1" s="1"/>
  <c r="AR1689" i="1"/>
  <c r="BE1689" i="1" s="1"/>
  <c r="AR1027" i="1"/>
  <c r="BE1027" i="1" s="1"/>
  <c r="AR1100" i="1"/>
  <c r="BE1100" i="1" s="1"/>
  <c r="AR735" i="1"/>
  <c r="BE735" i="1" s="1"/>
  <c r="AR1462" i="1"/>
  <c r="BE1462" i="1" s="1"/>
  <c r="AR847" i="1"/>
  <c r="BE847" i="1" s="1"/>
  <c r="AR1439" i="1"/>
  <c r="BE1439" i="1" s="1"/>
  <c r="AR1916" i="1"/>
  <c r="BE1916" i="1" s="1"/>
  <c r="AR754" i="1"/>
  <c r="BE754" i="1" s="1"/>
  <c r="AR1345" i="1"/>
  <c r="BE1345" i="1" s="1"/>
  <c r="AR901" i="1"/>
  <c r="BE901" i="1" s="1"/>
  <c r="AR731" i="1"/>
  <c r="BE731" i="1" s="1"/>
  <c r="AR1346" i="1"/>
  <c r="BE1346" i="1" s="1"/>
  <c r="AR1437" i="1"/>
  <c r="BE1437" i="1" s="1"/>
  <c r="AR1475" i="1"/>
  <c r="BE1475" i="1" s="1"/>
  <c r="AR1663" i="1"/>
  <c r="BE1663" i="1" s="1"/>
  <c r="AR1287" i="1"/>
  <c r="BE1287" i="1" s="1"/>
  <c r="AR114" i="1"/>
  <c r="BE114" i="1" s="1"/>
  <c r="AR196" i="1"/>
  <c r="BE196" i="1" s="1"/>
  <c r="AR639" i="1"/>
  <c r="BE639" i="1" s="1"/>
  <c r="AR783" i="1"/>
  <c r="BE783" i="1" s="1"/>
  <c r="AR1994" i="1"/>
  <c r="BE1994" i="1" s="1"/>
  <c r="AR1371" i="1"/>
  <c r="BE1371" i="1" s="1"/>
  <c r="AR426" i="1"/>
  <c r="BE426" i="1" s="1"/>
  <c r="AR1168" i="1"/>
  <c r="BE1168" i="1" s="1"/>
  <c r="AR256" i="1"/>
  <c r="BE256" i="1" s="1"/>
  <c r="AR853" i="1"/>
  <c r="BE853" i="1" s="1"/>
  <c r="AR594" i="1"/>
  <c r="BE594" i="1" s="1"/>
  <c r="AR827" i="1"/>
  <c r="BE827" i="1" s="1"/>
  <c r="AR907" i="1"/>
  <c r="BE907" i="1" s="1"/>
  <c r="AR409" i="1"/>
  <c r="BE409" i="1" s="1"/>
  <c r="AR619" i="1"/>
  <c r="BE619" i="1" s="1"/>
  <c r="AR442" i="1"/>
  <c r="BE442" i="1" s="1"/>
  <c r="AR1849" i="1"/>
  <c r="BE1849" i="1" s="1"/>
  <c r="AR1151" i="1"/>
  <c r="BE1151" i="1" s="1"/>
  <c r="AR1401" i="1"/>
  <c r="BE1401" i="1" s="1"/>
  <c r="AR634" i="1"/>
  <c r="BE634" i="1" s="1"/>
  <c r="AR613" i="1"/>
  <c r="BE613" i="1" s="1"/>
  <c r="AR614" i="1"/>
  <c r="BE614" i="1" s="1"/>
  <c r="AR101" i="1"/>
  <c r="BE101" i="1" s="1"/>
  <c r="AR1054" i="1"/>
  <c r="BE1054" i="1" s="1"/>
  <c r="AR787" i="1"/>
  <c r="BE787" i="1" s="1"/>
  <c r="AR1384" i="1"/>
  <c r="BE1384" i="1" s="1"/>
  <c r="AR765" i="1"/>
  <c r="BE765" i="1" s="1"/>
  <c r="AR1129" i="1"/>
  <c r="BE1129" i="1" s="1"/>
  <c r="AR53" i="1"/>
  <c r="BE53" i="1" s="1"/>
  <c r="AR1342" i="1"/>
  <c r="BE1342" i="1" s="1"/>
  <c r="AR122" i="1"/>
  <c r="BE122" i="1" s="1"/>
  <c r="AR1568" i="1"/>
  <c r="BE1568" i="1" s="1"/>
  <c r="AR1790" i="1"/>
  <c r="BE1790" i="1" s="1"/>
  <c r="AR331" i="1"/>
  <c r="BE331" i="1" s="1"/>
  <c r="AR202" i="1"/>
  <c r="BE202" i="1" s="1"/>
  <c r="AR1737" i="1"/>
  <c r="BE1737" i="1" s="1"/>
  <c r="AR251" i="1"/>
  <c r="BE251" i="1" s="1"/>
  <c r="AR824" i="1"/>
  <c r="BE824" i="1" s="1"/>
  <c r="AR356" i="1"/>
  <c r="BE356" i="1" s="1"/>
  <c r="AR1806" i="1"/>
  <c r="BE1806" i="1" s="1"/>
  <c r="AR1609" i="1"/>
  <c r="BE1609" i="1" s="1"/>
  <c r="AR217" i="1"/>
  <c r="BE217" i="1" s="1"/>
  <c r="AR653" i="1"/>
  <c r="BE653" i="1" s="1"/>
  <c r="AR467" i="1"/>
  <c r="BE467" i="1" s="1"/>
  <c r="AR1132" i="1"/>
  <c r="BE1132" i="1" s="1"/>
  <c r="AR1135" i="1"/>
  <c r="BE1135" i="1" s="1"/>
  <c r="AR509" i="1"/>
  <c r="BE509" i="1" s="1"/>
  <c r="AR833" i="1"/>
  <c r="BE833" i="1" s="1"/>
  <c r="AR667" i="1"/>
  <c r="BE667" i="1" s="1"/>
  <c r="AR1747" i="1"/>
  <c r="BE1747" i="1" s="1"/>
  <c r="AR1220" i="1"/>
  <c r="BE1220" i="1" s="1"/>
  <c r="AR1252" i="1"/>
  <c r="BE1252" i="1" s="1"/>
  <c r="AR218" i="1"/>
  <c r="BE218" i="1" s="1"/>
  <c r="AR921" i="1"/>
  <c r="BE921" i="1" s="1"/>
  <c r="AR1880" i="1"/>
  <c r="BE1880" i="1" s="1"/>
  <c r="AR1834" i="1"/>
  <c r="BE1834" i="1" s="1"/>
  <c r="AR1286" i="1"/>
  <c r="BE1286" i="1" s="1"/>
  <c r="AR1271" i="1"/>
  <c r="BE1271" i="1" s="1"/>
  <c r="AR72" i="1"/>
  <c r="BE72" i="1" s="1"/>
  <c r="AR950" i="1"/>
  <c r="BE950" i="1" s="1"/>
  <c r="AR1822" i="1"/>
  <c r="BE1822" i="1" s="1"/>
  <c r="AR75" i="1"/>
  <c r="BE75" i="1" s="1"/>
  <c r="AR1116" i="1"/>
  <c r="BE1116" i="1" s="1"/>
  <c r="AR1948" i="1"/>
  <c r="BE1948" i="1" s="1"/>
  <c r="AR1799" i="1"/>
  <c r="BE1799" i="1" s="1"/>
  <c r="AR1444" i="1"/>
  <c r="BE1444" i="1" s="1"/>
  <c r="AR1894" i="1"/>
  <c r="BE1894" i="1" s="1"/>
  <c r="AR778" i="1"/>
  <c r="BE778" i="1" s="1"/>
  <c r="AR1550" i="1"/>
  <c r="BE1550" i="1" s="1"/>
  <c r="AR168" i="1"/>
  <c r="BE168" i="1" s="1"/>
  <c r="AR1344" i="1"/>
  <c r="BE1344" i="1" s="1"/>
  <c r="AR923" i="1"/>
  <c r="BE923" i="1" s="1"/>
  <c r="AR137" i="1"/>
  <c r="BE137" i="1" s="1"/>
  <c r="AR1753" i="1"/>
  <c r="BE1753" i="1" s="1"/>
  <c r="AR287" i="1"/>
  <c r="BE287" i="1" s="1"/>
  <c r="AR1624" i="1"/>
  <c r="BE1624" i="1" s="1"/>
  <c r="AR109" i="1"/>
  <c r="BE109" i="1" s="1"/>
  <c r="AR523" i="1"/>
  <c r="BE523" i="1" s="1"/>
  <c r="AR722" i="1"/>
  <c r="BE722" i="1" s="1"/>
  <c r="AR1134" i="1"/>
  <c r="BE1134" i="1" s="1"/>
  <c r="AR1066" i="1"/>
  <c r="BE1066" i="1" s="1"/>
  <c r="AR628" i="1"/>
  <c r="BE628" i="1" s="1"/>
  <c r="AR1794" i="1"/>
  <c r="BE1794" i="1" s="1"/>
  <c r="AR1126" i="1"/>
  <c r="BE1126" i="1" s="1"/>
  <c r="AR1468" i="1"/>
  <c r="BE1468" i="1" s="1"/>
  <c r="AR1231" i="1"/>
  <c r="BE1231" i="1" s="1"/>
  <c r="AR1465" i="1"/>
  <c r="BE1465" i="1" s="1"/>
  <c r="AR1433" i="1"/>
  <c r="BE1433" i="1" s="1"/>
  <c r="AR670" i="1"/>
  <c r="BE670" i="1" s="1"/>
  <c r="AR1474" i="1"/>
  <c r="BE1474" i="1" s="1"/>
  <c r="AR715" i="1"/>
  <c r="BE715" i="1" s="1"/>
  <c r="AR1055" i="1"/>
  <c r="BE1055" i="1" s="1"/>
  <c r="AR1995" i="1"/>
  <c r="BE1995" i="1" s="1"/>
  <c r="AR1161" i="1"/>
  <c r="BE1161" i="1" s="1"/>
  <c r="AR989" i="1"/>
  <c r="BE989" i="1" s="1"/>
  <c r="AR1222" i="1"/>
  <c r="BE1222" i="1" s="1"/>
  <c r="AR1150" i="1"/>
  <c r="BE1150" i="1" s="1"/>
  <c r="AR1411" i="1"/>
  <c r="BE1411" i="1" s="1"/>
  <c r="AR1385" i="1"/>
  <c r="BE1385" i="1" s="1"/>
  <c r="AR1811" i="1"/>
  <c r="BE1811" i="1" s="1"/>
  <c r="AR194" i="1"/>
  <c r="BE194" i="1" s="1"/>
  <c r="AR764" i="1"/>
  <c r="BE764" i="1" s="1"/>
  <c r="AR1013" i="1"/>
  <c r="BE1013" i="1" s="1"/>
  <c r="AR1493" i="1"/>
  <c r="BE1493" i="1" s="1"/>
  <c r="AR1374" i="1"/>
  <c r="BE1374" i="1" s="1"/>
  <c r="AR23" i="1"/>
  <c r="BE23" i="1" s="1"/>
  <c r="AR345" i="1"/>
  <c r="BE345" i="1" s="1"/>
  <c r="AR1621" i="1"/>
  <c r="BE1621" i="1" s="1"/>
  <c r="AR485" i="1"/>
  <c r="BE485" i="1" s="1"/>
  <c r="AR1963" i="1"/>
  <c r="BE1963" i="1" s="1"/>
  <c r="AR1882" i="1"/>
  <c r="BE1882" i="1" s="1"/>
  <c r="AR1337" i="1"/>
  <c r="BE1337" i="1" s="1"/>
  <c r="AR1810" i="1"/>
  <c r="BE1810" i="1" s="1"/>
  <c r="AR1682" i="1"/>
  <c r="BE1682" i="1" s="1"/>
  <c r="AR1761" i="1"/>
  <c r="BE1761" i="1" s="1"/>
  <c r="AR736" i="1"/>
  <c r="BE736" i="1" s="1"/>
  <c r="AR306" i="1"/>
  <c r="BE306" i="1" s="1"/>
  <c r="AR804" i="1"/>
  <c r="BE804" i="1" s="1"/>
  <c r="AR1103" i="1"/>
  <c r="BE1103" i="1" s="1"/>
  <c r="AR1890" i="1"/>
  <c r="BE1890" i="1" s="1"/>
  <c r="AR1862" i="1"/>
  <c r="BE1862" i="1" s="1"/>
  <c r="AR1707" i="1"/>
  <c r="BE1707" i="1" s="1"/>
  <c r="AR143" i="1"/>
  <c r="BE143" i="1" s="1"/>
  <c r="AR1373" i="1"/>
  <c r="BE1373" i="1" s="1"/>
  <c r="AR887" i="1"/>
  <c r="BE887" i="1" s="1"/>
  <c r="AR1950" i="1"/>
  <c r="BE1950" i="1" s="1"/>
  <c r="AR726" i="1"/>
  <c r="BE726" i="1" s="1"/>
  <c r="AR1202" i="1"/>
  <c r="BE1202" i="1" s="1"/>
  <c r="AR1575" i="1"/>
  <c r="BE1575" i="1" s="1"/>
  <c r="AR943" i="1"/>
  <c r="BE943" i="1" s="1"/>
  <c r="AR1748" i="1"/>
  <c r="BE1748" i="1" s="1"/>
  <c r="AR984" i="1"/>
  <c r="BE984" i="1" s="1"/>
  <c r="AR1209" i="1"/>
  <c r="BE1209" i="1" s="1"/>
  <c r="AR330" i="1"/>
  <c r="BE330" i="1" s="1"/>
  <c r="AR1482" i="1"/>
  <c r="BE1482" i="1" s="1"/>
  <c r="AR312" i="1"/>
  <c r="BE312" i="1" s="1"/>
  <c r="AR1992" i="1"/>
  <c r="BE1992" i="1" s="1"/>
  <c r="AR329" i="1"/>
  <c r="BE329" i="1" s="1"/>
  <c r="AR552" i="1"/>
  <c r="BE552" i="1" s="1"/>
  <c r="AR1586" i="1"/>
  <c r="BE1586" i="1" s="1"/>
  <c r="AR1757" i="1"/>
  <c r="BE1757" i="1" s="1"/>
  <c r="AR566" i="1"/>
  <c r="BE566" i="1" s="1"/>
  <c r="AR414" i="1"/>
  <c r="BE414" i="1" s="1"/>
  <c r="AR1224" i="1"/>
  <c r="BE1224" i="1" s="1"/>
  <c r="AR83" i="1"/>
  <c r="BE83" i="1" s="1"/>
  <c r="AR1229" i="1"/>
  <c r="BE1229" i="1" s="1"/>
  <c r="AR99" i="1"/>
  <c r="BE99" i="1" s="1"/>
  <c r="AR925" i="1"/>
  <c r="BE925" i="1" s="1"/>
  <c r="AR750" i="1"/>
  <c r="BE750" i="1" s="1"/>
  <c r="AR498" i="1"/>
  <c r="BE498" i="1" s="1"/>
  <c r="AR266" i="1"/>
  <c r="BE266" i="1" s="1"/>
  <c r="AR738" i="1"/>
  <c r="BE738" i="1" s="1"/>
  <c r="AR1230" i="1"/>
  <c r="BE1230" i="1" s="1"/>
  <c r="AR235" i="1"/>
  <c r="BE235" i="1" s="1"/>
  <c r="AR1181" i="1"/>
  <c r="BE1181" i="1" s="1"/>
  <c r="AR3" i="1"/>
  <c r="BE3" i="1" s="1"/>
  <c r="AR935" i="1"/>
  <c r="BE935" i="1" s="1"/>
  <c r="AR401" i="1"/>
  <c r="BE401" i="1" s="1"/>
  <c r="AR632" i="1"/>
  <c r="BE632" i="1" s="1"/>
  <c r="AR8" i="1"/>
  <c r="BE8" i="1" s="1"/>
  <c r="AR1732" i="1"/>
  <c r="BE1732" i="1" s="1"/>
  <c r="AR587" i="1"/>
  <c r="BE587" i="1" s="1"/>
  <c r="AR1114" i="1"/>
  <c r="BE1114" i="1" s="1"/>
  <c r="AR1137" i="1"/>
  <c r="BE1137" i="1" s="1"/>
  <c r="AR799" i="1"/>
  <c r="BE799" i="1" s="1"/>
  <c r="AR532" i="1"/>
  <c r="BE532" i="1" s="1"/>
  <c r="AR1190" i="1"/>
  <c r="BE1190" i="1" s="1"/>
  <c r="AR922" i="1"/>
  <c r="BE922" i="1" s="1"/>
  <c r="AR825" i="1"/>
  <c r="BE825" i="1" s="1"/>
  <c r="AR1369" i="1"/>
  <c r="BE1369" i="1" s="1"/>
  <c r="AR1793" i="1"/>
  <c r="BE1793" i="1" s="1"/>
  <c r="AR1687" i="1"/>
  <c r="BE1687" i="1" s="1"/>
  <c r="AR1228" i="1"/>
  <c r="BE1228" i="1" s="1"/>
  <c r="AR1908" i="1"/>
  <c r="BE1908" i="1" s="1"/>
  <c r="AR1767" i="1"/>
  <c r="BE1767" i="1" s="1"/>
  <c r="AR946" i="1"/>
  <c r="BE946" i="1" s="1"/>
  <c r="AR826" i="1"/>
  <c r="BE826" i="1" s="1"/>
  <c r="AR835" i="1"/>
  <c r="BE835" i="1" s="1"/>
  <c r="AR609" i="1"/>
  <c r="BE609" i="1" s="1"/>
  <c r="AR421" i="1"/>
  <c r="BE421" i="1" s="1"/>
  <c r="AR1805" i="1"/>
  <c r="BE1805" i="1" s="1"/>
  <c r="AR386" i="1"/>
  <c r="BE386" i="1" s="1"/>
  <c r="AR315" i="1"/>
  <c r="BE315" i="1" s="1"/>
  <c r="AR1491" i="1"/>
  <c r="BE1491" i="1" s="1"/>
  <c r="AR389" i="1"/>
  <c r="BE389" i="1" s="1"/>
  <c r="AR593" i="1"/>
  <c r="BE593" i="1" s="1"/>
  <c r="AR363" i="1"/>
  <c r="BE363" i="1" s="1"/>
  <c r="AR904" i="1"/>
  <c r="BE904" i="1" s="1"/>
  <c r="AR1485" i="1"/>
  <c r="BE1485" i="1" s="1"/>
  <c r="AR398" i="1"/>
  <c r="BE398" i="1" s="1"/>
  <c r="AR605" i="1"/>
  <c r="BE605" i="1" s="1"/>
  <c r="AR60" i="1"/>
  <c r="BE60" i="1" s="1"/>
  <c r="AR175" i="1"/>
  <c r="BE175" i="1" s="1"/>
  <c r="AR348" i="1"/>
  <c r="BE348" i="1" s="1"/>
  <c r="AR1082" i="1"/>
  <c r="BE1082" i="1" s="1"/>
  <c r="AR470" i="1"/>
  <c r="BE470" i="1" s="1"/>
  <c r="AR1360" i="1"/>
  <c r="BE1360" i="1" s="1"/>
  <c r="AR1842" i="1"/>
  <c r="BE1842" i="1" s="1"/>
  <c r="AR1218" i="1"/>
  <c r="BE1218" i="1" s="1"/>
  <c r="AR759" i="1"/>
  <c r="BE759" i="1" s="1"/>
  <c r="AR1050" i="1"/>
  <c r="BE1050" i="1" s="1"/>
  <c r="AR1866" i="1"/>
  <c r="BE1866" i="1" s="1"/>
  <c r="AR806" i="1"/>
  <c r="BE806" i="1" s="1"/>
  <c r="AR205" i="1"/>
  <c r="BE205" i="1" s="1"/>
  <c r="AR402" i="1"/>
  <c r="BE402" i="1" s="1"/>
  <c r="AR513" i="1"/>
  <c r="BE513" i="1" s="1"/>
  <c r="AR521" i="1"/>
  <c r="BE521" i="1" s="1"/>
  <c r="AR28" i="1"/>
  <c r="BE28" i="1" s="1"/>
  <c r="AR1364" i="1"/>
  <c r="BE1364" i="1" s="1"/>
  <c r="AR1567" i="1"/>
  <c r="BE1567" i="1" s="1"/>
  <c r="AR1351" i="1"/>
  <c r="BE1351" i="1" s="1"/>
  <c r="AR672" i="1"/>
  <c r="BE672" i="1" s="1"/>
  <c r="AR1815" i="1"/>
  <c r="BE1815" i="1" s="1"/>
  <c r="AR945" i="1"/>
  <c r="BE945" i="1" s="1"/>
  <c r="AR1628" i="1"/>
  <c r="BE1628" i="1" s="1"/>
  <c r="AR530" i="1"/>
  <c r="BE530" i="1" s="1"/>
  <c r="AR1049" i="1"/>
  <c r="BE1049" i="1" s="1"/>
  <c r="AR212" i="1"/>
  <c r="BE212" i="1" s="1"/>
  <c r="AR62" i="1"/>
  <c r="BE62" i="1" s="1"/>
  <c r="AR1817" i="1"/>
  <c r="BE1817" i="1" s="1"/>
  <c r="AR828" i="1"/>
  <c r="BE828" i="1" s="1"/>
  <c r="AR1269" i="1"/>
  <c r="BE1269" i="1" s="1"/>
  <c r="AR486" i="1"/>
  <c r="BE486" i="1" s="1"/>
  <c r="AR519" i="1"/>
  <c r="BE519" i="1" s="1"/>
  <c r="AR1939" i="1"/>
  <c r="BE1939" i="1" s="1"/>
  <c r="AR305" i="1"/>
  <c r="BE305" i="1" s="1"/>
  <c r="AR2011" i="1"/>
  <c r="BE2011" i="1" s="1"/>
  <c r="AR182" i="1"/>
  <c r="BE182" i="1" s="1"/>
  <c r="AR236" i="1"/>
  <c r="BE236" i="1" s="1"/>
  <c r="AR899" i="1"/>
  <c r="BE899" i="1" s="1"/>
  <c r="AR31" i="1"/>
  <c r="BE31" i="1" s="1"/>
  <c r="AR1617" i="1"/>
  <c r="BE1617" i="1" s="1"/>
  <c r="AR1029" i="1"/>
  <c r="BE1029" i="1" s="1"/>
  <c r="AR1304" i="1"/>
  <c r="BE1304" i="1" s="1"/>
  <c r="AR231" i="1"/>
  <c r="BE231" i="1" s="1"/>
  <c r="AR336" i="1"/>
  <c r="BE336" i="1" s="1"/>
  <c r="AR589" i="1"/>
  <c r="BE589" i="1" s="1"/>
  <c r="AR570" i="1"/>
  <c r="BE570" i="1" s="1"/>
  <c r="AR1952" i="1"/>
  <c r="BE1952" i="1" s="1"/>
  <c r="AR709" i="1"/>
  <c r="BE709" i="1" s="1"/>
  <c r="AR717" i="1"/>
  <c r="BE717" i="1" s="1"/>
  <c r="AR1630" i="1"/>
  <c r="BE1630" i="1" s="1"/>
  <c r="AR1164" i="1"/>
  <c r="BE1164" i="1" s="1"/>
  <c r="AR1429" i="1"/>
  <c r="BE1429" i="1" s="1"/>
  <c r="AR121" i="1"/>
  <c r="BE121" i="1" s="1"/>
  <c r="AR115" i="1"/>
  <c r="BE115" i="1" s="1"/>
  <c r="AR1971" i="1"/>
  <c r="BE1971" i="1" s="1"/>
  <c r="AR273" i="1"/>
  <c r="BE273" i="1" s="1"/>
  <c r="AR1629" i="1"/>
  <c r="BE1629" i="1" s="1"/>
  <c r="AR456" i="1"/>
  <c r="BE456" i="1" s="1"/>
  <c r="AR89" i="1"/>
  <c r="BE89" i="1" s="1"/>
  <c r="AR1064" i="1"/>
  <c r="BE1064" i="1" s="1"/>
  <c r="AR141" i="1"/>
  <c r="BE141" i="1" s="1"/>
  <c r="AR226" i="1"/>
  <c r="BE226" i="1" s="1"/>
  <c r="AR408" i="1"/>
  <c r="BE408" i="1" s="1"/>
  <c r="AR723" i="1"/>
  <c r="BE723" i="1" s="1"/>
  <c r="AR846" i="1"/>
  <c r="BE846" i="1" s="1"/>
  <c r="AR1352" i="1"/>
  <c r="BE1352" i="1" s="1"/>
  <c r="AR1477" i="1"/>
  <c r="BE1477" i="1" s="1"/>
  <c r="AR1524" i="1"/>
  <c r="BE1524" i="1" s="1"/>
  <c r="AR406" i="1"/>
  <c r="BE406" i="1" s="1"/>
  <c r="AR164" i="1"/>
  <c r="BE164" i="1" s="1"/>
  <c r="AR1673" i="1"/>
  <c r="BE1673" i="1" s="1"/>
  <c r="AR271" i="1"/>
  <c r="BE271" i="1" s="1"/>
  <c r="AR1153" i="1"/>
  <c r="BE1153" i="1" s="1"/>
  <c r="AR234" i="1"/>
  <c r="BE234" i="1" s="1"/>
  <c r="AR357" i="1"/>
  <c r="BE357" i="1" s="1"/>
  <c r="AR1188" i="1"/>
  <c r="BE1188" i="1" s="1"/>
  <c r="AR771" i="1"/>
  <c r="BE771" i="1" s="1"/>
  <c r="AR505" i="1"/>
  <c r="BE505" i="1" s="1"/>
  <c r="AR210" i="1"/>
  <c r="BE210" i="1" s="1"/>
  <c r="AR1332" i="1"/>
  <c r="BE1332" i="1" s="1"/>
  <c r="AR1622" i="1"/>
  <c r="BE1622" i="1" s="1"/>
  <c r="AR2017" i="1"/>
  <c r="BE2017" i="1" s="1"/>
  <c r="AR1413" i="1"/>
  <c r="BE1413" i="1" s="1"/>
  <c r="AR1400" i="1"/>
  <c r="BE1400" i="1" s="1"/>
  <c r="AR277" i="1"/>
  <c r="BE277" i="1" s="1"/>
  <c r="AR1080" i="1"/>
  <c r="BE1080" i="1" s="1"/>
  <c r="AR511" i="1"/>
  <c r="BE511" i="1" s="1"/>
  <c r="AR302" i="1"/>
  <c r="BE302" i="1" s="1"/>
  <c r="AR1515" i="1"/>
  <c r="BE1515" i="1" s="1"/>
  <c r="AR1934" i="1"/>
  <c r="BE1934" i="1" s="1"/>
  <c r="AR1725" i="1"/>
  <c r="BE1725" i="1" s="1"/>
  <c r="AR1693" i="1"/>
  <c r="BE1693" i="1" s="1"/>
  <c r="AR1920" i="1"/>
  <c r="BE1920" i="1" s="1"/>
  <c r="AR1981" i="1"/>
  <c r="BE1981" i="1" s="1"/>
  <c r="AR1330" i="1"/>
  <c r="BE1330" i="1" s="1"/>
  <c r="AR1259" i="1"/>
  <c r="BE1259" i="1" s="1"/>
  <c r="AR1355" i="1"/>
  <c r="BE1355" i="1" s="1"/>
  <c r="AR480" i="1"/>
  <c r="BE480" i="1" s="1"/>
  <c r="AR142" i="1"/>
  <c r="BE142" i="1" s="1"/>
  <c r="AR1763" i="1"/>
  <c r="BE1763" i="1" s="1"/>
  <c r="AR1032" i="1"/>
  <c r="BE1032" i="1" s="1"/>
  <c r="AR1217" i="1"/>
  <c r="BE1217" i="1" s="1"/>
  <c r="AR829" i="1"/>
  <c r="BE829" i="1" s="1"/>
  <c r="AR568" i="1"/>
  <c r="BE568" i="1" s="1"/>
  <c r="AR802" i="1"/>
  <c r="BE802" i="1" s="1"/>
  <c r="AR265" i="1"/>
  <c r="BE265" i="1" s="1"/>
  <c r="AR1953" i="1"/>
  <c r="BE1953" i="1" s="1"/>
  <c r="AR737" i="1"/>
  <c r="BE737" i="1" s="1"/>
  <c r="AR1216" i="1"/>
  <c r="BE1216" i="1" s="1"/>
  <c r="AR1645" i="1"/>
  <c r="BE1645" i="1" s="1"/>
  <c r="AR153" i="1"/>
  <c r="BE153" i="1" s="1"/>
  <c r="AR751" i="1"/>
  <c r="BE751" i="1" s="1"/>
  <c r="AR1068" i="1"/>
  <c r="BE1068" i="1" s="1"/>
  <c r="AR883" i="1"/>
  <c r="BE883" i="1" s="1"/>
  <c r="AR963" i="1"/>
  <c r="BE963" i="1" s="1"/>
  <c r="AR798" i="1"/>
  <c r="BE798" i="1" s="1"/>
  <c r="AR507" i="1"/>
  <c r="BE507" i="1" s="1"/>
  <c r="AR1339" i="1"/>
  <c r="BE1339" i="1" s="1"/>
  <c r="AR1924" i="1"/>
  <c r="BE1924" i="1" s="1"/>
  <c r="AR270" i="1"/>
  <c r="BE270" i="1" s="1"/>
  <c r="AR1048" i="1"/>
  <c r="BE1048" i="1" s="1"/>
  <c r="AR18" i="1"/>
  <c r="BE18" i="1" s="1"/>
  <c r="AR622" i="1"/>
  <c r="BE622" i="1" s="1"/>
  <c r="AR1703" i="1"/>
  <c r="BE1703" i="1" s="1"/>
  <c r="AR1576" i="1"/>
  <c r="BE1576" i="1" s="1"/>
  <c r="AR626" i="1"/>
  <c r="BE626" i="1" s="1"/>
  <c r="AR1818" i="1"/>
  <c r="BE1818" i="1" s="1"/>
  <c r="AR209" i="1"/>
  <c r="BE209" i="1" s="1"/>
  <c r="AR1913" i="1"/>
  <c r="BE1913" i="1" s="1"/>
  <c r="AR544" i="1"/>
  <c r="BE544" i="1" s="1"/>
  <c r="AR437" i="1"/>
  <c r="BE437" i="1" s="1"/>
  <c r="AR204" i="1"/>
  <c r="BE204" i="1" s="1"/>
  <c r="AR1504" i="1"/>
  <c r="BE1504" i="1" s="1"/>
  <c r="AR394" i="1"/>
  <c r="BE394" i="1" s="1"/>
  <c r="AR1966" i="1"/>
  <c r="BE1966" i="1" s="1"/>
  <c r="AR915" i="1"/>
  <c r="BE915" i="1" s="1"/>
  <c r="AR659" i="1"/>
  <c r="BE659" i="1" s="1"/>
  <c r="AR905" i="1"/>
  <c r="BE905" i="1" s="1"/>
  <c r="AR1832" i="1"/>
  <c r="BE1832" i="1" s="1"/>
  <c r="AR1581" i="1"/>
  <c r="BE1581" i="1" s="1"/>
  <c r="AR551" i="1"/>
  <c r="BE551" i="1" s="1"/>
  <c r="AR1087" i="1"/>
  <c r="BE1087" i="1" s="1"/>
  <c r="AR110" i="1"/>
  <c r="BE110" i="1" s="1"/>
  <c r="AR1170" i="1"/>
  <c r="BE1170" i="1" s="1"/>
  <c r="AR876" i="1"/>
  <c r="BE876" i="1" s="1"/>
  <c r="AR1676" i="1"/>
  <c r="BE1676" i="1" s="1"/>
  <c r="AR1394" i="1"/>
  <c r="BE1394" i="1" s="1"/>
  <c r="AR1937" i="1"/>
  <c r="BE1937" i="1" s="1"/>
  <c r="AR123" i="1"/>
  <c r="BE123" i="1" s="1"/>
  <c r="AR130" i="1"/>
  <c r="BE130" i="1" s="1"/>
  <c r="AR431" i="1"/>
  <c r="BE431" i="1" s="1"/>
  <c r="AR965" i="1"/>
  <c r="BE965" i="1" s="1"/>
  <c r="AR1101" i="1"/>
  <c r="BE1101" i="1" s="1"/>
  <c r="AR1986" i="1"/>
  <c r="BE1986" i="1" s="1"/>
  <c r="AR1095" i="1"/>
  <c r="BE1095" i="1" s="1"/>
  <c r="AR132" i="1"/>
  <c r="BE132" i="1" s="1"/>
  <c r="AR1730" i="1"/>
  <c r="BE1730" i="1" s="1"/>
  <c r="AR1172" i="1"/>
  <c r="BE1172" i="1" s="1"/>
  <c r="AR753" i="1"/>
  <c r="BE753" i="1" s="1"/>
  <c r="AR1448" i="1"/>
  <c r="BE1448" i="1" s="1"/>
  <c r="AR893" i="1"/>
  <c r="BE893" i="1" s="1"/>
  <c r="AR1494" i="1"/>
  <c r="BE1494" i="1" s="1"/>
  <c r="AR57" i="1"/>
  <c r="BE57" i="1" s="1"/>
  <c r="AR1897" i="1"/>
  <c r="BE1897" i="1" s="1"/>
  <c r="AR1255" i="1"/>
  <c r="BE1255" i="1" s="1"/>
  <c r="AR1893" i="1"/>
  <c r="BE1893" i="1" s="1"/>
  <c r="AR1396" i="1"/>
  <c r="BE1396" i="1" s="1"/>
  <c r="AR1073" i="1"/>
  <c r="BE1073" i="1" s="1"/>
  <c r="AR843" i="1"/>
  <c r="BE843" i="1" s="1"/>
  <c r="AR1303" i="1"/>
  <c r="BE1303" i="1" s="1"/>
  <c r="AR1929" i="1"/>
  <c r="BE1929" i="1" s="1"/>
  <c r="AR972" i="1"/>
  <c r="BE972" i="1" s="1"/>
  <c r="AR1702" i="1"/>
  <c r="BE1702" i="1" s="1"/>
  <c r="AR311" i="1"/>
  <c r="BE311" i="1" s="1"/>
  <c r="AR747" i="1"/>
  <c r="BE747" i="1" s="1"/>
  <c r="AR1914" i="1"/>
  <c r="BE1914" i="1" s="1"/>
  <c r="AR1293" i="1"/>
  <c r="BE1293" i="1" s="1"/>
  <c r="AR733" i="1"/>
  <c r="BE733" i="1" s="1"/>
  <c r="AR179" i="1"/>
  <c r="BE179" i="1" s="1"/>
  <c r="AR1312" i="1"/>
  <c r="BE1312" i="1" s="1"/>
  <c r="AR1366" i="1"/>
  <c r="BE1366" i="1" s="1"/>
  <c r="AR73" i="1"/>
  <c r="BE73" i="1" s="1"/>
  <c r="AR1965" i="1"/>
  <c r="BE1965" i="1" s="1"/>
  <c r="AR1858" i="1"/>
  <c r="BE1858" i="1" s="1"/>
  <c r="AR1538" i="1"/>
  <c r="BE1538" i="1" s="1"/>
  <c r="AR1508" i="1"/>
  <c r="BE1508" i="1" s="1"/>
  <c r="AR1025" i="1"/>
  <c r="BE1025" i="1" s="1"/>
  <c r="AR116" i="1"/>
  <c r="BE116" i="1" s="1"/>
  <c r="AR1247" i="1"/>
  <c r="BE1247" i="1" s="1"/>
  <c r="AR1357" i="1"/>
  <c r="BE1357" i="1" s="1"/>
  <c r="AR1062" i="1"/>
  <c r="BE1062" i="1" s="1"/>
  <c r="AR358" i="1"/>
  <c r="BE358" i="1" s="1"/>
  <c r="AR1681" i="1"/>
  <c r="BE1681" i="1" s="1"/>
  <c r="AR1058" i="1"/>
  <c r="BE1058" i="1" s="1"/>
  <c r="AR203" i="1"/>
  <c r="BE203" i="1" s="1"/>
  <c r="AR1769" i="1"/>
  <c r="BE1769" i="1" s="1"/>
  <c r="AR926" i="1"/>
  <c r="BE926" i="1" s="1"/>
  <c r="AR708" i="1"/>
  <c r="BE708" i="1" s="1"/>
  <c r="AR438" i="1"/>
  <c r="BE438" i="1" s="1"/>
  <c r="AR1492" i="1"/>
  <c r="BE1492" i="1" s="1"/>
  <c r="AR1891" i="1"/>
  <c r="BE1891" i="1" s="1"/>
  <c r="AR155" i="1"/>
  <c r="BE155" i="1" s="1"/>
  <c r="AR962" i="1"/>
  <c r="BE962" i="1" s="1"/>
  <c r="AR382" i="1"/>
  <c r="BE382" i="1" s="1"/>
  <c r="AR524" i="1"/>
  <c r="BE524" i="1" s="1"/>
  <c r="AR822" i="1"/>
  <c r="BE822" i="1" s="1"/>
  <c r="AR66" i="1"/>
  <c r="BE66" i="1" s="1"/>
  <c r="AR67" i="1"/>
  <c r="BE67" i="1" s="1"/>
  <c r="AR1214" i="1"/>
  <c r="BE1214" i="1" s="1"/>
  <c r="AR1133" i="1"/>
  <c r="BE1133" i="1" s="1"/>
  <c r="AR745" i="1"/>
  <c r="BE745" i="1" s="1"/>
  <c r="AR201" i="1"/>
  <c r="BE201" i="1" s="1"/>
  <c r="AR211" i="1"/>
  <c r="BE211" i="1" s="1"/>
  <c r="AR1042" i="1"/>
  <c r="BE1042" i="1" s="1"/>
  <c r="AR1559" i="1"/>
  <c r="BE1559" i="1" s="1"/>
  <c r="AR9" i="1"/>
  <c r="BE9" i="1" s="1"/>
  <c r="AR466" i="1"/>
  <c r="BE466" i="1" s="1"/>
  <c r="AR297" i="1"/>
  <c r="BE297" i="1" s="1"/>
  <c r="AR1363" i="1"/>
  <c r="BE1363" i="1" s="1"/>
  <c r="AR276" i="1"/>
  <c r="BE276" i="1" s="1"/>
  <c r="AR1251" i="1"/>
  <c r="BE1251" i="1" s="1"/>
  <c r="AR263" i="1"/>
  <c r="BE263" i="1" s="1"/>
  <c r="AR1417" i="1"/>
  <c r="BE1417" i="1" s="1"/>
  <c r="AR1667" i="1"/>
  <c r="BE1667" i="1" s="1"/>
  <c r="AR334" i="1"/>
  <c r="BE334" i="1" s="1"/>
  <c r="AR1430" i="1"/>
  <c r="BE1430" i="1" s="1"/>
  <c r="AR195" i="1"/>
  <c r="BE195" i="1" s="1"/>
  <c r="AR246" i="1"/>
  <c r="BE246" i="1" s="1"/>
  <c r="AR569" i="1"/>
  <c r="BE569" i="1" s="1"/>
  <c r="AR163" i="1"/>
  <c r="BE163" i="1" s="1"/>
  <c r="AR1142" i="1"/>
  <c r="BE1142" i="1" s="1"/>
  <c r="AR697" i="1"/>
  <c r="BE697" i="1" s="1"/>
  <c r="AR1804" i="1"/>
  <c r="BE1804" i="1" s="1"/>
  <c r="AR1651" i="1"/>
  <c r="BE1651" i="1" s="1"/>
  <c r="AR301" i="1"/>
  <c r="BE301" i="1" s="1"/>
  <c r="AR591" i="1"/>
  <c r="BE591" i="1" s="1"/>
  <c r="AR932" i="1"/>
  <c r="BE932" i="1" s="1"/>
  <c r="AR763" i="1"/>
  <c r="BE763" i="1" s="1"/>
  <c r="AR698" i="1"/>
  <c r="BE698" i="1" s="1"/>
  <c r="AR931" i="1"/>
  <c r="BE931" i="1" s="1"/>
  <c r="AR96" i="1"/>
  <c r="BE96" i="1" s="1"/>
  <c r="AR22" i="1"/>
  <c r="BE22" i="1" s="1"/>
  <c r="AR1728" i="1"/>
  <c r="BE1728" i="1" s="1"/>
  <c r="AR600" i="1"/>
  <c r="BE600" i="1" s="1"/>
  <c r="AR814" i="1"/>
  <c r="BE814" i="1" s="1"/>
  <c r="AR565" i="1"/>
  <c r="BE565" i="1" s="1"/>
  <c r="AR1395" i="1"/>
  <c r="BE1395" i="1" s="1"/>
  <c r="AR578" i="1"/>
  <c r="BE578" i="1" s="1"/>
  <c r="AR1770" i="1"/>
  <c r="BE1770" i="1" s="1"/>
  <c r="AR1007" i="1"/>
  <c r="BE1007" i="1" s="1"/>
  <c r="AR1262" i="1"/>
  <c r="BE1262" i="1" s="1"/>
  <c r="AR1314" i="1"/>
  <c r="BE1314" i="1" s="1"/>
  <c r="AR1173" i="1"/>
  <c r="BE1173" i="1" s="1"/>
  <c r="AR1969" i="1"/>
  <c r="BE1969" i="1" s="1"/>
  <c r="AR808" i="1"/>
  <c r="BE808" i="1" s="1"/>
  <c r="AR1026" i="1"/>
  <c r="BE1026" i="1" s="1"/>
  <c r="AR807" i="1"/>
  <c r="BE807" i="1" s="1"/>
  <c r="AR996" i="1"/>
  <c r="BE996" i="1" s="1"/>
  <c r="AR547" i="1"/>
  <c r="BE547" i="1" s="1"/>
  <c r="AR1035" i="1"/>
  <c r="BE1035" i="1" s="1"/>
  <c r="AR1377" i="1"/>
  <c r="BE1377" i="1" s="1"/>
  <c r="AR1383" i="1"/>
  <c r="BE1383" i="1" s="1"/>
  <c r="AR1056" i="1"/>
  <c r="BE1056" i="1" s="1"/>
  <c r="AR975" i="1"/>
  <c r="BE975" i="1" s="1"/>
  <c r="AR19" i="1"/>
  <c r="BE19" i="1" s="1"/>
  <c r="AR1626" i="1"/>
  <c r="BE1626" i="1" s="1"/>
  <c r="AR1589" i="1"/>
  <c r="BE1589" i="1" s="1"/>
  <c r="AR1238" i="1"/>
  <c r="BE1238" i="1" s="1"/>
  <c r="AR65" i="1"/>
  <c r="BE65" i="1" s="1"/>
  <c r="AR1388" i="1"/>
  <c r="BE1388" i="1" s="1"/>
  <c r="AR1972" i="1"/>
  <c r="BE1972" i="1" s="1"/>
  <c r="AR844" i="1"/>
  <c r="BE844" i="1" s="1"/>
  <c r="AR145" i="1"/>
  <c r="BE145" i="1" s="1"/>
  <c r="AR97" i="1"/>
  <c r="BE97" i="1" s="1"/>
  <c r="AR124" i="1"/>
  <c r="BE124" i="1" s="1"/>
  <c r="AR1615" i="1"/>
  <c r="BE1615" i="1" s="1"/>
  <c r="AR1041" i="1"/>
  <c r="BE1041" i="1" s="1"/>
  <c r="AR1210" i="1"/>
  <c r="BE1210" i="1" s="1"/>
  <c r="AR1957" i="1"/>
  <c r="BE1957" i="1" s="1"/>
  <c r="AR1610" i="1"/>
  <c r="BE1610" i="1" s="1"/>
  <c r="AR186" i="1"/>
  <c r="BE186" i="1" s="1"/>
  <c r="AR633" i="1"/>
  <c r="BE633" i="1" s="1"/>
  <c r="AR104" i="1"/>
  <c r="BE104" i="1" s="1"/>
  <c r="AR233" i="1"/>
  <c r="BE233" i="1" s="1"/>
  <c r="AR156" i="1"/>
  <c r="BE156" i="1" s="1"/>
  <c r="AR1616" i="1"/>
  <c r="BE1616" i="1" s="1"/>
  <c r="AR82" i="1"/>
  <c r="BE82" i="1" s="1"/>
  <c r="AR1854" i="1"/>
  <c r="BE1854" i="1" s="1"/>
  <c r="AR1308" i="1"/>
  <c r="BE1308" i="1" s="1"/>
  <c r="AR616" i="1"/>
  <c r="BE616" i="1" s="1"/>
  <c r="AR700" i="1"/>
  <c r="BE700" i="1" s="1"/>
  <c r="AR227" i="1"/>
  <c r="BE227" i="1" s="1"/>
  <c r="AR994" i="1"/>
  <c r="BE994" i="1" s="1"/>
  <c r="AR1243" i="1"/>
  <c r="BE1243" i="1" s="1"/>
  <c r="AR446" i="1"/>
  <c r="BE446" i="1" s="1"/>
  <c r="AR12" i="1"/>
  <c r="BE12" i="1" s="1"/>
  <c r="AR873" i="1"/>
  <c r="BE873" i="1" s="1"/>
  <c r="AR1878" i="1"/>
  <c r="BE1878" i="1" s="1"/>
  <c r="AR1570" i="1"/>
  <c r="BE1570" i="1" s="1"/>
  <c r="AR1601" i="1"/>
  <c r="BE1601" i="1" s="1"/>
  <c r="AR677" i="1"/>
  <c r="BE677" i="1" s="1"/>
  <c r="AR1949" i="1"/>
  <c r="BE1949" i="1" s="1"/>
  <c r="AR1548" i="1"/>
  <c r="BE1548" i="1" s="1"/>
  <c r="AR420" i="1"/>
  <c r="BE420" i="1" s="1"/>
  <c r="AR1081" i="1"/>
  <c r="BE1081" i="1" s="1"/>
  <c r="AR1717" i="1"/>
  <c r="BE1717" i="1" s="1"/>
  <c r="AR1620" i="1"/>
  <c r="BE1620" i="1" s="1"/>
  <c r="AR1463" i="1"/>
  <c r="BE1463" i="1" s="1"/>
  <c r="AR518" i="1"/>
  <c r="BE518" i="1" s="1"/>
  <c r="AR328" i="1"/>
  <c r="BE328" i="1" s="1"/>
  <c r="AR579" i="1"/>
  <c r="BE579" i="1" s="1"/>
  <c r="AR1664" i="1"/>
  <c r="BE1664" i="1" s="1"/>
  <c r="AR1592" i="1"/>
  <c r="BE1592" i="1" s="1"/>
  <c r="AR1579" i="1"/>
  <c r="BE1579" i="1" s="1"/>
  <c r="AR1768" i="1"/>
  <c r="BE1768" i="1" s="1"/>
  <c r="AR705" i="1"/>
  <c r="BE705" i="1" s="1"/>
  <c r="AR1644" i="1"/>
  <c r="BE1644" i="1" s="1"/>
  <c r="AR1961" i="1"/>
  <c r="BE1961" i="1" s="1"/>
  <c r="AR912" i="1"/>
  <c r="BE912" i="1" s="1"/>
  <c r="AR1758" i="1"/>
  <c r="BE1758" i="1" s="1"/>
  <c r="AR1980" i="1"/>
  <c r="BE1980" i="1" s="1"/>
  <c r="AR1713" i="1"/>
  <c r="BE1713" i="1" s="1"/>
  <c r="AR588" i="1"/>
  <c r="BE588" i="1" s="1"/>
  <c r="AR257" i="1"/>
  <c r="BE257" i="1" s="1"/>
  <c r="AR30" i="1"/>
  <c r="BE30" i="1" s="1"/>
  <c r="AR361" i="1"/>
  <c r="BE361" i="1" s="1"/>
  <c r="AR1696" i="1"/>
  <c r="BE1696" i="1" s="1"/>
  <c r="AR1298" i="1"/>
  <c r="BE1298" i="1" s="1"/>
  <c r="AR1536" i="1"/>
  <c r="BE1536" i="1" s="1"/>
  <c r="AR1175" i="1"/>
  <c r="BE1175" i="1" s="1"/>
  <c r="AR1503" i="1"/>
  <c r="BE1503" i="1" s="1"/>
  <c r="AR1203" i="1"/>
  <c r="BE1203" i="1" s="1"/>
  <c r="AR791" i="1"/>
  <c r="BE791" i="1" s="1"/>
  <c r="AR1488" i="1"/>
  <c r="BE1488" i="1" s="1"/>
  <c r="AR1876" i="1"/>
  <c r="BE1876" i="1" s="1"/>
  <c r="AR242" i="1"/>
  <c r="BE242" i="1" s="1"/>
  <c r="AR1542" i="1"/>
  <c r="BE1542" i="1" s="1"/>
  <c r="AR1658" i="1"/>
  <c r="BE1658" i="1" s="1"/>
  <c r="AR1643" i="1"/>
  <c r="BE1643" i="1" s="1"/>
  <c r="AR458" i="1"/>
  <c r="BE458" i="1" s="1"/>
  <c r="AR1530" i="1"/>
  <c r="BE1530" i="1" s="1"/>
  <c r="AR1266" i="1"/>
  <c r="BE1266" i="1" s="1"/>
  <c r="AR1780" i="1"/>
  <c r="BE1780" i="1" s="1"/>
  <c r="AR374" i="1"/>
  <c r="BE374" i="1" s="1"/>
  <c r="AR1833" i="1"/>
  <c r="BE1833" i="1" s="1"/>
  <c r="AR1782" i="1"/>
  <c r="BE1782" i="1" s="1"/>
  <c r="AR298" i="1"/>
  <c r="BE298" i="1" s="1"/>
  <c r="AR1313" i="1"/>
  <c r="BE1313" i="1" s="1"/>
  <c r="AR631" i="1"/>
  <c r="BE631" i="1" s="1"/>
  <c r="AR324" i="1"/>
  <c r="BE324" i="1" s="1"/>
  <c r="AR353" i="1"/>
  <c r="BE353" i="1" s="1"/>
  <c r="AR766" i="1"/>
  <c r="BE766" i="1" s="1"/>
  <c r="AR674" i="1"/>
  <c r="BE674" i="1" s="1"/>
  <c r="AR854" i="1"/>
  <c r="BE854" i="1" s="1"/>
  <c r="AR1546" i="1"/>
  <c r="BE1546" i="1" s="1"/>
  <c r="AR658" i="1"/>
  <c r="BE658" i="1" s="1"/>
  <c r="AR1984" i="1"/>
  <c r="BE1984" i="1" s="1"/>
  <c r="AR68" i="1"/>
  <c r="BE68" i="1" s="1"/>
  <c r="AR684" i="1"/>
  <c r="BE684" i="1" s="1"/>
  <c r="AR1578" i="1"/>
  <c r="BE1578" i="1" s="1"/>
  <c r="AR370" i="1"/>
  <c r="BE370" i="1" s="1"/>
  <c r="AR548" i="1"/>
  <c r="BE548" i="1" s="1"/>
  <c r="AR834" i="1"/>
  <c r="BE834" i="1" s="1"/>
  <c r="AR1469" i="1"/>
  <c r="BE1469" i="1" s="1"/>
  <c r="AR800" i="1"/>
  <c r="BE800" i="1" s="1"/>
  <c r="AR56" i="1"/>
  <c r="BE56" i="1" s="1"/>
  <c r="AR51" i="1"/>
  <c r="BE51" i="1" s="1"/>
  <c r="AR1798" i="1"/>
  <c r="BE1798" i="1" s="1"/>
  <c r="AR1077" i="1"/>
  <c r="BE1077" i="1" s="1"/>
  <c r="AR1347" i="1"/>
  <c r="BE1347" i="1" s="1"/>
  <c r="AR392" i="1"/>
  <c r="BE392" i="1" s="1"/>
  <c r="AR1517" i="1"/>
  <c r="BE1517" i="1" s="1"/>
  <c r="AR199" i="1"/>
  <c r="BE199" i="1" s="1"/>
  <c r="AR1349" i="1"/>
  <c r="BE1349" i="1" s="1"/>
  <c r="AR243" i="1"/>
  <c r="BE243" i="1" s="1"/>
  <c r="AR944" i="1"/>
  <c r="BE944" i="1" s="1"/>
  <c r="AR1875" i="1"/>
  <c r="BE1875" i="1" s="1"/>
  <c r="AR93" i="1"/>
  <c r="BE93" i="1" s="1"/>
  <c r="AR1237" i="1"/>
  <c r="BE1237" i="1" s="1"/>
  <c r="AR323" i="1"/>
  <c r="BE323" i="1" s="1"/>
  <c r="AR64" i="1"/>
  <c r="BE64" i="1" s="1"/>
  <c r="AR1425" i="1"/>
  <c r="BE1425" i="1" s="1"/>
  <c r="AR1452" i="1"/>
  <c r="BE1452" i="1" s="1"/>
  <c r="AR890" i="1"/>
  <c r="BE890" i="1" s="1"/>
  <c r="AR714" i="1"/>
  <c r="BE714" i="1" s="1"/>
  <c r="AR410" i="1"/>
  <c r="BE410" i="1" s="1"/>
  <c r="AR112" i="1"/>
  <c r="BE112" i="1" s="1"/>
  <c r="AR1773" i="1"/>
  <c r="BE1773" i="1" s="1"/>
  <c r="AR860" i="1"/>
  <c r="BE860" i="1" s="1"/>
  <c r="AR81" i="1"/>
  <c r="BE81" i="1" s="1"/>
  <c r="AR942" i="1"/>
  <c r="BE942" i="1" s="1"/>
  <c r="AR1410" i="1"/>
  <c r="BE1410" i="1" s="1"/>
  <c r="AR993" i="1"/>
  <c r="BE993" i="1" s="1"/>
  <c r="AR1736" i="1"/>
  <c r="BE1736" i="1" s="1"/>
  <c r="AR249" i="1"/>
  <c r="BE249" i="1" s="1"/>
  <c r="AR1104" i="1"/>
  <c r="BE1104" i="1" s="1"/>
  <c r="AR629" i="1"/>
  <c r="BE629" i="1" s="1"/>
  <c r="AR618" i="1"/>
  <c r="BE618" i="1" s="1"/>
  <c r="AR244" i="1"/>
  <c r="BE244" i="1" s="1"/>
  <c r="AR105" i="1"/>
  <c r="BE105" i="1" s="1"/>
  <c r="AR948" i="1"/>
  <c r="BE948" i="1" s="1"/>
  <c r="AR1968" i="1"/>
  <c r="BE1968" i="1" s="1"/>
  <c r="AR517" i="1"/>
  <c r="BE517" i="1" s="1"/>
  <c r="AR1597" i="1"/>
  <c r="BE1597" i="1" s="1"/>
  <c r="AR1044" i="1"/>
  <c r="BE1044" i="1" s="1"/>
  <c r="AR1527" i="1"/>
  <c r="BE1527" i="1" s="1"/>
  <c r="AR1144" i="1"/>
  <c r="BE1144" i="1" s="1"/>
  <c r="AR546" i="1"/>
  <c r="BE546" i="1" s="1"/>
  <c r="AR1670" i="1"/>
  <c r="BE1670" i="1" s="1"/>
  <c r="AR1018" i="1"/>
  <c r="BE1018" i="1" s="1"/>
  <c r="AR1102" i="1"/>
  <c r="BE1102" i="1" s="1"/>
  <c r="AR1232" i="1"/>
  <c r="BE1232" i="1" s="1"/>
  <c r="AR1449" i="1"/>
  <c r="BE1449" i="1" s="1"/>
  <c r="AR304" i="1"/>
  <c r="BE304" i="1" s="1"/>
  <c r="AR1148" i="1"/>
  <c r="BE1148" i="1" s="1"/>
  <c r="AR1679" i="1"/>
  <c r="BE1679" i="1" s="1"/>
  <c r="AR450" i="1"/>
  <c r="BE450" i="1" s="1"/>
  <c r="AR636" i="1"/>
  <c r="BE636" i="1" s="1"/>
  <c r="AR1843" i="1"/>
  <c r="BE1843" i="1" s="1"/>
  <c r="AR1291" i="1"/>
  <c r="BE1291" i="1" s="1"/>
  <c r="AR299" i="1"/>
  <c r="BE299" i="1" s="1"/>
  <c r="AR264" i="1"/>
  <c r="BE264" i="1" s="1"/>
  <c r="AR1072" i="1"/>
  <c r="BE1072" i="1" s="1"/>
  <c r="AR1522" i="1"/>
  <c r="BE1522" i="1" s="1"/>
  <c r="AR76" i="1"/>
  <c r="BE76" i="1" s="1"/>
  <c r="AR1112" i="1"/>
  <c r="BE1112" i="1" s="1"/>
  <c r="AR1445" i="1"/>
  <c r="BE1445" i="1" s="1"/>
  <c r="AR1918" i="1"/>
  <c r="BE1918" i="1" s="1"/>
  <c r="AR1661" i="1"/>
  <c r="BE1661" i="1" s="1"/>
  <c r="AR473" i="1"/>
  <c r="BE473" i="1" s="1"/>
  <c r="AR1923" i="1"/>
  <c r="BE1923" i="1" s="1"/>
  <c r="AR1300" i="1"/>
  <c r="BE1300" i="1" s="1"/>
  <c r="AR992" i="1"/>
  <c r="BE992" i="1" s="1"/>
  <c r="AR906" i="1"/>
  <c r="BE906" i="1" s="1"/>
  <c r="AR1788" i="1"/>
  <c r="BE1788" i="1" s="1"/>
  <c r="AR564" i="1"/>
  <c r="BE564" i="1" s="1"/>
  <c r="AR590" i="1"/>
  <c r="BE590" i="1" s="1"/>
  <c r="AR2009" i="1"/>
  <c r="BE2009" i="1" s="1"/>
  <c r="AR90" i="1"/>
  <c r="BE90" i="1" s="1"/>
  <c r="AR990" i="1"/>
  <c r="BE990" i="1" s="1"/>
  <c r="AR1909" i="1"/>
  <c r="BE1909" i="1" s="1"/>
  <c r="AR1177" i="1"/>
  <c r="BE1177" i="1" s="1"/>
  <c r="AR526" i="1"/>
  <c r="BE526" i="1" s="1"/>
  <c r="AR191" i="1"/>
  <c r="BE191" i="1" s="1"/>
  <c r="AR924" i="1"/>
  <c r="BE924" i="1" s="1"/>
  <c r="AR1273" i="1"/>
  <c r="BE1273" i="1" s="1"/>
  <c r="AR811" i="1"/>
  <c r="BE811" i="1" s="1"/>
  <c r="AR108" i="1"/>
  <c r="BE108" i="1" s="1"/>
  <c r="AR1382" i="1"/>
  <c r="BE1382" i="1" s="1"/>
  <c r="AR706" i="1"/>
  <c r="BE706" i="1" s="1"/>
  <c r="AR1115" i="1"/>
  <c r="BE1115" i="1" s="1"/>
  <c r="AR1584" i="1"/>
  <c r="BE1584" i="1" s="1"/>
  <c r="AR248" i="1"/>
  <c r="BE248" i="1" s="1"/>
  <c r="AR126" i="1"/>
  <c r="BE126" i="1" s="1"/>
  <c r="AR1716" i="1"/>
  <c r="BE1716" i="1" s="1"/>
  <c r="AR230" i="1"/>
  <c r="BE230" i="1" s="1"/>
  <c r="AR644" i="1"/>
  <c r="BE644" i="1" s="1"/>
  <c r="AR1869" i="1"/>
  <c r="BE1869" i="1" s="1"/>
  <c r="AR1187" i="1"/>
  <c r="BE1187" i="1" s="1"/>
  <c r="AR1690" i="1"/>
  <c r="BE1690" i="1" s="1"/>
  <c r="AR929" i="1"/>
  <c r="BE929" i="1" s="1"/>
  <c r="AR1755" i="1"/>
  <c r="BE1755" i="1" s="1"/>
  <c r="AR24" i="1"/>
  <c r="BE24" i="1" s="1"/>
  <c r="AR1196" i="1"/>
  <c r="BE1196" i="1" s="1"/>
  <c r="AR1341" i="1"/>
  <c r="BE1341" i="1" s="1"/>
  <c r="AR961" i="1"/>
  <c r="BE961" i="1" s="1"/>
  <c r="AR1993" i="1"/>
  <c r="BE1993" i="1" s="1"/>
  <c r="AR1807" i="1"/>
  <c r="BE1807" i="1" s="1"/>
  <c r="AR1883" i="1"/>
  <c r="BE1883" i="1" s="1"/>
  <c r="AR1272" i="1"/>
  <c r="BE1272" i="1" s="1"/>
  <c r="AR784" i="1"/>
  <c r="BE784" i="1" s="1"/>
  <c r="AR1719" i="1"/>
  <c r="BE1719" i="1" s="1"/>
  <c r="AR1199" i="1"/>
  <c r="BE1199" i="1" s="1"/>
  <c r="AR192" i="1"/>
  <c r="BE192" i="1" s="1"/>
  <c r="AR601" i="1"/>
  <c r="BE601" i="1" s="1"/>
  <c r="AR864" i="1"/>
  <c r="BE864" i="1" s="1"/>
  <c r="AR776" i="1"/>
  <c r="BE776" i="1" s="1"/>
  <c r="AR1285" i="1"/>
  <c r="BE1285" i="1" s="1"/>
  <c r="AR554" i="1"/>
  <c r="BE554" i="1" s="1"/>
  <c r="AR197" i="1"/>
  <c r="BE197" i="1" s="1"/>
  <c r="AR839" i="1"/>
  <c r="BE839" i="1" s="1"/>
  <c r="AR927" i="1"/>
  <c r="BE927" i="1" s="1"/>
  <c r="AR879" i="1"/>
  <c r="BE879" i="1" s="1"/>
  <c r="AR1067" i="1"/>
  <c r="BE1067" i="1" s="1"/>
  <c r="AR399" i="1"/>
  <c r="BE399" i="1" s="1"/>
  <c r="AR1084" i="1"/>
  <c r="BE1084" i="1" s="1"/>
  <c r="AR1606" i="1"/>
  <c r="BE1606" i="1" s="1"/>
  <c r="AR1434" i="1"/>
  <c r="BE1434" i="1" s="1"/>
  <c r="AR1557" i="1"/>
  <c r="BE1557" i="1" s="1"/>
  <c r="AR1370" i="1"/>
  <c r="BE1370" i="1" s="1"/>
  <c r="AR671" i="1"/>
  <c r="BE671" i="1" s="1"/>
  <c r="AR439" i="1"/>
  <c r="BE439" i="1" s="1"/>
  <c r="AR253" i="1"/>
  <c r="BE253" i="1" s="1"/>
  <c r="AR886" i="1"/>
  <c r="BE886" i="1" s="1"/>
  <c r="AR1324" i="1"/>
  <c r="BE1324" i="1" s="1"/>
  <c r="AR760" i="1"/>
  <c r="BE760" i="1" s="1"/>
  <c r="AR1650" i="1"/>
  <c r="BE1650" i="1" s="1"/>
  <c r="AR1625" i="1"/>
  <c r="BE1625" i="1" s="1"/>
  <c r="AR2001" i="1"/>
  <c r="BE2001" i="1" s="1"/>
  <c r="AR1821" i="1"/>
  <c r="BE1821" i="1" s="1"/>
  <c r="AR228" i="1"/>
  <c r="BE228" i="1" s="1"/>
  <c r="AR1361" i="1"/>
  <c r="BE1361" i="1" s="1"/>
  <c r="AR1672" i="1"/>
  <c r="BE1672" i="1" s="1"/>
  <c r="AR495" i="1"/>
  <c r="BE495" i="1" s="1"/>
  <c r="AR491" i="1"/>
  <c r="BE491" i="1" s="1"/>
  <c r="AR1879" i="1"/>
  <c r="BE1879" i="1" s="1"/>
  <c r="AR938" i="1"/>
  <c r="BE938" i="1" s="1"/>
  <c r="AR1507" i="1"/>
  <c r="BE1507" i="1" s="1"/>
  <c r="AR1256" i="1"/>
  <c r="BE1256" i="1" s="1"/>
  <c r="AR1419" i="1"/>
  <c r="BE1419" i="1" s="1"/>
  <c r="AR1320" i="1"/>
  <c r="BE1320" i="1" s="1"/>
  <c r="AR1749" i="1"/>
  <c r="BE1749" i="1" s="1"/>
  <c r="AR1476" i="1"/>
  <c r="BE1476" i="1" s="1"/>
  <c r="AR662" i="1"/>
  <c r="BE662" i="1" s="1"/>
  <c r="AR967" i="1"/>
  <c r="BE967" i="1" s="1"/>
  <c r="AR74" i="1"/>
  <c r="BE74" i="1" s="1"/>
  <c r="AR1325" i="1"/>
  <c r="BE1325" i="1" s="1"/>
  <c r="AR1809" i="1"/>
  <c r="BE1809" i="1" s="1"/>
  <c r="AR823" i="1"/>
  <c r="BE823" i="1" s="1"/>
  <c r="AR464" i="1"/>
  <c r="BE464" i="1" s="1"/>
  <c r="AR423" i="1"/>
  <c r="BE423" i="1" s="1"/>
  <c r="AR1781" i="1"/>
  <c r="BE1781" i="1" s="1"/>
  <c r="AR1985" i="1"/>
  <c r="BE1985" i="1" s="1"/>
  <c r="AR2005" i="1"/>
  <c r="BE2005" i="1" s="1"/>
  <c r="AR1399" i="1"/>
  <c r="BE1399" i="1" s="1"/>
  <c r="AR1933" i="1"/>
  <c r="BE1933" i="1" s="1"/>
  <c r="AR642" i="1"/>
  <c r="BE642" i="1" s="1"/>
  <c r="AR344" i="1"/>
  <c r="BE344" i="1" s="1"/>
  <c r="AR630" i="1"/>
  <c r="BE630" i="1" s="1"/>
  <c r="AR436" i="1"/>
  <c r="BE436" i="1" s="1"/>
  <c r="AR478" i="1"/>
  <c r="BE478" i="1" s="1"/>
  <c r="AR939" i="1"/>
  <c r="BE939" i="1" s="1"/>
  <c r="AR742" i="1"/>
  <c r="BE742" i="1" s="1"/>
  <c r="AR482" i="1"/>
  <c r="BE482" i="1" s="1"/>
  <c r="AR1414" i="1"/>
  <c r="BE1414" i="1" s="1"/>
  <c r="AR219" i="1"/>
  <c r="BE219" i="1" s="1"/>
  <c r="AR29" i="1"/>
  <c r="BE29" i="1" s="1"/>
  <c r="AR262" i="1"/>
  <c r="BE262" i="1" s="1"/>
  <c r="AR1727" i="1"/>
  <c r="BE1727" i="1" s="1"/>
  <c r="AR1225" i="1"/>
  <c r="BE1225" i="1" s="1"/>
  <c r="AR1006" i="1"/>
  <c r="BE1006" i="1" s="1"/>
  <c r="AR1945" i="1"/>
  <c r="BE1945" i="1" s="1"/>
  <c r="AR1284" i="1"/>
  <c r="BE1284" i="1" s="1"/>
  <c r="AR80" i="1"/>
  <c r="BE80" i="1" s="1"/>
  <c r="AR585" i="1"/>
  <c r="BE585" i="1" s="1"/>
  <c r="AR688" i="1"/>
  <c r="BE688" i="1" s="1"/>
  <c r="AR1441" i="1"/>
  <c r="BE1441" i="1" s="1"/>
  <c r="AR889" i="1"/>
  <c r="BE889" i="1" s="1"/>
  <c r="AR1885" i="1"/>
  <c r="BE1885" i="1" s="1"/>
  <c r="AR611" i="1"/>
  <c r="BE611" i="1" s="1"/>
  <c r="AR1479" i="1"/>
  <c r="BE1479" i="1" s="1"/>
  <c r="AR1403" i="1"/>
  <c r="BE1403" i="1" s="1"/>
  <c r="AR288" i="1"/>
  <c r="BE288" i="1" s="1"/>
  <c r="AR1176" i="1"/>
  <c r="BE1176" i="1" s="1"/>
  <c r="AR166" i="1"/>
  <c r="BE166" i="1" s="1"/>
  <c r="AR695" i="1"/>
  <c r="BE695" i="1" s="1"/>
  <c r="AR1529" i="1"/>
  <c r="BE1529" i="1" s="1"/>
  <c r="AR1020" i="1"/>
  <c r="BE1020" i="1" s="1"/>
  <c r="AR1427" i="1"/>
  <c r="BE1427" i="1" s="1"/>
  <c r="AR1618" i="1"/>
  <c r="BE1618" i="1" s="1"/>
  <c r="AR875" i="1"/>
  <c r="BE875" i="1" s="1"/>
  <c r="AR1171" i="1"/>
  <c r="BE1171" i="1" s="1"/>
  <c r="AR94" i="1"/>
  <c r="BE94" i="1" s="1"/>
  <c r="AR607" i="1"/>
  <c r="BE607" i="1" s="1"/>
  <c r="AR1772" i="1"/>
  <c r="BE1772" i="1" s="1"/>
  <c r="AR1295" i="1"/>
  <c r="BE1295" i="1" s="1"/>
  <c r="AR1281" i="1"/>
  <c r="BE1281" i="1" s="1"/>
  <c r="AR1130" i="1"/>
  <c r="BE1130" i="1" s="1"/>
  <c r="AR831" i="1"/>
  <c r="BE831" i="1" s="1"/>
  <c r="AR1595" i="1"/>
  <c r="BE1595" i="1" s="1"/>
  <c r="AR869" i="1"/>
  <c r="BE869" i="1" s="1"/>
  <c r="AR222" i="1"/>
  <c r="BE222" i="1" s="1"/>
  <c r="AR2010" i="1"/>
  <c r="BE2010" i="1" s="1"/>
  <c r="AR1453" i="1"/>
  <c r="BE1453" i="1" s="1"/>
  <c r="AR1264" i="1"/>
  <c r="BE1264" i="1" s="1"/>
  <c r="AR290" i="1"/>
  <c r="BE290" i="1" s="1"/>
  <c r="AR781" i="1"/>
  <c r="BE781" i="1" s="1"/>
  <c r="AR1060" i="1"/>
  <c r="BE1060" i="1" s="1"/>
  <c r="AR148" i="1"/>
  <c r="BE148" i="1" s="1"/>
  <c r="AR388" i="1"/>
  <c r="BE388" i="1" s="1"/>
  <c r="AR794" i="1"/>
  <c r="BE794" i="1" s="1"/>
  <c r="AR663" i="1"/>
  <c r="BE663" i="1" s="1"/>
  <c r="AR427" i="1"/>
  <c r="BE427" i="1" s="1"/>
  <c r="AR1249" i="1"/>
  <c r="BE1249" i="1" s="1"/>
  <c r="AR501" i="1"/>
  <c r="BE501" i="1" s="1"/>
  <c r="AR772" i="1"/>
  <c r="BE772" i="1" s="1"/>
  <c r="AR1820" i="1"/>
  <c r="BE1820" i="1" s="1"/>
  <c r="AR1180" i="1"/>
  <c r="BE1180" i="1" s="1"/>
  <c r="AR1192" i="1"/>
  <c r="BE1192" i="1" s="1"/>
  <c r="AR1455" i="1"/>
  <c r="BE1455" i="1" s="1"/>
  <c r="AR139" i="1"/>
  <c r="BE139" i="1" s="1"/>
  <c r="AR1221" i="1"/>
  <c r="BE1221" i="1" s="1"/>
  <c r="AR440" i="1"/>
  <c r="BE440" i="1" s="1"/>
  <c r="AR1460" i="1"/>
  <c r="BE1460" i="1" s="1"/>
  <c r="AR1956" i="1"/>
  <c r="BE1956" i="1" s="1"/>
  <c r="AR514" i="1"/>
  <c r="BE514" i="1" s="1"/>
  <c r="AR1409" i="1"/>
  <c r="BE1409" i="1" s="1"/>
  <c r="AR1208" i="1"/>
  <c r="BE1208" i="1" s="1"/>
  <c r="AR1921" i="1"/>
  <c r="BE1921" i="1" s="1"/>
  <c r="AR349" i="1"/>
  <c r="BE349" i="1" s="1"/>
  <c r="AR1786" i="1"/>
  <c r="BE1786" i="1" s="1"/>
  <c r="AR1120" i="1"/>
  <c r="BE1120" i="1" s="1"/>
  <c r="AR539" i="1"/>
  <c r="BE539" i="1" s="1"/>
  <c r="AR49" i="1"/>
  <c r="BE49" i="1" s="1"/>
  <c r="AR260" i="1"/>
  <c r="BE260" i="1" s="1"/>
  <c r="AR1015" i="1"/>
  <c r="BE1015" i="1" s="1"/>
  <c r="AR281" i="1"/>
  <c r="BE281" i="1" s="1"/>
  <c r="AR1052" i="1"/>
  <c r="BE1052" i="1" s="1"/>
  <c r="AR1459" i="1"/>
  <c r="BE1459" i="1" s="1"/>
  <c r="AR1381" i="1"/>
  <c r="BE1381" i="1" s="1"/>
  <c r="AR1097" i="1"/>
  <c r="BE1097" i="1" s="1"/>
  <c r="AR1276" i="1"/>
  <c r="BE1276" i="1" s="1"/>
  <c r="AR767" i="1"/>
  <c r="BE767" i="1" s="1"/>
  <c r="AR1591" i="1"/>
  <c r="BE1591" i="1" s="1"/>
  <c r="AR1846" i="1"/>
  <c r="BE1846" i="1" s="1"/>
  <c r="AR1836" i="1"/>
  <c r="BE1836" i="1" s="1"/>
  <c r="AR716" i="1"/>
  <c r="BE716" i="1" s="1"/>
  <c r="AR245" i="1"/>
  <c r="BE245" i="1" s="1"/>
  <c r="AR286" i="1"/>
  <c r="BE286" i="1" s="1"/>
  <c r="AR1943" i="1"/>
  <c r="BE1943" i="1" s="1"/>
  <c r="AR575" i="1"/>
  <c r="BE575" i="1" s="1"/>
  <c r="AR335" i="1"/>
  <c r="BE335" i="1" s="1"/>
  <c r="AR571" i="1"/>
  <c r="BE571" i="1" s="1"/>
  <c r="AR1446" i="1"/>
  <c r="BE1446" i="1" s="1"/>
  <c r="AR489" i="1"/>
  <c r="BE489" i="1" s="1"/>
  <c r="AR160" i="1"/>
  <c r="BE160" i="1" s="1"/>
  <c r="AR1638" i="1"/>
  <c r="BE1638" i="1" s="1"/>
  <c r="AR838" i="1"/>
  <c r="BE838" i="1" s="1"/>
  <c r="AR1951" i="1"/>
  <c r="BE1951" i="1" s="1"/>
  <c r="AR987" i="1"/>
  <c r="BE987" i="1" s="1"/>
  <c r="AR666" i="1"/>
  <c r="BE666" i="1" s="1"/>
  <c r="AR789" i="1"/>
  <c r="BE789" i="1" s="1"/>
  <c r="AR493" i="1"/>
  <c r="BE493" i="1" s="1"/>
  <c r="AR1147" i="1"/>
  <c r="BE1147" i="1" s="1"/>
  <c r="AR1466" i="1"/>
  <c r="BE1466" i="1" s="1"/>
  <c r="AR615" i="1"/>
  <c r="BE615" i="1" s="1"/>
  <c r="AR852" i="1"/>
  <c r="BE852" i="1" s="1"/>
  <c r="AR1093" i="1"/>
  <c r="BE1093" i="1" s="1"/>
  <c r="AR1083" i="1"/>
  <c r="BE1083" i="1" s="1"/>
  <c r="AR911" i="1"/>
  <c r="BE911" i="1" s="1"/>
  <c r="AR1140" i="1"/>
  <c r="BE1140" i="1" s="1"/>
  <c r="AR896" i="1"/>
  <c r="BE896" i="1" s="1"/>
  <c r="AR1906" i="1"/>
  <c r="BE1906" i="1" s="1"/>
  <c r="AR863" i="1"/>
  <c r="BE863" i="1" s="1"/>
  <c r="AR1235" i="1"/>
  <c r="BE1235" i="1" s="1"/>
  <c r="AR995" i="1"/>
  <c r="BE995" i="1" s="1"/>
  <c r="AR1927" i="1"/>
  <c r="BE1927" i="1" s="1"/>
  <c r="AR38" i="1"/>
  <c r="BE38" i="1" s="1"/>
  <c r="AR1212" i="1"/>
  <c r="BE1212" i="1" s="1"/>
  <c r="AR969" i="1"/>
  <c r="BE969" i="1" s="1"/>
  <c r="AR1902" i="1"/>
  <c r="BE1902" i="1" s="1"/>
  <c r="AR1440" i="1"/>
  <c r="BE1440" i="1" s="1"/>
  <c r="AR1336" i="1"/>
  <c r="BE1336" i="1" s="1"/>
  <c r="AR1743" i="1"/>
  <c r="BE1743" i="1" s="1"/>
  <c r="AR712" i="1"/>
  <c r="BE712" i="1" s="1"/>
  <c r="AR1398" i="1"/>
  <c r="BE1398" i="1" s="1"/>
  <c r="AR1812" i="1"/>
  <c r="BE1812" i="1" s="1"/>
  <c r="AR1057" i="1"/>
  <c r="BE1057" i="1" s="1"/>
  <c r="AR801" i="1"/>
  <c r="BE801" i="1" s="1"/>
  <c r="AR1541" i="1"/>
  <c r="BE1541" i="1" s="1"/>
  <c r="AR1566" i="1"/>
  <c r="BE1566" i="1" s="1"/>
  <c r="AR1257" i="1"/>
  <c r="BE1257" i="1" s="1"/>
  <c r="AR1521" i="1"/>
  <c r="BE1521" i="1" s="1"/>
  <c r="AR643" i="1"/>
  <c r="BE643" i="1" s="1"/>
  <c r="AR936" i="1"/>
  <c r="BE936" i="1" s="1"/>
  <c r="AR1573" i="1"/>
  <c r="BE1573" i="1" s="1"/>
  <c r="AR553" i="1"/>
  <c r="BE553" i="1" s="1"/>
  <c r="AR1305" i="1"/>
  <c r="BE1305" i="1" s="1"/>
  <c r="AR198" i="1"/>
  <c r="BE198" i="1" s="1"/>
  <c r="AR1539" i="1"/>
  <c r="BE1539" i="1" s="1"/>
  <c r="AR840" i="1"/>
  <c r="BE840" i="1" s="1"/>
  <c r="AR690" i="1"/>
  <c r="BE690" i="1" s="1"/>
  <c r="AR1540" i="1"/>
  <c r="BE1540" i="1" s="1"/>
  <c r="AR1861" i="1"/>
  <c r="BE1861" i="1" s="1"/>
  <c r="AR1596" i="1"/>
  <c r="BE1596" i="1" s="1"/>
  <c r="AR391" i="1"/>
  <c r="BE391" i="1" s="1"/>
  <c r="AR964" i="1"/>
  <c r="BE964" i="1" s="1"/>
  <c r="AR1783" i="1"/>
  <c r="BE1783" i="1" s="1"/>
  <c r="AR1590" i="1"/>
  <c r="BE1590" i="1" s="1"/>
  <c r="AR1290" i="1"/>
  <c r="BE1290" i="1" s="1"/>
  <c r="AR1484" i="1"/>
  <c r="BE1484" i="1" s="1"/>
  <c r="AR1194" i="1"/>
  <c r="BE1194" i="1" s="1"/>
  <c r="AR1701" i="1"/>
  <c r="BE1701" i="1" s="1"/>
  <c r="AR15" i="1"/>
  <c r="BE15" i="1" s="1"/>
  <c r="AR1585" i="1"/>
  <c r="BE1585" i="1" s="1"/>
  <c r="AR543" i="1"/>
  <c r="BE543" i="1" s="1"/>
  <c r="AR1688" i="1"/>
  <c r="BE1688" i="1" s="1"/>
  <c r="AR1544" i="1"/>
  <c r="BE1544" i="1" s="1"/>
  <c r="AR910" i="1"/>
  <c r="BE910" i="1" s="1"/>
  <c r="AR1691" i="1"/>
  <c r="BE1691" i="1" s="1"/>
  <c r="AR1604" i="1"/>
  <c r="BE1604" i="1" s="1"/>
  <c r="AR1910" i="1"/>
  <c r="BE1910" i="1" s="1"/>
  <c r="AR221" i="1"/>
  <c r="BE221" i="1" s="1"/>
  <c r="AR151" i="1"/>
  <c r="BE151" i="1" s="1"/>
  <c r="AR657" i="1"/>
  <c r="BE657" i="1" s="1"/>
  <c r="AR200" i="1"/>
  <c r="BE200" i="1" s="1"/>
  <c r="AR1039" i="1"/>
  <c r="BE1039" i="1" s="1"/>
  <c r="AR316" i="1"/>
  <c r="BE316" i="1" s="1"/>
  <c r="AR559" i="1"/>
  <c r="BE559" i="1" s="1"/>
  <c r="AR1200" i="1"/>
  <c r="BE1200" i="1" s="1"/>
  <c r="AR213" i="1"/>
  <c r="BE213" i="1" s="1"/>
  <c r="AR293" i="1"/>
  <c r="BE293" i="1" s="1"/>
  <c r="AR1408" i="1"/>
  <c r="BE1408" i="1" s="1"/>
  <c r="AR1185" i="1"/>
  <c r="BE1185" i="1" s="1"/>
  <c r="AR1292" i="1"/>
  <c r="BE1292" i="1" s="1"/>
  <c r="AR1823" i="1"/>
  <c r="BE1823" i="1" s="1"/>
  <c r="AR16" i="1"/>
  <c r="BE16" i="1" s="1"/>
  <c r="AR1001" i="1"/>
  <c r="BE1001" i="1" s="1"/>
  <c r="AR701" i="1"/>
  <c r="BE701" i="1" s="1"/>
  <c r="AR882" i="1"/>
  <c r="BE882" i="1" s="1"/>
  <c r="AR1973" i="1"/>
  <c r="BE1973" i="1" s="1"/>
  <c r="AR1754" i="1"/>
  <c r="BE1754" i="1" s="1"/>
  <c r="AR1113" i="1"/>
  <c r="BE1113" i="1" s="1"/>
  <c r="AR1106" i="1"/>
  <c r="BE1106" i="1" s="1"/>
  <c r="AR1432" i="1"/>
  <c r="BE1432" i="1" s="1"/>
  <c r="AR597" i="1"/>
  <c r="BE597" i="1" s="1"/>
  <c r="AR1896" i="1"/>
  <c r="BE1896" i="1" s="1"/>
  <c r="AR1588" i="1"/>
  <c r="BE1588" i="1" s="1"/>
  <c r="AR1608" i="1"/>
  <c r="BE1608" i="1" s="1"/>
  <c r="AR150" i="1"/>
  <c r="BE150" i="1" s="1"/>
  <c r="AR675" i="1"/>
  <c r="BE675" i="1" s="1"/>
  <c r="AR1457" i="1"/>
  <c r="BE1457" i="1" s="1"/>
  <c r="AR797" i="1"/>
  <c r="BE797" i="1" s="1"/>
  <c r="AR891" i="1"/>
  <c r="BE891" i="1" s="1"/>
  <c r="AR908" i="1"/>
  <c r="BE908" i="1" s="1"/>
  <c r="AR1938" i="1"/>
  <c r="BE1938" i="1" s="1"/>
  <c r="AR1942" i="1"/>
  <c r="BE1942" i="1" s="1"/>
  <c r="AR461" i="1"/>
  <c r="BE461" i="1" s="1"/>
  <c r="AR534" i="1"/>
  <c r="BE534" i="1" s="1"/>
  <c r="AR178" i="1"/>
  <c r="BE178" i="1" s="1"/>
  <c r="AR739" i="1"/>
  <c r="BE739" i="1" s="1"/>
  <c r="AR465" i="1"/>
  <c r="BE465" i="1" s="1"/>
  <c r="AR1071" i="1"/>
  <c r="BE1071" i="1" s="1"/>
  <c r="AR777" i="1"/>
  <c r="BE777" i="1" s="1"/>
  <c r="AR1367" i="1"/>
  <c r="BE1367" i="1" s="1"/>
  <c r="AR44" i="1"/>
  <c r="BE44" i="1" s="1"/>
  <c r="AR832" i="1"/>
  <c r="BE832" i="1" s="1"/>
  <c r="AR1487" i="1"/>
  <c r="BE1487" i="1" s="1"/>
  <c r="AR411" i="1"/>
  <c r="BE411" i="1" s="1"/>
  <c r="AR1634" i="1"/>
  <c r="BE1634" i="1" s="1"/>
  <c r="AR991" i="1"/>
  <c r="BE991" i="1" s="1"/>
  <c r="AR538" i="1"/>
  <c r="BE538" i="1" s="1"/>
  <c r="AR337" i="1"/>
  <c r="BE337" i="1" s="1"/>
  <c r="AR980" i="1"/>
  <c r="BE980" i="1" s="1"/>
  <c r="AR1322" i="1"/>
  <c r="BE1322" i="1" s="1"/>
  <c r="AR956" i="1"/>
  <c r="BE956" i="1" s="1"/>
  <c r="AR720" i="1"/>
  <c r="BE720" i="1" s="1"/>
  <c r="AR429" i="1"/>
  <c r="BE429" i="1" s="1"/>
  <c r="AR874" i="1"/>
  <c r="BE874" i="1" s="1"/>
  <c r="AR1156" i="1"/>
  <c r="BE1156" i="1" s="1"/>
  <c r="AR183" i="1"/>
  <c r="BE183" i="1" s="1"/>
  <c r="AR1004" i="1"/>
  <c r="BE1004" i="1" s="1"/>
  <c r="AR503" i="1"/>
  <c r="BE503" i="1" s="1"/>
  <c r="AR138" i="1"/>
  <c r="BE138" i="1" s="1"/>
  <c r="AR1560" i="1"/>
  <c r="BE1560" i="1" s="1"/>
  <c r="AR1009" i="1"/>
  <c r="BE1009" i="1" s="1"/>
  <c r="AR941" i="1"/>
  <c r="BE941" i="1" s="1"/>
  <c r="AR1473" i="1"/>
  <c r="BE1473" i="1" s="1"/>
  <c r="AR1802" i="1"/>
  <c r="BE1802" i="1" s="1"/>
  <c r="AR50" i="1"/>
  <c r="BE50" i="1" s="1"/>
  <c r="AR340" i="1"/>
  <c r="BE340" i="1" s="1"/>
  <c r="AR1467" i="1"/>
  <c r="BE1467" i="1" s="1"/>
  <c r="AR2020" i="1"/>
  <c r="BE2020" i="1" s="1"/>
  <c r="AR812" i="1"/>
  <c r="BE812" i="1" s="1"/>
  <c r="AR161" i="1"/>
  <c r="BE161" i="1" s="1"/>
  <c r="AR1808" i="1"/>
  <c r="BE1808" i="1" s="1"/>
  <c r="AR237" i="1"/>
  <c r="BE237" i="1" s="1"/>
  <c r="AR1955" i="1"/>
  <c r="BE1955" i="1" s="1"/>
  <c r="AR866" i="1"/>
  <c r="BE866" i="1" s="1"/>
  <c r="AR1030" i="1"/>
  <c r="BE1030" i="1" s="1"/>
  <c r="AR558" i="1"/>
  <c r="BE558" i="1" s="1"/>
  <c r="AR1183" i="1"/>
  <c r="BE1183" i="1" s="1"/>
  <c r="AR1857" i="1"/>
  <c r="BE1857" i="1" s="1"/>
  <c r="AR1856" i="1"/>
  <c r="BE1856" i="1" s="1"/>
  <c r="AR2000" i="1"/>
  <c r="BE2000" i="1" s="1"/>
  <c r="AR378" i="1"/>
  <c r="BE378" i="1" s="1"/>
  <c r="AR515" i="1"/>
  <c r="BE515" i="1" s="1"/>
  <c r="AR818" i="1"/>
  <c r="BE818" i="1" s="1"/>
  <c r="AR1631" i="1"/>
  <c r="BE1631" i="1" s="1"/>
  <c r="AR494" i="1"/>
  <c r="BE494" i="1" s="1"/>
  <c r="AR383" i="1"/>
  <c r="BE383" i="1" s="1"/>
  <c r="AR1076" i="1"/>
  <c r="BE1076" i="1" s="1"/>
  <c r="AR1045" i="1"/>
  <c r="BE1045" i="1" s="1"/>
  <c r="AR1206" i="1"/>
  <c r="BE1206" i="1" s="1"/>
  <c r="AR1253" i="1"/>
  <c r="BE1253" i="1" s="1"/>
  <c r="AR661" i="1"/>
  <c r="BE661" i="1" s="1"/>
  <c r="AR1480" i="1"/>
  <c r="BE1480" i="1" s="1"/>
  <c r="AR918" i="1"/>
  <c r="BE918" i="1" s="1"/>
  <c r="AR225" i="1"/>
  <c r="BE225" i="1" s="1"/>
  <c r="AR710" i="1"/>
  <c r="BE710" i="1" s="1"/>
  <c r="AR1519" i="1"/>
  <c r="BE1519" i="1" s="1"/>
  <c r="AR1186" i="1"/>
  <c r="BE1186" i="1" s="1"/>
  <c r="AR1671" i="1"/>
  <c r="BE1671" i="1" s="1"/>
  <c r="AR1826" i="1"/>
  <c r="BE1826" i="1" s="1"/>
  <c r="AR537" i="1"/>
  <c r="BE537" i="1" s="1"/>
  <c r="AR1829" i="1"/>
  <c r="BE1829" i="1" s="1"/>
  <c r="AR419" i="1"/>
  <c r="BE419" i="1" s="1"/>
  <c r="AR1219" i="1"/>
  <c r="BE1219" i="1" s="1"/>
  <c r="AR1193" i="1"/>
  <c r="BE1193" i="1" s="1"/>
  <c r="AR694" i="1"/>
  <c r="BE694" i="1" s="1"/>
  <c r="AR497" i="1"/>
  <c r="BE497" i="1" s="1"/>
  <c r="AR979" i="1"/>
  <c r="BE979" i="1" s="1"/>
  <c r="AR492" i="1"/>
  <c r="BE492" i="1" s="1"/>
  <c r="AR25" i="1"/>
  <c r="BE25" i="1" s="1"/>
  <c r="AR1774" i="1"/>
  <c r="BE1774" i="1" s="1"/>
  <c r="AR1497" i="1"/>
  <c r="BE1497" i="1" s="1"/>
  <c r="AR1195" i="1"/>
  <c r="BE1195" i="1" s="1"/>
  <c r="AR176" i="1"/>
  <c r="BE176" i="1" s="1"/>
  <c r="AR762" i="1"/>
  <c r="BE762" i="1" s="1"/>
  <c r="AR1640" i="1"/>
  <c r="BE1640" i="1" s="1"/>
  <c r="AR229" i="1"/>
  <c r="BE229" i="1" s="1"/>
  <c r="AR146" i="1"/>
  <c r="BE146" i="1" s="1"/>
  <c r="AR1223" i="1"/>
  <c r="BE1223" i="1" s="1"/>
  <c r="AR103" i="1"/>
  <c r="BE103" i="1" s="1"/>
  <c r="AR1547" i="1"/>
  <c r="BE1547" i="1" s="1"/>
  <c r="AR1450" i="1"/>
  <c r="BE1450" i="1" s="1"/>
  <c r="AR474" i="1"/>
  <c r="BE474" i="1" s="1"/>
  <c r="AR1556" i="1"/>
  <c r="BE1556" i="1" s="1"/>
  <c r="AR208" i="1"/>
  <c r="BE208" i="1" s="1"/>
  <c r="AR282" i="1"/>
  <c r="BE282" i="1" s="1"/>
  <c r="AR1989" i="1"/>
  <c r="BE1989" i="1" s="1"/>
  <c r="AR1019" i="1"/>
  <c r="BE1019" i="1" s="1"/>
  <c r="AR1117" i="1"/>
  <c r="BE1117" i="1" s="1"/>
  <c r="AR1496" i="1"/>
  <c r="BE1496" i="1" s="1"/>
  <c r="AR451" i="1"/>
  <c r="BE451" i="1" s="1"/>
  <c r="AR1506" i="1"/>
  <c r="BE1506" i="1" s="1"/>
  <c r="AR988" i="1"/>
  <c r="BE988" i="1" s="1"/>
  <c r="AR48" i="1"/>
  <c r="BE48" i="1" s="1"/>
  <c r="AR350" i="1"/>
  <c r="BE350" i="1" s="1"/>
  <c r="AR1283" i="1"/>
  <c r="BE1283" i="1" s="1"/>
  <c r="AR1828" i="1"/>
  <c r="BE1828" i="1" s="1"/>
  <c r="AR986" i="1"/>
  <c r="BE986" i="1" s="1"/>
  <c r="AR510" i="1"/>
  <c r="BE510" i="1" s="1"/>
  <c r="AR998" i="1"/>
  <c r="BE998" i="1" s="1"/>
  <c r="AR775" i="1"/>
  <c r="BE775" i="1" s="1"/>
  <c r="AR1801" i="1"/>
  <c r="BE1801" i="1" s="1"/>
  <c r="AR387" i="1"/>
  <c r="BE387" i="1" s="1"/>
  <c r="AR1605" i="1"/>
  <c r="BE1605" i="1" s="1"/>
  <c r="AR1685" i="1"/>
  <c r="BE1685" i="1" s="1"/>
  <c r="AR895" i="1"/>
  <c r="BE895" i="1" s="1"/>
  <c r="AR1752" i="1"/>
  <c r="BE1752" i="1" s="1"/>
  <c r="AR830" i="1"/>
  <c r="BE830" i="1" s="1"/>
  <c r="AR1038" i="1"/>
  <c r="BE1038" i="1" s="1"/>
  <c r="AR1051" i="1"/>
  <c r="BE1051" i="1" s="1"/>
  <c r="AR1954" i="1"/>
  <c r="BE1954" i="1" s="1"/>
  <c r="AR1088" i="1"/>
  <c r="BE1088" i="1" s="1"/>
  <c r="AR974" i="1"/>
  <c r="BE974" i="1" s="1"/>
  <c r="AR1002" i="1"/>
  <c r="BE1002" i="1" s="1"/>
  <c r="AR1157" i="1"/>
  <c r="BE1157" i="1" s="1"/>
  <c r="AR952" i="1"/>
  <c r="BE952" i="1" s="1"/>
  <c r="AR1936" i="1"/>
  <c r="BE1936" i="1" s="1"/>
  <c r="AR1514" i="1"/>
  <c r="BE1514" i="1" s="1"/>
  <c r="AR1323" i="1"/>
  <c r="BE1323" i="1" s="1"/>
  <c r="AR1036" i="1"/>
  <c r="BE1036" i="1" s="1"/>
  <c r="AR1887" i="1"/>
  <c r="BE1887" i="1" s="1"/>
  <c r="AR836" i="1"/>
  <c r="BE836" i="1" s="1"/>
  <c r="AR1122" i="1"/>
  <c r="BE1122" i="1" s="1"/>
  <c r="AR372" i="1"/>
  <c r="BE372" i="1" s="1"/>
  <c r="AR1270" i="1"/>
  <c r="BE1270" i="1" s="1"/>
  <c r="AR1712" i="1"/>
  <c r="BE1712" i="1" s="1"/>
  <c r="AR1558" i="1"/>
  <c r="BE1558" i="1" s="1"/>
  <c r="AR687" i="1"/>
  <c r="BE687" i="1" s="1"/>
  <c r="AR871" i="1"/>
  <c r="BE871" i="1" s="1"/>
  <c r="AR447" i="1"/>
  <c r="BE447" i="1" s="1"/>
  <c r="AR1012" i="1"/>
  <c r="BE1012" i="1" s="1"/>
  <c r="AR820" i="1"/>
  <c r="BE820" i="1" s="1"/>
  <c r="AR496" i="1"/>
  <c r="BE496" i="1" s="1"/>
  <c r="AR531" i="1"/>
  <c r="BE531" i="1" s="1"/>
  <c r="AR947" i="1"/>
  <c r="BE947" i="1" s="1"/>
  <c r="AR1886" i="1"/>
  <c r="BE1886" i="1" s="1"/>
  <c r="AR131" i="1"/>
  <c r="BE131" i="1" s="1"/>
  <c r="AR1633" i="1"/>
  <c r="BE1633" i="1" s="1"/>
  <c r="AR1892" i="1"/>
  <c r="BE1892" i="1" s="1"/>
  <c r="AR1535" i="1"/>
  <c r="BE1535" i="1" s="1"/>
  <c r="AR1580" i="1"/>
  <c r="BE1580" i="1" s="1"/>
  <c r="AR755" i="1"/>
  <c r="BE755" i="1" s="1"/>
  <c r="AR1061" i="1"/>
  <c r="BE1061" i="1" s="1"/>
  <c r="AR278" i="1"/>
  <c r="BE278" i="1" s="1"/>
  <c r="AR1089" i="1"/>
  <c r="BE1089" i="1" s="1"/>
  <c r="AR1598" i="1"/>
  <c r="BE1598" i="1" s="1"/>
  <c r="AR649" i="1"/>
  <c r="BE649" i="1" s="1"/>
  <c r="AR1297" i="1"/>
  <c r="BE1297" i="1" s="1"/>
  <c r="AR1315" i="1"/>
  <c r="BE1315" i="1" s="1"/>
  <c r="AR704" i="1"/>
  <c r="BE704" i="1" s="1"/>
  <c r="AR1564" i="1"/>
  <c r="BE1564" i="1" s="1"/>
  <c r="AR985" i="1"/>
  <c r="BE985" i="1" s="1"/>
  <c r="AR78" i="1"/>
  <c r="BE78" i="1" s="1"/>
  <c r="AR125" i="1"/>
  <c r="BE125" i="1" s="1"/>
  <c r="AR567" i="1"/>
  <c r="BE567" i="1" s="1"/>
  <c r="AR1534" i="1"/>
  <c r="BE1534" i="1" s="1"/>
  <c r="AR1787" i="1"/>
  <c r="BE1787" i="1" s="1"/>
  <c r="AR1978" i="1"/>
  <c r="BE1978" i="1" s="1"/>
  <c r="AR1069" i="1"/>
  <c r="BE1069" i="1" s="1"/>
  <c r="AR1614" i="1"/>
  <c r="BE1614" i="1" s="1"/>
  <c r="AR314" i="1"/>
  <c r="BE314" i="1" s="1"/>
  <c r="AR1461" i="1"/>
  <c r="BE1461" i="1" s="1"/>
  <c r="AR1926" i="1"/>
  <c r="BE1926" i="1" s="1"/>
  <c r="AR1864" i="1"/>
  <c r="BE1864" i="1" s="1"/>
  <c r="AR1143" i="1"/>
  <c r="BE1143" i="1" s="1"/>
  <c r="AR1334" i="1"/>
  <c r="BE1334" i="1" s="1"/>
  <c r="AR169" i="1"/>
  <c r="BE169" i="1" s="1"/>
  <c r="AR903" i="1"/>
  <c r="BE903" i="1" s="1"/>
  <c r="AR837" i="1"/>
  <c r="BE837" i="1" s="1"/>
  <c r="AR1152" i="1"/>
  <c r="BE1152" i="1" s="1"/>
  <c r="AR435" i="1"/>
  <c r="BE435" i="1" s="1"/>
  <c r="AR1947" i="1"/>
  <c r="BE1947" i="1" s="1"/>
  <c r="AR1850" i="1"/>
  <c r="BE1850" i="1" s="1"/>
  <c r="AR1611" i="1"/>
  <c r="BE1611" i="1" s="1"/>
  <c r="AR774" i="1"/>
  <c r="BE774" i="1" s="1"/>
  <c r="AR1335" i="1"/>
  <c r="BE1335" i="1" s="1"/>
  <c r="AR55" i="1"/>
  <c r="BE55" i="1" s="1"/>
  <c r="AR1402" i="1"/>
  <c r="BE1402" i="1" s="1"/>
  <c r="AR516" i="1"/>
  <c r="BE516" i="1" s="1"/>
  <c r="AR744" i="1"/>
  <c r="BE744" i="1" s="1"/>
  <c r="AR1941" i="1"/>
  <c r="BE1941" i="1" s="1"/>
  <c r="AR934" i="1"/>
  <c r="BE934" i="1" s="1"/>
  <c r="AR2004" i="1"/>
  <c r="BE2004" i="1" s="1"/>
  <c r="AR1428" i="1"/>
  <c r="BE1428" i="1" s="1"/>
  <c r="AR870" i="1"/>
  <c r="BE870" i="1" s="1"/>
  <c r="AR1040" i="1"/>
  <c r="BE1040" i="1" s="1"/>
  <c r="AR646" i="1"/>
  <c r="BE646" i="1" s="1"/>
  <c r="AR953" i="1"/>
  <c r="BE953" i="1" s="1"/>
  <c r="AR77" i="1"/>
  <c r="BE77" i="1" s="1"/>
  <c r="AR452" i="1"/>
  <c r="BE452" i="1" s="1"/>
  <c r="AR1343" i="1"/>
  <c r="BE1343" i="1" s="1"/>
  <c r="AR162" i="1"/>
  <c r="BE162" i="1" s="1"/>
  <c r="AR1932" i="1"/>
  <c r="BE1932" i="1" s="1"/>
  <c r="AR1531" i="1"/>
  <c r="BE1531" i="1" s="1"/>
  <c r="AR817" i="1"/>
  <c r="BE817" i="1" s="1"/>
  <c r="AR1904" i="1"/>
  <c r="BE1904" i="1" s="1"/>
  <c r="AR1245" i="1"/>
  <c r="BE1245" i="1" s="1"/>
  <c r="AR914" i="1"/>
  <c r="BE914" i="1" s="1"/>
  <c r="AR1958" i="1"/>
  <c r="BE1958" i="1" s="1"/>
  <c r="AR17" i="1"/>
  <c r="BE17" i="1" s="1"/>
  <c r="AR26" i="1"/>
  <c r="BE26" i="1" s="1"/>
  <c r="AR119" i="1"/>
  <c r="BE119" i="1" s="1"/>
  <c r="AR1422" i="1"/>
  <c r="BE1422" i="1" s="1"/>
  <c r="AR1970" i="1"/>
  <c r="BE1970" i="1" s="1"/>
  <c r="AR1359" i="1"/>
  <c r="BE1359" i="1" s="1"/>
  <c r="AR1899" i="1"/>
  <c r="BE1899" i="1" s="1"/>
  <c r="AR562" i="1"/>
  <c r="BE562" i="1" s="1"/>
  <c r="AR1191" i="1"/>
  <c r="BE1191" i="1" s="1"/>
  <c r="AR1553" i="1"/>
  <c r="BE1553" i="1" s="1"/>
  <c r="AR117" i="1"/>
  <c r="BE117" i="1" s="1"/>
  <c r="AR488" i="1"/>
  <c r="BE488" i="1" s="1"/>
  <c r="AR576" i="1"/>
  <c r="BE576" i="1" s="1"/>
  <c r="AR215" i="1"/>
  <c r="BE215" i="1" s="1"/>
  <c r="AR966" i="1"/>
  <c r="BE966" i="1" s="1"/>
  <c r="AR1327" i="1"/>
  <c r="BE1327" i="1" s="1"/>
  <c r="AR937" i="1"/>
  <c r="BE937" i="1" s="1"/>
  <c r="AR1456" i="1"/>
  <c r="BE1456" i="1" s="1"/>
  <c r="AR862" i="1"/>
  <c r="BE862" i="1" s="1"/>
  <c r="AR367" i="1"/>
  <c r="BE367" i="1" s="1"/>
  <c r="AR845" i="1"/>
  <c r="BE845" i="1" s="1"/>
  <c r="AR157" i="1"/>
  <c r="BE157" i="1" s="1"/>
  <c r="AR1389" i="1"/>
  <c r="BE1389" i="1" s="1"/>
  <c r="AR556" i="1"/>
  <c r="BE556" i="1" s="1"/>
  <c r="AR193" i="1"/>
  <c r="BE193" i="1" s="1"/>
  <c r="AR719" i="1"/>
  <c r="BE719" i="1" s="1"/>
  <c r="AR1656" i="1"/>
  <c r="BE1656" i="1" s="1"/>
  <c r="AR1086" i="1"/>
  <c r="BE1086" i="1" s="1"/>
  <c r="AR1976" i="1"/>
  <c r="BE1976" i="1" s="1"/>
  <c r="AR1376" i="1"/>
  <c r="BE1376" i="1" s="1"/>
  <c r="AR1416" i="1"/>
  <c r="BE1416" i="1" s="1"/>
  <c r="AR1495" i="1"/>
  <c r="BE1495" i="1" s="1"/>
  <c r="AR422" i="1"/>
  <c r="BE422" i="1" s="1"/>
  <c r="AR724" i="1"/>
  <c r="BE724" i="1" s="1"/>
  <c r="AR1990" i="1"/>
  <c r="BE1990" i="1" s="1"/>
  <c r="AR796" i="1"/>
  <c r="BE796" i="1" s="1"/>
  <c r="AR506" i="1"/>
  <c r="BE506" i="1" s="1"/>
  <c r="AR1888" i="1"/>
  <c r="BE1888" i="1" s="1"/>
  <c r="AR625" i="1"/>
  <c r="BE625" i="1" s="1"/>
  <c r="AR1481" i="1"/>
  <c r="BE1481" i="1" s="1"/>
  <c r="AR1131" i="1"/>
  <c r="BE1131" i="1" s="1"/>
  <c r="AR1837" i="1"/>
  <c r="BE1837" i="1" s="1"/>
  <c r="AR87" i="1"/>
  <c r="BE87" i="1" s="1"/>
  <c r="AR1329" i="1"/>
  <c r="BE1329" i="1" s="1"/>
  <c r="AR1280" i="1"/>
  <c r="BE1280" i="1" s="1"/>
  <c r="AR1418" i="1"/>
  <c r="BE1418" i="1" s="1"/>
  <c r="AR381" i="1"/>
  <c r="BE381" i="1" s="1"/>
  <c r="AR1928" i="1"/>
  <c r="BE1928" i="1" s="1"/>
  <c r="AR1307" i="1"/>
  <c r="BE1307" i="1" s="1"/>
  <c r="AR413" i="1"/>
  <c r="BE413" i="1" s="1"/>
  <c r="AR550" i="1"/>
  <c r="BE550" i="1" s="1"/>
  <c r="AR1600" i="1"/>
  <c r="BE1600" i="1" s="1"/>
  <c r="AR1174" i="1"/>
  <c r="BE1174" i="1" s="1"/>
  <c r="AR1099" i="1"/>
  <c r="BE1099" i="1" s="1"/>
  <c r="AR1500" i="1"/>
  <c r="BE1500" i="1" s="1"/>
  <c r="AR741" i="1"/>
  <c r="BE741" i="1" s="1"/>
  <c r="AR128" i="1"/>
  <c r="BE128" i="1" s="1"/>
  <c r="AR1668" i="1"/>
  <c r="BE1668" i="1" s="1"/>
  <c r="AR1792" i="1"/>
  <c r="BE1792" i="1" s="1"/>
  <c r="AR757" i="1"/>
  <c r="BE757" i="1" s="1"/>
  <c r="AR1513" i="1"/>
  <c r="BE1513" i="1" s="1"/>
  <c r="AR707" i="1"/>
  <c r="BE707" i="1" s="1"/>
  <c r="AR404" i="1"/>
  <c r="BE404" i="1" s="1"/>
  <c r="AR460" i="1"/>
  <c r="BE460" i="1" s="1"/>
  <c r="AR856" i="1"/>
  <c r="BE856" i="1" s="1"/>
  <c r="AR1310" i="1"/>
  <c r="BE1310" i="1" s="1"/>
  <c r="AR2015" i="1"/>
  <c r="BE2015" i="1" s="1"/>
  <c r="AR46" i="1"/>
  <c r="BE46" i="1" s="1"/>
  <c r="AR430" i="1"/>
  <c r="BE430" i="1" s="1"/>
  <c r="AR1205" i="1"/>
  <c r="BE1205" i="1" s="1"/>
  <c r="AR172" i="1"/>
  <c r="BE172" i="1" s="1"/>
  <c r="AR400" i="1"/>
  <c r="BE400" i="1" s="1"/>
  <c r="AR540" i="1"/>
  <c r="BE540" i="1" s="1"/>
  <c r="AR1900" i="1"/>
  <c r="BE1900" i="1" s="1"/>
  <c r="AR803" i="1"/>
  <c r="BE803" i="1" s="1"/>
  <c r="AR326" i="1"/>
  <c r="BE326" i="1" s="1"/>
  <c r="AR1107" i="1"/>
  <c r="BE1107" i="1" s="1"/>
  <c r="AR1692" i="1"/>
  <c r="BE1692" i="1" s="1"/>
  <c r="AR740" i="1"/>
  <c r="BE740" i="1" s="1"/>
  <c r="AR1246" i="1"/>
  <c r="BE1246" i="1" s="1"/>
  <c r="AR682" i="1"/>
  <c r="BE682" i="1" s="1"/>
  <c r="AR596" i="1"/>
  <c r="BE596" i="1" s="1"/>
  <c r="AR1853" i="1"/>
  <c r="BE1853" i="1" s="1"/>
  <c r="AR982" i="1"/>
  <c r="BE982" i="1" s="1"/>
  <c r="AR167" i="1"/>
  <c r="BE167" i="1" s="1"/>
  <c r="AR170" i="1"/>
  <c r="BE170" i="1" s="1"/>
  <c r="AR1898" i="1"/>
  <c r="BE1898" i="1" s="1"/>
  <c r="AR1720" i="1"/>
  <c r="BE1720" i="1" s="1"/>
  <c r="AR1274" i="1"/>
  <c r="BE1274" i="1" s="1"/>
  <c r="AR968" i="1"/>
  <c r="BE968" i="1" s="1"/>
  <c r="AR1124" i="1"/>
  <c r="BE1124" i="1" s="1"/>
  <c r="AR928" i="1"/>
  <c r="BE928" i="1" s="1"/>
  <c r="AR1331" i="1"/>
  <c r="BE1331" i="1" s="1"/>
  <c r="AR154" i="1"/>
  <c r="BE154" i="1" s="1"/>
  <c r="AR1179" i="1"/>
  <c r="BE1179" i="1" s="1"/>
  <c r="AR743" i="1"/>
  <c r="BE743" i="1" s="1"/>
  <c r="AR916" i="1"/>
  <c r="BE916" i="1" s="1"/>
  <c r="AR1639" i="1"/>
  <c r="BE1639" i="1" s="1"/>
  <c r="AR91" i="1"/>
  <c r="BE91" i="1" s="1"/>
  <c r="AR1814" i="1"/>
  <c r="BE1814" i="1" s="1"/>
  <c r="AR377" i="1"/>
  <c r="BE377" i="1" s="1"/>
  <c r="AR652" i="1"/>
  <c r="BE652" i="1" s="1"/>
  <c r="AR58" i="1"/>
  <c r="BE58" i="1" s="1"/>
  <c r="AR2021" i="1"/>
  <c r="BE2021" i="1" s="1"/>
  <c r="AR1207" i="1"/>
  <c r="BE1207" i="1" s="1"/>
  <c r="AR872" i="1"/>
  <c r="BE872" i="1" s="1"/>
  <c r="AR1816" i="1"/>
  <c r="BE1816" i="1" s="1"/>
  <c r="AR69" i="1"/>
  <c r="BE69" i="1" s="1"/>
  <c r="AR1905" i="1"/>
  <c r="BE1905" i="1" s="1"/>
  <c r="AR283" i="1"/>
  <c r="BE283" i="1" s="1"/>
  <c r="AR432" i="1"/>
  <c r="BE432" i="1" s="1"/>
  <c r="AR86" i="1"/>
  <c r="BE86" i="1" s="1"/>
  <c r="AR484" i="1"/>
  <c r="BE484" i="1" s="1"/>
  <c r="AR900" i="1"/>
  <c r="BE900" i="1" s="1"/>
  <c r="AR1562" i="1"/>
  <c r="BE1562" i="1" s="1"/>
  <c r="AR332" i="1"/>
  <c r="BE332" i="1" s="1"/>
  <c r="AR930" i="1"/>
  <c r="BE930" i="1" s="1"/>
  <c r="AR574" i="1"/>
  <c r="BE574" i="1" s="1"/>
  <c r="AR1831" i="1"/>
  <c r="BE1831" i="1" s="1"/>
  <c r="AR533" i="1"/>
  <c r="BE533" i="1" s="1"/>
  <c r="AR782" i="1"/>
  <c r="BE782" i="1" s="1"/>
  <c r="AR1659" i="1"/>
  <c r="BE1659" i="1" s="1"/>
  <c r="AR1549" i="1"/>
  <c r="BE1549" i="1" s="1"/>
  <c r="AR1726" i="1"/>
  <c r="BE1726" i="1" s="1"/>
  <c r="AR98" i="1"/>
  <c r="BE98" i="1" s="1"/>
  <c r="AR1827" i="1"/>
  <c r="BE1827" i="1" s="1"/>
  <c r="AR563" i="1"/>
  <c r="BE563" i="1" s="1"/>
  <c r="AR1250" i="1"/>
  <c r="BE1250" i="1" s="1"/>
  <c r="AR842" i="1"/>
  <c r="BE842" i="1" s="1"/>
  <c r="AR1139" i="1"/>
  <c r="BE1139" i="1" s="1"/>
  <c r="AR1424" i="1"/>
  <c r="BE1424" i="1" s="1"/>
  <c r="AR1197" i="1"/>
  <c r="BE1197" i="1" s="1"/>
  <c r="AR303" i="1"/>
  <c r="BE303" i="1" s="1"/>
  <c r="AR582" i="1"/>
  <c r="BE582" i="1" s="1"/>
  <c r="AR536" i="1"/>
  <c r="BE536" i="1" s="1"/>
  <c r="AR300" i="1"/>
  <c r="BE300" i="1" s="1"/>
  <c r="AR1735" i="1"/>
  <c r="BE1735" i="1" s="1"/>
  <c r="AR1065" i="1"/>
  <c r="BE1065" i="1" s="1"/>
  <c r="AR711" i="1"/>
  <c r="BE711" i="1" s="1"/>
  <c r="AR1213" i="1"/>
  <c r="BE1213" i="1" s="1"/>
  <c r="AR981" i="1"/>
  <c r="BE981" i="1" s="1"/>
  <c r="AR1309" i="1"/>
  <c r="BE1309" i="1" s="1"/>
  <c r="AR59" i="1"/>
  <c r="BE59" i="1" s="1"/>
  <c r="AR443" i="1"/>
  <c r="BE443" i="1" s="1"/>
  <c r="AR1299" i="1"/>
  <c r="BE1299" i="1" s="1"/>
  <c r="AR39" i="1"/>
  <c r="BE39" i="1" s="1"/>
  <c r="AR1665" i="1"/>
  <c r="BE1665" i="1" s="1"/>
  <c r="AR746" i="1"/>
  <c r="BE746" i="1" s="1"/>
  <c r="AR338" i="1"/>
  <c r="BE338" i="1" s="1"/>
  <c r="AR1154" i="1"/>
  <c r="BE1154" i="1" s="1"/>
  <c r="AR42" i="1"/>
  <c r="BE42" i="1" s="1"/>
  <c r="AR2" i="1"/>
  <c r="BE2" i="1" s="1"/>
  <c r="AR1490" i="1"/>
  <c r="BE1490" i="1" s="1"/>
  <c r="AR252" i="1"/>
  <c r="BE252" i="1" s="1"/>
  <c r="AR1744" i="1"/>
  <c r="BE1744" i="1" s="1"/>
  <c r="AR1226" i="1"/>
  <c r="BE1226" i="1" s="1"/>
  <c r="AR779" i="1"/>
  <c r="BE779" i="1" s="1"/>
  <c r="AR1602" i="1"/>
  <c r="BE1602" i="1" s="1"/>
  <c r="AR1110" i="1"/>
  <c r="BE1110" i="1" s="1"/>
  <c r="AR1669" i="1"/>
  <c r="BE1669" i="1" s="1"/>
  <c r="AR32" i="1"/>
  <c r="BE32" i="1" s="1"/>
  <c r="AR598" i="1"/>
  <c r="BE598" i="1" s="1"/>
  <c r="AR434" i="1"/>
  <c r="BE434" i="1" s="1"/>
  <c r="AR1043" i="1"/>
  <c r="BE1043" i="1" s="1"/>
  <c r="AR884" i="1"/>
  <c r="BE884" i="1" s="1"/>
  <c r="AR1509" i="1"/>
  <c r="BE1509" i="1" s="1"/>
  <c r="AR1623" i="1"/>
  <c r="BE1623" i="1" s="1"/>
  <c r="AR1666" i="1"/>
  <c r="BE1666" i="1" s="1"/>
  <c r="AR528" i="1"/>
  <c r="BE528" i="1" s="1"/>
  <c r="AR40" i="1"/>
  <c r="BE40" i="1" s="1"/>
  <c r="AR247" i="1"/>
  <c r="BE247" i="1" s="1"/>
  <c r="AR393" i="1"/>
  <c r="BE393" i="1" s="1"/>
  <c r="AR1889" i="1"/>
  <c r="BE1889" i="1" s="1"/>
  <c r="AR322" i="1"/>
  <c r="BE322" i="1" s="1"/>
  <c r="AR425" i="1"/>
  <c r="BE425" i="1" s="1"/>
  <c r="AR729" i="1"/>
  <c r="BE729" i="1" s="1"/>
  <c r="AR728" i="1"/>
  <c r="BE728" i="1" s="1"/>
  <c r="AR650" i="1"/>
  <c r="BE650" i="1" s="1"/>
  <c r="AR1915" i="1"/>
  <c r="BE1915" i="1" s="1"/>
  <c r="AR1759" i="1"/>
  <c r="BE1759" i="1" s="1"/>
  <c r="AR490" i="1"/>
  <c r="BE490" i="1" s="1"/>
  <c r="AR1571" i="1"/>
  <c r="BE1571" i="1" s="1"/>
  <c r="AR977" i="1"/>
  <c r="BE977" i="1" s="1"/>
  <c r="AR1014" i="1"/>
  <c r="BE1014" i="1" s="1"/>
  <c r="AR1642" i="1"/>
  <c r="BE1642" i="1" s="1"/>
  <c r="AR1841" i="1"/>
  <c r="BE1841" i="1" s="1"/>
  <c r="AR258" i="1"/>
  <c r="BE258" i="1" s="1"/>
  <c r="AR1819" i="1"/>
  <c r="BE1819" i="1" s="1"/>
  <c r="AR1872" i="1"/>
  <c r="BE1872" i="1" s="1"/>
  <c r="AR268" i="1"/>
  <c r="BE268" i="1" s="1"/>
  <c r="AR1587" i="1"/>
  <c r="BE1587" i="1" s="1"/>
  <c r="AR354" i="1"/>
  <c r="BE354" i="1" s="1"/>
  <c r="AR417" i="1"/>
  <c r="BE417" i="1" s="1"/>
  <c r="AR339" i="1"/>
  <c r="BE339" i="1" s="1"/>
  <c r="AR1554" i="1"/>
  <c r="BE1554" i="1" s="1"/>
  <c r="AR713" i="1"/>
  <c r="BE713" i="1" s="1"/>
  <c r="AR867" i="1"/>
  <c r="BE867" i="1" s="1"/>
  <c r="AR181" i="1"/>
  <c r="BE181" i="1" s="1"/>
  <c r="AR284" i="1"/>
  <c r="BE284" i="1" s="1"/>
  <c r="AR468" i="1"/>
  <c r="BE468" i="1" s="1"/>
  <c r="AR250" i="1"/>
  <c r="BE250" i="1" s="1"/>
  <c r="AR1740" i="1"/>
  <c r="BE1740" i="1" s="1"/>
  <c r="AR1215" i="1"/>
  <c r="BE1215" i="1" s="1"/>
  <c r="AR7" i="1"/>
  <c r="BE7" i="1" s="1"/>
  <c r="AR560" i="1"/>
  <c r="BE560" i="1" s="1"/>
  <c r="AR318" i="1"/>
  <c r="BE318" i="1" s="1"/>
  <c r="AR1234" i="1"/>
  <c r="BE1234" i="1" s="1"/>
  <c r="AR1436" i="1"/>
  <c r="BE1436" i="1" s="1"/>
  <c r="AR1125" i="1"/>
  <c r="BE1125" i="1" s="1"/>
  <c r="AR291" i="1"/>
  <c r="BE291" i="1" s="1"/>
  <c r="AR665" i="1"/>
  <c r="BE665" i="1" s="1"/>
  <c r="AR449" i="1"/>
  <c r="BE449" i="1" s="1"/>
  <c r="AR320" i="1"/>
  <c r="BE320" i="1" s="1"/>
  <c r="AR61" i="1"/>
  <c r="BE61" i="1" s="1"/>
  <c r="AR933" i="1"/>
  <c r="BE933" i="1" s="1"/>
  <c r="AR1404" i="1"/>
  <c r="BE1404" i="1" s="1"/>
  <c r="AR1358" i="1"/>
  <c r="BE1358" i="1" s="1"/>
  <c r="AR2018" i="1"/>
  <c r="BE2018" i="1" s="1"/>
  <c r="AR1201" i="1"/>
  <c r="BE1201" i="1" s="1"/>
  <c r="AR1471" i="1"/>
  <c r="BE1471" i="1" s="1"/>
  <c r="AR1486" i="1"/>
  <c r="BE1486" i="1" s="1"/>
  <c r="AR1662" i="1"/>
  <c r="BE1662" i="1" s="1"/>
  <c r="AR1838" i="1"/>
  <c r="BE1838" i="1" s="1"/>
  <c r="AR21" i="1"/>
  <c r="BE21" i="1" s="1"/>
  <c r="AR848" i="1"/>
  <c r="BE848" i="1" s="1"/>
  <c r="AR983" i="1"/>
  <c r="BE983" i="1" s="1"/>
  <c r="AR850" i="1"/>
  <c r="BE850" i="1" s="1"/>
  <c r="AR595" i="1"/>
  <c r="BE595" i="1" s="1"/>
  <c r="AR1860" i="1"/>
  <c r="BE1860" i="1" s="1"/>
  <c r="AR888" i="1"/>
  <c r="BE888" i="1" s="1"/>
  <c r="AR294" i="1"/>
  <c r="BE294" i="1" s="1"/>
  <c r="AR1415" i="1"/>
  <c r="BE1415" i="1" s="1"/>
  <c r="AR41" i="1"/>
  <c r="BE41" i="1" s="1"/>
  <c r="AR180" i="1"/>
  <c r="BE180" i="1" s="1"/>
  <c r="AR1997" i="1"/>
  <c r="BE1997" i="1" s="1"/>
  <c r="AR11" i="1"/>
  <c r="BE11" i="1" s="1"/>
  <c r="AR171" i="1"/>
  <c r="BE171" i="1" s="1"/>
  <c r="AR881" i="1"/>
  <c r="BE881" i="1" s="1"/>
  <c r="AR1654" i="1"/>
  <c r="BE1654" i="1" s="1"/>
  <c r="AR577" i="1"/>
  <c r="BE577" i="1" s="1"/>
  <c r="AR1874" i="1"/>
  <c r="BE1874" i="1" s="1"/>
  <c r="AR1784" i="1"/>
  <c r="BE1784" i="1" s="1"/>
  <c r="AR1901" i="1"/>
  <c r="BE1901" i="1" s="1"/>
  <c r="AR1160" i="1"/>
  <c r="BE1160" i="1" s="1"/>
  <c r="AR1714" i="1"/>
  <c r="BE1714" i="1" s="1"/>
  <c r="AR685" i="1"/>
  <c r="BE685" i="1" s="1"/>
  <c r="AR1365" i="1"/>
  <c r="BE1365" i="1" s="1"/>
  <c r="AR586" i="1"/>
  <c r="BE586" i="1" s="1"/>
  <c r="AR648" i="1"/>
  <c r="BE648" i="1" s="1"/>
  <c r="AR319" i="1"/>
  <c r="BE319" i="1" s="1"/>
  <c r="AR1386" i="1"/>
  <c r="BE1386" i="1" s="1"/>
  <c r="AR10" i="1"/>
  <c r="BE10" i="1" s="1"/>
  <c r="AR1090" i="1"/>
  <c r="BE1090" i="1" s="1"/>
  <c r="AR375" i="1"/>
  <c r="BE375" i="1" s="1"/>
  <c r="AR1023" i="1"/>
  <c r="BE1023" i="1" s="1"/>
  <c r="AR1791" i="1"/>
  <c r="BE1791" i="1" s="1"/>
  <c r="AR1935" i="1"/>
  <c r="BE1935" i="1" s="1"/>
  <c r="AR1733" i="1"/>
  <c r="BE1733" i="1" s="1"/>
  <c r="AR1760" i="1"/>
  <c r="BE1760" i="1" s="1"/>
  <c r="AR1240" i="1"/>
  <c r="BE1240" i="1" s="1"/>
  <c r="AR1165" i="1"/>
  <c r="BE1165" i="1" s="1"/>
  <c r="AR471" i="1"/>
  <c r="BE471" i="1" s="1"/>
  <c r="AR535" i="1"/>
  <c r="BE535" i="1" s="1"/>
  <c r="AR1635" i="1"/>
  <c r="BE1635" i="1" s="1"/>
  <c r="AR1552" i="1"/>
  <c r="BE1552" i="1" s="1"/>
  <c r="AR1138" i="1"/>
  <c r="BE1138" i="1" s="1"/>
  <c r="AR2007" i="1"/>
  <c r="BE2007" i="1" s="1"/>
  <c r="AR617" i="1"/>
  <c r="BE617" i="1" s="1"/>
  <c r="AR624" i="1"/>
  <c r="BE624" i="1" s="1"/>
  <c r="AR1959" i="1"/>
  <c r="BE1959" i="1" s="1"/>
  <c r="AR902" i="1"/>
  <c r="BE902" i="1" s="1"/>
  <c r="AR1356" i="1"/>
  <c r="BE1356" i="1" s="1"/>
  <c r="AR813" i="1"/>
  <c r="BE813" i="1" s="1"/>
  <c r="AR463" i="1"/>
  <c r="BE463" i="1" s="1"/>
  <c r="AR816" i="1"/>
  <c r="BE816" i="1" s="1"/>
  <c r="AR1412" i="1"/>
  <c r="BE1412" i="1" s="1"/>
  <c r="AR448" i="1"/>
  <c r="BE448" i="1" s="1"/>
  <c r="AR627" i="1"/>
  <c r="BE627" i="1" s="1"/>
  <c r="AR355" i="1"/>
  <c r="BE355" i="1" s="1"/>
  <c r="AR1742" i="1"/>
  <c r="BE1742" i="1" s="1"/>
  <c r="AR1211" i="1"/>
  <c r="BE1211" i="1" s="1"/>
  <c r="AR1501" i="1"/>
  <c r="BE1501" i="1" s="1"/>
  <c r="AR1306" i="1"/>
  <c r="BE1306" i="1" s="1"/>
  <c r="AR1024" i="1"/>
  <c r="BE1024" i="1" s="1"/>
  <c r="AR396" i="1"/>
  <c r="BE396" i="1" s="1"/>
  <c r="AR454" i="1"/>
  <c r="BE454" i="1" s="1"/>
  <c r="AR184" i="1"/>
  <c r="BE184" i="1" s="1"/>
  <c r="AR1709" i="1"/>
  <c r="BE1709" i="1" s="1"/>
  <c r="AR909" i="1"/>
  <c r="BE909" i="1" s="1"/>
  <c r="AR472" i="1"/>
  <c r="BE472" i="1" s="1"/>
  <c r="AR1569" i="1"/>
  <c r="BE1569" i="1" s="1"/>
  <c r="AR1155" i="1"/>
  <c r="BE1155" i="1" s="1"/>
  <c r="AR1502" i="1"/>
  <c r="BE1502" i="1" s="1"/>
  <c r="AR525" i="1"/>
  <c r="BE525" i="1" s="1"/>
  <c r="AR857" i="1"/>
  <c r="BE857" i="1" s="1"/>
  <c r="AR1296" i="1"/>
  <c r="BE1296" i="1" s="1"/>
  <c r="AR651" i="1"/>
  <c r="BE651" i="1" s="1"/>
  <c r="AR954" i="1"/>
  <c r="BE954" i="1" s="1"/>
  <c r="AR462" i="1"/>
  <c r="BE462" i="1" s="1"/>
  <c r="AR1648" i="1"/>
  <c r="BE1648" i="1" s="1"/>
  <c r="AR1583" i="1"/>
  <c r="BE1583" i="1" s="1"/>
  <c r="AR1008" i="1"/>
  <c r="BE1008" i="1" s="1"/>
  <c r="AR541" i="1"/>
  <c r="BE541" i="1" s="1"/>
  <c r="AR321" i="1"/>
  <c r="BE321" i="1" s="1"/>
  <c r="AR664" i="1"/>
  <c r="BE664" i="1" s="1"/>
  <c r="AR1777" i="1"/>
  <c r="BE1777" i="1" s="1"/>
  <c r="AR1572" i="1"/>
  <c r="BE1572" i="1" s="1"/>
  <c r="AR1785" i="1"/>
  <c r="BE1785" i="1" s="1"/>
  <c r="AR1059" i="1"/>
  <c r="BE1059" i="1" s="1"/>
  <c r="AR47" i="1"/>
  <c r="BE47" i="1" s="1"/>
  <c r="AR407" i="1"/>
  <c r="BE407" i="1" s="1"/>
  <c r="AR1695" i="1"/>
  <c r="BE1695" i="1" s="1"/>
  <c r="AR1612" i="1"/>
  <c r="BE1612" i="1" s="1"/>
  <c r="AR978" i="1"/>
  <c r="BE978" i="1" s="1"/>
  <c r="AR1526" i="1"/>
  <c r="BE1526" i="1" s="1"/>
  <c r="AR520" i="1"/>
  <c r="BE520" i="1" s="1"/>
  <c r="AR129" i="1"/>
  <c r="BE129" i="1" s="1"/>
  <c r="AR1167" i="1"/>
  <c r="BE1167" i="1" s="1"/>
  <c r="AR149" i="1"/>
  <c r="BE149" i="1" s="1"/>
  <c r="AR1000" i="1"/>
  <c r="BE1000" i="1" s="1"/>
  <c r="AR366" i="1"/>
  <c r="BE366" i="1" s="1"/>
  <c r="AR453" i="1"/>
  <c r="BE453" i="1" s="1"/>
  <c r="AR976" i="1"/>
  <c r="BE976" i="1" s="1"/>
  <c r="AR1983" i="1"/>
  <c r="BE1983" i="1" s="1"/>
  <c r="AR418" i="1"/>
  <c r="BE418" i="1" s="1"/>
  <c r="AR1775" i="1"/>
  <c r="BE1775" i="1" s="1"/>
  <c r="AR504" i="1"/>
  <c r="BE504" i="1" s="1"/>
  <c r="AR1198" i="1"/>
  <c r="BE1198" i="1" s="1"/>
  <c r="AR127" i="1"/>
  <c r="BE127" i="1" s="1"/>
  <c r="AR885" i="1"/>
  <c r="BE885" i="1" s="1"/>
  <c r="AR792" i="1"/>
  <c r="BE792" i="1" s="1"/>
  <c r="AR1647" i="1"/>
  <c r="BE1647" i="1" s="1"/>
  <c r="AR1294" i="1"/>
  <c r="BE1294" i="1" s="1"/>
  <c r="AR1263" i="1"/>
  <c r="BE1263" i="1" s="1"/>
  <c r="AR612" i="1"/>
  <c r="BE612" i="1" s="1"/>
  <c r="AR1771" i="1"/>
  <c r="BE1771" i="1" s="1"/>
  <c r="AR580" i="1"/>
  <c r="BE580" i="1" s="1"/>
  <c r="AR307" i="1"/>
  <c r="BE307" i="1" s="1"/>
  <c r="AR1835" i="1"/>
  <c r="BE1835" i="1" s="1"/>
  <c r="AR1472" i="1"/>
  <c r="BE1472" i="1" s="1"/>
  <c r="AR1840" i="1"/>
  <c r="BE1840" i="1" s="1"/>
  <c r="AR1260" i="1"/>
  <c r="BE1260" i="1" s="1"/>
  <c r="AR1033" i="1"/>
  <c r="BE1033" i="1" s="1"/>
  <c r="AR1109" i="1"/>
  <c r="BE1109" i="1" s="1"/>
  <c r="AR88" i="1"/>
  <c r="BE88" i="1" s="1"/>
  <c r="AR403" i="1"/>
  <c r="BE403" i="1" s="1"/>
  <c r="AR1619" i="1"/>
  <c r="BE1619" i="1" s="1"/>
  <c r="AR285" i="1"/>
  <c r="BE285" i="1" s="1"/>
  <c r="AR1975" i="1"/>
  <c r="BE1975" i="1" s="1"/>
  <c r="AR415" i="1"/>
  <c r="BE415" i="1" s="1"/>
  <c r="AR841" i="1"/>
  <c r="BE841" i="1" s="1"/>
  <c r="AR1391" i="1"/>
  <c r="BE1391" i="1" s="1"/>
  <c r="AR756" i="1"/>
  <c r="BE756" i="1" s="1"/>
  <c r="AR1766" i="1"/>
  <c r="BE1766" i="1" s="1"/>
  <c r="AR1944" i="1"/>
  <c r="BE1944" i="1" s="1"/>
  <c r="AR1555" i="1"/>
  <c r="BE1555" i="1" s="1"/>
  <c r="AR1516" i="1"/>
  <c r="BE1516" i="1" s="1"/>
  <c r="AR1523" i="1"/>
  <c r="BE1523" i="1" s="1"/>
  <c r="AR641" i="1"/>
  <c r="BE641" i="1" s="1"/>
  <c r="AR207" i="1"/>
  <c r="BE207" i="1" s="1"/>
  <c r="AR1745" i="1"/>
  <c r="BE1745" i="1" s="1"/>
  <c r="AR1397" i="1"/>
  <c r="BE1397" i="1" s="1"/>
  <c r="AR683" i="1"/>
  <c r="BE683" i="1" s="1"/>
  <c r="AR1340" i="1"/>
  <c r="BE1340" i="1" s="1"/>
  <c r="AR1127" i="1"/>
  <c r="BE1127" i="1" s="1"/>
  <c r="AR347" i="1"/>
  <c r="BE347" i="1" s="1"/>
  <c r="AR1967" i="1"/>
  <c r="BE1967" i="1" s="1"/>
  <c r="AR1641" i="1"/>
  <c r="BE1641" i="1" s="1"/>
  <c r="AR1362" i="1"/>
  <c r="BE1362" i="1" s="1"/>
  <c r="AR1603" i="1"/>
  <c r="BE1603" i="1" s="1"/>
  <c r="AR878" i="1"/>
  <c r="BE878" i="1" s="1"/>
  <c r="AR810" i="1"/>
  <c r="BE810" i="1" s="1"/>
  <c r="AR785" i="1"/>
  <c r="BE785" i="1" s="1"/>
  <c r="AR678" i="1"/>
  <c r="BE678" i="1" s="1"/>
  <c r="AR1204" i="1"/>
  <c r="BE1204" i="1" s="1"/>
  <c r="AR279" i="1"/>
  <c r="BE279" i="1" s="1"/>
  <c r="AR1974" i="1"/>
  <c r="BE1974" i="1" s="1"/>
  <c r="AR1686" i="1"/>
  <c r="BE1686" i="1" s="1"/>
  <c r="AR20" i="1"/>
  <c r="BE20" i="1" s="1"/>
  <c r="AR33" i="1"/>
  <c r="BE33" i="1" s="1"/>
  <c r="AR1311" i="1"/>
  <c r="BE1311" i="1" s="1"/>
  <c r="AR572" i="1"/>
  <c r="BE572" i="1" s="1"/>
  <c r="AR395" i="1"/>
  <c r="BE395" i="1" s="1"/>
  <c r="AR748" i="1"/>
  <c r="BE748" i="1" s="1"/>
  <c r="AR549" i="1"/>
  <c r="BE549" i="1" s="1"/>
  <c r="AR681" i="1"/>
  <c r="BE681" i="1" s="1"/>
  <c r="AR173" i="1"/>
  <c r="BE173" i="1" s="1"/>
  <c r="AR134" i="1"/>
  <c r="BE134" i="1" s="1"/>
  <c r="AR1118" i="1"/>
  <c r="BE1118" i="1" s="1"/>
  <c r="AR999" i="1"/>
  <c r="BE999" i="1" s="1"/>
  <c r="AR1825" i="1"/>
  <c r="BE1825" i="1" s="1"/>
  <c r="AR1258" i="1"/>
  <c r="BE1258" i="1" s="1"/>
  <c r="AR1803" i="1"/>
  <c r="BE1803" i="1" s="1"/>
  <c r="AR1028" i="1"/>
  <c r="BE1028" i="1" s="1"/>
  <c r="AR608" i="1"/>
  <c r="BE608" i="1" s="1"/>
  <c r="AR455" i="1"/>
  <c r="BE455" i="1" s="1"/>
  <c r="AR107" i="1"/>
  <c r="BE107" i="1" s="1"/>
  <c r="AR416" i="1"/>
  <c r="BE416" i="1" s="1"/>
  <c r="AR1848" i="1"/>
  <c r="BE1848" i="1" s="1"/>
  <c r="AR35" i="1"/>
  <c r="BE35" i="1" s="1"/>
  <c r="AR1375" i="1"/>
  <c r="BE1375" i="1" s="1"/>
  <c r="AR1421" i="1"/>
  <c r="BE1421" i="1" s="1"/>
  <c r="AR133" i="1"/>
  <c r="BE133" i="1" s="1"/>
  <c r="AR508" i="1"/>
  <c r="BE508" i="1" s="1"/>
  <c r="AR2014" i="1"/>
  <c r="BE2014" i="1" s="1"/>
  <c r="AR849" i="1"/>
  <c r="BE849" i="1" s="1"/>
  <c r="AR917" i="1"/>
  <c r="BE917" i="1" s="1"/>
  <c r="AR1108" i="1"/>
  <c r="BE1108" i="1" s="1"/>
  <c r="AR1489" i="1"/>
  <c r="BE1489" i="1" s="1"/>
  <c r="AR1962" i="1"/>
  <c r="BE1962" i="1" s="1"/>
  <c r="AR859" i="1"/>
  <c r="BE859" i="1" s="1"/>
  <c r="AR483" i="1"/>
  <c r="BE483" i="1" s="1"/>
  <c r="AR1565" i="1"/>
  <c r="BE1565" i="1" s="1"/>
  <c r="AR734" i="1"/>
  <c r="BE734" i="1" s="1"/>
  <c r="AR1724" i="1"/>
  <c r="BE1724" i="1" s="1"/>
  <c r="AR1991" i="1"/>
  <c r="BE1991" i="1" s="1"/>
  <c r="AR1254" i="1"/>
  <c r="BE1254" i="1" s="1"/>
  <c r="AR1393" i="1"/>
  <c r="BE1393" i="1" s="1"/>
  <c r="AR43" i="1"/>
  <c r="BE43" i="1" s="1"/>
  <c r="AR1537" i="1"/>
  <c r="BE1537" i="1" s="1"/>
  <c r="AR106" i="1"/>
  <c r="BE106" i="1" s="1"/>
  <c r="AR2016" i="1"/>
  <c r="BE2016" i="1" s="1"/>
  <c r="AR1574" i="1"/>
  <c r="BE1574" i="1" s="1"/>
  <c r="AR1353" i="1"/>
  <c r="BE1353" i="1" s="1"/>
  <c r="AR821" i="1"/>
  <c r="BE821" i="1" s="1"/>
  <c r="AR2008" i="1"/>
  <c r="BE2008" i="1" s="1"/>
  <c r="AR1653" i="1"/>
  <c r="BE1653" i="1" s="1"/>
  <c r="AR858" i="1"/>
  <c r="BE858" i="1" s="1"/>
  <c r="AR668" i="1"/>
  <c r="BE668" i="1" s="1"/>
  <c r="AR877" i="1"/>
  <c r="BE877" i="1" s="1"/>
  <c r="AR1867" i="1"/>
  <c r="BE1867" i="1" s="1"/>
  <c r="AR1998" i="1"/>
  <c r="BE1998" i="1" s="1"/>
  <c r="AR815" i="1"/>
  <c r="BE815" i="1" s="1"/>
  <c r="AR1328" i="1"/>
  <c r="BE1328" i="1" s="1"/>
  <c r="AR768" i="1"/>
  <c r="BE768" i="1" s="1"/>
  <c r="AR512" i="1"/>
  <c r="BE512" i="1" s="1"/>
  <c r="AR583" i="1"/>
  <c r="BE583" i="1" s="1"/>
  <c r="AR1046" i="1"/>
  <c r="BE1046" i="1" s="1"/>
  <c r="AW527" i="1"/>
  <c r="AW1239" i="1"/>
  <c r="AW313" i="1"/>
  <c r="AW1789" i="1"/>
  <c r="AW809" i="1"/>
  <c r="AW730" i="1"/>
  <c r="AW920" i="1"/>
  <c r="AW1593" i="1"/>
  <c r="AW1722" i="1"/>
  <c r="AW2019" i="1"/>
  <c r="AW1912" i="1"/>
  <c r="AW457" i="1"/>
  <c r="AW855" i="1"/>
  <c r="AW1646" i="1"/>
  <c r="AW147" i="1"/>
  <c r="AW1317" i="1"/>
  <c r="AW1079" i="1"/>
  <c r="AW477" i="1"/>
  <c r="AW1582" i="1"/>
  <c r="AW1016" i="1"/>
  <c r="AW2022" i="1"/>
  <c r="AW892" i="1"/>
  <c r="AW679" i="1"/>
  <c r="AW1442" i="1"/>
  <c r="AW1660" i="1"/>
  <c r="AW971" i="1"/>
  <c r="AW1407" i="1"/>
  <c r="AW84" i="1"/>
  <c r="AW1813" i="1"/>
  <c r="AW1021" i="1"/>
  <c r="AW1387" i="1"/>
  <c r="AW1236" i="1"/>
  <c r="AW384" i="1"/>
  <c r="AW1146" i="1"/>
  <c r="AW599" i="1"/>
  <c r="AW1873" i="1"/>
  <c r="AW1321" i="1"/>
  <c r="AW773" i="1"/>
  <c r="AW379" i="1"/>
  <c r="AW1919" i="1"/>
  <c r="AW1931" i="1"/>
  <c r="AW2012" i="1"/>
  <c r="AW152" i="1"/>
  <c r="AW1877" i="1"/>
  <c r="AW1350" i="1"/>
  <c r="AW529" i="1"/>
  <c r="AW673" i="1"/>
  <c r="AW190" i="1"/>
  <c r="AW1532" i="1"/>
  <c r="AW95" i="1"/>
  <c r="AW603" i="1"/>
  <c r="AW135" i="1"/>
  <c r="AW342" i="1"/>
  <c r="AW1750" i="1"/>
  <c r="AW919" i="1"/>
  <c r="AW214" i="1"/>
  <c r="AW602" i="1"/>
  <c r="AW790" i="1"/>
  <c r="AW621" i="1"/>
  <c r="AW359" i="1"/>
  <c r="AW1839" i="1"/>
  <c r="AW1677" i="1"/>
  <c r="AW255" i="1"/>
  <c r="AW581" i="1"/>
  <c r="AW479" i="1"/>
  <c r="AW397" i="1"/>
  <c r="AW676" i="1"/>
  <c r="AW761" i="1"/>
  <c r="AW1378" i="1"/>
  <c r="AW1380" i="1"/>
  <c r="AW240" i="1"/>
  <c r="AW223" i="1"/>
  <c r="AW1368" i="1"/>
  <c r="AW557" i="1"/>
  <c r="AW1711" i="1"/>
  <c r="AW1830" i="1"/>
  <c r="AW1881" i="1"/>
  <c r="AW102" i="1"/>
  <c r="AW1776" i="1"/>
  <c r="AW1543" i="1"/>
  <c r="AW1105" i="1"/>
  <c r="AW165" i="1"/>
  <c r="AW970" i="1"/>
  <c r="AW1326" i="1"/>
  <c r="AW1884" i="1"/>
  <c r="AW1705" i="1"/>
  <c r="AW1163" i="1"/>
  <c r="AW1031" i="1"/>
  <c r="AW216" i="1"/>
  <c r="AW647" i="1"/>
  <c r="AW1166" i="1"/>
  <c r="AW1636" i="1"/>
  <c r="AW296" i="1"/>
  <c r="AW428" i="1"/>
  <c r="AW63" i="1"/>
  <c r="AW1847" i="1"/>
  <c r="AW1123" i="1"/>
  <c r="AW1017" i="1"/>
  <c r="AW1435" i="1"/>
  <c r="AW52" i="1"/>
  <c r="AW424" i="1"/>
  <c r="AW341" i="1"/>
  <c r="AW897" i="1"/>
  <c r="AW54" i="1"/>
  <c r="AW1241" i="1"/>
  <c r="AW1070" i="1"/>
  <c r="AW36" i="1"/>
  <c r="AW1499" i="1"/>
  <c r="AW1729" i="1"/>
  <c r="AW1922" i="1"/>
  <c r="AW951" i="1"/>
  <c r="AW1675" i="1"/>
  <c r="AW1930" i="1"/>
  <c r="AW1699" i="1"/>
  <c r="AW4" i="1"/>
  <c r="AW317" i="1"/>
  <c r="AW140" i="1"/>
  <c r="AW1005" i="1"/>
  <c r="AW459" i="1"/>
  <c r="AW749" i="1"/>
  <c r="AW788" i="1"/>
  <c r="AW274" i="1"/>
  <c r="AW1372" i="1"/>
  <c r="AW444" i="1"/>
  <c r="AW2003" i="1"/>
  <c r="AW1655" i="1"/>
  <c r="AW1545" i="1"/>
  <c r="AW1528" i="1"/>
  <c r="AW13" i="1"/>
  <c r="AW638" i="1"/>
  <c r="AW70" i="1"/>
  <c r="AW573" i="1"/>
  <c r="AW1288" i="1"/>
  <c r="AW786" i="1"/>
  <c r="AW1871" i="1"/>
  <c r="AW1426" i="1"/>
  <c r="AW1551" i="1"/>
  <c r="AW693" i="1"/>
  <c r="AW851" i="1"/>
  <c r="AW637" i="1"/>
  <c r="AW1184" i="1"/>
  <c r="AW1561" i="1"/>
  <c r="AW805" i="1"/>
  <c r="AW373" i="1"/>
  <c r="AW1111" i="1"/>
  <c r="AW770" i="1"/>
  <c r="AW913" i="1"/>
  <c r="AW185" i="1"/>
  <c r="AW1756" i="1"/>
  <c r="AW368" i="1"/>
  <c r="AW1870" i="1"/>
  <c r="AW259" i="1"/>
  <c r="AW1301" i="1"/>
  <c r="AW475" i="1"/>
  <c r="AW645" i="1"/>
  <c r="AW362" i="1"/>
  <c r="AW1859" i="1"/>
  <c r="AW1649" i="1"/>
  <c r="AW1746" i="1"/>
  <c r="AW1063" i="1"/>
  <c r="AW1011" i="1"/>
  <c r="AW1037" i="1"/>
  <c r="AW380" i="1"/>
  <c r="AW118" i="1"/>
  <c r="AW1447" i="1"/>
  <c r="AW1498" i="1"/>
  <c r="AW1022" i="1"/>
  <c r="AW1964" i="1"/>
  <c r="AW405" i="1"/>
  <c r="AW1694" i="1"/>
  <c r="AW1348" i="1"/>
  <c r="AW1824" i="1"/>
  <c r="AW1674" i="1"/>
  <c r="AW769" i="1"/>
  <c r="AW261" i="1"/>
  <c r="AW1233" i="1"/>
  <c r="AW1844" i="1"/>
  <c r="AW360" i="1"/>
  <c r="AW1392" i="1"/>
  <c r="AW1047" i="1"/>
  <c r="AW1684" i="1"/>
  <c r="AW327" i="1"/>
  <c r="AW189" i="1"/>
  <c r="AW71" i="1"/>
  <c r="AW1159" i="1"/>
  <c r="AW592" i="1"/>
  <c r="AW232" i="1"/>
  <c r="AW669" i="1"/>
  <c r="AW6" i="1"/>
  <c r="AW1405" i="1"/>
  <c r="AW1607" i="1"/>
  <c r="AW1708" i="1"/>
  <c r="AW1136" i="1"/>
  <c r="AW1261" i="1"/>
  <c r="AW702" i="1"/>
  <c r="AW1242" i="1"/>
  <c r="AW220" i="1"/>
  <c r="AW1265" i="1"/>
  <c r="AW1189" i="1"/>
  <c r="AW295" i="1"/>
  <c r="AW1338" i="1"/>
  <c r="AW1003" i="1"/>
  <c r="AW120" i="1"/>
  <c r="AW1302" i="1"/>
  <c r="AW545" i="1"/>
  <c r="AW1169" i="1"/>
  <c r="AW292" i="1"/>
  <c r="AW433" i="1"/>
  <c r="AW1697" i="1"/>
  <c r="AW699" i="1"/>
  <c r="AW1319" i="1"/>
  <c r="AW1034" i="1"/>
  <c r="AW1074" i="1"/>
  <c r="AW159" i="1"/>
  <c r="AW1563" i="1"/>
  <c r="AW1520" i="1"/>
  <c r="AW376" i="1"/>
  <c r="AW1454" i="1"/>
  <c r="AW1796" i="1"/>
  <c r="AW727" i="1"/>
  <c r="AW1907" i="1"/>
  <c r="AW1863" i="1"/>
  <c r="AW412" i="1"/>
  <c r="AW2013" i="1"/>
  <c r="AW275" i="1"/>
  <c r="AW680" i="1"/>
  <c r="AW1903" i="1"/>
  <c r="AW239" i="1"/>
  <c r="AW795" i="1"/>
  <c r="AW1710" i="1"/>
  <c r="AW390" i="1"/>
  <c r="AW500" i="1"/>
  <c r="AW352" i="1"/>
  <c r="AW655" i="1"/>
  <c r="AW1698" i="1"/>
  <c r="AW1704" i="1"/>
  <c r="AW5" i="1"/>
  <c r="AW1420" i="1"/>
  <c r="AW469" i="1"/>
  <c r="AW1706" i="1"/>
  <c r="AW718" i="1"/>
  <c r="AW1227" i="1"/>
  <c r="AW1960" i="1"/>
  <c r="AW1423" i="1"/>
  <c r="AW1982" i="1"/>
  <c r="AW561" i="1"/>
  <c r="AW1267" i="1"/>
  <c r="AW1458" i="1"/>
  <c r="AW1333" i="1"/>
  <c r="AW1478" i="1"/>
  <c r="AW177" i="1"/>
  <c r="AW1470" i="1"/>
  <c r="AW280" i="1"/>
  <c r="AW1917" i="1"/>
  <c r="AW371" i="1"/>
  <c r="AW1652" i="1"/>
  <c r="AW725" i="1"/>
  <c r="AW1779" i="1"/>
  <c r="AW1657" i="1"/>
  <c r="AW635" i="1"/>
  <c r="AW499" i="1"/>
  <c r="AW187" i="1"/>
  <c r="AW309" i="1"/>
  <c r="AW686" i="1"/>
  <c r="AW1845" i="1"/>
  <c r="AW620" i="1"/>
  <c r="AW1244" i="1"/>
  <c r="AW1715" i="1"/>
  <c r="AW269" i="1"/>
  <c r="AW1092" i="1"/>
  <c r="AW174" i="1"/>
  <c r="AW1145" i="1"/>
  <c r="AW1141" i="1"/>
  <c r="AW1464" i="1"/>
  <c r="AW92" i="1"/>
  <c r="AW1977" i="1"/>
  <c r="AW1762" i="1"/>
  <c r="AW957" i="1"/>
  <c r="AW1510" i="1"/>
  <c r="AW1278" i="1"/>
  <c r="AW343" i="1"/>
  <c r="AW868" i="1"/>
  <c r="AW1613" i="1"/>
  <c r="AW861" i="1"/>
  <c r="AW1162" i="1"/>
  <c r="AW1354" i="1"/>
  <c r="AW1852" i="1"/>
  <c r="AW158" i="1"/>
  <c r="AW1379" i="1"/>
  <c r="AW241" i="1"/>
  <c r="AW689" i="1"/>
  <c r="AW819" i="1"/>
  <c r="AW1996" i="1"/>
  <c r="AW1911" i="1"/>
  <c r="AW308" i="1"/>
  <c r="AW973" i="1"/>
  <c r="AW1795" i="1"/>
  <c r="AW1390" i="1"/>
  <c r="AW584" i="1"/>
  <c r="AW1765" i="1"/>
  <c r="AW660" i="1"/>
  <c r="AW1594" i="1"/>
  <c r="AW1178" i="1"/>
  <c r="AW691" i="1"/>
  <c r="AW1443" i="1"/>
  <c r="AW476" i="1"/>
  <c r="AW1988" i="1"/>
  <c r="AW1778" i="1"/>
  <c r="AW1010" i="1"/>
  <c r="AW1700" i="1"/>
  <c r="AW1851" i="1"/>
  <c r="AW1075" i="1"/>
  <c r="AW656" i="1"/>
  <c r="AW1577" i="1"/>
  <c r="AW1895" i="1"/>
  <c r="AW752" i="1"/>
  <c r="AW238" i="1"/>
  <c r="AW1718" i="1"/>
  <c r="AW111" i="1"/>
  <c r="AW333" i="1"/>
  <c r="AW880" i="1"/>
  <c r="AW940" i="1"/>
  <c r="AW865" i="1"/>
  <c r="AW1797" i="1"/>
  <c r="AW136" i="1"/>
  <c r="AW1277" i="1"/>
  <c r="AW79" i="1"/>
  <c r="AW1731" i="1"/>
  <c r="AW1627" i="1"/>
  <c r="AW555" i="1"/>
  <c r="AW502" i="1"/>
  <c r="AW346" i="1"/>
  <c r="AW289" i="1"/>
  <c r="AW780" i="1"/>
  <c r="AW1431" i="1"/>
  <c r="AW1098" i="1"/>
  <c r="AW364" i="1"/>
  <c r="AW445" i="1"/>
  <c r="AW1248" i="1"/>
  <c r="AW206" i="1"/>
  <c r="AW732" i="1"/>
  <c r="AW1764" i="1"/>
  <c r="AW1053" i="1"/>
  <c r="AW949" i="1"/>
  <c r="AW188" i="1"/>
  <c r="AW1678" i="1"/>
  <c r="AW310" i="1"/>
  <c r="AW997" i="1"/>
  <c r="AW1511" i="1"/>
  <c r="AW1121" i="1"/>
  <c r="AW1751" i="1"/>
  <c r="AW692" i="1"/>
  <c r="AW1451" i="1"/>
  <c r="AW1182" i="1"/>
  <c r="AW1518" i="1"/>
  <c r="AW1683" i="1"/>
  <c r="AW640" i="1"/>
  <c r="AW1721" i="1"/>
  <c r="AW1637" i="1"/>
  <c r="AW1925" i="1"/>
  <c r="AW1406" i="1"/>
  <c r="AW1505" i="1"/>
  <c r="AW2002" i="1"/>
  <c r="AW1282" i="1"/>
  <c r="AW721" i="1"/>
  <c r="AW1512" i="1"/>
  <c r="AW351" i="1"/>
  <c r="AW34" i="1"/>
  <c r="AW696" i="1"/>
  <c r="AW224" i="1"/>
  <c r="AW703" i="1"/>
  <c r="AW542" i="1"/>
  <c r="AW325" i="1"/>
  <c r="AW1275" i="1"/>
  <c r="AW1979" i="1"/>
  <c r="AW1855" i="1"/>
  <c r="AW1987" i="1"/>
  <c r="AW1739" i="1"/>
  <c r="AW254" i="1"/>
  <c r="AW1318" i="1"/>
  <c r="AW1279" i="1"/>
  <c r="AW960" i="1"/>
  <c r="AW1149" i="1"/>
  <c r="AW1800" i="1"/>
  <c r="AW623" i="1"/>
  <c r="AW1723" i="1"/>
  <c r="AW1078" i="1"/>
  <c r="AW1865" i="1"/>
  <c r="AW955" i="1"/>
  <c r="AW654" i="1"/>
  <c r="AW1128" i="1"/>
  <c r="AW487" i="1"/>
  <c r="AW272" i="1"/>
  <c r="AW1940" i="1"/>
  <c r="AW113" i="1"/>
  <c r="AW27" i="1"/>
  <c r="AW1094" i="1"/>
  <c r="AW1483" i="1"/>
  <c r="AW1946" i="1"/>
  <c r="AW100" i="1"/>
  <c r="AW37" i="1"/>
  <c r="AW1158" i="1"/>
  <c r="AW14" i="1"/>
  <c r="AW441" i="1"/>
  <c r="AW1999" i="1"/>
  <c r="AW758" i="1"/>
  <c r="AW85" i="1"/>
  <c r="AW1268" i="1"/>
  <c r="AW604" i="1"/>
  <c r="AW481" i="1"/>
  <c r="AW1741" i="1"/>
  <c r="AW1085" i="1"/>
  <c r="AW606" i="1"/>
  <c r="AW1091" i="1"/>
  <c r="AW1680" i="1"/>
  <c r="AW2006" i="1"/>
  <c r="AW1734" i="1"/>
  <c r="AW958" i="1"/>
  <c r="AW1738" i="1"/>
  <c r="AW1599" i="1"/>
  <c r="AW1525" i="1"/>
  <c r="AW1316" i="1"/>
  <c r="AW144" i="1"/>
  <c r="AW1868" i="1"/>
  <c r="AW959" i="1"/>
  <c r="AW898" i="1"/>
  <c r="AW894" i="1"/>
  <c r="AW1533" i="1"/>
  <c r="AW522" i="1"/>
  <c r="AW610" i="1"/>
  <c r="AW1438" i="1"/>
  <c r="AW45" i="1"/>
  <c r="AW1289" i="1"/>
  <c r="AW1119" i="1"/>
  <c r="AW369" i="1"/>
  <c r="AW793" i="1"/>
  <c r="AW365" i="1"/>
  <c r="AW1096" i="1"/>
  <c r="AW1632" i="1"/>
  <c r="AW385" i="1"/>
  <c r="AW267" i="1"/>
  <c r="AW1689" i="1"/>
  <c r="AW1027" i="1"/>
  <c r="AW1100" i="1"/>
  <c r="AW735" i="1"/>
  <c r="AW1462" i="1"/>
  <c r="AW847" i="1"/>
  <c r="AW1439" i="1"/>
  <c r="AW1916" i="1"/>
  <c r="AW754" i="1"/>
  <c r="AW1345" i="1"/>
  <c r="AW901" i="1"/>
  <c r="AW731" i="1"/>
  <c r="AW1346" i="1"/>
  <c r="AW1437" i="1"/>
  <c r="AW1475" i="1"/>
  <c r="AW1663" i="1"/>
  <c r="AW1287" i="1"/>
  <c r="AW114" i="1"/>
  <c r="AW196" i="1"/>
  <c r="AW639" i="1"/>
  <c r="AW783" i="1"/>
  <c r="AW1994" i="1"/>
  <c r="AW1371" i="1"/>
  <c r="AW426" i="1"/>
  <c r="AW1168" i="1"/>
  <c r="AW256" i="1"/>
  <c r="AW853" i="1"/>
  <c r="AW594" i="1"/>
  <c r="AW827" i="1"/>
  <c r="AW907" i="1"/>
  <c r="AW409" i="1"/>
  <c r="AW619" i="1"/>
  <c r="AW442" i="1"/>
  <c r="AW1849" i="1"/>
  <c r="AW1151" i="1"/>
  <c r="AW1401" i="1"/>
  <c r="AW634" i="1"/>
  <c r="AW613" i="1"/>
  <c r="AW614" i="1"/>
  <c r="AW101" i="1"/>
  <c r="AW1054" i="1"/>
  <c r="AW787" i="1"/>
  <c r="AW1384" i="1"/>
  <c r="AW765" i="1"/>
  <c r="AW1129" i="1"/>
  <c r="AW53" i="1"/>
  <c r="AW1342" i="1"/>
  <c r="AW122" i="1"/>
  <c r="AW1568" i="1"/>
  <c r="AW1790" i="1"/>
  <c r="AW331" i="1"/>
  <c r="AW202" i="1"/>
  <c r="AW1737" i="1"/>
  <c r="AW251" i="1"/>
  <c r="AW824" i="1"/>
  <c r="AW356" i="1"/>
  <c r="AW1806" i="1"/>
  <c r="AW1609" i="1"/>
  <c r="AW217" i="1"/>
  <c r="AW653" i="1"/>
  <c r="AW467" i="1"/>
  <c r="AW1132" i="1"/>
  <c r="AW1135" i="1"/>
  <c r="AW509" i="1"/>
  <c r="AW833" i="1"/>
  <c r="AW667" i="1"/>
  <c r="AW1747" i="1"/>
  <c r="AW1220" i="1"/>
  <c r="AW1252" i="1"/>
  <c r="AW218" i="1"/>
  <c r="AW921" i="1"/>
  <c r="AW1880" i="1"/>
  <c r="AW1834" i="1"/>
  <c r="AW1286" i="1"/>
  <c r="AW1271" i="1"/>
  <c r="AW72" i="1"/>
  <c r="AW950" i="1"/>
  <c r="AW1822" i="1"/>
  <c r="AW75" i="1"/>
  <c r="AW1116" i="1"/>
  <c r="AW1948" i="1"/>
  <c r="AW1799" i="1"/>
  <c r="AW1444" i="1"/>
  <c r="AW1894" i="1"/>
  <c r="AW778" i="1"/>
  <c r="AW1550" i="1"/>
  <c r="AW168" i="1"/>
  <c r="AW1344" i="1"/>
  <c r="AW923" i="1"/>
  <c r="AW137" i="1"/>
  <c r="AW1753" i="1"/>
  <c r="AW287" i="1"/>
  <c r="AW1624" i="1"/>
  <c r="AW109" i="1"/>
  <c r="AW523" i="1"/>
  <c r="AW722" i="1"/>
  <c r="AW1134" i="1"/>
  <c r="AW1066" i="1"/>
  <c r="AW628" i="1"/>
  <c r="AW1794" i="1"/>
  <c r="AW1126" i="1"/>
  <c r="AW1468" i="1"/>
  <c r="AW1231" i="1"/>
  <c r="AW1465" i="1"/>
  <c r="AW1433" i="1"/>
  <c r="AW670" i="1"/>
  <c r="AW1474" i="1"/>
  <c r="AW715" i="1"/>
  <c r="AW1055" i="1"/>
  <c r="AW1995" i="1"/>
  <c r="AW1161" i="1"/>
  <c r="AW989" i="1"/>
  <c r="AW1222" i="1"/>
  <c r="AW1150" i="1"/>
  <c r="AW1411" i="1"/>
  <c r="AW1385" i="1"/>
  <c r="AW1811" i="1"/>
  <c r="AW194" i="1"/>
  <c r="AW764" i="1"/>
  <c r="AW1013" i="1"/>
  <c r="AW1493" i="1"/>
  <c r="AW1374" i="1"/>
  <c r="AW23" i="1"/>
  <c r="AW345" i="1"/>
  <c r="AW1621" i="1"/>
  <c r="AW485" i="1"/>
  <c r="AW1963" i="1"/>
  <c r="AW1882" i="1"/>
  <c r="AW1337" i="1"/>
  <c r="AW1810" i="1"/>
  <c r="AW1682" i="1"/>
  <c r="AW1761" i="1"/>
  <c r="AW736" i="1"/>
  <c r="AW306" i="1"/>
  <c r="AW804" i="1"/>
  <c r="AW1103" i="1"/>
  <c r="AW1890" i="1"/>
  <c r="AW1862" i="1"/>
  <c r="AW1707" i="1"/>
  <c r="AW143" i="1"/>
  <c r="AW1373" i="1"/>
  <c r="AW887" i="1"/>
  <c r="AW1950" i="1"/>
  <c r="AW726" i="1"/>
  <c r="AW1202" i="1"/>
  <c r="AW1575" i="1"/>
  <c r="AW943" i="1"/>
  <c r="AW1748" i="1"/>
  <c r="AW984" i="1"/>
  <c r="AW1209" i="1"/>
  <c r="AW330" i="1"/>
  <c r="AW1482" i="1"/>
  <c r="AW312" i="1"/>
  <c r="AW1992" i="1"/>
  <c r="AW329" i="1"/>
  <c r="AW552" i="1"/>
  <c r="AW1586" i="1"/>
  <c r="AW1757" i="1"/>
  <c r="AW566" i="1"/>
  <c r="AW414" i="1"/>
  <c r="AW1224" i="1"/>
  <c r="AW83" i="1"/>
  <c r="AW1229" i="1"/>
  <c r="AW99" i="1"/>
  <c r="AW925" i="1"/>
  <c r="AW750" i="1"/>
  <c r="AW498" i="1"/>
  <c r="AW266" i="1"/>
  <c r="AW738" i="1"/>
  <c r="AW1230" i="1"/>
  <c r="AW235" i="1"/>
  <c r="AW1181" i="1"/>
  <c r="AW3" i="1"/>
  <c r="AW935" i="1"/>
  <c r="AW401" i="1"/>
  <c r="AW632" i="1"/>
  <c r="AW8" i="1"/>
  <c r="AW1732" i="1"/>
  <c r="AW587" i="1"/>
  <c r="AW1114" i="1"/>
  <c r="AW1137" i="1"/>
  <c r="AW799" i="1"/>
  <c r="AW532" i="1"/>
  <c r="AW1190" i="1"/>
  <c r="AW922" i="1"/>
  <c r="AW825" i="1"/>
  <c r="AW1369" i="1"/>
  <c r="AW1793" i="1"/>
  <c r="AW1687" i="1"/>
  <c r="AW1228" i="1"/>
  <c r="AW1908" i="1"/>
  <c r="AW1767" i="1"/>
  <c r="AW946" i="1"/>
  <c r="AW826" i="1"/>
  <c r="AW835" i="1"/>
  <c r="AW609" i="1"/>
  <c r="AW421" i="1"/>
  <c r="AW1805" i="1"/>
  <c r="AW386" i="1"/>
  <c r="AW315" i="1"/>
  <c r="AW1491" i="1"/>
  <c r="AW389" i="1"/>
  <c r="AW593" i="1"/>
  <c r="AW363" i="1"/>
  <c r="AW904" i="1"/>
  <c r="AW1485" i="1"/>
  <c r="AW398" i="1"/>
  <c r="AW605" i="1"/>
  <c r="AW60" i="1"/>
  <c r="AW175" i="1"/>
  <c r="AW348" i="1"/>
  <c r="AW1082" i="1"/>
  <c r="AW470" i="1"/>
  <c r="AW1360" i="1"/>
  <c r="AW1842" i="1"/>
  <c r="AW1218" i="1"/>
  <c r="AW759" i="1"/>
  <c r="AW1050" i="1"/>
  <c r="AW1866" i="1"/>
  <c r="AW806" i="1"/>
  <c r="AW205" i="1"/>
  <c r="AW402" i="1"/>
  <c r="AW513" i="1"/>
  <c r="AW521" i="1"/>
  <c r="AW28" i="1"/>
  <c r="AW1364" i="1"/>
  <c r="AW1567" i="1"/>
  <c r="AW1351" i="1"/>
  <c r="AW672" i="1"/>
  <c r="AW1815" i="1"/>
  <c r="AW945" i="1"/>
  <c r="AW1628" i="1"/>
  <c r="AW530" i="1"/>
  <c r="AW1049" i="1"/>
  <c r="AW212" i="1"/>
  <c r="AW62" i="1"/>
  <c r="AW1817" i="1"/>
  <c r="AW828" i="1"/>
  <c r="AW1269" i="1"/>
  <c r="AW486" i="1"/>
  <c r="AW519" i="1"/>
  <c r="AW1939" i="1"/>
  <c r="AW305" i="1"/>
  <c r="AW2011" i="1"/>
  <c r="AW182" i="1"/>
  <c r="AW236" i="1"/>
  <c r="AW899" i="1"/>
  <c r="AW31" i="1"/>
  <c r="AW1617" i="1"/>
  <c r="AW1029" i="1"/>
  <c r="AW1304" i="1"/>
  <c r="AW231" i="1"/>
  <c r="AW336" i="1"/>
  <c r="AW589" i="1"/>
  <c r="AW570" i="1"/>
  <c r="AW1952" i="1"/>
  <c r="AW709" i="1"/>
  <c r="AW717" i="1"/>
  <c r="AW1630" i="1"/>
  <c r="AW1164" i="1"/>
  <c r="AW1429" i="1"/>
  <c r="AW121" i="1"/>
  <c r="AW115" i="1"/>
  <c r="AW1971" i="1"/>
  <c r="AW273" i="1"/>
  <c r="AW1629" i="1"/>
  <c r="AW456" i="1"/>
  <c r="AW89" i="1"/>
  <c r="AW1064" i="1"/>
  <c r="AW141" i="1"/>
  <c r="AW226" i="1"/>
  <c r="AW408" i="1"/>
  <c r="AW723" i="1"/>
  <c r="AW846" i="1"/>
  <c r="AW1352" i="1"/>
  <c r="AW1477" i="1"/>
  <c r="AW1524" i="1"/>
  <c r="AW406" i="1"/>
  <c r="AW164" i="1"/>
  <c r="AW1673" i="1"/>
  <c r="AW271" i="1"/>
  <c r="AW1153" i="1"/>
  <c r="AW234" i="1"/>
  <c r="AW357" i="1"/>
  <c r="AW1188" i="1"/>
  <c r="AW771" i="1"/>
  <c r="AW505" i="1"/>
  <c r="AW210" i="1"/>
  <c r="AW1332" i="1"/>
  <c r="AW1622" i="1"/>
  <c r="AW2017" i="1"/>
  <c r="AW1413" i="1"/>
  <c r="AW1400" i="1"/>
  <c r="AW277" i="1"/>
  <c r="AW1080" i="1"/>
  <c r="AW511" i="1"/>
  <c r="AW302" i="1"/>
  <c r="AW1515" i="1"/>
  <c r="AW1934" i="1"/>
  <c r="AW1725" i="1"/>
  <c r="AW1693" i="1"/>
  <c r="AW1920" i="1"/>
  <c r="AW1981" i="1"/>
  <c r="AW1330" i="1"/>
  <c r="AW1259" i="1"/>
  <c r="AW1355" i="1"/>
  <c r="AW480" i="1"/>
  <c r="AW142" i="1"/>
  <c r="AW1763" i="1"/>
  <c r="AW1032" i="1"/>
  <c r="AW1217" i="1"/>
  <c r="AW829" i="1"/>
  <c r="AW568" i="1"/>
  <c r="AW802" i="1"/>
  <c r="AW265" i="1"/>
  <c r="AW1953" i="1"/>
  <c r="AW737" i="1"/>
  <c r="AW1216" i="1"/>
  <c r="AW1645" i="1"/>
  <c r="AW153" i="1"/>
  <c r="AW751" i="1"/>
  <c r="AW1068" i="1"/>
  <c r="AW883" i="1"/>
  <c r="AW963" i="1"/>
  <c r="AW798" i="1"/>
  <c r="AW507" i="1"/>
  <c r="AW1339" i="1"/>
  <c r="AW1924" i="1"/>
  <c r="AW270" i="1"/>
  <c r="AW1048" i="1"/>
  <c r="AW18" i="1"/>
  <c r="AW622" i="1"/>
  <c r="AW1703" i="1"/>
  <c r="AW1576" i="1"/>
  <c r="AW626" i="1"/>
  <c r="AW1818" i="1"/>
  <c r="AW209" i="1"/>
  <c r="AW1913" i="1"/>
  <c r="AW544" i="1"/>
  <c r="AW437" i="1"/>
  <c r="AW204" i="1"/>
  <c r="AW1504" i="1"/>
  <c r="AW394" i="1"/>
  <c r="AW1966" i="1"/>
  <c r="AW915" i="1"/>
  <c r="AW659" i="1"/>
  <c r="AW905" i="1"/>
  <c r="AW1832" i="1"/>
  <c r="AW1581" i="1"/>
  <c r="AW551" i="1"/>
  <c r="AW1087" i="1"/>
  <c r="AW110" i="1"/>
  <c r="AW1170" i="1"/>
  <c r="AW876" i="1"/>
  <c r="AW1676" i="1"/>
  <c r="AW1394" i="1"/>
  <c r="AW1937" i="1"/>
  <c r="AW123" i="1"/>
  <c r="AW130" i="1"/>
  <c r="AW431" i="1"/>
  <c r="AW965" i="1"/>
  <c r="AW1101" i="1"/>
  <c r="AW1986" i="1"/>
  <c r="AW1095" i="1"/>
  <c r="AW132" i="1"/>
  <c r="AW1730" i="1"/>
  <c r="AW1172" i="1"/>
  <c r="AW753" i="1"/>
  <c r="AW1448" i="1"/>
  <c r="AW893" i="1"/>
  <c r="AW1494" i="1"/>
  <c r="AW57" i="1"/>
  <c r="AW1897" i="1"/>
  <c r="AW1255" i="1"/>
  <c r="AW1893" i="1"/>
  <c r="AW1396" i="1"/>
  <c r="AW1073" i="1"/>
  <c r="AW843" i="1"/>
  <c r="AW1303" i="1"/>
  <c r="AW1929" i="1"/>
  <c r="AW972" i="1"/>
  <c r="AW1702" i="1"/>
  <c r="AW311" i="1"/>
  <c r="AW747" i="1"/>
  <c r="AW1914" i="1"/>
  <c r="AW1293" i="1"/>
  <c r="AW733" i="1"/>
  <c r="AW179" i="1"/>
  <c r="AW1312" i="1"/>
  <c r="AW1366" i="1"/>
  <c r="AW73" i="1"/>
  <c r="AW1965" i="1"/>
  <c r="AW1858" i="1"/>
  <c r="AW1538" i="1"/>
  <c r="AW1508" i="1"/>
  <c r="AW1025" i="1"/>
  <c r="AW116" i="1"/>
  <c r="AW1247" i="1"/>
  <c r="AW1357" i="1"/>
  <c r="AW1062" i="1"/>
  <c r="AW358" i="1"/>
  <c r="AW1681" i="1"/>
  <c r="AW1058" i="1"/>
  <c r="AW203" i="1"/>
  <c r="AW1769" i="1"/>
  <c r="AW926" i="1"/>
  <c r="AW708" i="1"/>
  <c r="AW438" i="1"/>
  <c r="AW1492" i="1"/>
  <c r="AW1891" i="1"/>
  <c r="AW155" i="1"/>
  <c r="AW962" i="1"/>
  <c r="AW382" i="1"/>
  <c r="AW524" i="1"/>
  <c r="AW822" i="1"/>
  <c r="AW66" i="1"/>
  <c r="AW67" i="1"/>
  <c r="AW1214" i="1"/>
  <c r="AW1133" i="1"/>
  <c r="AW745" i="1"/>
  <c r="AW201" i="1"/>
  <c r="AW211" i="1"/>
  <c r="AW1042" i="1"/>
  <c r="AW1559" i="1"/>
  <c r="AW9" i="1"/>
  <c r="AW466" i="1"/>
  <c r="AW297" i="1"/>
  <c r="AW1363" i="1"/>
  <c r="AW276" i="1"/>
  <c r="AW1251" i="1"/>
  <c r="AW263" i="1"/>
  <c r="AW1417" i="1"/>
  <c r="AW1667" i="1"/>
  <c r="AW334" i="1"/>
  <c r="AW1430" i="1"/>
  <c r="AW195" i="1"/>
  <c r="AW246" i="1"/>
  <c r="AW569" i="1"/>
  <c r="AW163" i="1"/>
  <c r="AW1142" i="1"/>
  <c r="AW697" i="1"/>
  <c r="AW1804" i="1"/>
  <c r="AW1651" i="1"/>
  <c r="AW301" i="1"/>
  <c r="AW591" i="1"/>
  <c r="AW932" i="1"/>
  <c r="AW763" i="1"/>
  <c r="AW698" i="1"/>
  <c r="AW931" i="1"/>
  <c r="AW96" i="1"/>
  <c r="AW22" i="1"/>
  <c r="AW1728" i="1"/>
  <c r="AW600" i="1"/>
  <c r="AW814" i="1"/>
  <c r="AW565" i="1"/>
  <c r="AW1395" i="1"/>
  <c r="AW578" i="1"/>
  <c r="AW1770" i="1"/>
  <c r="AW1007" i="1"/>
  <c r="AW1262" i="1"/>
  <c r="AW1314" i="1"/>
  <c r="AW1173" i="1"/>
  <c r="AW1969" i="1"/>
  <c r="AW808" i="1"/>
  <c r="AW1026" i="1"/>
  <c r="AW807" i="1"/>
  <c r="AW996" i="1"/>
  <c r="AW547" i="1"/>
  <c r="AW1035" i="1"/>
  <c r="AW1377" i="1"/>
  <c r="AW1383" i="1"/>
  <c r="AW1056" i="1"/>
  <c r="AW975" i="1"/>
  <c r="AW19" i="1"/>
  <c r="AW1626" i="1"/>
  <c r="AW1589" i="1"/>
  <c r="AW1238" i="1"/>
  <c r="AW65" i="1"/>
  <c r="AW1388" i="1"/>
  <c r="AW1972" i="1"/>
  <c r="AW844" i="1"/>
  <c r="AW145" i="1"/>
  <c r="AW97" i="1"/>
  <c r="AW124" i="1"/>
  <c r="AW1615" i="1"/>
  <c r="AW1041" i="1"/>
  <c r="AW1210" i="1"/>
  <c r="AW1957" i="1"/>
  <c r="AW1610" i="1"/>
  <c r="AW186" i="1"/>
  <c r="AW633" i="1"/>
  <c r="AW104" i="1"/>
  <c r="AW233" i="1"/>
  <c r="AW156" i="1"/>
  <c r="AW1616" i="1"/>
  <c r="AW82" i="1"/>
  <c r="AW1854" i="1"/>
  <c r="AW1308" i="1"/>
  <c r="AW616" i="1"/>
  <c r="AW700" i="1"/>
  <c r="AW227" i="1"/>
  <c r="AW994" i="1"/>
  <c r="AW1243" i="1"/>
  <c r="AW446" i="1"/>
  <c r="AW12" i="1"/>
  <c r="AW873" i="1"/>
  <c r="AW1878" i="1"/>
  <c r="AW1570" i="1"/>
  <c r="AW1601" i="1"/>
  <c r="AW677" i="1"/>
  <c r="AW1949" i="1"/>
  <c r="AW1548" i="1"/>
  <c r="AW420" i="1"/>
  <c r="AW1081" i="1"/>
  <c r="AW1717" i="1"/>
  <c r="AW1620" i="1"/>
  <c r="AW1463" i="1"/>
  <c r="AW518" i="1"/>
  <c r="AW328" i="1"/>
  <c r="AW579" i="1"/>
  <c r="AW1664" i="1"/>
  <c r="AW1592" i="1"/>
  <c r="AW1579" i="1"/>
  <c r="AW1768" i="1"/>
  <c r="AW705" i="1"/>
  <c r="AW1644" i="1"/>
  <c r="AW1961" i="1"/>
  <c r="AW912" i="1"/>
  <c r="AW1758" i="1"/>
  <c r="AW1980" i="1"/>
  <c r="AW1713" i="1"/>
  <c r="AW588" i="1"/>
  <c r="AW257" i="1"/>
  <c r="AW30" i="1"/>
  <c r="AW361" i="1"/>
  <c r="AW1696" i="1"/>
  <c r="AW1298" i="1"/>
  <c r="AW1536" i="1"/>
  <c r="AW1175" i="1"/>
  <c r="AW1503" i="1"/>
  <c r="AW1203" i="1"/>
  <c r="AW791" i="1"/>
  <c r="AW1488" i="1"/>
  <c r="AW1876" i="1"/>
  <c r="AW242" i="1"/>
  <c r="AW1542" i="1"/>
  <c r="AW1658" i="1"/>
  <c r="AW1643" i="1"/>
  <c r="AW458" i="1"/>
  <c r="AW1530" i="1"/>
  <c r="AW1266" i="1"/>
  <c r="AW1780" i="1"/>
  <c r="AW374" i="1"/>
  <c r="AW1833" i="1"/>
  <c r="AW1782" i="1"/>
  <c r="AW298" i="1"/>
  <c r="AW1313" i="1"/>
  <c r="AW631" i="1"/>
  <c r="AW324" i="1"/>
  <c r="AW353" i="1"/>
  <c r="AW766" i="1"/>
  <c r="AW674" i="1"/>
  <c r="AW854" i="1"/>
  <c r="AW1546" i="1"/>
  <c r="AW658" i="1"/>
  <c r="AW1984" i="1"/>
  <c r="AW68" i="1"/>
  <c r="AW684" i="1"/>
  <c r="AW1578" i="1"/>
  <c r="AW370" i="1"/>
  <c r="AW548" i="1"/>
  <c r="AW834" i="1"/>
  <c r="AW1469" i="1"/>
  <c r="AW800" i="1"/>
  <c r="AW56" i="1"/>
  <c r="AW51" i="1"/>
  <c r="AW1798" i="1"/>
  <c r="AW1077" i="1"/>
  <c r="AW1347" i="1"/>
  <c r="AW392" i="1"/>
  <c r="AW1517" i="1"/>
  <c r="AW199" i="1"/>
  <c r="AW1349" i="1"/>
  <c r="AW243" i="1"/>
  <c r="AW944" i="1"/>
  <c r="AW1875" i="1"/>
  <c r="AW93" i="1"/>
  <c r="AW1237" i="1"/>
  <c r="AW323" i="1"/>
  <c r="AW64" i="1"/>
  <c r="AW1425" i="1"/>
  <c r="AW1452" i="1"/>
  <c r="AW890" i="1"/>
  <c r="AW714" i="1"/>
  <c r="AW410" i="1"/>
  <c r="AW112" i="1"/>
  <c r="AW1773" i="1"/>
  <c r="AW860" i="1"/>
  <c r="AW81" i="1"/>
  <c r="AW942" i="1"/>
  <c r="AW1410" i="1"/>
  <c r="AW993" i="1"/>
  <c r="AW1736" i="1"/>
  <c r="AW249" i="1"/>
  <c r="AW1104" i="1"/>
  <c r="AW629" i="1"/>
  <c r="AW618" i="1"/>
  <c r="AW244" i="1"/>
  <c r="AW105" i="1"/>
  <c r="AW948" i="1"/>
  <c r="AW1968" i="1"/>
  <c r="AW517" i="1"/>
  <c r="AW1597" i="1"/>
  <c r="AW1044" i="1"/>
  <c r="AW1527" i="1"/>
  <c r="AW1144" i="1"/>
  <c r="AW546" i="1"/>
  <c r="AW1670" i="1"/>
  <c r="AW1018" i="1"/>
  <c r="AW1102" i="1"/>
  <c r="AW1232" i="1"/>
  <c r="AW1449" i="1"/>
  <c r="AW304" i="1"/>
  <c r="AW1148" i="1"/>
  <c r="AW1679" i="1"/>
  <c r="AW450" i="1"/>
  <c r="AW636" i="1"/>
  <c r="AW1843" i="1"/>
  <c r="AW1291" i="1"/>
  <c r="AW299" i="1"/>
  <c r="AW264" i="1"/>
  <c r="AW1072" i="1"/>
  <c r="AW1522" i="1"/>
  <c r="AW76" i="1"/>
  <c r="AW1112" i="1"/>
  <c r="AW1445" i="1"/>
  <c r="AW1918" i="1"/>
  <c r="AW1661" i="1"/>
  <c r="AW473" i="1"/>
  <c r="AW1923" i="1"/>
  <c r="AW1300" i="1"/>
  <c r="AW992" i="1"/>
  <c r="AW906" i="1"/>
  <c r="AW1788" i="1"/>
  <c r="AW564" i="1"/>
  <c r="AW590" i="1"/>
  <c r="AW2009" i="1"/>
  <c r="AW90" i="1"/>
  <c r="AW990" i="1"/>
  <c r="AW1909" i="1"/>
  <c r="AW1177" i="1"/>
  <c r="AW526" i="1"/>
  <c r="AW191" i="1"/>
  <c r="AW924" i="1"/>
  <c r="AW1273" i="1"/>
  <c r="AW811" i="1"/>
  <c r="AW108" i="1"/>
  <c r="AW1382" i="1"/>
  <c r="AW706" i="1"/>
  <c r="AW1115" i="1"/>
  <c r="AW1584" i="1"/>
  <c r="AW248" i="1"/>
  <c r="AW126" i="1"/>
  <c r="AW1716" i="1"/>
  <c r="AW230" i="1"/>
  <c r="AW644" i="1"/>
  <c r="AW1869" i="1"/>
  <c r="AW1187" i="1"/>
  <c r="AW1690" i="1"/>
  <c r="AW929" i="1"/>
  <c r="AW1755" i="1"/>
  <c r="AW24" i="1"/>
  <c r="AW1196" i="1"/>
  <c r="AW1341" i="1"/>
  <c r="AW961" i="1"/>
  <c r="AW1993" i="1"/>
  <c r="AW1807" i="1"/>
  <c r="AW1883" i="1"/>
  <c r="AW1272" i="1"/>
  <c r="AW784" i="1"/>
  <c r="AW1719" i="1"/>
  <c r="AW1199" i="1"/>
  <c r="AW192" i="1"/>
  <c r="AW601" i="1"/>
  <c r="AW864" i="1"/>
  <c r="AW776" i="1"/>
  <c r="AW1285" i="1"/>
  <c r="AW554" i="1"/>
  <c r="AW197" i="1"/>
  <c r="AW839" i="1"/>
  <c r="AW927" i="1"/>
  <c r="AW879" i="1"/>
  <c r="AW1067" i="1"/>
  <c r="AW399" i="1"/>
  <c r="AW1084" i="1"/>
  <c r="AW1606" i="1"/>
  <c r="AW1434" i="1"/>
  <c r="AW1557" i="1"/>
  <c r="AW1370" i="1"/>
  <c r="AW671" i="1"/>
  <c r="AW439" i="1"/>
  <c r="AW253" i="1"/>
  <c r="AW886" i="1"/>
  <c r="AW1324" i="1"/>
  <c r="AW760" i="1"/>
  <c r="AW1650" i="1"/>
  <c r="AW1625" i="1"/>
  <c r="AW2001" i="1"/>
  <c r="AW1821" i="1"/>
  <c r="AW228" i="1"/>
  <c r="AW1361" i="1"/>
  <c r="AW1672" i="1"/>
  <c r="AW495" i="1"/>
  <c r="AW491" i="1"/>
  <c r="AW1879" i="1"/>
  <c r="AW938" i="1"/>
  <c r="AW1507" i="1"/>
  <c r="AW1256" i="1"/>
  <c r="AW1419" i="1"/>
  <c r="AW1320" i="1"/>
  <c r="AW1749" i="1"/>
  <c r="AW1476" i="1"/>
  <c r="AW662" i="1"/>
  <c r="AW967" i="1"/>
  <c r="AW74" i="1"/>
  <c r="AW1325" i="1"/>
  <c r="AW1809" i="1"/>
  <c r="AW823" i="1"/>
  <c r="AW464" i="1"/>
  <c r="AW423" i="1"/>
  <c r="AW1781" i="1"/>
  <c r="AW1985" i="1"/>
  <c r="AW2005" i="1"/>
  <c r="AW1399" i="1"/>
  <c r="AW1933" i="1"/>
  <c r="AW642" i="1"/>
  <c r="AW344" i="1"/>
  <c r="AW630" i="1"/>
  <c r="AW436" i="1"/>
  <c r="AW478" i="1"/>
  <c r="AW939" i="1"/>
  <c r="AW742" i="1"/>
  <c r="AW482" i="1"/>
  <c r="AW1414" i="1"/>
  <c r="AW219" i="1"/>
  <c r="AW29" i="1"/>
  <c r="AW262" i="1"/>
  <c r="AW1727" i="1"/>
  <c r="AW1225" i="1"/>
  <c r="AW1006" i="1"/>
  <c r="AW1945" i="1"/>
  <c r="AW1284" i="1"/>
  <c r="AW80" i="1"/>
  <c r="AW585" i="1"/>
  <c r="AW688" i="1"/>
  <c r="AW1441" i="1"/>
  <c r="AW889" i="1"/>
  <c r="AW1885" i="1"/>
  <c r="AW611" i="1"/>
  <c r="AW1479" i="1"/>
  <c r="AW1403" i="1"/>
  <c r="AW288" i="1"/>
  <c r="AW1176" i="1"/>
  <c r="AW166" i="1"/>
  <c r="AW695" i="1"/>
  <c r="AW1529" i="1"/>
  <c r="AW1020" i="1"/>
  <c r="AW1427" i="1"/>
  <c r="AW1618" i="1"/>
  <c r="AW875" i="1"/>
  <c r="AW1171" i="1"/>
  <c r="AW94" i="1"/>
  <c r="AW607" i="1"/>
  <c r="AW1772" i="1"/>
  <c r="AW1295" i="1"/>
  <c r="AW1281" i="1"/>
  <c r="AW1130" i="1"/>
  <c r="AW831" i="1"/>
  <c r="AW1595" i="1"/>
  <c r="AW869" i="1"/>
  <c r="AW222" i="1"/>
  <c r="AW2010" i="1"/>
  <c r="AW1453" i="1"/>
  <c r="AW1264" i="1"/>
  <c r="AW290" i="1"/>
  <c r="AW781" i="1"/>
  <c r="AW1060" i="1"/>
  <c r="AW148" i="1"/>
  <c r="AW388" i="1"/>
  <c r="AW794" i="1"/>
  <c r="AW663" i="1"/>
  <c r="AW427" i="1"/>
  <c r="AW1249" i="1"/>
  <c r="AW501" i="1"/>
  <c r="AW772" i="1"/>
  <c r="AW1820" i="1"/>
  <c r="AW1180" i="1"/>
  <c r="AW1192" i="1"/>
  <c r="AW1455" i="1"/>
  <c r="AW139" i="1"/>
  <c r="AW1221" i="1"/>
  <c r="AW440" i="1"/>
  <c r="AW1460" i="1"/>
  <c r="AW1956" i="1"/>
  <c r="AW514" i="1"/>
  <c r="AW1409" i="1"/>
  <c r="AW1208" i="1"/>
  <c r="AW1921" i="1"/>
  <c r="AW349" i="1"/>
  <c r="AW1786" i="1"/>
  <c r="AW1120" i="1"/>
  <c r="AW539" i="1"/>
  <c r="AW49" i="1"/>
  <c r="AW260" i="1"/>
  <c r="AW1015" i="1"/>
  <c r="AW281" i="1"/>
  <c r="AW1052" i="1"/>
  <c r="AW1459" i="1"/>
  <c r="AW1381" i="1"/>
  <c r="AW1097" i="1"/>
  <c r="AW1276" i="1"/>
  <c r="AW767" i="1"/>
  <c r="AW1591" i="1"/>
  <c r="AW1846" i="1"/>
  <c r="AW1836" i="1"/>
  <c r="AW716" i="1"/>
  <c r="AW245" i="1"/>
  <c r="AW286" i="1"/>
  <c r="AW1943" i="1"/>
  <c r="AW575" i="1"/>
  <c r="AW335" i="1"/>
  <c r="AW571" i="1"/>
  <c r="AW1446" i="1"/>
  <c r="AW489" i="1"/>
  <c r="AW160" i="1"/>
  <c r="AW1638" i="1"/>
  <c r="AW838" i="1"/>
  <c r="AW1951" i="1"/>
  <c r="AW987" i="1"/>
  <c r="AW666" i="1"/>
  <c r="AW789" i="1"/>
  <c r="AW493" i="1"/>
  <c r="AW1147" i="1"/>
  <c r="AW1466" i="1"/>
  <c r="AW615" i="1"/>
  <c r="AW852" i="1"/>
  <c r="AW1093" i="1"/>
  <c r="AW1083" i="1"/>
  <c r="AW911" i="1"/>
  <c r="AW1140" i="1"/>
  <c r="AW896" i="1"/>
  <c r="AW1906" i="1"/>
  <c r="AW863" i="1"/>
  <c r="AW1235" i="1"/>
  <c r="AW995" i="1"/>
  <c r="AW1927" i="1"/>
  <c r="AW38" i="1"/>
  <c r="AW1212" i="1"/>
  <c r="AW969" i="1"/>
  <c r="AW1902" i="1"/>
  <c r="AW1440" i="1"/>
  <c r="AW1336" i="1"/>
  <c r="AW1743" i="1"/>
  <c r="AW712" i="1"/>
  <c r="AW1398" i="1"/>
  <c r="AW1812" i="1"/>
  <c r="AW1057" i="1"/>
  <c r="AW801" i="1"/>
  <c r="AW1541" i="1"/>
  <c r="AW1566" i="1"/>
  <c r="AW1257" i="1"/>
  <c r="AW1521" i="1"/>
  <c r="AW643" i="1"/>
  <c r="AW936" i="1"/>
  <c r="AW1573" i="1"/>
  <c r="AW553" i="1"/>
  <c r="AW1305" i="1"/>
  <c r="AW198" i="1"/>
  <c r="AW1539" i="1"/>
  <c r="AW840" i="1"/>
  <c r="AW690" i="1"/>
  <c r="AW1540" i="1"/>
  <c r="AW1861" i="1"/>
  <c r="AW1596" i="1"/>
  <c r="AW391" i="1"/>
  <c r="AW964" i="1"/>
  <c r="AW1783" i="1"/>
  <c r="AW1590" i="1"/>
  <c r="AW1290" i="1"/>
  <c r="AW1484" i="1"/>
  <c r="AW1194" i="1"/>
  <c r="AW1701" i="1"/>
  <c r="AW15" i="1"/>
  <c r="AW1585" i="1"/>
  <c r="AW543" i="1"/>
  <c r="AW1688" i="1"/>
  <c r="AW1544" i="1"/>
  <c r="AW910" i="1"/>
  <c r="AW1691" i="1"/>
  <c r="AW1604" i="1"/>
  <c r="AW1910" i="1"/>
  <c r="AW221" i="1"/>
  <c r="AW151" i="1"/>
  <c r="AW657" i="1"/>
  <c r="AW200" i="1"/>
  <c r="AW1039" i="1"/>
  <c r="AW316" i="1"/>
  <c r="AW559" i="1"/>
  <c r="AW1200" i="1"/>
  <c r="AW213" i="1"/>
  <c r="AW293" i="1"/>
  <c r="AW1408" i="1"/>
  <c r="AW1185" i="1"/>
  <c r="AW1292" i="1"/>
  <c r="AW1823" i="1"/>
  <c r="AW16" i="1"/>
  <c r="AW1001" i="1"/>
  <c r="AW701" i="1"/>
  <c r="AW882" i="1"/>
  <c r="AW1973" i="1"/>
  <c r="AW1754" i="1"/>
  <c r="AW1113" i="1"/>
  <c r="AW1106" i="1"/>
  <c r="AW1432" i="1"/>
  <c r="AW597" i="1"/>
  <c r="AW1896" i="1"/>
  <c r="AW1588" i="1"/>
  <c r="AW1608" i="1"/>
  <c r="AW150" i="1"/>
  <c r="AW675" i="1"/>
  <c r="AW1457" i="1"/>
  <c r="AW797" i="1"/>
  <c r="AW891" i="1"/>
  <c r="AW908" i="1"/>
  <c r="AW1938" i="1"/>
  <c r="AW1942" i="1"/>
  <c r="AW461" i="1"/>
  <c r="AW534" i="1"/>
  <c r="AW178" i="1"/>
  <c r="AW739" i="1"/>
  <c r="AW465" i="1"/>
  <c r="AW1071" i="1"/>
  <c r="AW777" i="1"/>
  <c r="AW1367" i="1"/>
  <c r="AW44" i="1"/>
  <c r="AW832" i="1"/>
  <c r="AW1487" i="1"/>
  <c r="AW411" i="1"/>
  <c r="AW1634" i="1"/>
  <c r="AW991" i="1"/>
  <c r="AW538" i="1"/>
  <c r="AW337" i="1"/>
  <c r="AW980" i="1"/>
  <c r="AW1322" i="1"/>
  <c r="AW956" i="1"/>
  <c r="AW720" i="1"/>
  <c r="AW429" i="1"/>
  <c r="AW874" i="1"/>
  <c r="AW1156" i="1"/>
  <c r="AW183" i="1"/>
  <c r="AW1004" i="1"/>
  <c r="AW503" i="1"/>
  <c r="AW138" i="1"/>
  <c r="AW1560" i="1"/>
  <c r="AW1009" i="1"/>
  <c r="AW941" i="1"/>
  <c r="AW1473" i="1"/>
  <c r="AW1802" i="1"/>
  <c r="AW50" i="1"/>
  <c r="AW340" i="1"/>
  <c r="AW1467" i="1"/>
  <c r="AW2020" i="1"/>
  <c r="AW812" i="1"/>
  <c r="AW161" i="1"/>
  <c r="AW1808" i="1"/>
  <c r="AW237" i="1"/>
  <c r="AW1955" i="1"/>
  <c r="AW866" i="1"/>
  <c r="AW1030" i="1"/>
  <c r="AW558" i="1"/>
  <c r="AW1183" i="1"/>
  <c r="AW1857" i="1"/>
  <c r="AW1856" i="1"/>
  <c r="AW2000" i="1"/>
  <c r="AW378" i="1"/>
  <c r="AW515" i="1"/>
  <c r="AW818" i="1"/>
  <c r="AW1631" i="1"/>
  <c r="AW494" i="1"/>
  <c r="AW383" i="1"/>
  <c r="AW1076" i="1"/>
  <c r="AW1045" i="1"/>
  <c r="AW1206" i="1"/>
  <c r="AW1253" i="1"/>
  <c r="AW661" i="1"/>
  <c r="AW1480" i="1"/>
  <c r="AW918" i="1"/>
  <c r="AW225" i="1"/>
  <c r="AW710" i="1"/>
  <c r="AW1519" i="1"/>
  <c r="AW1186" i="1"/>
  <c r="AW1671" i="1"/>
  <c r="AW1826" i="1"/>
  <c r="AW537" i="1"/>
  <c r="AW1829" i="1"/>
  <c r="AW419" i="1"/>
  <c r="AW1219" i="1"/>
  <c r="AW1193" i="1"/>
  <c r="AW694" i="1"/>
  <c r="AW497" i="1"/>
  <c r="AW979" i="1"/>
  <c r="AW492" i="1"/>
  <c r="AW25" i="1"/>
  <c r="AW1774" i="1"/>
  <c r="AW1497" i="1"/>
  <c r="AW1195" i="1"/>
  <c r="AW176" i="1"/>
  <c r="AW762" i="1"/>
  <c r="AW1640" i="1"/>
  <c r="AW229" i="1"/>
  <c r="AW146" i="1"/>
  <c r="AW1223" i="1"/>
  <c r="AW103" i="1"/>
  <c r="AW1547" i="1"/>
  <c r="AW1450" i="1"/>
  <c r="AW474" i="1"/>
  <c r="AW1556" i="1"/>
  <c r="AW208" i="1"/>
  <c r="AW282" i="1"/>
  <c r="AW1989" i="1"/>
  <c r="AW1019" i="1"/>
  <c r="AW1117" i="1"/>
  <c r="AW1496" i="1"/>
  <c r="AW451" i="1"/>
  <c r="AW1506" i="1"/>
  <c r="AW988" i="1"/>
  <c r="AW48" i="1"/>
  <c r="AW350" i="1"/>
  <c r="AW1283" i="1"/>
  <c r="AW1828" i="1"/>
  <c r="AW986" i="1"/>
  <c r="AW510" i="1"/>
  <c r="AW998" i="1"/>
  <c r="AW775" i="1"/>
  <c r="AW1801" i="1"/>
  <c r="AW387" i="1"/>
  <c r="AW1605" i="1"/>
  <c r="AW1685" i="1"/>
  <c r="AW895" i="1"/>
  <c r="AW1752" i="1"/>
  <c r="AW830" i="1"/>
  <c r="AW1038" i="1"/>
  <c r="AW1051" i="1"/>
  <c r="AW1954" i="1"/>
  <c r="AW1088" i="1"/>
  <c r="AW974" i="1"/>
  <c r="AW1002" i="1"/>
  <c r="AW1157" i="1"/>
  <c r="AW952" i="1"/>
  <c r="AW1936" i="1"/>
  <c r="AW1514" i="1"/>
  <c r="AW1323" i="1"/>
  <c r="AW1036" i="1"/>
  <c r="AW1887" i="1"/>
  <c r="AW836" i="1"/>
  <c r="AW1122" i="1"/>
  <c r="AW372" i="1"/>
  <c r="AW1270" i="1"/>
  <c r="AW1712" i="1"/>
  <c r="AW1558" i="1"/>
  <c r="AW687" i="1"/>
  <c r="AW871" i="1"/>
  <c r="AW447" i="1"/>
  <c r="AW1012" i="1"/>
  <c r="AW820" i="1"/>
  <c r="AW496" i="1"/>
  <c r="AW531" i="1"/>
  <c r="AW947" i="1"/>
  <c r="AW1886" i="1"/>
  <c r="AW131" i="1"/>
  <c r="AW1633" i="1"/>
  <c r="AW1892" i="1"/>
  <c r="AW1535" i="1"/>
  <c r="AW1580" i="1"/>
  <c r="AW755" i="1"/>
  <c r="AW1061" i="1"/>
  <c r="AW278" i="1"/>
  <c r="AW1089" i="1"/>
  <c r="AW1598" i="1"/>
  <c r="AW649" i="1"/>
  <c r="AW1297" i="1"/>
  <c r="AW1315" i="1"/>
  <c r="AW704" i="1"/>
  <c r="AW1564" i="1"/>
  <c r="AW985" i="1"/>
  <c r="AW78" i="1"/>
  <c r="AW125" i="1"/>
  <c r="AW567" i="1"/>
  <c r="AW1534" i="1"/>
  <c r="AW1787" i="1"/>
  <c r="AW1978" i="1"/>
  <c r="AW1069" i="1"/>
  <c r="AW1614" i="1"/>
  <c r="AW314" i="1"/>
  <c r="AW1461" i="1"/>
  <c r="AW1926" i="1"/>
  <c r="AW1864" i="1"/>
  <c r="AW1143" i="1"/>
  <c r="AW1334" i="1"/>
  <c r="AW169" i="1"/>
  <c r="AW903" i="1"/>
  <c r="AW837" i="1"/>
  <c r="AW1152" i="1"/>
  <c r="AW435" i="1"/>
  <c r="AW1947" i="1"/>
  <c r="AW1850" i="1"/>
  <c r="AW1611" i="1"/>
  <c r="AW774" i="1"/>
  <c r="AW1335" i="1"/>
  <c r="AW55" i="1"/>
  <c r="AW1402" i="1"/>
  <c r="AW516" i="1"/>
  <c r="AW744" i="1"/>
  <c r="AW1941" i="1"/>
  <c r="AW934" i="1"/>
  <c r="AW2004" i="1"/>
  <c r="AW1428" i="1"/>
  <c r="AW870" i="1"/>
  <c r="AW1040" i="1"/>
  <c r="AW646" i="1"/>
  <c r="AW953" i="1"/>
  <c r="AW77" i="1"/>
  <c r="AW452" i="1"/>
  <c r="AW1343" i="1"/>
  <c r="AW162" i="1"/>
  <c r="AW1932" i="1"/>
  <c r="AW1531" i="1"/>
  <c r="AW817" i="1"/>
  <c r="AW1904" i="1"/>
  <c r="AW1245" i="1"/>
  <c r="AW914" i="1"/>
  <c r="AW1958" i="1"/>
  <c r="AW17" i="1"/>
  <c r="AW26" i="1"/>
  <c r="AW119" i="1"/>
  <c r="AW1422" i="1"/>
  <c r="AW1970" i="1"/>
  <c r="AW1359" i="1"/>
  <c r="AW1899" i="1"/>
  <c r="AW562" i="1"/>
  <c r="AW1191" i="1"/>
  <c r="AW1553" i="1"/>
  <c r="AW117" i="1"/>
  <c r="AW488" i="1"/>
  <c r="AW576" i="1"/>
  <c r="AW215" i="1"/>
  <c r="AW966" i="1"/>
  <c r="AW1327" i="1"/>
  <c r="AW937" i="1"/>
  <c r="AW1456" i="1"/>
  <c r="AW862" i="1"/>
  <c r="AW367" i="1"/>
  <c r="AW845" i="1"/>
  <c r="AW157" i="1"/>
  <c r="AW1389" i="1"/>
  <c r="AW556" i="1"/>
  <c r="AW193" i="1"/>
  <c r="AW719" i="1"/>
  <c r="AW1656" i="1"/>
  <c r="AW1086" i="1"/>
  <c r="AW1976" i="1"/>
  <c r="AW1376" i="1"/>
  <c r="AW1416" i="1"/>
  <c r="AW1495" i="1"/>
  <c r="AW422" i="1"/>
  <c r="AW724" i="1"/>
  <c r="AW1990" i="1"/>
  <c r="AW796" i="1"/>
  <c r="AW506" i="1"/>
  <c r="AW1888" i="1"/>
  <c r="AW625" i="1"/>
  <c r="AW1481" i="1"/>
  <c r="AW1131" i="1"/>
  <c r="AW1837" i="1"/>
  <c r="AW87" i="1"/>
  <c r="AW1329" i="1"/>
  <c r="AW1280" i="1"/>
  <c r="AW1418" i="1"/>
  <c r="AW381" i="1"/>
  <c r="AW1928" i="1"/>
  <c r="AW1307" i="1"/>
  <c r="AW413" i="1"/>
  <c r="AW550" i="1"/>
  <c r="AW1600" i="1"/>
  <c r="AW1174" i="1"/>
  <c r="AW1099" i="1"/>
  <c r="AW1500" i="1"/>
  <c r="AW741" i="1"/>
  <c r="AW128" i="1"/>
  <c r="AW1668" i="1"/>
  <c r="AW1792" i="1"/>
  <c r="AW757" i="1"/>
  <c r="AW1513" i="1"/>
  <c r="AW707" i="1"/>
  <c r="AW404" i="1"/>
  <c r="AW460" i="1"/>
  <c r="AW856" i="1"/>
  <c r="AW1310" i="1"/>
  <c r="AW2015" i="1"/>
  <c r="AW46" i="1"/>
  <c r="AW430" i="1"/>
  <c r="AW1205" i="1"/>
  <c r="AW172" i="1"/>
  <c r="AW400" i="1"/>
  <c r="AW540" i="1"/>
  <c r="AW1900" i="1"/>
  <c r="AW803" i="1"/>
  <c r="AW326" i="1"/>
  <c r="AW1107" i="1"/>
  <c r="AW1692" i="1"/>
  <c r="AW740" i="1"/>
  <c r="AW1246" i="1"/>
  <c r="AW682" i="1"/>
  <c r="AW596" i="1"/>
  <c r="AW1853" i="1"/>
  <c r="AW982" i="1"/>
  <c r="AW167" i="1"/>
  <c r="AW170" i="1"/>
  <c r="AW1898" i="1"/>
  <c r="AW1720" i="1"/>
  <c r="AW1274" i="1"/>
  <c r="AW968" i="1"/>
  <c r="AW1124" i="1"/>
  <c r="AW928" i="1"/>
  <c r="AW1331" i="1"/>
  <c r="AW154" i="1"/>
  <c r="AW1179" i="1"/>
  <c r="AW743" i="1"/>
  <c r="AW916" i="1"/>
  <c r="AW1639" i="1"/>
  <c r="AW91" i="1"/>
  <c r="AW1814" i="1"/>
  <c r="AW377" i="1"/>
  <c r="AW652" i="1"/>
  <c r="AW58" i="1"/>
  <c r="AW2021" i="1"/>
  <c r="AW1207" i="1"/>
  <c r="AW872" i="1"/>
  <c r="AW1816" i="1"/>
  <c r="AW69" i="1"/>
  <c r="AW1905" i="1"/>
  <c r="AW283" i="1"/>
  <c r="AW432" i="1"/>
  <c r="AW86" i="1"/>
  <c r="AW484" i="1"/>
  <c r="AW900" i="1"/>
  <c r="AW1562" i="1"/>
  <c r="AW332" i="1"/>
  <c r="AW930" i="1"/>
  <c r="AW574" i="1"/>
  <c r="AW1831" i="1"/>
  <c r="AW533" i="1"/>
  <c r="AW782" i="1"/>
  <c r="AW1659" i="1"/>
  <c r="AW1549" i="1"/>
  <c r="AW1726" i="1"/>
  <c r="AW98" i="1"/>
  <c r="AW1827" i="1"/>
  <c r="AW563" i="1"/>
  <c r="AW1250" i="1"/>
  <c r="AW842" i="1"/>
  <c r="AW1139" i="1"/>
  <c r="AW1424" i="1"/>
  <c r="AW1197" i="1"/>
  <c r="AW303" i="1"/>
  <c r="AW582" i="1"/>
  <c r="AW536" i="1"/>
  <c r="AW300" i="1"/>
  <c r="AW1735" i="1"/>
  <c r="AW1065" i="1"/>
  <c r="AW711" i="1"/>
  <c r="AW1213" i="1"/>
  <c r="AW981" i="1"/>
  <c r="AW1309" i="1"/>
  <c r="AW59" i="1"/>
  <c r="AW443" i="1"/>
  <c r="AW1299" i="1"/>
  <c r="AW39" i="1"/>
  <c r="AW1665" i="1"/>
  <c r="AW746" i="1"/>
  <c r="AW338" i="1"/>
  <c r="AW1154" i="1"/>
  <c r="AW42" i="1"/>
  <c r="AW2" i="1"/>
  <c r="AW1490" i="1"/>
  <c r="AW252" i="1"/>
  <c r="AW1744" i="1"/>
  <c r="AW1226" i="1"/>
  <c r="AW779" i="1"/>
  <c r="AW1602" i="1"/>
  <c r="AW1110" i="1"/>
  <c r="AW1669" i="1"/>
  <c r="AW32" i="1"/>
  <c r="AW598" i="1"/>
  <c r="AW434" i="1"/>
  <c r="AW1043" i="1"/>
  <c r="AW884" i="1"/>
  <c r="AW1509" i="1"/>
  <c r="AW1623" i="1"/>
  <c r="AW1666" i="1"/>
  <c r="AW528" i="1"/>
  <c r="AW40" i="1"/>
  <c r="AW247" i="1"/>
  <c r="AW393" i="1"/>
  <c r="AW1889" i="1"/>
  <c r="AW322" i="1"/>
  <c r="AW425" i="1"/>
  <c r="AW729" i="1"/>
  <c r="AW728" i="1"/>
  <c r="AW650" i="1"/>
  <c r="AW1915" i="1"/>
  <c r="AW1759" i="1"/>
  <c r="AW490" i="1"/>
  <c r="AW1571" i="1"/>
  <c r="AW977" i="1"/>
  <c r="AW1014" i="1"/>
  <c r="AW1642" i="1"/>
  <c r="AW1841" i="1"/>
  <c r="AW258" i="1"/>
  <c r="AW1819" i="1"/>
  <c r="AW1872" i="1"/>
  <c r="AW268" i="1"/>
  <c r="AW1587" i="1"/>
  <c r="AW354" i="1"/>
  <c r="AW417" i="1"/>
  <c r="AW339" i="1"/>
  <c r="AW1554" i="1"/>
  <c r="AW713" i="1"/>
  <c r="AW867" i="1"/>
  <c r="AW181" i="1"/>
  <c r="AW284" i="1"/>
  <c r="AW468" i="1"/>
  <c r="AW250" i="1"/>
  <c r="AW1740" i="1"/>
  <c r="AW1215" i="1"/>
  <c r="AW7" i="1"/>
  <c r="AW560" i="1"/>
  <c r="AW318" i="1"/>
  <c r="AW1234" i="1"/>
  <c r="AW1436" i="1"/>
  <c r="AW1125" i="1"/>
  <c r="AW291" i="1"/>
  <c r="AW665" i="1"/>
  <c r="AW449" i="1"/>
  <c r="AW320" i="1"/>
  <c r="AW61" i="1"/>
  <c r="AW933" i="1"/>
  <c r="AW1404" i="1"/>
  <c r="AW1358" i="1"/>
  <c r="AW2018" i="1"/>
  <c r="AW1201" i="1"/>
  <c r="AW1471" i="1"/>
  <c r="AW1486" i="1"/>
  <c r="AW1662" i="1"/>
  <c r="AW1838" i="1"/>
  <c r="AW21" i="1"/>
  <c r="AW848" i="1"/>
  <c r="AW983" i="1"/>
  <c r="AW850" i="1"/>
  <c r="AW595" i="1"/>
  <c r="AW1860" i="1"/>
  <c r="AW888" i="1"/>
  <c r="AW294" i="1"/>
  <c r="AW1415" i="1"/>
  <c r="AW41" i="1"/>
  <c r="AW180" i="1"/>
  <c r="AW1997" i="1"/>
  <c r="AW11" i="1"/>
  <c r="AW171" i="1"/>
  <c r="AW881" i="1"/>
  <c r="AW1654" i="1"/>
  <c r="AW577" i="1"/>
  <c r="AW1874" i="1"/>
  <c r="AW1784" i="1"/>
  <c r="AW1901" i="1"/>
  <c r="AW1160" i="1"/>
  <c r="AW1714" i="1"/>
  <c r="AW685" i="1"/>
  <c r="AW1365" i="1"/>
  <c r="AW586" i="1"/>
  <c r="AW648" i="1"/>
  <c r="AW319" i="1"/>
  <c r="AW1386" i="1"/>
  <c r="AW10" i="1"/>
  <c r="AW1090" i="1"/>
  <c r="AW375" i="1"/>
  <c r="AW1023" i="1"/>
  <c r="AW1791" i="1"/>
  <c r="AW1935" i="1"/>
  <c r="AW1733" i="1"/>
  <c r="AW1760" i="1"/>
  <c r="AW1240" i="1"/>
  <c r="AW1165" i="1"/>
  <c r="AW471" i="1"/>
  <c r="AW535" i="1"/>
  <c r="AW1635" i="1"/>
  <c r="AW1552" i="1"/>
  <c r="AW1138" i="1"/>
  <c r="AW2007" i="1"/>
  <c r="AW617" i="1"/>
  <c r="AW624" i="1"/>
  <c r="AW1959" i="1"/>
  <c r="AW902" i="1"/>
  <c r="AW1356" i="1"/>
  <c r="AW813" i="1"/>
  <c r="AW463" i="1"/>
  <c r="AW816" i="1"/>
  <c r="AW1412" i="1"/>
  <c r="AW448" i="1"/>
  <c r="AW627" i="1"/>
  <c r="AW355" i="1"/>
  <c r="AW1742" i="1"/>
  <c r="AW1211" i="1"/>
  <c r="AW1501" i="1"/>
  <c r="AW1306" i="1"/>
  <c r="AW1024" i="1"/>
  <c r="AW396" i="1"/>
  <c r="AW454" i="1"/>
  <c r="AW184" i="1"/>
  <c r="AW1709" i="1"/>
  <c r="AW909" i="1"/>
  <c r="AW472" i="1"/>
  <c r="AW1569" i="1"/>
  <c r="AW1155" i="1"/>
  <c r="AW1502" i="1"/>
  <c r="AW525" i="1"/>
  <c r="AW857" i="1"/>
  <c r="AW1296" i="1"/>
  <c r="AW651" i="1"/>
  <c r="AW954" i="1"/>
  <c r="AW462" i="1"/>
  <c r="AW1648" i="1"/>
  <c r="AW1583" i="1"/>
  <c r="AW1008" i="1"/>
  <c r="AW541" i="1"/>
  <c r="AW321" i="1"/>
  <c r="AW664" i="1"/>
  <c r="AW1777" i="1"/>
  <c r="AW1572" i="1"/>
  <c r="AW1785" i="1"/>
  <c r="AW1059" i="1"/>
  <c r="AW47" i="1"/>
  <c r="AW407" i="1"/>
  <c r="AW1695" i="1"/>
  <c r="AW1612" i="1"/>
  <c r="AW978" i="1"/>
  <c r="AW1526" i="1"/>
  <c r="AW520" i="1"/>
  <c r="AW129" i="1"/>
  <c r="AW1167" i="1"/>
  <c r="AW149" i="1"/>
  <c r="AW1000" i="1"/>
  <c r="AW366" i="1"/>
  <c r="AW453" i="1"/>
  <c r="AW976" i="1"/>
  <c r="AW1983" i="1"/>
  <c r="AW418" i="1"/>
  <c r="AW1775" i="1"/>
  <c r="AW504" i="1"/>
  <c r="AW1198" i="1"/>
  <c r="AW127" i="1"/>
  <c r="AW885" i="1"/>
  <c r="AW792" i="1"/>
  <c r="AW1647" i="1"/>
  <c r="AW1294" i="1"/>
  <c r="AW1263" i="1"/>
  <c r="AW612" i="1"/>
  <c r="AW1771" i="1"/>
  <c r="AW580" i="1"/>
  <c r="AW307" i="1"/>
  <c r="AW1835" i="1"/>
  <c r="AW1472" i="1"/>
  <c r="AW1840" i="1"/>
  <c r="AW1260" i="1"/>
  <c r="AW1033" i="1"/>
  <c r="AW1109" i="1"/>
  <c r="AW88" i="1"/>
  <c r="AW403" i="1"/>
  <c r="AW1619" i="1"/>
  <c r="AW285" i="1"/>
  <c r="AW1975" i="1"/>
  <c r="AW415" i="1"/>
  <c r="AW841" i="1"/>
  <c r="AW1391" i="1"/>
  <c r="AW756" i="1"/>
  <c r="AW1766" i="1"/>
  <c r="AW1944" i="1"/>
  <c r="AW1555" i="1"/>
  <c r="AW1516" i="1"/>
  <c r="AW1523" i="1"/>
  <c r="AW641" i="1"/>
  <c r="AW207" i="1"/>
  <c r="AW1745" i="1"/>
  <c r="AW1397" i="1"/>
  <c r="AW683" i="1"/>
  <c r="AW1340" i="1"/>
  <c r="AW1127" i="1"/>
  <c r="AW347" i="1"/>
  <c r="AW1967" i="1"/>
  <c r="AW1641" i="1"/>
  <c r="AW1362" i="1"/>
  <c r="AW1603" i="1"/>
  <c r="AW878" i="1"/>
  <c r="AW810" i="1"/>
  <c r="AW785" i="1"/>
  <c r="AW678" i="1"/>
  <c r="AW1204" i="1"/>
  <c r="AW279" i="1"/>
  <c r="AW1974" i="1"/>
  <c r="AW1686" i="1"/>
  <c r="AW20" i="1"/>
  <c r="AW33" i="1"/>
  <c r="AW1311" i="1"/>
  <c r="AW572" i="1"/>
  <c r="AW395" i="1"/>
  <c r="AW748" i="1"/>
  <c r="AW549" i="1"/>
  <c r="AW681" i="1"/>
  <c r="AW173" i="1"/>
  <c r="AW134" i="1"/>
  <c r="AW1118" i="1"/>
  <c r="AW999" i="1"/>
  <c r="AW1825" i="1"/>
  <c r="AW1258" i="1"/>
  <c r="AW1803" i="1"/>
  <c r="AW1028" i="1"/>
  <c r="AW608" i="1"/>
  <c r="AW455" i="1"/>
  <c r="AW107" i="1"/>
  <c r="AW416" i="1"/>
  <c r="AW1848" i="1"/>
  <c r="AW35" i="1"/>
  <c r="AW1375" i="1"/>
  <c r="AW1421" i="1"/>
  <c r="AW133" i="1"/>
  <c r="AW508" i="1"/>
  <c r="AW2014" i="1"/>
  <c r="AW849" i="1"/>
  <c r="AW917" i="1"/>
  <c r="AW1108" i="1"/>
  <c r="AW1489" i="1"/>
  <c r="AW1962" i="1"/>
  <c r="AW859" i="1"/>
  <c r="AW483" i="1"/>
  <c r="AW1565" i="1"/>
  <c r="AW734" i="1"/>
  <c r="AW1724" i="1"/>
  <c r="AW1991" i="1"/>
  <c r="AW1254" i="1"/>
  <c r="AW1393" i="1"/>
  <c r="AW43" i="1"/>
  <c r="AW1537" i="1"/>
  <c r="AW106" i="1"/>
  <c r="AW2016" i="1"/>
  <c r="AW1574" i="1"/>
  <c r="AW1353" i="1"/>
  <c r="AW821" i="1"/>
  <c r="AW2008" i="1"/>
  <c r="AW1653" i="1"/>
  <c r="AW858" i="1"/>
  <c r="AW668" i="1"/>
  <c r="AW877" i="1"/>
  <c r="AW1867" i="1"/>
  <c r="AW1998" i="1"/>
  <c r="AW815" i="1"/>
  <c r="AW1328" i="1"/>
  <c r="AW768" i="1"/>
  <c r="AW512" i="1"/>
  <c r="AW583" i="1"/>
  <c r="AW1046" i="1"/>
  <c r="AV527" i="1"/>
  <c r="AV1239" i="1"/>
  <c r="AV313" i="1"/>
  <c r="AV1789" i="1"/>
  <c r="AV809" i="1"/>
  <c r="AV730" i="1"/>
  <c r="AV920" i="1"/>
  <c r="AV1593" i="1"/>
  <c r="AV1722" i="1"/>
  <c r="AV2019" i="1"/>
  <c r="AV1912" i="1"/>
  <c r="AV457" i="1"/>
  <c r="AV855" i="1"/>
  <c r="AV1646" i="1"/>
  <c r="AV147" i="1"/>
  <c r="AV1317" i="1"/>
  <c r="AV1079" i="1"/>
  <c r="AV477" i="1"/>
  <c r="AV1582" i="1"/>
  <c r="AV1016" i="1"/>
  <c r="AV2022" i="1"/>
  <c r="AV892" i="1"/>
  <c r="AV679" i="1"/>
  <c r="AV1442" i="1"/>
  <c r="AV1660" i="1"/>
  <c r="AV971" i="1"/>
  <c r="AV1407" i="1"/>
  <c r="AV84" i="1"/>
  <c r="AV1813" i="1"/>
  <c r="AV1021" i="1"/>
  <c r="AV1387" i="1"/>
  <c r="AV1236" i="1"/>
  <c r="AV384" i="1"/>
  <c r="AV1146" i="1"/>
  <c r="AV599" i="1"/>
  <c r="AV1873" i="1"/>
  <c r="AV1321" i="1"/>
  <c r="AV773" i="1"/>
  <c r="AV379" i="1"/>
  <c r="AV1919" i="1"/>
  <c r="AV1931" i="1"/>
  <c r="AV2012" i="1"/>
  <c r="AV152" i="1"/>
  <c r="AV1877" i="1"/>
  <c r="AV1350" i="1"/>
  <c r="AV529" i="1"/>
  <c r="AV673" i="1"/>
  <c r="AV190" i="1"/>
  <c r="AV1532" i="1"/>
  <c r="AV95" i="1"/>
  <c r="AV603" i="1"/>
  <c r="AV135" i="1"/>
  <c r="AV342" i="1"/>
  <c r="AV1750" i="1"/>
  <c r="AV919" i="1"/>
  <c r="AV214" i="1"/>
  <c r="AV602" i="1"/>
  <c r="AV790" i="1"/>
  <c r="AV621" i="1"/>
  <c r="AV359" i="1"/>
  <c r="AV1839" i="1"/>
  <c r="AV1677" i="1"/>
  <c r="AV255" i="1"/>
  <c r="AV581" i="1"/>
  <c r="AV479" i="1"/>
  <c r="AV397" i="1"/>
  <c r="AV676" i="1"/>
  <c r="AV761" i="1"/>
  <c r="AV1378" i="1"/>
  <c r="AV1380" i="1"/>
  <c r="AV240" i="1"/>
  <c r="AV223" i="1"/>
  <c r="AV1368" i="1"/>
  <c r="AV557" i="1"/>
  <c r="AV1711" i="1"/>
  <c r="AV1830" i="1"/>
  <c r="AV1881" i="1"/>
  <c r="AV102" i="1"/>
  <c r="AV1776" i="1"/>
  <c r="AV1543" i="1"/>
  <c r="AV1105" i="1"/>
  <c r="AV165" i="1"/>
  <c r="AV970" i="1"/>
  <c r="AV1326" i="1"/>
  <c r="AV1884" i="1"/>
  <c r="AV1705" i="1"/>
  <c r="AV1163" i="1"/>
  <c r="AV1031" i="1"/>
  <c r="AV216" i="1"/>
  <c r="AV647" i="1"/>
  <c r="AV1166" i="1"/>
  <c r="AV1636" i="1"/>
  <c r="AV296" i="1"/>
  <c r="AV428" i="1"/>
  <c r="AV63" i="1"/>
  <c r="AV1847" i="1"/>
  <c r="AV1123" i="1"/>
  <c r="AV1017" i="1"/>
  <c r="AV1435" i="1"/>
  <c r="AV52" i="1"/>
  <c r="AV424" i="1"/>
  <c r="AV341" i="1"/>
  <c r="AV897" i="1"/>
  <c r="AV54" i="1"/>
  <c r="AV1241" i="1"/>
  <c r="AV1070" i="1"/>
  <c r="AV36" i="1"/>
  <c r="AV1499" i="1"/>
  <c r="AV1729" i="1"/>
  <c r="AV1922" i="1"/>
  <c r="AV951" i="1"/>
  <c r="AV1675" i="1"/>
  <c r="AV1930" i="1"/>
  <c r="AV1699" i="1"/>
  <c r="AV4" i="1"/>
  <c r="AV317" i="1"/>
  <c r="AV140" i="1"/>
  <c r="AV1005" i="1"/>
  <c r="AV459" i="1"/>
  <c r="AV749" i="1"/>
  <c r="AV788" i="1"/>
  <c r="AV274" i="1"/>
  <c r="AV1372" i="1"/>
  <c r="AV444" i="1"/>
  <c r="AV2003" i="1"/>
  <c r="AV1655" i="1"/>
  <c r="AV1545" i="1"/>
  <c r="AV1528" i="1"/>
  <c r="AV13" i="1"/>
  <c r="AV638" i="1"/>
  <c r="AV70" i="1"/>
  <c r="AV573" i="1"/>
  <c r="AV1288" i="1"/>
  <c r="AV786" i="1"/>
  <c r="AV1871" i="1"/>
  <c r="AV1426" i="1"/>
  <c r="AV1551" i="1"/>
  <c r="AV693" i="1"/>
  <c r="AV851" i="1"/>
  <c r="AV637" i="1"/>
  <c r="AV1184" i="1"/>
  <c r="AV1561" i="1"/>
  <c r="AV805" i="1"/>
  <c r="AV373" i="1"/>
  <c r="AV1111" i="1"/>
  <c r="AV770" i="1"/>
  <c r="AV913" i="1"/>
  <c r="AV185" i="1"/>
  <c r="AV1756" i="1"/>
  <c r="AV368" i="1"/>
  <c r="AV1870" i="1"/>
  <c r="AV259" i="1"/>
  <c r="AV1301" i="1"/>
  <c r="AV475" i="1"/>
  <c r="AV645" i="1"/>
  <c r="AV362" i="1"/>
  <c r="AV1859" i="1"/>
  <c r="AV1649" i="1"/>
  <c r="AV1746" i="1"/>
  <c r="AV1063" i="1"/>
  <c r="AV1011" i="1"/>
  <c r="AV1037" i="1"/>
  <c r="AV380" i="1"/>
  <c r="AV118" i="1"/>
  <c r="AV1447" i="1"/>
  <c r="AV1498" i="1"/>
  <c r="AV1022" i="1"/>
  <c r="AV1964" i="1"/>
  <c r="AV405" i="1"/>
  <c r="AV1694" i="1"/>
  <c r="AV1348" i="1"/>
  <c r="AV1824" i="1"/>
  <c r="AV1674" i="1"/>
  <c r="AV769" i="1"/>
  <c r="AV261" i="1"/>
  <c r="AV1233" i="1"/>
  <c r="AV1844" i="1"/>
  <c r="AV360" i="1"/>
  <c r="AV1392" i="1"/>
  <c r="AV1047" i="1"/>
  <c r="AV1684" i="1"/>
  <c r="AV327" i="1"/>
  <c r="AV189" i="1"/>
  <c r="AV71" i="1"/>
  <c r="AV1159" i="1"/>
  <c r="AV592" i="1"/>
  <c r="AV232" i="1"/>
  <c r="AV669" i="1"/>
  <c r="AV6" i="1"/>
  <c r="AV1405" i="1"/>
  <c r="AV1607" i="1"/>
  <c r="AV1708" i="1"/>
  <c r="AV1136" i="1"/>
  <c r="AV1261" i="1"/>
  <c r="AV702" i="1"/>
  <c r="AV1242" i="1"/>
  <c r="AV220" i="1"/>
  <c r="AV1265" i="1"/>
  <c r="AV1189" i="1"/>
  <c r="AV295" i="1"/>
  <c r="AV1338" i="1"/>
  <c r="AV1003" i="1"/>
  <c r="AV120" i="1"/>
  <c r="AV1302" i="1"/>
  <c r="AV545" i="1"/>
  <c r="AV1169" i="1"/>
  <c r="AV292" i="1"/>
  <c r="AV433" i="1"/>
  <c r="AV1697" i="1"/>
  <c r="AV699" i="1"/>
  <c r="AV1319" i="1"/>
  <c r="AV1034" i="1"/>
  <c r="AV1074" i="1"/>
  <c r="AV159" i="1"/>
  <c r="AV1563" i="1"/>
  <c r="AV1520" i="1"/>
  <c r="AV376" i="1"/>
  <c r="AV1454" i="1"/>
  <c r="AV1796" i="1"/>
  <c r="AV727" i="1"/>
  <c r="AV1907" i="1"/>
  <c r="AV1863" i="1"/>
  <c r="AV412" i="1"/>
  <c r="AV2013" i="1"/>
  <c r="AV275" i="1"/>
  <c r="AV680" i="1"/>
  <c r="AV1903" i="1"/>
  <c r="AV239" i="1"/>
  <c r="AV795" i="1"/>
  <c r="AV1710" i="1"/>
  <c r="AV390" i="1"/>
  <c r="AV500" i="1"/>
  <c r="AV352" i="1"/>
  <c r="AV655" i="1"/>
  <c r="AV1698" i="1"/>
  <c r="AV1704" i="1"/>
  <c r="AV5" i="1"/>
  <c r="AV1420" i="1"/>
  <c r="AV469" i="1"/>
  <c r="AV1706" i="1"/>
  <c r="AV718" i="1"/>
  <c r="AV1227" i="1"/>
  <c r="AV1960" i="1"/>
  <c r="AV1423" i="1"/>
  <c r="AV1982" i="1"/>
  <c r="AV561" i="1"/>
  <c r="AV1267" i="1"/>
  <c r="AV1458" i="1"/>
  <c r="AV1333" i="1"/>
  <c r="AV1478" i="1"/>
  <c r="AV177" i="1"/>
  <c r="AV1470" i="1"/>
  <c r="AV280" i="1"/>
  <c r="AV1917" i="1"/>
  <c r="AV371" i="1"/>
  <c r="AV1652" i="1"/>
  <c r="AV725" i="1"/>
  <c r="AV1779" i="1"/>
  <c r="AV1657" i="1"/>
  <c r="AV635" i="1"/>
  <c r="AV499" i="1"/>
  <c r="AV187" i="1"/>
  <c r="AV309" i="1"/>
  <c r="AV686" i="1"/>
  <c r="AV1845" i="1"/>
  <c r="AV620" i="1"/>
  <c r="AV1244" i="1"/>
  <c r="AV1715" i="1"/>
  <c r="AV269" i="1"/>
  <c r="AV1092" i="1"/>
  <c r="AV174" i="1"/>
  <c r="AV1145" i="1"/>
  <c r="AV1141" i="1"/>
  <c r="AV1464" i="1"/>
  <c r="AV92" i="1"/>
  <c r="AV1977" i="1"/>
  <c r="AV1762" i="1"/>
  <c r="AV957" i="1"/>
  <c r="AV1510" i="1"/>
  <c r="AV1278" i="1"/>
  <c r="AV343" i="1"/>
  <c r="AV868" i="1"/>
  <c r="AV1613" i="1"/>
  <c r="AV861" i="1"/>
  <c r="AV1162" i="1"/>
  <c r="AV1354" i="1"/>
  <c r="AV1852" i="1"/>
  <c r="AV158" i="1"/>
  <c r="AV1379" i="1"/>
  <c r="AV241" i="1"/>
  <c r="AV689" i="1"/>
  <c r="AV819" i="1"/>
  <c r="AV1996" i="1"/>
  <c r="AV1911" i="1"/>
  <c r="AV308" i="1"/>
  <c r="AV973" i="1"/>
  <c r="AV1795" i="1"/>
  <c r="AV1390" i="1"/>
  <c r="AV584" i="1"/>
  <c r="AV1765" i="1"/>
  <c r="AV660" i="1"/>
  <c r="AV1594" i="1"/>
  <c r="AV1178" i="1"/>
  <c r="AV691" i="1"/>
  <c r="AV1443" i="1"/>
  <c r="AV476" i="1"/>
  <c r="AV1988" i="1"/>
  <c r="AV1778" i="1"/>
  <c r="AV1010" i="1"/>
  <c r="AV1700" i="1"/>
  <c r="AV1851" i="1"/>
  <c r="AV1075" i="1"/>
  <c r="AV656" i="1"/>
  <c r="AV1577" i="1"/>
  <c r="AV1895" i="1"/>
  <c r="AV752" i="1"/>
  <c r="AV238" i="1"/>
  <c r="AV1718" i="1"/>
  <c r="AV111" i="1"/>
  <c r="AV333" i="1"/>
  <c r="AV880" i="1"/>
  <c r="AV940" i="1"/>
  <c r="AV865" i="1"/>
  <c r="AV1797" i="1"/>
  <c r="AV136" i="1"/>
  <c r="AV1277" i="1"/>
  <c r="AV79" i="1"/>
  <c r="AV1731" i="1"/>
  <c r="AV1627" i="1"/>
  <c r="AV555" i="1"/>
  <c r="AV502" i="1"/>
  <c r="AV346" i="1"/>
  <c r="AV289" i="1"/>
  <c r="AV780" i="1"/>
  <c r="AV1431" i="1"/>
  <c r="AV1098" i="1"/>
  <c r="AV364" i="1"/>
  <c r="AV445" i="1"/>
  <c r="AV1248" i="1"/>
  <c r="AV206" i="1"/>
  <c r="AV732" i="1"/>
  <c r="AV1764" i="1"/>
  <c r="AV1053" i="1"/>
  <c r="AV949" i="1"/>
  <c r="AV188" i="1"/>
  <c r="AV1678" i="1"/>
  <c r="AV310" i="1"/>
  <c r="AV997" i="1"/>
  <c r="AV1511" i="1"/>
  <c r="AV1121" i="1"/>
  <c r="AV1751" i="1"/>
  <c r="AV692" i="1"/>
  <c r="AV1451" i="1"/>
  <c r="AV1182" i="1"/>
  <c r="AV1518" i="1"/>
  <c r="AV1683" i="1"/>
  <c r="AV640" i="1"/>
  <c r="AV1721" i="1"/>
  <c r="AV1637" i="1"/>
  <c r="AV1925" i="1"/>
  <c r="AV1406" i="1"/>
  <c r="AV1505" i="1"/>
  <c r="AV2002" i="1"/>
  <c r="AV1282" i="1"/>
  <c r="AV721" i="1"/>
  <c r="AV1512" i="1"/>
  <c r="AV351" i="1"/>
  <c r="AV34" i="1"/>
  <c r="AV696" i="1"/>
  <c r="AV224" i="1"/>
  <c r="AV703" i="1"/>
  <c r="AV542" i="1"/>
  <c r="AV325" i="1"/>
  <c r="AV1275" i="1"/>
  <c r="AV1979" i="1"/>
  <c r="AV1855" i="1"/>
  <c r="AV1987" i="1"/>
  <c r="AV1739" i="1"/>
  <c r="AV254" i="1"/>
  <c r="AV1318" i="1"/>
  <c r="AV1279" i="1"/>
  <c r="AV960" i="1"/>
  <c r="AV1149" i="1"/>
  <c r="AV1800" i="1"/>
  <c r="AV623" i="1"/>
  <c r="AV1723" i="1"/>
  <c r="AV1078" i="1"/>
  <c r="AV1865" i="1"/>
  <c r="AV955" i="1"/>
  <c r="AV654" i="1"/>
  <c r="AV1128" i="1"/>
  <c r="AV487" i="1"/>
  <c r="AV272" i="1"/>
  <c r="AV1940" i="1"/>
  <c r="AV113" i="1"/>
  <c r="AV27" i="1"/>
  <c r="AV1094" i="1"/>
  <c r="AV1483" i="1"/>
  <c r="AV1946" i="1"/>
  <c r="AV100" i="1"/>
  <c r="AV37" i="1"/>
  <c r="AV1158" i="1"/>
  <c r="AV14" i="1"/>
  <c r="AV441" i="1"/>
  <c r="AV1999" i="1"/>
  <c r="AV758" i="1"/>
  <c r="AV85" i="1"/>
  <c r="AV1268" i="1"/>
  <c r="AV604" i="1"/>
  <c r="AV481" i="1"/>
  <c r="AV1741" i="1"/>
  <c r="AV1085" i="1"/>
  <c r="AV606" i="1"/>
  <c r="AV1091" i="1"/>
  <c r="AV1680" i="1"/>
  <c r="AV2006" i="1"/>
  <c r="AV1734" i="1"/>
  <c r="AV958" i="1"/>
  <c r="AV1738" i="1"/>
  <c r="AV1599" i="1"/>
  <c r="AV1525" i="1"/>
  <c r="AV1316" i="1"/>
  <c r="AV144" i="1"/>
  <c r="AV1868" i="1"/>
  <c r="AV959" i="1"/>
  <c r="AV898" i="1"/>
  <c r="AV894" i="1"/>
  <c r="AV1533" i="1"/>
  <c r="AV522" i="1"/>
  <c r="AV610" i="1"/>
  <c r="AV1438" i="1"/>
  <c r="AV45" i="1"/>
  <c r="AV1289" i="1"/>
  <c r="AV1119" i="1"/>
  <c r="AV369" i="1"/>
  <c r="AV793" i="1"/>
  <c r="AV365" i="1"/>
  <c r="AV1096" i="1"/>
  <c r="AV1632" i="1"/>
  <c r="AV385" i="1"/>
  <c r="AV267" i="1"/>
  <c r="AV1689" i="1"/>
  <c r="AV1027" i="1"/>
  <c r="AV1100" i="1"/>
  <c r="AV735" i="1"/>
  <c r="AV1462" i="1"/>
  <c r="AV847" i="1"/>
  <c r="AV1439" i="1"/>
  <c r="AV1916" i="1"/>
  <c r="AV754" i="1"/>
  <c r="AV1345" i="1"/>
  <c r="AV901" i="1"/>
  <c r="AV731" i="1"/>
  <c r="AV1346" i="1"/>
  <c r="AV1437" i="1"/>
  <c r="AV1475" i="1"/>
  <c r="AV1663" i="1"/>
  <c r="AV1287" i="1"/>
  <c r="AV114" i="1"/>
  <c r="AV196" i="1"/>
  <c r="AV639" i="1"/>
  <c r="AV783" i="1"/>
  <c r="AV1994" i="1"/>
  <c r="AV1371" i="1"/>
  <c r="AV426" i="1"/>
  <c r="AV1168" i="1"/>
  <c r="AV256" i="1"/>
  <c r="AV853" i="1"/>
  <c r="AV594" i="1"/>
  <c r="AV827" i="1"/>
  <c r="AV907" i="1"/>
  <c r="AV409" i="1"/>
  <c r="AV619" i="1"/>
  <c r="AV442" i="1"/>
  <c r="AV1849" i="1"/>
  <c r="AV1151" i="1"/>
  <c r="AV1401" i="1"/>
  <c r="AV634" i="1"/>
  <c r="AV613" i="1"/>
  <c r="AV614" i="1"/>
  <c r="AV101" i="1"/>
  <c r="AV1054" i="1"/>
  <c r="AV787" i="1"/>
  <c r="AV1384" i="1"/>
  <c r="AV765" i="1"/>
  <c r="AV1129" i="1"/>
  <c r="AV53" i="1"/>
  <c r="AV1342" i="1"/>
  <c r="AV122" i="1"/>
  <c r="AV1568" i="1"/>
  <c r="AV1790" i="1"/>
  <c r="AV331" i="1"/>
  <c r="AV202" i="1"/>
  <c r="AV1737" i="1"/>
  <c r="AV251" i="1"/>
  <c r="AV824" i="1"/>
  <c r="AV356" i="1"/>
  <c r="AV1806" i="1"/>
  <c r="AV1609" i="1"/>
  <c r="AV217" i="1"/>
  <c r="AV653" i="1"/>
  <c r="AV467" i="1"/>
  <c r="AV1132" i="1"/>
  <c r="AV1135" i="1"/>
  <c r="AV509" i="1"/>
  <c r="AV833" i="1"/>
  <c r="AV667" i="1"/>
  <c r="AV1747" i="1"/>
  <c r="AV1220" i="1"/>
  <c r="AV1252" i="1"/>
  <c r="AV218" i="1"/>
  <c r="AV921" i="1"/>
  <c r="AV1880" i="1"/>
  <c r="AV1834" i="1"/>
  <c r="AV1286" i="1"/>
  <c r="AV1271" i="1"/>
  <c r="AV72" i="1"/>
  <c r="AV950" i="1"/>
  <c r="AV1822" i="1"/>
  <c r="AV75" i="1"/>
  <c r="AV1116" i="1"/>
  <c r="AV1948" i="1"/>
  <c r="AV1799" i="1"/>
  <c r="AV1444" i="1"/>
  <c r="AV1894" i="1"/>
  <c r="AV778" i="1"/>
  <c r="AV1550" i="1"/>
  <c r="AV168" i="1"/>
  <c r="AV1344" i="1"/>
  <c r="AV923" i="1"/>
  <c r="AV137" i="1"/>
  <c r="AV1753" i="1"/>
  <c r="AV287" i="1"/>
  <c r="AV1624" i="1"/>
  <c r="AV109" i="1"/>
  <c r="AV523" i="1"/>
  <c r="AV722" i="1"/>
  <c r="AV1134" i="1"/>
  <c r="AV1066" i="1"/>
  <c r="AV628" i="1"/>
  <c r="AV1794" i="1"/>
  <c r="AV1126" i="1"/>
  <c r="AV1468" i="1"/>
  <c r="AV1231" i="1"/>
  <c r="AV1465" i="1"/>
  <c r="AV1433" i="1"/>
  <c r="AV670" i="1"/>
  <c r="AV1474" i="1"/>
  <c r="AV715" i="1"/>
  <c r="AV1055" i="1"/>
  <c r="AV1995" i="1"/>
  <c r="AV1161" i="1"/>
  <c r="AV989" i="1"/>
  <c r="AV1222" i="1"/>
  <c r="AV1150" i="1"/>
  <c r="AV1411" i="1"/>
  <c r="AV1385" i="1"/>
  <c r="AV1811" i="1"/>
  <c r="AV194" i="1"/>
  <c r="AV764" i="1"/>
  <c r="AV1013" i="1"/>
  <c r="AV1493" i="1"/>
  <c r="AV1374" i="1"/>
  <c r="AV23" i="1"/>
  <c r="AV345" i="1"/>
  <c r="AV1621" i="1"/>
  <c r="AV485" i="1"/>
  <c r="AV1963" i="1"/>
  <c r="AV1882" i="1"/>
  <c r="AV1337" i="1"/>
  <c r="AV1810" i="1"/>
  <c r="AV1682" i="1"/>
  <c r="AV1761" i="1"/>
  <c r="AV736" i="1"/>
  <c r="AV306" i="1"/>
  <c r="AV804" i="1"/>
  <c r="AV1103" i="1"/>
  <c r="AV1890" i="1"/>
  <c r="AV1862" i="1"/>
  <c r="AV1707" i="1"/>
  <c r="AV143" i="1"/>
  <c r="AV1373" i="1"/>
  <c r="AV887" i="1"/>
  <c r="AV1950" i="1"/>
  <c r="AV726" i="1"/>
  <c r="AV1202" i="1"/>
  <c r="AV1575" i="1"/>
  <c r="AV943" i="1"/>
  <c r="AV1748" i="1"/>
  <c r="AV984" i="1"/>
  <c r="AV1209" i="1"/>
  <c r="AV330" i="1"/>
  <c r="AV1482" i="1"/>
  <c r="AV312" i="1"/>
  <c r="AV1992" i="1"/>
  <c r="AV329" i="1"/>
  <c r="AV552" i="1"/>
  <c r="AV1586" i="1"/>
  <c r="AV1757" i="1"/>
  <c r="AV566" i="1"/>
  <c r="AV414" i="1"/>
  <c r="AV1224" i="1"/>
  <c r="AV83" i="1"/>
  <c r="AV1229" i="1"/>
  <c r="AV99" i="1"/>
  <c r="AV925" i="1"/>
  <c r="AV750" i="1"/>
  <c r="AV498" i="1"/>
  <c r="AV266" i="1"/>
  <c r="AV738" i="1"/>
  <c r="AV1230" i="1"/>
  <c r="AV235" i="1"/>
  <c r="AV1181" i="1"/>
  <c r="AV3" i="1"/>
  <c r="AV935" i="1"/>
  <c r="AV401" i="1"/>
  <c r="AV632" i="1"/>
  <c r="AV8" i="1"/>
  <c r="AV1732" i="1"/>
  <c r="AV587" i="1"/>
  <c r="AV1114" i="1"/>
  <c r="AV1137" i="1"/>
  <c r="AV799" i="1"/>
  <c r="AV532" i="1"/>
  <c r="AV1190" i="1"/>
  <c r="AV922" i="1"/>
  <c r="AV825" i="1"/>
  <c r="AV1369" i="1"/>
  <c r="AV1793" i="1"/>
  <c r="AV1687" i="1"/>
  <c r="AV1228" i="1"/>
  <c r="AV1908" i="1"/>
  <c r="AV1767" i="1"/>
  <c r="AV946" i="1"/>
  <c r="AV826" i="1"/>
  <c r="AV835" i="1"/>
  <c r="AV609" i="1"/>
  <c r="AV421" i="1"/>
  <c r="AV1805" i="1"/>
  <c r="AV386" i="1"/>
  <c r="AV315" i="1"/>
  <c r="AV1491" i="1"/>
  <c r="AV389" i="1"/>
  <c r="AV593" i="1"/>
  <c r="AV363" i="1"/>
  <c r="AV904" i="1"/>
  <c r="AV1485" i="1"/>
  <c r="AV398" i="1"/>
  <c r="AV605" i="1"/>
  <c r="AV60" i="1"/>
  <c r="AV175" i="1"/>
  <c r="AV348" i="1"/>
  <c r="AV1082" i="1"/>
  <c r="AV470" i="1"/>
  <c r="AV1360" i="1"/>
  <c r="AV1842" i="1"/>
  <c r="AV1218" i="1"/>
  <c r="AV759" i="1"/>
  <c r="AV1050" i="1"/>
  <c r="AV1866" i="1"/>
  <c r="AV806" i="1"/>
  <c r="AV205" i="1"/>
  <c r="AV402" i="1"/>
  <c r="AV513" i="1"/>
  <c r="AV521" i="1"/>
  <c r="AV28" i="1"/>
  <c r="AV1364" i="1"/>
  <c r="AV1567" i="1"/>
  <c r="AV1351" i="1"/>
  <c r="AV672" i="1"/>
  <c r="AV1815" i="1"/>
  <c r="AV945" i="1"/>
  <c r="AV1628" i="1"/>
  <c r="AV530" i="1"/>
  <c r="AV1049" i="1"/>
  <c r="AV212" i="1"/>
  <c r="AV62" i="1"/>
  <c r="AV1817" i="1"/>
  <c r="AV828" i="1"/>
  <c r="AV1269" i="1"/>
  <c r="AV486" i="1"/>
  <c r="AV519" i="1"/>
  <c r="AV1939" i="1"/>
  <c r="AV305" i="1"/>
  <c r="AV2011" i="1"/>
  <c r="AV182" i="1"/>
  <c r="AV236" i="1"/>
  <c r="AV899" i="1"/>
  <c r="AV31" i="1"/>
  <c r="AV1617" i="1"/>
  <c r="AV1029" i="1"/>
  <c r="AV1304" i="1"/>
  <c r="AV231" i="1"/>
  <c r="AV336" i="1"/>
  <c r="AV589" i="1"/>
  <c r="AV570" i="1"/>
  <c r="AV1952" i="1"/>
  <c r="AV709" i="1"/>
  <c r="AV717" i="1"/>
  <c r="AV1630" i="1"/>
  <c r="AV1164" i="1"/>
  <c r="AV1429" i="1"/>
  <c r="AV121" i="1"/>
  <c r="AV115" i="1"/>
  <c r="AV1971" i="1"/>
  <c r="AV273" i="1"/>
  <c r="AV1629" i="1"/>
  <c r="AV456" i="1"/>
  <c r="AV89" i="1"/>
  <c r="AV1064" i="1"/>
  <c r="AV141" i="1"/>
  <c r="AV226" i="1"/>
  <c r="AV408" i="1"/>
  <c r="AV723" i="1"/>
  <c r="AV846" i="1"/>
  <c r="AV1352" i="1"/>
  <c r="AV1477" i="1"/>
  <c r="AV1524" i="1"/>
  <c r="AV406" i="1"/>
  <c r="AV164" i="1"/>
  <c r="AV1673" i="1"/>
  <c r="AV271" i="1"/>
  <c r="AV1153" i="1"/>
  <c r="AV234" i="1"/>
  <c r="AV357" i="1"/>
  <c r="AV1188" i="1"/>
  <c r="AV771" i="1"/>
  <c r="AV505" i="1"/>
  <c r="AV210" i="1"/>
  <c r="AV1332" i="1"/>
  <c r="AV1622" i="1"/>
  <c r="AV2017" i="1"/>
  <c r="AV1413" i="1"/>
  <c r="AV1400" i="1"/>
  <c r="AV277" i="1"/>
  <c r="AV1080" i="1"/>
  <c r="AV511" i="1"/>
  <c r="AV302" i="1"/>
  <c r="AV1515" i="1"/>
  <c r="AV1934" i="1"/>
  <c r="AV1725" i="1"/>
  <c r="AV1693" i="1"/>
  <c r="AV1920" i="1"/>
  <c r="AV1981" i="1"/>
  <c r="AV1330" i="1"/>
  <c r="AV1259" i="1"/>
  <c r="AV1355" i="1"/>
  <c r="AV480" i="1"/>
  <c r="AV142" i="1"/>
  <c r="AV1763" i="1"/>
  <c r="AV1032" i="1"/>
  <c r="AV1217" i="1"/>
  <c r="AV829" i="1"/>
  <c r="AV568" i="1"/>
  <c r="AV802" i="1"/>
  <c r="AV265" i="1"/>
  <c r="AV1953" i="1"/>
  <c r="AV737" i="1"/>
  <c r="AV1216" i="1"/>
  <c r="AV1645" i="1"/>
  <c r="AV153" i="1"/>
  <c r="AV751" i="1"/>
  <c r="AV1068" i="1"/>
  <c r="AV883" i="1"/>
  <c r="AV963" i="1"/>
  <c r="AV798" i="1"/>
  <c r="AV507" i="1"/>
  <c r="AV1339" i="1"/>
  <c r="AV1924" i="1"/>
  <c r="AV270" i="1"/>
  <c r="AV1048" i="1"/>
  <c r="AV18" i="1"/>
  <c r="AV622" i="1"/>
  <c r="AV1703" i="1"/>
  <c r="AV1576" i="1"/>
  <c r="AV626" i="1"/>
  <c r="AV1818" i="1"/>
  <c r="AV209" i="1"/>
  <c r="AV1913" i="1"/>
  <c r="AV544" i="1"/>
  <c r="AV437" i="1"/>
  <c r="AV204" i="1"/>
  <c r="AV1504" i="1"/>
  <c r="AV394" i="1"/>
  <c r="AV1966" i="1"/>
  <c r="AV915" i="1"/>
  <c r="AV659" i="1"/>
  <c r="AV905" i="1"/>
  <c r="AV1832" i="1"/>
  <c r="AV1581" i="1"/>
  <c r="AV551" i="1"/>
  <c r="AV1087" i="1"/>
  <c r="AV110" i="1"/>
  <c r="AV1170" i="1"/>
  <c r="AV876" i="1"/>
  <c r="AV1676" i="1"/>
  <c r="AV1394" i="1"/>
  <c r="AV1937" i="1"/>
  <c r="AV123" i="1"/>
  <c r="AV130" i="1"/>
  <c r="AV431" i="1"/>
  <c r="AV965" i="1"/>
  <c r="AV1101" i="1"/>
  <c r="AV1986" i="1"/>
  <c r="AV1095" i="1"/>
  <c r="AV132" i="1"/>
  <c r="AV1730" i="1"/>
  <c r="AV1172" i="1"/>
  <c r="AV753" i="1"/>
  <c r="AV1448" i="1"/>
  <c r="AV893" i="1"/>
  <c r="AV1494" i="1"/>
  <c r="AV57" i="1"/>
  <c r="AV1897" i="1"/>
  <c r="AV1255" i="1"/>
  <c r="AV1893" i="1"/>
  <c r="AV1396" i="1"/>
  <c r="AV1073" i="1"/>
  <c r="AV843" i="1"/>
  <c r="AV1303" i="1"/>
  <c r="AV1929" i="1"/>
  <c r="AV972" i="1"/>
  <c r="AV1702" i="1"/>
  <c r="AV311" i="1"/>
  <c r="AV747" i="1"/>
  <c r="AV1914" i="1"/>
  <c r="AV1293" i="1"/>
  <c r="AV733" i="1"/>
  <c r="AV179" i="1"/>
  <c r="AV1312" i="1"/>
  <c r="AV1366" i="1"/>
  <c r="AV73" i="1"/>
  <c r="AV1965" i="1"/>
  <c r="AV1858" i="1"/>
  <c r="AV1538" i="1"/>
  <c r="AV1508" i="1"/>
  <c r="AV1025" i="1"/>
  <c r="AV116" i="1"/>
  <c r="AV1247" i="1"/>
  <c r="AV1357" i="1"/>
  <c r="AV1062" i="1"/>
  <c r="AV358" i="1"/>
  <c r="AV1681" i="1"/>
  <c r="AV1058" i="1"/>
  <c r="AV203" i="1"/>
  <c r="AV1769" i="1"/>
  <c r="AV926" i="1"/>
  <c r="AV708" i="1"/>
  <c r="AV438" i="1"/>
  <c r="AV1492" i="1"/>
  <c r="AV1891" i="1"/>
  <c r="AV155" i="1"/>
  <c r="AV962" i="1"/>
  <c r="AV382" i="1"/>
  <c r="AV524" i="1"/>
  <c r="AV822" i="1"/>
  <c r="AV66" i="1"/>
  <c r="AV67" i="1"/>
  <c r="AV1214" i="1"/>
  <c r="AV1133" i="1"/>
  <c r="AV745" i="1"/>
  <c r="AV201" i="1"/>
  <c r="AV211" i="1"/>
  <c r="AV1042" i="1"/>
  <c r="AV1559" i="1"/>
  <c r="AV9" i="1"/>
  <c r="AV466" i="1"/>
  <c r="AV297" i="1"/>
  <c r="AV1363" i="1"/>
  <c r="AV276" i="1"/>
  <c r="AV1251" i="1"/>
  <c r="AV263" i="1"/>
  <c r="AV1417" i="1"/>
  <c r="AV1667" i="1"/>
  <c r="AV334" i="1"/>
  <c r="AV1430" i="1"/>
  <c r="AV195" i="1"/>
  <c r="AV246" i="1"/>
  <c r="AV569" i="1"/>
  <c r="AV163" i="1"/>
  <c r="AV1142" i="1"/>
  <c r="AV697" i="1"/>
  <c r="AV1804" i="1"/>
  <c r="AV1651" i="1"/>
  <c r="AV301" i="1"/>
  <c r="AV591" i="1"/>
  <c r="AV932" i="1"/>
  <c r="AV763" i="1"/>
  <c r="AV698" i="1"/>
  <c r="AV931" i="1"/>
  <c r="AV96" i="1"/>
  <c r="AV22" i="1"/>
  <c r="AV1728" i="1"/>
  <c r="AV600" i="1"/>
  <c r="AV814" i="1"/>
  <c r="AV565" i="1"/>
  <c r="AV1395" i="1"/>
  <c r="AV578" i="1"/>
  <c r="AV1770" i="1"/>
  <c r="AV1007" i="1"/>
  <c r="AV1262" i="1"/>
  <c r="AV1314" i="1"/>
  <c r="AV1173" i="1"/>
  <c r="AV1969" i="1"/>
  <c r="AV808" i="1"/>
  <c r="AV1026" i="1"/>
  <c r="AV807" i="1"/>
  <c r="AV996" i="1"/>
  <c r="AV547" i="1"/>
  <c r="AV1035" i="1"/>
  <c r="AV1377" i="1"/>
  <c r="AV1383" i="1"/>
  <c r="AV1056" i="1"/>
  <c r="AV975" i="1"/>
  <c r="AV19" i="1"/>
  <c r="AV1626" i="1"/>
  <c r="AV1589" i="1"/>
  <c r="AV1238" i="1"/>
  <c r="AV65" i="1"/>
  <c r="AV1388" i="1"/>
  <c r="AV1972" i="1"/>
  <c r="AV844" i="1"/>
  <c r="AV145" i="1"/>
  <c r="AV97" i="1"/>
  <c r="AV124" i="1"/>
  <c r="AV1615" i="1"/>
  <c r="AV1041" i="1"/>
  <c r="AV1210" i="1"/>
  <c r="AV1957" i="1"/>
  <c r="AV1610" i="1"/>
  <c r="AV186" i="1"/>
  <c r="AV633" i="1"/>
  <c r="AV104" i="1"/>
  <c r="AV233" i="1"/>
  <c r="AV156" i="1"/>
  <c r="AV1616" i="1"/>
  <c r="AV82" i="1"/>
  <c r="AV1854" i="1"/>
  <c r="AV1308" i="1"/>
  <c r="AV616" i="1"/>
  <c r="AV700" i="1"/>
  <c r="AV227" i="1"/>
  <c r="AV994" i="1"/>
  <c r="AV1243" i="1"/>
  <c r="AV446" i="1"/>
  <c r="AV12" i="1"/>
  <c r="AV873" i="1"/>
  <c r="AV1878" i="1"/>
  <c r="AV1570" i="1"/>
  <c r="AV1601" i="1"/>
  <c r="AV677" i="1"/>
  <c r="AV1949" i="1"/>
  <c r="AV1548" i="1"/>
  <c r="AV420" i="1"/>
  <c r="AV1081" i="1"/>
  <c r="AV1717" i="1"/>
  <c r="AV1620" i="1"/>
  <c r="AV1463" i="1"/>
  <c r="AV518" i="1"/>
  <c r="AV328" i="1"/>
  <c r="AV579" i="1"/>
  <c r="AV1664" i="1"/>
  <c r="AV1592" i="1"/>
  <c r="AV1579" i="1"/>
  <c r="AV1768" i="1"/>
  <c r="AV705" i="1"/>
  <c r="AV1644" i="1"/>
  <c r="AV1961" i="1"/>
  <c r="AV912" i="1"/>
  <c r="AV1758" i="1"/>
  <c r="AV1980" i="1"/>
  <c r="AV1713" i="1"/>
  <c r="AV588" i="1"/>
  <c r="AV257" i="1"/>
  <c r="AV30" i="1"/>
  <c r="AV361" i="1"/>
  <c r="AV1696" i="1"/>
  <c r="AV1298" i="1"/>
  <c r="AV1536" i="1"/>
  <c r="AV1175" i="1"/>
  <c r="AV1503" i="1"/>
  <c r="AV1203" i="1"/>
  <c r="AV791" i="1"/>
  <c r="AV1488" i="1"/>
  <c r="AV1876" i="1"/>
  <c r="AV242" i="1"/>
  <c r="AV1542" i="1"/>
  <c r="AV1658" i="1"/>
  <c r="AV1643" i="1"/>
  <c r="AV458" i="1"/>
  <c r="AV1530" i="1"/>
  <c r="AV1266" i="1"/>
  <c r="AV1780" i="1"/>
  <c r="AV374" i="1"/>
  <c r="AV1833" i="1"/>
  <c r="AV1782" i="1"/>
  <c r="AV298" i="1"/>
  <c r="AV1313" i="1"/>
  <c r="AV631" i="1"/>
  <c r="AV324" i="1"/>
  <c r="AV353" i="1"/>
  <c r="AV766" i="1"/>
  <c r="AV674" i="1"/>
  <c r="AV854" i="1"/>
  <c r="AV1546" i="1"/>
  <c r="AV658" i="1"/>
  <c r="AV1984" i="1"/>
  <c r="AV68" i="1"/>
  <c r="AV684" i="1"/>
  <c r="AV1578" i="1"/>
  <c r="AV370" i="1"/>
  <c r="AV548" i="1"/>
  <c r="AV834" i="1"/>
  <c r="AV1469" i="1"/>
  <c r="AV800" i="1"/>
  <c r="AV56" i="1"/>
  <c r="AV51" i="1"/>
  <c r="AV1798" i="1"/>
  <c r="AV1077" i="1"/>
  <c r="AV1347" i="1"/>
  <c r="AV392" i="1"/>
  <c r="AV1517" i="1"/>
  <c r="AV199" i="1"/>
  <c r="AV1349" i="1"/>
  <c r="AV243" i="1"/>
  <c r="AV944" i="1"/>
  <c r="AV1875" i="1"/>
  <c r="AV93" i="1"/>
  <c r="AV1237" i="1"/>
  <c r="AV323" i="1"/>
  <c r="AV64" i="1"/>
  <c r="AV1425" i="1"/>
  <c r="AV1452" i="1"/>
  <c r="AV890" i="1"/>
  <c r="AV714" i="1"/>
  <c r="AV410" i="1"/>
  <c r="AV112" i="1"/>
  <c r="AV1773" i="1"/>
  <c r="AV860" i="1"/>
  <c r="AV81" i="1"/>
  <c r="AV942" i="1"/>
  <c r="AV1410" i="1"/>
  <c r="AV993" i="1"/>
  <c r="AV1736" i="1"/>
  <c r="AV249" i="1"/>
  <c r="AV1104" i="1"/>
  <c r="AV629" i="1"/>
  <c r="AV618" i="1"/>
  <c r="AV244" i="1"/>
  <c r="AV105" i="1"/>
  <c r="AV948" i="1"/>
  <c r="AV1968" i="1"/>
  <c r="AV517" i="1"/>
  <c r="AV1597" i="1"/>
  <c r="AV1044" i="1"/>
  <c r="AV1527" i="1"/>
  <c r="AV1144" i="1"/>
  <c r="AV546" i="1"/>
  <c r="AV1670" i="1"/>
  <c r="AV1018" i="1"/>
  <c r="AV1102" i="1"/>
  <c r="AV1232" i="1"/>
  <c r="AV1449" i="1"/>
  <c r="AV304" i="1"/>
  <c r="AV1148" i="1"/>
  <c r="AV1679" i="1"/>
  <c r="AV450" i="1"/>
  <c r="AV636" i="1"/>
  <c r="AV1843" i="1"/>
  <c r="AV1291" i="1"/>
  <c r="AV299" i="1"/>
  <c r="AV264" i="1"/>
  <c r="AV1072" i="1"/>
  <c r="AV1522" i="1"/>
  <c r="AV76" i="1"/>
  <c r="AV1112" i="1"/>
  <c r="AV1445" i="1"/>
  <c r="AV1918" i="1"/>
  <c r="AV1661" i="1"/>
  <c r="AV473" i="1"/>
  <c r="AV1923" i="1"/>
  <c r="AV1300" i="1"/>
  <c r="AV992" i="1"/>
  <c r="AV906" i="1"/>
  <c r="AV1788" i="1"/>
  <c r="AV564" i="1"/>
  <c r="AV590" i="1"/>
  <c r="AV2009" i="1"/>
  <c r="AV90" i="1"/>
  <c r="AV990" i="1"/>
  <c r="AV1909" i="1"/>
  <c r="AV1177" i="1"/>
  <c r="AV526" i="1"/>
  <c r="AV191" i="1"/>
  <c r="AV924" i="1"/>
  <c r="AV1273" i="1"/>
  <c r="AV811" i="1"/>
  <c r="AV108" i="1"/>
  <c r="AV1382" i="1"/>
  <c r="AV706" i="1"/>
  <c r="AV1115" i="1"/>
  <c r="AV1584" i="1"/>
  <c r="AV248" i="1"/>
  <c r="AV126" i="1"/>
  <c r="AV1716" i="1"/>
  <c r="AV230" i="1"/>
  <c r="AV644" i="1"/>
  <c r="AV1869" i="1"/>
  <c r="AV1187" i="1"/>
  <c r="AV1690" i="1"/>
  <c r="AV929" i="1"/>
  <c r="AV1755" i="1"/>
  <c r="AV24" i="1"/>
  <c r="AV1196" i="1"/>
  <c r="AV1341" i="1"/>
  <c r="AV961" i="1"/>
  <c r="AV1993" i="1"/>
  <c r="AV1807" i="1"/>
  <c r="AV1883" i="1"/>
  <c r="AV1272" i="1"/>
  <c r="AV784" i="1"/>
  <c r="AV1719" i="1"/>
  <c r="AV1199" i="1"/>
  <c r="AV192" i="1"/>
  <c r="AV601" i="1"/>
  <c r="AV864" i="1"/>
  <c r="AV776" i="1"/>
  <c r="AV1285" i="1"/>
  <c r="AV554" i="1"/>
  <c r="AV197" i="1"/>
  <c r="AV839" i="1"/>
  <c r="AV927" i="1"/>
  <c r="AV879" i="1"/>
  <c r="AV1067" i="1"/>
  <c r="AV399" i="1"/>
  <c r="AV1084" i="1"/>
  <c r="AV1606" i="1"/>
  <c r="AV1434" i="1"/>
  <c r="AV1557" i="1"/>
  <c r="AV1370" i="1"/>
  <c r="AV671" i="1"/>
  <c r="AV439" i="1"/>
  <c r="AV253" i="1"/>
  <c r="AV886" i="1"/>
  <c r="AV1324" i="1"/>
  <c r="AV760" i="1"/>
  <c r="AV1650" i="1"/>
  <c r="AV1625" i="1"/>
  <c r="AV2001" i="1"/>
  <c r="AV1821" i="1"/>
  <c r="AV228" i="1"/>
  <c r="AV1361" i="1"/>
  <c r="AV1672" i="1"/>
  <c r="AV495" i="1"/>
  <c r="AV491" i="1"/>
  <c r="AV1879" i="1"/>
  <c r="AV938" i="1"/>
  <c r="AV1507" i="1"/>
  <c r="AV1256" i="1"/>
  <c r="AV1419" i="1"/>
  <c r="AV1320" i="1"/>
  <c r="AV1749" i="1"/>
  <c r="AV1476" i="1"/>
  <c r="AV662" i="1"/>
  <c r="AV967" i="1"/>
  <c r="AV74" i="1"/>
  <c r="AV1325" i="1"/>
  <c r="AV1809" i="1"/>
  <c r="AV823" i="1"/>
  <c r="AV464" i="1"/>
  <c r="AV423" i="1"/>
  <c r="AV1781" i="1"/>
  <c r="AV1985" i="1"/>
  <c r="AV2005" i="1"/>
  <c r="AV1399" i="1"/>
  <c r="AV1933" i="1"/>
  <c r="AV642" i="1"/>
  <c r="AV344" i="1"/>
  <c r="AV630" i="1"/>
  <c r="AV436" i="1"/>
  <c r="AV478" i="1"/>
  <c r="AV939" i="1"/>
  <c r="AV742" i="1"/>
  <c r="AV482" i="1"/>
  <c r="AV1414" i="1"/>
  <c r="AV219" i="1"/>
  <c r="AV29" i="1"/>
  <c r="AV262" i="1"/>
  <c r="AV1727" i="1"/>
  <c r="AV1225" i="1"/>
  <c r="AV1006" i="1"/>
  <c r="AV1945" i="1"/>
  <c r="AV1284" i="1"/>
  <c r="AV80" i="1"/>
  <c r="AV585" i="1"/>
  <c r="AV688" i="1"/>
  <c r="AV1441" i="1"/>
  <c r="AV889" i="1"/>
  <c r="AV1885" i="1"/>
  <c r="AV611" i="1"/>
  <c r="AV1479" i="1"/>
  <c r="AV1403" i="1"/>
  <c r="AV288" i="1"/>
  <c r="AV1176" i="1"/>
  <c r="AV166" i="1"/>
  <c r="AV695" i="1"/>
  <c r="AV1529" i="1"/>
  <c r="AV1020" i="1"/>
  <c r="AV1427" i="1"/>
  <c r="AV1618" i="1"/>
  <c r="AV875" i="1"/>
  <c r="AV1171" i="1"/>
  <c r="AV94" i="1"/>
  <c r="AV607" i="1"/>
  <c r="AV1772" i="1"/>
  <c r="AV1295" i="1"/>
  <c r="AV1281" i="1"/>
  <c r="AV1130" i="1"/>
  <c r="AV831" i="1"/>
  <c r="AV1595" i="1"/>
  <c r="AV869" i="1"/>
  <c r="AV222" i="1"/>
  <c r="AV2010" i="1"/>
  <c r="AV1453" i="1"/>
  <c r="AV1264" i="1"/>
  <c r="AV290" i="1"/>
  <c r="AV781" i="1"/>
  <c r="AV1060" i="1"/>
  <c r="AV148" i="1"/>
  <c r="AV388" i="1"/>
  <c r="AV794" i="1"/>
  <c r="AV663" i="1"/>
  <c r="AV427" i="1"/>
  <c r="AV1249" i="1"/>
  <c r="AV501" i="1"/>
  <c r="AV772" i="1"/>
  <c r="AV1820" i="1"/>
  <c r="AV1180" i="1"/>
  <c r="AV1192" i="1"/>
  <c r="AV1455" i="1"/>
  <c r="AV139" i="1"/>
  <c r="AV1221" i="1"/>
  <c r="AV440" i="1"/>
  <c r="AV1460" i="1"/>
  <c r="AV1956" i="1"/>
  <c r="AV514" i="1"/>
  <c r="AV1409" i="1"/>
  <c r="AV1208" i="1"/>
  <c r="AV1921" i="1"/>
  <c r="AV349" i="1"/>
  <c r="AV1786" i="1"/>
  <c r="AV1120" i="1"/>
  <c r="AV539" i="1"/>
  <c r="AV49" i="1"/>
  <c r="AV260" i="1"/>
  <c r="AV1015" i="1"/>
  <c r="AV281" i="1"/>
  <c r="AV1052" i="1"/>
  <c r="AV1459" i="1"/>
  <c r="AV1381" i="1"/>
  <c r="AV1097" i="1"/>
  <c r="AV1276" i="1"/>
  <c r="AV767" i="1"/>
  <c r="AV1591" i="1"/>
  <c r="AV1846" i="1"/>
  <c r="AV1836" i="1"/>
  <c r="AV716" i="1"/>
  <c r="AV245" i="1"/>
  <c r="AV286" i="1"/>
  <c r="AV1943" i="1"/>
  <c r="AV575" i="1"/>
  <c r="AV335" i="1"/>
  <c r="AV571" i="1"/>
  <c r="AV1446" i="1"/>
  <c r="AV489" i="1"/>
  <c r="AV160" i="1"/>
  <c r="AV1638" i="1"/>
  <c r="AV838" i="1"/>
  <c r="AV1951" i="1"/>
  <c r="AV987" i="1"/>
  <c r="AV666" i="1"/>
  <c r="AV789" i="1"/>
  <c r="AV493" i="1"/>
  <c r="AV1147" i="1"/>
  <c r="AV1466" i="1"/>
  <c r="AV615" i="1"/>
  <c r="AV852" i="1"/>
  <c r="AV1093" i="1"/>
  <c r="AV1083" i="1"/>
  <c r="AV911" i="1"/>
  <c r="AV1140" i="1"/>
  <c r="AV896" i="1"/>
  <c r="AV1906" i="1"/>
  <c r="AV863" i="1"/>
  <c r="AV1235" i="1"/>
  <c r="AV995" i="1"/>
  <c r="AV1927" i="1"/>
  <c r="AV38" i="1"/>
  <c r="AV1212" i="1"/>
  <c r="AV969" i="1"/>
  <c r="AV1902" i="1"/>
  <c r="AV1440" i="1"/>
  <c r="AV1336" i="1"/>
  <c r="AV1743" i="1"/>
  <c r="AV712" i="1"/>
  <c r="AV1398" i="1"/>
  <c r="AV1812" i="1"/>
  <c r="AV1057" i="1"/>
  <c r="AV801" i="1"/>
  <c r="AV1541" i="1"/>
  <c r="AV1566" i="1"/>
  <c r="AV1257" i="1"/>
  <c r="AV1521" i="1"/>
  <c r="AV643" i="1"/>
  <c r="AV936" i="1"/>
  <c r="AV1573" i="1"/>
  <c r="AV553" i="1"/>
  <c r="AV1305" i="1"/>
  <c r="AV198" i="1"/>
  <c r="AV1539" i="1"/>
  <c r="AV840" i="1"/>
  <c r="AV690" i="1"/>
  <c r="AV1540" i="1"/>
  <c r="AV1861" i="1"/>
  <c r="AV1596" i="1"/>
  <c r="AV391" i="1"/>
  <c r="AV964" i="1"/>
  <c r="AV1783" i="1"/>
  <c r="AV1590" i="1"/>
  <c r="AV1290" i="1"/>
  <c r="AV1484" i="1"/>
  <c r="AV1194" i="1"/>
  <c r="AV1701" i="1"/>
  <c r="AV15" i="1"/>
  <c r="AV1585" i="1"/>
  <c r="AV543" i="1"/>
  <c r="AV1688" i="1"/>
  <c r="AV1544" i="1"/>
  <c r="AV910" i="1"/>
  <c r="AV1691" i="1"/>
  <c r="AV1604" i="1"/>
  <c r="AV1910" i="1"/>
  <c r="AV221" i="1"/>
  <c r="AV151" i="1"/>
  <c r="AV657" i="1"/>
  <c r="AV200" i="1"/>
  <c r="AV1039" i="1"/>
  <c r="AV316" i="1"/>
  <c r="AV559" i="1"/>
  <c r="AV1200" i="1"/>
  <c r="AV213" i="1"/>
  <c r="AV293" i="1"/>
  <c r="AV1408" i="1"/>
  <c r="AV1185" i="1"/>
  <c r="AV1292" i="1"/>
  <c r="AV1823" i="1"/>
  <c r="AV16" i="1"/>
  <c r="AV1001" i="1"/>
  <c r="AV701" i="1"/>
  <c r="AV882" i="1"/>
  <c r="AV1973" i="1"/>
  <c r="AV1754" i="1"/>
  <c r="AV1113" i="1"/>
  <c r="AV1106" i="1"/>
  <c r="AV1432" i="1"/>
  <c r="AV597" i="1"/>
  <c r="AV1896" i="1"/>
  <c r="AV1588" i="1"/>
  <c r="AV1608" i="1"/>
  <c r="AV150" i="1"/>
  <c r="AV675" i="1"/>
  <c r="AV1457" i="1"/>
  <c r="AV797" i="1"/>
  <c r="AV891" i="1"/>
  <c r="AV908" i="1"/>
  <c r="AV1938" i="1"/>
  <c r="AV1942" i="1"/>
  <c r="AV461" i="1"/>
  <c r="AV534" i="1"/>
  <c r="AV178" i="1"/>
  <c r="AV739" i="1"/>
  <c r="AV465" i="1"/>
  <c r="AV1071" i="1"/>
  <c r="AV777" i="1"/>
  <c r="AV1367" i="1"/>
  <c r="AV44" i="1"/>
  <c r="AV832" i="1"/>
  <c r="AV1487" i="1"/>
  <c r="AV411" i="1"/>
  <c r="AV1634" i="1"/>
  <c r="AV991" i="1"/>
  <c r="AV538" i="1"/>
  <c r="AV337" i="1"/>
  <c r="AV980" i="1"/>
  <c r="AV1322" i="1"/>
  <c r="AV956" i="1"/>
  <c r="AV720" i="1"/>
  <c r="AV429" i="1"/>
  <c r="AV874" i="1"/>
  <c r="AV1156" i="1"/>
  <c r="AV183" i="1"/>
  <c r="AV1004" i="1"/>
  <c r="AV503" i="1"/>
  <c r="AV138" i="1"/>
  <c r="AV1560" i="1"/>
  <c r="AV1009" i="1"/>
  <c r="AV941" i="1"/>
  <c r="AV1473" i="1"/>
  <c r="AV1802" i="1"/>
  <c r="AV50" i="1"/>
  <c r="AV340" i="1"/>
  <c r="AV1467" i="1"/>
  <c r="AV2020" i="1"/>
  <c r="AV812" i="1"/>
  <c r="AV161" i="1"/>
  <c r="AV1808" i="1"/>
  <c r="AV237" i="1"/>
  <c r="AV1955" i="1"/>
  <c r="AV866" i="1"/>
  <c r="AV1030" i="1"/>
  <c r="AV558" i="1"/>
  <c r="AV1183" i="1"/>
  <c r="AV1857" i="1"/>
  <c r="AV1856" i="1"/>
  <c r="AV2000" i="1"/>
  <c r="AV378" i="1"/>
  <c r="AV515" i="1"/>
  <c r="AV818" i="1"/>
  <c r="AV1631" i="1"/>
  <c r="AV494" i="1"/>
  <c r="AV383" i="1"/>
  <c r="AV1076" i="1"/>
  <c r="AV1045" i="1"/>
  <c r="AV1206" i="1"/>
  <c r="AV1253" i="1"/>
  <c r="AV661" i="1"/>
  <c r="AV1480" i="1"/>
  <c r="AV918" i="1"/>
  <c r="AV225" i="1"/>
  <c r="AV710" i="1"/>
  <c r="AV1519" i="1"/>
  <c r="AV1186" i="1"/>
  <c r="AV1671" i="1"/>
  <c r="AV1826" i="1"/>
  <c r="AV537" i="1"/>
  <c r="AV1829" i="1"/>
  <c r="AV419" i="1"/>
  <c r="AV1219" i="1"/>
  <c r="AV1193" i="1"/>
  <c r="AV694" i="1"/>
  <c r="AV497" i="1"/>
  <c r="AV979" i="1"/>
  <c r="AV492" i="1"/>
  <c r="AV25" i="1"/>
  <c r="AV1774" i="1"/>
  <c r="AV1497" i="1"/>
  <c r="AV1195" i="1"/>
  <c r="AV176" i="1"/>
  <c r="AV762" i="1"/>
  <c r="AV1640" i="1"/>
  <c r="AV229" i="1"/>
  <c r="AV146" i="1"/>
  <c r="AV1223" i="1"/>
  <c r="AV103" i="1"/>
  <c r="AV1547" i="1"/>
  <c r="AV1450" i="1"/>
  <c r="AV474" i="1"/>
  <c r="AV1556" i="1"/>
  <c r="AV208" i="1"/>
  <c r="AV282" i="1"/>
  <c r="AV1989" i="1"/>
  <c r="AV1019" i="1"/>
  <c r="AV1117" i="1"/>
  <c r="AV1496" i="1"/>
  <c r="AV451" i="1"/>
  <c r="AV1506" i="1"/>
  <c r="AV988" i="1"/>
  <c r="AV48" i="1"/>
  <c r="AV350" i="1"/>
  <c r="AV1283" i="1"/>
  <c r="AV1828" i="1"/>
  <c r="AV986" i="1"/>
  <c r="AV510" i="1"/>
  <c r="AV998" i="1"/>
  <c r="AV775" i="1"/>
  <c r="AV1801" i="1"/>
  <c r="AV387" i="1"/>
  <c r="AV1605" i="1"/>
  <c r="AV1685" i="1"/>
  <c r="AV895" i="1"/>
  <c r="AV1752" i="1"/>
  <c r="AV830" i="1"/>
  <c r="AV1038" i="1"/>
  <c r="AV1051" i="1"/>
  <c r="AV1954" i="1"/>
  <c r="AV1088" i="1"/>
  <c r="AV974" i="1"/>
  <c r="AV1002" i="1"/>
  <c r="AV1157" i="1"/>
  <c r="AV952" i="1"/>
  <c r="AV1936" i="1"/>
  <c r="AV1514" i="1"/>
  <c r="AV1323" i="1"/>
  <c r="AV1036" i="1"/>
  <c r="AV1887" i="1"/>
  <c r="AV836" i="1"/>
  <c r="AV1122" i="1"/>
  <c r="AV372" i="1"/>
  <c r="AV1270" i="1"/>
  <c r="AV1712" i="1"/>
  <c r="AV1558" i="1"/>
  <c r="AV687" i="1"/>
  <c r="AV871" i="1"/>
  <c r="AV447" i="1"/>
  <c r="AV1012" i="1"/>
  <c r="AV820" i="1"/>
  <c r="AV496" i="1"/>
  <c r="AV531" i="1"/>
  <c r="AV947" i="1"/>
  <c r="AV1886" i="1"/>
  <c r="AV131" i="1"/>
  <c r="AV1633" i="1"/>
  <c r="AV1892" i="1"/>
  <c r="AV1535" i="1"/>
  <c r="AV1580" i="1"/>
  <c r="AV755" i="1"/>
  <c r="AV1061" i="1"/>
  <c r="AV278" i="1"/>
  <c r="AV1089" i="1"/>
  <c r="AV1598" i="1"/>
  <c r="AV649" i="1"/>
  <c r="AV1297" i="1"/>
  <c r="AV1315" i="1"/>
  <c r="AV704" i="1"/>
  <c r="AV1564" i="1"/>
  <c r="AV985" i="1"/>
  <c r="AV78" i="1"/>
  <c r="AV125" i="1"/>
  <c r="AV567" i="1"/>
  <c r="AV1534" i="1"/>
  <c r="AV1787" i="1"/>
  <c r="AV1978" i="1"/>
  <c r="AV1069" i="1"/>
  <c r="AV1614" i="1"/>
  <c r="AV314" i="1"/>
  <c r="AV1461" i="1"/>
  <c r="AV1926" i="1"/>
  <c r="AV1864" i="1"/>
  <c r="AV1143" i="1"/>
  <c r="AV1334" i="1"/>
  <c r="AV169" i="1"/>
  <c r="AV903" i="1"/>
  <c r="AV837" i="1"/>
  <c r="AV1152" i="1"/>
  <c r="AV435" i="1"/>
  <c r="AV1947" i="1"/>
  <c r="AV1850" i="1"/>
  <c r="AV1611" i="1"/>
  <c r="AV774" i="1"/>
  <c r="AV1335" i="1"/>
  <c r="AV55" i="1"/>
  <c r="AV1402" i="1"/>
  <c r="AV516" i="1"/>
  <c r="AV744" i="1"/>
  <c r="AV1941" i="1"/>
  <c r="AV934" i="1"/>
  <c r="AV2004" i="1"/>
  <c r="AV1428" i="1"/>
  <c r="AV870" i="1"/>
  <c r="AV1040" i="1"/>
  <c r="AV646" i="1"/>
  <c r="AV953" i="1"/>
  <c r="AV77" i="1"/>
  <c r="AV452" i="1"/>
  <c r="AV1343" i="1"/>
  <c r="AV162" i="1"/>
  <c r="AV1932" i="1"/>
  <c r="AV1531" i="1"/>
  <c r="AV817" i="1"/>
  <c r="AV1904" i="1"/>
  <c r="AV1245" i="1"/>
  <c r="AV914" i="1"/>
  <c r="AV1958" i="1"/>
  <c r="AV17" i="1"/>
  <c r="AV26" i="1"/>
  <c r="AV119" i="1"/>
  <c r="AV1422" i="1"/>
  <c r="AV1970" i="1"/>
  <c r="AV1359" i="1"/>
  <c r="AV1899" i="1"/>
  <c r="AV562" i="1"/>
  <c r="AV1191" i="1"/>
  <c r="AV1553" i="1"/>
  <c r="AV117" i="1"/>
  <c r="AV488" i="1"/>
  <c r="AV576" i="1"/>
  <c r="AV215" i="1"/>
  <c r="AV966" i="1"/>
  <c r="AV1327" i="1"/>
  <c r="AV937" i="1"/>
  <c r="AV1456" i="1"/>
  <c r="AV862" i="1"/>
  <c r="AV367" i="1"/>
  <c r="AV845" i="1"/>
  <c r="AV157" i="1"/>
  <c r="AV1389" i="1"/>
  <c r="AV556" i="1"/>
  <c r="AV193" i="1"/>
  <c r="AV719" i="1"/>
  <c r="AV1656" i="1"/>
  <c r="AV1086" i="1"/>
  <c r="AV1976" i="1"/>
  <c r="AV1376" i="1"/>
  <c r="AV1416" i="1"/>
  <c r="AV1495" i="1"/>
  <c r="AV422" i="1"/>
  <c r="AV724" i="1"/>
  <c r="AV1990" i="1"/>
  <c r="AV796" i="1"/>
  <c r="AV506" i="1"/>
  <c r="AV1888" i="1"/>
  <c r="AV625" i="1"/>
  <c r="AV1481" i="1"/>
  <c r="AV1131" i="1"/>
  <c r="AV1837" i="1"/>
  <c r="AV87" i="1"/>
  <c r="AV1329" i="1"/>
  <c r="AV1280" i="1"/>
  <c r="AV1418" i="1"/>
  <c r="AV381" i="1"/>
  <c r="AV1928" i="1"/>
  <c r="AV1307" i="1"/>
  <c r="AV413" i="1"/>
  <c r="AV550" i="1"/>
  <c r="AV1600" i="1"/>
  <c r="AV1174" i="1"/>
  <c r="AV1099" i="1"/>
  <c r="AV1500" i="1"/>
  <c r="AV741" i="1"/>
  <c r="AV128" i="1"/>
  <c r="AV1668" i="1"/>
  <c r="AV1792" i="1"/>
  <c r="AV757" i="1"/>
  <c r="AV1513" i="1"/>
  <c r="AV707" i="1"/>
  <c r="AV404" i="1"/>
  <c r="AV460" i="1"/>
  <c r="AV856" i="1"/>
  <c r="AV1310" i="1"/>
  <c r="AV2015" i="1"/>
  <c r="AV46" i="1"/>
  <c r="AV430" i="1"/>
  <c r="AV1205" i="1"/>
  <c r="AV172" i="1"/>
  <c r="AV400" i="1"/>
  <c r="AV540" i="1"/>
  <c r="AV1900" i="1"/>
  <c r="AV803" i="1"/>
  <c r="AV326" i="1"/>
  <c r="AV1107" i="1"/>
  <c r="AV1692" i="1"/>
  <c r="AV740" i="1"/>
  <c r="AV1246" i="1"/>
  <c r="AV682" i="1"/>
  <c r="AV596" i="1"/>
  <c r="AV1853" i="1"/>
  <c r="AV982" i="1"/>
  <c r="AV167" i="1"/>
  <c r="AV170" i="1"/>
  <c r="AV1898" i="1"/>
  <c r="AV1720" i="1"/>
  <c r="AV1274" i="1"/>
  <c r="AV968" i="1"/>
  <c r="AV1124" i="1"/>
  <c r="AV928" i="1"/>
  <c r="AV1331" i="1"/>
  <c r="AV154" i="1"/>
  <c r="AV1179" i="1"/>
  <c r="AV743" i="1"/>
  <c r="AV916" i="1"/>
  <c r="AV1639" i="1"/>
  <c r="AV91" i="1"/>
  <c r="AV1814" i="1"/>
  <c r="AV377" i="1"/>
  <c r="AV652" i="1"/>
  <c r="AV58" i="1"/>
  <c r="AV2021" i="1"/>
  <c r="AV1207" i="1"/>
  <c r="AV872" i="1"/>
  <c r="AV1816" i="1"/>
  <c r="AV69" i="1"/>
  <c r="AV1905" i="1"/>
  <c r="AV283" i="1"/>
  <c r="AV432" i="1"/>
  <c r="AV86" i="1"/>
  <c r="AV484" i="1"/>
  <c r="AV900" i="1"/>
  <c r="AV1562" i="1"/>
  <c r="AV332" i="1"/>
  <c r="AV930" i="1"/>
  <c r="AV574" i="1"/>
  <c r="AV1831" i="1"/>
  <c r="AV533" i="1"/>
  <c r="AV782" i="1"/>
  <c r="AV1659" i="1"/>
  <c r="AV1549" i="1"/>
  <c r="AV1726" i="1"/>
  <c r="AV98" i="1"/>
  <c r="AV1827" i="1"/>
  <c r="AV563" i="1"/>
  <c r="AV1250" i="1"/>
  <c r="AV842" i="1"/>
  <c r="AV1139" i="1"/>
  <c r="AV1424" i="1"/>
  <c r="AV1197" i="1"/>
  <c r="AV303" i="1"/>
  <c r="AV582" i="1"/>
  <c r="AV536" i="1"/>
  <c r="AV300" i="1"/>
  <c r="AV1735" i="1"/>
  <c r="AV1065" i="1"/>
  <c r="AV711" i="1"/>
  <c r="AV1213" i="1"/>
  <c r="AV981" i="1"/>
  <c r="AV1309" i="1"/>
  <c r="AV59" i="1"/>
  <c r="AV443" i="1"/>
  <c r="AV1299" i="1"/>
  <c r="AV39" i="1"/>
  <c r="AV1665" i="1"/>
  <c r="AV746" i="1"/>
  <c r="AV338" i="1"/>
  <c r="AV1154" i="1"/>
  <c r="AV42" i="1"/>
  <c r="AV2" i="1"/>
  <c r="AV1490" i="1"/>
  <c r="AV252" i="1"/>
  <c r="AV1744" i="1"/>
  <c r="AV1226" i="1"/>
  <c r="AV779" i="1"/>
  <c r="AV1602" i="1"/>
  <c r="AV1110" i="1"/>
  <c r="AV1669" i="1"/>
  <c r="AV32" i="1"/>
  <c r="AV598" i="1"/>
  <c r="AV434" i="1"/>
  <c r="AV1043" i="1"/>
  <c r="AV884" i="1"/>
  <c r="AV1509" i="1"/>
  <c r="AV1623" i="1"/>
  <c r="AV1666" i="1"/>
  <c r="AV528" i="1"/>
  <c r="AV40" i="1"/>
  <c r="AV247" i="1"/>
  <c r="AV393" i="1"/>
  <c r="AV1889" i="1"/>
  <c r="AV322" i="1"/>
  <c r="AV425" i="1"/>
  <c r="AV729" i="1"/>
  <c r="AV728" i="1"/>
  <c r="AV650" i="1"/>
  <c r="AV1915" i="1"/>
  <c r="AV1759" i="1"/>
  <c r="AV490" i="1"/>
  <c r="AV1571" i="1"/>
  <c r="AV977" i="1"/>
  <c r="AV1014" i="1"/>
  <c r="AV1642" i="1"/>
  <c r="AV1841" i="1"/>
  <c r="AV258" i="1"/>
  <c r="AV1819" i="1"/>
  <c r="AV1872" i="1"/>
  <c r="AV268" i="1"/>
  <c r="AV1587" i="1"/>
  <c r="AV354" i="1"/>
  <c r="AV417" i="1"/>
  <c r="AV339" i="1"/>
  <c r="AV1554" i="1"/>
  <c r="AV713" i="1"/>
  <c r="AV867" i="1"/>
  <c r="AV181" i="1"/>
  <c r="AV284" i="1"/>
  <c r="AV468" i="1"/>
  <c r="AV250" i="1"/>
  <c r="AV1740" i="1"/>
  <c r="AV1215" i="1"/>
  <c r="AV7" i="1"/>
  <c r="AV560" i="1"/>
  <c r="AV318" i="1"/>
  <c r="AV1234" i="1"/>
  <c r="AV1436" i="1"/>
  <c r="AV1125" i="1"/>
  <c r="AV291" i="1"/>
  <c r="AV665" i="1"/>
  <c r="AV449" i="1"/>
  <c r="AV320" i="1"/>
  <c r="AV61" i="1"/>
  <c r="AV933" i="1"/>
  <c r="AV1404" i="1"/>
  <c r="AV1358" i="1"/>
  <c r="AV2018" i="1"/>
  <c r="AV1201" i="1"/>
  <c r="AV1471" i="1"/>
  <c r="AV1486" i="1"/>
  <c r="AV1662" i="1"/>
  <c r="AV1838" i="1"/>
  <c r="AV21" i="1"/>
  <c r="AV848" i="1"/>
  <c r="AV983" i="1"/>
  <c r="AV850" i="1"/>
  <c r="AV595" i="1"/>
  <c r="AV1860" i="1"/>
  <c r="AV888" i="1"/>
  <c r="AV294" i="1"/>
  <c r="AV1415" i="1"/>
  <c r="AV41" i="1"/>
  <c r="AV180" i="1"/>
  <c r="AV1997" i="1"/>
  <c r="AV11" i="1"/>
  <c r="AV171" i="1"/>
  <c r="AV881" i="1"/>
  <c r="AV1654" i="1"/>
  <c r="AV577" i="1"/>
  <c r="AV1874" i="1"/>
  <c r="AV1784" i="1"/>
  <c r="AV1901" i="1"/>
  <c r="AV1160" i="1"/>
  <c r="AV1714" i="1"/>
  <c r="AV685" i="1"/>
  <c r="AV1365" i="1"/>
  <c r="AV586" i="1"/>
  <c r="AV648" i="1"/>
  <c r="AV319" i="1"/>
  <c r="AV1386" i="1"/>
  <c r="AV10" i="1"/>
  <c r="AV1090" i="1"/>
  <c r="AV375" i="1"/>
  <c r="AV1023" i="1"/>
  <c r="AV1791" i="1"/>
  <c r="AV1935" i="1"/>
  <c r="AV1733" i="1"/>
  <c r="AV1760" i="1"/>
  <c r="AV1240" i="1"/>
  <c r="AV1165" i="1"/>
  <c r="AV471" i="1"/>
  <c r="AV535" i="1"/>
  <c r="AV1635" i="1"/>
  <c r="AV1552" i="1"/>
  <c r="AV1138" i="1"/>
  <c r="AV2007" i="1"/>
  <c r="AV617" i="1"/>
  <c r="AV624" i="1"/>
  <c r="AV1959" i="1"/>
  <c r="AV902" i="1"/>
  <c r="AV1356" i="1"/>
  <c r="AV813" i="1"/>
  <c r="AV463" i="1"/>
  <c r="AV816" i="1"/>
  <c r="AV1412" i="1"/>
  <c r="AV448" i="1"/>
  <c r="AV627" i="1"/>
  <c r="AV355" i="1"/>
  <c r="AV1742" i="1"/>
  <c r="AV1211" i="1"/>
  <c r="AV1501" i="1"/>
  <c r="AV1306" i="1"/>
  <c r="AV1024" i="1"/>
  <c r="AV396" i="1"/>
  <c r="AV454" i="1"/>
  <c r="AV184" i="1"/>
  <c r="AV1709" i="1"/>
  <c r="AV909" i="1"/>
  <c r="AV472" i="1"/>
  <c r="AV1569" i="1"/>
  <c r="AV1155" i="1"/>
  <c r="AV1502" i="1"/>
  <c r="AV525" i="1"/>
  <c r="AV857" i="1"/>
  <c r="AV1296" i="1"/>
  <c r="AV651" i="1"/>
  <c r="AV954" i="1"/>
  <c r="AV462" i="1"/>
  <c r="AV1648" i="1"/>
  <c r="AV1583" i="1"/>
  <c r="AV1008" i="1"/>
  <c r="AV541" i="1"/>
  <c r="AV321" i="1"/>
  <c r="AV664" i="1"/>
  <c r="AV1777" i="1"/>
  <c r="AV1572" i="1"/>
  <c r="AV1785" i="1"/>
  <c r="AV1059" i="1"/>
  <c r="AV47" i="1"/>
  <c r="AV407" i="1"/>
  <c r="AV1695" i="1"/>
  <c r="AV1612" i="1"/>
  <c r="AV978" i="1"/>
  <c r="AV1526" i="1"/>
  <c r="AV520" i="1"/>
  <c r="AV129" i="1"/>
  <c r="AV1167" i="1"/>
  <c r="AV149" i="1"/>
  <c r="AV1000" i="1"/>
  <c r="AV366" i="1"/>
  <c r="AV453" i="1"/>
  <c r="AV976" i="1"/>
  <c r="AV1983" i="1"/>
  <c r="AV418" i="1"/>
  <c r="AV1775" i="1"/>
  <c r="AV504" i="1"/>
  <c r="AV1198" i="1"/>
  <c r="AV127" i="1"/>
  <c r="AV885" i="1"/>
  <c r="AV792" i="1"/>
  <c r="AV1647" i="1"/>
  <c r="AV1294" i="1"/>
  <c r="AV1263" i="1"/>
  <c r="AV612" i="1"/>
  <c r="AV1771" i="1"/>
  <c r="AV580" i="1"/>
  <c r="AV307" i="1"/>
  <c r="AV1835" i="1"/>
  <c r="AV1472" i="1"/>
  <c r="AV1840" i="1"/>
  <c r="AV1260" i="1"/>
  <c r="AV1033" i="1"/>
  <c r="AV1109" i="1"/>
  <c r="AV88" i="1"/>
  <c r="AV403" i="1"/>
  <c r="AV1619" i="1"/>
  <c r="AV285" i="1"/>
  <c r="AV1975" i="1"/>
  <c r="AV415" i="1"/>
  <c r="AV841" i="1"/>
  <c r="AV1391" i="1"/>
  <c r="AV756" i="1"/>
  <c r="AV1766" i="1"/>
  <c r="AV1944" i="1"/>
  <c r="AV1555" i="1"/>
  <c r="AV1516" i="1"/>
  <c r="AV1523" i="1"/>
  <c r="AV641" i="1"/>
  <c r="AV207" i="1"/>
  <c r="AV1745" i="1"/>
  <c r="AV1397" i="1"/>
  <c r="AV683" i="1"/>
  <c r="AV1340" i="1"/>
  <c r="AV1127" i="1"/>
  <c r="AV347" i="1"/>
  <c r="AV1967" i="1"/>
  <c r="AV1641" i="1"/>
  <c r="AV1362" i="1"/>
  <c r="AV1603" i="1"/>
  <c r="AV878" i="1"/>
  <c r="AV810" i="1"/>
  <c r="AV785" i="1"/>
  <c r="AV678" i="1"/>
  <c r="AV1204" i="1"/>
  <c r="AV279" i="1"/>
  <c r="AV1974" i="1"/>
  <c r="AV1686" i="1"/>
  <c r="AV20" i="1"/>
  <c r="AV33" i="1"/>
  <c r="AV1311" i="1"/>
  <c r="AV572" i="1"/>
  <c r="AV395" i="1"/>
  <c r="AV748" i="1"/>
  <c r="AV549" i="1"/>
  <c r="AV681" i="1"/>
  <c r="AV173" i="1"/>
  <c r="AV134" i="1"/>
  <c r="AV1118" i="1"/>
  <c r="AV999" i="1"/>
  <c r="AV1825" i="1"/>
  <c r="AV1258" i="1"/>
  <c r="AV1803" i="1"/>
  <c r="AV1028" i="1"/>
  <c r="AV608" i="1"/>
  <c r="AV455" i="1"/>
  <c r="AV107" i="1"/>
  <c r="AV416" i="1"/>
  <c r="AV1848" i="1"/>
  <c r="AV35" i="1"/>
  <c r="AV1375" i="1"/>
  <c r="AV1421" i="1"/>
  <c r="AV133" i="1"/>
  <c r="AV508" i="1"/>
  <c r="AV2014" i="1"/>
  <c r="AV849" i="1"/>
  <c r="AV917" i="1"/>
  <c r="AV1108" i="1"/>
  <c r="AV1489" i="1"/>
  <c r="AV1962" i="1"/>
  <c r="AV859" i="1"/>
  <c r="AV483" i="1"/>
  <c r="AV1565" i="1"/>
  <c r="AV734" i="1"/>
  <c r="AV1724" i="1"/>
  <c r="AV1991" i="1"/>
  <c r="AV1254" i="1"/>
  <c r="AV1393" i="1"/>
  <c r="AV43" i="1"/>
  <c r="AV1537" i="1"/>
  <c r="AV106" i="1"/>
  <c r="AV2016" i="1"/>
  <c r="AV1574" i="1"/>
  <c r="AV1353" i="1"/>
  <c r="AV821" i="1"/>
  <c r="AV2008" i="1"/>
  <c r="AV1653" i="1"/>
  <c r="AV858" i="1"/>
  <c r="AV668" i="1"/>
  <c r="AV877" i="1"/>
  <c r="AV1867" i="1"/>
  <c r="AV1998" i="1"/>
  <c r="AV815" i="1"/>
  <c r="AV1328" i="1"/>
  <c r="AV768" i="1"/>
  <c r="AV512" i="1"/>
  <c r="AV583" i="1"/>
  <c r="AV1046" i="1"/>
  <c r="B4" i="5"/>
  <c r="AU527" i="1"/>
  <c r="AU1239" i="1"/>
  <c r="AU313" i="1"/>
  <c r="AU1789" i="1"/>
  <c r="AU809" i="1"/>
  <c r="AU730" i="1"/>
  <c r="AU920" i="1"/>
  <c r="AU1593" i="1"/>
  <c r="AU1722" i="1"/>
  <c r="AU2019" i="1"/>
  <c r="AU1912" i="1"/>
  <c r="AU457" i="1"/>
  <c r="AU855" i="1"/>
  <c r="AU1646" i="1"/>
  <c r="AU147" i="1"/>
  <c r="AU1317" i="1"/>
  <c r="AU1079" i="1"/>
  <c r="AU477" i="1"/>
  <c r="AU1582" i="1"/>
  <c r="AU1016" i="1"/>
  <c r="AU2022" i="1"/>
  <c r="AU892" i="1"/>
  <c r="AU679" i="1"/>
  <c r="AU1442" i="1"/>
  <c r="AU1660" i="1"/>
  <c r="AU971" i="1"/>
  <c r="AU1407" i="1"/>
  <c r="AU84" i="1"/>
  <c r="AU1813" i="1"/>
  <c r="AU1021" i="1"/>
  <c r="AU1387" i="1"/>
  <c r="AU1236" i="1"/>
  <c r="AU384" i="1"/>
  <c r="AU1146" i="1"/>
  <c r="AU599" i="1"/>
  <c r="AU1873" i="1"/>
  <c r="AU1321" i="1"/>
  <c r="AU773" i="1"/>
  <c r="AU379" i="1"/>
  <c r="AU1919" i="1"/>
  <c r="AU1931" i="1"/>
  <c r="AU2012" i="1"/>
  <c r="AU152" i="1"/>
  <c r="AU1877" i="1"/>
  <c r="AU1350" i="1"/>
  <c r="AU529" i="1"/>
  <c r="AU673" i="1"/>
  <c r="AU190" i="1"/>
  <c r="AU1532" i="1"/>
  <c r="AU95" i="1"/>
  <c r="AU603" i="1"/>
  <c r="AU135" i="1"/>
  <c r="AU342" i="1"/>
  <c r="AU1750" i="1"/>
  <c r="AU919" i="1"/>
  <c r="AU214" i="1"/>
  <c r="AU602" i="1"/>
  <c r="AU790" i="1"/>
  <c r="AU621" i="1"/>
  <c r="AU359" i="1"/>
  <c r="AU1839" i="1"/>
  <c r="AU1677" i="1"/>
  <c r="AU255" i="1"/>
  <c r="AU581" i="1"/>
  <c r="AU479" i="1"/>
  <c r="AU397" i="1"/>
  <c r="AU676" i="1"/>
  <c r="AU761" i="1"/>
  <c r="AU1378" i="1"/>
  <c r="AU1380" i="1"/>
  <c r="AU240" i="1"/>
  <c r="AU223" i="1"/>
  <c r="AU1368" i="1"/>
  <c r="AU557" i="1"/>
  <c r="AU1711" i="1"/>
  <c r="AU1830" i="1"/>
  <c r="AU1881" i="1"/>
  <c r="AU102" i="1"/>
  <c r="AU1776" i="1"/>
  <c r="AU1543" i="1"/>
  <c r="AU1105" i="1"/>
  <c r="AU165" i="1"/>
  <c r="AU970" i="1"/>
  <c r="AU1326" i="1"/>
  <c r="AU1884" i="1"/>
  <c r="AU1705" i="1"/>
  <c r="AU1163" i="1"/>
  <c r="AU1031" i="1"/>
  <c r="AU216" i="1"/>
  <c r="AU647" i="1"/>
  <c r="AU1166" i="1"/>
  <c r="AU1636" i="1"/>
  <c r="AU296" i="1"/>
  <c r="AU428" i="1"/>
  <c r="AU63" i="1"/>
  <c r="AU1847" i="1"/>
  <c r="AU1123" i="1"/>
  <c r="AU1017" i="1"/>
  <c r="AU1435" i="1"/>
  <c r="AU52" i="1"/>
  <c r="AU424" i="1"/>
  <c r="AU341" i="1"/>
  <c r="AU897" i="1"/>
  <c r="AU54" i="1"/>
  <c r="AU1241" i="1"/>
  <c r="AU1070" i="1"/>
  <c r="AU36" i="1"/>
  <c r="AU1499" i="1"/>
  <c r="AU1729" i="1"/>
  <c r="AU1922" i="1"/>
  <c r="AU951" i="1"/>
  <c r="AU1675" i="1"/>
  <c r="AU1930" i="1"/>
  <c r="AU1699" i="1"/>
  <c r="AU4" i="1"/>
  <c r="AU317" i="1"/>
  <c r="AU140" i="1"/>
  <c r="AU1005" i="1"/>
  <c r="AU459" i="1"/>
  <c r="AU749" i="1"/>
  <c r="AU788" i="1"/>
  <c r="AU274" i="1"/>
  <c r="AU1372" i="1"/>
  <c r="AU444" i="1"/>
  <c r="AU2003" i="1"/>
  <c r="AU1655" i="1"/>
  <c r="AU1545" i="1"/>
  <c r="AU1528" i="1"/>
  <c r="AU13" i="1"/>
  <c r="AU638" i="1"/>
  <c r="AU70" i="1"/>
  <c r="AU573" i="1"/>
  <c r="AU1288" i="1"/>
  <c r="AU786" i="1"/>
  <c r="AU1871" i="1"/>
  <c r="AU1426" i="1"/>
  <c r="AU1551" i="1"/>
  <c r="AU693" i="1"/>
  <c r="AU851" i="1"/>
  <c r="AU637" i="1"/>
  <c r="AU1184" i="1"/>
  <c r="AU1561" i="1"/>
  <c r="AU805" i="1"/>
  <c r="AU373" i="1"/>
  <c r="AU1111" i="1"/>
  <c r="AU770" i="1"/>
  <c r="AU913" i="1"/>
  <c r="AU185" i="1"/>
  <c r="AU1756" i="1"/>
  <c r="AU368" i="1"/>
  <c r="AU1870" i="1"/>
  <c r="AU259" i="1"/>
  <c r="AU1301" i="1"/>
  <c r="AU475" i="1"/>
  <c r="AU645" i="1"/>
  <c r="AU362" i="1"/>
  <c r="AU1859" i="1"/>
  <c r="AU1649" i="1"/>
  <c r="AU1746" i="1"/>
  <c r="AU1063" i="1"/>
  <c r="AU1011" i="1"/>
  <c r="AU1037" i="1"/>
  <c r="AU380" i="1"/>
  <c r="AU118" i="1"/>
  <c r="AU1447" i="1"/>
  <c r="AU1498" i="1"/>
  <c r="AU1022" i="1"/>
  <c r="AU1964" i="1"/>
  <c r="AU405" i="1"/>
  <c r="AU1694" i="1"/>
  <c r="AU1348" i="1"/>
  <c r="AU1824" i="1"/>
  <c r="AU1674" i="1"/>
  <c r="AU769" i="1"/>
  <c r="AU261" i="1"/>
  <c r="AU1233" i="1"/>
  <c r="AU1844" i="1"/>
  <c r="AU360" i="1"/>
  <c r="AU1392" i="1"/>
  <c r="AU1047" i="1"/>
  <c r="AU1684" i="1"/>
  <c r="AU327" i="1"/>
  <c r="AU189" i="1"/>
  <c r="AU71" i="1"/>
  <c r="AU1159" i="1"/>
  <c r="AU592" i="1"/>
  <c r="AU232" i="1"/>
  <c r="AU669" i="1"/>
  <c r="AU6" i="1"/>
  <c r="AU1405" i="1"/>
  <c r="AU1607" i="1"/>
  <c r="AU1708" i="1"/>
  <c r="AU1136" i="1"/>
  <c r="AU1261" i="1"/>
  <c r="AU702" i="1"/>
  <c r="AU1242" i="1"/>
  <c r="AU220" i="1"/>
  <c r="AU1265" i="1"/>
  <c r="AU1189" i="1"/>
  <c r="AU295" i="1"/>
  <c r="AU1338" i="1"/>
  <c r="AU1003" i="1"/>
  <c r="AU120" i="1"/>
  <c r="AU1302" i="1"/>
  <c r="AU545" i="1"/>
  <c r="AU1169" i="1"/>
  <c r="AU292" i="1"/>
  <c r="AU433" i="1"/>
  <c r="AU1697" i="1"/>
  <c r="AU699" i="1"/>
  <c r="AU1319" i="1"/>
  <c r="AU1034" i="1"/>
  <c r="AU1074" i="1"/>
  <c r="AU159" i="1"/>
  <c r="AU1563" i="1"/>
  <c r="AU1520" i="1"/>
  <c r="AU376" i="1"/>
  <c r="AU1454" i="1"/>
  <c r="AU1796" i="1"/>
  <c r="AU727" i="1"/>
  <c r="AU1907" i="1"/>
  <c r="AU1863" i="1"/>
  <c r="AU412" i="1"/>
  <c r="AU2013" i="1"/>
  <c r="AU275" i="1"/>
  <c r="AU680" i="1"/>
  <c r="AU1903" i="1"/>
  <c r="AU239" i="1"/>
  <c r="AU795" i="1"/>
  <c r="AU1710" i="1"/>
  <c r="AU390" i="1"/>
  <c r="AU500" i="1"/>
  <c r="AU352" i="1"/>
  <c r="AU655" i="1"/>
  <c r="AU1698" i="1"/>
  <c r="AU1704" i="1"/>
  <c r="AU5" i="1"/>
  <c r="AU1420" i="1"/>
  <c r="AU469" i="1"/>
  <c r="AU1706" i="1"/>
  <c r="AU718" i="1"/>
  <c r="AU1227" i="1"/>
  <c r="AU1960" i="1"/>
  <c r="AU1423" i="1"/>
  <c r="AU1982" i="1"/>
  <c r="AU561" i="1"/>
  <c r="AU1267" i="1"/>
  <c r="AU1458" i="1"/>
  <c r="AU1333" i="1"/>
  <c r="AU1478" i="1"/>
  <c r="AU177" i="1"/>
  <c r="AU1470" i="1"/>
  <c r="AU280" i="1"/>
  <c r="AU1917" i="1"/>
  <c r="AU371" i="1"/>
  <c r="AU1652" i="1"/>
  <c r="AU725" i="1"/>
  <c r="AU1779" i="1"/>
  <c r="AU1657" i="1"/>
  <c r="AU635" i="1"/>
  <c r="AU499" i="1"/>
  <c r="AU187" i="1"/>
  <c r="AU309" i="1"/>
  <c r="AU686" i="1"/>
  <c r="AU1845" i="1"/>
  <c r="AU620" i="1"/>
  <c r="AU1244" i="1"/>
  <c r="AU1715" i="1"/>
  <c r="AU269" i="1"/>
  <c r="AU1092" i="1"/>
  <c r="AU174" i="1"/>
  <c r="AU1145" i="1"/>
  <c r="AU1141" i="1"/>
  <c r="AU1464" i="1"/>
  <c r="AU92" i="1"/>
  <c r="AU1977" i="1"/>
  <c r="AU1762" i="1"/>
  <c r="AU957" i="1"/>
  <c r="AU1510" i="1"/>
  <c r="AU1278" i="1"/>
  <c r="AU343" i="1"/>
  <c r="AU868" i="1"/>
  <c r="AU1613" i="1"/>
  <c r="AU861" i="1"/>
  <c r="AU1162" i="1"/>
  <c r="AU1354" i="1"/>
  <c r="AU1852" i="1"/>
  <c r="AU158" i="1"/>
  <c r="AU1379" i="1"/>
  <c r="AU241" i="1"/>
  <c r="AU689" i="1"/>
  <c r="AU819" i="1"/>
  <c r="AU1996" i="1"/>
  <c r="AU1911" i="1"/>
  <c r="AU308" i="1"/>
  <c r="AU973" i="1"/>
  <c r="AU1795" i="1"/>
  <c r="AU1390" i="1"/>
  <c r="AU584" i="1"/>
  <c r="AU1765" i="1"/>
  <c r="AU660" i="1"/>
  <c r="AU1594" i="1"/>
  <c r="AU1178" i="1"/>
  <c r="AU691" i="1"/>
  <c r="AU1443" i="1"/>
  <c r="AU476" i="1"/>
  <c r="AU1988" i="1"/>
  <c r="AU1778" i="1"/>
  <c r="AU1010" i="1"/>
  <c r="AU1700" i="1"/>
  <c r="AU1851" i="1"/>
  <c r="AU1075" i="1"/>
  <c r="AU656" i="1"/>
  <c r="AU1577" i="1"/>
  <c r="AU1895" i="1"/>
  <c r="AU752" i="1"/>
  <c r="AU238" i="1"/>
  <c r="AU1718" i="1"/>
  <c r="AU111" i="1"/>
  <c r="AU333" i="1"/>
  <c r="AU880" i="1"/>
  <c r="AU940" i="1"/>
  <c r="AU865" i="1"/>
  <c r="AU1797" i="1"/>
  <c r="AU136" i="1"/>
  <c r="AU1277" i="1"/>
  <c r="AU79" i="1"/>
  <c r="AU1731" i="1"/>
  <c r="AU1627" i="1"/>
  <c r="AU555" i="1"/>
  <c r="AU502" i="1"/>
  <c r="AU346" i="1"/>
  <c r="AU289" i="1"/>
  <c r="AU780" i="1"/>
  <c r="AU1431" i="1"/>
  <c r="AU1098" i="1"/>
  <c r="AU364" i="1"/>
  <c r="AU445" i="1"/>
  <c r="AU1248" i="1"/>
  <c r="AU206" i="1"/>
  <c r="AU732" i="1"/>
  <c r="AU1764" i="1"/>
  <c r="AU1053" i="1"/>
  <c r="AU949" i="1"/>
  <c r="AU188" i="1"/>
  <c r="AU1678" i="1"/>
  <c r="AU310" i="1"/>
  <c r="AU997" i="1"/>
  <c r="AU1511" i="1"/>
  <c r="AU1121" i="1"/>
  <c r="AU1751" i="1"/>
  <c r="AU692" i="1"/>
  <c r="AU1451" i="1"/>
  <c r="AU1182" i="1"/>
  <c r="AU1518" i="1"/>
  <c r="AU1683" i="1"/>
  <c r="AU640" i="1"/>
  <c r="AU1721" i="1"/>
  <c r="AU1637" i="1"/>
  <c r="AU1925" i="1"/>
  <c r="AU1406" i="1"/>
  <c r="AU1505" i="1"/>
  <c r="AU2002" i="1"/>
  <c r="AU1282" i="1"/>
  <c r="AU721" i="1"/>
  <c r="AU1512" i="1"/>
  <c r="AU351" i="1"/>
  <c r="AU34" i="1"/>
  <c r="AU696" i="1"/>
  <c r="AU224" i="1"/>
  <c r="AU703" i="1"/>
  <c r="AU542" i="1"/>
  <c r="AU325" i="1"/>
  <c r="AU1275" i="1"/>
  <c r="AU1979" i="1"/>
  <c r="AU1855" i="1"/>
  <c r="AU1987" i="1"/>
  <c r="AU1739" i="1"/>
  <c r="AU254" i="1"/>
  <c r="AU1318" i="1"/>
  <c r="AU1279" i="1"/>
  <c r="AU960" i="1"/>
  <c r="AU1149" i="1"/>
  <c r="AU1800" i="1"/>
  <c r="AU623" i="1"/>
  <c r="AU1723" i="1"/>
  <c r="AU1078" i="1"/>
  <c r="AU1865" i="1"/>
  <c r="AU955" i="1"/>
  <c r="AU654" i="1"/>
  <c r="AU1128" i="1"/>
  <c r="AU487" i="1"/>
  <c r="AU272" i="1"/>
  <c r="AU1940" i="1"/>
  <c r="AU113" i="1"/>
  <c r="AU27" i="1"/>
  <c r="AU1094" i="1"/>
  <c r="AU1483" i="1"/>
  <c r="AU1946" i="1"/>
  <c r="AU100" i="1"/>
  <c r="AU37" i="1"/>
  <c r="AU1158" i="1"/>
  <c r="AU14" i="1"/>
  <c r="AU441" i="1"/>
  <c r="AU1999" i="1"/>
  <c r="AU758" i="1"/>
  <c r="AU85" i="1"/>
  <c r="AU1268" i="1"/>
  <c r="AU604" i="1"/>
  <c r="AU481" i="1"/>
  <c r="AU1741" i="1"/>
  <c r="AU1085" i="1"/>
  <c r="AU606" i="1"/>
  <c r="AU1091" i="1"/>
  <c r="AU1680" i="1"/>
  <c r="AU2006" i="1"/>
  <c r="AU1734" i="1"/>
  <c r="AU958" i="1"/>
  <c r="AU1738" i="1"/>
  <c r="AU1599" i="1"/>
  <c r="AU1525" i="1"/>
  <c r="AU1316" i="1"/>
  <c r="AU144" i="1"/>
  <c r="AU1868" i="1"/>
  <c r="AU959" i="1"/>
  <c r="AU898" i="1"/>
  <c r="AU894" i="1"/>
  <c r="AU1533" i="1"/>
  <c r="AU522" i="1"/>
  <c r="AU610" i="1"/>
  <c r="AU1438" i="1"/>
  <c r="AU45" i="1"/>
  <c r="AU1289" i="1"/>
  <c r="AU1119" i="1"/>
  <c r="AU369" i="1"/>
  <c r="AU793" i="1"/>
  <c r="AU365" i="1"/>
  <c r="AU1096" i="1"/>
  <c r="AU1632" i="1"/>
  <c r="AU385" i="1"/>
  <c r="AU267" i="1"/>
  <c r="AU1689" i="1"/>
  <c r="AU1027" i="1"/>
  <c r="AU1100" i="1"/>
  <c r="AU735" i="1"/>
  <c r="AU1462" i="1"/>
  <c r="AU847" i="1"/>
  <c r="AU1439" i="1"/>
  <c r="AU1916" i="1"/>
  <c r="AU754" i="1"/>
  <c r="AU1345" i="1"/>
  <c r="AU901" i="1"/>
  <c r="AU731" i="1"/>
  <c r="AU1346" i="1"/>
  <c r="AU1437" i="1"/>
  <c r="AU1475" i="1"/>
  <c r="AU1663" i="1"/>
  <c r="AU1287" i="1"/>
  <c r="AU114" i="1"/>
  <c r="AU196" i="1"/>
  <c r="AU639" i="1"/>
  <c r="AU783" i="1"/>
  <c r="AU1994" i="1"/>
  <c r="AU1371" i="1"/>
  <c r="AU426" i="1"/>
  <c r="AU1168" i="1"/>
  <c r="AU256" i="1"/>
  <c r="AU853" i="1"/>
  <c r="AU594" i="1"/>
  <c r="AU827" i="1"/>
  <c r="AU907" i="1"/>
  <c r="AU409" i="1"/>
  <c r="AU619" i="1"/>
  <c r="AU442" i="1"/>
  <c r="AU1849" i="1"/>
  <c r="AU1151" i="1"/>
  <c r="AU1401" i="1"/>
  <c r="AU634" i="1"/>
  <c r="AU613" i="1"/>
  <c r="AU614" i="1"/>
  <c r="AU101" i="1"/>
  <c r="AU1054" i="1"/>
  <c r="AU787" i="1"/>
  <c r="AU1384" i="1"/>
  <c r="AU765" i="1"/>
  <c r="AU1129" i="1"/>
  <c r="AU53" i="1"/>
  <c r="AU1342" i="1"/>
  <c r="AU122" i="1"/>
  <c r="AU1568" i="1"/>
  <c r="AU1790" i="1"/>
  <c r="AU331" i="1"/>
  <c r="AU202" i="1"/>
  <c r="AU1737" i="1"/>
  <c r="AU251" i="1"/>
  <c r="AU824" i="1"/>
  <c r="AU356" i="1"/>
  <c r="AU1806" i="1"/>
  <c r="AU1609" i="1"/>
  <c r="AU217" i="1"/>
  <c r="AU653" i="1"/>
  <c r="AU467" i="1"/>
  <c r="AU1132" i="1"/>
  <c r="AU1135" i="1"/>
  <c r="AU509" i="1"/>
  <c r="AU833" i="1"/>
  <c r="AU667" i="1"/>
  <c r="AU1747" i="1"/>
  <c r="AU1220" i="1"/>
  <c r="AU1252" i="1"/>
  <c r="AU218" i="1"/>
  <c r="AU921" i="1"/>
  <c r="AU1880" i="1"/>
  <c r="AU1834" i="1"/>
  <c r="AU1286" i="1"/>
  <c r="AU1271" i="1"/>
  <c r="AU72" i="1"/>
  <c r="AU950" i="1"/>
  <c r="AU1822" i="1"/>
  <c r="AU75" i="1"/>
  <c r="AU1116" i="1"/>
  <c r="AU1948" i="1"/>
  <c r="AU1799" i="1"/>
  <c r="AU1444" i="1"/>
  <c r="AU1894" i="1"/>
  <c r="AU778" i="1"/>
  <c r="AU1550" i="1"/>
  <c r="AU168" i="1"/>
  <c r="AU1344" i="1"/>
  <c r="AU923" i="1"/>
  <c r="AU137" i="1"/>
  <c r="AU1753" i="1"/>
  <c r="AU287" i="1"/>
  <c r="AU1624" i="1"/>
  <c r="AU109" i="1"/>
  <c r="AU523" i="1"/>
  <c r="AU722" i="1"/>
  <c r="AU1134" i="1"/>
  <c r="AU1066" i="1"/>
  <c r="AU628" i="1"/>
  <c r="AU1794" i="1"/>
  <c r="AU1126" i="1"/>
  <c r="AU1468" i="1"/>
  <c r="AU1231" i="1"/>
  <c r="AU1465" i="1"/>
  <c r="AU1433" i="1"/>
  <c r="AU670" i="1"/>
  <c r="AU1474" i="1"/>
  <c r="AU715" i="1"/>
  <c r="AU1055" i="1"/>
  <c r="AU1995" i="1"/>
  <c r="AU1161" i="1"/>
  <c r="AU989" i="1"/>
  <c r="AU1222" i="1"/>
  <c r="AU1150" i="1"/>
  <c r="AU1411" i="1"/>
  <c r="AU1385" i="1"/>
  <c r="AU1811" i="1"/>
  <c r="AU194" i="1"/>
  <c r="AU764" i="1"/>
  <c r="AU1013" i="1"/>
  <c r="AU1493" i="1"/>
  <c r="AU1374" i="1"/>
  <c r="AU23" i="1"/>
  <c r="AU345" i="1"/>
  <c r="AU1621" i="1"/>
  <c r="AU485" i="1"/>
  <c r="AU1963" i="1"/>
  <c r="AU1882" i="1"/>
  <c r="AU1337" i="1"/>
  <c r="AU1810" i="1"/>
  <c r="AU1682" i="1"/>
  <c r="AU1761" i="1"/>
  <c r="AU736" i="1"/>
  <c r="AU306" i="1"/>
  <c r="AU804" i="1"/>
  <c r="AU1103" i="1"/>
  <c r="AU1890" i="1"/>
  <c r="AU1862" i="1"/>
  <c r="AU1707" i="1"/>
  <c r="AU143" i="1"/>
  <c r="AU1373" i="1"/>
  <c r="AU887" i="1"/>
  <c r="AU1950" i="1"/>
  <c r="AU726" i="1"/>
  <c r="AU1202" i="1"/>
  <c r="AU1575" i="1"/>
  <c r="AU943" i="1"/>
  <c r="AU1748" i="1"/>
  <c r="AU984" i="1"/>
  <c r="AU1209" i="1"/>
  <c r="AU330" i="1"/>
  <c r="AU1482" i="1"/>
  <c r="AU312" i="1"/>
  <c r="AU1992" i="1"/>
  <c r="AU329" i="1"/>
  <c r="AU552" i="1"/>
  <c r="AU1586" i="1"/>
  <c r="AU1757" i="1"/>
  <c r="AU566" i="1"/>
  <c r="AU414" i="1"/>
  <c r="AU1224" i="1"/>
  <c r="AU83" i="1"/>
  <c r="AU1229" i="1"/>
  <c r="AU99" i="1"/>
  <c r="AU925" i="1"/>
  <c r="AU750" i="1"/>
  <c r="AU498" i="1"/>
  <c r="AU266" i="1"/>
  <c r="AU738" i="1"/>
  <c r="AU1230" i="1"/>
  <c r="AU235" i="1"/>
  <c r="AU1181" i="1"/>
  <c r="AU3" i="1"/>
  <c r="AU935" i="1"/>
  <c r="AU401" i="1"/>
  <c r="AU632" i="1"/>
  <c r="AU8" i="1"/>
  <c r="AU1732" i="1"/>
  <c r="AU587" i="1"/>
  <c r="AU1114" i="1"/>
  <c r="AU1137" i="1"/>
  <c r="AU799" i="1"/>
  <c r="AU532" i="1"/>
  <c r="AU1190" i="1"/>
  <c r="AU922" i="1"/>
  <c r="AU825" i="1"/>
  <c r="AU1369" i="1"/>
  <c r="AU1793" i="1"/>
  <c r="AU1687" i="1"/>
  <c r="AU1228" i="1"/>
  <c r="AU1908" i="1"/>
  <c r="AU1767" i="1"/>
  <c r="AU946" i="1"/>
  <c r="AU826" i="1"/>
  <c r="AU835" i="1"/>
  <c r="AU609" i="1"/>
  <c r="AU421" i="1"/>
  <c r="AU1805" i="1"/>
  <c r="AU386" i="1"/>
  <c r="AU315" i="1"/>
  <c r="AU1491" i="1"/>
  <c r="AU389" i="1"/>
  <c r="AU593" i="1"/>
  <c r="AU363" i="1"/>
  <c r="AU904" i="1"/>
  <c r="AU1485" i="1"/>
  <c r="AU398" i="1"/>
  <c r="AU605" i="1"/>
  <c r="AU60" i="1"/>
  <c r="AU175" i="1"/>
  <c r="AU348" i="1"/>
  <c r="AU1082" i="1"/>
  <c r="AU470" i="1"/>
  <c r="AU1360" i="1"/>
  <c r="AU1842" i="1"/>
  <c r="AU1218" i="1"/>
  <c r="AU759" i="1"/>
  <c r="AU1050" i="1"/>
  <c r="AU1866" i="1"/>
  <c r="AU806" i="1"/>
  <c r="AU205" i="1"/>
  <c r="AU402" i="1"/>
  <c r="AU513" i="1"/>
  <c r="AU521" i="1"/>
  <c r="AU28" i="1"/>
  <c r="AU1364" i="1"/>
  <c r="AU1567" i="1"/>
  <c r="AU1351" i="1"/>
  <c r="AU672" i="1"/>
  <c r="AU1815" i="1"/>
  <c r="AU945" i="1"/>
  <c r="AU1628" i="1"/>
  <c r="AU530" i="1"/>
  <c r="AU1049" i="1"/>
  <c r="AU212" i="1"/>
  <c r="AU62" i="1"/>
  <c r="AU1817" i="1"/>
  <c r="AU828" i="1"/>
  <c r="AU1269" i="1"/>
  <c r="AU486" i="1"/>
  <c r="AU519" i="1"/>
  <c r="AU1939" i="1"/>
  <c r="AU305" i="1"/>
  <c r="AU2011" i="1"/>
  <c r="AU182" i="1"/>
  <c r="AU236" i="1"/>
  <c r="AU899" i="1"/>
  <c r="AU31" i="1"/>
  <c r="AU1617" i="1"/>
  <c r="AU1029" i="1"/>
  <c r="AU1304" i="1"/>
  <c r="AU231" i="1"/>
  <c r="AU336" i="1"/>
  <c r="AU589" i="1"/>
  <c r="AU570" i="1"/>
  <c r="AU1952" i="1"/>
  <c r="AU709" i="1"/>
  <c r="AU717" i="1"/>
  <c r="AU1630" i="1"/>
  <c r="AU1164" i="1"/>
  <c r="AU1429" i="1"/>
  <c r="AU121" i="1"/>
  <c r="AU115" i="1"/>
  <c r="AU1971" i="1"/>
  <c r="AU273" i="1"/>
  <c r="AU1629" i="1"/>
  <c r="AU456" i="1"/>
  <c r="AU89" i="1"/>
  <c r="AU1064" i="1"/>
  <c r="AU141" i="1"/>
  <c r="AU226" i="1"/>
  <c r="AU408" i="1"/>
  <c r="AU723" i="1"/>
  <c r="AU846" i="1"/>
  <c r="AU1352" i="1"/>
  <c r="AU1477" i="1"/>
  <c r="AU1524" i="1"/>
  <c r="AU406" i="1"/>
  <c r="AU164" i="1"/>
  <c r="AU1673" i="1"/>
  <c r="AU271" i="1"/>
  <c r="AU1153" i="1"/>
  <c r="AU234" i="1"/>
  <c r="AU357" i="1"/>
  <c r="AU1188" i="1"/>
  <c r="AU771" i="1"/>
  <c r="AU505" i="1"/>
  <c r="AU210" i="1"/>
  <c r="AU1332" i="1"/>
  <c r="AU1622" i="1"/>
  <c r="AU2017" i="1"/>
  <c r="AU1413" i="1"/>
  <c r="AU1400" i="1"/>
  <c r="AU277" i="1"/>
  <c r="AU1080" i="1"/>
  <c r="AU511" i="1"/>
  <c r="AU302" i="1"/>
  <c r="AU1515" i="1"/>
  <c r="AU1934" i="1"/>
  <c r="AU1725" i="1"/>
  <c r="AU1693" i="1"/>
  <c r="AU1920" i="1"/>
  <c r="AU1981" i="1"/>
  <c r="AU1330" i="1"/>
  <c r="AU1259" i="1"/>
  <c r="AU1355" i="1"/>
  <c r="AU480" i="1"/>
  <c r="AU142" i="1"/>
  <c r="AU1763" i="1"/>
  <c r="AU1032" i="1"/>
  <c r="AU1217" i="1"/>
  <c r="AU829" i="1"/>
  <c r="AU568" i="1"/>
  <c r="AU802" i="1"/>
  <c r="AU265" i="1"/>
  <c r="AU1953" i="1"/>
  <c r="AU737" i="1"/>
  <c r="AU1216" i="1"/>
  <c r="AU1645" i="1"/>
  <c r="AU153" i="1"/>
  <c r="AU751" i="1"/>
  <c r="AU1068" i="1"/>
  <c r="AU883" i="1"/>
  <c r="AU963" i="1"/>
  <c r="AU798" i="1"/>
  <c r="AU507" i="1"/>
  <c r="AU1339" i="1"/>
  <c r="AU1924" i="1"/>
  <c r="AU270" i="1"/>
  <c r="AU1048" i="1"/>
  <c r="AU18" i="1"/>
  <c r="AU622" i="1"/>
  <c r="AU1703" i="1"/>
  <c r="AU1576" i="1"/>
  <c r="AU626" i="1"/>
  <c r="AU1818" i="1"/>
  <c r="AU209" i="1"/>
  <c r="AU1913" i="1"/>
  <c r="AU544" i="1"/>
  <c r="AU437" i="1"/>
  <c r="AU204" i="1"/>
  <c r="AU1504" i="1"/>
  <c r="AU394" i="1"/>
  <c r="AU1966" i="1"/>
  <c r="AU915" i="1"/>
  <c r="AU659" i="1"/>
  <c r="AU905" i="1"/>
  <c r="AU1832" i="1"/>
  <c r="AU1581" i="1"/>
  <c r="AU551" i="1"/>
  <c r="AU1087" i="1"/>
  <c r="AU110" i="1"/>
  <c r="AU1170" i="1"/>
  <c r="AU876" i="1"/>
  <c r="AU1676" i="1"/>
  <c r="AU1394" i="1"/>
  <c r="AU1937" i="1"/>
  <c r="AU123" i="1"/>
  <c r="AU130" i="1"/>
  <c r="AU431" i="1"/>
  <c r="AU965" i="1"/>
  <c r="AU1101" i="1"/>
  <c r="AU1986" i="1"/>
  <c r="AU1095" i="1"/>
  <c r="AU132" i="1"/>
  <c r="AU1730" i="1"/>
  <c r="AU1172" i="1"/>
  <c r="AU753" i="1"/>
  <c r="AU1448" i="1"/>
  <c r="AU893" i="1"/>
  <c r="AU1494" i="1"/>
  <c r="AU57" i="1"/>
  <c r="AU1897" i="1"/>
  <c r="AU1255" i="1"/>
  <c r="AU1893" i="1"/>
  <c r="AU1396" i="1"/>
  <c r="AU1073" i="1"/>
  <c r="AU843" i="1"/>
  <c r="AU1303" i="1"/>
  <c r="AU1929" i="1"/>
  <c r="AU972" i="1"/>
  <c r="AU1702" i="1"/>
  <c r="AU311" i="1"/>
  <c r="AU747" i="1"/>
  <c r="AU1914" i="1"/>
  <c r="AU1293" i="1"/>
  <c r="AU733" i="1"/>
  <c r="AU179" i="1"/>
  <c r="AU1312" i="1"/>
  <c r="AU1366" i="1"/>
  <c r="AU73" i="1"/>
  <c r="AU1965" i="1"/>
  <c r="AU1858" i="1"/>
  <c r="AU1538" i="1"/>
  <c r="AU1508" i="1"/>
  <c r="AU1025" i="1"/>
  <c r="AU116" i="1"/>
  <c r="AU1247" i="1"/>
  <c r="AU1357" i="1"/>
  <c r="AU1062" i="1"/>
  <c r="AU358" i="1"/>
  <c r="AU1681" i="1"/>
  <c r="AU1058" i="1"/>
  <c r="AU203" i="1"/>
  <c r="AU1769" i="1"/>
  <c r="AU926" i="1"/>
  <c r="AU708" i="1"/>
  <c r="AU438" i="1"/>
  <c r="AU1492" i="1"/>
  <c r="AU1891" i="1"/>
  <c r="AU155" i="1"/>
  <c r="AU962" i="1"/>
  <c r="AU382" i="1"/>
  <c r="AU524" i="1"/>
  <c r="AU822" i="1"/>
  <c r="AU66" i="1"/>
  <c r="AU67" i="1"/>
  <c r="AU1214" i="1"/>
  <c r="AU1133" i="1"/>
  <c r="AU745" i="1"/>
  <c r="AU201" i="1"/>
  <c r="AU211" i="1"/>
  <c r="AU1042" i="1"/>
  <c r="AU1559" i="1"/>
  <c r="AU9" i="1"/>
  <c r="AU466" i="1"/>
  <c r="AU297" i="1"/>
  <c r="AU1363" i="1"/>
  <c r="AU276" i="1"/>
  <c r="AU1251" i="1"/>
  <c r="AU263" i="1"/>
  <c r="AU1417" i="1"/>
  <c r="AU1667" i="1"/>
  <c r="AU334" i="1"/>
  <c r="AU1430" i="1"/>
  <c r="AU195" i="1"/>
  <c r="AU246" i="1"/>
  <c r="AU569" i="1"/>
  <c r="AU163" i="1"/>
  <c r="AU1142" i="1"/>
  <c r="AU697" i="1"/>
  <c r="AU1804" i="1"/>
  <c r="AU1651" i="1"/>
  <c r="AU301" i="1"/>
  <c r="AU591" i="1"/>
  <c r="AU932" i="1"/>
  <c r="AU763" i="1"/>
  <c r="AU698" i="1"/>
  <c r="AU931" i="1"/>
  <c r="AU96" i="1"/>
  <c r="AU22" i="1"/>
  <c r="AU1728" i="1"/>
  <c r="AU600" i="1"/>
  <c r="AU814" i="1"/>
  <c r="AU565" i="1"/>
  <c r="AU1395" i="1"/>
  <c r="AU578" i="1"/>
  <c r="AU1770" i="1"/>
  <c r="AU1007" i="1"/>
  <c r="AU1262" i="1"/>
  <c r="AU1314" i="1"/>
  <c r="AU1173" i="1"/>
  <c r="AU1969" i="1"/>
  <c r="AU808" i="1"/>
  <c r="AU1026" i="1"/>
  <c r="AU807" i="1"/>
  <c r="AU996" i="1"/>
  <c r="AU547" i="1"/>
  <c r="AU1035" i="1"/>
  <c r="AU1377" i="1"/>
  <c r="AU1383" i="1"/>
  <c r="AU1056" i="1"/>
  <c r="AU975" i="1"/>
  <c r="AU19" i="1"/>
  <c r="AU1626" i="1"/>
  <c r="AU1589" i="1"/>
  <c r="AU1238" i="1"/>
  <c r="AU65" i="1"/>
  <c r="AU1388" i="1"/>
  <c r="AU1972" i="1"/>
  <c r="AU844" i="1"/>
  <c r="AU145" i="1"/>
  <c r="AU97" i="1"/>
  <c r="AU124" i="1"/>
  <c r="AU1615" i="1"/>
  <c r="AU1041" i="1"/>
  <c r="AU1210" i="1"/>
  <c r="AU1957" i="1"/>
  <c r="AU1610" i="1"/>
  <c r="AU186" i="1"/>
  <c r="AU633" i="1"/>
  <c r="AU104" i="1"/>
  <c r="AU233" i="1"/>
  <c r="AU156" i="1"/>
  <c r="AU1616" i="1"/>
  <c r="AU82" i="1"/>
  <c r="AU1854" i="1"/>
  <c r="AU1308" i="1"/>
  <c r="AU616" i="1"/>
  <c r="AU700" i="1"/>
  <c r="AU227" i="1"/>
  <c r="AU994" i="1"/>
  <c r="AU1243" i="1"/>
  <c r="AU446" i="1"/>
  <c r="AU12" i="1"/>
  <c r="AU873" i="1"/>
  <c r="AU1878" i="1"/>
  <c r="AU1570" i="1"/>
  <c r="AU1601" i="1"/>
  <c r="AU677" i="1"/>
  <c r="AU1949" i="1"/>
  <c r="AU1548" i="1"/>
  <c r="AU420" i="1"/>
  <c r="AU1081" i="1"/>
  <c r="AU1717" i="1"/>
  <c r="AU1620" i="1"/>
  <c r="AU1463" i="1"/>
  <c r="AU518" i="1"/>
  <c r="AU328" i="1"/>
  <c r="AU579" i="1"/>
  <c r="AU1664" i="1"/>
  <c r="AU1592" i="1"/>
  <c r="AU1579" i="1"/>
  <c r="AU1768" i="1"/>
  <c r="AU705" i="1"/>
  <c r="AU1644" i="1"/>
  <c r="AU1961" i="1"/>
  <c r="AU912" i="1"/>
  <c r="AU1758" i="1"/>
  <c r="AU1980" i="1"/>
  <c r="AU1713" i="1"/>
  <c r="AU588" i="1"/>
  <c r="AU257" i="1"/>
  <c r="AU30" i="1"/>
  <c r="AU361" i="1"/>
  <c r="AU1696" i="1"/>
  <c r="AU1298" i="1"/>
  <c r="AU1536" i="1"/>
  <c r="AU1175" i="1"/>
  <c r="AU1503" i="1"/>
  <c r="AU1203" i="1"/>
  <c r="AU791" i="1"/>
  <c r="AU1488" i="1"/>
  <c r="AU1876" i="1"/>
  <c r="AU242" i="1"/>
  <c r="AU1542" i="1"/>
  <c r="AU1658" i="1"/>
  <c r="AU1643" i="1"/>
  <c r="AU458" i="1"/>
  <c r="AU1530" i="1"/>
  <c r="AU1266" i="1"/>
  <c r="AU1780" i="1"/>
  <c r="AU374" i="1"/>
  <c r="AU1833" i="1"/>
  <c r="AU1782" i="1"/>
  <c r="AU298" i="1"/>
  <c r="AU1313" i="1"/>
  <c r="AU631" i="1"/>
  <c r="AU324" i="1"/>
  <c r="AU353" i="1"/>
  <c r="AU766" i="1"/>
  <c r="AU674" i="1"/>
  <c r="AU854" i="1"/>
  <c r="AU1546" i="1"/>
  <c r="AU658" i="1"/>
  <c r="AU1984" i="1"/>
  <c r="AU68" i="1"/>
  <c r="AU684" i="1"/>
  <c r="AU1578" i="1"/>
  <c r="AU370" i="1"/>
  <c r="AU548" i="1"/>
  <c r="AU834" i="1"/>
  <c r="AU1469" i="1"/>
  <c r="AU800" i="1"/>
  <c r="AU56" i="1"/>
  <c r="AU51" i="1"/>
  <c r="AU1798" i="1"/>
  <c r="AU1077" i="1"/>
  <c r="AU1347" i="1"/>
  <c r="AU392" i="1"/>
  <c r="AU1517" i="1"/>
  <c r="AU199" i="1"/>
  <c r="AU1349" i="1"/>
  <c r="AU243" i="1"/>
  <c r="AU944" i="1"/>
  <c r="AU1875" i="1"/>
  <c r="AU93" i="1"/>
  <c r="AU1237" i="1"/>
  <c r="AU323" i="1"/>
  <c r="AU64" i="1"/>
  <c r="AU1425" i="1"/>
  <c r="AU1452" i="1"/>
  <c r="AU890" i="1"/>
  <c r="AU714" i="1"/>
  <c r="AU410" i="1"/>
  <c r="AU112" i="1"/>
  <c r="AU1773" i="1"/>
  <c r="AU860" i="1"/>
  <c r="AU81" i="1"/>
  <c r="AU942" i="1"/>
  <c r="AU1410" i="1"/>
  <c r="AU993" i="1"/>
  <c r="AU1736" i="1"/>
  <c r="AU249" i="1"/>
  <c r="AU1104" i="1"/>
  <c r="AU629" i="1"/>
  <c r="AU618" i="1"/>
  <c r="AU244" i="1"/>
  <c r="AU105" i="1"/>
  <c r="AU948" i="1"/>
  <c r="AU1968" i="1"/>
  <c r="AU517" i="1"/>
  <c r="AU1597" i="1"/>
  <c r="AU1044" i="1"/>
  <c r="AU1527" i="1"/>
  <c r="AU1144" i="1"/>
  <c r="AU546" i="1"/>
  <c r="AU1670" i="1"/>
  <c r="AU1018" i="1"/>
  <c r="AU1102" i="1"/>
  <c r="AU1232" i="1"/>
  <c r="AU1449" i="1"/>
  <c r="AU304" i="1"/>
  <c r="AU1148" i="1"/>
  <c r="AU1679" i="1"/>
  <c r="AU450" i="1"/>
  <c r="AU636" i="1"/>
  <c r="AU1843" i="1"/>
  <c r="AU1291" i="1"/>
  <c r="AU299" i="1"/>
  <c r="AU264" i="1"/>
  <c r="AU1072" i="1"/>
  <c r="AU1522" i="1"/>
  <c r="AU76" i="1"/>
  <c r="AU1112" i="1"/>
  <c r="AU1445" i="1"/>
  <c r="AU1918" i="1"/>
  <c r="AU1661" i="1"/>
  <c r="AU473" i="1"/>
  <c r="AU1923" i="1"/>
  <c r="AU1300" i="1"/>
  <c r="AU992" i="1"/>
  <c r="AU906" i="1"/>
  <c r="AU1788" i="1"/>
  <c r="AU564" i="1"/>
  <c r="AU590" i="1"/>
  <c r="AU2009" i="1"/>
  <c r="AU90" i="1"/>
  <c r="AU990" i="1"/>
  <c r="AU1909" i="1"/>
  <c r="AU1177" i="1"/>
  <c r="AU526" i="1"/>
  <c r="AU191" i="1"/>
  <c r="AU924" i="1"/>
  <c r="AU1273" i="1"/>
  <c r="AU811" i="1"/>
  <c r="AU108" i="1"/>
  <c r="AU1382" i="1"/>
  <c r="AU706" i="1"/>
  <c r="AU1115" i="1"/>
  <c r="AU1584" i="1"/>
  <c r="AU248" i="1"/>
  <c r="AU126" i="1"/>
  <c r="AU1716" i="1"/>
  <c r="AU230" i="1"/>
  <c r="AU644" i="1"/>
  <c r="AU1869" i="1"/>
  <c r="AU1187" i="1"/>
  <c r="AU1690" i="1"/>
  <c r="AU929" i="1"/>
  <c r="AU1755" i="1"/>
  <c r="AU24" i="1"/>
  <c r="AU1196" i="1"/>
  <c r="AU1341" i="1"/>
  <c r="AU961" i="1"/>
  <c r="AU1993" i="1"/>
  <c r="AU1807" i="1"/>
  <c r="AU1883" i="1"/>
  <c r="AU1272" i="1"/>
  <c r="AU784" i="1"/>
  <c r="AU1719" i="1"/>
  <c r="AU1199" i="1"/>
  <c r="AU192" i="1"/>
  <c r="AU601" i="1"/>
  <c r="AU864" i="1"/>
  <c r="AU776" i="1"/>
  <c r="AU1285" i="1"/>
  <c r="AU554" i="1"/>
  <c r="AU197" i="1"/>
  <c r="AU839" i="1"/>
  <c r="AU927" i="1"/>
  <c r="AU879" i="1"/>
  <c r="AU1067" i="1"/>
  <c r="AU399" i="1"/>
  <c r="AU1084" i="1"/>
  <c r="AU1606" i="1"/>
  <c r="AU1434" i="1"/>
  <c r="AU1557" i="1"/>
  <c r="AU1370" i="1"/>
  <c r="AU671" i="1"/>
  <c r="AU439" i="1"/>
  <c r="AU253" i="1"/>
  <c r="AU886" i="1"/>
  <c r="AU1324" i="1"/>
  <c r="AU760" i="1"/>
  <c r="AU1650" i="1"/>
  <c r="AU1625" i="1"/>
  <c r="AU2001" i="1"/>
  <c r="AU1821" i="1"/>
  <c r="AU228" i="1"/>
  <c r="AU1361" i="1"/>
  <c r="AU1672" i="1"/>
  <c r="AU495" i="1"/>
  <c r="AU491" i="1"/>
  <c r="AU1879" i="1"/>
  <c r="AU938" i="1"/>
  <c r="AU1507" i="1"/>
  <c r="AU1256" i="1"/>
  <c r="AU1419" i="1"/>
  <c r="AU1320" i="1"/>
  <c r="AU1749" i="1"/>
  <c r="AU1476" i="1"/>
  <c r="AU662" i="1"/>
  <c r="AU967" i="1"/>
  <c r="AU74" i="1"/>
  <c r="AU1325" i="1"/>
  <c r="AU1809" i="1"/>
  <c r="AU823" i="1"/>
  <c r="AU464" i="1"/>
  <c r="AU423" i="1"/>
  <c r="AU1781" i="1"/>
  <c r="AU1985" i="1"/>
  <c r="AU2005" i="1"/>
  <c r="AU1399" i="1"/>
  <c r="AU1933" i="1"/>
  <c r="AU642" i="1"/>
  <c r="AU344" i="1"/>
  <c r="AU630" i="1"/>
  <c r="AU436" i="1"/>
  <c r="AU478" i="1"/>
  <c r="AU939" i="1"/>
  <c r="AU742" i="1"/>
  <c r="AU482" i="1"/>
  <c r="AU1414" i="1"/>
  <c r="AU219" i="1"/>
  <c r="AU29" i="1"/>
  <c r="AU262" i="1"/>
  <c r="AU1727" i="1"/>
  <c r="AU1225" i="1"/>
  <c r="AU1006" i="1"/>
  <c r="AU1945" i="1"/>
  <c r="AU1284" i="1"/>
  <c r="AU80" i="1"/>
  <c r="AU585" i="1"/>
  <c r="AU688" i="1"/>
  <c r="AU1441" i="1"/>
  <c r="AU889" i="1"/>
  <c r="AU1885" i="1"/>
  <c r="AU611" i="1"/>
  <c r="AU1479" i="1"/>
  <c r="AU1403" i="1"/>
  <c r="AU288" i="1"/>
  <c r="AU1176" i="1"/>
  <c r="AU166" i="1"/>
  <c r="AU695" i="1"/>
  <c r="AU1529" i="1"/>
  <c r="AU1020" i="1"/>
  <c r="AU1427" i="1"/>
  <c r="AU1618" i="1"/>
  <c r="AU875" i="1"/>
  <c r="AU1171" i="1"/>
  <c r="AU94" i="1"/>
  <c r="AU607" i="1"/>
  <c r="AU1772" i="1"/>
  <c r="AU1295" i="1"/>
  <c r="AU1281" i="1"/>
  <c r="AU1130" i="1"/>
  <c r="AU831" i="1"/>
  <c r="AU1595" i="1"/>
  <c r="AU869" i="1"/>
  <c r="AU222" i="1"/>
  <c r="AU2010" i="1"/>
  <c r="AU1453" i="1"/>
  <c r="AU1264" i="1"/>
  <c r="AU290" i="1"/>
  <c r="AU781" i="1"/>
  <c r="AU1060" i="1"/>
  <c r="AU148" i="1"/>
  <c r="AU388" i="1"/>
  <c r="AU794" i="1"/>
  <c r="AU663" i="1"/>
  <c r="AU427" i="1"/>
  <c r="AU1249" i="1"/>
  <c r="AU501" i="1"/>
  <c r="AU772" i="1"/>
  <c r="AU1820" i="1"/>
  <c r="AU1180" i="1"/>
  <c r="AU1192" i="1"/>
  <c r="AU1455" i="1"/>
  <c r="AU139" i="1"/>
  <c r="AU1221" i="1"/>
  <c r="AU440" i="1"/>
  <c r="AU1460" i="1"/>
  <c r="AU1956" i="1"/>
  <c r="AU514" i="1"/>
  <c r="AU1409" i="1"/>
  <c r="AU1208" i="1"/>
  <c r="AU1921" i="1"/>
  <c r="AU349" i="1"/>
  <c r="AU1786" i="1"/>
  <c r="AU1120" i="1"/>
  <c r="AU539" i="1"/>
  <c r="AU49" i="1"/>
  <c r="AU260" i="1"/>
  <c r="AU1015" i="1"/>
  <c r="AU281" i="1"/>
  <c r="AU1052" i="1"/>
  <c r="AU1459" i="1"/>
  <c r="AU1381" i="1"/>
  <c r="AU1097" i="1"/>
  <c r="AU1276" i="1"/>
  <c r="AU767" i="1"/>
  <c r="AU1591" i="1"/>
  <c r="AU1846" i="1"/>
  <c r="AU1836" i="1"/>
  <c r="AU716" i="1"/>
  <c r="AU245" i="1"/>
  <c r="AU286" i="1"/>
  <c r="AU1943" i="1"/>
  <c r="AU575" i="1"/>
  <c r="AU335" i="1"/>
  <c r="AU571" i="1"/>
  <c r="AU1446" i="1"/>
  <c r="AU489" i="1"/>
  <c r="AU160" i="1"/>
  <c r="AU1638" i="1"/>
  <c r="AU838" i="1"/>
  <c r="AU1951" i="1"/>
  <c r="AU987" i="1"/>
  <c r="AU666" i="1"/>
  <c r="AU789" i="1"/>
  <c r="AU493" i="1"/>
  <c r="AU1147" i="1"/>
  <c r="AU1466" i="1"/>
  <c r="AU615" i="1"/>
  <c r="AU852" i="1"/>
  <c r="AU1093" i="1"/>
  <c r="AU1083" i="1"/>
  <c r="AU911" i="1"/>
  <c r="AU1140" i="1"/>
  <c r="AU896" i="1"/>
  <c r="AU1906" i="1"/>
  <c r="AU863" i="1"/>
  <c r="AU1235" i="1"/>
  <c r="AU995" i="1"/>
  <c r="AU1927" i="1"/>
  <c r="AU38" i="1"/>
  <c r="AU1212" i="1"/>
  <c r="AU969" i="1"/>
  <c r="AU1902" i="1"/>
  <c r="AU1440" i="1"/>
  <c r="AU1336" i="1"/>
  <c r="AU1743" i="1"/>
  <c r="AU712" i="1"/>
  <c r="AU1398" i="1"/>
  <c r="AU1812" i="1"/>
  <c r="AU1057" i="1"/>
  <c r="AU801" i="1"/>
  <c r="AU1541" i="1"/>
  <c r="AU1566" i="1"/>
  <c r="AU1257" i="1"/>
  <c r="AU1521" i="1"/>
  <c r="AU643" i="1"/>
  <c r="AU936" i="1"/>
  <c r="AU1573" i="1"/>
  <c r="AU553" i="1"/>
  <c r="AU1305" i="1"/>
  <c r="AU198" i="1"/>
  <c r="AU1539" i="1"/>
  <c r="AU840" i="1"/>
  <c r="AU690" i="1"/>
  <c r="AU1540" i="1"/>
  <c r="AU1861" i="1"/>
  <c r="AU1596" i="1"/>
  <c r="AU391" i="1"/>
  <c r="AU964" i="1"/>
  <c r="AU1783" i="1"/>
  <c r="AU1590" i="1"/>
  <c r="AU1290" i="1"/>
  <c r="AU1484" i="1"/>
  <c r="AU1194" i="1"/>
  <c r="AU1701" i="1"/>
  <c r="AU15" i="1"/>
  <c r="AU1585" i="1"/>
  <c r="AU543" i="1"/>
  <c r="AU1688" i="1"/>
  <c r="AU1544" i="1"/>
  <c r="AU910" i="1"/>
  <c r="AU1691" i="1"/>
  <c r="AU1604" i="1"/>
  <c r="AU1910" i="1"/>
  <c r="AU221" i="1"/>
  <c r="AU151" i="1"/>
  <c r="AU657" i="1"/>
  <c r="AU200" i="1"/>
  <c r="AU1039" i="1"/>
  <c r="AU316" i="1"/>
  <c r="AU559" i="1"/>
  <c r="AU1200" i="1"/>
  <c r="AU213" i="1"/>
  <c r="AU293" i="1"/>
  <c r="AU1408" i="1"/>
  <c r="AU1185" i="1"/>
  <c r="AU1292" i="1"/>
  <c r="AU1823" i="1"/>
  <c r="AU16" i="1"/>
  <c r="AU1001" i="1"/>
  <c r="AU701" i="1"/>
  <c r="AU882" i="1"/>
  <c r="AU1973" i="1"/>
  <c r="AU1754" i="1"/>
  <c r="AU1113" i="1"/>
  <c r="AU1106" i="1"/>
  <c r="AU1432" i="1"/>
  <c r="AU597" i="1"/>
  <c r="AU1896" i="1"/>
  <c r="AU1588" i="1"/>
  <c r="AU1608" i="1"/>
  <c r="AU150" i="1"/>
  <c r="AU675" i="1"/>
  <c r="AU1457" i="1"/>
  <c r="AU797" i="1"/>
  <c r="AU891" i="1"/>
  <c r="AU908" i="1"/>
  <c r="AU1938" i="1"/>
  <c r="AU1942" i="1"/>
  <c r="AU461" i="1"/>
  <c r="AU534" i="1"/>
  <c r="AU178" i="1"/>
  <c r="AU739" i="1"/>
  <c r="AU465" i="1"/>
  <c r="AU1071" i="1"/>
  <c r="AU777" i="1"/>
  <c r="AU1367" i="1"/>
  <c r="AU44" i="1"/>
  <c r="AU832" i="1"/>
  <c r="AU1487" i="1"/>
  <c r="AU411" i="1"/>
  <c r="AU1634" i="1"/>
  <c r="AU991" i="1"/>
  <c r="AU538" i="1"/>
  <c r="AU337" i="1"/>
  <c r="AU980" i="1"/>
  <c r="AU1322" i="1"/>
  <c r="AU956" i="1"/>
  <c r="AU720" i="1"/>
  <c r="AU429" i="1"/>
  <c r="AU874" i="1"/>
  <c r="AU1156" i="1"/>
  <c r="AU183" i="1"/>
  <c r="AU1004" i="1"/>
  <c r="AU503" i="1"/>
  <c r="AU138" i="1"/>
  <c r="AU1560" i="1"/>
  <c r="AU1009" i="1"/>
  <c r="AU941" i="1"/>
  <c r="AU1473" i="1"/>
  <c r="AU1802" i="1"/>
  <c r="AU50" i="1"/>
  <c r="AU340" i="1"/>
  <c r="AU1467" i="1"/>
  <c r="AU2020" i="1"/>
  <c r="AU812" i="1"/>
  <c r="AU161" i="1"/>
  <c r="AU1808" i="1"/>
  <c r="AU237" i="1"/>
  <c r="AU1955" i="1"/>
  <c r="AU866" i="1"/>
  <c r="AU1030" i="1"/>
  <c r="AU558" i="1"/>
  <c r="AU1183" i="1"/>
  <c r="AU1857" i="1"/>
  <c r="AU1856" i="1"/>
  <c r="AU2000" i="1"/>
  <c r="AU378" i="1"/>
  <c r="AU515" i="1"/>
  <c r="AU818" i="1"/>
  <c r="AU1631" i="1"/>
  <c r="AU494" i="1"/>
  <c r="AU383" i="1"/>
  <c r="AU1076" i="1"/>
  <c r="AU1045" i="1"/>
  <c r="AU1206" i="1"/>
  <c r="AU1253" i="1"/>
  <c r="AU661" i="1"/>
  <c r="AU1480" i="1"/>
  <c r="AU918" i="1"/>
  <c r="AU225" i="1"/>
  <c r="AU710" i="1"/>
  <c r="AU1519" i="1"/>
  <c r="AU1186" i="1"/>
  <c r="AU1671" i="1"/>
  <c r="AU1826" i="1"/>
  <c r="AU537" i="1"/>
  <c r="AU1829" i="1"/>
  <c r="AU419" i="1"/>
  <c r="AU1219" i="1"/>
  <c r="AU1193" i="1"/>
  <c r="AU694" i="1"/>
  <c r="AU497" i="1"/>
  <c r="AU979" i="1"/>
  <c r="AU492" i="1"/>
  <c r="AU25" i="1"/>
  <c r="AU1774" i="1"/>
  <c r="AU1497" i="1"/>
  <c r="AU1195" i="1"/>
  <c r="AU176" i="1"/>
  <c r="AU762" i="1"/>
  <c r="AU1640" i="1"/>
  <c r="AU229" i="1"/>
  <c r="AU146" i="1"/>
  <c r="AU1223" i="1"/>
  <c r="AU103" i="1"/>
  <c r="AU1547" i="1"/>
  <c r="AU1450" i="1"/>
  <c r="AU474" i="1"/>
  <c r="AU1556" i="1"/>
  <c r="AU208" i="1"/>
  <c r="AU282" i="1"/>
  <c r="AU1989" i="1"/>
  <c r="AU1019" i="1"/>
  <c r="AU1117" i="1"/>
  <c r="AU1496" i="1"/>
  <c r="AU451" i="1"/>
  <c r="AU1506" i="1"/>
  <c r="AU988" i="1"/>
  <c r="AU48" i="1"/>
  <c r="AU350" i="1"/>
  <c r="AU1283" i="1"/>
  <c r="AU1828" i="1"/>
  <c r="AU986" i="1"/>
  <c r="AU510" i="1"/>
  <c r="AU998" i="1"/>
  <c r="AU775" i="1"/>
  <c r="AU1801" i="1"/>
  <c r="AU387" i="1"/>
  <c r="AU1605" i="1"/>
  <c r="AU1685" i="1"/>
  <c r="AU895" i="1"/>
  <c r="AU1752" i="1"/>
  <c r="AU830" i="1"/>
  <c r="AU1038" i="1"/>
  <c r="AU1051" i="1"/>
  <c r="AU1954" i="1"/>
  <c r="AU1088" i="1"/>
  <c r="AU974" i="1"/>
  <c r="AU1002" i="1"/>
  <c r="AU1157" i="1"/>
  <c r="AU952" i="1"/>
  <c r="AU1936" i="1"/>
  <c r="AU1514" i="1"/>
  <c r="AU1323" i="1"/>
  <c r="AU1036" i="1"/>
  <c r="AU1887" i="1"/>
  <c r="AU836" i="1"/>
  <c r="AU1122" i="1"/>
  <c r="AU372" i="1"/>
  <c r="AU1270" i="1"/>
  <c r="AU1712" i="1"/>
  <c r="AU1558" i="1"/>
  <c r="AU687" i="1"/>
  <c r="AU871" i="1"/>
  <c r="AU447" i="1"/>
  <c r="AU1012" i="1"/>
  <c r="AU820" i="1"/>
  <c r="AU496" i="1"/>
  <c r="AU531" i="1"/>
  <c r="AU947" i="1"/>
  <c r="AU1886" i="1"/>
  <c r="AU131" i="1"/>
  <c r="AU1633" i="1"/>
  <c r="AU1892" i="1"/>
  <c r="AU1535" i="1"/>
  <c r="AU1580" i="1"/>
  <c r="AU755" i="1"/>
  <c r="AU1061" i="1"/>
  <c r="AU278" i="1"/>
  <c r="AU1089" i="1"/>
  <c r="AU1598" i="1"/>
  <c r="AU649" i="1"/>
  <c r="AU1297" i="1"/>
  <c r="AU1315" i="1"/>
  <c r="AU704" i="1"/>
  <c r="AU1564" i="1"/>
  <c r="AU985" i="1"/>
  <c r="AU78" i="1"/>
  <c r="AU125" i="1"/>
  <c r="AU567" i="1"/>
  <c r="AU1534" i="1"/>
  <c r="AU1787" i="1"/>
  <c r="AU1978" i="1"/>
  <c r="AU1069" i="1"/>
  <c r="AU1614" i="1"/>
  <c r="AU314" i="1"/>
  <c r="AU1461" i="1"/>
  <c r="AU1926" i="1"/>
  <c r="AU1864" i="1"/>
  <c r="AU1143" i="1"/>
  <c r="AU1334" i="1"/>
  <c r="AU169" i="1"/>
  <c r="AU903" i="1"/>
  <c r="AU837" i="1"/>
  <c r="AU1152" i="1"/>
  <c r="AU435" i="1"/>
  <c r="AU1947" i="1"/>
  <c r="AU1850" i="1"/>
  <c r="AU1611" i="1"/>
  <c r="AU774" i="1"/>
  <c r="AU1335" i="1"/>
  <c r="AU55" i="1"/>
  <c r="AU1402" i="1"/>
  <c r="AU516" i="1"/>
  <c r="AU744" i="1"/>
  <c r="AU1941" i="1"/>
  <c r="AU934" i="1"/>
  <c r="AU2004" i="1"/>
  <c r="AU1428" i="1"/>
  <c r="AU870" i="1"/>
  <c r="AU1040" i="1"/>
  <c r="AU646" i="1"/>
  <c r="AU953" i="1"/>
  <c r="AU77" i="1"/>
  <c r="AU452" i="1"/>
  <c r="AU1343" i="1"/>
  <c r="AU162" i="1"/>
  <c r="AU1932" i="1"/>
  <c r="AU1531" i="1"/>
  <c r="AU817" i="1"/>
  <c r="AU1904" i="1"/>
  <c r="AU1245" i="1"/>
  <c r="AU914" i="1"/>
  <c r="AU1958" i="1"/>
  <c r="AU17" i="1"/>
  <c r="AU26" i="1"/>
  <c r="AU119" i="1"/>
  <c r="AU1422" i="1"/>
  <c r="AU1970" i="1"/>
  <c r="AU1359" i="1"/>
  <c r="AU1899" i="1"/>
  <c r="AU562" i="1"/>
  <c r="AU1191" i="1"/>
  <c r="AU1553" i="1"/>
  <c r="AU117" i="1"/>
  <c r="AU488" i="1"/>
  <c r="AU576" i="1"/>
  <c r="AU215" i="1"/>
  <c r="AU966" i="1"/>
  <c r="AU1327" i="1"/>
  <c r="AU937" i="1"/>
  <c r="AU1456" i="1"/>
  <c r="AU862" i="1"/>
  <c r="AU367" i="1"/>
  <c r="AU845" i="1"/>
  <c r="AU157" i="1"/>
  <c r="AU1389" i="1"/>
  <c r="AU556" i="1"/>
  <c r="AU193" i="1"/>
  <c r="AU719" i="1"/>
  <c r="AU1656" i="1"/>
  <c r="AU1086" i="1"/>
  <c r="AU1976" i="1"/>
  <c r="AU1376" i="1"/>
  <c r="AU1416" i="1"/>
  <c r="AU1495" i="1"/>
  <c r="AU422" i="1"/>
  <c r="AU724" i="1"/>
  <c r="AU1990" i="1"/>
  <c r="AU796" i="1"/>
  <c r="AU506" i="1"/>
  <c r="AU1888" i="1"/>
  <c r="AU625" i="1"/>
  <c r="AU1481" i="1"/>
  <c r="AU1131" i="1"/>
  <c r="AU1837" i="1"/>
  <c r="AU87" i="1"/>
  <c r="AU1329" i="1"/>
  <c r="AU1280" i="1"/>
  <c r="AU1418" i="1"/>
  <c r="AU381" i="1"/>
  <c r="AU1928" i="1"/>
  <c r="AU1307" i="1"/>
  <c r="AU413" i="1"/>
  <c r="AU550" i="1"/>
  <c r="AU1600" i="1"/>
  <c r="AU1174" i="1"/>
  <c r="AU1099" i="1"/>
  <c r="AU1500" i="1"/>
  <c r="AU741" i="1"/>
  <c r="AU128" i="1"/>
  <c r="AU1668" i="1"/>
  <c r="AU1792" i="1"/>
  <c r="AU757" i="1"/>
  <c r="AU1513" i="1"/>
  <c r="AU707" i="1"/>
  <c r="AU404" i="1"/>
  <c r="AU460" i="1"/>
  <c r="AU856" i="1"/>
  <c r="AU1310" i="1"/>
  <c r="AU2015" i="1"/>
  <c r="AU46" i="1"/>
  <c r="AU430" i="1"/>
  <c r="AU1205" i="1"/>
  <c r="AU172" i="1"/>
  <c r="AU400" i="1"/>
  <c r="AU540" i="1"/>
  <c r="AU1900" i="1"/>
  <c r="AU803" i="1"/>
  <c r="AU326" i="1"/>
  <c r="AU1107" i="1"/>
  <c r="AU1692" i="1"/>
  <c r="AU740" i="1"/>
  <c r="AU1246" i="1"/>
  <c r="AU682" i="1"/>
  <c r="AU596" i="1"/>
  <c r="AU1853" i="1"/>
  <c r="AU982" i="1"/>
  <c r="AU167" i="1"/>
  <c r="AU170" i="1"/>
  <c r="AU1898" i="1"/>
  <c r="AU1720" i="1"/>
  <c r="AU1274" i="1"/>
  <c r="AU968" i="1"/>
  <c r="AU1124" i="1"/>
  <c r="AU928" i="1"/>
  <c r="AU1331" i="1"/>
  <c r="AU154" i="1"/>
  <c r="AU1179" i="1"/>
  <c r="AU743" i="1"/>
  <c r="AU916" i="1"/>
  <c r="AU1639" i="1"/>
  <c r="AU91" i="1"/>
  <c r="AU1814" i="1"/>
  <c r="AU377" i="1"/>
  <c r="AU652" i="1"/>
  <c r="AU58" i="1"/>
  <c r="AU2021" i="1"/>
  <c r="AU1207" i="1"/>
  <c r="AU872" i="1"/>
  <c r="AU1816" i="1"/>
  <c r="AU69" i="1"/>
  <c r="AU1905" i="1"/>
  <c r="AU283" i="1"/>
  <c r="AU432" i="1"/>
  <c r="AU86" i="1"/>
  <c r="AU484" i="1"/>
  <c r="AU900" i="1"/>
  <c r="AU1562" i="1"/>
  <c r="AU332" i="1"/>
  <c r="AU930" i="1"/>
  <c r="AU574" i="1"/>
  <c r="AU1831" i="1"/>
  <c r="AU533" i="1"/>
  <c r="AU782" i="1"/>
  <c r="AU1659" i="1"/>
  <c r="AU1549" i="1"/>
  <c r="AU1726" i="1"/>
  <c r="AU98" i="1"/>
  <c r="AU1827" i="1"/>
  <c r="AU563" i="1"/>
  <c r="AU1250" i="1"/>
  <c r="AU842" i="1"/>
  <c r="AU1139" i="1"/>
  <c r="AU1424" i="1"/>
  <c r="AU1197" i="1"/>
  <c r="AU303" i="1"/>
  <c r="AU582" i="1"/>
  <c r="AU536" i="1"/>
  <c r="AU300" i="1"/>
  <c r="AU1735" i="1"/>
  <c r="AU1065" i="1"/>
  <c r="AU711" i="1"/>
  <c r="AU1213" i="1"/>
  <c r="AU981" i="1"/>
  <c r="AU1309" i="1"/>
  <c r="AU59" i="1"/>
  <c r="AU443" i="1"/>
  <c r="AU1299" i="1"/>
  <c r="AU39" i="1"/>
  <c r="AU1665" i="1"/>
  <c r="AU746" i="1"/>
  <c r="AU338" i="1"/>
  <c r="AU1154" i="1"/>
  <c r="AU42" i="1"/>
  <c r="AU2" i="1"/>
  <c r="AU1490" i="1"/>
  <c r="AU252" i="1"/>
  <c r="AU1744" i="1"/>
  <c r="AU1226" i="1"/>
  <c r="AU779" i="1"/>
  <c r="AU1602" i="1"/>
  <c r="AU1110" i="1"/>
  <c r="AU1669" i="1"/>
  <c r="AU32" i="1"/>
  <c r="AU598" i="1"/>
  <c r="AU434" i="1"/>
  <c r="AU1043" i="1"/>
  <c r="AU884" i="1"/>
  <c r="AU1509" i="1"/>
  <c r="AU1623" i="1"/>
  <c r="AU1666" i="1"/>
  <c r="AU528" i="1"/>
  <c r="AU40" i="1"/>
  <c r="AU247" i="1"/>
  <c r="AU393" i="1"/>
  <c r="AU1889" i="1"/>
  <c r="AU322" i="1"/>
  <c r="AU425" i="1"/>
  <c r="AU729" i="1"/>
  <c r="AU728" i="1"/>
  <c r="AU650" i="1"/>
  <c r="AU1915" i="1"/>
  <c r="AU1759" i="1"/>
  <c r="AU490" i="1"/>
  <c r="AU1571" i="1"/>
  <c r="AU977" i="1"/>
  <c r="AU1014" i="1"/>
  <c r="AU1642" i="1"/>
  <c r="AU1841" i="1"/>
  <c r="AU258" i="1"/>
  <c r="AU1819" i="1"/>
  <c r="AU1872" i="1"/>
  <c r="AU268" i="1"/>
  <c r="AU1587" i="1"/>
  <c r="AU354" i="1"/>
  <c r="AU417" i="1"/>
  <c r="AU339" i="1"/>
  <c r="AU1554" i="1"/>
  <c r="AU713" i="1"/>
  <c r="AU867" i="1"/>
  <c r="AU181" i="1"/>
  <c r="AU284" i="1"/>
  <c r="AU468" i="1"/>
  <c r="AU250" i="1"/>
  <c r="AU1740" i="1"/>
  <c r="AU1215" i="1"/>
  <c r="AU7" i="1"/>
  <c r="AU560" i="1"/>
  <c r="AU318" i="1"/>
  <c r="AU1234" i="1"/>
  <c r="AU1436" i="1"/>
  <c r="AU1125" i="1"/>
  <c r="AU291" i="1"/>
  <c r="AU665" i="1"/>
  <c r="AU449" i="1"/>
  <c r="AU320" i="1"/>
  <c r="AU61" i="1"/>
  <c r="AU933" i="1"/>
  <c r="AU1404" i="1"/>
  <c r="AU1358" i="1"/>
  <c r="AU2018" i="1"/>
  <c r="AU1201" i="1"/>
  <c r="AU1471" i="1"/>
  <c r="AU1486" i="1"/>
  <c r="AU1662" i="1"/>
  <c r="AU1838" i="1"/>
  <c r="AU21" i="1"/>
  <c r="AU848" i="1"/>
  <c r="AU983" i="1"/>
  <c r="AU850" i="1"/>
  <c r="AU595" i="1"/>
  <c r="AU1860" i="1"/>
  <c r="AU888" i="1"/>
  <c r="AU294" i="1"/>
  <c r="AU1415" i="1"/>
  <c r="AU41" i="1"/>
  <c r="AU180" i="1"/>
  <c r="AU1997" i="1"/>
  <c r="AU11" i="1"/>
  <c r="AU171" i="1"/>
  <c r="AU881" i="1"/>
  <c r="AU1654" i="1"/>
  <c r="AU577" i="1"/>
  <c r="AU1874" i="1"/>
  <c r="AU1784" i="1"/>
  <c r="AU1901" i="1"/>
  <c r="AU1160" i="1"/>
  <c r="AU1714" i="1"/>
  <c r="AU685" i="1"/>
  <c r="AU1365" i="1"/>
  <c r="AU586" i="1"/>
  <c r="AU648" i="1"/>
  <c r="AU319" i="1"/>
  <c r="AU1386" i="1"/>
  <c r="AU10" i="1"/>
  <c r="AU1090" i="1"/>
  <c r="AU375" i="1"/>
  <c r="AU1023" i="1"/>
  <c r="AU1791" i="1"/>
  <c r="AU1935" i="1"/>
  <c r="AU1733" i="1"/>
  <c r="AU1760" i="1"/>
  <c r="AU1240" i="1"/>
  <c r="AU1165" i="1"/>
  <c r="AU471" i="1"/>
  <c r="AU535" i="1"/>
  <c r="AU1635" i="1"/>
  <c r="AU1552" i="1"/>
  <c r="AU1138" i="1"/>
  <c r="AU2007" i="1"/>
  <c r="AU617" i="1"/>
  <c r="AU624" i="1"/>
  <c r="AU1959" i="1"/>
  <c r="AU902" i="1"/>
  <c r="AU1356" i="1"/>
  <c r="AU813" i="1"/>
  <c r="AU463" i="1"/>
  <c r="AU816" i="1"/>
  <c r="AU1412" i="1"/>
  <c r="AU448" i="1"/>
  <c r="AU627" i="1"/>
  <c r="AU355" i="1"/>
  <c r="AU1742" i="1"/>
  <c r="AU1211" i="1"/>
  <c r="AU1501" i="1"/>
  <c r="AU1306" i="1"/>
  <c r="AU1024" i="1"/>
  <c r="AU396" i="1"/>
  <c r="AU454" i="1"/>
  <c r="AU184" i="1"/>
  <c r="AU1709" i="1"/>
  <c r="AU909" i="1"/>
  <c r="AU472" i="1"/>
  <c r="AU1569" i="1"/>
  <c r="AU1155" i="1"/>
  <c r="AU1502" i="1"/>
  <c r="AU525" i="1"/>
  <c r="AU857" i="1"/>
  <c r="AU1296" i="1"/>
  <c r="AU651" i="1"/>
  <c r="AU954" i="1"/>
  <c r="AU462" i="1"/>
  <c r="AU1648" i="1"/>
  <c r="AU1583" i="1"/>
  <c r="AU1008" i="1"/>
  <c r="AU541" i="1"/>
  <c r="AU321" i="1"/>
  <c r="AU664" i="1"/>
  <c r="AU1777" i="1"/>
  <c r="AU1572" i="1"/>
  <c r="AU1785" i="1"/>
  <c r="AU1059" i="1"/>
  <c r="AU47" i="1"/>
  <c r="AU407" i="1"/>
  <c r="AU1695" i="1"/>
  <c r="AU1612" i="1"/>
  <c r="AU978" i="1"/>
  <c r="AU1526" i="1"/>
  <c r="AU520" i="1"/>
  <c r="AU129" i="1"/>
  <c r="AU1167" i="1"/>
  <c r="AU149" i="1"/>
  <c r="AU1000" i="1"/>
  <c r="AU366" i="1"/>
  <c r="AU453" i="1"/>
  <c r="AU976" i="1"/>
  <c r="AU1983" i="1"/>
  <c r="AU418" i="1"/>
  <c r="AU1775" i="1"/>
  <c r="AU504" i="1"/>
  <c r="AU1198" i="1"/>
  <c r="AU127" i="1"/>
  <c r="AU885" i="1"/>
  <c r="AU792" i="1"/>
  <c r="AU1647" i="1"/>
  <c r="AU1294" i="1"/>
  <c r="AU1263" i="1"/>
  <c r="AU612" i="1"/>
  <c r="AU1771" i="1"/>
  <c r="AU580" i="1"/>
  <c r="AU307" i="1"/>
  <c r="AU1835" i="1"/>
  <c r="AU1472" i="1"/>
  <c r="AU1840" i="1"/>
  <c r="AU1260" i="1"/>
  <c r="AU1033" i="1"/>
  <c r="AU1109" i="1"/>
  <c r="AU88" i="1"/>
  <c r="AU403" i="1"/>
  <c r="AU1619" i="1"/>
  <c r="AU285" i="1"/>
  <c r="AU1975" i="1"/>
  <c r="AU415" i="1"/>
  <c r="AU841" i="1"/>
  <c r="AU1391" i="1"/>
  <c r="AU756" i="1"/>
  <c r="AU1766" i="1"/>
  <c r="AU1944" i="1"/>
  <c r="AU1555" i="1"/>
  <c r="AU1516" i="1"/>
  <c r="AU1523" i="1"/>
  <c r="AU641" i="1"/>
  <c r="AU207" i="1"/>
  <c r="AU1745" i="1"/>
  <c r="AU1397" i="1"/>
  <c r="AU683" i="1"/>
  <c r="AU1340" i="1"/>
  <c r="AU1127" i="1"/>
  <c r="AU347" i="1"/>
  <c r="AU1967" i="1"/>
  <c r="AU1641" i="1"/>
  <c r="AU1362" i="1"/>
  <c r="AU1603" i="1"/>
  <c r="AU878" i="1"/>
  <c r="AU810" i="1"/>
  <c r="AU785" i="1"/>
  <c r="AU678" i="1"/>
  <c r="AU1204" i="1"/>
  <c r="AU279" i="1"/>
  <c r="AU1974" i="1"/>
  <c r="AU1686" i="1"/>
  <c r="AU20" i="1"/>
  <c r="AU33" i="1"/>
  <c r="AU1311" i="1"/>
  <c r="AU572" i="1"/>
  <c r="AU395" i="1"/>
  <c r="AU748" i="1"/>
  <c r="AU549" i="1"/>
  <c r="AU681" i="1"/>
  <c r="AU173" i="1"/>
  <c r="AU134" i="1"/>
  <c r="AU1118" i="1"/>
  <c r="AU999" i="1"/>
  <c r="AU1825" i="1"/>
  <c r="AU1258" i="1"/>
  <c r="AU1803" i="1"/>
  <c r="AU1028" i="1"/>
  <c r="AU608" i="1"/>
  <c r="AU455" i="1"/>
  <c r="AU107" i="1"/>
  <c r="AU416" i="1"/>
  <c r="AU1848" i="1"/>
  <c r="AU35" i="1"/>
  <c r="AU1375" i="1"/>
  <c r="AU1421" i="1"/>
  <c r="AU133" i="1"/>
  <c r="AU508" i="1"/>
  <c r="AU2014" i="1"/>
  <c r="AU849" i="1"/>
  <c r="AU917" i="1"/>
  <c r="AU1108" i="1"/>
  <c r="AU1489" i="1"/>
  <c r="AU1962" i="1"/>
  <c r="AU859" i="1"/>
  <c r="AU483" i="1"/>
  <c r="AU1565" i="1"/>
  <c r="AU734" i="1"/>
  <c r="AU1724" i="1"/>
  <c r="AU1991" i="1"/>
  <c r="AU1254" i="1"/>
  <c r="AU1393" i="1"/>
  <c r="AU43" i="1"/>
  <c r="AU1537" i="1"/>
  <c r="AU106" i="1"/>
  <c r="AU2016" i="1"/>
  <c r="AU1574" i="1"/>
  <c r="AU1353" i="1"/>
  <c r="AU821" i="1"/>
  <c r="AU2008" i="1"/>
  <c r="AU1653" i="1"/>
  <c r="AU858" i="1"/>
  <c r="AU668" i="1"/>
  <c r="AU877" i="1"/>
  <c r="AU1867" i="1"/>
  <c r="AU1998" i="1"/>
  <c r="AU815" i="1"/>
  <c r="AU1328" i="1"/>
  <c r="AU768" i="1"/>
  <c r="AU512" i="1"/>
  <c r="AU583" i="1"/>
  <c r="AU1046" i="1"/>
  <c r="AS527" i="1"/>
  <c r="AS1239" i="1"/>
  <c r="AS313" i="1"/>
  <c r="AS1789" i="1"/>
  <c r="AS809" i="1"/>
  <c r="AS730" i="1"/>
  <c r="AS920" i="1"/>
  <c r="AS1593" i="1"/>
  <c r="AS1722" i="1"/>
  <c r="AS2019" i="1"/>
  <c r="AS1912" i="1"/>
  <c r="AS457" i="1"/>
  <c r="AS855" i="1"/>
  <c r="AS1646" i="1"/>
  <c r="AS147" i="1"/>
  <c r="AS1317" i="1"/>
  <c r="AS1079" i="1"/>
  <c r="AS477" i="1"/>
  <c r="AS1582" i="1"/>
  <c r="AS1016" i="1"/>
  <c r="AS2022" i="1"/>
  <c r="AS892" i="1"/>
  <c r="AS679" i="1"/>
  <c r="AS1442" i="1"/>
  <c r="AS1660" i="1"/>
  <c r="AS971" i="1"/>
  <c r="AS1407" i="1"/>
  <c r="AS84" i="1"/>
  <c r="AS1813" i="1"/>
  <c r="AS1021" i="1"/>
  <c r="AS1387" i="1"/>
  <c r="AS1236" i="1"/>
  <c r="AS384" i="1"/>
  <c r="AS1146" i="1"/>
  <c r="AS599" i="1"/>
  <c r="AS1873" i="1"/>
  <c r="AS1321" i="1"/>
  <c r="AS773" i="1"/>
  <c r="AS379" i="1"/>
  <c r="AS1919" i="1"/>
  <c r="AS1931" i="1"/>
  <c r="AS2012" i="1"/>
  <c r="AS152" i="1"/>
  <c r="AS1877" i="1"/>
  <c r="AS1350" i="1"/>
  <c r="AS529" i="1"/>
  <c r="AS673" i="1"/>
  <c r="AS190" i="1"/>
  <c r="AS1532" i="1"/>
  <c r="AS95" i="1"/>
  <c r="AS603" i="1"/>
  <c r="AS135" i="1"/>
  <c r="AS342" i="1"/>
  <c r="AS1750" i="1"/>
  <c r="AS919" i="1"/>
  <c r="AS214" i="1"/>
  <c r="AS602" i="1"/>
  <c r="AS790" i="1"/>
  <c r="AS621" i="1"/>
  <c r="AS359" i="1"/>
  <c r="AS1839" i="1"/>
  <c r="AS1677" i="1"/>
  <c r="AS255" i="1"/>
  <c r="AS581" i="1"/>
  <c r="AS479" i="1"/>
  <c r="AS397" i="1"/>
  <c r="AS676" i="1"/>
  <c r="AS761" i="1"/>
  <c r="AS1378" i="1"/>
  <c r="AS1380" i="1"/>
  <c r="AS240" i="1"/>
  <c r="AS223" i="1"/>
  <c r="AS1368" i="1"/>
  <c r="AS557" i="1"/>
  <c r="AS1711" i="1"/>
  <c r="AS1830" i="1"/>
  <c r="AS1881" i="1"/>
  <c r="AS102" i="1"/>
  <c r="AS1776" i="1"/>
  <c r="AS1543" i="1"/>
  <c r="AS1105" i="1"/>
  <c r="AS165" i="1"/>
  <c r="AS970" i="1"/>
  <c r="AS1326" i="1"/>
  <c r="AS1884" i="1"/>
  <c r="AS1705" i="1"/>
  <c r="AS1163" i="1"/>
  <c r="AS1031" i="1"/>
  <c r="AS216" i="1"/>
  <c r="AS647" i="1"/>
  <c r="AS1166" i="1"/>
  <c r="AS1636" i="1"/>
  <c r="AS296" i="1"/>
  <c r="AS428" i="1"/>
  <c r="AS63" i="1"/>
  <c r="AS1847" i="1"/>
  <c r="AS1123" i="1"/>
  <c r="AS1017" i="1"/>
  <c r="AS1435" i="1"/>
  <c r="AS52" i="1"/>
  <c r="AS424" i="1"/>
  <c r="AS341" i="1"/>
  <c r="AS897" i="1"/>
  <c r="AS54" i="1"/>
  <c r="AS1241" i="1"/>
  <c r="AS1070" i="1"/>
  <c r="AS36" i="1"/>
  <c r="AS1499" i="1"/>
  <c r="AS1729" i="1"/>
  <c r="AS1922" i="1"/>
  <c r="AS951" i="1"/>
  <c r="AS1675" i="1"/>
  <c r="AS1930" i="1"/>
  <c r="AS1699" i="1"/>
  <c r="AS4" i="1"/>
  <c r="AS317" i="1"/>
  <c r="AS140" i="1"/>
  <c r="AS1005" i="1"/>
  <c r="AS459" i="1"/>
  <c r="AS749" i="1"/>
  <c r="AS788" i="1"/>
  <c r="AS274" i="1"/>
  <c r="AS1372" i="1"/>
  <c r="AS444" i="1"/>
  <c r="AS2003" i="1"/>
  <c r="AS1655" i="1"/>
  <c r="AS1545" i="1"/>
  <c r="AS1528" i="1"/>
  <c r="AS13" i="1"/>
  <c r="AS638" i="1"/>
  <c r="AS70" i="1"/>
  <c r="AS573" i="1"/>
  <c r="AS1288" i="1"/>
  <c r="AS786" i="1"/>
  <c r="AS1871" i="1"/>
  <c r="AS1426" i="1"/>
  <c r="AS1551" i="1"/>
  <c r="AS693" i="1"/>
  <c r="AS851" i="1"/>
  <c r="AS637" i="1"/>
  <c r="AS1184" i="1"/>
  <c r="AS1561" i="1"/>
  <c r="AS805" i="1"/>
  <c r="AS373" i="1"/>
  <c r="AS1111" i="1"/>
  <c r="AS770" i="1"/>
  <c r="AS913" i="1"/>
  <c r="AS185" i="1"/>
  <c r="AS1756" i="1"/>
  <c r="AS368" i="1"/>
  <c r="AS1870" i="1"/>
  <c r="AS259" i="1"/>
  <c r="AS1301" i="1"/>
  <c r="AS475" i="1"/>
  <c r="AS645" i="1"/>
  <c r="AS362" i="1"/>
  <c r="AS1859" i="1"/>
  <c r="AS1649" i="1"/>
  <c r="AS1746" i="1"/>
  <c r="AS1063" i="1"/>
  <c r="AS1011" i="1"/>
  <c r="AS1037" i="1"/>
  <c r="AS380" i="1"/>
  <c r="AS118" i="1"/>
  <c r="AS1447" i="1"/>
  <c r="AS1498" i="1"/>
  <c r="AS1022" i="1"/>
  <c r="AS1964" i="1"/>
  <c r="AS405" i="1"/>
  <c r="AS1694" i="1"/>
  <c r="AS1348" i="1"/>
  <c r="AS1824" i="1"/>
  <c r="AS1674" i="1"/>
  <c r="AS769" i="1"/>
  <c r="AS261" i="1"/>
  <c r="AS1233" i="1"/>
  <c r="AS1844" i="1"/>
  <c r="AS360" i="1"/>
  <c r="AS1392" i="1"/>
  <c r="AS1047" i="1"/>
  <c r="AS1684" i="1"/>
  <c r="AS327" i="1"/>
  <c r="AS189" i="1"/>
  <c r="AS71" i="1"/>
  <c r="AS1159" i="1"/>
  <c r="AS592" i="1"/>
  <c r="AS232" i="1"/>
  <c r="AS669" i="1"/>
  <c r="AS6" i="1"/>
  <c r="AS1405" i="1"/>
  <c r="AS1607" i="1"/>
  <c r="AS1708" i="1"/>
  <c r="AS1136" i="1"/>
  <c r="AS1261" i="1"/>
  <c r="AS702" i="1"/>
  <c r="AS1242" i="1"/>
  <c r="AS220" i="1"/>
  <c r="AS1265" i="1"/>
  <c r="AS1189" i="1"/>
  <c r="AS295" i="1"/>
  <c r="AS1338" i="1"/>
  <c r="AS1003" i="1"/>
  <c r="AS120" i="1"/>
  <c r="AS1302" i="1"/>
  <c r="AS545" i="1"/>
  <c r="AS1169" i="1"/>
  <c r="AS292" i="1"/>
  <c r="AS433" i="1"/>
  <c r="AS1697" i="1"/>
  <c r="AS699" i="1"/>
  <c r="AS1319" i="1"/>
  <c r="AS1034" i="1"/>
  <c r="AS1074" i="1"/>
  <c r="AS159" i="1"/>
  <c r="AS1563" i="1"/>
  <c r="AS1520" i="1"/>
  <c r="AS376" i="1"/>
  <c r="AS1454" i="1"/>
  <c r="AS1796" i="1"/>
  <c r="AS727" i="1"/>
  <c r="AS1907" i="1"/>
  <c r="AS1863" i="1"/>
  <c r="AS412" i="1"/>
  <c r="AS2013" i="1"/>
  <c r="AS275" i="1"/>
  <c r="AS680" i="1"/>
  <c r="AS1903" i="1"/>
  <c r="AS239" i="1"/>
  <c r="AS795" i="1"/>
  <c r="AS1710" i="1"/>
  <c r="AS390" i="1"/>
  <c r="AS500" i="1"/>
  <c r="AS352" i="1"/>
  <c r="AS655" i="1"/>
  <c r="AS1698" i="1"/>
  <c r="AS1704" i="1"/>
  <c r="AS5" i="1"/>
  <c r="AS1420" i="1"/>
  <c r="AS469" i="1"/>
  <c r="AS1706" i="1"/>
  <c r="AS718" i="1"/>
  <c r="AS1227" i="1"/>
  <c r="AS1960" i="1"/>
  <c r="AS1423" i="1"/>
  <c r="AS1982" i="1"/>
  <c r="AS561" i="1"/>
  <c r="AS1267" i="1"/>
  <c r="AS1458" i="1"/>
  <c r="AS1333" i="1"/>
  <c r="AS1478" i="1"/>
  <c r="AS177" i="1"/>
  <c r="AS1470" i="1"/>
  <c r="AS280" i="1"/>
  <c r="AS1917" i="1"/>
  <c r="AS371" i="1"/>
  <c r="AS1652" i="1"/>
  <c r="AS725" i="1"/>
  <c r="AS1779" i="1"/>
  <c r="AS1657" i="1"/>
  <c r="AS635" i="1"/>
  <c r="AS499" i="1"/>
  <c r="AS187" i="1"/>
  <c r="AS309" i="1"/>
  <c r="AS686" i="1"/>
  <c r="AS1845" i="1"/>
  <c r="AS620" i="1"/>
  <c r="AS1244" i="1"/>
  <c r="AS1715" i="1"/>
  <c r="AS269" i="1"/>
  <c r="AS1092" i="1"/>
  <c r="AS174" i="1"/>
  <c r="AS1145" i="1"/>
  <c r="AS1141" i="1"/>
  <c r="AS1464" i="1"/>
  <c r="AS92" i="1"/>
  <c r="AS1977" i="1"/>
  <c r="AS1762" i="1"/>
  <c r="AS957" i="1"/>
  <c r="AS1510" i="1"/>
  <c r="AS1278" i="1"/>
  <c r="AS343" i="1"/>
  <c r="AS868" i="1"/>
  <c r="AS1613" i="1"/>
  <c r="AS861" i="1"/>
  <c r="AS1162" i="1"/>
  <c r="AS1354" i="1"/>
  <c r="AS1852" i="1"/>
  <c r="AS158" i="1"/>
  <c r="AS1379" i="1"/>
  <c r="AS241" i="1"/>
  <c r="AS689" i="1"/>
  <c r="AS819" i="1"/>
  <c r="AS1996" i="1"/>
  <c r="AS1911" i="1"/>
  <c r="AS308" i="1"/>
  <c r="AS973" i="1"/>
  <c r="AS1795" i="1"/>
  <c r="AS1390" i="1"/>
  <c r="AS584" i="1"/>
  <c r="AS1765" i="1"/>
  <c r="AS660" i="1"/>
  <c r="AS1594" i="1"/>
  <c r="AS1178" i="1"/>
  <c r="AS691" i="1"/>
  <c r="AS1443" i="1"/>
  <c r="AS476" i="1"/>
  <c r="AS1988" i="1"/>
  <c r="AS1778" i="1"/>
  <c r="AS1010" i="1"/>
  <c r="AS1700" i="1"/>
  <c r="AS1851" i="1"/>
  <c r="AS1075" i="1"/>
  <c r="AS656" i="1"/>
  <c r="AS1577" i="1"/>
  <c r="AS1895" i="1"/>
  <c r="AS752" i="1"/>
  <c r="AS238" i="1"/>
  <c r="AS1718" i="1"/>
  <c r="AS111" i="1"/>
  <c r="AS333" i="1"/>
  <c r="AS880" i="1"/>
  <c r="AS940" i="1"/>
  <c r="AS865" i="1"/>
  <c r="AS1797" i="1"/>
  <c r="AS136" i="1"/>
  <c r="AS1277" i="1"/>
  <c r="AS79" i="1"/>
  <c r="AS1731" i="1"/>
  <c r="AS1627" i="1"/>
  <c r="AS555" i="1"/>
  <c r="AS502" i="1"/>
  <c r="AS346" i="1"/>
  <c r="AS289" i="1"/>
  <c r="AS780" i="1"/>
  <c r="AS1431" i="1"/>
  <c r="AS1098" i="1"/>
  <c r="AS364" i="1"/>
  <c r="AS445" i="1"/>
  <c r="AS1248" i="1"/>
  <c r="AS206" i="1"/>
  <c r="AS732" i="1"/>
  <c r="AS1764" i="1"/>
  <c r="AS1053" i="1"/>
  <c r="AS949" i="1"/>
  <c r="AS188" i="1"/>
  <c r="AS1678" i="1"/>
  <c r="AS310" i="1"/>
  <c r="AS997" i="1"/>
  <c r="AS1511" i="1"/>
  <c r="AS1121" i="1"/>
  <c r="AS1751" i="1"/>
  <c r="AS692" i="1"/>
  <c r="AS1451" i="1"/>
  <c r="AS1182" i="1"/>
  <c r="AS1518" i="1"/>
  <c r="AS1683" i="1"/>
  <c r="AS640" i="1"/>
  <c r="AS1721" i="1"/>
  <c r="AS1637" i="1"/>
  <c r="AS1925" i="1"/>
  <c r="AS1406" i="1"/>
  <c r="AS1505" i="1"/>
  <c r="AS2002" i="1"/>
  <c r="AS1282" i="1"/>
  <c r="AS721" i="1"/>
  <c r="AS1512" i="1"/>
  <c r="AS351" i="1"/>
  <c r="AS34" i="1"/>
  <c r="AS696" i="1"/>
  <c r="AS224" i="1"/>
  <c r="AS703" i="1"/>
  <c r="AS542" i="1"/>
  <c r="AS325" i="1"/>
  <c r="AS1275" i="1"/>
  <c r="AS1979" i="1"/>
  <c r="AS1855" i="1"/>
  <c r="AS1987" i="1"/>
  <c r="AS1739" i="1"/>
  <c r="AS254" i="1"/>
  <c r="AS1318" i="1"/>
  <c r="AS1279" i="1"/>
  <c r="AS960" i="1"/>
  <c r="AS1149" i="1"/>
  <c r="AS1800" i="1"/>
  <c r="AS623" i="1"/>
  <c r="AS1723" i="1"/>
  <c r="AS1078" i="1"/>
  <c r="AS1865" i="1"/>
  <c r="AS955" i="1"/>
  <c r="AS654" i="1"/>
  <c r="AS1128" i="1"/>
  <c r="AS487" i="1"/>
  <c r="AS272" i="1"/>
  <c r="AS1940" i="1"/>
  <c r="AS113" i="1"/>
  <c r="AS27" i="1"/>
  <c r="AS1094" i="1"/>
  <c r="AS1483" i="1"/>
  <c r="AS1946" i="1"/>
  <c r="AS100" i="1"/>
  <c r="AS37" i="1"/>
  <c r="AS1158" i="1"/>
  <c r="AS14" i="1"/>
  <c r="AS441" i="1"/>
  <c r="AS1999" i="1"/>
  <c r="AS758" i="1"/>
  <c r="AS85" i="1"/>
  <c r="AS1268" i="1"/>
  <c r="AS604" i="1"/>
  <c r="AS481" i="1"/>
  <c r="AS1741" i="1"/>
  <c r="AS1085" i="1"/>
  <c r="AS606" i="1"/>
  <c r="AS1091" i="1"/>
  <c r="AS1680" i="1"/>
  <c r="AS2006" i="1"/>
  <c r="AS1734" i="1"/>
  <c r="AS958" i="1"/>
  <c r="AS1738" i="1"/>
  <c r="AS1599" i="1"/>
  <c r="AS1525" i="1"/>
  <c r="AS1316" i="1"/>
  <c r="AS144" i="1"/>
  <c r="AS1868" i="1"/>
  <c r="AS959" i="1"/>
  <c r="AS898" i="1"/>
  <c r="AS894" i="1"/>
  <c r="AS1533" i="1"/>
  <c r="AS522" i="1"/>
  <c r="AS610" i="1"/>
  <c r="AS1438" i="1"/>
  <c r="AS45" i="1"/>
  <c r="AS1289" i="1"/>
  <c r="AS1119" i="1"/>
  <c r="AS369" i="1"/>
  <c r="AS793" i="1"/>
  <c r="AS365" i="1"/>
  <c r="AS1096" i="1"/>
  <c r="AS1632" i="1"/>
  <c r="AS385" i="1"/>
  <c r="AS267" i="1"/>
  <c r="AS1689" i="1"/>
  <c r="AS1027" i="1"/>
  <c r="AS1100" i="1"/>
  <c r="AS735" i="1"/>
  <c r="AS1462" i="1"/>
  <c r="AS847" i="1"/>
  <c r="AS1439" i="1"/>
  <c r="AS1916" i="1"/>
  <c r="AS754" i="1"/>
  <c r="AS1345" i="1"/>
  <c r="AS901" i="1"/>
  <c r="AS731" i="1"/>
  <c r="AS1346" i="1"/>
  <c r="AS1437" i="1"/>
  <c r="AS1475" i="1"/>
  <c r="AS1663" i="1"/>
  <c r="AS1287" i="1"/>
  <c r="AS114" i="1"/>
  <c r="AS196" i="1"/>
  <c r="AS639" i="1"/>
  <c r="AS783" i="1"/>
  <c r="AS1994" i="1"/>
  <c r="AS1371" i="1"/>
  <c r="AS426" i="1"/>
  <c r="AS1168" i="1"/>
  <c r="AS256" i="1"/>
  <c r="AS853" i="1"/>
  <c r="AS594" i="1"/>
  <c r="AS827" i="1"/>
  <c r="AS907" i="1"/>
  <c r="AS409" i="1"/>
  <c r="AS619" i="1"/>
  <c r="AS442" i="1"/>
  <c r="AS1849" i="1"/>
  <c r="AS1151" i="1"/>
  <c r="AS1401" i="1"/>
  <c r="AS634" i="1"/>
  <c r="AS613" i="1"/>
  <c r="AS614" i="1"/>
  <c r="AS101" i="1"/>
  <c r="AS1054" i="1"/>
  <c r="AS787" i="1"/>
  <c r="AS1384" i="1"/>
  <c r="AS765" i="1"/>
  <c r="AS1129" i="1"/>
  <c r="AS53" i="1"/>
  <c r="AS1342" i="1"/>
  <c r="AS122" i="1"/>
  <c r="AS1568" i="1"/>
  <c r="AS1790" i="1"/>
  <c r="AS331" i="1"/>
  <c r="AS202" i="1"/>
  <c r="AS1737" i="1"/>
  <c r="AS251" i="1"/>
  <c r="AS824" i="1"/>
  <c r="AS356" i="1"/>
  <c r="AS1806" i="1"/>
  <c r="AS1609" i="1"/>
  <c r="AS217" i="1"/>
  <c r="AS653" i="1"/>
  <c r="AS467" i="1"/>
  <c r="AS1132" i="1"/>
  <c r="AS1135" i="1"/>
  <c r="AS509" i="1"/>
  <c r="AS833" i="1"/>
  <c r="AS667" i="1"/>
  <c r="AS1747" i="1"/>
  <c r="AS1220" i="1"/>
  <c r="AS1252" i="1"/>
  <c r="AS218" i="1"/>
  <c r="AS921" i="1"/>
  <c r="AS1880" i="1"/>
  <c r="AS1834" i="1"/>
  <c r="AS1286" i="1"/>
  <c r="AS1271" i="1"/>
  <c r="AS72" i="1"/>
  <c r="AS950" i="1"/>
  <c r="AS1822" i="1"/>
  <c r="AS75" i="1"/>
  <c r="AS1116" i="1"/>
  <c r="AS1948" i="1"/>
  <c r="AS1799" i="1"/>
  <c r="AS1444" i="1"/>
  <c r="AS1894" i="1"/>
  <c r="AS778" i="1"/>
  <c r="AS1550" i="1"/>
  <c r="AS168" i="1"/>
  <c r="AS1344" i="1"/>
  <c r="AS923" i="1"/>
  <c r="AS137" i="1"/>
  <c r="AS1753" i="1"/>
  <c r="AS287" i="1"/>
  <c r="AS1624" i="1"/>
  <c r="AS109" i="1"/>
  <c r="AS523" i="1"/>
  <c r="AS722" i="1"/>
  <c r="AS1134" i="1"/>
  <c r="AS1066" i="1"/>
  <c r="AS628" i="1"/>
  <c r="AS1794" i="1"/>
  <c r="AS1126" i="1"/>
  <c r="AS1468" i="1"/>
  <c r="AS1231" i="1"/>
  <c r="AS1465" i="1"/>
  <c r="AS1433" i="1"/>
  <c r="AS670" i="1"/>
  <c r="AS1474" i="1"/>
  <c r="AS715" i="1"/>
  <c r="AS1055" i="1"/>
  <c r="AS1995" i="1"/>
  <c r="AS1161" i="1"/>
  <c r="AS989" i="1"/>
  <c r="AS1222" i="1"/>
  <c r="AS1150" i="1"/>
  <c r="AS1411" i="1"/>
  <c r="AS1385" i="1"/>
  <c r="AS1811" i="1"/>
  <c r="AS194" i="1"/>
  <c r="AS764" i="1"/>
  <c r="AS1013" i="1"/>
  <c r="AS1493" i="1"/>
  <c r="AS1374" i="1"/>
  <c r="AS23" i="1"/>
  <c r="AS345" i="1"/>
  <c r="AS1621" i="1"/>
  <c r="AS485" i="1"/>
  <c r="AS1963" i="1"/>
  <c r="AS1882" i="1"/>
  <c r="AS1337" i="1"/>
  <c r="AS1810" i="1"/>
  <c r="AS1682" i="1"/>
  <c r="AS1761" i="1"/>
  <c r="AS736" i="1"/>
  <c r="AS306" i="1"/>
  <c r="AS804" i="1"/>
  <c r="AS1103" i="1"/>
  <c r="AS1890" i="1"/>
  <c r="AS1862" i="1"/>
  <c r="AS1707" i="1"/>
  <c r="AS143" i="1"/>
  <c r="AS1373" i="1"/>
  <c r="AS887" i="1"/>
  <c r="AS1950" i="1"/>
  <c r="AS726" i="1"/>
  <c r="AS1202" i="1"/>
  <c r="AS1575" i="1"/>
  <c r="AS943" i="1"/>
  <c r="AS1748" i="1"/>
  <c r="AS984" i="1"/>
  <c r="AS1209" i="1"/>
  <c r="AS330" i="1"/>
  <c r="AS1482" i="1"/>
  <c r="AS312" i="1"/>
  <c r="AS1992" i="1"/>
  <c r="AS329" i="1"/>
  <c r="AS552" i="1"/>
  <c r="AS1586" i="1"/>
  <c r="AS1757" i="1"/>
  <c r="AS566" i="1"/>
  <c r="AS414" i="1"/>
  <c r="AS1224" i="1"/>
  <c r="AS83" i="1"/>
  <c r="AS1229" i="1"/>
  <c r="AS99" i="1"/>
  <c r="AS925" i="1"/>
  <c r="AS750" i="1"/>
  <c r="AS498" i="1"/>
  <c r="AS266" i="1"/>
  <c r="AS738" i="1"/>
  <c r="AS1230" i="1"/>
  <c r="AS235" i="1"/>
  <c r="AS1181" i="1"/>
  <c r="AS3" i="1"/>
  <c r="AS935" i="1"/>
  <c r="AS401" i="1"/>
  <c r="AS632" i="1"/>
  <c r="AS8" i="1"/>
  <c r="AS1732" i="1"/>
  <c r="AS587" i="1"/>
  <c r="AS1114" i="1"/>
  <c r="AS1137" i="1"/>
  <c r="AS799" i="1"/>
  <c r="AS532" i="1"/>
  <c r="AS1190" i="1"/>
  <c r="AS922" i="1"/>
  <c r="AS825" i="1"/>
  <c r="AS1369" i="1"/>
  <c r="AS1793" i="1"/>
  <c r="AS1687" i="1"/>
  <c r="AS1228" i="1"/>
  <c r="AS1908" i="1"/>
  <c r="AS1767" i="1"/>
  <c r="AS946" i="1"/>
  <c r="AS826" i="1"/>
  <c r="AS835" i="1"/>
  <c r="AS609" i="1"/>
  <c r="AS421" i="1"/>
  <c r="AS1805" i="1"/>
  <c r="AS386" i="1"/>
  <c r="AS315" i="1"/>
  <c r="AS1491" i="1"/>
  <c r="AS389" i="1"/>
  <c r="AS593" i="1"/>
  <c r="AS363" i="1"/>
  <c r="AS904" i="1"/>
  <c r="AS1485" i="1"/>
  <c r="AS398" i="1"/>
  <c r="AS605" i="1"/>
  <c r="AS60" i="1"/>
  <c r="AS175" i="1"/>
  <c r="AS348" i="1"/>
  <c r="AS1082" i="1"/>
  <c r="AS470" i="1"/>
  <c r="AS1360" i="1"/>
  <c r="AS1842" i="1"/>
  <c r="AS1218" i="1"/>
  <c r="AS759" i="1"/>
  <c r="AS1050" i="1"/>
  <c r="AS1866" i="1"/>
  <c r="AS806" i="1"/>
  <c r="AS205" i="1"/>
  <c r="AS402" i="1"/>
  <c r="AS513" i="1"/>
  <c r="AS521" i="1"/>
  <c r="AS28" i="1"/>
  <c r="AS1364" i="1"/>
  <c r="AS1567" i="1"/>
  <c r="AS1351" i="1"/>
  <c r="AS672" i="1"/>
  <c r="AS1815" i="1"/>
  <c r="AS945" i="1"/>
  <c r="AS1628" i="1"/>
  <c r="AS530" i="1"/>
  <c r="AS1049" i="1"/>
  <c r="AS212" i="1"/>
  <c r="AS62" i="1"/>
  <c r="AS1817" i="1"/>
  <c r="AS828" i="1"/>
  <c r="AS1269" i="1"/>
  <c r="AS486" i="1"/>
  <c r="AS519" i="1"/>
  <c r="AS1939" i="1"/>
  <c r="AS305" i="1"/>
  <c r="AS2011" i="1"/>
  <c r="AS182" i="1"/>
  <c r="AS236" i="1"/>
  <c r="AS899" i="1"/>
  <c r="AS31" i="1"/>
  <c r="AS1617" i="1"/>
  <c r="AS1029" i="1"/>
  <c r="AS1304" i="1"/>
  <c r="AS231" i="1"/>
  <c r="AS336" i="1"/>
  <c r="AS589" i="1"/>
  <c r="AS570" i="1"/>
  <c r="AS1952" i="1"/>
  <c r="AS709" i="1"/>
  <c r="AS717" i="1"/>
  <c r="AS1630" i="1"/>
  <c r="AS1164" i="1"/>
  <c r="AS1429" i="1"/>
  <c r="AS121" i="1"/>
  <c r="AS115" i="1"/>
  <c r="AS1971" i="1"/>
  <c r="AS273" i="1"/>
  <c r="AS1629" i="1"/>
  <c r="AS456" i="1"/>
  <c r="AS89" i="1"/>
  <c r="AS1064" i="1"/>
  <c r="AS141" i="1"/>
  <c r="AS226" i="1"/>
  <c r="AS408" i="1"/>
  <c r="AS723" i="1"/>
  <c r="AS846" i="1"/>
  <c r="AS1352" i="1"/>
  <c r="AS1477" i="1"/>
  <c r="AS1524" i="1"/>
  <c r="AS406" i="1"/>
  <c r="AS164" i="1"/>
  <c r="AS1673" i="1"/>
  <c r="AS271" i="1"/>
  <c r="AS1153" i="1"/>
  <c r="AS234" i="1"/>
  <c r="AS357" i="1"/>
  <c r="AS1188" i="1"/>
  <c r="AS771" i="1"/>
  <c r="AS505" i="1"/>
  <c r="AS210" i="1"/>
  <c r="AS1332" i="1"/>
  <c r="AS1622" i="1"/>
  <c r="AS2017" i="1"/>
  <c r="AS1413" i="1"/>
  <c r="AS1400" i="1"/>
  <c r="AS277" i="1"/>
  <c r="AS1080" i="1"/>
  <c r="AS511" i="1"/>
  <c r="AS302" i="1"/>
  <c r="AS1515" i="1"/>
  <c r="AS1934" i="1"/>
  <c r="AS1725" i="1"/>
  <c r="AS1693" i="1"/>
  <c r="AS1920" i="1"/>
  <c r="AS1981" i="1"/>
  <c r="AS1330" i="1"/>
  <c r="AS1259" i="1"/>
  <c r="AS1355" i="1"/>
  <c r="AS480" i="1"/>
  <c r="AS142" i="1"/>
  <c r="AS1763" i="1"/>
  <c r="AS1032" i="1"/>
  <c r="AS1217" i="1"/>
  <c r="AS829" i="1"/>
  <c r="AS568" i="1"/>
  <c r="AS802" i="1"/>
  <c r="AS265" i="1"/>
  <c r="AS1953" i="1"/>
  <c r="AS737" i="1"/>
  <c r="AS1216" i="1"/>
  <c r="AS1645" i="1"/>
  <c r="AS153" i="1"/>
  <c r="AS751" i="1"/>
  <c r="AS1068" i="1"/>
  <c r="AS883" i="1"/>
  <c r="AS963" i="1"/>
  <c r="AS798" i="1"/>
  <c r="AS507" i="1"/>
  <c r="AS1339" i="1"/>
  <c r="AS1924" i="1"/>
  <c r="AS270" i="1"/>
  <c r="AS1048" i="1"/>
  <c r="AS18" i="1"/>
  <c r="AS622" i="1"/>
  <c r="AS1703" i="1"/>
  <c r="AS1576" i="1"/>
  <c r="AS626" i="1"/>
  <c r="AS1818" i="1"/>
  <c r="AS209" i="1"/>
  <c r="AS1913" i="1"/>
  <c r="AS544" i="1"/>
  <c r="AS437" i="1"/>
  <c r="AS204" i="1"/>
  <c r="AS1504" i="1"/>
  <c r="AS394" i="1"/>
  <c r="AS1966" i="1"/>
  <c r="AS915" i="1"/>
  <c r="AS659" i="1"/>
  <c r="AS905" i="1"/>
  <c r="AS1832" i="1"/>
  <c r="AS1581" i="1"/>
  <c r="AS551" i="1"/>
  <c r="AS1087" i="1"/>
  <c r="AS110" i="1"/>
  <c r="AS1170" i="1"/>
  <c r="AS876" i="1"/>
  <c r="AS1676" i="1"/>
  <c r="AS1394" i="1"/>
  <c r="AS1937" i="1"/>
  <c r="AS123" i="1"/>
  <c r="AS130" i="1"/>
  <c r="AS431" i="1"/>
  <c r="AS965" i="1"/>
  <c r="AS1101" i="1"/>
  <c r="AS1986" i="1"/>
  <c r="AS1095" i="1"/>
  <c r="AS132" i="1"/>
  <c r="AS1730" i="1"/>
  <c r="AS1172" i="1"/>
  <c r="AS753" i="1"/>
  <c r="AS1448" i="1"/>
  <c r="AS893" i="1"/>
  <c r="AS1494" i="1"/>
  <c r="AS57" i="1"/>
  <c r="AS1897" i="1"/>
  <c r="AS1255" i="1"/>
  <c r="AS1893" i="1"/>
  <c r="AS1396" i="1"/>
  <c r="AS1073" i="1"/>
  <c r="AS843" i="1"/>
  <c r="AS1303" i="1"/>
  <c r="AS1929" i="1"/>
  <c r="AS972" i="1"/>
  <c r="AS1702" i="1"/>
  <c r="AS311" i="1"/>
  <c r="AS747" i="1"/>
  <c r="AS1914" i="1"/>
  <c r="AS1293" i="1"/>
  <c r="AS733" i="1"/>
  <c r="AS179" i="1"/>
  <c r="AS1312" i="1"/>
  <c r="AS1366" i="1"/>
  <c r="AS73" i="1"/>
  <c r="AS1965" i="1"/>
  <c r="AS1858" i="1"/>
  <c r="AS1538" i="1"/>
  <c r="AS1508" i="1"/>
  <c r="AS1025" i="1"/>
  <c r="AS116" i="1"/>
  <c r="AS1247" i="1"/>
  <c r="AS1357" i="1"/>
  <c r="AS1062" i="1"/>
  <c r="AS358" i="1"/>
  <c r="AS1681" i="1"/>
  <c r="AS1058" i="1"/>
  <c r="AS203" i="1"/>
  <c r="AS1769" i="1"/>
  <c r="AS926" i="1"/>
  <c r="AS708" i="1"/>
  <c r="AS438" i="1"/>
  <c r="AS1492" i="1"/>
  <c r="AS1891" i="1"/>
  <c r="AS155" i="1"/>
  <c r="AS962" i="1"/>
  <c r="AS382" i="1"/>
  <c r="AS524" i="1"/>
  <c r="AS822" i="1"/>
  <c r="AS66" i="1"/>
  <c r="AS67" i="1"/>
  <c r="AS1214" i="1"/>
  <c r="AS1133" i="1"/>
  <c r="AS745" i="1"/>
  <c r="AS201" i="1"/>
  <c r="AS211" i="1"/>
  <c r="AS1042" i="1"/>
  <c r="AS1559" i="1"/>
  <c r="AS9" i="1"/>
  <c r="AS466" i="1"/>
  <c r="AS297" i="1"/>
  <c r="AS1363" i="1"/>
  <c r="AS276" i="1"/>
  <c r="AS1251" i="1"/>
  <c r="AS263" i="1"/>
  <c r="AS1417" i="1"/>
  <c r="AS1667" i="1"/>
  <c r="AS334" i="1"/>
  <c r="AS1430" i="1"/>
  <c r="AS195" i="1"/>
  <c r="AS246" i="1"/>
  <c r="AS569" i="1"/>
  <c r="AS163" i="1"/>
  <c r="AS1142" i="1"/>
  <c r="AS697" i="1"/>
  <c r="AS1804" i="1"/>
  <c r="AS1651" i="1"/>
  <c r="AS301" i="1"/>
  <c r="AS591" i="1"/>
  <c r="AS932" i="1"/>
  <c r="AS763" i="1"/>
  <c r="AS698" i="1"/>
  <c r="AS931" i="1"/>
  <c r="AS96" i="1"/>
  <c r="AS22" i="1"/>
  <c r="AS1728" i="1"/>
  <c r="AS600" i="1"/>
  <c r="AS814" i="1"/>
  <c r="AS565" i="1"/>
  <c r="AS1395" i="1"/>
  <c r="AS578" i="1"/>
  <c r="AS1770" i="1"/>
  <c r="AS1007" i="1"/>
  <c r="AS1262" i="1"/>
  <c r="AS1314" i="1"/>
  <c r="AS1173" i="1"/>
  <c r="AS1969" i="1"/>
  <c r="AS808" i="1"/>
  <c r="AS1026" i="1"/>
  <c r="AS807" i="1"/>
  <c r="AS996" i="1"/>
  <c r="AS547" i="1"/>
  <c r="AS1035" i="1"/>
  <c r="AS1377" i="1"/>
  <c r="AS1383" i="1"/>
  <c r="AS1056" i="1"/>
  <c r="AS975" i="1"/>
  <c r="AS19" i="1"/>
  <c r="AS1626" i="1"/>
  <c r="AS1589" i="1"/>
  <c r="AS1238" i="1"/>
  <c r="AS65" i="1"/>
  <c r="AS1388" i="1"/>
  <c r="AS1972" i="1"/>
  <c r="AS844" i="1"/>
  <c r="AS145" i="1"/>
  <c r="AS97" i="1"/>
  <c r="AS124" i="1"/>
  <c r="AS1615" i="1"/>
  <c r="AS1041" i="1"/>
  <c r="AS1210" i="1"/>
  <c r="AS1957" i="1"/>
  <c r="AS1610" i="1"/>
  <c r="AS186" i="1"/>
  <c r="AS633" i="1"/>
  <c r="AS104" i="1"/>
  <c r="AS233" i="1"/>
  <c r="AS156" i="1"/>
  <c r="AS1616" i="1"/>
  <c r="AS82" i="1"/>
  <c r="AS1854" i="1"/>
  <c r="AS1308" i="1"/>
  <c r="AS616" i="1"/>
  <c r="AS700" i="1"/>
  <c r="AS227" i="1"/>
  <c r="AS994" i="1"/>
  <c r="AS1243" i="1"/>
  <c r="AS446" i="1"/>
  <c r="AS12" i="1"/>
  <c r="AS873" i="1"/>
  <c r="AS1878" i="1"/>
  <c r="AS1570" i="1"/>
  <c r="AS1601" i="1"/>
  <c r="AS677" i="1"/>
  <c r="AS1949" i="1"/>
  <c r="AS1548" i="1"/>
  <c r="AS420" i="1"/>
  <c r="AS1081" i="1"/>
  <c r="AS1717" i="1"/>
  <c r="AS1620" i="1"/>
  <c r="AS1463" i="1"/>
  <c r="AS518" i="1"/>
  <c r="AS328" i="1"/>
  <c r="AS579" i="1"/>
  <c r="AS1664" i="1"/>
  <c r="AS1592" i="1"/>
  <c r="AS1579" i="1"/>
  <c r="AS1768" i="1"/>
  <c r="AS705" i="1"/>
  <c r="AS1644" i="1"/>
  <c r="AS1961" i="1"/>
  <c r="AS912" i="1"/>
  <c r="AS1758" i="1"/>
  <c r="AS1980" i="1"/>
  <c r="AS1713" i="1"/>
  <c r="AS588" i="1"/>
  <c r="AS257" i="1"/>
  <c r="AS30" i="1"/>
  <c r="AS361" i="1"/>
  <c r="AS1696" i="1"/>
  <c r="AS1298" i="1"/>
  <c r="AS1536" i="1"/>
  <c r="AS1175" i="1"/>
  <c r="AS1503" i="1"/>
  <c r="AS1203" i="1"/>
  <c r="AS791" i="1"/>
  <c r="AS1488" i="1"/>
  <c r="AS1876" i="1"/>
  <c r="AS242" i="1"/>
  <c r="AS1542" i="1"/>
  <c r="AS1658" i="1"/>
  <c r="AS1643" i="1"/>
  <c r="AS458" i="1"/>
  <c r="AS1530" i="1"/>
  <c r="AS1266" i="1"/>
  <c r="AS1780" i="1"/>
  <c r="AS374" i="1"/>
  <c r="AS1833" i="1"/>
  <c r="AS1782" i="1"/>
  <c r="AS298" i="1"/>
  <c r="AS1313" i="1"/>
  <c r="AS631" i="1"/>
  <c r="AS324" i="1"/>
  <c r="AS353" i="1"/>
  <c r="AS766" i="1"/>
  <c r="AS674" i="1"/>
  <c r="AS854" i="1"/>
  <c r="AS1546" i="1"/>
  <c r="AS658" i="1"/>
  <c r="AS1984" i="1"/>
  <c r="AS68" i="1"/>
  <c r="AS684" i="1"/>
  <c r="AS1578" i="1"/>
  <c r="AS370" i="1"/>
  <c r="AS548" i="1"/>
  <c r="AS834" i="1"/>
  <c r="AS1469" i="1"/>
  <c r="AS800" i="1"/>
  <c r="AS56" i="1"/>
  <c r="AS51" i="1"/>
  <c r="AS1798" i="1"/>
  <c r="AS1077" i="1"/>
  <c r="AS1347" i="1"/>
  <c r="AS392" i="1"/>
  <c r="AS1517" i="1"/>
  <c r="AS199" i="1"/>
  <c r="AS1349" i="1"/>
  <c r="AS243" i="1"/>
  <c r="AS944" i="1"/>
  <c r="AS1875" i="1"/>
  <c r="AS93" i="1"/>
  <c r="AS1237" i="1"/>
  <c r="AS323" i="1"/>
  <c r="AS64" i="1"/>
  <c r="AS1425" i="1"/>
  <c r="AS1452" i="1"/>
  <c r="AS890" i="1"/>
  <c r="AS714" i="1"/>
  <c r="AS410" i="1"/>
  <c r="AS112" i="1"/>
  <c r="AS1773" i="1"/>
  <c r="AS860" i="1"/>
  <c r="AS81" i="1"/>
  <c r="AS942" i="1"/>
  <c r="AS1410" i="1"/>
  <c r="AS993" i="1"/>
  <c r="AS1736" i="1"/>
  <c r="AS249" i="1"/>
  <c r="AS1104" i="1"/>
  <c r="AS629" i="1"/>
  <c r="AS618" i="1"/>
  <c r="AS244" i="1"/>
  <c r="AS105" i="1"/>
  <c r="AS948" i="1"/>
  <c r="AS1968" i="1"/>
  <c r="AS517" i="1"/>
  <c r="AS1597" i="1"/>
  <c r="AS1044" i="1"/>
  <c r="AS1527" i="1"/>
  <c r="AS1144" i="1"/>
  <c r="AS546" i="1"/>
  <c r="AS1670" i="1"/>
  <c r="AS1018" i="1"/>
  <c r="AS1102" i="1"/>
  <c r="AS1232" i="1"/>
  <c r="AS1449" i="1"/>
  <c r="AS304" i="1"/>
  <c r="AS1148" i="1"/>
  <c r="AS1679" i="1"/>
  <c r="AS450" i="1"/>
  <c r="AS636" i="1"/>
  <c r="AS1843" i="1"/>
  <c r="AS1291" i="1"/>
  <c r="AS299" i="1"/>
  <c r="AS264" i="1"/>
  <c r="AS1072" i="1"/>
  <c r="AS1522" i="1"/>
  <c r="AS76" i="1"/>
  <c r="AS1112" i="1"/>
  <c r="AS1445" i="1"/>
  <c r="AS1918" i="1"/>
  <c r="AS1661" i="1"/>
  <c r="AS473" i="1"/>
  <c r="AS1923" i="1"/>
  <c r="AS1300" i="1"/>
  <c r="AS992" i="1"/>
  <c r="AS906" i="1"/>
  <c r="AS1788" i="1"/>
  <c r="AS564" i="1"/>
  <c r="AS590" i="1"/>
  <c r="AS2009" i="1"/>
  <c r="AS90" i="1"/>
  <c r="AS990" i="1"/>
  <c r="AS1909" i="1"/>
  <c r="AS1177" i="1"/>
  <c r="AS526" i="1"/>
  <c r="AS191" i="1"/>
  <c r="AS924" i="1"/>
  <c r="AS1273" i="1"/>
  <c r="AS811" i="1"/>
  <c r="AS108" i="1"/>
  <c r="AS1382" i="1"/>
  <c r="AS706" i="1"/>
  <c r="AS1115" i="1"/>
  <c r="AS1584" i="1"/>
  <c r="AS248" i="1"/>
  <c r="AS126" i="1"/>
  <c r="AS1716" i="1"/>
  <c r="AS230" i="1"/>
  <c r="AS644" i="1"/>
  <c r="AS1869" i="1"/>
  <c r="AS1187" i="1"/>
  <c r="AS1690" i="1"/>
  <c r="AS929" i="1"/>
  <c r="AS1755" i="1"/>
  <c r="AS24" i="1"/>
  <c r="AS1196" i="1"/>
  <c r="AS1341" i="1"/>
  <c r="AS961" i="1"/>
  <c r="AS1993" i="1"/>
  <c r="AS1807" i="1"/>
  <c r="AS1883" i="1"/>
  <c r="AS1272" i="1"/>
  <c r="AS784" i="1"/>
  <c r="AS1719" i="1"/>
  <c r="AS1199" i="1"/>
  <c r="AS192" i="1"/>
  <c r="AS601" i="1"/>
  <c r="AS864" i="1"/>
  <c r="AS776" i="1"/>
  <c r="AS1285" i="1"/>
  <c r="AS554" i="1"/>
  <c r="AS197" i="1"/>
  <c r="AS839" i="1"/>
  <c r="AS927" i="1"/>
  <c r="AS879" i="1"/>
  <c r="AS1067" i="1"/>
  <c r="AS399" i="1"/>
  <c r="AS1084" i="1"/>
  <c r="AS1606" i="1"/>
  <c r="AS1434" i="1"/>
  <c r="AS1557" i="1"/>
  <c r="AS1370" i="1"/>
  <c r="AS671" i="1"/>
  <c r="AS439" i="1"/>
  <c r="AS253" i="1"/>
  <c r="AS886" i="1"/>
  <c r="AS1324" i="1"/>
  <c r="AS760" i="1"/>
  <c r="AS1650" i="1"/>
  <c r="AS1625" i="1"/>
  <c r="AS2001" i="1"/>
  <c r="AS1821" i="1"/>
  <c r="AS228" i="1"/>
  <c r="AS1361" i="1"/>
  <c r="AS1672" i="1"/>
  <c r="AS495" i="1"/>
  <c r="AS491" i="1"/>
  <c r="AS1879" i="1"/>
  <c r="AS938" i="1"/>
  <c r="AS1507" i="1"/>
  <c r="AS1256" i="1"/>
  <c r="AS1419" i="1"/>
  <c r="AS1320" i="1"/>
  <c r="AS1749" i="1"/>
  <c r="AS1476" i="1"/>
  <c r="AS662" i="1"/>
  <c r="AS967" i="1"/>
  <c r="AS74" i="1"/>
  <c r="AS1325" i="1"/>
  <c r="AS1809" i="1"/>
  <c r="AS823" i="1"/>
  <c r="AS464" i="1"/>
  <c r="AS423" i="1"/>
  <c r="AS1781" i="1"/>
  <c r="AS1985" i="1"/>
  <c r="AS2005" i="1"/>
  <c r="AS1399" i="1"/>
  <c r="AS1933" i="1"/>
  <c r="AS642" i="1"/>
  <c r="AS344" i="1"/>
  <c r="AS630" i="1"/>
  <c r="AS436" i="1"/>
  <c r="AS478" i="1"/>
  <c r="AS939" i="1"/>
  <c r="AS742" i="1"/>
  <c r="AS482" i="1"/>
  <c r="AS1414" i="1"/>
  <c r="AS219" i="1"/>
  <c r="AS29" i="1"/>
  <c r="AS262" i="1"/>
  <c r="AS1727" i="1"/>
  <c r="AS1225" i="1"/>
  <c r="AS1006" i="1"/>
  <c r="AS1945" i="1"/>
  <c r="AS1284" i="1"/>
  <c r="AS80" i="1"/>
  <c r="AS585" i="1"/>
  <c r="AS688" i="1"/>
  <c r="AS1441" i="1"/>
  <c r="AS889" i="1"/>
  <c r="AS1885" i="1"/>
  <c r="AS611" i="1"/>
  <c r="AS1479" i="1"/>
  <c r="AS1403" i="1"/>
  <c r="AS288" i="1"/>
  <c r="AS1176" i="1"/>
  <c r="AS166" i="1"/>
  <c r="AS695" i="1"/>
  <c r="AS1529" i="1"/>
  <c r="AS1020" i="1"/>
  <c r="AS1427" i="1"/>
  <c r="AS1618" i="1"/>
  <c r="AS875" i="1"/>
  <c r="AS1171" i="1"/>
  <c r="AS94" i="1"/>
  <c r="AS607" i="1"/>
  <c r="AS1772" i="1"/>
  <c r="AS1295" i="1"/>
  <c r="AS1281" i="1"/>
  <c r="AS1130" i="1"/>
  <c r="AS831" i="1"/>
  <c r="AS1595" i="1"/>
  <c r="AS869" i="1"/>
  <c r="AS222" i="1"/>
  <c r="AS2010" i="1"/>
  <c r="AS1453" i="1"/>
  <c r="AS1264" i="1"/>
  <c r="AS290" i="1"/>
  <c r="AS781" i="1"/>
  <c r="AS1060" i="1"/>
  <c r="AS148" i="1"/>
  <c r="AS388" i="1"/>
  <c r="AS794" i="1"/>
  <c r="AS663" i="1"/>
  <c r="AS427" i="1"/>
  <c r="AS1249" i="1"/>
  <c r="AS501" i="1"/>
  <c r="AS772" i="1"/>
  <c r="AS1820" i="1"/>
  <c r="AS1180" i="1"/>
  <c r="AS1192" i="1"/>
  <c r="AS1455" i="1"/>
  <c r="AS139" i="1"/>
  <c r="AS1221" i="1"/>
  <c r="AS440" i="1"/>
  <c r="AS1460" i="1"/>
  <c r="AS1956" i="1"/>
  <c r="AS514" i="1"/>
  <c r="AS1409" i="1"/>
  <c r="AS1208" i="1"/>
  <c r="AS1921" i="1"/>
  <c r="AS349" i="1"/>
  <c r="AS1786" i="1"/>
  <c r="AS1120" i="1"/>
  <c r="AS539" i="1"/>
  <c r="AS49" i="1"/>
  <c r="AS260" i="1"/>
  <c r="AS1015" i="1"/>
  <c r="AS281" i="1"/>
  <c r="AS1052" i="1"/>
  <c r="AS1459" i="1"/>
  <c r="AS1381" i="1"/>
  <c r="AS1097" i="1"/>
  <c r="AS1276" i="1"/>
  <c r="AS767" i="1"/>
  <c r="AS1591" i="1"/>
  <c r="AS1846" i="1"/>
  <c r="AS1836" i="1"/>
  <c r="AS716" i="1"/>
  <c r="AS245" i="1"/>
  <c r="AS286" i="1"/>
  <c r="AS1943" i="1"/>
  <c r="AS575" i="1"/>
  <c r="AS335" i="1"/>
  <c r="AS571" i="1"/>
  <c r="AS1446" i="1"/>
  <c r="AS489" i="1"/>
  <c r="AS160" i="1"/>
  <c r="AS1638" i="1"/>
  <c r="AS838" i="1"/>
  <c r="AS1951" i="1"/>
  <c r="AS987" i="1"/>
  <c r="AS666" i="1"/>
  <c r="AS789" i="1"/>
  <c r="AS493" i="1"/>
  <c r="AS1147" i="1"/>
  <c r="AS1466" i="1"/>
  <c r="AS615" i="1"/>
  <c r="AS852" i="1"/>
  <c r="AS1093" i="1"/>
  <c r="AS1083" i="1"/>
  <c r="AS911" i="1"/>
  <c r="AS1140" i="1"/>
  <c r="AS896" i="1"/>
  <c r="AS1906" i="1"/>
  <c r="AS863" i="1"/>
  <c r="AS1235" i="1"/>
  <c r="AS995" i="1"/>
  <c r="AS1927" i="1"/>
  <c r="AS38" i="1"/>
  <c r="AS1212" i="1"/>
  <c r="AS969" i="1"/>
  <c r="AS1902" i="1"/>
  <c r="AS1440" i="1"/>
  <c r="AS1336" i="1"/>
  <c r="AS1743" i="1"/>
  <c r="AS712" i="1"/>
  <c r="AS1398" i="1"/>
  <c r="AS1812" i="1"/>
  <c r="AS1057" i="1"/>
  <c r="AS801" i="1"/>
  <c r="AS1541" i="1"/>
  <c r="AS1566" i="1"/>
  <c r="AS1257" i="1"/>
  <c r="AS1521" i="1"/>
  <c r="AS643" i="1"/>
  <c r="AS936" i="1"/>
  <c r="AS1573" i="1"/>
  <c r="AS553" i="1"/>
  <c r="AS1305" i="1"/>
  <c r="AS198" i="1"/>
  <c r="AS1539" i="1"/>
  <c r="AS840" i="1"/>
  <c r="AS690" i="1"/>
  <c r="AS1540" i="1"/>
  <c r="AS1861" i="1"/>
  <c r="AS1596" i="1"/>
  <c r="AS391" i="1"/>
  <c r="AS964" i="1"/>
  <c r="AS1783" i="1"/>
  <c r="AS1590" i="1"/>
  <c r="AS1290" i="1"/>
  <c r="AS1484" i="1"/>
  <c r="AS1194" i="1"/>
  <c r="AS1701" i="1"/>
  <c r="AS15" i="1"/>
  <c r="AS1585" i="1"/>
  <c r="AS543" i="1"/>
  <c r="AS1688" i="1"/>
  <c r="AS1544" i="1"/>
  <c r="AS910" i="1"/>
  <c r="AS1691" i="1"/>
  <c r="AS1604" i="1"/>
  <c r="AS1910" i="1"/>
  <c r="AS221" i="1"/>
  <c r="AS151" i="1"/>
  <c r="AS657" i="1"/>
  <c r="AS200" i="1"/>
  <c r="AS1039" i="1"/>
  <c r="AS316" i="1"/>
  <c r="AS559" i="1"/>
  <c r="AS1200" i="1"/>
  <c r="AS213" i="1"/>
  <c r="AS293" i="1"/>
  <c r="AS1408" i="1"/>
  <c r="AS1185" i="1"/>
  <c r="AS1292" i="1"/>
  <c r="AS1823" i="1"/>
  <c r="AS16" i="1"/>
  <c r="AS1001" i="1"/>
  <c r="AS701" i="1"/>
  <c r="AS882" i="1"/>
  <c r="AS1973" i="1"/>
  <c r="AS1754" i="1"/>
  <c r="AS1113" i="1"/>
  <c r="AS1106" i="1"/>
  <c r="AS1432" i="1"/>
  <c r="AS597" i="1"/>
  <c r="AS1896" i="1"/>
  <c r="AS1588" i="1"/>
  <c r="AS1608" i="1"/>
  <c r="AS150" i="1"/>
  <c r="AS675" i="1"/>
  <c r="AS1457" i="1"/>
  <c r="AS797" i="1"/>
  <c r="AS891" i="1"/>
  <c r="AS908" i="1"/>
  <c r="AS1938" i="1"/>
  <c r="AS1942" i="1"/>
  <c r="AS461" i="1"/>
  <c r="AS534" i="1"/>
  <c r="AS178" i="1"/>
  <c r="AS739" i="1"/>
  <c r="AS465" i="1"/>
  <c r="AS1071" i="1"/>
  <c r="AS777" i="1"/>
  <c r="AS1367" i="1"/>
  <c r="AS44" i="1"/>
  <c r="AS832" i="1"/>
  <c r="AS1487" i="1"/>
  <c r="AS411" i="1"/>
  <c r="AS1634" i="1"/>
  <c r="AS991" i="1"/>
  <c r="AS538" i="1"/>
  <c r="AS337" i="1"/>
  <c r="AS980" i="1"/>
  <c r="AS1322" i="1"/>
  <c r="AS956" i="1"/>
  <c r="AS720" i="1"/>
  <c r="AS429" i="1"/>
  <c r="AS874" i="1"/>
  <c r="AS1156" i="1"/>
  <c r="AS183" i="1"/>
  <c r="AS1004" i="1"/>
  <c r="AS503" i="1"/>
  <c r="AS138" i="1"/>
  <c r="AS1560" i="1"/>
  <c r="AS1009" i="1"/>
  <c r="AS941" i="1"/>
  <c r="AS1473" i="1"/>
  <c r="AS1802" i="1"/>
  <c r="AS50" i="1"/>
  <c r="AS340" i="1"/>
  <c r="AS1467" i="1"/>
  <c r="AS2020" i="1"/>
  <c r="AS812" i="1"/>
  <c r="AS161" i="1"/>
  <c r="AS1808" i="1"/>
  <c r="AS237" i="1"/>
  <c r="AS1955" i="1"/>
  <c r="AS866" i="1"/>
  <c r="AS1030" i="1"/>
  <c r="AS558" i="1"/>
  <c r="AS1183" i="1"/>
  <c r="AS1857" i="1"/>
  <c r="AS1856" i="1"/>
  <c r="AS2000" i="1"/>
  <c r="AS378" i="1"/>
  <c r="AS515" i="1"/>
  <c r="AS818" i="1"/>
  <c r="AS1631" i="1"/>
  <c r="AS494" i="1"/>
  <c r="AS383" i="1"/>
  <c r="AS1076" i="1"/>
  <c r="AS1045" i="1"/>
  <c r="AS1206" i="1"/>
  <c r="AS1253" i="1"/>
  <c r="AS661" i="1"/>
  <c r="AS1480" i="1"/>
  <c r="AS918" i="1"/>
  <c r="AS225" i="1"/>
  <c r="AS710" i="1"/>
  <c r="AS1519" i="1"/>
  <c r="AS1186" i="1"/>
  <c r="AS1671" i="1"/>
  <c r="AS1826" i="1"/>
  <c r="AS537" i="1"/>
  <c r="AS1829" i="1"/>
  <c r="AS419" i="1"/>
  <c r="AS1219" i="1"/>
  <c r="AS1193" i="1"/>
  <c r="AS694" i="1"/>
  <c r="AS497" i="1"/>
  <c r="AS979" i="1"/>
  <c r="AS492" i="1"/>
  <c r="AS25" i="1"/>
  <c r="AS1774" i="1"/>
  <c r="AS1497" i="1"/>
  <c r="AS1195" i="1"/>
  <c r="AS176" i="1"/>
  <c r="AS762" i="1"/>
  <c r="AS1640" i="1"/>
  <c r="AS229" i="1"/>
  <c r="AS146" i="1"/>
  <c r="AS1223" i="1"/>
  <c r="AS103" i="1"/>
  <c r="AS1547" i="1"/>
  <c r="AS1450" i="1"/>
  <c r="AS474" i="1"/>
  <c r="AS1556" i="1"/>
  <c r="AS208" i="1"/>
  <c r="AS282" i="1"/>
  <c r="AS1989" i="1"/>
  <c r="AS1019" i="1"/>
  <c r="AS1117" i="1"/>
  <c r="AS1496" i="1"/>
  <c r="AS451" i="1"/>
  <c r="AS1506" i="1"/>
  <c r="AS988" i="1"/>
  <c r="AS48" i="1"/>
  <c r="AS350" i="1"/>
  <c r="AS1283" i="1"/>
  <c r="AS1828" i="1"/>
  <c r="AS986" i="1"/>
  <c r="AS510" i="1"/>
  <c r="AS998" i="1"/>
  <c r="AS775" i="1"/>
  <c r="AS1801" i="1"/>
  <c r="AS387" i="1"/>
  <c r="AS1605" i="1"/>
  <c r="AS1685" i="1"/>
  <c r="AS895" i="1"/>
  <c r="AS1752" i="1"/>
  <c r="AS830" i="1"/>
  <c r="AS1038" i="1"/>
  <c r="AS1051" i="1"/>
  <c r="AS1954" i="1"/>
  <c r="AS1088" i="1"/>
  <c r="AS974" i="1"/>
  <c r="AS1002" i="1"/>
  <c r="AS1157" i="1"/>
  <c r="AS952" i="1"/>
  <c r="AS1936" i="1"/>
  <c r="AS1514" i="1"/>
  <c r="AS1323" i="1"/>
  <c r="AS1036" i="1"/>
  <c r="AS1887" i="1"/>
  <c r="AS836" i="1"/>
  <c r="AS1122" i="1"/>
  <c r="AS372" i="1"/>
  <c r="AS1270" i="1"/>
  <c r="AS1712" i="1"/>
  <c r="AS1558" i="1"/>
  <c r="AS687" i="1"/>
  <c r="AS871" i="1"/>
  <c r="AS447" i="1"/>
  <c r="AS1012" i="1"/>
  <c r="AS820" i="1"/>
  <c r="AS496" i="1"/>
  <c r="AS531" i="1"/>
  <c r="AS947" i="1"/>
  <c r="AS1886" i="1"/>
  <c r="AS131" i="1"/>
  <c r="AS1633" i="1"/>
  <c r="AS1892" i="1"/>
  <c r="AS1535" i="1"/>
  <c r="AS1580" i="1"/>
  <c r="AS755" i="1"/>
  <c r="AS1061" i="1"/>
  <c r="AS278" i="1"/>
  <c r="AS1089" i="1"/>
  <c r="AS1598" i="1"/>
  <c r="AS649" i="1"/>
  <c r="AS1297" i="1"/>
  <c r="AS1315" i="1"/>
  <c r="AS704" i="1"/>
  <c r="AS1564" i="1"/>
  <c r="AS985" i="1"/>
  <c r="AS78" i="1"/>
  <c r="AS125" i="1"/>
  <c r="AS567" i="1"/>
  <c r="AS1534" i="1"/>
  <c r="AS1787" i="1"/>
  <c r="AS1978" i="1"/>
  <c r="AS1069" i="1"/>
  <c r="AS1614" i="1"/>
  <c r="AS314" i="1"/>
  <c r="AS1461" i="1"/>
  <c r="AS1926" i="1"/>
  <c r="AS1864" i="1"/>
  <c r="AS1143" i="1"/>
  <c r="AS1334" i="1"/>
  <c r="AS169" i="1"/>
  <c r="AS903" i="1"/>
  <c r="AS837" i="1"/>
  <c r="AS1152" i="1"/>
  <c r="AS435" i="1"/>
  <c r="AS1947" i="1"/>
  <c r="AS1850" i="1"/>
  <c r="AS1611" i="1"/>
  <c r="AS774" i="1"/>
  <c r="AS1335" i="1"/>
  <c r="AS55" i="1"/>
  <c r="AS1402" i="1"/>
  <c r="AS516" i="1"/>
  <c r="AS744" i="1"/>
  <c r="AS1941" i="1"/>
  <c r="AS934" i="1"/>
  <c r="AS2004" i="1"/>
  <c r="AS1428" i="1"/>
  <c r="AS870" i="1"/>
  <c r="AS1040" i="1"/>
  <c r="AS646" i="1"/>
  <c r="AS953" i="1"/>
  <c r="AS77" i="1"/>
  <c r="AS452" i="1"/>
  <c r="AS1343" i="1"/>
  <c r="AS162" i="1"/>
  <c r="AS1932" i="1"/>
  <c r="AS1531" i="1"/>
  <c r="AS817" i="1"/>
  <c r="AS1904" i="1"/>
  <c r="AS1245" i="1"/>
  <c r="AS914" i="1"/>
  <c r="AS1958" i="1"/>
  <c r="AS17" i="1"/>
  <c r="AS26" i="1"/>
  <c r="AS119" i="1"/>
  <c r="AS1422" i="1"/>
  <c r="AS1970" i="1"/>
  <c r="AS1359" i="1"/>
  <c r="AS1899" i="1"/>
  <c r="AS562" i="1"/>
  <c r="AS1191" i="1"/>
  <c r="AS1553" i="1"/>
  <c r="AS117" i="1"/>
  <c r="AS488" i="1"/>
  <c r="AS576" i="1"/>
  <c r="AS215" i="1"/>
  <c r="AS966" i="1"/>
  <c r="AS1327" i="1"/>
  <c r="AS937" i="1"/>
  <c r="AS1456" i="1"/>
  <c r="AS862" i="1"/>
  <c r="AS367" i="1"/>
  <c r="AS845" i="1"/>
  <c r="AS157" i="1"/>
  <c r="AS1389" i="1"/>
  <c r="AS556" i="1"/>
  <c r="AS193" i="1"/>
  <c r="AS719" i="1"/>
  <c r="AS1656" i="1"/>
  <c r="AS1086" i="1"/>
  <c r="AS1976" i="1"/>
  <c r="AS1376" i="1"/>
  <c r="AS1416" i="1"/>
  <c r="AS1495" i="1"/>
  <c r="AS422" i="1"/>
  <c r="AS724" i="1"/>
  <c r="AS1990" i="1"/>
  <c r="AS796" i="1"/>
  <c r="AS506" i="1"/>
  <c r="AS1888" i="1"/>
  <c r="AS625" i="1"/>
  <c r="AS1481" i="1"/>
  <c r="AS1131" i="1"/>
  <c r="AS1837" i="1"/>
  <c r="AS87" i="1"/>
  <c r="AS1329" i="1"/>
  <c r="AS1280" i="1"/>
  <c r="AS1418" i="1"/>
  <c r="AS381" i="1"/>
  <c r="AS1928" i="1"/>
  <c r="AS1307" i="1"/>
  <c r="AS413" i="1"/>
  <c r="AS550" i="1"/>
  <c r="AS1600" i="1"/>
  <c r="AS1174" i="1"/>
  <c r="AS1099" i="1"/>
  <c r="AS1500" i="1"/>
  <c r="AS741" i="1"/>
  <c r="AS128" i="1"/>
  <c r="AS1668" i="1"/>
  <c r="AS1792" i="1"/>
  <c r="AS757" i="1"/>
  <c r="AS1513" i="1"/>
  <c r="AS707" i="1"/>
  <c r="AS404" i="1"/>
  <c r="AS460" i="1"/>
  <c r="AS856" i="1"/>
  <c r="AS1310" i="1"/>
  <c r="AS2015" i="1"/>
  <c r="AS46" i="1"/>
  <c r="AS430" i="1"/>
  <c r="AS1205" i="1"/>
  <c r="AS172" i="1"/>
  <c r="AS400" i="1"/>
  <c r="AS540" i="1"/>
  <c r="AS1900" i="1"/>
  <c r="AS803" i="1"/>
  <c r="AS326" i="1"/>
  <c r="AS1107" i="1"/>
  <c r="AS1692" i="1"/>
  <c r="AS740" i="1"/>
  <c r="AS1246" i="1"/>
  <c r="AS682" i="1"/>
  <c r="AS596" i="1"/>
  <c r="AS1853" i="1"/>
  <c r="AS982" i="1"/>
  <c r="AS167" i="1"/>
  <c r="AS170" i="1"/>
  <c r="AS1898" i="1"/>
  <c r="AS1720" i="1"/>
  <c r="AS1274" i="1"/>
  <c r="AS968" i="1"/>
  <c r="AS1124" i="1"/>
  <c r="AS928" i="1"/>
  <c r="AS1331" i="1"/>
  <c r="AS154" i="1"/>
  <c r="AS1179" i="1"/>
  <c r="AS743" i="1"/>
  <c r="AS916" i="1"/>
  <c r="AS1639" i="1"/>
  <c r="AS91" i="1"/>
  <c r="AS1814" i="1"/>
  <c r="AS377" i="1"/>
  <c r="AS652" i="1"/>
  <c r="AS58" i="1"/>
  <c r="AS2021" i="1"/>
  <c r="AS1207" i="1"/>
  <c r="AS872" i="1"/>
  <c r="AS1816" i="1"/>
  <c r="AS69" i="1"/>
  <c r="AS1905" i="1"/>
  <c r="AS283" i="1"/>
  <c r="AS432" i="1"/>
  <c r="AS86" i="1"/>
  <c r="AS484" i="1"/>
  <c r="AS900" i="1"/>
  <c r="AS1562" i="1"/>
  <c r="AS332" i="1"/>
  <c r="AS930" i="1"/>
  <c r="AS574" i="1"/>
  <c r="AS1831" i="1"/>
  <c r="AS533" i="1"/>
  <c r="AS782" i="1"/>
  <c r="AS1659" i="1"/>
  <c r="AS1549" i="1"/>
  <c r="AS1726" i="1"/>
  <c r="AS98" i="1"/>
  <c r="AS1827" i="1"/>
  <c r="AS563" i="1"/>
  <c r="AS1250" i="1"/>
  <c r="AS842" i="1"/>
  <c r="AS1139" i="1"/>
  <c r="AS1424" i="1"/>
  <c r="AS1197" i="1"/>
  <c r="AS303" i="1"/>
  <c r="AS582" i="1"/>
  <c r="AS536" i="1"/>
  <c r="AS300" i="1"/>
  <c r="AS1735" i="1"/>
  <c r="AS1065" i="1"/>
  <c r="AS711" i="1"/>
  <c r="AS1213" i="1"/>
  <c r="AS981" i="1"/>
  <c r="AS1309" i="1"/>
  <c r="AS59" i="1"/>
  <c r="AS443" i="1"/>
  <c r="AS1299" i="1"/>
  <c r="AS39" i="1"/>
  <c r="AS1665" i="1"/>
  <c r="AS746" i="1"/>
  <c r="AS338" i="1"/>
  <c r="AS1154" i="1"/>
  <c r="AS42" i="1"/>
  <c r="AS2" i="1"/>
  <c r="AS1490" i="1"/>
  <c r="AS252" i="1"/>
  <c r="AS1744" i="1"/>
  <c r="AS1226" i="1"/>
  <c r="AS779" i="1"/>
  <c r="AS1602" i="1"/>
  <c r="AS1110" i="1"/>
  <c r="AS1669" i="1"/>
  <c r="AS32" i="1"/>
  <c r="AS598" i="1"/>
  <c r="AS434" i="1"/>
  <c r="AS1043" i="1"/>
  <c r="AS884" i="1"/>
  <c r="AS1509" i="1"/>
  <c r="AS1623" i="1"/>
  <c r="AS1666" i="1"/>
  <c r="AS528" i="1"/>
  <c r="AS40" i="1"/>
  <c r="AS247" i="1"/>
  <c r="AS393" i="1"/>
  <c r="AS1889" i="1"/>
  <c r="AS322" i="1"/>
  <c r="AS425" i="1"/>
  <c r="AS729" i="1"/>
  <c r="AS728" i="1"/>
  <c r="AS650" i="1"/>
  <c r="AS1915" i="1"/>
  <c r="AS1759" i="1"/>
  <c r="AS490" i="1"/>
  <c r="AS1571" i="1"/>
  <c r="AS977" i="1"/>
  <c r="AS1014" i="1"/>
  <c r="AS1642" i="1"/>
  <c r="AS1841" i="1"/>
  <c r="AS258" i="1"/>
  <c r="AS1819" i="1"/>
  <c r="AS1872" i="1"/>
  <c r="AS268" i="1"/>
  <c r="AS1587" i="1"/>
  <c r="AS354" i="1"/>
  <c r="AS417" i="1"/>
  <c r="AS339" i="1"/>
  <c r="AS1554" i="1"/>
  <c r="AS713" i="1"/>
  <c r="AS867" i="1"/>
  <c r="AS181" i="1"/>
  <c r="AS284" i="1"/>
  <c r="AS468" i="1"/>
  <c r="AS250" i="1"/>
  <c r="AS1740" i="1"/>
  <c r="AS1215" i="1"/>
  <c r="AS7" i="1"/>
  <c r="AS560" i="1"/>
  <c r="AS318" i="1"/>
  <c r="AS1234" i="1"/>
  <c r="AS1436" i="1"/>
  <c r="AS1125" i="1"/>
  <c r="AS291" i="1"/>
  <c r="AS665" i="1"/>
  <c r="AS449" i="1"/>
  <c r="AS320" i="1"/>
  <c r="AS61" i="1"/>
  <c r="AS933" i="1"/>
  <c r="AS1404" i="1"/>
  <c r="AS1358" i="1"/>
  <c r="AS2018" i="1"/>
  <c r="AS1201" i="1"/>
  <c r="AS1471" i="1"/>
  <c r="AS1486" i="1"/>
  <c r="AS1662" i="1"/>
  <c r="AS1838" i="1"/>
  <c r="AS21" i="1"/>
  <c r="AS848" i="1"/>
  <c r="AS983" i="1"/>
  <c r="AS850" i="1"/>
  <c r="AS595" i="1"/>
  <c r="AS1860" i="1"/>
  <c r="AS888" i="1"/>
  <c r="AS294" i="1"/>
  <c r="AS1415" i="1"/>
  <c r="AS41" i="1"/>
  <c r="AS180" i="1"/>
  <c r="AS1997" i="1"/>
  <c r="AS11" i="1"/>
  <c r="AS171" i="1"/>
  <c r="AS881" i="1"/>
  <c r="AS1654" i="1"/>
  <c r="AS577" i="1"/>
  <c r="AS1874" i="1"/>
  <c r="AS1784" i="1"/>
  <c r="AS1901" i="1"/>
  <c r="AS1160" i="1"/>
  <c r="AS1714" i="1"/>
  <c r="AS685" i="1"/>
  <c r="AS1365" i="1"/>
  <c r="AS586" i="1"/>
  <c r="AS648" i="1"/>
  <c r="AS319" i="1"/>
  <c r="AS1386" i="1"/>
  <c r="AS10" i="1"/>
  <c r="AS1090" i="1"/>
  <c r="AS375" i="1"/>
  <c r="AS1023" i="1"/>
  <c r="AS1791" i="1"/>
  <c r="AS1935" i="1"/>
  <c r="AS1733" i="1"/>
  <c r="AS1760" i="1"/>
  <c r="AS1240" i="1"/>
  <c r="AS1165" i="1"/>
  <c r="AS471" i="1"/>
  <c r="AS535" i="1"/>
  <c r="AS1635" i="1"/>
  <c r="AS1552" i="1"/>
  <c r="AS1138" i="1"/>
  <c r="AS2007" i="1"/>
  <c r="AS617" i="1"/>
  <c r="AS624" i="1"/>
  <c r="AS1959" i="1"/>
  <c r="AS902" i="1"/>
  <c r="AS1356" i="1"/>
  <c r="AS813" i="1"/>
  <c r="AS463" i="1"/>
  <c r="AS816" i="1"/>
  <c r="AS1412" i="1"/>
  <c r="AS448" i="1"/>
  <c r="AS627" i="1"/>
  <c r="AS355" i="1"/>
  <c r="AS1742" i="1"/>
  <c r="AS1211" i="1"/>
  <c r="AS1501" i="1"/>
  <c r="AS1306" i="1"/>
  <c r="AS1024" i="1"/>
  <c r="AS396" i="1"/>
  <c r="AS454" i="1"/>
  <c r="AS184" i="1"/>
  <c r="AS1709" i="1"/>
  <c r="AS909" i="1"/>
  <c r="AS472" i="1"/>
  <c r="AS1569" i="1"/>
  <c r="AS1155" i="1"/>
  <c r="AS1502" i="1"/>
  <c r="AS525" i="1"/>
  <c r="AS857" i="1"/>
  <c r="AS1296" i="1"/>
  <c r="AS651" i="1"/>
  <c r="AS954" i="1"/>
  <c r="AS462" i="1"/>
  <c r="AS1648" i="1"/>
  <c r="AS1583" i="1"/>
  <c r="AS1008" i="1"/>
  <c r="AS541" i="1"/>
  <c r="AS321" i="1"/>
  <c r="AS664" i="1"/>
  <c r="AS1777" i="1"/>
  <c r="AS1572" i="1"/>
  <c r="AS1785" i="1"/>
  <c r="AS1059" i="1"/>
  <c r="AS47" i="1"/>
  <c r="AS407" i="1"/>
  <c r="AS1695" i="1"/>
  <c r="AS1612" i="1"/>
  <c r="AS978" i="1"/>
  <c r="AS1526" i="1"/>
  <c r="AS520" i="1"/>
  <c r="AS129" i="1"/>
  <c r="AS1167" i="1"/>
  <c r="AS149" i="1"/>
  <c r="AS1000" i="1"/>
  <c r="AS366" i="1"/>
  <c r="AS453" i="1"/>
  <c r="AS976" i="1"/>
  <c r="AS1983" i="1"/>
  <c r="AS418" i="1"/>
  <c r="AS1775" i="1"/>
  <c r="AS504" i="1"/>
  <c r="AS1198" i="1"/>
  <c r="AS127" i="1"/>
  <c r="AS885" i="1"/>
  <c r="AS792" i="1"/>
  <c r="AS1647" i="1"/>
  <c r="AS1294" i="1"/>
  <c r="AS1263" i="1"/>
  <c r="AS612" i="1"/>
  <c r="AS1771" i="1"/>
  <c r="AS580" i="1"/>
  <c r="AS307" i="1"/>
  <c r="AS1835" i="1"/>
  <c r="AS1472" i="1"/>
  <c r="AS1840" i="1"/>
  <c r="AS1260" i="1"/>
  <c r="AS1033" i="1"/>
  <c r="AS1109" i="1"/>
  <c r="AS88" i="1"/>
  <c r="AS403" i="1"/>
  <c r="AS1619" i="1"/>
  <c r="AS285" i="1"/>
  <c r="AS1975" i="1"/>
  <c r="AS415" i="1"/>
  <c r="AS841" i="1"/>
  <c r="AS1391" i="1"/>
  <c r="AS756" i="1"/>
  <c r="AS1766" i="1"/>
  <c r="AS1944" i="1"/>
  <c r="AS1555" i="1"/>
  <c r="AS1516" i="1"/>
  <c r="AS1523" i="1"/>
  <c r="AS641" i="1"/>
  <c r="AS207" i="1"/>
  <c r="AS1745" i="1"/>
  <c r="AS1397" i="1"/>
  <c r="AS683" i="1"/>
  <c r="AS1340" i="1"/>
  <c r="AS1127" i="1"/>
  <c r="AS347" i="1"/>
  <c r="AS1967" i="1"/>
  <c r="AS1641" i="1"/>
  <c r="AS1362" i="1"/>
  <c r="AS1603" i="1"/>
  <c r="AS878" i="1"/>
  <c r="AS810" i="1"/>
  <c r="AS785" i="1"/>
  <c r="AS678" i="1"/>
  <c r="AS1204" i="1"/>
  <c r="AS279" i="1"/>
  <c r="AS1974" i="1"/>
  <c r="AS1686" i="1"/>
  <c r="AS20" i="1"/>
  <c r="AS33" i="1"/>
  <c r="AS1311" i="1"/>
  <c r="AS572" i="1"/>
  <c r="AS395" i="1"/>
  <c r="AS748" i="1"/>
  <c r="AS549" i="1"/>
  <c r="AS681" i="1"/>
  <c r="AS173" i="1"/>
  <c r="AS134" i="1"/>
  <c r="AS1118" i="1"/>
  <c r="AS999" i="1"/>
  <c r="AS1825" i="1"/>
  <c r="AS1258" i="1"/>
  <c r="AS1803" i="1"/>
  <c r="AS1028" i="1"/>
  <c r="AS608" i="1"/>
  <c r="AS455" i="1"/>
  <c r="AS107" i="1"/>
  <c r="AS416" i="1"/>
  <c r="AS1848" i="1"/>
  <c r="AS35" i="1"/>
  <c r="AS1375" i="1"/>
  <c r="AS1421" i="1"/>
  <c r="AS133" i="1"/>
  <c r="AS508" i="1"/>
  <c r="AS2014" i="1"/>
  <c r="AS849" i="1"/>
  <c r="AS917" i="1"/>
  <c r="AS1108" i="1"/>
  <c r="AS1489" i="1"/>
  <c r="AS1962" i="1"/>
  <c r="AS859" i="1"/>
  <c r="AS483" i="1"/>
  <c r="AS1565" i="1"/>
  <c r="AS734" i="1"/>
  <c r="AS1724" i="1"/>
  <c r="AS1991" i="1"/>
  <c r="AS1254" i="1"/>
  <c r="AS1393" i="1"/>
  <c r="AS43" i="1"/>
  <c r="AS1537" i="1"/>
  <c r="AS106" i="1"/>
  <c r="AS2016" i="1"/>
  <c r="AS1574" i="1"/>
  <c r="AS1353" i="1"/>
  <c r="AS821" i="1"/>
  <c r="AS2008" i="1"/>
  <c r="AS1653" i="1"/>
  <c r="AS858" i="1"/>
  <c r="AS668" i="1"/>
  <c r="AS877" i="1"/>
  <c r="AS1867" i="1"/>
  <c r="AS1998" i="1"/>
  <c r="AS815" i="1"/>
  <c r="AS1328" i="1"/>
  <c r="AS768" i="1"/>
  <c r="AS512" i="1"/>
  <c r="AS583" i="1"/>
  <c r="AS1046" i="1"/>
  <c r="AT527" i="1"/>
  <c r="AT1239" i="1"/>
  <c r="AT313" i="1"/>
  <c r="AT1789" i="1"/>
  <c r="AT809" i="1"/>
  <c r="AT730" i="1"/>
  <c r="AT920" i="1"/>
  <c r="AT1593" i="1"/>
  <c r="AT1722" i="1"/>
  <c r="AT2019" i="1"/>
  <c r="AT1912" i="1"/>
  <c r="AT457" i="1"/>
  <c r="AT855" i="1"/>
  <c r="AT1646" i="1"/>
  <c r="AT147" i="1"/>
  <c r="AT1317" i="1"/>
  <c r="AT1079" i="1"/>
  <c r="AT477" i="1"/>
  <c r="AT1582" i="1"/>
  <c r="AT1016" i="1"/>
  <c r="AT2022" i="1"/>
  <c r="AT892" i="1"/>
  <c r="AT679" i="1"/>
  <c r="AT1442" i="1"/>
  <c r="AT1660" i="1"/>
  <c r="AT971" i="1"/>
  <c r="AT1407" i="1"/>
  <c r="AT84" i="1"/>
  <c r="AT1813" i="1"/>
  <c r="AT1021" i="1"/>
  <c r="AT1387" i="1"/>
  <c r="AT1236" i="1"/>
  <c r="AT384" i="1"/>
  <c r="AT1146" i="1"/>
  <c r="AT599" i="1"/>
  <c r="AT1873" i="1"/>
  <c r="AT1321" i="1"/>
  <c r="AT773" i="1"/>
  <c r="AT379" i="1"/>
  <c r="AT1919" i="1"/>
  <c r="AT1931" i="1"/>
  <c r="AT2012" i="1"/>
  <c r="AT152" i="1"/>
  <c r="AT1877" i="1"/>
  <c r="AT1350" i="1"/>
  <c r="AT529" i="1"/>
  <c r="AT673" i="1"/>
  <c r="AT190" i="1"/>
  <c r="AT1532" i="1"/>
  <c r="AT95" i="1"/>
  <c r="AT603" i="1"/>
  <c r="AT135" i="1"/>
  <c r="AT342" i="1"/>
  <c r="AT1750" i="1"/>
  <c r="AT919" i="1"/>
  <c r="AT214" i="1"/>
  <c r="AT602" i="1"/>
  <c r="AT790" i="1"/>
  <c r="AT621" i="1"/>
  <c r="AT359" i="1"/>
  <c r="AT1839" i="1"/>
  <c r="AT1677" i="1"/>
  <c r="AT255" i="1"/>
  <c r="AT581" i="1"/>
  <c r="AT479" i="1"/>
  <c r="AT397" i="1"/>
  <c r="AT676" i="1"/>
  <c r="AT761" i="1"/>
  <c r="AT1378" i="1"/>
  <c r="AT1380" i="1"/>
  <c r="AT240" i="1"/>
  <c r="AT223" i="1"/>
  <c r="AT1368" i="1"/>
  <c r="AT557" i="1"/>
  <c r="AT1711" i="1"/>
  <c r="AT1830" i="1"/>
  <c r="AT1881" i="1"/>
  <c r="AT102" i="1"/>
  <c r="AT1776" i="1"/>
  <c r="AT1543" i="1"/>
  <c r="AT1105" i="1"/>
  <c r="AT165" i="1"/>
  <c r="AT970" i="1"/>
  <c r="AT1326" i="1"/>
  <c r="AT1884" i="1"/>
  <c r="AT1705" i="1"/>
  <c r="AT1163" i="1"/>
  <c r="AT1031" i="1"/>
  <c r="AT216" i="1"/>
  <c r="AT647" i="1"/>
  <c r="AT1166" i="1"/>
  <c r="AT1636" i="1"/>
  <c r="AT296" i="1"/>
  <c r="AT428" i="1"/>
  <c r="AT63" i="1"/>
  <c r="AT1847" i="1"/>
  <c r="AT1123" i="1"/>
  <c r="AT1017" i="1"/>
  <c r="AT1435" i="1"/>
  <c r="AT52" i="1"/>
  <c r="AT424" i="1"/>
  <c r="AT341" i="1"/>
  <c r="AT897" i="1"/>
  <c r="AT54" i="1"/>
  <c r="AT1241" i="1"/>
  <c r="AT1070" i="1"/>
  <c r="AT36" i="1"/>
  <c r="AT1499" i="1"/>
  <c r="AT1729" i="1"/>
  <c r="AT1922" i="1"/>
  <c r="AT951" i="1"/>
  <c r="AT1675" i="1"/>
  <c r="AT1930" i="1"/>
  <c r="AT1699" i="1"/>
  <c r="AT4" i="1"/>
  <c r="AT317" i="1"/>
  <c r="AT140" i="1"/>
  <c r="AT1005" i="1"/>
  <c r="AT459" i="1"/>
  <c r="AT749" i="1"/>
  <c r="AT788" i="1"/>
  <c r="AT274" i="1"/>
  <c r="AT1372" i="1"/>
  <c r="AT444" i="1"/>
  <c r="AT2003" i="1"/>
  <c r="AT1655" i="1"/>
  <c r="AT1545" i="1"/>
  <c r="AT1528" i="1"/>
  <c r="AT13" i="1"/>
  <c r="AT638" i="1"/>
  <c r="AT70" i="1"/>
  <c r="AT573" i="1"/>
  <c r="AT1288" i="1"/>
  <c r="AT786" i="1"/>
  <c r="AT1871" i="1"/>
  <c r="AT1426" i="1"/>
  <c r="AT1551" i="1"/>
  <c r="AT693" i="1"/>
  <c r="AT851" i="1"/>
  <c r="AT637" i="1"/>
  <c r="AT1184" i="1"/>
  <c r="AT1561" i="1"/>
  <c r="AT805" i="1"/>
  <c r="AT373" i="1"/>
  <c r="AT1111" i="1"/>
  <c r="AT770" i="1"/>
  <c r="AT913" i="1"/>
  <c r="AT185" i="1"/>
  <c r="AT1756" i="1"/>
  <c r="AT368" i="1"/>
  <c r="AT1870" i="1"/>
  <c r="AT259" i="1"/>
  <c r="AT1301" i="1"/>
  <c r="AT475" i="1"/>
  <c r="AT645" i="1"/>
  <c r="AT362" i="1"/>
  <c r="AT1859" i="1"/>
  <c r="AT1649" i="1"/>
  <c r="AT1746" i="1"/>
  <c r="AT1063" i="1"/>
  <c r="AT1011" i="1"/>
  <c r="AT1037" i="1"/>
  <c r="AT380" i="1"/>
  <c r="AT118" i="1"/>
  <c r="AT1447" i="1"/>
  <c r="AT1498" i="1"/>
  <c r="AT1022" i="1"/>
  <c r="AT1964" i="1"/>
  <c r="AT405" i="1"/>
  <c r="AT1694" i="1"/>
  <c r="AT1348" i="1"/>
  <c r="AT1824" i="1"/>
  <c r="AT1674" i="1"/>
  <c r="AT769" i="1"/>
  <c r="AT261" i="1"/>
  <c r="AT1233" i="1"/>
  <c r="AT1844" i="1"/>
  <c r="AT360" i="1"/>
  <c r="AT1392" i="1"/>
  <c r="AT1047" i="1"/>
  <c r="AT1684" i="1"/>
  <c r="AT327" i="1"/>
  <c r="AT189" i="1"/>
  <c r="AT71" i="1"/>
  <c r="AT1159" i="1"/>
  <c r="AT592" i="1"/>
  <c r="AT232" i="1"/>
  <c r="AT669" i="1"/>
  <c r="AT6" i="1"/>
  <c r="AT1405" i="1"/>
  <c r="AT1607" i="1"/>
  <c r="AT1708" i="1"/>
  <c r="AT1136" i="1"/>
  <c r="AT1261" i="1"/>
  <c r="AT702" i="1"/>
  <c r="AT1242" i="1"/>
  <c r="AT220" i="1"/>
  <c r="AT1265" i="1"/>
  <c r="AT1189" i="1"/>
  <c r="AT295" i="1"/>
  <c r="AT1338" i="1"/>
  <c r="AT1003" i="1"/>
  <c r="AT120" i="1"/>
  <c r="AT1302" i="1"/>
  <c r="AT545" i="1"/>
  <c r="AT1169" i="1"/>
  <c r="AT292" i="1"/>
  <c r="AT433" i="1"/>
  <c r="AT1697" i="1"/>
  <c r="AT699" i="1"/>
  <c r="AT1319" i="1"/>
  <c r="AT1034" i="1"/>
  <c r="AT1074" i="1"/>
  <c r="AT159" i="1"/>
  <c r="AT1563" i="1"/>
  <c r="AT1520" i="1"/>
  <c r="AT376" i="1"/>
  <c r="AT1454" i="1"/>
  <c r="AT1796" i="1"/>
  <c r="AT727" i="1"/>
  <c r="AT1907" i="1"/>
  <c r="AT1863" i="1"/>
  <c r="AT412" i="1"/>
  <c r="AT2013" i="1"/>
  <c r="AT275" i="1"/>
  <c r="AT680" i="1"/>
  <c r="AT1903" i="1"/>
  <c r="AT239" i="1"/>
  <c r="AT795" i="1"/>
  <c r="AT1710" i="1"/>
  <c r="AT390" i="1"/>
  <c r="AT500" i="1"/>
  <c r="AT352" i="1"/>
  <c r="AT655" i="1"/>
  <c r="AT1698" i="1"/>
  <c r="AT1704" i="1"/>
  <c r="AT5" i="1"/>
  <c r="AT1420" i="1"/>
  <c r="AT469" i="1"/>
  <c r="AT1706" i="1"/>
  <c r="AT718" i="1"/>
  <c r="AT1227" i="1"/>
  <c r="AT1960" i="1"/>
  <c r="AT1423" i="1"/>
  <c r="AT1982" i="1"/>
  <c r="AT561" i="1"/>
  <c r="AT1267" i="1"/>
  <c r="AT1458" i="1"/>
  <c r="AT1333" i="1"/>
  <c r="AT1478" i="1"/>
  <c r="AT177" i="1"/>
  <c r="AT1470" i="1"/>
  <c r="AT280" i="1"/>
  <c r="AT1917" i="1"/>
  <c r="AT371" i="1"/>
  <c r="AT1652" i="1"/>
  <c r="AT725" i="1"/>
  <c r="AT1779" i="1"/>
  <c r="AT1657" i="1"/>
  <c r="AT635" i="1"/>
  <c r="AT499" i="1"/>
  <c r="AT187" i="1"/>
  <c r="AT309" i="1"/>
  <c r="AT686" i="1"/>
  <c r="AT1845" i="1"/>
  <c r="AT620" i="1"/>
  <c r="AT1244" i="1"/>
  <c r="AT1715" i="1"/>
  <c r="AT269" i="1"/>
  <c r="AT1092" i="1"/>
  <c r="AT174" i="1"/>
  <c r="AT1145" i="1"/>
  <c r="AT1141" i="1"/>
  <c r="AT1464" i="1"/>
  <c r="AT92" i="1"/>
  <c r="AT1977" i="1"/>
  <c r="AT1762" i="1"/>
  <c r="AT957" i="1"/>
  <c r="AT1510" i="1"/>
  <c r="AT1278" i="1"/>
  <c r="AT343" i="1"/>
  <c r="AT868" i="1"/>
  <c r="AT1613" i="1"/>
  <c r="AT861" i="1"/>
  <c r="AT1162" i="1"/>
  <c r="AT1354" i="1"/>
  <c r="AT1852" i="1"/>
  <c r="AT158" i="1"/>
  <c r="AT1379" i="1"/>
  <c r="AT241" i="1"/>
  <c r="AT689" i="1"/>
  <c r="AT819" i="1"/>
  <c r="AT1996" i="1"/>
  <c r="AT1911" i="1"/>
  <c r="AT308" i="1"/>
  <c r="AT973" i="1"/>
  <c r="AT1795" i="1"/>
  <c r="AT1390" i="1"/>
  <c r="AT584" i="1"/>
  <c r="AT1765" i="1"/>
  <c r="AT660" i="1"/>
  <c r="AT1594" i="1"/>
  <c r="AT1178" i="1"/>
  <c r="AT691" i="1"/>
  <c r="AT1443" i="1"/>
  <c r="AT476" i="1"/>
  <c r="AT1988" i="1"/>
  <c r="AT1778" i="1"/>
  <c r="AT1010" i="1"/>
  <c r="AT1700" i="1"/>
  <c r="AT1851" i="1"/>
  <c r="AT1075" i="1"/>
  <c r="AT656" i="1"/>
  <c r="AT1577" i="1"/>
  <c r="AT1895" i="1"/>
  <c r="AT752" i="1"/>
  <c r="AT238" i="1"/>
  <c r="AT1718" i="1"/>
  <c r="AT111" i="1"/>
  <c r="AT333" i="1"/>
  <c r="AT880" i="1"/>
  <c r="AT940" i="1"/>
  <c r="AT865" i="1"/>
  <c r="AT1797" i="1"/>
  <c r="AT136" i="1"/>
  <c r="AT1277" i="1"/>
  <c r="AT79" i="1"/>
  <c r="AT1731" i="1"/>
  <c r="AT1627" i="1"/>
  <c r="AT555" i="1"/>
  <c r="AT502" i="1"/>
  <c r="AT346" i="1"/>
  <c r="AT289" i="1"/>
  <c r="AT780" i="1"/>
  <c r="AT1431" i="1"/>
  <c r="AT1098" i="1"/>
  <c r="AT364" i="1"/>
  <c r="AT445" i="1"/>
  <c r="AT1248" i="1"/>
  <c r="AT206" i="1"/>
  <c r="AT732" i="1"/>
  <c r="AT1764" i="1"/>
  <c r="AT1053" i="1"/>
  <c r="AT949" i="1"/>
  <c r="AT188" i="1"/>
  <c r="AT1678" i="1"/>
  <c r="AT310" i="1"/>
  <c r="AT997" i="1"/>
  <c r="AT1511" i="1"/>
  <c r="AT1121" i="1"/>
  <c r="AT1751" i="1"/>
  <c r="AT692" i="1"/>
  <c r="AT1451" i="1"/>
  <c r="AT1182" i="1"/>
  <c r="AT1518" i="1"/>
  <c r="AT1683" i="1"/>
  <c r="AT640" i="1"/>
  <c r="AT1721" i="1"/>
  <c r="AT1637" i="1"/>
  <c r="AT1925" i="1"/>
  <c r="AT1406" i="1"/>
  <c r="AT1505" i="1"/>
  <c r="AT2002" i="1"/>
  <c r="AT1282" i="1"/>
  <c r="AT721" i="1"/>
  <c r="AT1512" i="1"/>
  <c r="AT351" i="1"/>
  <c r="AT34" i="1"/>
  <c r="AT696" i="1"/>
  <c r="AT224" i="1"/>
  <c r="AT703" i="1"/>
  <c r="AT542" i="1"/>
  <c r="AT325" i="1"/>
  <c r="AT1275" i="1"/>
  <c r="AT1979" i="1"/>
  <c r="AT1855" i="1"/>
  <c r="AT1987" i="1"/>
  <c r="AT1739" i="1"/>
  <c r="AT254" i="1"/>
  <c r="AT1318" i="1"/>
  <c r="AT1279" i="1"/>
  <c r="AT960" i="1"/>
  <c r="AT1149" i="1"/>
  <c r="AT1800" i="1"/>
  <c r="AT623" i="1"/>
  <c r="AT1723" i="1"/>
  <c r="AT1078" i="1"/>
  <c r="AT1865" i="1"/>
  <c r="AT955" i="1"/>
  <c r="AT654" i="1"/>
  <c r="AT1128" i="1"/>
  <c r="AT487" i="1"/>
  <c r="AT272" i="1"/>
  <c r="AT1940" i="1"/>
  <c r="AT113" i="1"/>
  <c r="AT27" i="1"/>
  <c r="AT1094" i="1"/>
  <c r="AT1483" i="1"/>
  <c r="AT1946" i="1"/>
  <c r="AT100" i="1"/>
  <c r="AT37" i="1"/>
  <c r="AT1158" i="1"/>
  <c r="AT14" i="1"/>
  <c r="AT441" i="1"/>
  <c r="AT1999" i="1"/>
  <c r="AT758" i="1"/>
  <c r="AT85" i="1"/>
  <c r="AT1268" i="1"/>
  <c r="AT604" i="1"/>
  <c r="AT481" i="1"/>
  <c r="AT1741" i="1"/>
  <c r="AT1085" i="1"/>
  <c r="AT606" i="1"/>
  <c r="AT1091" i="1"/>
  <c r="AT1680" i="1"/>
  <c r="AT2006" i="1"/>
  <c r="AT1734" i="1"/>
  <c r="AT958" i="1"/>
  <c r="AT1738" i="1"/>
  <c r="AT1599" i="1"/>
  <c r="AT1525" i="1"/>
  <c r="AT1316" i="1"/>
  <c r="AT144" i="1"/>
  <c r="AT1868" i="1"/>
  <c r="AT959" i="1"/>
  <c r="AT898" i="1"/>
  <c r="AT894" i="1"/>
  <c r="AT1533" i="1"/>
  <c r="AT522" i="1"/>
  <c r="AT610" i="1"/>
  <c r="AT1438" i="1"/>
  <c r="AT45" i="1"/>
  <c r="AT1289" i="1"/>
  <c r="AT1119" i="1"/>
  <c r="AT369" i="1"/>
  <c r="AT793" i="1"/>
  <c r="AT365" i="1"/>
  <c r="AT1096" i="1"/>
  <c r="AT1632" i="1"/>
  <c r="AT385" i="1"/>
  <c r="AT267" i="1"/>
  <c r="AT1689" i="1"/>
  <c r="AT1027" i="1"/>
  <c r="AT1100" i="1"/>
  <c r="AT735" i="1"/>
  <c r="AT1462" i="1"/>
  <c r="AT847" i="1"/>
  <c r="AT1439" i="1"/>
  <c r="AT1916" i="1"/>
  <c r="AT754" i="1"/>
  <c r="AT1345" i="1"/>
  <c r="AT901" i="1"/>
  <c r="AT731" i="1"/>
  <c r="AT1346" i="1"/>
  <c r="AT1437" i="1"/>
  <c r="AT1475" i="1"/>
  <c r="AT1663" i="1"/>
  <c r="AT1287" i="1"/>
  <c r="AT114" i="1"/>
  <c r="AT196" i="1"/>
  <c r="AT639" i="1"/>
  <c r="AT783" i="1"/>
  <c r="AT1994" i="1"/>
  <c r="AT1371" i="1"/>
  <c r="AT426" i="1"/>
  <c r="AT1168" i="1"/>
  <c r="AT256" i="1"/>
  <c r="AT853" i="1"/>
  <c r="AT594" i="1"/>
  <c r="AT827" i="1"/>
  <c r="AT907" i="1"/>
  <c r="AT409" i="1"/>
  <c r="AT619" i="1"/>
  <c r="AT442" i="1"/>
  <c r="AT1849" i="1"/>
  <c r="AT1151" i="1"/>
  <c r="AT1401" i="1"/>
  <c r="AT634" i="1"/>
  <c r="AT613" i="1"/>
  <c r="AT614" i="1"/>
  <c r="AT101" i="1"/>
  <c r="AT1054" i="1"/>
  <c r="AT787" i="1"/>
  <c r="AT1384" i="1"/>
  <c r="AT765" i="1"/>
  <c r="AT1129" i="1"/>
  <c r="AT53" i="1"/>
  <c r="AT1342" i="1"/>
  <c r="AT122" i="1"/>
  <c r="AT1568" i="1"/>
  <c r="AT1790" i="1"/>
  <c r="AT331" i="1"/>
  <c r="AT202" i="1"/>
  <c r="AT1737" i="1"/>
  <c r="AT251" i="1"/>
  <c r="AT824" i="1"/>
  <c r="AT356" i="1"/>
  <c r="AT1806" i="1"/>
  <c r="AT1609" i="1"/>
  <c r="AT217" i="1"/>
  <c r="AT653" i="1"/>
  <c r="AT467" i="1"/>
  <c r="AT1132" i="1"/>
  <c r="AT1135" i="1"/>
  <c r="AT509" i="1"/>
  <c r="AT833" i="1"/>
  <c r="AT667" i="1"/>
  <c r="AT1747" i="1"/>
  <c r="AT1220" i="1"/>
  <c r="AT1252" i="1"/>
  <c r="AT218" i="1"/>
  <c r="AT921" i="1"/>
  <c r="AT1880" i="1"/>
  <c r="AT1834" i="1"/>
  <c r="AT1286" i="1"/>
  <c r="AT1271" i="1"/>
  <c r="AT72" i="1"/>
  <c r="AT950" i="1"/>
  <c r="AT1822" i="1"/>
  <c r="AT75" i="1"/>
  <c r="AT1116" i="1"/>
  <c r="AT1948" i="1"/>
  <c r="AT1799" i="1"/>
  <c r="AT1444" i="1"/>
  <c r="AT1894" i="1"/>
  <c r="AT778" i="1"/>
  <c r="AT1550" i="1"/>
  <c r="AT168" i="1"/>
  <c r="AT1344" i="1"/>
  <c r="AT923" i="1"/>
  <c r="AT137" i="1"/>
  <c r="AT1753" i="1"/>
  <c r="AT287" i="1"/>
  <c r="AT1624" i="1"/>
  <c r="AT109" i="1"/>
  <c r="AT523" i="1"/>
  <c r="AT722" i="1"/>
  <c r="AT1134" i="1"/>
  <c r="AT1066" i="1"/>
  <c r="AT628" i="1"/>
  <c r="AT1794" i="1"/>
  <c r="AT1126" i="1"/>
  <c r="AT1468" i="1"/>
  <c r="AT1231" i="1"/>
  <c r="AT1465" i="1"/>
  <c r="AT1433" i="1"/>
  <c r="AT670" i="1"/>
  <c r="AT1474" i="1"/>
  <c r="AT715" i="1"/>
  <c r="AT1055" i="1"/>
  <c r="AT1995" i="1"/>
  <c r="AT1161" i="1"/>
  <c r="AT989" i="1"/>
  <c r="AT1222" i="1"/>
  <c r="AT1150" i="1"/>
  <c r="AT1411" i="1"/>
  <c r="AT1385" i="1"/>
  <c r="AT1811" i="1"/>
  <c r="AT194" i="1"/>
  <c r="AT764" i="1"/>
  <c r="AT1013" i="1"/>
  <c r="AT1493" i="1"/>
  <c r="AT1374" i="1"/>
  <c r="AT23" i="1"/>
  <c r="AT345" i="1"/>
  <c r="AT1621" i="1"/>
  <c r="AT485" i="1"/>
  <c r="AT1963" i="1"/>
  <c r="AT1882" i="1"/>
  <c r="AT1337" i="1"/>
  <c r="AT1810" i="1"/>
  <c r="AT1682" i="1"/>
  <c r="AT1761" i="1"/>
  <c r="AT736" i="1"/>
  <c r="AT306" i="1"/>
  <c r="AT804" i="1"/>
  <c r="AT1103" i="1"/>
  <c r="AT1890" i="1"/>
  <c r="AT1862" i="1"/>
  <c r="AT1707" i="1"/>
  <c r="AT143" i="1"/>
  <c r="AT1373" i="1"/>
  <c r="AT887" i="1"/>
  <c r="AT1950" i="1"/>
  <c r="AT726" i="1"/>
  <c r="AT1202" i="1"/>
  <c r="AT1575" i="1"/>
  <c r="AT943" i="1"/>
  <c r="AT1748" i="1"/>
  <c r="AT984" i="1"/>
  <c r="AT1209" i="1"/>
  <c r="AT330" i="1"/>
  <c r="AT1482" i="1"/>
  <c r="AT312" i="1"/>
  <c r="AT1992" i="1"/>
  <c r="AT329" i="1"/>
  <c r="AT552" i="1"/>
  <c r="AT1586" i="1"/>
  <c r="AT1757" i="1"/>
  <c r="AT566" i="1"/>
  <c r="AT414" i="1"/>
  <c r="AT1224" i="1"/>
  <c r="AT83" i="1"/>
  <c r="AT1229" i="1"/>
  <c r="AT99" i="1"/>
  <c r="AT925" i="1"/>
  <c r="AT750" i="1"/>
  <c r="AT498" i="1"/>
  <c r="AT266" i="1"/>
  <c r="AT738" i="1"/>
  <c r="AT1230" i="1"/>
  <c r="AT235" i="1"/>
  <c r="AT1181" i="1"/>
  <c r="AT3" i="1"/>
  <c r="AT935" i="1"/>
  <c r="AT401" i="1"/>
  <c r="AT632" i="1"/>
  <c r="AT8" i="1"/>
  <c r="AT1732" i="1"/>
  <c r="AT587" i="1"/>
  <c r="AT1114" i="1"/>
  <c r="AT1137" i="1"/>
  <c r="AT799" i="1"/>
  <c r="AT532" i="1"/>
  <c r="AT1190" i="1"/>
  <c r="AT922" i="1"/>
  <c r="AT825" i="1"/>
  <c r="AT1369" i="1"/>
  <c r="AT1793" i="1"/>
  <c r="AT1687" i="1"/>
  <c r="AT1228" i="1"/>
  <c r="AT1908" i="1"/>
  <c r="AT1767" i="1"/>
  <c r="AT946" i="1"/>
  <c r="AT826" i="1"/>
  <c r="AT835" i="1"/>
  <c r="AT609" i="1"/>
  <c r="AT421" i="1"/>
  <c r="AT1805" i="1"/>
  <c r="AT386" i="1"/>
  <c r="AT315" i="1"/>
  <c r="AT1491" i="1"/>
  <c r="AT389" i="1"/>
  <c r="AT593" i="1"/>
  <c r="AT363" i="1"/>
  <c r="AT904" i="1"/>
  <c r="AT1485" i="1"/>
  <c r="AT398" i="1"/>
  <c r="AT605" i="1"/>
  <c r="AT60" i="1"/>
  <c r="AT175" i="1"/>
  <c r="AT348" i="1"/>
  <c r="AT1082" i="1"/>
  <c r="AT470" i="1"/>
  <c r="AT1360" i="1"/>
  <c r="AT1842" i="1"/>
  <c r="AT1218" i="1"/>
  <c r="AT759" i="1"/>
  <c r="AT1050" i="1"/>
  <c r="AT1866" i="1"/>
  <c r="AT806" i="1"/>
  <c r="AT205" i="1"/>
  <c r="AT402" i="1"/>
  <c r="AT513" i="1"/>
  <c r="AT521" i="1"/>
  <c r="AT28" i="1"/>
  <c r="AT1364" i="1"/>
  <c r="AT1567" i="1"/>
  <c r="AT1351" i="1"/>
  <c r="AT672" i="1"/>
  <c r="AT1815" i="1"/>
  <c r="AT945" i="1"/>
  <c r="AT1628" i="1"/>
  <c r="AT530" i="1"/>
  <c r="AT1049" i="1"/>
  <c r="AT212" i="1"/>
  <c r="AT62" i="1"/>
  <c r="AT1817" i="1"/>
  <c r="AT828" i="1"/>
  <c r="AT1269" i="1"/>
  <c r="AT486" i="1"/>
  <c r="AT519" i="1"/>
  <c r="AT1939" i="1"/>
  <c r="AT305" i="1"/>
  <c r="AT2011" i="1"/>
  <c r="AT182" i="1"/>
  <c r="AT236" i="1"/>
  <c r="AT899" i="1"/>
  <c r="AT31" i="1"/>
  <c r="AT1617" i="1"/>
  <c r="AT1029" i="1"/>
  <c r="AT1304" i="1"/>
  <c r="AT231" i="1"/>
  <c r="AT336" i="1"/>
  <c r="AT589" i="1"/>
  <c r="AT570" i="1"/>
  <c r="AT1952" i="1"/>
  <c r="AT709" i="1"/>
  <c r="AT717" i="1"/>
  <c r="AT1630" i="1"/>
  <c r="AT1164" i="1"/>
  <c r="AT1429" i="1"/>
  <c r="AT121" i="1"/>
  <c r="AT115" i="1"/>
  <c r="AT1971" i="1"/>
  <c r="AT273" i="1"/>
  <c r="AT1629" i="1"/>
  <c r="AT456" i="1"/>
  <c r="AT89" i="1"/>
  <c r="AT1064" i="1"/>
  <c r="AT141" i="1"/>
  <c r="AT226" i="1"/>
  <c r="AT408" i="1"/>
  <c r="AT723" i="1"/>
  <c r="AT846" i="1"/>
  <c r="AT1352" i="1"/>
  <c r="AT1477" i="1"/>
  <c r="AT1524" i="1"/>
  <c r="AT406" i="1"/>
  <c r="AT164" i="1"/>
  <c r="AT1673" i="1"/>
  <c r="AT271" i="1"/>
  <c r="AT1153" i="1"/>
  <c r="AT234" i="1"/>
  <c r="AT357" i="1"/>
  <c r="AT1188" i="1"/>
  <c r="AT771" i="1"/>
  <c r="AT505" i="1"/>
  <c r="AT210" i="1"/>
  <c r="AT1332" i="1"/>
  <c r="AT1622" i="1"/>
  <c r="AT2017" i="1"/>
  <c r="AT1413" i="1"/>
  <c r="AT1400" i="1"/>
  <c r="AT277" i="1"/>
  <c r="AT1080" i="1"/>
  <c r="AT511" i="1"/>
  <c r="AT302" i="1"/>
  <c r="AT1515" i="1"/>
  <c r="AT1934" i="1"/>
  <c r="AT1725" i="1"/>
  <c r="AT1693" i="1"/>
  <c r="AT1920" i="1"/>
  <c r="AT1981" i="1"/>
  <c r="AT1330" i="1"/>
  <c r="AT1259" i="1"/>
  <c r="AT1355" i="1"/>
  <c r="AT480" i="1"/>
  <c r="AT142" i="1"/>
  <c r="AT1763" i="1"/>
  <c r="AT1032" i="1"/>
  <c r="AT1217" i="1"/>
  <c r="AT829" i="1"/>
  <c r="AT568" i="1"/>
  <c r="AT802" i="1"/>
  <c r="AT265" i="1"/>
  <c r="AT1953" i="1"/>
  <c r="AT737" i="1"/>
  <c r="AT1216" i="1"/>
  <c r="AT1645" i="1"/>
  <c r="AT153" i="1"/>
  <c r="AT751" i="1"/>
  <c r="AT1068" i="1"/>
  <c r="AT883" i="1"/>
  <c r="AT963" i="1"/>
  <c r="AT798" i="1"/>
  <c r="AT507" i="1"/>
  <c r="AT1339" i="1"/>
  <c r="AT1924" i="1"/>
  <c r="AT270" i="1"/>
  <c r="AT1048" i="1"/>
  <c r="AT18" i="1"/>
  <c r="AT622" i="1"/>
  <c r="AT1703" i="1"/>
  <c r="AT1576" i="1"/>
  <c r="AT626" i="1"/>
  <c r="AT1818" i="1"/>
  <c r="AT209" i="1"/>
  <c r="AT1913" i="1"/>
  <c r="AT544" i="1"/>
  <c r="AT437" i="1"/>
  <c r="AT204" i="1"/>
  <c r="AT1504" i="1"/>
  <c r="AT394" i="1"/>
  <c r="AT1966" i="1"/>
  <c r="AT915" i="1"/>
  <c r="AT659" i="1"/>
  <c r="AT905" i="1"/>
  <c r="AT1832" i="1"/>
  <c r="AT1581" i="1"/>
  <c r="AT551" i="1"/>
  <c r="AT1087" i="1"/>
  <c r="AT110" i="1"/>
  <c r="AT1170" i="1"/>
  <c r="AT876" i="1"/>
  <c r="AT1676" i="1"/>
  <c r="AT1394" i="1"/>
  <c r="AT1937" i="1"/>
  <c r="AT123" i="1"/>
  <c r="AT130" i="1"/>
  <c r="AT431" i="1"/>
  <c r="AT965" i="1"/>
  <c r="AT1101" i="1"/>
  <c r="AT1986" i="1"/>
  <c r="AT1095" i="1"/>
  <c r="AT132" i="1"/>
  <c r="AT1730" i="1"/>
  <c r="AT1172" i="1"/>
  <c r="AT753" i="1"/>
  <c r="AT1448" i="1"/>
  <c r="AT893" i="1"/>
  <c r="AT1494" i="1"/>
  <c r="AT57" i="1"/>
  <c r="AT1897" i="1"/>
  <c r="AT1255" i="1"/>
  <c r="AT1893" i="1"/>
  <c r="AT1396" i="1"/>
  <c r="AT1073" i="1"/>
  <c r="AT843" i="1"/>
  <c r="AT1303" i="1"/>
  <c r="AT1929" i="1"/>
  <c r="AT972" i="1"/>
  <c r="AT1702" i="1"/>
  <c r="AT311" i="1"/>
  <c r="AT747" i="1"/>
  <c r="AT1914" i="1"/>
  <c r="AT1293" i="1"/>
  <c r="AT733" i="1"/>
  <c r="AT179" i="1"/>
  <c r="AT1312" i="1"/>
  <c r="AT1366" i="1"/>
  <c r="AT73" i="1"/>
  <c r="AT1965" i="1"/>
  <c r="AT1858" i="1"/>
  <c r="AT1538" i="1"/>
  <c r="AT1508" i="1"/>
  <c r="AT1025" i="1"/>
  <c r="AT116" i="1"/>
  <c r="AT1247" i="1"/>
  <c r="AT1357" i="1"/>
  <c r="AT1062" i="1"/>
  <c r="AT358" i="1"/>
  <c r="AT1681" i="1"/>
  <c r="AT1058" i="1"/>
  <c r="AT203" i="1"/>
  <c r="AT1769" i="1"/>
  <c r="AT926" i="1"/>
  <c r="AT708" i="1"/>
  <c r="AT438" i="1"/>
  <c r="AT1492" i="1"/>
  <c r="AT1891" i="1"/>
  <c r="AT155" i="1"/>
  <c r="AT962" i="1"/>
  <c r="AT382" i="1"/>
  <c r="AT524" i="1"/>
  <c r="AT822" i="1"/>
  <c r="AT66" i="1"/>
  <c r="AT67" i="1"/>
  <c r="AT1214" i="1"/>
  <c r="AT1133" i="1"/>
  <c r="AT745" i="1"/>
  <c r="AT201" i="1"/>
  <c r="AT211" i="1"/>
  <c r="AT1042" i="1"/>
  <c r="AT1559" i="1"/>
  <c r="AT9" i="1"/>
  <c r="AT466" i="1"/>
  <c r="AT297" i="1"/>
  <c r="AT1363" i="1"/>
  <c r="AT276" i="1"/>
  <c r="AT1251" i="1"/>
  <c r="AT263" i="1"/>
  <c r="AT1417" i="1"/>
  <c r="AT1667" i="1"/>
  <c r="AT334" i="1"/>
  <c r="AT1430" i="1"/>
  <c r="AT195" i="1"/>
  <c r="AT246" i="1"/>
  <c r="AT569" i="1"/>
  <c r="AT163" i="1"/>
  <c r="AT1142" i="1"/>
  <c r="AT697" i="1"/>
  <c r="AT1804" i="1"/>
  <c r="AT1651" i="1"/>
  <c r="AT301" i="1"/>
  <c r="AT591" i="1"/>
  <c r="AT932" i="1"/>
  <c r="AT763" i="1"/>
  <c r="AT698" i="1"/>
  <c r="AT931" i="1"/>
  <c r="AT96" i="1"/>
  <c r="AT22" i="1"/>
  <c r="AT1728" i="1"/>
  <c r="AT600" i="1"/>
  <c r="AT814" i="1"/>
  <c r="AT565" i="1"/>
  <c r="AT1395" i="1"/>
  <c r="AT578" i="1"/>
  <c r="AT1770" i="1"/>
  <c r="AT1007" i="1"/>
  <c r="AT1262" i="1"/>
  <c r="AT1314" i="1"/>
  <c r="AT1173" i="1"/>
  <c r="AT1969" i="1"/>
  <c r="AT808" i="1"/>
  <c r="AT1026" i="1"/>
  <c r="AT807" i="1"/>
  <c r="AT996" i="1"/>
  <c r="AT547" i="1"/>
  <c r="AT1035" i="1"/>
  <c r="AT1377" i="1"/>
  <c r="AT1383" i="1"/>
  <c r="AT1056" i="1"/>
  <c r="AT975" i="1"/>
  <c r="AT19" i="1"/>
  <c r="AT1626" i="1"/>
  <c r="AT1589" i="1"/>
  <c r="AT1238" i="1"/>
  <c r="AT65" i="1"/>
  <c r="AT1388" i="1"/>
  <c r="AT1972" i="1"/>
  <c r="AT844" i="1"/>
  <c r="AT145" i="1"/>
  <c r="AT97" i="1"/>
  <c r="AT124" i="1"/>
  <c r="AT1615" i="1"/>
  <c r="AT1041" i="1"/>
  <c r="AT1210" i="1"/>
  <c r="AT1957" i="1"/>
  <c r="AT1610" i="1"/>
  <c r="AT186" i="1"/>
  <c r="AT633" i="1"/>
  <c r="AT104" i="1"/>
  <c r="AT233" i="1"/>
  <c r="AT156" i="1"/>
  <c r="AT1616" i="1"/>
  <c r="AT82" i="1"/>
  <c r="AT1854" i="1"/>
  <c r="AT1308" i="1"/>
  <c r="AT616" i="1"/>
  <c r="AT700" i="1"/>
  <c r="AT227" i="1"/>
  <c r="AT994" i="1"/>
  <c r="AT1243" i="1"/>
  <c r="AT446" i="1"/>
  <c r="AT12" i="1"/>
  <c r="AT873" i="1"/>
  <c r="AT1878" i="1"/>
  <c r="AT1570" i="1"/>
  <c r="AT1601" i="1"/>
  <c r="AT677" i="1"/>
  <c r="AT1949" i="1"/>
  <c r="AT1548" i="1"/>
  <c r="AT420" i="1"/>
  <c r="AT1081" i="1"/>
  <c r="AT1717" i="1"/>
  <c r="AT1620" i="1"/>
  <c r="AT1463" i="1"/>
  <c r="AT518" i="1"/>
  <c r="AT328" i="1"/>
  <c r="AT579" i="1"/>
  <c r="AT1664" i="1"/>
  <c r="AT1592" i="1"/>
  <c r="AT1579" i="1"/>
  <c r="AT1768" i="1"/>
  <c r="AT705" i="1"/>
  <c r="AT1644" i="1"/>
  <c r="AT1961" i="1"/>
  <c r="AT912" i="1"/>
  <c r="AT1758" i="1"/>
  <c r="AT1980" i="1"/>
  <c r="AT1713" i="1"/>
  <c r="AT588" i="1"/>
  <c r="AT257" i="1"/>
  <c r="AT30" i="1"/>
  <c r="AT361" i="1"/>
  <c r="AT1696" i="1"/>
  <c r="AT1298" i="1"/>
  <c r="AT1536" i="1"/>
  <c r="AT1175" i="1"/>
  <c r="AT1503" i="1"/>
  <c r="AT1203" i="1"/>
  <c r="AT791" i="1"/>
  <c r="AT1488" i="1"/>
  <c r="AT1876" i="1"/>
  <c r="AT242" i="1"/>
  <c r="AT1542" i="1"/>
  <c r="AT1658" i="1"/>
  <c r="AT1643" i="1"/>
  <c r="AT458" i="1"/>
  <c r="AT1530" i="1"/>
  <c r="AT1266" i="1"/>
  <c r="AT1780" i="1"/>
  <c r="AT374" i="1"/>
  <c r="AT1833" i="1"/>
  <c r="AT1782" i="1"/>
  <c r="AT298" i="1"/>
  <c r="AT1313" i="1"/>
  <c r="AT631" i="1"/>
  <c r="AT324" i="1"/>
  <c r="AT353" i="1"/>
  <c r="AT766" i="1"/>
  <c r="AT674" i="1"/>
  <c r="AT854" i="1"/>
  <c r="AT1546" i="1"/>
  <c r="AT658" i="1"/>
  <c r="AT1984" i="1"/>
  <c r="AT68" i="1"/>
  <c r="AT684" i="1"/>
  <c r="AT1578" i="1"/>
  <c r="AT370" i="1"/>
  <c r="AT548" i="1"/>
  <c r="AT834" i="1"/>
  <c r="AT1469" i="1"/>
  <c r="AT800" i="1"/>
  <c r="AT56" i="1"/>
  <c r="AT51" i="1"/>
  <c r="AT1798" i="1"/>
  <c r="AT1077" i="1"/>
  <c r="AT1347" i="1"/>
  <c r="AT392" i="1"/>
  <c r="AT1517" i="1"/>
  <c r="AT199" i="1"/>
  <c r="AT1349" i="1"/>
  <c r="AT243" i="1"/>
  <c r="AT944" i="1"/>
  <c r="AT1875" i="1"/>
  <c r="AT93" i="1"/>
  <c r="AT1237" i="1"/>
  <c r="AT323" i="1"/>
  <c r="AT64" i="1"/>
  <c r="AT1425" i="1"/>
  <c r="AT1452" i="1"/>
  <c r="AT890" i="1"/>
  <c r="AT714" i="1"/>
  <c r="AT410" i="1"/>
  <c r="AT112" i="1"/>
  <c r="AT1773" i="1"/>
  <c r="AT860" i="1"/>
  <c r="AT81" i="1"/>
  <c r="AT942" i="1"/>
  <c r="AT1410" i="1"/>
  <c r="AT993" i="1"/>
  <c r="AT1736" i="1"/>
  <c r="AT249" i="1"/>
  <c r="AT1104" i="1"/>
  <c r="AT629" i="1"/>
  <c r="AT618" i="1"/>
  <c r="AT244" i="1"/>
  <c r="AT105" i="1"/>
  <c r="AT948" i="1"/>
  <c r="AT1968" i="1"/>
  <c r="AT517" i="1"/>
  <c r="AT1597" i="1"/>
  <c r="AT1044" i="1"/>
  <c r="AT1527" i="1"/>
  <c r="AT1144" i="1"/>
  <c r="AT546" i="1"/>
  <c r="AT1670" i="1"/>
  <c r="AT1018" i="1"/>
  <c r="AT1102" i="1"/>
  <c r="AT1232" i="1"/>
  <c r="AT1449" i="1"/>
  <c r="AT304" i="1"/>
  <c r="AT1148" i="1"/>
  <c r="AT1679" i="1"/>
  <c r="AT450" i="1"/>
  <c r="AT636" i="1"/>
  <c r="AT1843" i="1"/>
  <c r="AT1291" i="1"/>
  <c r="AT299" i="1"/>
  <c r="AT264" i="1"/>
  <c r="AT1072" i="1"/>
  <c r="AT1522" i="1"/>
  <c r="AT76" i="1"/>
  <c r="AT1112" i="1"/>
  <c r="AT1445" i="1"/>
  <c r="AT1918" i="1"/>
  <c r="AT1661" i="1"/>
  <c r="AT473" i="1"/>
  <c r="AT1923" i="1"/>
  <c r="AT1300" i="1"/>
  <c r="AT992" i="1"/>
  <c r="AT906" i="1"/>
  <c r="AT1788" i="1"/>
  <c r="AT564" i="1"/>
  <c r="AT590" i="1"/>
  <c r="AT2009" i="1"/>
  <c r="AT90" i="1"/>
  <c r="AT990" i="1"/>
  <c r="AT1909" i="1"/>
  <c r="AT1177" i="1"/>
  <c r="AT526" i="1"/>
  <c r="AT191" i="1"/>
  <c r="AT924" i="1"/>
  <c r="AT1273" i="1"/>
  <c r="AT811" i="1"/>
  <c r="AT108" i="1"/>
  <c r="AT1382" i="1"/>
  <c r="AT706" i="1"/>
  <c r="AT1115" i="1"/>
  <c r="AT1584" i="1"/>
  <c r="AT248" i="1"/>
  <c r="AT126" i="1"/>
  <c r="AT1716" i="1"/>
  <c r="AT230" i="1"/>
  <c r="AT644" i="1"/>
  <c r="AT1869" i="1"/>
  <c r="AT1187" i="1"/>
  <c r="AT1690" i="1"/>
  <c r="AT929" i="1"/>
  <c r="AT1755" i="1"/>
  <c r="AT24" i="1"/>
  <c r="AT1196" i="1"/>
  <c r="AT1341" i="1"/>
  <c r="AT961" i="1"/>
  <c r="AT1993" i="1"/>
  <c r="AT1807" i="1"/>
  <c r="AT1883" i="1"/>
  <c r="AT1272" i="1"/>
  <c r="AT784" i="1"/>
  <c r="AT1719" i="1"/>
  <c r="AT1199" i="1"/>
  <c r="AT192" i="1"/>
  <c r="AT601" i="1"/>
  <c r="AT864" i="1"/>
  <c r="AT776" i="1"/>
  <c r="AT1285" i="1"/>
  <c r="AT554" i="1"/>
  <c r="AT197" i="1"/>
  <c r="AT839" i="1"/>
  <c r="AT927" i="1"/>
  <c r="AT879" i="1"/>
  <c r="AT1067" i="1"/>
  <c r="AT399" i="1"/>
  <c r="AT1084" i="1"/>
  <c r="AT1606" i="1"/>
  <c r="AT1434" i="1"/>
  <c r="AT1557" i="1"/>
  <c r="AT1370" i="1"/>
  <c r="AT671" i="1"/>
  <c r="AT439" i="1"/>
  <c r="AT253" i="1"/>
  <c r="AT886" i="1"/>
  <c r="AT1324" i="1"/>
  <c r="AT760" i="1"/>
  <c r="AT1650" i="1"/>
  <c r="AT1625" i="1"/>
  <c r="AT2001" i="1"/>
  <c r="AT1821" i="1"/>
  <c r="AT228" i="1"/>
  <c r="AT1361" i="1"/>
  <c r="AT1672" i="1"/>
  <c r="AT495" i="1"/>
  <c r="AT491" i="1"/>
  <c r="AT1879" i="1"/>
  <c r="AT938" i="1"/>
  <c r="AT1507" i="1"/>
  <c r="AT1256" i="1"/>
  <c r="AT1419" i="1"/>
  <c r="AT1320" i="1"/>
  <c r="AT1749" i="1"/>
  <c r="AT1476" i="1"/>
  <c r="AT662" i="1"/>
  <c r="AT967" i="1"/>
  <c r="AT74" i="1"/>
  <c r="AT1325" i="1"/>
  <c r="AT1809" i="1"/>
  <c r="AT823" i="1"/>
  <c r="AT464" i="1"/>
  <c r="AT423" i="1"/>
  <c r="AT1781" i="1"/>
  <c r="AT1985" i="1"/>
  <c r="AT2005" i="1"/>
  <c r="AT1399" i="1"/>
  <c r="AT1933" i="1"/>
  <c r="AT642" i="1"/>
  <c r="AT344" i="1"/>
  <c r="AT630" i="1"/>
  <c r="AT436" i="1"/>
  <c r="AT478" i="1"/>
  <c r="AT939" i="1"/>
  <c r="AT742" i="1"/>
  <c r="AT482" i="1"/>
  <c r="AT1414" i="1"/>
  <c r="AT219" i="1"/>
  <c r="AT29" i="1"/>
  <c r="AT262" i="1"/>
  <c r="AT1727" i="1"/>
  <c r="AT1225" i="1"/>
  <c r="AT1006" i="1"/>
  <c r="AT1945" i="1"/>
  <c r="AT1284" i="1"/>
  <c r="AT80" i="1"/>
  <c r="AT585" i="1"/>
  <c r="AT688" i="1"/>
  <c r="AT1441" i="1"/>
  <c r="AT889" i="1"/>
  <c r="AT1885" i="1"/>
  <c r="AT611" i="1"/>
  <c r="AT1479" i="1"/>
  <c r="AT1403" i="1"/>
  <c r="AT288" i="1"/>
  <c r="AT1176" i="1"/>
  <c r="AT166" i="1"/>
  <c r="AT695" i="1"/>
  <c r="AT1529" i="1"/>
  <c r="AT1020" i="1"/>
  <c r="AT1427" i="1"/>
  <c r="AT1618" i="1"/>
  <c r="AT875" i="1"/>
  <c r="AT1171" i="1"/>
  <c r="AT94" i="1"/>
  <c r="AT607" i="1"/>
  <c r="AT1772" i="1"/>
  <c r="AT1295" i="1"/>
  <c r="AT1281" i="1"/>
  <c r="AT1130" i="1"/>
  <c r="AT831" i="1"/>
  <c r="AT1595" i="1"/>
  <c r="AT869" i="1"/>
  <c r="AT222" i="1"/>
  <c r="AT2010" i="1"/>
  <c r="AT1453" i="1"/>
  <c r="AT1264" i="1"/>
  <c r="AT290" i="1"/>
  <c r="AT781" i="1"/>
  <c r="AT1060" i="1"/>
  <c r="AT148" i="1"/>
  <c r="AT388" i="1"/>
  <c r="AT794" i="1"/>
  <c r="AT663" i="1"/>
  <c r="AT427" i="1"/>
  <c r="AT1249" i="1"/>
  <c r="AT501" i="1"/>
  <c r="AT772" i="1"/>
  <c r="AT1820" i="1"/>
  <c r="AT1180" i="1"/>
  <c r="AT1192" i="1"/>
  <c r="AT1455" i="1"/>
  <c r="AT139" i="1"/>
  <c r="AT1221" i="1"/>
  <c r="AT440" i="1"/>
  <c r="AT1460" i="1"/>
  <c r="AT1956" i="1"/>
  <c r="AT514" i="1"/>
  <c r="AT1409" i="1"/>
  <c r="AT1208" i="1"/>
  <c r="AT1921" i="1"/>
  <c r="AT349" i="1"/>
  <c r="AT1786" i="1"/>
  <c r="AT1120" i="1"/>
  <c r="AT539" i="1"/>
  <c r="AT49" i="1"/>
  <c r="AT260" i="1"/>
  <c r="AT1015" i="1"/>
  <c r="AT281" i="1"/>
  <c r="AT1052" i="1"/>
  <c r="AT1459" i="1"/>
  <c r="AT1381" i="1"/>
  <c r="AT1097" i="1"/>
  <c r="AT1276" i="1"/>
  <c r="AT767" i="1"/>
  <c r="AT1591" i="1"/>
  <c r="AT1846" i="1"/>
  <c r="AT1836" i="1"/>
  <c r="AT716" i="1"/>
  <c r="AT245" i="1"/>
  <c r="AT286" i="1"/>
  <c r="AT1943" i="1"/>
  <c r="AT575" i="1"/>
  <c r="AT335" i="1"/>
  <c r="AT571" i="1"/>
  <c r="AT1446" i="1"/>
  <c r="AT489" i="1"/>
  <c r="AT160" i="1"/>
  <c r="AT1638" i="1"/>
  <c r="AT838" i="1"/>
  <c r="AT1951" i="1"/>
  <c r="AT987" i="1"/>
  <c r="AT666" i="1"/>
  <c r="AT789" i="1"/>
  <c r="AT493" i="1"/>
  <c r="AT1147" i="1"/>
  <c r="AT1466" i="1"/>
  <c r="AT615" i="1"/>
  <c r="AT852" i="1"/>
  <c r="AT1093" i="1"/>
  <c r="AT1083" i="1"/>
  <c r="AT911" i="1"/>
  <c r="AT1140" i="1"/>
  <c r="AT896" i="1"/>
  <c r="AT1906" i="1"/>
  <c r="AT863" i="1"/>
  <c r="AT1235" i="1"/>
  <c r="AT995" i="1"/>
  <c r="AT1927" i="1"/>
  <c r="AT38" i="1"/>
  <c r="AT1212" i="1"/>
  <c r="AT969" i="1"/>
  <c r="AT1902" i="1"/>
  <c r="AT1440" i="1"/>
  <c r="AT1336" i="1"/>
  <c r="AT1743" i="1"/>
  <c r="AT712" i="1"/>
  <c r="AT1398" i="1"/>
  <c r="AT1812" i="1"/>
  <c r="AT1057" i="1"/>
  <c r="AT801" i="1"/>
  <c r="AT1541" i="1"/>
  <c r="AT1566" i="1"/>
  <c r="AT1257" i="1"/>
  <c r="AT1521" i="1"/>
  <c r="AT643" i="1"/>
  <c r="AT936" i="1"/>
  <c r="AT1573" i="1"/>
  <c r="AT553" i="1"/>
  <c r="AT1305" i="1"/>
  <c r="AT198" i="1"/>
  <c r="AT1539" i="1"/>
  <c r="AT840" i="1"/>
  <c r="AT690" i="1"/>
  <c r="AT1540" i="1"/>
  <c r="AT1861" i="1"/>
  <c r="AT1596" i="1"/>
  <c r="AT391" i="1"/>
  <c r="AT964" i="1"/>
  <c r="AT1783" i="1"/>
  <c r="AT1590" i="1"/>
  <c r="AT1290" i="1"/>
  <c r="AT1484" i="1"/>
  <c r="AT1194" i="1"/>
  <c r="AT1701" i="1"/>
  <c r="AT15" i="1"/>
  <c r="AT1585" i="1"/>
  <c r="AT543" i="1"/>
  <c r="AT1688" i="1"/>
  <c r="AT1544" i="1"/>
  <c r="AT910" i="1"/>
  <c r="AT1691" i="1"/>
  <c r="AT1604" i="1"/>
  <c r="AT1910" i="1"/>
  <c r="AT221" i="1"/>
  <c r="AT151" i="1"/>
  <c r="AT657" i="1"/>
  <c r="AT200" i="1"/>
  <c r="AT1039" i="1"/>
  <c r="AT316" i="1"/>
  <c r="AT559" i="1"/>
  <c r="AT1200" i="1"/>
  <c r="AT213" i="1"/>
  <c r="AT293" i="1"/>
  <c r="AT1408" i="1"/>
  <c r="AT1185" i="1"/>
  <c r="AT1292" i="1"/>
  <c r="AT1823" i="1"/>
  <c r="AT16" i="1"/>
  <c r="AT1001" i="1"/>
  <c r="AT701" i="1"/>
  <c r="AT882" i="1"/>
  <c r="AT1973" i="1"/>
  <c r="AT1754" i="1"/>
  <c r="AT1113" i="1"/>
  <c r="AT1106" i="1"/>
  <c r="AT1432" i="1"/>
  <c r="AT597" i="1"/>
  <c r="AT1896" i="1"/>
  <c r="AT1588" i="1"/>
  <c r="AT1608" i="1"/>
  <c r="AT150" i="1"/>
  <c r="AT675" i="1"/>
  <c r="AT1457" i="1"/>
  <c r="AT797" i="1"/>
  <c r="AT891" i="1"/>
  <c r="AT908" i="1"/>
  <c r="AT1938" i="1"/>
  <c r="AT1942" i="1"/>
  <c r="AT461" i="1"/>
  <c r="AT534" i="1"/>
  <c r="AT178" i="1"/>
  <c r="AT739" i="1"/>
  <c r="AT465" i="1"/>
  <c r="AT1071" i="1"/>
  <c r="AT777" i="1"/>
  <c r="AT1367" i="1"/>
  <c r="AT44" i="1"/>
  <c r="AT832" i="1"/>
  <c r="AT1487" i="1"/>
  <c r="AT411" i="1"/>
  <c r="AT1634" i="1"/>
  <c r="AT991" i="1"/>
  <c r="AT538" i="1"/>
  <c r="AT337" i="1"/>
  <c r="AT980" i="1"/>
  <c r="AT1322" i="1"/>
  <c r="AT956" i="1"/>
  <c r="AT720" i="1"/>
  <c r="AT429" i="1"/>
  <c r="AT874" i="1"/>
  <c r="AT1156" i="1"/>
  <c r="AT183" i="1"/>
  <c r="AT1004" i="1"/>
  <c r="AT503" i="1"/>
  <c r="AT138" i="1"/>
  <c r="AT1560" i="1"/>
  <c r="AT1009" i="1"/>
  <c r="AT941" i="1"/>
  <c r="AT1473" i="1"/>
  <c r="AT1802" i="1"/>
  <c r="AT50" i="1"/>
  <c r="AT340" i="1"/>
  <c r="AT1467" i="1"/>
  <c r="AT2020" i="1"/>
  <c r="AT812" i="1"/>
  <c r="AT161" i="1"/>
  <c r="AT1808" i="1"/>
  <c r="AT237" i="1"/>
  <c r="AT1955" i="1"/>
  <c r="AT866" i="1"/>
  <c r="AT1030" i="1"/>
  <c r="AT558" i="1"/>
  <c r="AT1183" i="1"/>
  <c r="AT1857" i="1"/>
  <c r="AT1856" i="1"/>
  <c r="AT2000" i="1"/>
  <c r="AT378" i="1"/>
  <c r="AT515" i="1"/>
  <c r="AT818" i="1"/>
  <c r="AT1631" i="1"/>
  <c r="AT494" i="1"/>
  <c r="AT383" i="1"/>
  <c r="AT1076" i="1"/>
  <c r="AT1045" i="1"/>
  <c r="AT1206" i="1"/>
  <c r="AT1253" i="1"/>
  <c r="AT661" i="1"/>
  <c r="AT1480" i="1"/>
  <c r="AT918" i="1"/>
  <c r="AT225" i="1"/>
  <c r="AT710" i="1"/>
  <c r="AT1519" i="1"/>
  <c r="AT1186" i="1"/>
  <c r="AT1671" i="1"/>
  <c r="AT1826" i="1"/>
  <c r="AT537" i="1"/>
  <c r="AT1829" i="1"/>
  <c r="AT419" i="1"/>
  <c r="AT1219" i="1"/>
  <c r="AT1193" i="1"/>
  <c r="AT694" i="1"/>
  <c r="AT497" i="1"/>
  <c r="AT979" i="1"/>
  <c r="AT492" i="1"/>
  <c r="AT25" i="1"/>
  <c r="AT1774" i="1"/>
  <c r="AT1497" i="1"/>
  <c r="AT1195" i="1"/>
  <c r="AT176" i="1"/>
  <c r="AT762" i="1"/>
  <c r="AT1640" i="1"/>
  <c r="AT229" i="1"/>
  <c r="AT146" i="1"/>
  <c r="AT1223" i="1"/>
  <c r="AT103" i="1"/>
  <c r="AT1547" i="1"/>
  <c r="AT1450" i="1"/>
  <c r="AT474" i="1"/>
  <c r="AT1556" i="1"/>
  <c r="AT208" i="1"/>
  <c r="AT282" i="1"/>
  <c r="AT1989" i="1"/>
  <c r="AT1019" i="1"/>
  <c r="AT1117" i="1"/>
  <c r="AT1496" i="1"/>
  <c r="AT451" i="1"/>
  <c r="AT1506" i="1"/>
  <c r="AT988" i="1"/>
  <c r="AT48" i="1"/>
  <c r="AT350" i="1"/>
  <c r="AT1283" i="1"/>
  <c r="AT1828" i="1"/>
  <c r="AT986" i="1"/>
  <c r="AT510" i="1"/>
  <c r="AT998" i="1"/>
  <c r="AT775" i="1"/>
  <c r="AT1801" i="1"/>
  <c r="AT387" i="1"/>
  <c r="AT1605" i="1"/>
  <c r="AT1685" i="1"/>
  <c r="AT895" i="1"/>
  <c r="AT1752" i="1"/>
  <c r="AT830" i="1"/>
  <c r="AT1038" i="1"/>
  <c r="AT1051" i="1"/>
  <c r="AT1954" i="1"/>
  <c r="AT1088" i="1"/>
  <c r="AT974" i="1"/>
  <c r="AT1002" i="1"/>
  <c r="AT1157" i="1"/>
  <c r="AT952" i="1"/>
  <c r="AT1936" i="1"/>
  <c r="AT1514" i="1"/>
  <c r="AT1323" i="1"/>
  <c r="AT1036" i="1"/>
  <c r="AT1887" i="1"/>
  <c r="AT836" i="1"/>
  <c r="AT1122" i="1"/>
  <c r="AT372" i="1"/>
  <c r="AT1270" i="1"/>
  <c r="AT1712" i="1"/>
  <c r="AT1558" i="1"/>
  <c r="AT687" i="1"/>
  <c r="AT871" i="1"/>
  <c r="AT447" i="1"/>
  <c r="AT1012" i="1"/>
  <c r="AT820" i="1"/>
  <c r="AT496" i="1"/>
  <c r="AT531" i="1"/>
  <c r="AT947" i="1"/>
  <c r="AT1886" i="1"/>
  <c r="AT131" i="1"/>
  <c r="AT1633" i="1"/>
  <c r="AT1892" i="1"/>
  <c r="AT1535" i="1"/>
  <c r="AT1580" i="1"/>
  <c r="AT755" i="1"/>
  <c r="AT1061" i="1"/>
  <c r="AT278" i="1"/>
  <c r="AT1089" i="1"/>
  <c r="AT1598" i="1"/>
  <c r="AT649" i="1"/>
  <c r="AT1297" i="1"/>
  <c r="AT1315" i="1"/>
  <c r="AT704" i="1"/>
  <c r="AT1564" i="1"/>
  <c r="AT985" i="1"/>
  <c r="AT78" i="1"/>
  <c r="AT125" i="1"/>
  <c r="AT567" i="1"/>
  <c r="AT1534" i="1"/>
  <c r="AT1787" i="1"/>
  <c r="AT1978" i="1"/>
  <c r="AT1069" i="1"/>
  <c r="AT1614" i="1"/>
  <c r="AT314" i="1"/>
  <c r="AT1461" i="1"/>
  <c r="AT1926" i="1"/>
  <c r="AT1864" i="1"/>
  <c r="AT1143" i="1"/>
  <c r="AT1334" i="1"/>
  <c r="AT169" i="1"/>
  <c r="AT903" i="1"/>
  <c r="AT837" i="1"/>
  <c r="AT1152" i="1"/>
  <c r="AT435" i="1"/>
  <c r="AT1947" i="1"/>
  <c r="AT1850" i="1"/>
  <c r="AT1611" i="1"/>
  <c r="AT774" i="1"/>
  <c r="AT1335" i="1"/>
  <c r="AT55" i="1"/>
  <c r="AT1402" i="1"/>
  <c r="AT516" i="1"/>
  <c r="AT744" i="1"/>
  <c r="AT1941" i="1"/>
  <c r="AT934" i="1"/>
  <c r="AT2004" i="1"/>
  <c r="AT1428" i="1"/>
  <c r="AT870" i="1"/>
  <c r="AT1040" i="1"/>
  <c r="AT646" i="1"/>
  <c r="AT953" i="1"/>
  <c r="AT77" i="1"/>
  <c r="AT452" i="1"/>
  <c r="AT1343" i="1"/>
  <c r="AT162" i="1"/>
  <c r="AT1932" i="1"/>
  <c r="AT1531" i="1"/>
  <c r="AT817" i="1"/>
  <c r="AT1904" i="1"/>
  <c r="AT1245" i="1"/>
  <c r="AT914" i="1"/>
  <c r="AT1958" i="1"/>
  <c r="AT17" i="1"/>
  <c r="AT26" i="1"/>
  <c r="AT119" i="1"/>
  <c r="AT1422" i="1"/>
  <c r="AT1970" i="1"/>
  <c r="AT1359" i="1"/>
  <c r="AT1899" i="1"/>
  <c r="AT562" i="1"/>
  <c r="AT1191" i="1"/>
  <c r="AT1553" i="1"/>
  <c r="AT117" i="1"/>
  <c r="AT488" i="1"/>
  <c r="AT576" i="1"/>
  <c r="AT215" i="1"/>
  <c r="AT966" i="1"/>
  <c r="AT1327" i="1"/>
  <c r="AT937" i="1"/>
  <c r="AT1456" i="1"/>
  <c r="AT862" i="1"/>
  <c r="AT367" i="1"/>
  <c r="AT845" i="1"/>
  <c r="AT157" i="1"/>
  <c r="AT1389" i="1"/>
  <c r="AT556" i="1"/>
  <c r="AT193" i="1"/>
  <c r="AT719" i="1"/>
  <c r="AT1656" i="1"/>
  <c r="AT1086" i="1"/>
  <c r="AT1976" i="1"/>
  <c r="AT1376" i="1"/>
  <c r="AT1416" i="1"/>
  <c r="AT1495" i="1"/>
  <c r="AT422" i="1"/>
  <c r="AT724" i="1"/>
  <c r="AT1990" i="1"/>
  <c r="AT796" i="1"/>
  <c r="AT506" i="1"/>
  <c r="AT1888" i="1"/>
  <c r="AT625" i="1"/>
  <c r="AT1481" i="1"/>
  <c r="AT1131" i="1"/>
  <c r="AT1837" i="1"/>
  <c r="AT87" i="1"/>
  <c r="AT1329" i="1"/>
  <c r="AT1280" i="1"/>
  <c r="AT1418" i="1"/>
  <c r="AT381" i="1"/>
  <c r="AT1928" i="1"/>
  <c r="AT1307" i="1"/>
  <c r="AT413" i="1"/>
  <c r="AT550" i="1"/>
  <c r="AT1600" i="1"/>
  <c r="AT1174" i="1"/>
  <c r="AT1099" i="1"/>
  <c r="AT1500" i="1"/>
  <c r="AT741" i="1"/>
  <c r="AT128" i="1"/>
  <c r="AT1668" i="1"/>
  <c r="AT1792" i="1"/>
  <c r="AT757" i="1"/>
  <c r="AT1513" i="1"/>
  <c r="AT707" i="1"/>
  <c r="AT404" i="1"/>
  <c r="AT460" i="1"/>
  <c r="AT856" i="1"/>
  <c r="AT1310" i="1"/>
  <c r="AT2015" i="1"/>
  <c r="AT46" i="1"/>
  <c r="AT430" i="1"/>
  <c r="AT1205" i="1"/>
  <c r="AT172" i="1"/>
  <c r="AT400" i="1"/>
  <c r="AT540" i="1"/>
  <c r="AT1900" i="1"/>
  <c r="AT803" i="1"/>
  <c r="AT326" i="1"/>
  <c r="AT1107" i="1"/>
  <c r="AT1692" i="1"/>
  <c r="AT740" i="1"/>
  <c r="AT1246" i="1"/>
  <c r="AT682" i="1"/>
  <c r="AT596" i="1"/>
  <c r="AT1853" i="1"/>
  <c r="AT982" i="1"/>
  <c r="AT167" i="1"/>
  <c r="AT170" i="1"/>
  <c r="AT1898" i="1"/>
  <c r="AT1720" i="1"/>
  <c r="AT1274" i="1"/>
  <c r="AT968" i="1"/>
  <c r="AT1124" i="1"/>
  <c r="AT928" i="1"/>
  <c r="AT1331" i="1"/>
  <c r="AT154" i="1"/>
  <c r="AT1179" i="1"/>
  <c r="AT743" i="1"/>
  <c r="AT916" i="1"/>
  <c r="AT1639" i="1"/>
  <c r="AT91" i="1"/>
  <c r="AT1814" i="1"/>
  <c r="AT377" i="1"/>
  <c r="AT652" i="1"/>
  <c r="AT58" i="1"/>
  <c r="AT2021" i="1"/>
  <c r="AT1207" i="1"/>
  <c r="AT872" i="1"/>
  <c r="AT1816" i="1"/>
  <c r="AT69" i="1"/>
  <c r="AT1905" i="1"/>
  <c r="AT283" i="1"/>
  <c r="AT432" i="1"/>
  <c r="AT86" i="1"/>
  <c r="AT484" i="1"/>
  <c r="AT900" i="1"/>
  <c r="AT1562" i="1"/>
  <c r="AT332" i="1"/>
  <c r="AT930" i="1"/>
  <c r="AT574" i="1"/>
  <c r="AT1831" i="1"/>
  <c r="AT533" i="1"/>
  <c r="AT782" i="1"/>
  <c r="AT1659" i="1"/>
  <c r="AT1549" i="1"/>
  <c r="AT1726" i="1"/>
  <c r="AT98" i="1"/>
  <c r="AT1827" i="1"/>
  <c r="AT563" i="1"/>
  <c r="AT1250" i="1"/>
  <c r="AT842" i="1"/>
  <c r="AT1139" i="1"/>
  <c r="AT1424" i="1"/>
  <c r="AT1197" i="1"/>
  <c r="AT303" i="1"/>
  <c r="AT582" i="1"/>
  <c r="AT536" i="1"/>
  <c r="AT300" i="1"/>
  <c r="AT1735" i="1"/>
  <c r="AT1065" i="1"/>
  <c r="AT711" i="1"/>
  <c r="AT1213" i="1"/>
  <c r="AT981" i="1"/>
  <c r="AT1309" i="1"/>
  <c r="AT59" i="1"/>
  <c r="AT443" i="1"/>
  <c r="AT1299" i="1"/>
  <c r="AT39" i="1"/>
  <c r="AT1665" i="1"/>
  <c r="AT746" i="1"/>
  <c r="AT338" i="1"/>
  <c r="AT1154" i="1"/>
  <c r="AT42" i="1"/>
  <c r="AT2" i="1"/>
  <c r="AT1490" i="1"/>
  <c r="AT252" i="1"/>
  <c r="AT1744" i="1"/>
  <c r="AT1226" i="1"/>
  <c r="AT779" i="1"/>
  <c r="AT1602" i="1"/>
  <c r="AT1110" i="1"/>
  <c r="AT1669" i="1"/>
  <c r="AT32" i="1"/>
  <c r="AT598" i="1"/>
  <c r="AT434" i="1"/>
  <c r="AT1043" i="1"/>
  <c r="AT884" i="1"/>
  <c r="AT1509" i="1"/>
  <c r="AT1623" i="1"/>
  <c r="AT1666" i="1"/>
  <c r="AT528" i="1"/>
  <c r="AT40" i="1"/>
  <c r="AT247" i="1"/>
  <c r="AT393" i="1"/>
  <c r="AT1889" i="1"/>
  <c r="AT322" i="1"/>
  <c r="AT425" i="1"/>
  <c r="AT729" i="1"/>
  <c r="AT728" i="1"/>
  <c r="AT650" i="1"/>
  <c r="AT1915" i="1"/>
  <c r="AT1759" i="1"/>
  <c r="AT490" i="1"/>
  <c r="AT1571" i="1"/>
  <c r="AT977" i="1"/>
  <c r="AT1014" i="1"/>
  <c r="AT1642" i="1"/>
  <c r="AT1841" i="1"/>
  <c r="AT258" i="1"/>
  <c r="AT1819" i="1"/>
  <c r="AT1872" i="1"/>
  <c r="AT268" i="1"/>
  <c r="AT1587" i="1"/>
  <c r="AT354" i="1"/>
  <c r="AT417" i="1"/>
  <c r="AT339" i="1"/>
  <c r="AT1554" i="1"/>
  <c r="AT713" i="1"/>
  <c r="AT867" i="1"/>
  <c r="AT181" i="1"/>
  <c r="AT284" i="1"/>
  <c r="AT468" i="1"/>
  <c r="AT250" i="1"/>
  <c r="AT1740" i="1"/>
  <c r="AT1215" i="1"/>
  <c r="AT7" i="1"/>
  <c r="AT560" i="1"/>
  <c r="AT318" i="1"/>
  <c r="AT1234" i="1"/>
  <c r="AT1436" i="1"/>
  <c r="AT1125" i="1"/>
  <c r="AT291" i="1"/>
  <c r="AT665" i="1"/>
  <c r="AT449" i="1"/>
  <c r="AT320" i="1"/>
  <c r="AT61" i="1"/>
  <c r="AT933" i="1"/>
  <c r="AT1404" i="1"/>
  <c r="AT1358" i="1"/>
  <c r="AT2018" i="1"/>
  <c r="AT1201" i="1"/>
  <c r="AT1471" i="1"/>
  <c r="AT1486" i="1"/>
  <c r="AT1662" i="1"/>
  <c r="AT1838" i="1"/>
  <c r="AT21" i="1"/>
  <c r="AT848" i="1"/>
  <c r="AT983" i="1"/>
  <c r="AT850" i="1"/>
  <c r="AT595" i="1"/>
  <c r="AT1860" i="1"/>
  <c r="AT888" i="1"/>
  <c r="AT294" i="1"/>
  <c r="AT1415" i="1"/>
  <c r="AT41" i="1"/>
  <c r="AT180" i="1"/>
  <c r="AT1997" i="1"/>
  <c r="AT11" i="1"/>
  <c r="AT171" i="1"/>
  <c r="AT881" i="1"/>
  <c r="AT1654" i="1"/>
  <c r="AT577" i="1"/>
  <c r="AT1874" i="1"/>
  <c r="AT1784" i="1"/>
  <c r="AT1901" i="1"/>
  <c r="AT1160" i="1"/>
  <c r="AT1714" i="1"/>
  <c r="AT685" i="1"/>
  <c r="AT1365" i="1"/>
  <c r="AT586" i="1"/>
  <c r="AT648" i="1"/>
  <c r="AT319" i="1"/>
  <c r="AT1386" i="1"/>
  <c r="AT10" i="1"/>
  <c r="AT1090" i="1"/>
  <c r="AT375" i="1"/>
  <c r="AT1023" i="1"/>
  <c r="AT1791" i="1"/>
  <c r="AT1935" i="1"/>
  <c r="AT1733" i="1"/>
  <c r="AT1760" i="1"/>
  <c r="AT1240" i="1"/>
  <c r="AT1165" i="1"/>
  <c r="AT471" i="1"/>
  <c r="AT535" i="1"/>
  <c r="AT1635" i="1"/>
  <c r="AT1552" i="1"/>
  <c r="AT1138" i="1"/>
  <c r="AT2007" i="1"/>
  <c r="AT617" i="1"/>
  <c r="AT624" i="1"/>
  <c r="AT1959" i="1"/>
  <c r="AT902" i="1"/>
  <c r="AT1356" i="1"/>
  <c r="AT813" i="1"/>
  <c r="AT463" i="1"/>
  <c r="AT816" i="1"/>
  <c r="AT1412" i="1"/>
  <c r="AT448" i="1"/>
  <c r="AT627" i="1"/>
  <c r="AT355" i="1"/>
  <c r="AT1742" i="1"/>
  <c r="AT1211" i="1"/>
  <c r="AT1501" i="1"/>
  <c r="AT1306" i="1"/>
  <c r="AT1024" i="1"/>
  <c r="AT396" i="1"/>
  <c r="AT454" i="1"/>
  <c r="AT184" i="1"/>
  <c r="AT1709" i="1"/>
  <c r="AT909" i="1"/>
  <c r="AT472" i="1"/>
  <c r="AT1569" i="1"/>
  <c r="AT1155" i="1"/>
  <c r="AT1502" i="1"/>
  <c r="AT525" i="1"/>
  <c r="AT857" i="1"/>
  <c r="AT1296" i="1"/>
  <c r="AT651" i="1"/>
  <c r="AT954" i="1"/>
  <c r="AT462" i="1"/>
  <c r="AT1648" i="1"/>
  <c r="AT1583" i="1"/>
  <c r="AT1008" i="1"/>
  <c r="AT541" i="1"/>
  <c r="AT321" i="1"/>
  <c r="AT664" i="1"/>
  <c r="AT1777" i="1"/>
  <c r="AT1572" i="1"/>
  <c r="AT1785" i="1"/>
  <c r="AT1059" i="1"/>
  <c r="AT47" i="1"/>
  <c r="AT407" i="1"/>
  <c r="AT1695" i="1"/>
  <c r="AT1612" i="1"/>
  <c r="AT978" i="1"/>
  <c r="AT1526" i="1"/>
  <c r="AT520" i="1"/>
  <c r="AT129" i="1"/>
  <c r="AT1167" i="1"/>
  <c r="AT149" i="1"/>
  <c r="AT1000" i="1"/>
  <c r="AT366" i="1"/>
  <c r="AT453" i="1"/>
  <c r="AT976" i="1"/>
  <c r="AT1983" i="1"/>
  <c r="AT418" i="1"/>
  <c r="AT1775" i="1"/>
  <c r="AT504" i="1"/>
  <c r="AT1198" i="1"/>
  <c r="AT127" i="1"/>
  <c r="AT885" i="1"/>
  <c r="AT792" i="1"/>
  <c r="AT1647" i="1"/>
  <c r="AT1294" i="1"/>
  <c r="AT1263" i="1"/>
  <c r="AT612" i="1"/>
  <c r="AT1771" i="1"/>
  <c r="AT580" i="1"/>
  <c r="AT307" i="1"/>
  <c r="AT1835" i="1"/>
  <c r="AT1472" i="1"/>
  <c r="AT1840" i="1"/>
  <c r="AT1260" i="1"/>
  <c r="AT1033" i="1"/>
  <c r="AT1109" i="1"/>
  <c r="AT88" i="1"/>
  <c r="AT403" i="1"/>
  <c r="AT1619" i="1"/>
  <c r="AT285" i="1"/>
  <c r="AT1975" i="1"/>
  <c r="AT415" i="1"/>
  <c r="AT841" i="1"/>
  <c r="AT1391" i="1"/>
  <c r="AT756" i="1"/>
  <c r="AT1766" i="1"/>
  <c r="AT1944" i="1"/>
  <c r="AT1555" i="1"/>
  <c r="AT1516" i="1"/>
  <c r="AT1523" i="1"/>
  <c r="AT641" i="1"/>
  <c r="AT207" i="1"/>
  <c r="AT1745" i="1"/>
  <c r="AT1397" i="1"/>
  <c r="AT683" i="1"/>
  <c r="AT1340" i="1"/>
  <c r="AT1127" i="1"/>
  <c r="AT347" i="1"/>
  <c r="AT1967" i="1"/>
  <c r="AT1641" i="1"/>
  <c r="AT1362" i="1"/>
  <c r="AT1603" i="1"/>
  <c r="AT878" i="1"/>
  <c r="AT810" i="1"/>
  <c r="AT785" i="1"/>
  <c r="AT678" i="1"/>
  <c r="AT1204" i="1"/>
  <c r="AT279" i="1"/>
  <c r="AT1974" i="1"/>
  <c r="AT1686" i="1"/>
  <c r="AT20" i="1"/>
  <c r="AT33" i="1"/>
  <c r="AT1311" i="1"/>
  <c r="AT572" i="1"/>
  <c r="AT395" i="1"/>
  <c r="AT748" i="1"/>
  <c r="AT549" i="1"/>
  <c r="AT681" i="1"/>
  <c r="AT173" i="1"/>
  <c r="AT134" i="1"/>
  <c r="AT1118" i="1"/>
  <c r="AT999" i="1"/>
  <c r="AT1825" i="1"/>
  <c r="AT1258" i="1"/>
  <c r="AT1803" i="1"/>
  <c r="AT1028" i="1"/>
  <c r="AT608" i="1"/>
  <c r="AT455" i="1"/>
  <c r="AT107" i="1"/>
  <c r="AT416" i="1"/>
  <c r="AT1848" i="1"/>
  <c r="AT35" i="1"/>
  <c r="AT1375" i="1"/>
  <c r="AT1421" i="1"/>
  <c r="AT133" i="1"/>
  <c r="AT508" i="1"/>
  <c r="AT2014" i="1"/>
  <c r="AT849" i="1"/>
  <c r="AT917" i="1"/>
  <c r="AT1108" i="1"/>
  <c r="AT1489" i="1"/>
  <c r="AT1962" i="1"/>
  <c r="AT859" i="1"/>
  <c r="AT483" i="1"/>
  <c r="AT1565" i="1"/>
  <c r="AT734" i="1"/>
  <c r="AT1724" i="1"/>
  <c r="AT1991" i="1"/>
  <c r="AT1254" i="1"/>
  <c r="AT1393" i="1"/>
  <c r="AT43" i="1"/>
  <c r="AT1537" i="1"/>
  <c r="AT106" i="1"/>
  <c r="AT2016" i="1"/>
  <c r="AT1574" i="1"/>
  <c r="AT1353" i="1"/>
  <c r="AT821" i="1"/>
  <c r="AT2008" i="1"/>
  <c r="AT1653" i="1"/>
  <c r="AT858" i="1"/>
  <c r="AT668" i="1"/>
  <c r="AT877" i="1"/>
  <c r="AT1867" i="1"/>
  <c r="AT1998" i="1"/>
  <c r="AT815" i="1"/>
  <c r="AT1328" i="1"/>
  <c r="AT768" i="1"/>
  <c r="AT512" i="1"/>
  <c r="AT583" i="1"/>
  <c r="AT1046" i="1"/>
  <c r="C14"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C16"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B16" i="3"/>
  <c r="B15" i="3"/>
  <c r="B14" i="3"/>
  <c r="C1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C11"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AG12" i="3"/>
  <c r="AH12" i="3"/>
  <c r="AI12" i="3"/>
  <c r="AJ12" i="3"/>
  <c r="AK12" i="3"/>
  <c r="AL12" i="3"/>
  <c r="AM12" i="3"/>
  <c r="AN12" i="3"/>
  <c r="C13"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B13" i="3"/>
  <c r="B12" i="3"/>
  <c r="B11" i="3"/>
  <c r="B10" i="3"/>
  <c r="AN9" i="3"/>
  <c r="AM9" i="3"/>
  <c r="AL9" i="3"/>
  <c r="AK9" i="3"/>
  <c r="AJ9" i="3"/>
  <c r="AI9"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C9" i="3"/>
  <c r="B9" i="3"/>
  <c r="AM8" i="3"/>
  <c r="AL8" i="3"/>
  <c r="AK8" i="3"/>
  <c r="AJ8" i="3"/>
  <c r="AI8"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C8" i="3"/>
  <c r="B8" i="3"/>
  <c r="B3" i="3"/>
  <c r="B2" i="3"/>
  <c r="BA1046" i="1"/>
  <c r="AY1046" i="1"/>
  <c r="AX1046" i="1"/>
  <c r="BA583" i="1"/>
  <c r="AY583" i="1"/>
  <c r="AX583" i="1"/>
  <c r="BA512" i="1"/>
  <c r="AY512" i="1"/>
  <c r="AX512" i="1"/>
  <c r="BA768" i="1"/>
  <c r="AY768" i="1"/>
  <c r="AX768" i="1"/>
  <c r="BA1328" i="1"/>
  <c r="AY1328" i="1"/>
  <c r="AX1328" i="1"/>
  <c r="BA815" i="1"/>
  <c r="AY815" i="1"/>
  <c r="AX815" i="1"/>
  <c r="BA1998" i="1"/>
  <c r="AY1998" i="1"/>
  <c r="AX1998" i="1"/>
  <c r="BA1867" i="1"/>
  <c r="AY1867" i="1"/>
  <c r="AX1867" i="1"/>
  <c r="BA877" i="1"/>
  <c r="AY877" i="1"/>
  <c r="AX877" i="1"/>
  <c r="BA668" i="1"/>
  <c r="AY668" i="1"/>
  <c r="AX668" i="1"/>
  <c r="BA858" i="1"/>
  <c r="AY858" i="1"/>
  <c r="AX858" i="1"/>
  <c r="BA1653" i="1"/>
  <c r="AY1653" i="1"/>
  <c r="AX1653" i="1"/>
  <c r="BA2008" i="1"/>
  <c r="AY2008" i="1"/>
  <c r="AX2008" i="1"/>
  <c r="BA821" i="1"/>
  <c r="AY821" i="1"/>
  <c r="AX821" i="1"/>
  <c r="BA1353" i="1"/>
  <c r="AY1353" i="1"/>
  <c r="AX1353" i="1"/>
  <c r="BA1574" i="1"/>
  <c r="AY1574" i="1"/>
  <c r="AX1574" i="1"/>
  <c r="BA2016" i="1"/>
  <c r="AY2016" i="1"/>
  <c r="AX2016" i="1"/>
  <c r="BA106" i="1"/>
  <c r="AY106" i="1"/>
  <c r="AX106" i="1"/>
  <c r="BA1537" i="1"/>
  <c r="AY1537" i="1"/>
  <c r="AX1537" i="1"/>
  <c r="BA43" i="1"/>
  <c r="AY43" i="1"/>
  <c r="AX43" i="1"/>
  <c r="BA1393" i="1"/>
  <c r="AY1393" i="1"/>
  <c r="AX1393" i="1"/>
  <c r="BA1254" i="1"/>
  <c r="AY1254" i="1"/>
  <c r="AX1254" i="1"/>
  <c r="BA1991" i="1"/>
  <c r="AY1991" i="1"/>
  <c r="AX1991" i="1"/>
  <c r="BA1724" i="1"/>
  <c r="AY1724" i="1"/>
  <c r="AX1724" i="1"/>
  <c r="BA734" i="1"/>
  <c r="AY734" i="1"/>
  <c r="AX734" i="1"/>
  <c r="BA1565" i="1"/>
  <c r="AY1565" i="1"/>
  <c r="AX1565" i="1"/>
  <c r="BA483" i="1"/>
  <c r="AY483" i="1"/>
  <c r="AX483" i="1"/>
  <c r="BA859" i="1"/>
  <c r="AY859" i="1"/>
  <c r="AX859" i="1"/>
  <c r="BA1962" i="1"/>
  <c r="AY1962" i="1"/>
  <c r="AX1962" i="1"/>
  <c r="BA1489" i="1"/>
  <c r="AY1489" i="1"/>
  <c r="AX1489" i="1"/>
  <c r="BA1108" i="1"/>
  <c r="AY1108" i="1"/>
  <c r="AX1108" i="1"/>
  <c r="BA917" i="1"/>
  <c r="AY917" i="1"/>
  <c r="AX917" i="1"/>
  <c r="BA849" i="1"/>
  <c r="AY849" i="1"/>
  <c r="AX849" i="1"/>
  <c r="BA2014" i="1"/>
  <c r="AY2014" i="1"/>
  <c r="AX2014" i="1"/>
  <c r="BA508" i="1"/>
  <c r="AY508" i="1"/>
  <c r="AX508" i="1"/>
  <c r="BA133" i="1"/>
  <c r="AY133" i="1"/>
  <c r="AX133" i="1"/>
  <c r="BA1421" i="1"/>
  <c r="AY1421" i="1"/>
  <c r="AX1421" i="1"/>
  <c r="BA1375" i="1"/>
  <c r="AY1375" i="1"/>
  <c r="AX1375" i="1"/>
  <c r="BA35" i="1"/>
  <c r="AY35" i="1"/>
  <c r="AX35" i="1"/>
  <c r="BA1848" i="1"/>
  <c r="AY1848" i="1"/>
  <c r="AX1848" i="1"/>
  <c r="BA416" i="1"/>
  <c r="AY416" i="1"/>
  <c r="AX416" i="1"/>
  <c r="BA107" i="1"/>
  <c r="AY107" i="1"/>
  <c r="AX107" i="1"/>
  <c r="BA455" i="1"/>
  <c r="AY455" i="1"/>
  <c r="AX455" i="1"/>
  <c r="BA608" i="1"/>
  <c r="AY608" i="1"/>
  <c r="AX608" i="1"/>
  <c r="BA1028" i="1"/>
  <c r="AY1028" i="1"/>
  <c r="AX1028" i="1"/>
  <c r="BA1803" i="1"/>
  <c r="AY1803" i="1"/>
  <c r="AX1803" i="1"/>
  <c r="BA1258" i="1"/>
  <c r="AY1258" i="1"/>
  <c r="AX1258" i="1"/>
  <c r="BA1825" i="1"/>
  <c r="AY1825" i="1"/>
  <c r="AX1825" i="1"/>
  <c r="BA999" i="1"/>
  <c r="AY999" i="1"/>
  <c r="AX999" i="1"/>
  <c r="BA1118" i="1"/>
  <c r="AY1118" i="1"/>
  <c r="AX1118" i="1"/>
  <c r="BA134" i="1"/>
  <c r="AY134" i="1"/>
  <c r="AX134" i="1"/>
  <c r="BA173" i="1"/>
  <c r="AY173" i="1"/>
  <c r="AX173" i="1"/>
  <c r="BA681" i="1"/>
  <c r="AY681" i="1"/>
  <c r="AX681" i="1"/>
  <c r="BA549" i="1"/>
  <c r="AY549" i="1"/>
  <c r="AX549" i="1"/>
  <c r="BA748" i="1"/>
  <c r="AY748" i="1"/>
  <c r="AX748" i="1"/>
  <c r="BA395" i="1"/>
  <c r="AY395" i="1"/>
  <c r="AX395" i="1"/>
  <c r="BA572" i="1"/>
  <c r="AY572" i="1"/>
  <c r="AX572" i="1"/>
  <c r="BA1311" i="1"/>
  <c r="AY1311" i="1"/>
  <c r="AX1311" i="1"/>
  <c r="BA33" i="1"/>
  <c r="AY33" i="1"/>
  <c r="AX33" i="1"/>
  <c r="BA20" i="1"/>
  <c r="AY20" i="1"/>
  <c r="AX20" i="1"/>
  <c r="BA1686" i="1"/>
  <c r="AY1686" i="1"/>
  <c r="AX1686" i="1"/>
  <c r="BA1974" i="1"/>
  <c r="AY1974" i="1"/>
  <c r="AX1974" i="1"/>
  <c r="BA279" i="1"/>
  <c r="AY279" i="1"/>
  <c r="AX279" i="1"/>
  <c r="BA1204" i="1"/>
  <c r="AY1204" i="1"/>
  <c r="AX1204" i="1"/>
  <c r="BA678" i="1"/>
  <c r="AY678" i="1"/>
  <c r="AX678" i="1"/>
  <c r="BA785" i="1"/>
  <c r="AY785" i="1"/>
  <c r="AX785" i="1"/>
  <c r="BA810" i="1"/>
  <c r="AY810" i="1"/>
  <c r="AX810" i="1"/>
  <c r="BA878" i="1"/>
  <c r="AY878" i="1"/>
  <c r="AX878" i="1"/>
  <c r="BA1603" i="1"/>
  <c r="AY1603" i="1"/>
  <c r="AX1603" i="1"/>
  <c r="BA1362" i="1"/>
  <c r="AY1362" i="1"/>
  <c r="AX1362" i="1"/>
  <c r="BA1641" i="1"/>
  <c r="AY1641" i="1"/>
  <c r="AX1641" i="1"/>
  <c r="BA1967" i="1"/>
  <c r="AY1967" i="1"/>
  <c r="AX1967" i="1"/>
  <c r="BA347" i="1"/>
  <c r="AY347" i="1"/>
  <c r="AX347" i="1"/>
  <c r="BA1127" i="1"/>
  <c r="AY1127" i="1"/>
  <c r="AX1127" i="1"/>
  <c r="BA1340" i="1"/>
  <c r="AY1340" i="1"/>
  <c r="AX1340" i="1"/>
  <c r="BA683" i="1"/>
  <c r="AY683" i="1"/>
  <c r="AX683" i="1"/>
  <c r="BA1397" i="1"/>
  <c r="AY1397" i="1"/>
  <c r="AX1397" i="1"/>
  <c r="BA1745" i="1"/>
  <c r="AY1745" i="1"/>
  <c r="AX1745" i="1"/>
  <c r="BA207" i="1"/>
  <c r="AY207" i="1"/>
  <c r="AX207" i="1"/>
  <c r="BA641" i="1"/>
  <c r="AY641" i="1"/>
  <c r="AX641" i="1"/>
  <c r="BA1523" i="1"/>
  <c r="AY1523" i="1"/>
  <c r="AX1523" i="1"/>
  <c r="BA1516" i="1"/>
  <c r="AY1516" i="1"/>
  <c r="AX1516" i="1"/>
  <c r="BA1555" i="1"/>
  <c r="AY1555" i="1"/>
  <c r="AX1555" i="1"/>
  <c r="BA1944" i="1"/>
  <c r="AY1944" i="1"/>
  <c r="AX1944" i="1"/>
  <c r="BA1766" i="1"/>
  <c r="AY1766" i="1"/>
  <c r="AX1766" i="1"/>
  <c r="BA756" i="1"/>
  <c r="AY756" i="1"/>
  <c r="AX756" i="1"/>
  <c r="BA1391" i="1"/>
  <c r="AY1391" i="1"/>
  <c r="AX1391" i="1"/>
  <c r="BA841" i="1"/>
  <c r="AY841" i="1"/>
  <c r="AX841" i="1"/>
  <c r="BA415" i="1"/>
  <c r="AY415" i="1"/>
  <c r="AX415" i="1"/>
  <c r="BA1975" i="1"/>
  <c r="AY1975" i="1"/>
  <c r="AX1975" i="1"/>
  <c r="BA285" i="1"/>
  <c r="AY285" i="1"/>
  <c r="AX285" i="1"/>
  <c r="BA1619" i="1"/>
  <c r="AY1619" i="1"/>
  <c r="AX1619" i="1"/>
  <c r="BA403" i="1"/>
  <c r="AY403" i="1"/>
  <c r="AX403" i="1"/>
  <c r="BA88" i="1"/>
  <c r="AY88" i="1"/>
  <c r="AX88" i="1"/>
  <c r="BA1109" i="1"/>
  <c r="AY1109" i="1"/>
  <c r="AX1109" i="1"/>
  <c r="BA1033" i="1"/>
  <c r="AY1033" i="1"/>
  <c r="AX1033" i="1"/>
  <c r="BA1260" i="1"/>
  <c r="AY1260" i="1"/>
  <c r="AX1260" i="1"/>
  <c r="BA1840" i="1"/>
  <c r="AY1840" i="1"/>
  <c r="AX1840" i="1"/>
  <c r="BA1472" i="1"/>
  <c r="AY1472" i="1"/>
  <c r="AX1472" i="1"/>
  <c r="BA1835" i="1"/>
  <c r="AY1835" i="1"/>
  <c r="AX1835" i="1"/>
  <c r="BA307" i="1"/>
  <c r="AY307" i="1"/>
  <c r="AX307" i="1"/>
  <c r="BA580" i="1"/>
  <c r="AY580" i="1"/>
  <c r="AX580" i="1"/>
  <c r="BA1771" i="1"/>
  <c r="AY1771" i="1"/>
  <c r="AX1771" i="1"/>
  <c r="BA612" i="1"/>
  <c r="AY612" i="1"/>
  <c r="AX612" i="1"/>
  <c r="BA1263" i="1"/>
  <c r="AY1263" i="1"/>
  <c r="AX1263" i="1"/>
  <c r="BA1294" i="1"/>
  <c r="AY1294" i="1"/>
  <c r="AX1294" i="1"/>
  <c r="BA1647" i="1"/>
  <c r="AY1647" i="1"/>
  <c r="AX1647" i="1"/>
  <c r="BA792" i="1"/>
  <c r="AY792" i="1"/>
  <c r="AX792" i="1"/>
  <c r="BA885" i="1"/>
  <c r="AY885" i="1"/>
  <c r="AX885" i="1"/>
  <c r="BA127" i="1"/>
  <c r="AY127" i="1"/>
  <c r="AX127" i="1"/>
  <c r="BA1198" i="1"/>
  <c r="AY1198" i="1"/>
  <c r="AX1198" i="1"/>
  <c r="BA504" i="1"/>
  <c r="AY504" i="1"/>
  <c r="AX504" i="1"/>
  <c r="BA1775" i="1"/>
  <c r="AY1775" i="1"/>
  <c r="AX1775" i="1"/>
  <c r="BA418" i="1"/>
  <c r="AY418" i="1"/>
  <c r="AX418" i="1"/>
  <c r="BA1983" i="1"/>
  <c r="AY1983" i="1"/>
  <c r="AX1983" i="1"/>
  <c r="BA976" i="1"/>
  <c r="AY976" i="1"/>
  <c r="AX976" i="1"/>
  <c r="BA453" i="1"/>
  <c r="AY453" i="1"/>
  <c r="AX453" i="1"/>
  <c r="BA366" i="1"/>
  <c r="AY366" i="1"/>
  <c r="AX366" i="1"/>
  <c r="BA1000" i="1"/>
  <c r="AY1000" i="1"/>
  <c r="AX1000" i="1"/>
  <c r="BA149" i="1"/>
  <c r="AY149" i="1"/>
  <c r="AX149" i="1"/>
  <c r="BA1167" i="1"/>
  <c r="AY1167" i="1"/>
  <c r="AX1167" i="1"/>
  <c r="BA129" i="1"/>
  <c r="AY129" i="1"/>
  <c r="AX129" i="1"/>
  <c r="BA520" i="1"/>
  <c r="AY520" i="1"/>
  <c r="AX520" i="1"/>
  <c r="BA1526" i="1"/>
  <c r="AY1526" i="1"/>
  <c r="AX1526" i="1"/>
  <c r="BA978" i="1"/>
  <c r="AY978" i="1"/>
  <c r="AX978" i="1"/>
  <c r="BA1612" i="1"/>
  <c r="AY1612" i="1"/>
  <c r="AX1612" i="1"/>
  <c r="BA1695" i="1"/>
  <c r="AY1695" i="1"/>
  <c r="AX1695" i="1"/>
  <c r="BA407" i="1"/>
  <c r="AY407" i="1"/>
  <c r="AX407" i="1"/>
  <c r="BA47" i="1"/>
  <c r="AY47" i="1"/>
  <c r="AX47" i="1"/>
  <c r="BA1059" i="1"/>
  <c r="AY1059" i="1"/>
  <c r="AX1059" i="1"/>
  <c r="BA1785" i="1"/>
  <c r="AY1785" i="1"/>
  <c r="AX1785" i="1"/>
  <c r="BA1572" i="1"/>
  <c r="AY1572" i="1"/>
  <c r="AX1572" i="1"/>
  <c r="BA1777" i="1"/>
  <c r="AY1777" i="1"/>
  <c r="AX1777" i="1"/>
  <c r="BA664" i="1"/>
  <c r="AY664" i="1"/>
  <c r="AX664" i="1"/>
  <c r="BA321" i="1"/>
  <c r="AY321" i="1"/>
  <c r="AX321" i="1"/>
  <c r="BA541" i="1"/>
  <c r="AY541" i="1"/>
  <c r="AX541" i="1"/>
  <c r="BA1008" i="1"/>
  <c r="AY1008" i="1"/>
  <c r="AX1008" i="1"/>
  <c r="BA1583" i="1"/>
  <c r="AY1583" i="1"/>
  <c r="AX1583" i="1"/>
  <c r="BA1648" i="1"/>
  <c r="AY1648" i="1"/>
  <c r="AX1648" i="1"/>
  <c r="BA462" i="1"/>
  <c r="AY462" i="1"/>
  <c r="AX462" i="1"/>
  <c r="BA954" i="1"/>
  <c r="AY954" i="1"/>
  <c r="AX954" i="1"/>
  <c r="BA651" i="1"/>
  <c r="AY651" i="1"/>
  <c r="AX651" i="1"/>
  <c r="BA1296" i="1"/>
  <c r="AY1296" i="1"/>
  <c r="AX1296" i="1"/>
  <c r="BA857" i="1"/>
  <c r="AY857" i="1"/>
  <c r="AX857" i="1"/>
  <c r="BA525" i="1"/>
  <c r="AY525" i="1"/>
  <c r="AX525" i="1"/>
  <c r="BA1502" i="1"/>
  <c r="AY1502" i="1"/>
  <c r="AX1502" i="1"/>
  <c r="BA1155" i="1"/>
  <c r="AY1155" i="1"/>
  <c r="AX1155" i="1"/>
  <c r="BA1569" i="1"/>
  <c r="AY1569" i="1"/>
  <c r="AX1569" i="1"/>
  <c r="BA472" i="1"/>
  <c r="AY472" i="1"/>
  <c r="AX472" i="1"/>
  <c r="BA909" i="1"/>
  <c r="AY909" i="1"/>
  <c r="AX909" i="1"/>
  <c r="BA1709" i="1"/>
  <c r="AY1709" i="1"/>
  <c r="AX1709" i="1"/>
  <c r="BA184" i="1"/>
  <c r="AY184" i="1"/>
  <c r="AX184" i="1"/>
  <c r="BA454" i="1"/>
  <c r="AY454" i="1"/>
  <c r="AX454" i="1"/>
  <c r="BA396" i="1"/>
  <c r="AY396" i="1"/>
  <c r="AX396" i="1"/>
  <c r="BA1024" i="1"/>
  <c r="AY1024" i="1"/>
  <c r="AX1024" i="1"/>
  <c r="BA1306" i="1"/>
  <c r="AY1306" i="1"/>
  <c r="AX1306" i="1"/>
  <c r="BA1501" i="1"/>
  <c r="AY1501" i="1"/>
  <c r="AX1501" i="1"/>
  <c r="BA1211" i="1"/>
  <c r="AY1211" i="1"/>
  <c r="AX1211" i="1"/>
  <c r="BA1742" i="1"/>
  <c r="AY1742" i="1"/>
  <c r="AX1742" i="1"/>
  <c r="BA355" i="1"/>
  <c r="AY355" i="1"/>
  <c r="AX355" i="1"/>
  <c r="BA627" i="1"/>
  <c r="AY627" i="1"/>
  <c r="AX627" i="1"/>
  <c r="BA448" i="1"/>
  <c r="AY448" i="1"/>
  <c r="AX448" i="1"/>
  <c r="BA1412" i="1"/>
  <c r="AY1412" i="1"/>
  <c r="AX1412" i="1"/>
  <c r="BA816" i="1"/>
  <c r="AY816" i="1"/>
  <c r="AX816" i="1"/>
  <c r="BA463" i="1"/>
  <c r="AY463" i="1"/>
  <c r="AX463" i="1"/>
  <c r="BA813" i="1"/>
  <c r="AY813" i="1"/>
  <c r="AX813" i="1"/>
  <c r="BA1356" i="1"/>
  <c r="AY1356" i="1"/>
  <c r="AX1356" i="1"/>
  <c r="BA902" i="1"/>
  <c r="AY902" i="1"/>
  <c r="AX902" i="1"/>
  <c r="BA1959" i="1"/>
  <c r="AY1959" i="1"/>
  <c r="AX1959" i="1"/>
  <c r="BA624" i="1"/>
  <c r="AY624" i="1"/>
  <c r="AX624" i="1"/>
  <c r="BA617" i="1"/>
  <c r="AY617" i="1"/>
  <c r="AX617" i="1"/>
  <c r="BA2007" i="1"/>
  <c r="AY2007" i="1"/>
  <c r="AX2007" i="1"/>
  <c r="BA1138" i="1"/>
  <c r="AY1138" i="1"/>
  <c r="AX1138" i="1"/>
  <c r="BA1552" i="1"/>
  <c r="AY1552" i="1"/>
  <c r="AX1552" i="1"/>
  <c r="BA1635" i="1"/>
  <c r="AY1635" i="1"/>
  <c r="AX1635" i="1"/>
  <c r="BA535" i="1"/>
  <c r="AY535" i="1"/>
  <c r="AX535" i="1"/>
  <c r="BA471" i="1"/>
  <c r="AY471" i="1"/>
  <c r="AX471" i="1"/>
  <c r="BA1165" i="1"/>
  <c r="AY1165" i="1"/>
  <c r="AX1165" i="1"/>
  <c r="BA1240" i="1"/>
  <c r="AY1240" i="1"/>
  <c r="AX1240" i="1"/>
  <c r="BA1760" i="1"/>
  <c r="AY1760" i="1"/>
  <c r="AX1760" i="1"/>
  <c r="BA1733" i="1"/>
  <c r="AY1733" i="1"/>
  <c r="AX1733" i="1"/>
  <c r="BA1935" i="1"/>
  <c r="AY1935" i="1"/>
  <c r="AX1935" i="1"/>
  <c r="BA1791" i="1"/>
  <c r="AY1791" i="1"/>
  <c r="AX1791" i="1"/>
  <c r="BA1023" i="1"/>
  <c r="AY1023" i="1"/>
  <c r="AX1023" i="1"/>
  <c r="BA375" i="1"/>
  <c r="AY375" i="1"/>
  <c r="AX375" i="1"/>
  <c r="BA1090" i="1"/>
  <c r="AY1090" i="1"/>
  <c r="AX1090" i="1"/>
  <c r="BA10" i="1"/>
  <c r="AY10" i="1"/>
  <c r="AX10" i="1"/>
  <c r="BA1386" i="1"/>
  <c r="AY1386" i="1"/>
  <c r="AX1386" i="1"/>
  <c r="BA319" i="1"/>
  <c r="AY319" i="1"/>
  <c r="AX319" i="1"/>
  <c r="BA648" i="1"/>
  <c r="AY648" i="1"/>
  <c r="AX648" i="1"/>
  <c r="BA586" i="1"/>
  <c r="AY586" i="1"/>
  <c r="AX586" i="1"/>
  <c r="BA1365" i="1"/>
  <c r="AY1365" i="1"/>
  <c r="AX1365" i="1"/>
  <c r="BA685" i="1"/>
  <c r="AY685" i="1"/>
  <c r="AX685" i="1"/>
  <c r="BA1714" i="1"/>
  <c r="AY1714" i="1"/>
  <c r="AX1714" i="1"/>
  <c r="BA1160" i="1"/>
  <c r="AY1160" i="1"/>
  <c r="AX1160" i="1"/>
  <c r="BA1901" i="1"/>
  <c r="AY1901" i="1"/>
  <c r="AX1901" i="1"/>
  <c r="BA1784" i="1"/>
  <c r="AY1784" i="1"/>
  <c r="AX1784" i="1"/>
  <c r="BA1874" i="1"/>
  <c r="AY1874" i="1"/>
  <c r="AX1874" i="1"/>
  <c r="BA577" i="1"/>
  <c r="AY577" i="1"/>
  <c r="AX577" i="1"/>
  <c r="BA1654" i="1"/>
  <c r="AY1654" i="1"/>
  <c r="AX1654" i="1"/>
  <c r="BA881" i="1"/>
  <c r="AY881" i="1"/>
  <c r="AX881" i="1"/>
  <c r="BA171" i="1"/>
  <c r="AY171" i="1"/>
  <c r="AX171" i="1"/>
  <c r="BA11" i="1"/>
  <c r="AY11" i="1"/>
  <c r="AX11" i="1"/>
  <c r="BA1997" i="1"/>
  <c r="AY1997" i="1"/>
  <c r="AX1997" i="1"/>
  <c r="BA180" i="1"/>
  <c r="AY180" i="1"/>
  <c r="AX180" i="1"/>
  <c r="BA41" i="1"/>
  <c r="AY41" i="1"/>
  <c r="AX41" i="1"/>
  <c r="BA1415" i="1"/>
  <c r="AY1415" i="1"/>
  <c r="AX1415" i="1"/>
  <c r="BA294" i="1"/>
  <c r="AY294" i="1"/>
  <c r="AX294" i="1"/>
  <c r="BA888" i="1"/>
  <c r="AY888" i="1"/>
  <c r="AX888" i="1"/>
  <c r="BA1860" i="1"/>
  <c r="AY1860" i="1"/>
  <c r="AX1860" i="1"/>
  <c r="BA595" i="1"/>
  <c r="AY595" i="1"/>
  <c r="AX595" i="1"/>
  <c r="BA850" i="1"/>
  <c r="AY850" i="1"/>
  <c r="AX850" i="1"/>
  <c r="BA983" i="1"/>
  <c r="AY983" i="1"/>
  <c r="AX983" i="1"/>
  <c r="BA848" i="1"/>
  <c r="AY848" i="1"/>
  <c r="AX848" i="1"/>
  <c r="BA21" i="1"/>
  <c r="AY21" i="1"/>
  <c r="AX21" i="1"/>
  <c r="BA1838" i="1"/>
  <c r="AY1838" i="1"/>
  <c r="AX1838" i="1"/>
  <c r="BA1662" i="1"/>
  <c r="AY1662" i="1"/>
  <c r="AX1662" i="1"/>
  <c r="BA1486" i="1"/>
  <c r="AY1486" i="1"/>
  <c r="AX1486" i="1"/>
  <c r="BA1471" i="1"/>
  <c r="AY1471" i="1"/>
  <c r="AX1471" i="1"/>
  <c r="BA1201" i="1"/>
  <c r="AY1201" i="1"/>
  <c r="AX1201" i="1"/>
  <c r="BA2018" i="1"/>
  <c r="AY2018" i="1"/>
  <c r="AX2018" i="1"/>
  <c r="BA1358" i="1"/>
  <c r="AY1358" i="1"/>
  <c r="AX1358" i="1"/>
  <c r="BA1404" i="1"/>
  <c r="AY1404" i="1"/>
  <c r="AX1404" i="1"/>
  <c r="BA933" i="1"/>
  <c r="AY933" i="1"/>
  <c r="AX933" i="1"/>
  <c r="BA61" i="1"/>
  <c r="AY61" i="1"/>
  <c r="AX61" i="1"/>
  <c r="BA320" i="1"/>
  <c r="AY320" i="1"/>
  <c r="AX320" i="1"/>
  <c r="BA449" i="1"/>
  <c r="AY449" i="1"/>
  <c r="AX449" i="1"/>
  <c r="BA665" i="1"/>
  <c r="AY665" i="1"/>
  <c r="AX665" i="1"/>
  <c r="BA291" i="1"/>
  <c r="AY291" i="1"/>
  <c r="AX291" i="1"/>
  <c r="BA1125" i="1"/>
  <c r="AY1125" i="1"/>
  <c r="AX1125" i="1"/>
  <c r="BA1436" i="1"/>
  <c r="AY1436" i="1"/>
  <c r="AX1436" i="1"/>
  <c r="BA1234" i="1"/>
  <c r="AY1234" i="1"/>
  <c r="AX1234" i="1"/>
  <c r="BA318" i="1"/>
  <c r="AY318" i="1"/>
  <c r="AX318" i="1"/>
  <c r="BA560" i="1"/>
  <c r="AY560" i="1"/>
  <c r="AX560" i="1"/>
  <c r="BA7" i="1"/>
  <c r="AY7" i="1"/>
  <c r="AX7" i="1"/>
  <c r="BA1215" i="1"/>
  <c r="AY1215" i="1"/>
  <c r="AX1215" i="1"/>
  <c r="BA1740" i="1"/>
  <c r="AY1740" i="1"/>
  <c r="AX1740" i="1"/>
  <c r="BA250" i="1"/>
  <c r="AY250" i="1"/>
  <c r="AX250" i="1"/>
  <c r="BA468" i="1"/>
  <c r="AY468" i="1"/>
  <c r="AX468" i="1"/>
  <c r="BA284" i="1"/>
  <c r="AY284" i="1"/>
  <c r="AX284" i="1"/>
  <c r="BA181" i="1"/>
  <c r="AY181" i="1"/>
  <c r="AX181" i="1"/>
  <c r="BA867" i="1"/>
  <c r="AY867" i="1"/>
  <c r="AX867" i="1"/>
  <c r="BA713" i="1"/>
  <c r="AY713" i="1"/>
  <c r="AX713" i="1"/>
  <c r="BA1554" i="1"/>
  <c r="AY1554" i="1"/>
  <c r="AX1554" i="1"/>
  <c r="BA339" i="1"/>
  <c r="AY339" i="1"/>
  <c r="AX339" i="1"/>
  <c r="BA417" i="1"/>
  <c r="AY417" i="1"/>
  <c r="AX417" i="1"/>
  <c r="BA354" i="1"/>
  <c r="AY354" i="1"/>
  <c r="AX354" i="1"/>
  <c r="BA1587" i="1"/>
  <c r="AY1587" i="1"/>
  <c r="AX1587" i="1"/>
  <c r="BA268" i="1"/>
  <c r="AY268" i="1"/>
  <c r="AX268" i="1"/>
  <c r="BA1872" i="1"/>
  <c r="AY1872" i="1"/>
  <c r="AX1872" i="1"/>
  <c r="BA1819" i="1"/>
  <c r="AY1819" i="1"/>
  <c r="AX1819" i="1"/>
  <c r="BA258" i="1"/>
  <c r="AY258" i="1"/>
  <c r="AX258" i="1"/>
  <c r="BA1841" i="1"/>
  <c r="AY1841" i="1"/>
  <c r="AX1841" i="1"/>
  <c r="BA1642" i="1"/>
  <c r="AY1642" i="1"/>
  <c r="AX1642" i="1"/>
  <c r="BA1014" i="1"/>
  <c r="AY1014" i="1"/>
  <c r="AX1014" i="1"/>
  <c r="BA977" i="1"/>
  <c r="AY977" i="1"/>
  <c r="AX977" i="1"/>
  <c r="BA1571" i="1"/>
  <c r="AY1571" i="1"/>
  <c r="AX1571" i="1"/>
  <c r="BA490" i="1"/>
  <c r="AY490" i="1"/>
  <c r="AX490" i="1"/>
  <c r="BA1759" i="1"/>
  <c r="AY1759" i="1"/>
  <c r="AX1759" i="1"/>
  <c r="BA1915" i="1"/>
  <c r="AY1915" i="1"/>
  <c r="AX1915" i="1"/>
  <c r="BA650" i="1"/>
  <c r="AY650" i="1"/>
  <c r="AX650" i="1"/>
  <c r="BA728" i="1"/>
  <c r="AY728" i="1"/>
  <c r="AX728" i="1"/>
  <c r="BA729" i="1"/>
  <c r="AY729" i="1"/>
  <c r="AX729" i="1"/>
  <c r="BA425" i="1"/>
  <c r="AY425" i="1"/>
  <c r="AX425" i="1"/>
  <c r="BA322" i="1"/>
  <c r="AY322" i="1"/>
  <c r="AX322" i="1"/>
  <c r="BA1889" i="1"/>
  <c r="AY1889" i="1"/>
  <c r="AX1889" i="1"/>
  <c r="BA393" i="1"/>
  <c r="AY393" i="1"/>
  <c r="AX393" i="1"/>
  <c r="BA247" i="1"/>
  <c r="AY247" i="1"/>
  <c r="AX247" i="1"/>
  <c r="BA40" i="1"/>
  <c r="AY40" i="1"/>
  <c r="AX40" i="1"/>
  <c r="BA528" i="1"/>
  <c r="AY528" i="1"/>
  <c r="AX528" i="1"/>
  <c r="BA1666" i="1"/>
  <c r="AY1666" i="1"/>
  <c r="AX1666" i="1"/>
  <c r="BA1623" i="1"/>
  <c r="AY1623" i="1"/>
  <c r="AX1623" i="1"/>
  <c r="BA1509" i="1"/>
  <c r="AY1509" i="1"/>
  <c r="AX1509" i="1"/>
  <c r="BA884" i="1"/>
  <c r="AY884" i="1"/>
  <c r="AX884" i="1"/>
  <c r="BA1043" i="1"/>
  <c r="AY1043" i="1"/>
  <c r="AX1043" i="1"/>
  <c r="BA434" i="1"/>
  <c r="AY434" i="1"/>
  <c r="AX434" i="1"/>
  <c r="BA598" i="1"/>
  <c r="AY598" i="1"/>
  <c r="AX598" i="1"/>
  <c r="BA32" i="1"/>
  <c r="AY32" i="1"/>
  <c r="AX32" i="1"/>
  <c r="BA1669" i="1"/>
  <c r="AY1669" i="1"/>
  <c r="AX1669" i="1"/>
  <c r="BA1110" i="1"/>
  <c r="AY1110" i="1"/>
  <c r="AX1110" i="1"/>
  <c r="BA1602" i="1"/>
  <c r="AY1602" i="1"/>
  <c r="AX1602" i="1"/>
  <c r="BA779" i="1"/>
  <c r="AY779" i="1"/>
  <c r="AX779" i="1"/>
  <c r="BA1226" i="1"/>
  <c r="AY1226" i="1"/>
  <c r="AX1226" i="1"/>
  <c r="BA1744" i="1"/>
  <c r="AY1744" i="1"/>
  <c r="AX1744" i="1"/>
  <c r="BA252" i="1"/>
  <c r="AY252" i="1"/>
  <c r="AX252" i="1"/>
  <c r="BA1490" i="1"/>
  <c r="AY1490" i="1"/>
  <c r="AX1490" i="1"/>
  <c r="BA2" i="1"/>
  <c r="AY2" i="1"/>
  <c r="AX2" i="1"/>
  <c r="BA42" i="1"/>
  <c r="AY42" i="1"/>
  <c r="AX42" i="1"/>
  <c r="BA1154" i="1"/>
  <c r="AY1154" i="1"/>
  <c r="AX1154" i="1"/>
  <c r="BA338" i="1"/>
  <c r="AY338" i="1"/>
  <c r="AX338" i="1"/>
  <c r="BA746" i="1"/>
  <c r="AY746" i="1"/>
  <c r="AX746" i="1"/>
  <c r="BA1665" i="1"/>
  <c r="AY1665" i="1"/>
  <c r="AX1665" i="1"/>
  <c r="BA39" i="1"/>
  <c r="AY39" i="1"/>
  <c r="AX39" i="1"/>
  <c r="BA1299" i="1"/>
  <c r="AY1299" i="1"/>
  <c r="AX1299" i="1"/>
  <c r="BA443" i="1"/>
  <c r="AY443" i="1"/>
  <c r="AX443" i="1"/>
  <c r="BA59" i="1"/>
  <c r="AY59" i="1"/>
  <c r="AX59" i="1"/>
  <c r="BA1309" i="1"/>
  <c r="AY1309" i="1"/>
  <c r="AX1309" i="1"/>
  <c r="BA981" i="1"/>
  <c r="AY981" i="1"/>
  <c r="AX981" i="1"/>
  <c r="BA1213" i="1"/>
  <c r="AY1213" i="1"/>
  <c r="AX1213" i="1"/>
  <c r="BA711" i="1"/>
  <c r="AY711" i="1"/>
  <c r="AX711" i="1"/>
  <c r="BA1065" i="1"/>
  <c r="AY1065" i="1"/>
  <c r="AX1065" i="1"/>
  <c r="BA1735" i="1"/>
  <c r="AY1735" i="1"/>
  <c r="AX1735" i="1"/>
  <c r="BA300" i="1"/>
  <c r="AY300" i="1"/>
  <c r="AX300" i="1"/>
  <c r="BA536" i="1"/>
  <c r="AY536" i="1"/>
  <c r="AX536" i="1"/>
  <c r="BA582" i="1"/>
  <c r="AY582" i="1"/>
  <c r="AX582" i="1"/>
  <c r="BA303" i="1"/>
  <c r="AY303" i="1"/>
  <c r="AX303" i="1"/>
  <c r="BA1197" i="1"/>
  <c r="AY1197" i="1"/>
  <c r="AX1197" i="1"/>
  <c r="BA1424" i="1"/>
  <c r="AY1424" i="1"/>
  <c r="AX1424" i="1"/>
  <c r="BA1139" i="1"/>
  <c r="AY1139" i="1"/>
  <c r="AX1139" i="1"/>
  <c r="BA842" i="1"/>
  <c r="AY842" i="1"/>
  <c r="AX842" i="1"/>
  <c r="BA1250" i="1"/>
  <c r="AY1250" i="1"/>
  <c r="AX1250" i="1"/>
  <c r="BA563" i="1"/>
  <c r="AY563" i="1"/>
  <c r="AX563" i="1"/>
  <c r="BA1827" i="1"/>
  <c r="AY1827" i="1"/>
  <c r="AX1827" i="1"/>
  <c r="BA98" i="1"/>
  <c r="AY98" i="1"/>
  <c r="AX98" i="1"/>
  <c r="BA1726" i="1"/>
  <c r="AY1726" i="1"/>
  <c r="AX1726" i="1"/>
  <c r="BA1549" i="1"/>
  <c r="AY1549" i="1"/>
  <c r="AX1549" i="1"/>
  <c r="BA1659" i="1"/>
  <c r="AY1659" i="1"/>
  <c r="AX1659" i="1"/>
  <c r="BA782" i="1"/>
  <c r="AY782" i="1"/>
  <c r="AX782" i="1"/>
  <c r="BA533" i="1"/>
  <c r="AY533" i="1"/>
  <c r="AX533" i="1"/>
  <c r="BA1831" i="1"/>
  <c r="AY1831" i="1"/>
  <c r="AX1831" i="1"/>
  <c r="BA574" i="1"/>
  <c r="AY574" i="1"/>
  <c r="AX574" i="1"/>
  <c r="BA930" i="1"/>
  <c r="AY930" i="1"/>
  <c r="AX930" i="1"/>
  <c r="BA332" i="1"/>
  <c r="AY332" i="1"/>
  <c r="AX332" i="1"/>
  <c r="BA1562" i="1"/>
  <c r="AY1562" i="1"/>
  <c r="AX1562" i="1"/>
  <c r="BA900" i="1"/>
  <c r="AY900" i="1"/>
  <c r="AX900" i="1"/>
  <c r="BA484" i="1"/>
  <c r="AY484" i="1"/>
  <c r="AX484" i="1"/>
  <c r="BA86" i="1"/>
  <c r="AY86" i="1"/>
  <c r="AX86" i="1"/>
  <c r="BA432" i="1"/>
  <c r="AY432" i="1"/>
  <c r="AX432" i="1"/>
  <c r="BA283" i="1"/>
  <c r="AY283" i="1"/>
  <c r="AX283" i="1"/>
  <c r="BA1905" i="1"/>
  <c r="AY1905" i="1"/>
  <c r="AX1905" i="1"/>
  <c r="BA69" i="1"/>
  <c r="AY69" i="1"/>
  <c r="AX69" i="1"/>
  <c r="BA1816" i="1"/>
  <c r="AY1816" i="1"/>
  <c r="AX1816" i="1"/>
  <c r="BA872" i="1"/>
  <c r="AY872" i="1"/>
  <c r="AX872" i="1"/>
  <c r="BA1207" i="1"/>
  <c r="AY1207" i="1"/>
  <c r="AX1207" i="1"/>
  <c r="BA2021" i="1"/>
  <c r="AY2021" i="1"/>
  <c r="AX2021" i="1"/>
  <c r="BA58" i="1"/>
  <c r="AY58" i="1"/>
  <c r="AX58" i="1"/>
  <c r="BA652" i="1"/>
  <c r="AY652" i="1"/>
  <c r="AX652" i="1"/>
  <c r="BA377" i="1"/>
  <c r="AY377" i="1"/>
  <c r="AX377" i="1"/>
  <c r="BA1814" i="1"/>
  <c r="AY1814" i="1"/>
  <c r="AX1814" i="1"/>
  <c r="BA91" i="1"/>
  <c r="AY91" i="1"/>
  <c r="AX91" i="1"/>
  <c r="BA1639" i="1"/>
  <c r="AY1639" i="1"/>
  <c r="AX1639" i="1"/>
  <c r="BA916" i="1"/>
  <c r="AY916" i="1"/>
  <c r="AX916" i="1"/>
  <c r="BA743" i="1"/>
  <c r="AY743" i="1"/>
  <c r="AX743" i="1"/>
  <c r="BA1179" i="1"/>
  <c r="AY1179" i="1"/>
  <c r="AX1179" i="1"/>
  <c r="BA154" i="1"/>
  <c r="AY154" i="1"/>
  <c r="AX154" i="1"/>
  <c r="BA1331" i="1"/>
  <c r="AY1331" i="1"/>
  <c r="AX1331" i="1"/>
  <c r="BA928" i="1"/>
  <c r="AY928" i="1"/>
  <c r="AX928" i="1"/>
  <c r="BA1124" i="1"/>
  <c r="AY1124" i="1"/>
  <c r="AX1124" i="1"/>
  <c r="BA968" i="1"/>
  <c r="AY968" i="1"/>
  <c r="AX968" i="1"/>
  <c r="BA1274" i="1"/>
  <c r="AY1274" i="1"/>
  <c r="AX1274" i="1"/>
  <c r="BA1720" i="1"/>
  <c r="AY1720" i="1"/>
  <c r="AX1720" i="1"/>
  <c r="BA1898" i="1"/>
  <c r="AY1898" i="1"/>
  <c r="AX1898" i="1"/>
  <c r="BA170" i="1"/>
  <c r="AY170" i="1"/>
  <c r="AX170" i="1"/>
  <c r="BA167" i="1"/>
  <c r="AY167" i="1"/>
  <c r="AX167" i="1"/>
  <c r="BA982" i="1"/>
  <c r="AY982" i="1"/>
  <c r="AX982" i="1"/>
  <c r="BA1853" i="1"/>
  <c r="AY1853" i="1"/>
  <c r="AX1853" i="1"/>
  <c r="BA596" i="1"/>
  <c r="AY596" i="1"/>
  <c r="AX596" i="1"/>
  <c r="BA682" i="1"/>
  <c r="AY682" i="1"/>
  <c r="AX682" i="1"/>
  <c r="BA1246" i="1"/>
  <c r="AY1246" i="1"/>
  <c r="AX1246" i="1"/>
  <c r="BA740" i="1"/>
  <c r="AY740" i="1"/>
  <c r="AX740" i="1"/>
  <c r="BA1692" i="1"/>
  <c r="AY1692" i="1"/>
  <c r="AX1692" i="1"/>
  <c r="BA1107" i="1"/>
  <c r="AY1107" i="1"/>
  <c r="AX1107" i="1"/>
  <c r="BA326" i="1"/>
  <c r="AY326" i="1"/>
  <c r="AX326" i="1"/>
  <c r="BA803" i="1"/>
  <c r="AY803" i="1"/>
  <c r="AX803" i="1"/>
  <c r="BA1900" i="1"/>
  <c r="AY1900" i="1"/>
  <c r="AX1900" i="1"/>
  <c r="BA540" i="1"/>
  <c r="AY540" i="1"/>
  <c r="AX540" i="1"/>
  <c r="BA400" i="1"/>
  <c r="AY400" i="1"/>
  <c r="AX400" i="1"/>
  <c r="BA172" i="1"/>
  <c r="AY172" i="1"/>
  <c r="AX172" i="1"/>
  <c r="BA1205" i="1"/>
  <c r="AY1205" i="1"/>
  <c r="AX1205" i="1"/>
  <c r="BA430" i="1"/>
  <c r="AY430" i="1"/>
  <c r="AX430" i="1"/>
  <c r="BA46" i="1"/>
  <c r="AY46" i="1"/>
  <c r="AX46" i="1"/>
  <c r="BA2015" i="1"/>
  <c r="AY2015" i="1"/>
  <c r="AX2015" i="1"/>
  <c r="BA1310" i="1"/>
  <c r="AY1310" i="1"/>
  <c r="AX1310" i="1"/>
  <c r="BA856" i="1"/>
  <c r="AY856" i="1"/>
  <c r="AX856" i="1"/>
  <c r="BA460" i="1"/>
  <c r="AY460" i="1"/>
  <c r="AX460" i="1"/>
  <c r="BA404" i="1"/>
  <c r="AY404" i="1"/>
  <c r="AX404" i="1"/>
  <c r="BA707" i="1"/>
  <c r="AY707" i="1"/>
  <c r="AX707" i="1"/>
  <c r="BA1513" i="1"/>
  <c r="AY1513" i="1"/>
  <c r="AX1513" i="1"/>
  <c r="BA757" i="1"/>
  <c r="AY757" i="1"/>
  <c r="AX757" i="1"/>
  <c r="BA1792" i="1"/>
  <c r="AY1792" i="1"/>
  <c r="AX1792" i="1"/>
  <c r="BA1668" i="1"/>
  <c r="AY1668" i="1"/>
  <c r="AX1668" i="1"/>
  <c r="BA128" i="1"/>
  <c r="AY128" i="1"/>
  <c r="AX128" i="1"/>
  <c r="BA741" i="1"/>
  <c r="AY741" i="1"/>
  <c r="AX741" i="1"/>
  <c r="BA1500" i="1"/>
  <c r="AY1500" i="1"/>
  <c r="AX1500" i="1"/>
  <c r="BA1099" i="1"/>
  <c r="AY1099" i="1"/>
  <c r="AX1099" i="1"/>
  <c r="BA1174" i="1"/>
  <c r="AY1174" i="1"/>
  <c r="AX1174" i="1"/>
  <c r="BA1600" i="1"/>
  <c r="AY1600" i="1"/>
  <c r="AX1600" i="1"/>
  <c r="BA550" i="1"/>
  <c r="AY550" i="1"/>
  <c r="AX550" i="1"/>
  <c r="BA413" i="1"/>
  <c r="AY413" i="1"/>
  <c r="AX413" i="1"/>
  <c r="BA1307" i="1"/>
  <c r="AY1307" i="1"/>
  <c r="AX1307" i="1"/>
  <c r="BA1928" i="1"/>
  <c r="AY1928" i="1"/>
  <c r="AX1928" i="1"/>
  <c r="BA381" i="1"/>
  <c r="AY381" i="1"/>
  <c r="AX381" i="1"/>
  <c r="BA1418" i="1"/>
  <c r="AY1418" i="1"/>
  <c r="AX1418" i="1"/>
  <c r="BA1280" i="1"/>
  <c r="AY1280" i="1"/>
  <c r="AX1280" i="1"/>
  <c r="BA1329" i="1"/>
  <c r="AY1329" i="1"/>
  <c r="AX1329" i="1"/>
  <c r="BA87" i="1"/>
  <c r="AY87" i="1"/>
  <c r="AX87" i="1"/>
  <c r="BA1837" i="1"/>
  <c r="AY1837" i="1"/>
  <c r="AX1837" i="1"/>
  <c r="BA1131" i="1"/>
  <c r="AY1131" i="1"/>
  <c r="AX1131" i="1"/>
  <c r="BA1481" i="1"/>
  <c r="AY1481" i="1"/>
  <c r="AX1481" i="1"/>
  <c r="BA625" i="1"/>
  <c r="AY625" i="1"/>
  <c r="AX625" i="1"/>
  <c r="BA1888" i="1"/>
  <c r="AY1888" i="1"/>
  <c r="AX1888" i="1"/>
  <c r="BA506" i="1"/>
  <c r="AY506" i="1"/>
  <c r="AX506" i="1"/>
  <c r="BA796" i="1"/>
  <c r="AY796" i="1"/>
  <c r="AX796" i="1"/>
  <c r="BA1990" i="1"/>
  <c r="AY1990" i="1"/>
  <c r="AX1990" i="1"/>
  <c r="BA724" i="1"/>
  <c r="AY724" i="1"/>
  <c r="AX724" i="1"/>
  <c r="BA422" i="1"/>
  <c r="AY422" i="1"/>
  <c r="AX422" i="1"/>
  <c r="BA1495" i="1"/>
  <c r="AY1495" i="1"/>
  <c r="AX1495" i="1"/>
  <c r="BA1416" i="1"/>
  <c r="AY1416" i="1"/>
  <c r="AX1416" i="1"/>
  <c r="BA1376" i="1"/>
  <c r="AY1376" i="1"/>
  <c r="AX1376" i="1"/>
  <c r="BA1976" i="1"/>
  <c r="AY1976" i="1"/>
  <c r="AX1976" i="1"/>
  <c r="BA1086" i="1"/>
  <c r="AY1086" i="1"/>
  <c r="AX1086" i="1"/>
  <c r="BA1656" i="1"/>
  <c r="AY1656" i="1"/>
  <c r="AX1656" i="1"/>
  <c r="BA719" i="1"/>
  <c r="AY719" i="1"/>
  <c r="AX719" i="1"/>
  <c r="BA193" i="1"/>
  <c r="AY193" i="1"/>
  <c r="AX193" i="1"/>
  <c r="BA556" i="1"/>
  <c r="AY556" i="1"/>
  <c r="AX556" i="1"/>
  <c r="BA1389" i="1"/>
  <c r="AY1389" i="1"/>
  <c r="AX1389" i="1"/>
  <c r="BA157" i="1"/>
  <c r="AY157" i="1"/>
  <c r="AX157" i="1"/>
  <c r="BA845" i="1"/>
  <c r="AY845" i="1"/>
  <c r="AX845" i="1"/>
  <c r="BA367" i="1"/>
  <c r="AY367" i="1"/>
  <c r="AX367" i="1"/>
  <c r="BA862" i="1"/>
  <c r="AY862" i="1"/>
  <c r="AX862" i="1"/>
  <c r="BA1456" i="1"/>
  <c r="AY1456" i="1"/>
  <c r="AX1456" i="1"/>
  <c r="BA937" i="1"/>
  <c r="AY937" i="1"/>
  <c r="AX937" i="1"/>
  <c r="BA1327" i="1"/>
  <c r="AY1327" i="1"/>
  <c r="AX1327" i="1"/>
  <c r="BA966" i="1"/>
  <c r="AY966" i="1"/>
  <c r="AX966" i="1"/>
  <c r="BA215" i="1"/>
  <c r="AY215" i="1"/>
  <c r="AX215" i="1"/>
  <c r="BA576" i="1"/>
  <c r="AY576" i="1"/>
  <c r="AX576" i="1"/>
  <c r="BA488" i="1"/>
  <c r="AY488" i="1"/>
  <c r="AX488" i="1"/>
  <c r="BA117" i="1"/>
  <c r="AY117" i="1"/>
  <c r="AX117" i="1"/>
  <c r="BA1553" i="1"/>
  <c r="AY1553" i="1"/>
  <c r="AX1553" i="1"/>
  <c r="BA1191" i="1"/>
  <c r="AY1191" i="1"/>
  <c r="AX1191" i="1"/>
  <c r="BA562" i="1"/>
  <c r="AY562" i="1"/>
  <c r="AX562" i="1"/>
  <c r="BA1899" i="1"/>
  <c r="AY1899" i="1"/>
  <c r="AX1899" i="1"/>
  <c r="BA1359" i="1"/>
  <c r="AY1359" i="1"/>
  <c r="AX1359" i="1"/>
  <c r="BA1970" i="1"/>
  <c r="AY1970" i="1"/>
  <c r="AX1970" i="1"/>
  <c r="BA1422" i="1"/>
  <c r="AY1422" i="1"/>
  <c r="AX1422" i="1"/>
  <c r="BA119" i="1"/>
  <c r="AY119" i="1"/>
  <c r="AX119" i="1"/>
  <c r="BA26" i="1"/>
  <c r="AY26" i="1"/>
  <c r="AX26" i="1"/>
  <c r="BA17" i="1"/>
  <c r="AY17" i="1"/>
  <c r="AX17" i="1"/>
  <c r="BA1958" i="1"/>
  <c r="AY1958" i="1"/>
  <c r="AX1958" i="1"/>
  <c r="BA914" i="1"/>
  <c r="AY914" i="1"/>
  <c r="AX914" i="1"/>
  <c r="BA1245" i="1"/>
  <c r="AY1245" i="1"/>
  <c r="AX1245" i="1"/>
  <c r="BA1904" i="1"/>
  <c r="AY1904" i="1"/>
  <c r="AX1904" i="1"/>
  <c r="BA817" i="1"/>
  <c r="AY817" i="1"/>
  <c r="AX817" i="1"/>
  <c r="BA1531" i="1"/>
  <c r="AY1531" i="1"/>
  <c r="AX1531" i="1"/>
  <c r="BA1932" i="1"/>
  <c r="AY1932" i="1"/>
  <c r="AX1932" i="1"/>
  <c r="BA162" i="1"/>
  <c r="AY162" i="1"/>
  <c r="AX162" i="1"/>
  <c r="BA1343" i="1"/>
  <c r="AY1343" i="1"/>
  <c r="AX1343" i="1"/>
  <c r="BA452" i="1"/>
  <c r="AY452" i="1"/>
  <c r="AX452" i="1"/>
  <c r="BA77" i="1"/>
  <c r="AY77" i="1"/>
  <c r="AX77" i="1"/>
  <c r="BA953" i="1"/>
  <c r="AY953" i="1"/>
  <c r="AX953" i="1"/>
  <c r="BA646" i="1"/>
  <c r="AY646" i="1"/>
  <c r="AX646" i="1"/>
  <c r="BA1040" i="1"/>
  <c r="AY1040" i="1"/>
  <c r="AX1040" i="1"/>
  <c r="BA870" i="1"/>
  <c r="AY870" i="1"/>
  <c r="AX870" i="1"/>
  <c r="BA1428" i="1"/>
  <c r="AY1428" i="1"/>
  <c r="AX1428" i="1"/>
  <c r="BA2004" i="1"/>
  <c r="AY2004" i="1"/>
  <c r="AX2004" i="1"/>
  <c r="BA934" i="1"/>
  <c r="AY934" i="1"/>
  <c r="AX934" i="1"/>
  <c r="BA1941" i="1"/>
  <c r="AY1941" i="1"/>
  <c r="AX1941" i="1"/>
  <c r="BA744" i="1"/>
  <c r="AY744" i="1"/>
  <c r="AX744" i="1"/>
  <c r="BA516" i="1"/>
  <c r="AY516" i="1"/>
  <c r="AX516" i="1"/>
  <c r="BA1402" i="1"/>
  <c r="AY1402" i="1"/>
  <c r="AX1402" i="1"/>
  <c r="BA55" i="1"/>
  <c r="AY55" i="1"/>
  <c r="AX55" i="1"/>
  <c r="BA1335" i="1"/>
  <c r="AY1335" i="1"/>
  <c r="AX1335" i="1"/>
  <c r="BA774" i="1"/>
  <c r="AY774" i="1"/>
  <c r="AX774" i="1"/>
  <c r="BA1611" i="1"/>
  <c r="AY1611" i="1"/>
  <c r="AX1611" i="1"/>
  <c r="BA1850" i="1"/>
  <c r="AY1850" i="1"/>
  <c r="AX1850" i="1"/>
  <c r="BA1947" i="1"/>
  <c r="AY1947" i="1"/>
  <c r="AX1947" i="1"/>
  <c r="BA435" i="1"/>
  <c r="AY435" i="1"/>
  <c r="AX435" i="1"/>
  <c r="BA1152" i="1"/>
  <c r="AY1152" i="1"/>
  <c r="AX1152" i="1"/>
  <c r="BA837" i="1"/>
  <c r="AY837" i="1"/>
  <c r="AX837" i="1"/>
  <c r="BA903" i="1"/>
  <c r="AY903" i="1"/>
  <c r="AX903" i="1"/>
  <c r="BA169" i="1"/>
  <c r="AY169" i="1"/>
  <c r="AX169" i="1"/>
  <c r="BA1334" i="1"/>
  <c r="AY1334" i="1"/>
  <c r="AX1334" i="1"/>
  <c r="BA1143" i="1"/>
  <c r="AY1143" i="1"/>
  <c r="AX1143" i="1"/>
  <c r="BA1864" i="1"/>
  <c r="AY1864" i="1"/>
  <c r="AX1864" i="1"/>
  <c r="BA1926" i="1"/>
  <c r="AY1926" i="1"/>
  <c r="AX1926" i="1"/>
  <c r="BA1461" i="1"/>
  <c r="AY1461" i="1"/>
  <c r="AX1461" i="1"/>
  <c r="BA314" i="1"/>
  <c r="AY314" i="1"/>
  <c r="AX314" i="1"/>
  <c r="BA1614" i="1"/>
  <c r="AY1614" i="1"/>
  <c r="AX1614" i="1"/>
  <c r="BA1069" i="1"/>
  <c r="AY1069" i="1"/>
  <c r="AX1069" i="1"/>
  <c r="BA1978" i="1"/>
  <c r="AY1978" i="1"/>
  <c r="AX1978" i="1"/>
  <c r="BA1787" i="1"/>
  <c r="AY1787" i="1"/>
  <c r="AX1787" i="1"/>
  <c r="BA1534" i="1"/>
  <c r="AY1534" i="1"/>
  <c r="AX1534" i="1"/>
  <c r="BA567" i="1"/>
  <c r="AY567" i="1"/>
  <c r="AX567" i="1"/>
  <c r="BA125" i="1"/>
  <c r="AY125" i="1"/>
  <c r="AX125" i="1"/>
  <c r="BA78" i="1"/>
  <c r="AY78" i="1"/>
  <c r="AX78" i="1"/>
  <c r="BA985" i="1"/>
  <c r="AY985" i="1"/>
  <c r="AX985" i="1"/>
  <c r="BA1564" i="1"/>
  <c r="AY1564" i="1"/>
  <c r="AX1564" i="1"/>
  <c r="BA704" i="1"/>
  <c r="AY704" i="1"/>
  <c r="AX704" i="1"/>
  <c r="BA1315" i="1"/>
  <c r="AY1315" i="1"/>
  <c r="AX1315" i="1"/>
  <c r="BA1297" i="1"/>
  <c r="AY1297" i="1"/>
  <c r="AX1297" i="1"/>
  <c r="BA649" i="1"/>
  <c r="AY649" i="1"/>
  <c r="AX649" i="1"/>
  <c r="BA1598" i="1"/>
  <c r="AY1598" i="1"/>
  <c r="AX1598" i="1"/>
  <c r="BA1089" i="1"/>
  <c r="AY1089" i="1"/>
  <c r="AX1089" i="1"/>
  <c r="BA278" i="1"/>
  <c r="AY278" i="1"/>
  <c r="AX278" i="1"/>
  <c r="BA1061" i="1"/>
  <c r="AY1061" i="1"/>
  <c r="AX1061" i="1"/>
  <c r="BA755" i="1"/>
  <c r="AY755" i="1"/>
  <c r="AX755" i="1"/>
  <c r="BA1580" i="1"/>
  <c r="AY1580" i="1"/>
  <c r="AX1580" i="1"/>
  <c r="BA1535" i="1"/>
  <c r="AY1535" i="1"/>
  <c r="AX1535" i="1"/>
  <c r="BA1892" i="1"/>
  <c r="AY1892" i="1"/>
  <c r="AX1892" i="1"/>
  <c r="BA1633" i="1"/>
  <c r="AY1633" i="1"/>
  <c r="AX1633" i="1"/>
  <c r="BA131" i="1"/>
  <c r="AY131" i="1"/>
  <c r="AX131" i="1"/>
  <c r="BA1886" i="1"/>
  <c r="AY1886" i="1"/>
  <c r="AX1886" i="1"/>
  <c r="BA947" i="1"/>
  <c r="AY947" i="1"/>
  <c r="AX947" i="1"/>
  <c r="BA531" i="1"/>
  <c r="AY531" i="1"/>
  <c r="AX531" i="1"/>
  <c r="BA496" i="1"/>
  <c r="AY496" i="1"/>
  <c r="AX496" i="1"/>
  <c r="BA820" i="1"/>
  <c r="AY820" i="1"/>
  <c r="AX820" i="1"/>
  <c r="BA1012" i="1"/>
  <c r="AY1012" i="1"/>
  <c r="AX1012" i="1"/>
  <c r="BA447" i="1"/>
  <c r="AY447" i="1"/>
  <c r="AX447" i="1"/>
  <c r="BA871" i="1"/>
  <c r="AY871" i="1"/>
  <c r="AX871" i="1"/>
  <c r="BA687" i="1"/>
  <c r="AY687" i="1"/>
  <c r="AX687" i="1"/>
  <c r="BA1558" i="1"/>
  <c r="AY1558" i="1"/>
  <c r="AX1558" i="1"/>
  <c r="BA1712" i="1"/>
  <c r="AY1712" i="1"/>
  <c r="AX1712" i="1"/>
  <c r="BA1270" i="1"/>
  <c r="AY1270" i="1"/>
  <c r="AX1270" i="1"/>
  <c r="BA372" i="1"/>
  <c r="AY372" i="1"/>
  <c r="AX372" i="1"/>
  <c r="BA1122" i="1"/>
  <c r="AY1122" i="1"/>
  <c r="AX1122" i="1"/>
  <c r="BA836" i="1"/>
  <c r="AY836" i="1"/>
  <c r="AX836" i="1"/>
  <c r="BA1887" i="1"/>
  <c r="AY1887" i="1"/>
  <c r="AX1887" i="1"/>
  <c r="BA1036" i="1"/>
  <c r="AY1036" i="1"/>
  <c r="AX1036" i="1"/>
  <c r="BA1323" i="1"/>
  <c r="AY1323" i="1"/>
  <c r="AX1323" i="1"/>
  <c r="BA1514" i="1"/>
  <c r="AY1514" i="1"/>
  <c r="AX1514" i="1"/>
  <c r="BA1936" i="1"/>
  <c r="AY1936" i="1"/>
  <c r="AX1936" i="1"/>
  <c r="BA952" i="1"/>
  <c r="AY952" i="1"/>
  <c r="AX952" i="1"/>
  <c r="BA1157" i="1"/>
  <c r="AY1157" i="1"/>
  <c r="AX1157" i="1"/>
  <c r="BA1002" i="1"/>
  <c r="AY1002" i="1"/>
  <c r="AX1002" i="1"/>
  <c r="BA974" i="1"/>
  <c r="AY974" i="1"/>
  <c r="AX974" i="1"/>
  <c r="BA1088" i="1"/>
  <c r="AY1088" i="1"/>
  <c r="AX1088" i="1"/>
  <c r="BA1954" i="1"/>
  <c r="AY1954" i="1"/>
  <c r="AX1954" i="1"/>
  <c r="BA1051" i="1"/>
  <c r="AY1051" i="1"/>
  <c r="AX1051" i="1"/>
  <c r="BA1038" i="1"/>
  <c r="AY1038" i="1"/>
  <c r="AX1038" i="1"/>
  <c r="BA830" i="1"/>
  <c r="AY830" i="1"/>
  <c r="AX830" i="1"/>
  <c r="BA1752" i="1"/>
  <c r="AY1752" i="1"/>
  <c r="AX1752" i="1"/>
  <c r="BA895" i="1"/>
  <c r="AY895" i="1"/>
  <c r="AX895" i="1"/>
  <c r="BA1685" i="1"/>
  <c r="AY1685" i="1"/>
  <c r="AX1685" i="1"/>
  <c r="BA1605" i="1"/>
  <c r="AY1605" i="1"/>
  <c r="AX1605" i="1"/>
  <c r="BA387" i="1"/>
  <c r="AY387" i="1"/>
  <c r="AX387" i="1"/>
  <c r="BA1801" i="1"/>
  <c r="AY1801" i="1"/>
  <c r="AX1801" i="1"/>
  <c r="BA775" i="1"/>
  <c r="AY775" i="1"/>
  <c r="AX775" i="1"/>
  <c r="BA998" i="1"/>
  <c r="AY998" i="1"/>
  <c r="AX998" i="1"/>
  <c r="BA510" i="1"/>
  <c r="AY510" i="1"/>
  <c r="AX510" i="1"/>
  <c r="BA986" i="1"/>
  <c r="AY986" i="1"/>
  <c r="AX986" i="1"/>
  <c r="BA1828" i="1"/>
  <c r="AY1828" i="1"/>
  <c r="AX1828" i="1"/>
  <c r="BA1283" i="1"/>
  <c r="AY1283" i="1"/>
  <c r="AX1283" i="1"/>
  <c r="BA350" i="1"/>
  <c r="AY350" i="1"/>
  <c r="AX350" i="1"/>
  <c r="BA48" i="1"/>
  <c r="AY48" i="1"/>
  <c r="AX48" i="1"/>
  <c r="BA988" i="1"/>
  <c r="AY988" i="1"/>
  <c r="AX988" i="1"/>
  <c r="BA1506" i="1"/>
  <c r="AY1506" i="1"/>
  <c r="AX1506" i="1"/>
  <c r="BA451" i="1"/>
  <c r="AY451" i="1"/>
  <c r="AX451" i="1"/>
  <c r="BA1496" i="1"/>
  <c r="AY1496" i="1"/>
  <c r="AX1496" i="1"/>
  <c r="BA1117" i="1"/>
  <c r="AY1117" i="1"/>
  <c r="AX1117" i="1"/>
  <c r="BA1019" i="1"/>
  <c r="AY1019" i="1"/>
  <c r="AX1019" i="1"/>
  <c r="BA1989" i="1"/>
  <c r="AY1989" i="1"/>
  <c r="AX1989" i="1"/>
  <c r="BA282" i="1"/>
  <c r="AY282" i="1"/>
  <c r="AX282" i="1"/>
  <c r="BA208" i="1"/>
  <c r="AY208" i="1"/>
  <c r="AX208" i="1"/>
  <c r="BA1556" i="1"/>
  <c r="AY1556" i="1"/>
  <c r="AX1556" i="1"/>
  <c r="BA474" i="1"/>
  <c r="AY474" i="1"/>
  <c r="AX474" i="1"/>
  <c r="BA1450" i="1"/>
  <c r="AY1450" i="1"/>
  <c r="AX1450" i="1"/>
  <c r="BA1547" i="1"/>
  <c r="AY1547" i="1"/>
  <c r="AX1547" i="1"/>
  <c r="BA103" i="1"/>
  <c r="AY103" i="1"/>
  <c r="AX103" i="1"/>
  <c r="BA1223" i="1"/>
  <c r="AY1223" i="1"/>
  <c r="AX1223" i="1"/>
  <c r="BA146" i="1"/>
  <c r="AY146" i="1"/>
  <c r="AX146" i="1"/>
  <c r="BA229" i="1"/>
  <c r="AY229" i="1"/>
  <c r="AX229" i="1"/>
  <c r="BA1640" i="1"/>
  <c r="AY1640" i="1"/>
  <c r="AX1640" i="1"/>
  <c r="BA762" i="1"/>
  <c r="AY762" i="1"/>
  <c r="AX762" i="1"/>
  <c r="BA176" i="1"/>
  <c r="AY176" i="1"/>
  <c r="AX176" i="1"/>
  <c r="BA1195" i="1"/>
  <c r="AY1195" i="1"/>
  <c r="AX1195" i="1"/>
  <c r="BA1497" i="1"/>
  <c r="AY1497" i="1"/>
  <c r="AX1497" i="1"/>
  <c r="BA1774" i="1"/>
  <c r="AY1774" i="1"/>
  <c r="AX1774" i="1"/>
  <c r="BA25" i="1"/>
  <c r="AY25" i="1"/>
  <c r="AX25" i="1"/>
  <c r="BA492" i="1"/>
  <c r="AY492" i="1"/>
  <c r="AX492" i="1"/>
  <c r="BA979" i="1"/>
  <c r="AY979" i="1"/>
  <c r="AX979" i="1"/>
  <c r="BA497" i="1"/>
  <c r="AY497" i="1"/>
  <c r="AX497" i="1"/>
  <c r="BA694" i="1"/>
  <c r="AY694" i="1"/>
  <c r="AX694" i="1"/>
  <c r="BA1193" i="1"/>
  <c r="AY1193" i="1"/>
  <c r="AX1193" i="1"/>
  <c r="BA1219" i="1"/>
  <c r="AY1219" i="1"/>
  <c r="AX1219" i="1"/>
  <c r="BA419" i="1"/>
  <c r="AY419" i="1"/>
  <c r="AX419" i="1"/>
  <c r="BA1829" i="1"/>
  <c r="AY1829" i="1"/>
  <c r="AX1829" i="1"/>
  <c r="BA537" i="1"/>
  <c r="AY537" i="1"/>
  <c r="AX537" i="1"/>
  <c r="BA1826" i="1"/>
  <c r="AY1826" i="1"/>
  <c r="AX1826" i="1"/>
  <c r="BA1671" i="1"/>
  <c r="AY1671" i="1"/>
  <c r="AX1671" i="1"/>
  <c r="BA1186" i="1"/>
  <c r="AY1186" i="1"/>
  <c r="AX1186" i="1"/>
  <c r="BA1519" i="1"/>
  <c r="AY1519" i="1"/>
  <c r="AX1519" i="1"/>
  <c r="BA710" i="1"/>
  <c r="AY710" i="1"/>
  <c r="AX710" i="1"/>
  <c r="BA225" i="1"/>
  <c r="AY225" i="1"/>
  <c r="AX225" i="1"/>
  <c r="BA918" i="1"/>
  <c r="AY918" i="1"/>
  <c r="AX918" i="1"/>
  <c r="BA1480" i="1"/>
  <c r="AY1480" i="1"/>
  <c r="AX1480" i="1"/>
  <c r="BA661" i="1"/>
  <c r="AY661" i="1"/>
  <c r="AX661" i="1"/>
  <c r="BA1253" i="1"/>
  <c r="AY1253" i="1"/>
  <c r="AX1253" i="1"/>
  <c r="BA1206" i="1"/>
  <c r="AY1206" i="1"/>
  <c r="AX1206" i="1"/>
  <c r="BA1045" i="1"/>
  <c r="AY1045" i="1"/>
  <c r="AX1045" i="1"/>
  <c r="BA1076" i="1"/>
  <c r="AY1076" i="1"/>
  <c r="AX1076" i="1"/>
  <c r="BA383" i="1"/>
  <c r="AY383" i="1"/>
  <c r="AX383" i="1"/>
  <c r="BA494" i="1"/>
  <c r="AY494" i="1"/>
  <c r="AX494" i="1"/>
  <c r="BA1631" i="1"/>
  <c r="AY1631" i="1"/>
  <c r="AX1631" i="1"/>
  <c r="BA818" i="1"/>
  <c r="AY818" i="1"/>
  <c r="AX818" i="1"/>
  <c r="BA515" i="1"/>
  <c r="AY515" i="1"/>
  <c r="AX515" i="1"/>
  <c r="BA378" i="1"/>
  <c r="AY378" i="1"/>
  <c r="AX378" i="1"/>
  <c r="BA2000" i="1"/>
  <c r="AY2000" i="1"/>
  <c r="AX2000" i="1"/>
  <c r="BA1856" i="1"/>
  <c r="AY1856" i="1"/>
  <c r="AX1856" i="1"/>
  <c r="BA1857" i="1"/>
  <c r="AY1857" i="1"/>
  <c r="AX1857" i="1"/>
  <c r="BA1183" i="1"/>
  <c r="AY1183" i="1"/>
  <c r="AX1183" i="1"/>
  <c r="BA558" i="1"/>
  <c r="AY558" i="1"/>
  <c r="AX558" i="1"/>
  <c r="BA1030" i="1"/>
  <c r="AY1030" i="1"/>
  <c r="AX1030" i="1"/>
  <c r="BA866" i="1"/>
  <c r="AY866" i="1"/>
  <c r="AX866" i="1"/>
  <c r="BA1955" i="1"/>
  <c r="AY1955" i="1"/>
  <c r="AX1955" i="1"/>
  <c r="BA237" i="1"/>
  <c r="AY237" i="1"/>
  <c r="AX237" i="1"/>
  <c r="BA1808" i="1"/>
  <c r="AY1808" i="1"/>
  <c r="AX1808" i="1"/>
  <c r="BA161" i="1"/>
  <c r="AY161" i="1"/>
  <c r="AX161" i="1"/>
  <c r="BA812" i="1"/>
  <c r="AY812" i="1"/>
  <c r="AX812" i="1"/>
  <c r="BA2020" i="1"/>
  <c r="AY2020" i="1"/>
  <c r="AX2020" i="1"/>
  <c r="BA1467" i="1"/>
  <c r="AY1467" i="1"/>
  <c r="AX1467" i="1"/>
  <c r="BA340" i="1"/>
  <c r="AY340" i="1"/>
  <c r="AX340" i="1"/>
  <c r="BA50" i="1"/>
  <c r="AY50" i="1"/>
  <c r="AX50" i="1"/>
  <c r="BA1802" i="1"/>
  <c r="AY1802" i="1"/>
  <c r="AX1802" i="1"/>
  <c r="BA1473" i="1"/>
  <c r="AY1473" i="1"/>
  <c r="AX1473" i="1"/>
  <c r="BA941" i="1"/>
  <c r="AY941" i="1"/>
  <c r="AX941" i="1"/>
  <c r="BA1009" i="1"/>
  <c r="AY1009" i="1"/>
  <c r="AX1009" i="1"/>
  <c r="BA1560" i="1"/>
  <c r="AY1560" i="1"/>
  <c r="AX1560" i="1"/>
  <c r="BA138" i="1"/>
  <c r="AY138" i="1"/>
  <c r="AX138" i="1"/>
  <c r="BA503" i="1"/>
  <c r="AY503" i="1"/>
  <c r="AX503" i="1"/>
  <c r="BA1004" i="1"/>
  <c r="AY1004" i="1"/>
  <c r="AX1004" i="1"/>
  <c r="BA183" i="1"/>
  <c r="AY183" i="1"/>
  <c r="AX183" i="1"/>
  <c r="BA1156" i="1"/>
  <c r="AY1156" i="1"/>
  <c r="AX1156" i="1"/>
  <c r="BA874" i="1"/>
  <c r="AY874" i="1"/>
  <c r="AX874" i="1"/>
  <c r="BA429" i="1"/>
  <c r="AY429" i="1"/>
  <c r="AX429" i="1"/>
  <c r="BA720" i="1"/>
  <c r="AY720" i="1"/>
  <c r="AX720" i="1"/>
  <c r="BA956" i="1"/>
  <c r="AY956" i="1"/>
  <c r="AX956" i="1"/>
  <c r="BA1322" i="1"/>
  <c r="AY1322" i="1"/>
  <c r="AX1322" i="1"/>
  <c r="BA980" i="1"/>
  <c r="AY980" i="1"/>
  <c r="AX980" i="1"/>
  <c r="BA337" i="1"/>
  <c r="AY337" i="1"/>
  <c r="AX337" i="1"/>
  <c r="BA538" i="1"/>
  <c r="AY538" i="1"/>
  <c r="AX538" i="1"/>
  <c r="BA991" i="1"/>
  <c r="AY991" i="1"/>
  <c r="AX991" i="1"/>
  <c r="BA1634" i="1"/>
  <c r="AY1634" i="1"/>
  <c r="AX1634" i="1"/>
  <c r="BA411" i="1"/>
  <c r="AY411" i="1"/>
  <c r="AX411" i="1"/>
  <c r="BA1487" i="1"/>
  <c r="AY1487" i="1"/>
  <c r="AX1487" i="1"/>
  <c r="BA832" i="1"/>
  <c r="AY832" i="1"/>
  <c r="AX832" i="1"/>
  <c r="BA44" i="1"/>
  <c r="AY44" i="1"/>
  <c r="AX44" i="1"/>
  <c r="BA1367" i="1"/>
  <c r="AY1367" i="1"/>
  <c r="AX1367" i="1"/>
  <c r="BA777" i="1"/>
  <c r="AY777" i="1"/>
  <c r="AX777" i="1"/>
  <c r="BA1071" i="1"/>
  <c r="AY1071" i="1"/>
  <c r="AX1071" i="1"/>
  <c r="BA465" i="1"/>
  <c r="AY465" i="1"/>
  <c r="AX465" i="1"/>
  <c r="BA739" i="1"/>
  <c r="AY739" i="1"/>
  <c r="AX739" i="1"/>
  <c r="BA178" i="1"/>
  <c r="AY178" i="1"/>
  <c r="AX178" i="1"/>
  <c r="BA534" i="1"/>
  <c r="AY534" i="1"/>
  <c r="AX534" i="1"/>
  <c r="BA461" i="1"/>
  <c r="AY461" i="1"/>
  <c r="AX461" i="1"/>
  <c r="BA1942" i="1"/>
  <c r="AY1942" i="1"/>
  <c r="AX1942" i="1"/>
  <c r="BA1938" i="1"/>
  <c r="AY1938" i="1"/>
  <c r="AX1938" i="1"/>
  <c r="BA908" i="1"/>
  <c r="AY908" i="1"/>
  <c r="AX908" i="1"/>
  <c r="BA891" i="1"/>
  <c r="AY891" i="1"/>
  <c r="AX891" i="1"/>
  <c r="BA797" i="1"/>
  <c r="AY797" i="1"/>
  <c r="AX797" i="1"/>
  <c r="BA1457" i="1"/>
  <c r="AY1457" i="1"/>
  <c r="AX1457" i="1"/>
  <c r="BA675" i="1"/>
  <c r="AY675" i="1"/>
  <c r="AX675" i="1"/>
  <c r="BA150" i="1"/>
  <c r="AY150" i="1"/>
  <c r="AX150" i="1"/>
  <c r="BA1608" i="1"/>
  <c r="AY1608" i="1"/>
  <c r="AX1608" i="1"/>
  <c r="BA1588" i="1"/>
  <c r="AY1588" i="1"/>
  <c r="AX1588" i="1"/>
  <c r="BA1896" i="1"/>
  <c r="AY1896" i="1"/>
  <c r="AX1896" i="1"/>
  <c r="BA597" i="1"/>
  <c r="AY597" i="1"/>
  <c r="AX597" i="1"/>
  <c r="BA1432" i="1"/>
  <c r="AY1432" i="1"/>
  <c r="AX1432" i="1"/>
  <c r="BA1106" i="1"/>
  <c r="AY1106" i="1"/>
  <c r="AX1106" i="1"/>
  <c r="BA1113" i="1"/>
  <c r="AY1113" i="1"/>
  <c r="AX1113" i="1"/>
  <c r="BA1754" i="1"/>
  <c r="AY1754" i="1"/>
  <c r="AX1754" i="1"/>
  <c r="BA1973" i="1"/>
  <c r="AY1973" i="1"/>
  <c r="AX1973" i="1"/>
  <c r="BA882" i="1"/>
  <c r="AY882" i="1"/>
  <c r="AX882" i="1"/>
  <c r="BA701" i="1"/>
  <c r="AY701" i="1"/>
  <c r="AX701" i="1"/>
  <c r="BA1001" i="1"/>
  <c r="AY1001" i="1"/>
  <c r="AX1001" i="1"/>
  <c r="BA16" i="1"/>
  <c r="AY16" i="1"/>
  <c r="AX16" i="1"/>
  <c r="BA1823" i="1"/>
  <c r="AY1823" i="1"/>
  <c r="AX1823" i="1"/>
  <c r="BA1292" i="1"/>
  <c r="AY1292" i="1"/>
  <c r="AX1292" i="1"/>
  <c r="BA1185" i="1"/>
  <c r="AY1185" i="1"/>
  <c r="AX1185" i="1"/>
  <c r="BA1408" i="1"/>
  <c r="AY1408" i="1"/>
  <c r="AX1408" i="1"/>
  <c r="BA293" i="1"/>
  <c r="AY293" i="1"/>
  <c r="AX293" i="1"/>
  <c r="BA213" i="1"/>
  <c r="AY213" i="1"/>
  <c r="AX213" i="1"/>
  <c r="BA1200" i="1"/>
  <c r="AY1200" i="1"/>
  <c r="AX1200" i="1"/>
  <c r="BA559" i="1"/>
  <c r="AY559" i="1"/>
  <c r="AX559" i="1"/>
  <c r="BA316" i="1"/>
  <c r="AY316" i="1"/>
  <c r="AX316" i="1"/>
  <c r="BA1039" i="1"/>
  <c r="AY1039" i="1"/>
  <c r="AX1039" i="1"/>
  <c r="BA200" i="1"/>
  <c r="AY200" i="1"/>
  <c r="AX200" i="1"/>
  <c r="BA657" i="1"/>
  <c r="AY657" i="1"/>
  <c r="AX657" i="1"/>
  <c r="BA151" i="1"/>
  <c r="AY151" i="1"/>
  <c r="AX151" i="1"/>
  <c r="BA221" i="1"/>
  <c r="AY221" i="1"/>
  <c r="AX221" i="1"/>
  <c r="BA1910" i="1"/>
  <c r="AY1910" i="1"/>
  <c r="AX1910" i="1"/>
  <c r="BA1604" i="1"/>
  <c r="AY1604" i="1"/>
  <c r="AX1604" i="1"/>
  <c r="BA1691" i="1"/>
  <c r="AY1691" i="1"/>
  <c r="AX1691" i="1"/>
  <c r="BA910" i="1"/>
  <c r="AY910" i="1"/>
  <c r="AX910" i="1"/>
  <c r="BA1544" i="1"/>
  <c r="AY1544" i="1"/>
  <c r="AX1544" i="1"/>
  <c r="BA1688" i="1"/>
  <c r="AY1688" i="1"/>
  <c r="AX1688" i="1"/>
  <c r="BA543" i="1"/>
  <c r="AY543" i="1"/>
  <c r="AX543" i="1"/>
  <c r="BA1585" i="1"/>
  <c r="AY1585" i="1"/>
  <c r="AX1585" i="1"/>
  <c r="BA15" i="1"/>
  <c r="AY15" i="1"/>
  <c r="AX15" i="1"/>
  <c r="BA1701" i="1"/>
  <c r="AY1701" i="1"/>
  <c r="AX1701" i="1"/>
  <c r="BA1194" i="1"/>
  <c r="AY1194" i="1"/>
  <c r="AX1194" i="1"/>
  <c r="BA1484" i="1"/>
  <c r="AY1484" i="1"/>
  <c r="AX1484" i="1"/>
  <c r="BA1290" i="1"/>
  <c r="AY1290" i="1"/>
  <c r="AX1290" i="1"/>
  <c r="BA1590" i="1"/>
  <c r="AY1590" i="1"/>
  <c r="AX1590" i="1"/>
  <c r="BA1783" i="1"/>
  <c r="AY1783" i="1"/>
  <c r="AX1783" i="1"/>
  <c r="BA964" i="1"/>
  <c r="AY964" i="1"/>
  <c r="AX964" i="1"/>
  <c r="BA391" i="1"/>
  <c r="AY391" i="1"/>
  <c r="AX391" i="1"/>
  <c r="BA1596" i="1"/>
  <c r="AY1596" i="1"/>
  <c r="AX1596" i="1"/>
  <c r="BA1861" i="1"/>
  <c r="AY1861" i="1"/>
  <c r="AX1861" i="1"/>
  <c r="BA1540" i="1"/>
  <c r="AY1540" i="1"/>
  <c r="AX1540" i="1"/>
  <c r="BA690" i="1"/>
  <c r="AY690" i="1"/>
  <c r="AX690" i="1"/>
  <c r="BA840" i="1"/>
  <c r="AY840" i="1"/>
  <c r="AX840" i="1"/>
  <c r="BA1539" i="1"/>
  <c r="AY1539" i="1"/>
  <c r="AX1539" i="1"/>
  <c r="BA198" i="1"/>
  <c r="AY198" i="1"/>
  <c r="AX198" i="1"/>
  <c r="BA1305" i="1"/>
  <c r="AY1305" i="1"/>
  <c r="AX1305" i="1"/>
  <c r="BA553" i="1"/>
  <c r="AY553" i="1"/>
  <c r="AX553" i="1"/>
  <c r="BA1573" i="1"/>
  <c r="AY1573" i="1"/>
  <c r="AX1573" i="1"/>
  <c r="BA936" i="1"/>
  <c r="AY936" i="1"/>
  <c r="AX936" i="1"/>
  <c r="BA643" i="1"/>
  <c r="AY643" i="1"/>
  <c r="AX643" i="1"/>
  <c r="BA1521" i="1"/>
  <c r="AY1521" i="1"/>
  <c r="AX1521" i="1"/>
  <c r="BA1257" i="1"/>
  <c r="AY1257" i="1"/>
  <c r="AX1257" i="1"/>
  <c r="BA1566" i="1"/>
  <c r="AY1566" i="1"/>
  <c r="AX1566" i="1"/>
  <c r="BA1541" i="1"/>
  <c r="AY1541" i="1"/>
  <c r="AX1541" i="1"/>
  <c r="BA801" i="1"/>
  <c r="AY801" i="1"/>
  <c r="AX801" i="1"/>
  <c r="BA1057" i="1"/>
  <c r="AY1057" i="1"/>
  <c r="AX1057" i="1"/>
  <c r="BA1812" i="1"/>
  <c r="AY1812" i="1"/>
  <c r="AX1812" i="1"/>
  <c r="BA1398" i="1"/>
  <c r="AY1398" i="1"/>
  <c r="AX1398" i="1"/>
  <c r="BA712" i="1"/>
  <c r="AY712" i="1"/>
  <c r="AX712" i="1"/>
  <c r="BA1743" i="1"/>
  <c r="AY1743" i="1"/>
  <c r="AX1743" i="1"/>
  <c r="BA1336" i="1"/>
  <c r="AY1336" i="1"/>
  <c r="AX1336" i="1"/>
  <c r="BA1440" i="1"/>
  <c r="AY1440" i="1"/>
  <c r="AX1440" i="1"/>
  <c r="BA1902" i="1"/>
  <c r="AY1902" i="1"/>
  <c r="AX1902" i="1"/>
  <c r="BA969" i="1"/>
  <c r="AY969" i="1"/>
  <c r="AX969" i="1"/>
  <c r="BA1212" i="1"/>
  <c r="AY1212" i="1"/>
  <c r="AX1212" i="1"/>
  <c r="BA38" i="1"/>
  <c r="AY38" i="1"/>
  <c r="AX38" i="1"/>
  <c r="BA1927" i="1"/>
  <c r="AY1927" i="1"/>
  <c r="AX1927" i="1"/>
  <c r="BA995" i="1"/>
  <c r="AY995" i="1"/>
  <c r="AX995" i="1"/>
  <c r="BA1235" i="1"/>
  <c r="AY1235" i="1"/>
  <c r="AX1235" i="1"/>
  <c r="BA863" i="1"/>
  <c r="AY863" i="1"/>
  <c r="AX863" i="1"/>
  <c r="BA1906" i="1"/>
  <c r="AY1906" i="1"/>
  <c r="AX1906" i="1"/>
  <c r="BA896" i="1"/>
  <c r="AY896" i="1"/>
  <c r="AX896" i="1"/>
  <c r="BA1140" i="1"/>
  <c r="AY1140" i="1"/>
  <c r="AX1140" i="1"/>
  <c r="BA911" i="1"/>
  <c r="AY911" i="1"/>
  <c r="AX911" i="1"/>
  <c r="BA1083" i="1"/>
  <c r="AY1083" i="1"/>
  <c r="AX1083" i="1"/>
  <c r="BA1093" i="1"/>
  <c r="AY1093" i="1"/>
  <c r="AX1093" i="1"/>
  <c r="BA852" i="1"/>
  <c r="AY852" i="1"/>
  <c r="AX852" i="1"/>
  <c r="BA615" i="1"/>
  <c r="AY615" i="1"/>
  <c r="AX615" i="1"/>
  <c r="BA1466" i="1"/>
  <c r="AY1466" i="1"/>
  <c r="AX1466" i="1"/>
  <c r="BA1147" i="1"/>
  <c r="AY1147" i="1"/>
  <c r="AX1147" i="1"/>
  <c r="BA493" i="1"/>
  <c r="AY493" i="1"/>
  <c r="AX493" i="1"/>
  <c r="BA789" i="1"/>
  <c r="AY789" i="1"/>
  <c r="AX789" i="1"/>
  <c r="BA666" i="1"/>
  <c r="AY666" i="1"/>
  <c r="AX666" i="1"/>
  <c r="BA987" i="1"/>
  <c r="AY987" i="1"/>
  <c r="AX987" i="1"/>
  <c r="BA1951" i="1"/>
  <c r="AY1951" i="1"/>
  <c r="AX1951" i="1"/>
  <c r="BA838" i="1"/>
  <c r="AY838" i="1"/>
  <c r="AX838" i="1"/>
  <c r="BA1638" i="1"/>
  <c r="AY1638" i="1"/>
  <c r="AX1638" i="1"/>
  <c r="BA160" i="1"/>
  <c r="AY160" i="1"/>
  <c r="AX160" i="1"/>
  <c r="BA489" i="1"/>
  <c r="AY489" i="1"/>
  <c r="AX489" i="1"/>
  <c r="BA1446" i="1"/>
  <c r="AY1446" i="1"/>
  <c r="AX1446" i="1"/>
  <c r="BA571" i="1"/>
  <c r="AY571" i="1"/>
  <c r="AX571" i="1"/>
  <c r="BA335" i="1"/>
  <c r="AY335" i="1"/>
  <c r="AX335" i="1"/>
  <c r="BA575" i="1"/>
  <c r="AY575" i="1"/>
  <c r="AX575" i="1"/>
  <c r="BA1943" i="1"/>
  <c r="AY1943" i="1"/>
  <c r="AX1943" i="1"/>
  <c r="BA286" i="1"/>
  <c r="AY286" i="1"/>
  <c r="AX286" i="1"/>
  <c r="BA245" i="1"/>
  <c r="AY245" i="1"/>
  <c r="AX245" i="1"/>
  <c r="BA716" i="1"/>
  <c r="AY716" i="1"/>
  <c r="AX716" i="1"/>
  <c r="BA1836" i="1"/>
  <c r="AY1836" i="1"/>
  <c r="AX1836" i="1"/>
  <c r="BA1846" i="1"/>
  <c r="AY1846" i="1"/>
  <c r="AX1846" i="1"/>
  <c r="BA1591" i="1"/>
  <c r="AY1591" i="1"/>
  <c r="AX1591" i="1"/>
  <c r="BA767" i="1"/>
  <c r="AY767" i="1"/>
  <c r="AX767" i="1"/>
  <c r="BA1276" i="1"/>
  <c r="AY1276" i="1"/>
  <c r="AX1276" i="1"/>
  <c r="BA1097" i="1"/>
  <c r="AY1097" i="1"/>
  <c r="AX1097" i="1"/>
  <c r="BA1381" i="1"/>
  <c r="AY1381" i="1"/>
  <c r="AX1381" i="1"/>
  <c r="BA1459" i="1"/>
  <c r="AY1459" i="1"/>
  <c r="AX1459" i="1"/>
  <c r="BA1052" i="1"/>
  <c r="AY1052" i="1"/>
  <c r="AX1052" i="1"/>
  <c r="BA281" i="1"/>
  <c r="AY281" i="1"/>
  <c r="AX281" i="1"/>
  <c r="BA1015" i="1"/>
  <c r="AY1015" i="1"/>
  <c r="AX1015" i="1"/>
  <c r="BA260" i="1"/>
  <c r="AY260" i="1"/>
  <c r="AX260" i="1"/>
  <c r="BA49" i="1"/>
  <c r="AY49" i="1"/>
  <c r="AX49" i="1"/>
  <c r="BA539" i="1"/>
  <c r="AY539" i="1"/>
  <c r="AX539" i="1"/>
  <c r="BA1120" i="1"/>
  <c r="AY1120" i="1"/>
  <c r="AX1120" i="1"/>
  <c r="BA1786" i="1"/>
  <c r="AY1786" i="1"/>
  <c r="AX1786" i="1"/>
  <c r="BA349" i="1"/>
  <c r="AY349" i="1"/>
  <c r="AX349" i="1"/>
  <c r="BA1921" i="1"/>
  <c r="AY1921" i="1"/>
  <c r="AX1921" i="1"/>
  <c r="BA1208" i="1"/>
  <c r="AY1208" i="1"/>
  <c r="AX1208" i="1"/>
  <c r="BA1409" i="1"/>
  <c r="AY1409" i="1"/>
  <c r="AX1409" i="1"/>
  <c r="BA514" i="1"/>
  <c r="AY514" i="1"/>
  <c r="AX514" i="1"/>
  <c r="BA1956" i="1"/>
  <c r="AY1956" i="1"/>
  <c r="AX1956" i="1"/>
  <c r="BA1460" i="1"/>
  <c r="AY1460" i="1"/>
  <c r="AX1460" i="1"/>
  <c r="BA440" i="1"/>
  <c r="AY440" i="1"/>
  <c r="AX440" i="1"/>
  <c r="BA1221" i="1"/>
  <c r="AY1221" i="1"/>
  <c r="AX1221" i="1"/>
  <c r="BA139" i="1"/>
  <c r="AY139" i="1"/>
  <c r="AX139" i="1"/>
  <c r="BA1455" i="1"/>
  <c r="AY1455" i="1"/>
  <c r="AX1455" i="1"/>
  <c r="BA1192" i="1"/>
  <c r="AY1192" i="1"/>
  <c r="AX1192" i="1"/>
  <c r="BA1180" i="1"/>
  <c r="AY1180" i="1"/>
  <c r="AX1180" i="1"/>
  <c r="BA1820" i="1"/>
  <c r="AY1820" i="1"/>
  <c r="AX1820" i="1"/>
  <c r="BA772" i="1"/>
  <c r="AY772" i="1"/>
  <c r="AX772" i="1"/>
  <c r="BA501" i="1"/>
  <c r="AY501" i="1"/>
  <c r="AX501" i="1"/>
  <c r="BA1249" i="1"/>
  <c r="AY1249" i="1"/>
  <c r="AX1249" i="1"/>
  <c r="BA427" i="1"/>
  <c r="AY427" i="1"/>
  <c r="AX427" i="1"/>
  <c r="BA663" i="1"/>
  <c r="AY663" i="1"/>
  <c r="AX663" i="1"/>
  <c r="BA794" i="1"/>
  <c r="AY794" i="1"/>
  <c r="AX794" i="1"/>
  <c r="BA388" i="1"/>
  <c r="AY388" i="1"/>
  <c r="AX388" i="1"/>
  <c r="BA148" i="1"/>
  <c r="AY148" i="1"/>
  <c r="AX148" i="1"/>
  <c r="BA1060" i="1"/>
  <c r="AY1060" i="1"/>
  <c r="AX1060" i="1"/>
  <c r="BA781" i="1"/>
  <c r="AY781" i="1"/>
  <c r="AX781" i="1"/>
  <c r="BA290" i="1"/>
  <c r="AY290" i="1"/>
  <c r="AX290" i="1"/>
  <c r="BA1264" i="1"/>
  <c r="AY1264" i="1"/>
  <c r="AX1264" i="1"/>
  <c r="BA1453" i="1"/>
  <c r="AY1453" i="1"/>
  <c r="AX1453" i="1"/>
  <c r="BA2010" i="1"/>
  <c r="AY2010" i="1"/>
  <c r="AX2010" i="1"/>
  <c r="BA222" i="1"/>
  <c r="AY222" i="1"/>
  <c r="AX222" i="1"/>
  <c r="BA869" i="1"/>
  <c r="AY869" i="1"/>
  <c r="AX869" i="1"/>
  <c r="BA1595" i="1"/>
  <c r="AY1595" i="1"/>
  <c r="AX1595" i="1"/>
  <c r="BA831" i="1"/>
  <c r="AY831" i="1"/>
  <c r="AX831" i="1"/>
  <c r="BA1130" i="1"/>
  <c r="AY1130" i="1"/>
  <c r="AX1130" i="1"/>
  <c r="BA1281" i="1"/>
  <c r="AY1281" i="1"/>
  <c r="AX1281" i="1"/>
  <c r="BA1295" i="1"/>
  <c r="AY1295" i="1"/>
  <c r="AX1295" i="1"/>
  <c r="BA1772" i="1"/>
  <c r="AY1772" i="1"/>
  <c r="AX1772" i="1"/>
  <c r="BA607" i="1"/>
  <c r="AY607" i="1"/>
  <c r="AX607" i="1"/>
  <c r="BA94" i="1"/>
  <c r="AY94" i="1"/>
  <c r="AX94" i="1"/>
  <c r="BA1171" i="1"/>
  <c r="AY1171" i="1"/>
  <c r="AX1171" i="1"/>
  <c r="BA875" i="1"/>
  <c r="AY875" i="1"/>
  <c r="AX875" i="1"/>
  <c r="BA1618" i="1"/>
  <c r="AY1618" i="1"/>
  <c r="AX1618" i="1"/>
  <c r="BA1427" i="1"/>
  <c r="AY1427" i="1"/>
  <c r="AX1427" i="1"/>
  <c r="BA1020" i="1"/>
  <c r="AY1020" i="1"/>
  <c r="AX1020" i="1"/>
  <c r="BA1529" i="1"/>
  <c r="AY1529" i="1"/>
  <c r="AX1529" i="1"/>
  <c r="BA695" i="1"/>
  <c r="AY695" i="1"/>
  <c r="AX695" i="1"/>
  <c r="BA166" i="1"/>
  <c r="AY166" i="1"/>
  <c r="AX166" i="1"/>
  <c r="BA1176" i="1"/>
  <c r="AY1176" i="1"/>
  <c r="AX1176" i="1"/>
  <c r="BA288" i="1"/>
  <c r="AY288" i="1"/>
  <c r="AX288" i="1"/>
  <c r="BA1403" i="1"/>
  <c r="AY1403" i="1"/>
  <c r="AX1403" i="1"/>
  <c r="BA1479" i="1"/>
  <c r="AY1479" i="1"/>
  <c r="AX1479" i="1"/>
  <c r="BA611" i="1"/>
  <c r="AY611" i="1"/>
  <c r="AX611" i="1"/>
  <c r="BA1885" i="1"/>
  <c r="AY1885" i="1"/>
  <c r="AX1885" i="1"/>
  <c r="BA889" i="1"/>
  <c r="AY889" i="1"/>
  <c r="AX889" i="1"/>
  <c r="BA1441" i="1"/>
  <c r="AY1441" i="1"/>
  <c r="AX1441" i="1"/>
  <c r="BA688" i="1"/>
  <c r="AY688" i="1"/>
  <c r="AX688" i="1"/>
  <c r="BA585" i="1"/>
  <c r="AY585" i="1"/>
  <c r="AX585" i="1"/>
  <c r="BA80" i="1"/>
  <c r="AY80" i="1"/>
  <c r="AX80" i="1"/>
  <c r="BA1284" i="1"/>
  <c r="AY1284" i="1"/>
  <c r="AX1284" i="1"/>
  <c r="BA1945" i="1"/>
  <c r="AY1945" i="1"/>
  <c r="AX1945" i="1"/>
  <c r="BA1006" i="1"/>
  <c r="AY1006" i="1"/>
  <c r="AX1006" i="1"/>
  <c r="BA1225" i="1"/>
  <c r="AY1225" i="1"/>
  <c r="AX1225" i="1"/>
  <c r="BA1727" i="1"/>
  <c r="AY1727" i="1"/>
  <c r="AX1727" i="1"/>
  <c r="BA262" i="1"/>
  <c r="AY262" i="1"/>
  <c r="AX262" i="1"/>
  <c r="BA29" i="1"/>
  <c r="AY29" i="1"/>
  <c r="AX29" i="1"/>
  <c r="BA219" i="1"/>
  <c r="AY219" i="1"/>
  <c r="AX219" i="1"/>
  <c r="BA1414" i="1"/>
  <c r="AY1414" i="1"/>
  <c r="AX1414" i="1"/>
  <c r="BA482" i="1"/>
  <c r="AY482" i="1"/>
  <c r="AX482" i="1"/>
  <c r="BA742" i="1"/>
  <c r="AY742" i="1"/>
  <c r="AX742" i="1"/>
  <c r="BA939" i="1"/>
  <c r="AY939" i="1"/>
  <c r="AX939" i="1"/>
  <c r="BA478" i="1"/>
  <c r="AY478" i="1"/>
  <c r="AX478" i="1"/>
  <c r="BA436" i="1"/>
  <c r="AY436" i="1"/>
  <c r="AX436" i="1"/>
  <c r="BA630" i="1"/>
  <c r="AY630" i="1"/>
  <c r="AX630" i="1"/>
  <c r="BA344" i="1"/>
  <c r="AY344" i="1"/>
  <c r="AX344" i="1"/>
  <c r="BA642" i="1"/>
  <c r="AY642" i="1"/>
  <c r="AX642" i="1"/>
  <c r="BA1933" i="1"/>
  <c r="AY1933" i="1"/>
  <c r="AX1933" i="1"/>
  <c r="BA1399" i="1"/>
  <c r="AY1399" i="1"/>
  <c r="AX1399" i="1"/>
  <c r="BA2005" i="1"/>
  <c r="AY2005" i="1"/>
  <c r="AX2005" i="1"/>
  <c r="BA1985" i="1"/>
  <c r="AY1985" i="1"/>
  <c r="AX1985" i="1"/>
  <c r="BA1781" i="1"/>
  <c r="AY1781" i="1"/>
  <c r="AX1781" i="1"/>
  <c r="BA423" i="1"/>
  <c r="AY423" i="1"/>
  <c r="AX423" i="1"/>
  <c r="BA464" i="1"/>
  <c r="AY464" i="1"/>
  <c r="AX464" i="1"/>
  <c r="BA823" i="1"/>
  <c r="AY823" i="1"/>
  <c r="AX823" i="1"/>
  <c r="BA1809" i="1"/>
  <c r="AY1809" i="1"/>
  <c r="AX1809" i="1"/>
  <c r="BA1325" i="1"/>
  <c r="AY1325" i="1"/>
  <c r="AX1325" i="1"/>
  <c r="BA74" i="1"/>
  <c r="AY74" i="1"/>
  <c r="AX74" i="1"/>
  <c r="BA967" i="1"/>
  <c r="AY967" i="1"/>
  <c r="AX967" i="1"/>
  <c r="BA662" i="1"/>
  <c r="AY662" i="1"/>
  <c r="AX662" i="1"/>
  <c r="BA1476" i="1"/>
  <c r="AY1476" i="1"/>
  <c r="AX1476" i="1"/>
  <c r="BA1749" i="1"/>
  <c r="AY1749" i="1"/>
  <c r="AX1749" i="1"/>
  <c r="BA1320" i="1"/>
  <c r="AY1320" i="1"/>
  <c r="AX1320" i="1"/>
  <c r="BA1419" i="1"/>
  <c r="AY1419" i="1"/>
  <c r="AX1419" i="1"/>
  <c r="BA1256" i="1"/>
  <c r="AY1256" i="1"/>
  <c r="AX1256" i="1"/>
  <c r="BA1507" i="1"/>
  <c r="AY1507" i="1"/>
  <c r="AX1507" i="1"/>
  <c r="BA938" i="1"/>
  <c r="AY938" i="1"/>
  <c r="AX938" i="1"/>
  <c r="BA1879" i="1"/>
  <c r="AY1879" i="1"/>
  <c r="AX1879" i="1"/>
  <c r="BA491" i="1"/>
  <c r="AY491" i="1"/>
  <c r="AX491" i="1"/>
  <c r="BA495" i="1"/>
  <c r="AY495" i="1"/>
  <c r="AX495" i="1"/>
  <c r="BA1672" i="1"/>
  <c r="AY1672" i="1"/>
  <c r="AX1672" i="1"/>
  <c r="BA1361" i="1"/>
  <c r="AY1361" i="1"/>
  <c r="AX1361" i="1"/>
  <c r="BA228" i="1"/>
  <c r="AY228" i="1"/>
  <c r="AX228" i="1"/>
  <c r="BA1821" i="1"/>
  <c r="AY1821" i="1"/>
  <c r="AX1821" i="1"/>
  <c r="BA2001" i="1"/>
  <c r="AY2001" i="1"/>
  <c r="AX2001" i="1"/>
  <c r="BA1625" i="1"/>
  <c r="AY1625" i="1"/>
  <c r="AX1625" i="1"/>
  <c r="BA1650" i="1"/>
  <c r="AY1650" i="1"/>
  <c r="AX1650" i="1"/>
  <c r="BA760" i="1"/>
  <c r="AY760" i="1"/>
  <c r="AX760" i="1"/>
  <c r="BA1324" i="1"/>
  <c r="AY1324" i="1"/>
  <c r="AX1324" i="1"/>
  <c r="BA886" i="1"/>
  <c r="AY886" i="1"/>
  <c r="AX886" i="1"/>
  <c r="BA253" i="1"/>
  <c r="AY253" i="1"/>
  <c r="AX253" i="1"/>
  <c r="BA439" i="1"/>
  <c r="AY439" i="1"/>
  <c r="AX439" i="1"/>
  <c r="BA671" i="1"/>
  <c r="AY671" i="1"/>
  <c r="AX671" i="1"/>
  <c r="BA1370" i="1"/>
  <c r="AY1370" i="1"/>
  <c r="AX1370" i="1"/>
  <c r="BA1557" i="1"/>
  <c r="AY1557" i="1"/>
  <c r="AX1557" i="1"/>
  <c r="BA1434" i="1"/>
  <c r="AY1434" i="1"/>
  <c r="AX1434" i="1"/>
  <c r="BA1606" i="1"/>
  <c r="AY1606" i="1"/>
  <c r="AX1606" i="1"/>
  <c r="BA1084" i="1"/>
  <c r="AY1084" i="1"/>
  <c r="AX1084" i="1"/>
  <c r="BA399" i="1"/>
  <c r="AY399" i="1"/>
  <c r="AX399" i="1"/>
  <c r="BA1067" i="1"/>
  <c r="AY1067" i="1"/>
  <c r="AX1067" i="1"/>
  <c r="BA879" i="1"/>
  <c r="AY879" i="1"/>
  <c r="AX879" i="1"/>
  <c r="BA927" i="1"/>
  <c r="AY927" i="1"/>
  <c r="AX927" i="1"/>
  <c r="BA839" i="1"/>
  <c r="AY839" i="1"/>
  <c r="AX839" i="1"/>
  <c r="BA197" i="1"/>
  <c r="AY197" i="1"/>
  <c r="AX197" i="1"/>
  <c r="BA554" i="1"/>
  <c r="AY554" i="1"/>
  <c r="AX554" i="1"/>
  <c r="BA1285" i="1"/>
  <c r="AY1285" i="1"/>
  <c r="AX1285" i="1"/>
  <c r="BA776" i="1"/>
  <c r="AY776" i="1"/>
  <c r="AX776" i="1"/>
  <c r="BA864" i="1"/>
  <c r="AY864" i="1"/>
  <c r="AX864" i="1"/>
  <c r="BA601" i="1"/>
  <c r="AY601" i="1"/>
  <c r="AX601" i="1"/>
  <c r="BA192" i="1"/>
  <c r="AY192" i="1"/>
  <c r="AX192" i="1"/>
  <c r="BA1199" i="1"/>
  <c r="AY1199" i="1"/>
  <c r="AX1199" i="1"/>
  <c r="BA1719" i="1"/>
  <c r="AY1719" i="1"/>
  <c r="AX1719" i="1"/>
  <c r="BA784" i="1"/>
  <c r="AY784" i="1"/>
  <c r="AX784" i="1"/>
  <c r="BA1272" i="1"/>
  <c r="AY1272" i="1"/>
  <c r="AX1272" i="1"/>
  <c r="BA1883" i="1"/>
  <c r="AY1883" i="1"/>
  <c r="AX1883" i="1"/>
  <c r="BA1807" i="1"/>
  <c r="AY1807" i="1"/>
  <c r="AX1807" i="1"/>
  <c r="BA1993" i="1"/>
  <c r="AY1993" i="1"/>
  <c r="AX1993" i="1"/>
  <c r="BA961" i="1"/>
  <c r="AY961" i="1"/>
  <c r="AX961" i="1"/>
  <c r="BA1341" i="1"/>
  <c r="AY1341" i="1"/>
  <c r="AX1341" i="1"/>
  <c r="BA1196" i="1"/>
  <c r="AY1196" i="1"/>
  <c r="AX1196" i="1"/>
  <c r="BA24" i="1"/>
  <c r="AY24" i="1"/>
  <c r="AX24" i="1"/>
  <c r="BA1755" i="1"/>
  <c r="AY1755" i="1"/>
  <c r="AX1755" i="1"/>
  <c r="BA929" i="1"/>
  <c r="AY929" i="1"/>
  <c r="AX929" i="1"/>
  <c r="BA1690" i="1"/>
  <c r="AY1690" i="1"/>
  <c r="AX1690" i="1"/>
  <c r="BA1187" i="1"/>
  <c r="AY1187" i="1"/>
  <c r="AX1187" i="1"/>
  <c r="BA1869" i="1"/>
  <c r="AY1869" i="1"/>
  <c r="AX1869" i="1"/>
  <c r="BA644" i="1"/>
  <c r="AY644" i="1"/>
  <c r="AX644" i="1"/>
  <c r="BA230" i="1"/>
  <c r="AY230" i="1"/>
  <c r="AX230" i="1"/>
  <c r="BA1716" i="1"/>
  <c r="AY1716" i="1"/>
  <c r="AX1716" i="1"/>
  <c r="BA126" i="1"/>
  <c r="AY126" i="1"/>
  <c r="AX126" i="1"/>
  <c r="BA248" i="1"/>
  <c r="AY248" i="1"/>
  <c r="AX248" i="1"/>
  <c r="BA1584" i="1"/>
  <c r="AY1584" i="1"/>
  <c r="AX1584" i="1"/>
  <c r="BA1115" i="1"/>
  <c r="AY1115" i="1"/>
  <c r="AX1115" i="1"/>
  <c r="BA706" i="1"/>
  <c r="AY706" i="1"/>
  <c r="AX706" i="1"/>
  <c r="BA1382" i="1"/>
  <c r="AY1382" i="1"/>
  <c r="AX1382" i="1"/>
  <c r="BA108" i="1"/>
  <c r="AY108" i="1"/>
  <c r="AX108" i="1"/>
  <c r="BA811" i="1"/>
  <c r="AY811" i="1"/>
  <c r="AX811" i="1"/>
  <c r="BA1273" i="1"/>
  <c r="AY1273" i="1"/>
  <c r="AX1273" i="1"/>
  <c r="BA924" i="1"/>
  <c r="AY924" i="1"/>
  <c r="AX924" i="1"/>
  <c r="BA191" i="1"/>
  <c r="AY191" i="1"/>
  <c r="AX191" i="1"/>
  <c r="BA526" i="1"/>
  <c r="AY526" i="1"/>
  <c r="AX526" i="1"/>
  <c r="BA1177" i="1"/>
  <c r="AY1177" i="1"/>
  <c r="AX1177" i="1"/>
  <c r="BA1909" i="1"/>
  <c r="AY1909" i="1"/>
  <c r="AX1909" i="1"/>
  <c r="BA990" i="1"/>
  <c r="AY990" i="1"/>
  <c r="AX990" i="1"/>
  <c r="BA90" i="1"/>
  <c r="AY90" i="1"/>
  <c r="AX90" i="1"/>
  <c r="BA2009" i="1"/>
  <c r="AY2009" i="1"/>
  <c r="AX2009" i="1"/>
  <c r="BA590" i="1"/>
  <c r="AY590" i="1"/>
  <c r="AX590" i="1"/>
  <c r="BA564" i="1"/>
  <c r="AY564" i="1"/>
  <c r="AX564" i="1"/>
  <c r="BA1788" i="1"/>
  <c r="AY1788" i="1"/>
  <c r="AX1788" i="1"/>
  <c r="BA906" i="1"/>
  <c r="AY906" i="1"/>
  <c r="AX906" i="1"/>
  <c r="BA992" i="1"/>
  <c r="AY992" i="1"/>
  <c r="AX992" i="1"/>
  <c r="BA1300" i="1"/>
  <c r="AY1300" i="1"/>
  <c r="AX1300" i="1"/>
  <c r="BA1923" i="1"/>
  <c r="AY1923" i="1"/>
  <c r="AX1923" i="1"/>
  <c r="BA473" i="1"/>
  <c r="AY473" i="1"/>
  <c r="AX473" i="1"/>
  <c r="BA1661" i="1"/>
  <c r="AY1661" i="1"/>
  <c r="AX1661" i="1"/>
  <c r="BA1918" i="1"/>
  <c r="AY1918" i="1"/>
  <c r="AX1918" i="1"/>
  <c r="BA1445" i="1"/>
  <c r="AY1445" i="1"/>
  <c r="AX1445" i="1"/>
  <c r="BA1112" i="1"/>
  <c r="AY1112" i="1"/>
  <c r="AX1112" i="1"/>
  <c r="BA76" i="1"/>
  <c r="AY76" i="1"/>
  <c r="AX76" i="1"/>
  <c r="BA1522" i="1"/>
  <c r="AY1522" i="1"/>
  <c r="AX1522" i="1"/>
  <c r="BA1072" i="1"/>
  <c r="AY1072" i="1"/>
  <c r="AX1072" i="1"/>
  <c r="BA264" i="1"/>
  <c r="AY264" i="1"/>
  <c r="AX264" i="1"/>
  <c r="BA299" i="1"/>
  <c r="AY299" i="1"/>
  <c r="AX299" i="1"/>
  <c r="BA1291" i="1"/>
  <c r="AY1291" i="1"/>
  <c r="AX1291" i="1"/>
  <c r="BA1843" i="1"/>
  <c r="AY1843" i="1"/>
  <c r="AX1843" i="1"/>
  <c r="BA636" i="1"/>
  <c r="AY636" i="1"/>
  <c r="AX636" i="1"/>
  <c r="BA450" i="1"/>
  <c r="AY450" i="1"/>
  <c r="AX450" i="1"/>
  <c r="BA1679" i="1"/>
  <c r="AY1679" i="1"/>
  <c r="AX1679" i="1"/>
  <c r="BA1148" i="1"/>
  <c r="AY1148" i="1"/>
  <c r="AX1148" i="1"/>
  <c r="BA304" i="1"/>
  <c r="AY304" i="1"/>
  <c r="AX304" i="1"/>
  <c r="BA1449" i="1"/>
  <c r="AY1449" i="1"/>
  <c r="AX1449" i="1"/>
  <c r="BA1232" i="1"/>
  <c r="AY1232" i="1"/>
  <c r="AX1232" i="1"/>
  <c r="BA1102" i="1"/>
  <c r="AY1102" i="1"/>
  <c r="AX1102" i="1"/>
  <c r="BA1018" i="1"/>
  <c r="AY1018" i="1"/>
  <c r="AX1018" i="1"/>
  <c r="BA1670" i="1"/>
  <c r="AY1670" i="1"/>
  <c r="AX1670" i="1"/>
  <c r="BA546" i="1"/>
  <c r="AY546" i="1"/>
  <c r="AX546" i="1"/>
  <c r="BA1144" i="1"/>
  <c r="AY1144" i="1"/>
  <c r="AX1144" i="1"/>
  <c r="BA1527" i="1"/>
  <c r="AY1527" i="1"/>
  <c r="AX1527" i="1"/>
  <c r="BA1044" i="1"/>
  <c r="AY1044" i="1"/>
  <c r="AX1044" i="1"/>
  <c r="BA1597" i="1"/>
  <c r="AY1597" i="1"/>
  <c r="AX1597" i="1"/>
  <c r="BA517" i="1"/>
  <c r="AY517" i="1"/>
  <c r="AX517" i="1"/>
  <c r="BA1968" i="1"/>
  <c r="AY1968" i="1"/>
  <c r="AX1968" i="1"/>
  <c r="BA948" i="1"/>
  <c r="AY948" i="1"/>
  <c r="AX948" i="1"/>
  <c r="BA105" i="1"/>
  <c r="AY105" i="1"/>
  <c r="AX105" i="1"/>
  <c r="BA244" i="1"/>
  <c r="AY244" i="1"/>
  <c r="AX244" i="1"/>
  <c r="BA618" i="1"/>
  <c r="AY618" i="1"/>
  <c r="AX618" i="1"/>
  <c r="BA629" i="1"/>
  <c r="AY629" i="1"/>
  <c r="AX629" i="1"/>
  <c r="BA1104" i="1"/>
  <c r="AY1104" i="1"/>
  <c r="AX1104" i="1"/>
  <c r="BA249" i="1"/>
  <c r="AY249" i="1"/>
  <c r="AX249" i="1"/>
  <c r="BA1736" i="1"/>
  <c r="AY1736" i="1"/>
  <c r="AX1736" i="1"/>
  <c r="BA993" i="1"/>
  <c r="AY993" i="1"/>
  <c r="AX993" i="1"/>
  <c r="BA1410" i="1"/>
  <c r="AY1410" i="1"/>
  <c r="AX1410" i="1"/>
  <c r="BA942" i="1"/>
  <c r="AY942" i="1"/>
  <c r="AX942" i="1"/>
  <c r="BA81" i="1"/>
  <c r="AY81" i="1"/>
  <c r="AX81" i="1"/>
  <c r="BA860" i="1"/>
  <c r="AY860" i="1"/>
  <c r="AX860" i="1"/>
  <c r="BA1773" i="1"/>
  <c r="AY1773" i="1"/>
  <c r="AX1773" i="1"/>
  <c r="BA112" i="1"/>
  <c r="AY112" i="1"/>
  <c r="AX112" i="1"/>
  <c r="BA410" i="1"/>
  <c r="AY410" i="1"/>
  <c r="AX410" i="1"/>
  <c r="BA714" i="1"/>
  <c r="AY714" i="1"/>
  <c r="AX714" i="1"/>
  <c r="BA890" i="1"/>
  <c r="AY890" i="1"/>
  <c r="AX890" i="1"/>
  <c r="BA1452" i="1"/>
  <c r="AY1452" i="1"/>
  <c r="AX1452" i="1"/>
  <c r="BA1425" i="1"/>
  <c r="AY1425" i="1"/>
  <c r="AX1425" i="1"/>
  <c r="BA64" i="1"/>
  <c r="AY64" i="1"/>
  <c r="AX64" i="1"/>
  <c r="BA323" i="1"/>
  <c r="AY323" i="1"/>
  <c r="AX323" i="1"/>
  <c r="BA1237" i="1"/>
  <c r="AY1237" i="1"/>
  <c r="AX1237" i="1"/>
  <c r="BA93" i="1"/>
  <c r="AY93" i="1"/>
  <c r="AX93" i="1"/>
  <c r="BA1875" i="1"/>
  <c r="AY1875" i="1"/>
  <c r="AX1875" i="1"/>
  <c r="BA944" i="1"/>
  <c r="AY944" i="1"/>
  <c r="AX944" i="1"/>
  <c r="BA243" i="1"/>
  <c r="AY243" i="1"/>
  <c r="AX243" i="1"/>
  <c r="BA1349" i="1"/>
  <c r="AY1349" i="1"/>
  <c r="AX1349" i="1"/>
  <c r="BA199" i="1"/>
  <c r="AY199" i="1"/>
  <c r="AX199" i="1"/>
  <c r="BA1517" i="1"/>
  <c r="AY1517" i="1"/>
  <c r="AX1517" i="1"/>
  <c r="BA392" i="1"/>
  <c r="AY392" i="1"/>
  <c r="AX392" i="1"/>
  <c r="BA1347" i="1"/>
  <c r="AY1347" i="1"/>
  <c r="AX1347" i="1"/>
  <c r="BA1077" i="1"/>
  <c r="AY1077" i="1"/>
  <c r="AX1077" i="1"/>
  <c r="BA1798" i="1"/>
  <c r="AY1798" i="1"/>
  <c r="AX1798" i="1"/>
  <c r="BA51" i="1"/>
  <c r="AY51" i="1"/>
  <c r="AX51" i="1"/>
  <c r="BA56" i="1"/>
  <c r="AY56" i="1"/>
  <c r="AX56" i="1"/>
  <c r="BA800" i="1"/>
  <c r="AY800" i="1"/>
  <c r="AX800" i="1"/>
  <c r="BA1469" i="1"/>
  <c r="AY1469" i="1"/>
  <c r="AX1469" i="1"/>
  <c r="BA834" i="1"/>
  <c r="AY834" i="1"/>
  <c r="AX834" i="1"/>
  <c r="BA548" i="1"/>
  <c r="AY548" i="1"/>
  <c r="AX548" i="1"/>
  <c r="BA370" i="1"/>
  <c r="AY370" i="1"/>
  <c r="AX370" i="1"/>
  <c r="BA1578" i="1"/>
  <c r="AY1578" i="1"/>
  <c r="AX1578" i="1"/>
  <c r="BA684" i="1"/>
  <c r="AY684" i="1"/>
  <c r="AX684" i="1"/>
  <c r="BA68" i="1"/>
  <c r="AY68" i="1"/>
  <c r="AX68" i="1"/>
  <c r="BA1984" i="1"/>
  <c r="AY1984" i="1"/>
  <c r="AX1984" i="1"/>
  <c r="BA658" i="1"/>
  <c r="AY658" i="1"/>
  <c r="AX658" i="1"/>
  <c r="BA1546" i="1"/>
  <c r="AY1546" i="1"/>
  <c r="AX1546" i="1"/>
  <c r="BA854" i="1"/>
  <c r="AY854" i="1"/>
  <c r="AX854" i="1"/>
  <c r="BA674" i="1"/>
  <c r="AY674" i="1"/>
  <c r="AX674" i="1"/>
  <c r="BA766" i="1"/>
  <c r="AY766" i="1"/>
  <c r="AX766" i="1"/>
  <c r="BA353" i="1"/>
  <c r="AY353" i="1"/>
  <c r="AX353" i="1"/>
  <c r="BA324" i="1"/>
  <c r="AY324" i="1"/>
  <c r="AX324" i="1"/>
  <c r="BA631" i="1"/>
  <c r="AY631" i="1"/>
  <c r="AX631" i="1"/>
  <c r="BA1313" i="1"/>
  <c r="AY1313" i="1"/>
  <c r="AX1313" i="1"/>
  <c r="BA298" i="1"/>
  <c r="AY298" i="1"/>
  <c r="AX298" i="1"/>
  <c r="BA1782" i="1"/>
  <c r="AY1782" i="1"/>
  <c r="AX1782" i="1"/>
  <c r="BA1833" i="1"/>
  <c r="AY1833" i="1"/>
  <c r="AX1833" i="1"/>
  <c r="BA374" i="1"/>
  <c r="AY374" i="1"/>
  <c r="AX374" i="1"/>
  <c r="BA1780" i="1"/>
  <c r="AY1780" i="1"/>
  <c r="AX1780" i="1"/>
  <c r="BA1266" i="1"/>
  <c r="AY1266" i="1"/>
  <c r="AX1266" i="1"/>
  <c r="BA1530" i="1"/>
  <c r="AY1530" i="1"/>
  <c r="AX1530" i="1"/>
  <c r="BA458" i="1"/>
  <c r="AY458" i="1"/>
  <c r="AX458" i="1"/>
  <c r="BA1643" i="1"/>
  <c r="AY1643" i="1"/>
  <c r="AX1643" i="1"/>
  <c r="BA1658" i="1"/>
  <c r="AY1658" i="1"/>
  <c r="AX1658" i="1"/>
  <c r="BA1542" i="1"/>
  <c r="AY1542" i="1"/>
  <c r="AX1542" i="1"/>
  <c r="BA242" i="1"/>
  <c r="AY242" i="1"/>
  <c r="AX242" i="1"/>
  <c r="BA1876" i="1"/>
  <c r="AY1876" i="1"/>
  <c r="AX1876" i="1"/>
  <c r="BA1488" i="1"/>
  <c r="AY1488" i="1"/>
  <c r="AX1488" i="1"/>
  <c r="BA791" i="1"/>
  <c r="AY791" i="1"/>
  <c r="AX791" i="1"/>
  <c r="BA1203" i="1"/>
  <c r="AY1203" i="1"/>
  <c r="AX1203" i="1"/>
  <c r="BA1503" i="1"/>
  <c r="AY1503" i="1"/>
  <c r="AX1503" i="1"/>
  <c r="BA1175" i="1"/>
  <c r="AY1175" i="1"/>
  <c r="AX1175" i="1"/>
  <c r="BA1536" i="1"/>
  <c r="AY1536" i="1"/>
  <c r="AX1536" i="1"/>
  <c r="BA1298" i="1"/>
  <c r="AY1298" i="1"/>
  <c r="AX1298" i="1"/>
  <c r="BA1696" i="1"/>
  <c r="AY1696" i="1"/>
  <c r="AX1696" i="1"/>
  <c r="BA361" i="1"/>
  <c r="AY361" i="1"/>
  <c r="AX361" i="1"/>
  <c r="BA30" i="1"/>
  <c r="AY30" i="1"/>
  <c r="AX30" i="1"/>
  <c r="BA257" i="1"/>
  <c r="AY257" i="1"/>
  <c r="AX257" i="1"/>
  <c r="BA588" i="1"/>
  <c r="AY588" i="1"/>
  <c r="AX588" i="1"/>
  <c r="BA1713" i="1"/>
  <c r="AY1713" i="1"/>
  <c r="AX1713" i="1"/>
  <c r="BA1980" i="1"/>
  <c r="AY1980" i="1"/>
  <c r="AX1980" i="1"/>
  <c r="BA1758" i="1"/>
  <c r="AY1758" i="1"/>
  <c r="AX1758" i="1"/>
  <c r="BA912" i="1"/>
  <c r="AY912" i="1"/>
  <c r="AX912" i="1"/>
  <c r="BA1961" i="1"/>
  <c r="AY1961" i="1"/>
  <c r="AX1961" i="1"/>
  <c r="BA1644" i="1"/>
  <c r="AY1644" i="1"/>
  <c r="AX1644" i="1"/>
  <c r="BA705" i="1"/>
  <c r="AY705" i="1"/>
  <c r="AX705" i="1"/>
  <c r="BA1768" i="1"/>
  <c r="AY1768" i="1"/>
  <c r="AX1768" i="1"/>
  <c r="BA1579" i="1"/>
  <c r="AY1579" i="1"/>
  <c r="AX1579" i="1"/>
  <c r="BA1592" i="1"/>
  <c r="AY1592" i="1"/>
  <c r="AX1592" i="1"/>
  <c r="BA1664" i="1"/>
  <c r="AY1664" i="1"/>
  <c r="AX1664" i="1"/>
  <c r="BA579" i="1"/>
  <c r="AY579" i="1"/>
  <c r="AX579" i="1"/>
  <c r="BA328" i="1"/>
  <c r="AY328" i="1"/>
  <c r="AX328" i="1"/>
  <c r="BA518" i="1"/>
  <c r="AY518" i="1"/>
  <c r="AX518" i="1"/>
  <c r="BA1463" i="1"/>
  <c r="AY1463" i="1"/>
  <c r="AX1463" i="1"/>
  <c r="BA1620" i="1"/>
  <c r="AY1620" i="1"/>
  <c r="AX1620" i="1"/>
  <c r="BA1717" i="1"/>
  <c r="AY1717" i="1"/>
  <c r="AX1717" i="1"/>
  <c r="BA1081" i="1"/>
  <c r="AY1081" i="1"/>
  <c r="AX1081" i="1"/>
  <c r="BA420" i="1"/>
  <c r="AY420" i="1"/>
  <c r="AX420" i="1"/>
  <c r="BA1548" i="1"/>
  <c r="AY1548" i="1"/>
  <c r="AX1548" i="1"/>
  <c r="BA1949" i="1"/>
  <c r="AY1949" i="1"/>
  <c r="AX1949" i="1"/>
  <c r="BA677" i="1"/>
  <c r="AY677" i="1"/>
  <c r="AX677" i="1"/>
  <c r="BA1601" i="1"/>
  <c r="AY1601" i="1"/>
  <c r="AX1601" i="1"/>
  <c r="BA1570" i="1"/>
  <c r="AY1570" i="1"/>
  <c r="AX1570" i="1"/>
  <c r="BA1878" i="1"/>
  <c r="AY1878" i="1"/>
  <c r="AX1878" i="1"/>
  <c r="BA873" i="1"/>
  <c r="AY873" i="1"/>
  <c r="AX873" i="1"/>
  <c r="BA12" i="1"/>
  <c r="AY12" i="1"/>
  <c r="AX12" i="1"/>
  <c r="BA446" i="1"/>
  <c r="AY446" i="1"/>
  <c r="AX446" i="1"/>
  <c r="BA1243" i="1"/>
  <c r="AY1243" i="1"/>
  <c r="AX1243" i="1"/>
  <c r="BA994" i="1"/>
  <c r="AY994" i="1"/>
  <c r="AX994" i="1"/>
  <c r="BA227" i="1"/>
  <c r="AY227" i="1"/>
  <c r="AX227" i="1"/>
  <c r="BA700" i="1"/>
  <c r="AY700" i="1"/>
  <c r="AX700" i="1"/>
  <c r="BA616" i="1"/>
  <c r="AY616" i="1"/>
  <c r="AX616" i="1"/>
  <c r="BA1308" i="1"/>
  <c r="AY1308" i="1"/>
  <c r="AX1308" i="1"/>
  <c r="BA1854" i="1"/>
  <c r="AY1854" i="1"/>
  <c r="AX1854" i="1"/>
  <c r="BA82" i="1"/>
  <c r="AY82" i="1"/>
  <c r="AX82" i="1"/>
  <c r="BA1616" i="1"/>
  <c r="AY1616" i="1"/>
  <c r="AX1616" i="1"/>
  <c r="BA156" i="1"/>
  <c r="AY156" i="1"/>
  <c r="AX156" i="1"/>
  <c r="BA233" i="1"/>
  <c r="AY233" i="1"/>
  <c r="AX233" i="1"/>
  <c r="BA104" i="1"/>
  <c r="AY104" i="1"/>
  <c r="AX104" i="1"/>
  <c r="BA633" i="1"/>
  <c r="AY633" i="1"/>
  <c r="AX633" i="1"/>
  <c r="BA186" i="1"/>
  <c r="AY186" i="1"/>
  <c r="AX186" i="1"/>
  <c r="BA1610" i="1"/>
  <c r="AY1610" i="1"/>
  <c r="AX1610" i="1"/>
  <c r="BA1957" i="1"/>
  <c r="AY1957" i="1"/>
  <c r="AX1957" i="1"/>
  <c r="BA1210" i="1"/>
  <c r="AY1210" i="1"/>
  <c r="AX1210" i="1"/>
  <c r="BA1041" i="1"/>
  <c r="AY1041" i="1"/>
  <c r="AX1041" i="1"/>
  <c r="BA1615" i="1"/>
  <c r="AY1615" i="1"/>
  <c r="AX1615" i="1"/>
  <c r="BA124" i="1"/>
  <c r="AY124" i="1"/>
  <c r="AX124" i="1"/>
  <c r="BA97" i="1"/>
  <c r="AY97" i="1"/>
  <c r="AX97" i="1"/>
  <c r="BA145" i="1"/>
  <c r="AY145" i="1"/>
  <c r="AX145" i="1"/>
  <c r="BA844" i="1"/>
  <c r="AY844" i="1"/>
  <c r="AX844" i="1"/>
  <c r="BA1972" i="1"/>
  <c r="AY1972" i="1"/>
  <c r="AX1972" i="1"/>
  <c r="BA1388" i="1"/>
  <c r="AY1388" i="1"/>
  <c r="AX1388" i="1"/>
  <c r="BA65" i="1"/>
  <c r="AY65" i="1"/>
  <c r="AX65" i="1"/>
  <c r="BA1238" i="1"/>
  <c r="AY1238" i="1"/>
  <c r="AX1238" i="1"/>
  <c r="BA1589" i="1"/>
  <c r="AY1589" i="1"/>
  <c r="AX1589" i="1"/>
  <c r="BA1626" i="1"/>
  <c r="AY1626" i="1"/>
  <c r="AX1626" i="1"/>
  <c r="BA19" i="1"/>
  <c r="AY19" i="1"/>
  <c r="AX19" i="1"/>
  <c r="BA975" i="1"/>
  <c r="AY975" i="1"/>
  <c r="AX975" i="1"/>
  <c r="BA1056" i="1"/>
  <c r="AY1056" i="1"/>
  <c r="AX1056" i="1"/>
  <c r="BA1383" i="1"/>
  <c r="AY1383" i="1"/>
  <c r="AX1383" i="1"/>
  <c r="BA1377" i="1"/>
  <c r="AY1377" i="1"/>
  <c r="AX1377" i="1"/>
  <c r="BA1035" i="1"/>
  <c r="AY1035" i="1"/>
  <c r="AX1035" i="1"/>
  <c r="BA547" i="1"/>
  <c r="AY547" i="1"/>
  <c r="AX547" i="1"/>
  <c r="BA996" i="1"/>
  <c r="AY996" i="1"/>
  <c r="AX996" i="1"/>
  <c r="BA807" i="1"/>
  <c r="AY807" i="1"/>
  <c r="AX807" i="1"/>
  <c r="BA1026" i="1"/>
  <c r="AY1026" i="1"/>
  <c r="AX1026" i="1"/>
  <c r="BA808" i="1"/>
  <c r="AY808" i="1"/>
  <c r="AX808" i="1"/>
  <c r="BA1969" i="1"/>
  <c r="AY1969" i="1"/>
  <c r="AX1969" i="1"/>
  <c r="BA1173" i="1"/>
  <c r="AY1173" i="1"/>
  <c r="AX1173" i="1"/>
  <c r="BA1314" i="1"/>
  <c r="AY1314" i="1"/>
  <c r="AX1314" i="1"/>
  <c r="BA1262" i="1"/>
  <c r="AY1262" i="1"/>
  <c r="AX1262" i="1"/>
  <c r="BA1007" i="1"/>
  <c r="AY1007" i="1"/>
  <c r="AX1007" i="1"/>
  <c r="BA1770" i="1"/>
  <c r="AY1770" i="1"/>
  <c r="AX1770" i="1"/>
  <c r="BA578" i="1"/>
  <c r="AY578" i="1"/>
  <c r="AX578" i="1"/>
  <c r="BA1395" i="1"/>
  <c r="AY1395" i="1"/>
  <c r="AX1395" i="1"/>
  <c r="BA565" i="1"/>
  <c r="AY565" i="1"/>
  <c r="AX565" i="1"/>
  <c r="BA814" i="1"/>
  <c r="AY814" i="1"/>
  <c r="AX814" i="1"/>
  <c r="BA600" i="1"/>
  <c r="AY600" i="1"/>
  <c r="AX600" i="1"/>
  <c r="BA1728" i="1"/>
  <c r="AY1728" i="1"/>
  <c r="AX1728" i="1"/>
  <c r="BA22" i="1"/>
  <c r="AY22" i="1"/>
  <c r="AX22" i="1"/>
  <c r="BA96" i="1"/>
  <c r="AY96" i="1"/>
  <c r="AX96" i="1"/>
  <c r="BA931" i="1"/>
  <c r="AY931" i="1"/>
  <c r="AX931" i="1"/>
  <c r="BA698" i="1"/>
  <c r="AY698" i="1"/>
  <c r="AX698" i="1"/>
  <c r="BA763" i="1"/>
  <c r="AY763" i="1"/>
  <c r="AX763" i="1"/>
  <c r="BA932" i="1"/>
  <c r="AY932" i="1"/>
  <c r="AX932" i="1"/>
  <c r="BA591" i="1"/>
  <c r="AY591" i="1"/>
  <c r="AX591" i="1"/>
  <c r="BA301" i="1"/>
  <c r="AY301" i="1"/>
  <c r="AX301" i="1"/>
  <c r="BA1651" i="1"/>
  <c r="AY1651" i="1"/>
  <c r="AX1651" i="1"/>
  <c r="BA1804" i="1"/>
  <c r="AY1804" i="1"/>
  <c r="AX1804" i="1"/>
  <c r="BA697" i="1"/>
  <c r="AY697" i="1"/>
  <c r="AX697" i="1"/>
  <c r="BA1142" i="1"/>
  <c r="AY1142" i="1"/>
  <c r="AX1142" i="1"/>
  <c r="BA163" i="1"/>
  <c r="AY163" i="1"/>
  <c r="AX163" i="1"/>
  <c r="BA569" i="1"/>
  <c r="AY569" i="1"/>
  <c r="AX569" i="1"/>
  <c r="BA246" i="1"/>
  <c r="AY246" i="1"/>
  <c r="AX246" i="1"/>
  <c r="BA195" i="1"/>
  <c r="AY195" i="1"/>
  <c r="AX195" i="1"/>
  <c r="BA1430" i="1"/>
  <c r="AY1430" i="1"/>
  <c r="AX1430" i="1"/>
  <c r="BA334" i="1"/>
  <c r="AY334" i="1"/>
  <c r="AX334" i="1"/>
  <c r="BA1667" i="1"/>
  <c r="AY1667" i="1"/>
  <c r="AX1667" i="1"/>
  <c r="BA1417" i="1"/>
  <c r="AY1417" i="1"/>
  <c r="AX1417" i="1"/>
  <c r="BA263" i="1"/>
  <c r="AY263" i="1"/>
  <c r="AX263" i="1"/>
  <c r="BA1251" i="1"/>
  <c r="AY1251" i="1"/>
  <c r="AX1251" i="1"/>
  <c r="BA276" i="1"/>
  <c r="AY276" i="1"/>
  <c r="AX276" i="1"/>
  <c r="BA1363" i="1"/>
  <c r="AY1363" i="1"/>
  <c r="AX1363" i="1"/>
  <c r="BA297" i="1"/>
  <c r="AY297" i="1"/>
  <c r="AX297" i="1"/>
  <c r="BA466" i="1"/>
  <c r="AY466" i="1"/>
  <c r="AX466" i="1"/>
  <c r="BA9" i="1"/>
  <c r="AY9" i="1"/>
  <c r="AX9" i="1"/>
  <c r="BA1559" i="1"/>
  <c r="AY1559" i="1"/>
  <c r="AX1559" i="1"/>
  <c r="BA1042" i="1"/>
  <c r="AY1042" i="1"/>
  <c r="AX1042" i="1"/>
  <c r="BA211" i="1"/>
  <c r="AY211" i="1"/>
  <c r="AX211" i="1"/>
  <c r="BA201" i="1"/>
  <c r="AY201" i="1"/>
  <c r="AX201" i="1"/>
  <c r="BA745" i="1"/>
  <c r="AY745" i="1"/>
  <c r="AX745" i="1"/>
  <c r="BA1133" i="1"/>
  <c r="AY1133" i="1"/>
  <c r="AX1133" i="1"/>
  <c r="BA1214" i="1"/>
  <c r="AY1214" i="1"/>
  <c r="AX1214" i="1"/>
  <c r="BA67" i="1"/>
  <c r="AY67" i="1"/>
  <c r="AX67" i="1"/>
  <c r="BA66" i="1"/>
  <c r="AY66" i="1"/>
  <c r="AX66" i="1"/>
  <c r="BA822" i="1"/>
  <c r="AY822" i="1"/>
  <c r="AX822" i="1"/>
  <c r="BA524" i="1"/>
  <c r="AY524" i="1"/>
  <c r="AX524" i="1"/>
  <c r="BA382" i="1"/>
  <c r="AY382" i="1"/>
  <c r="AX382" i="1"/>
  <c r="BA962" i="1"/>
  <c r="AY962" i="1"/>
  <c r="AX962" i="1"/>
  <c r="BA155" i="1"/>
  <c r="AY155" i="1"/>
  <c r="AX155" i="1"/>
  <c r="BA1891" i="1"/>
  <c r="AY1891" i="1"/>
  <c r="AX1891" i="1"/>
  <c r="BA1492" i="1"/>
  <c r="AY1492" i="1"/>
  <c r="AX1492" i="1"/>
  <c r="BA438" i="1"/>
  <c r="AY438" i="1"/>
  <c r="AX438" i="1"/>
  <c r="BA708" i="1"/>
  <c r="AY708" i="1"/>
  <c r="AX708" i="1"/>
  <c r="BA926" i="1"/>
  <c r="AY926" i="1"/>
  <c r="AX926" i="1"/>
  <c r="BA1769" i="1"/>
  <c r="AY1769" i="1"/>
  <c r="AX1769" i="1"/>
  <c r="BA203" i="1"/>
  <c r="AY203" i="1"/>
  <c r="AX203" i="1"/>
  <c r="BA1058" i="1"/>
  <c r="AY1058" i="1"/>
  <c r="AX1058" i="1"/>
  <c r="BA1681" i="1"/>
  <c r="AY1681" i="1"/>
  <c r="AX1681" i="1"/>
  <c r="BA358" i="1"/>
  <c r="AY358" i="1"/>
  <c r="AX358" i="1"/>
  <c r="BA1062" i="1"/>
  <c r="AY1062" i="1"/>
  <c r="AX1062" i="1"/>
  <c r="BA1357" i="1"/>
  <c r="AY1357" i="1"/>
  <c r="AX1357" i="1"/>
  <c r="BA1247" i="1"/>
  <c r="AY1247" i="1"/>
  <c r="AX1247" i="1"/>
  <c r="BA116" i="1"/>
  <c r="AY116" i="1"/>
  <c r="AX116" i="1"/>
  <c r="BA1025" i="1"/>
  <c r="AY1025" i="1"/>
  <c r="AX1025" i="1"/>
  <c r="BA1508" i="1"/>
  <c r="AY1508" i="1"/>
  <c r="AX1508" i="1"/>
  <c r="BA1538" i="1"/>
  <c r="AY1538" i="1"/>
  <c r="AX1538" i="1"/>
  <c r="BA1858" i="1"/>
  <c r="AY1858" i="1"/>
  <c r="AX1858" i="1"/>
  <c r="BA1965" i="1"/>
  <c r="AY1965" i="1"/>
  <c r="AX1965" i="1"/>
  <c r="BA73" i="1"/>
  <c r="AY73" i="1"/>
  <c r="AX73" i="1"/>
  <c r="BA1366" i="1"/>
  <c r="AY1366" i="1"/>
  <c r="AX1366" i="1"/>
  <c r="BA1312" i="1"/>
  <c r="AY1312" i="1"/>
  <c r="AX1312" i="1"/>
  <c r="BA179" i="1"/>
  <c r="AY179" i="1"/>
  <c r="AX179" i="1"/>
  <c r="BA733" i="1"/>
  <c r="AY733" i="1"/>
  <c r="AX733" i="1"/>
  <c r="BA1293" i="1"/>
  <c r="AY1293" i="1"/>
  <c r="AX1293" i="1"/>
  <c r="BA1914" i="1"/>
  <c r="AY1914" i="1"/>
  <c r="AX1914" i="1"/>
  <c r="BA747" i="1"/>
  <c r="AY747" i="1"/>
  <c r="AX747" i="1"/>
  <c r="BA311" i="1"/>
  <c r="AY311" i="1"/>
  <c r="AX311" i="1"/>
  <c r="BA1702" i="1"/>
  <c r="AY1702" i="1"/>
  <c r="AX1702" i="1"/>
  <c r="BA972" i="1"/>
  <c r="AY972" i="1"/>
  <c r="AX972" i="1"/>
  <c r="BA1929" i="1"/>
  <c r="AY1929" i="1"/>
  <c r="AX1929" i="1"/>
  <c r="BA1303" i="1"/>
  <c r="AY1303" i="1"/>
  <c r="AX1303" i="1"/>
  <c r="BA843" i="1"/>
  <c r="AY843" i="1"/>
  <c r="AX843" i="1"/>
  <c r="BA1073" i="1"/>
  <c r="AY1073" i="1"/>
  <c r="AX1073" i="1"/>
  <c r="BA1396" i="1"/>
  <c r="AY1396" i="1"/>
  <c r="AX1396" i="1"/>
  <c r="BA1893" i="1"/>
  <c r="AY1893" i="1"/>
  <c r="AX1893" i="1"/>
  <c r="BA1255" i="1"/>
  <c r="AY1255" i="1"/>
  <c r="AX1255" i="1"/>
  <c r="BA1897" i="1"/>
  <c r="AY1897" i="1"/>
  <c r="AX1897" i="1"/>
  <c r="BA57" i="1"/>
  <c r="AY57" i="1"/>
  <c r="AX57" i="1"/>
  <c r="BA1494" i="1"/>
  <c r="AY1494" i="1"/>
  <c r="AX1494" i="1"/>
  <c r="BA893" i="1"/>
  <c r="AY893" i="1"/>
  <c r="AX893" i="1"/>
  <c r="BA1448" i="1"/>
  <c r="AY1448" i="1"/>
  <c r="AX1448" i="1"/>
  <c r="BA753" i="1"/>
  <c r="AY753" i="1"/>
  <c r="AX753" i="1"/>
  <c r="BA1172" i="1"/>
  <c r="AY1172" i="1"/>
  <c r="AX1172" i="1"/>
  <c r="BA1730" i="1"/>
  <c r="AY1730" i="1"/>
  <c r="AX1730" i="1"/>
  <c r="BA132" i="1"/>
  <c r="AY132" i="1"/>
  <c r="AX132" i="1"/>
  <c r="BA1095" i="1"/>
  <c r="AY1095" i="1"/>
  <c r="AX1095" i="1"/>
  <c r="BA1986" i="1"/>
  <c r="AY1986" i="1"/>
  <c r="AX1986" i="1"/>
  <c r="BA1101" i="1"/>
  <c r="AY1101" i="1"/>
  <c r="AX1101" i="1"/>
  <c r="BA965" i="1"/>
  <c r="AY965" i="1"/>
  <c r="AX965" i="1"/>
  <c r="BA431" i="1"/>
  <c r="AY431" i="1"/>
  <c r="AX431" i="1"/>
  <c r="BA130" i="1"/>
  <c r="AY130" i="1"/>
  <c r="AX130" i="1"/>
  <c r="BA123" i="1"/>
  <c r="AY123" i="1"/>
  <c r="AX123" i="1"/>
  <c r="BA1937" i="1"/>
  <c r="AY1937" i="1"/>
  <c r="AX1937" i="1"/>
  <c r="BA1394" i="1"/>
  <c r="AY1394" i="1"/>
  <c r="AX1394" i="1"/>
  <c r="BA1676" i="1"/>
  <c r="AY1676" i="1"/>
  <c r="AX1676" i="1"/>
  <c r="BA876" i="1"/>
  <c r="AY876" i="1"/>
  <c r="AX876" i="1"/>
  <c r="BA1170" i="1"/>
  <c r="AY1170" i="1"/>
  <c r="AX1170" i="1"/>
  <c r="BA110" i="1"/>
  <c r="AY110" i="1"/>
  <c r="AX110" i="1"/>
  <c r="BA1087" i="1"/>
  <c r="AY1087" i="1"/>
  <c r="AX1087" i="1"/>
  <c r="BA551" i="1"/>
  <c r="AY551" i="1"/>
  <c r="AX551" i="1"/>
  <c r="BA1581" i="1"/>
  <c r="AY1581" i="1"/>
  <c r="AX1581" i="1"/>
  <c r="BA1832" i="1"/>
  <c r="AY1832" i="1"/>
  <c r="AX1832" i="1"/>
  <c r="BA905" i="1"/>
  <c r="AY905" i="1"/>
  <c r="AX905" i="1"/>
  <c r="BA659" i="1"/>
  <c r="AY659" i="1"/>
  <c r="AX659" i="1"/>
  <c r="BA915" i="1"/>
  <c r="AY915" i="1"/>
  <c r="AX915" i="1"/>
  <c r="BA1966" i="1"/>
  <c r="AY1966" i="1"/>
  <c r="AX1966" i="1"/>
  <c r="BA394" i="1"/>
  <c r="AY394" i="1"/>
  <c r="AX394" i="1"/>
  <c r="BA1504" i="1"/>
  <c r="AY1504" i="1"/>
  <c r="AX1504" i="1"/>
  <c r="BA204" i="1"/>
  <c r="AY204" i="1"/>
  <c r="AX204" i="1"/>
  <c r="BA437" i="1"/>
  <c r="AY437" i="1"/>
  <c r="AX437" i="1"/>
  <c r="BA544" i="1"/>
  <c r="AY544" i="1"/>
  <c r="AX544" i="1"/>
  <c r="BA1913" i="1"/>
  <c r="AY1913" i="1"/>
  <c r="AX1913" i="1"/>
  <c r="BA209" i="1"/>
  <c r="AY209" i="1"/>
  <c r="AX209" i="1"/>
  <c r="BA1818" i="1"/>
  <c r="AY1818" i="1"/>
  <c r="AX1818" i="1"/>
  <c r="BA626" i="1"/>
  <c r="AY626" i="1"/>
  <c r="AX626" i="1"/>
  <c r="BA1576" i="1"/>
  <c r="AY1576" i="1"/>
  <c r="AX1576" i="1"/>
  <c r="BA1703" i="1"/>
  <c r="AY1703" i="1"/>
  <c r="AX1703" i="1"/>
  <c r="BA622" i="1"/>
  <c r="AY622" i="1"/>
  <c r="AX622" i="1"/>
  <c r="BA18" i="1"/>
  <c r="AY18" i="1"/>
  <c r="AX18" i="1"/>
  <c r="BA1048" i="1"/>
  <c r="AY1048" i="1"/>
  <c r="AX1048" i="1"/>
  <c r="BA270" i="1"/>
  <c r="AY270" i="1"/>
  <c r="AX270" i="1"/>
  <c r="BA1924" i="1"/>
  <c r="AY1924" i="1"/>
  <c r="AX1924" i="1"/>
  <c r="BA1339" i="1"/>
  <c r="AY1339" i="1"/>
  <c r="AX1339" i="1"/>
  <c r="BA507" i="1"/>
  <c r="AY507" i="1"/>
  <c r="AX507" i="1"/>
  <c r="BA798" i="1"/>
  <c r="AY798" i="1"/>
  <c r="AX798" i="1"/>
  <c r="BA963" i="1"/>
  <c r="AY963" i="1"/>
  <c r="AX963" i="1"/>
  <c r="BA883" i="1"/>
  <c r="AY883" i="1"/>
  <c r="AX883" i="1"/>
  <c r="BA1068" i="1"/>
  <c r="AY1068" i="1"/>
  <c r="AX1068" i="1"/>
  <c r="BA751" i="1"/>
  <c r="AY751" i="1"/>
  <c r="AX751" i="1"/>
  <c r="BA153" i="1"/>
  <c r="AY153" i="1"/>
  <c r="AX153" i="1"/>
  <c r="BA1645" i="1"/>
  <c r="AY1645" i="1"/>
  <c r="AX1645" i="1"/>
  <c r="BA1216" i="1"/>
  <c r="AY1216" i="1"/>
  <c r="AX1216" i="1"/>
  <c r="BA737" i="1"/>
  <c r="AY737" i="1"/>
  <c r="AX737" i="1"/>
  <c r="BA1953" i="1"/>
  <c r="AY1953" i="1"/>
  <c r="AX1953" i="1"/>
  <c r="BA265" i="1"/>
  <c r="AY265" i="1"/>
  <c r="AX265" i="1"/>
  <c r="BA802" i="1"/>
  <c r="AY802" i="1"/>
  <c r="AX802" i="1"/>
  <c r="BA568" i="1"/>
  <c r="AY568" i="1"/>
  <c r="AX568" i="1"/>
  <c r="BA829" i="1"/>
  <c r="AY829" i="1"/>
  <c r="AX829" i="1"/>
  <c r="BA1217" i="1"/>
  <c r="AY1217" i="1"/>
  <c r="AX1217" i="1"/>
  <c r="BA1032" i="1"/>
  <c r="AY1032" i="1"/>
  <c r="AX1032" i="1"/>
  <c r="BA1763" i="1"/>
  <c r="AY1763" i="1"/>
  <c r="AX1763" i="1"/>
  <c r="BA142" i="1"/>
  <c r="AY142" i="1"/>
  <c r="AX142" i="1"/>
  <c r="BA480" i="1"/>
  <c r="AY480" i="1"/>
  <c r="AX480" i="1"/>
  <c r="BA1355" i="1"/>
  <c r="AY1355" i="1"/>
  <c r="AX1355" i="1"/>
  <c r="BA1259" i="1"/>
  <c r="AY1259" i="1"/>
  <c r="AX1259" i="1"/>
  <c r="BA1330" i="1"/>
  <c r="AY1330" i="1"/>
  <c r="AX1330" i="1"/>
  <c r="BA1981" i="1"/>
  <c r="AY1981" i="1"/>
  <c r="AX1981" i="1"/>
  <c r="BA1920" i="1"/>
  <c r="AY1920" i="1"/>
  <c r="AX1920" i="1"/>
  <c r="BA1693" i="1"/>
  <c r="AY1693" i="1"/>
  <c r="AX1693" i="1"/>
  <c r="BA1725" i="1"/>
  <c r="AY1725" i="1"/>
  <c r="AX1725" i="1"/>
  <c r="BA1934" i="1"/>
  <c r="AY1934" i="1"/>
  <c r="AX1934" i="1"/>
  <c r="BA1515" i="1"/>
  <c r="AY1515" i="1"/>
  <c r="AX1515" i="1"/>
  <c r="BA302" i="1"/>
  <c r="AY302" i="1"/>
  <c r="AX302" i="1"/>
  <c r="BA511" i="1"/>
  <c r="AY511" i="1"/>
  <c r="AX511" i="1"/>
  <c r="BA1080" i="1"/>
  <c r="AY1080" i="1"/>
  <c r="AX1080" i="1"/>
  <c r="BA277" i="1"/>
  <c r="AY277" i="1"/>
  <c r="AX277" i="1"/>
  <c r="BA1400" i="1"/>
  <c r="AY1400" i="1"/>
  <c r="AX1400" i="1"/>
  <c r="BA1413" i="1"/>
  <c r="AY1413" i="1"/>
  <c r="AX1413" i="1"/>
  <c r="BA2017" i="1"/>
  <c r="AY2017" i="1"/>
  <c r="AX2017" i="1"/>
  <c r="BA1622" i="1"/>
  <c r="AY1622" i="1"/>
  <c r="AX1622" i="1"/>
  <c r="BA1332" i="1"/>
  <c r="AY1332" i="1"/>
  <c r="AX1332" i="1"/>
  <c r="BA210" i="1"/>
  <c r="AY210" i="1"/>
  <c r="AX210" i="1"/>
  <c r="BA505" i="1"/>
  <c r="AY505" i="1"/>
  <c r="AX505" i="1"/>
  <c r="BA771" i="1"/>
  <c r="AY771" i="1"/>
  <c r="AX771" i="1"/>
  <c r="BA1188" i="1"/>
  <c r="AY1188" i="1"/>
  <c r="AX1188" i="1"/>
  <c r="BA357" i="1"/>
  <c r="AY357" i="1"/>
  <c r="AX357" i="1"/>
  <c r="BA234" i="1"/>
  <c r="AY234" i="1"/>
  <c r="AX234" i="1"/>
  <c r="BA1153" i="1"/>
  <c r="AY1153" i="1"/>
  <c r="AX1153" i="1"/>
  <c r="BA271" i="1"/>
  <c r="AY271" i="1"/>
  <c r="AX271" i="1"/>
  <c r="BA1673" i="1"/>
  <c r="AY1673" i="1"/>
  <c r="AX1673" i="1"/>
  <c r="BA164" i="1"/>
  <c r="AY164" i="1"/>
  <c r="AX164" i="1"/>
  <c r="BA406" i="1"/>
  <c r="AY406" i="1"/>
  <c r="AX406" i="1"/>
  <c r="BA1524" i="1"/>
  <c r="AY1524" i="1"/>
  <c r="AX1524" i="1"/>
  <c r="BA1477" i="1"/>
  <c r="AY1477" i="1"/>
  <c r="AX1477" i="1"/>
  <c r="BA1352" i="1"/>
  <c r="AY1352" i="1"/>
  <c r="AX1352" i="1"/>
  <c r="BA846" i="1"/>
  <c r="AY846" i="1"/>
  <c r="AX846" i="1"/>
  <c r="BA723" i="1"/>
  <c r="AY723" i="1"/>
  <c r="AX723" i="1"/>
  <c r="BA408" i="1"/>
  <c r="AY408" i="1"/>
  <c r="AX408" i="1"/>
  <c r="BA226" i="1"/>
  <c r="AY226" i="1"/>
  <c r="AX226" i="1"/>
  <c r="BA141" i="1"/>
  <c r="AY141" i="1"/>
  <c r="AX141" i="1"/>
  <c r="BA1064" i="1"/>
  <c r="AY1064" i="1"/>
  <c r="AX1064" i="1"/>
  <c r="BA89" i="1"/>
  <c r="AY89" i="1"/>
  <c r="AX89" i="1"/>
  <c r="BA456" i="1"/>
  <c r="AY456" i="1"/>
  <c r="AX456" i="1"/>
  <c r="BA1629" i="1"/>
  <c r="AY1629" i="1"/>
  <c r="AX1629" i="1"/>
  <c r="BA273" i="1"/>
  <c r="AY273" i="1"/>
  <c r="AX273" i="1"/>
  <c r="BA1971" i="1"/>
  <c r="AY1971" i="1"/>
  <c r="AX1971" i="1"/>
  <c r="BA115" i="1"/>
  <c r="AY115" i="1"/>
  <c r="AX115" i="1"/>
  <c r="BA121" i="1"/>
  <c r="AY121" i="1"/>
  <c r="AX121" i="1"/>
  <c r="BA1429" i="1"/>
  <c r="AY1429" i="1"/>
  <c r="AX1429" i="1"/>
  <c r="BA1164" i="1"/>
  <c r="AY1164" i="1"/>
  <c r="AX1164" i="1"/>
  <c r="BA1630" i="1"/>
  <c r="AY1630" i="1"/>
  <c r="AX1630" i="1"/>
  <c r="BA717" i="1"/>
  <c r="AY717" i="1"/>
  <c r="AX717" i="1"/>
  <c r="BA709" i="1"/>
  <c r="AY709" i="1"/>
  <c r="AX709" i="1"/>
  <c r="BA1952" i="1"/>
  <c r="AY1952" i="1"/>
  <c r="AX1952" i="1"/>
  <c r="BA570" i="1"/>
  <c r="AY570" i="1"/>
  <c r="AX570" i="1"/>
  <c r="BA589" i="1"/>
  <c r="AY589" i="1"/>
  <c r="AX589" i="1"/>
  <c r="BA336" i="1"/>
  <c r="AY336" i="1"/>
  <c r="AX336" i="1"/>
  <c r="BA231" i="1"/>
  <c r="AY231" i="1"/>
  <c r="AX231" i="1"/>
  <c r="BA1304" i="1"/>
  <c r="AY1304" i="1"/>
  <c r="AX1304" i="1"/>
  <c r="BA1029" i="1"/>
  <c r="AY1029" i="1"/>
  <c r="AX1029" i="1"/>
  <c r="BA1617" i="1"/>
  <c r="AY1617" i="1"/>
  <c r="AX1617" i="1"/>
  <c r="BA31" i="1"/>
  <c r="AY31" i="1"/>
  <c r="AX31" i="1"/>
  <c r="BA899" i="1"/>
  <c r="AY899" i="1"/>
  <c r="AX899" i="1"/>
  <c r="BA236" i="1"/>
  <c r="AY236" i="1"/>
  <c r="AX236" i="1"/>
  <c r="BA182" i="1"/>
  <c r="AY182" i="1"/>
  <c r="AX182" i="1"/>
  <c r="BA2011" i="1"/>
  <c r="AY2011" i="1"/>
  <c r="AX2011" i="1"/>
  <c r="BA305" i="1"/>
  <c r="AY305" i="1"/>
  <c r="AX305" i="1"/>
  <c r="BA1939" i="1"/>
  <c r="AY1939" i="1"/>
  <c r="AX1939" i="1"/>
  <c r="BA519" i="1"/>
  <c r="AY519" i="1"/>
  <c r="AX519" i="1"/>
  <c r="BA486" i="1"/>
  <c r="AY486" i="1"/>
  <c r="AX486" i="1"/>
  <c r="BA1269" i="1"/>
  <c r="AY1269" i="1"/>
  <c r="AX1269" i="1"/>
  <c r="BA828" i="1"/>
  <c r="AY828" i="1"/>
  <c r="AX828" i="1"/>
  <c r="BA1817" i="1"/>
  <c r="AY1817" i="1"/>
  <c r="AX1817" i="1"/>
  <c r="BA62" i="1"/>
  <c r="AY62" i="1"/>
  <c r="AX62" i="1"/>
  <c r="BA212" i="1"/>
  <c r="AY212" i="1"/>
  <c r="AX212" i="1"/>
  <c r="BA1049" i="1"/>
  <c r="AY1049" i="1"/>
  <c r="AX1049" i="1"/>
  <c r="BA530" i="1"/>
  <c r="AY530" i="1"/>
  <c r="AX530" i="1"/>
  <c r="BA1628" i="1"/>
  <c r="AY1628" i="1"/>
  <c r="AX1628" i="1"/>
  <c r="BA945" i="1"/>
  <c r="AY945" i="1"/>
  <c r="AX945" i="1"/>
  <c r="BA1815" i="1"/>
  <c r="AY1815" i="1"/>
  <c r="AX1815" i="1"/>
  <c r="BA672" i="1"/>
  <c r="AY672" i="1"/>
  <c r="AX672" i="1"/>
  <c r="BA1351" i="1"/>
  <c r="AY1351" i="1"/>
  <c r="AX1351" i="1"/>
  <c r="BA1567" i="1"/>
  <c r="AY1567" i="1"/>
  <c r="AX1567" i="1"/>
  <c r="BA1364" i="1"/>
  <c r="AY1364" i="1"/>
  <c r="AX1364" i="1"/>
  <c r="BA28" i="1"/>
  <c r="AY28" i="1"/>
  <c r="AX28" i="1"/>
  <c r="BA521" i="1"/>
  <c r="AY521" i="1"/>
  <c r="AX521" i="1"/>
  <c r="BA513" i="1"/>
  <c r="AY513" i="1"/>
  <c r="AX513" i="1"/>
  <c r="BA402" i="1"/>
  <c r="AY402" i="1"/>
  <c r="AX402" i="1"/>
  <c r="BA205" i="1"/>
  <c r="AY205" i="1"/>
  <c r="AX205" i="1"/>
  <c r="BA806" i="1"/>
  <c r="AY806" i="1"/>
  <c r="AX806" i="1"/>
  <c r="BA1866" i="1"/>
  <c r="AY1866" i="1"/>
  <c r="AX1866" i="1"/>
  <c r="BA1050" i="1"/>
  <c r="AY1050" i="1"/>
  <c r="AX1050" i="1"/>
  <c r="BA759" i="1"/>
  <c r="AY759" i="1"/>
  <c r="AX759" i="1"/>
  <c r="BA1218" i="1"/>
  <c r="AY1218" i="1"/>
  <c r="AX1218" i="1"/>
  <c r="BA1842" i="1"/>
  <c r="AY1842" i="1"/>
  <c r="AX1842" i="1"/>
  <c r="BA1360" i="1"/>
  <c r="AY1360" i="1"/>
  <c r="AX1360" i="1"/>
  <c r="BA470" i="1"/>
  <c r="AY470" i="1"/>
  <c r="AX470" i="1"/>
  <c r="BA1082" i="1"/>
  <c r="AY1082" i="1"/>
  <c r="AX1082" i="1"/>
  <c r="BA348" i="1"/>
  <c r="AY348" i="1"/>
  <c r="AX348" i="1"/>
  <c r="BA175" i="1"/>
  <c r="AY175" i="1"/>
  <c r="AX175" i="1"/>
  <c r="BA60" i="1"/>
  <c r="AY60" i="1"/>
  <c r="AX60" i="1"/>
  <c r="BA605" i="1"/>
  <c r="AY605" i="1"/>
  <c r="AX605" i="1"/>
  <c r="BA398" i="1"/>
  <c r="AY398" i="1"/>
  <c r="AX398" i="1"/>
  <c r="BA1485" i="1"/>
  <c r="AY1485" i="1"/>
  <c r="AX1485" i="1"/>
  <c r="BA904" i="1"/>
  <c r="AY904" i="1"/>
  <c r="AX904" i="1"/>
  <c r="BA363" i="1"/>
  <c r="AY363" i="1"/>
  <c r="AX363" i="1"/>
  <c r="BA593" i="1"/>
  <c r="AY593" i="1"/>
  <c r="AX593" i="1"/>
  <c r="BA389" i="1"/>
  <c r="AY389" i="1"/>
  <c r="AX389" i="1"/>
  <c r="BA1491" i="1"/>
  <c r="AY1491" i="1"/>
  <c r="AX1491" i="1"/>
  <c r="BA315" i="1"/>
  <c r="AY315" i="1"/>
  <c r="AX315" i="1"/>
  <c r="BA386" i="1"/>
  <c r="AY386" i="1"/>
  <c r="AX386" i="1"/>
  <c r="BA1805" i="1"/>
  <c r="AY1805" i="1"/>
  <c r="AX1805" i="1"/>
  <c r="BA421" i="1"/>
  <c r="AY421" i="1"/>
  <c r="AX421" i="1"/>
  <c r="BA609" i="1"/>
  <c r="AY609" i="1"/>
  <c r="AX609" i="1"/>
  <c r="BA835" i="1"/>
  <c r="AY835" i="1"/>
  <c r="AX835" i="1"/>
  <c r="BA826" i="1"/>
  <c r="AY826" i="1"/>
  <c r="AX826" i="1"/>
  <c r="BA946" i="1"/>
  <c r="AY946" i="1"/>
  <c r="AX946" i="1"/>
  <c r="BA1767" i="1"/>
  <c r="AY1767" i="1"/>
  <c r="AX1767" i="1"/>
  <c r="BA1908" i="1"/>
  <c r="AY1908" i="1"/>
  <c r="AX1908" i="1"/>
  <c r="BA1228" i="1"/>
  <c r="AY1228" i="1"/>
  <c r="AX1228" i="1"/>
  <c r="BA1687" i="1"/>
  <c r="AY1687" i="1"/>
  <c r="AX1687" i="1"/>
  <c r="BA1793" i="1"/>
  <c r="AY1793" i="1"/>
  <c r="AX1793" i="1"/>
  <c r="BA1369" i="1"/>
  <c r="AY1369" i="1"/>
  <c r="AX1369" i="1"/>
  <c r="BA825" i="1"/>
  <c r="AY825" i="1"/>
  <c r="AX825" i="1"/>
  <c r="BA922" i="1"/>
  <c r="AY922" i="1"/>
  <c r="AX922" i="1"/>
  <c r="BA1190" i="1"/>
  <c r="AY1190" i="1"/>
  <c r="AX1190" i="1"/>
  <c r="BA532" i="1"/>
  <c r="AY532" i="1"/>
  <c r="AX532" i="1"/>
  <c r="BA799" i="1"/>
  <c r="AY799" i="1"/>
  <c r="AX799" i="1"/>
  <c r="BA1137" i="1"/>
  <c r="AY1137" i="1"/>
  <c r="AX1137" i="1"/>
  <c r="BA1114" i="1"/>
  <c r="AY1114" i="1"/>
  <c r="AX1114" i="1"/>
  <c r="BA587" i="1"/>
  <c r="AY587" i="1"/>
  <c r="AX587" i="1"/>
  <c r="BA1732" i="1"/>
  <c r="AY1732" i="1"/>
  <c r="AX1732" i="1"/>
  <c r="BA8" i="1"/>
  <c r="AY8" i="1"/>
  <c r="AX8" i="1"/>
  <c r="BA632" i="1"/>
  <c r="AY632" i="1"/>
  <c r="AX632" i="1"/>
  <c r="BA401" i="1"/>
  <c r="AY401" i="1"/>
  <c r="AX401" i="1"/>
  <c r="BA935" i="1"/>
  <c r="AY935" i="1"/>
  <c r="AX935" i="1"/>
  <c r="BA3" i="1"/>
  <c r="AY3" i="1"/>
  <c r="AX3" i="1"/>
  <c r="BA1181" i="1"/>
  <c r="AY1181" i="1"/>
  <c r="AX1181" i="1"/>
  <c r="BA235" i="1"/>
  <c r="AY235" i="1"/>
  <c r="AX235" i="1"/>
  <c r="BA1230" i="1"/>
  <c r="AY1230" i="1"/>
  <c r="AX1230" i="1"/>
  <c r="BA738" i="1"/>
  <c r="AY738" i="1"/>
  <c r="AX738" i="1"/>
  <c r="BA266" i="1"/>
  <c r="AY266" i="1"/>
  <c r="AX266" i="1"/>
  <c r="BA498" i="1"/>
  <c r="AY498" i="1"/>
  <c r="AX498" i="1"/>
  <c r="BA750" i="1"/>
  <c r="AY750" i="1"/>
  <c r="AX750" i="1"/>
  <c r="BA925" i="1"/>
  <c r="AY925" i="1"/>
  <c r="AX925" i="1"/>
  <c r="BA99" i="1"/>
  <c r="AY99" i="1"/>
  <c r="AX99" i="1"/>
  <c r="BA1229" i="1"/>
  <c r="AY1229" i="1"/>
  <c r="AX1229" i="1"/>
  <c r="BA83" i="1"/>
  <c r="AY83" i="1"/>
  <c r="AX83" i="1"/>
  <c r="BA1224" i="1"/>
  <c r="AY1224" i="1"/>
  <c r="AX1224" i="1"/>
  <c r="BA414" i="1"/>
  <c r="AY414" i="1"/>
  <c r="AX414" i="1"/>
  <c r="BA566" i="1"/>
  <c r="AY566" i="1"/>
  <c r="AX566" i="1"/>
  <c r="BA1757" i="1"/>
  <c r="AY1757" i="1"/>
  <c r="AX1757" i="1"/>
  <c r="BA1586" i="1"/>
  <c r="AY1586" i="1"/>
  <c r="AX1586" i="1"/>
  <c r="BA552" i="1"/>
  <c r="AY552" i="1"/>
  <c r="AX552" i="1"/>
  <c r="BA329" i="1"/>
  <c r="AY329" i="1"/>
  <c r="AX329" i="1"/>
  <c r="BA1992" i="1"/>
  <c r="AY1992" i="1"/>
  <c r="AX1992" i="1"/>
  <c r="BA312" i="1"/>
  <c r="AY312" i="1"/>
  <c r="AX312" i="1"/>
  <c r="BA1482" i="1"/>
  <c r="AY1482" i="1"/>
  <c r="AX1482" i="1"/>
  <c r="BA330" i="1"/>
  <c r="AY330" i="1"/>
  <c r="AX330" i="1"/>
  <c r="BA1209" i="1"/>
  <c r="AY1209" i="1"/>
  <c r="AX1209" i="1"/>
  <c r="BA984" i="1"/>
  <c r="AY984" i="1"/>
  <c r="AX984" i="1"/>
  <c r="BA1748" i="1"/>
  <c r="AY1748" i="1"/>
  <c r="AX1748" i="1"/>
  <c r="BA943" i="1"/>
  <c r="AY943" i="1"/>
  <c r="AX943" i="1"/>
  <c r="BA1575" i="1"/>
  <c r="AY1575" i="1"/>
  <c r="AX1575" i="1"/>
  <c r="BA1202" i="1"/>
  <c r="AY1202" i="1"/>
  <c r="AX1202" i="1"/>
  <c r="BA726" i="1"/>
  <c r="AY726" i="1"/>
  <c r="AX726" i="1"/>
  <c r="BA1950" i="1"/>
  <c r="AY1950" i="1"/>
  <c r="AX1950" i="1"/>
  <c r="BA887" i="1"/>
  <c r="AY887" i="1"/>
  <c r="AX887" i="1"/>
  <c r="BA1373" i="1"/>
  <c r="AY1373" i="1"/>
  <c r="AX1373" i="1"/>
  <c r="BA143" i="1"/>
  <c r="AY143" i="1"/>
  <c r="AX143" i="1"/>
  <c r="BA1707" i="1"/>
  <c r="AY1707" i="1"/>
  <c r="AX1707" i="1"/>
  <c r="BA1862" i="1"/>
  <c r="AY1862" i="1"/>
  <c r="AX1862" i="1"/>
  <c r="BA1890" i="1"/>
  <c r="AY1890" i="1"/>
  <c r="AX1890" i="1"/>
  <c r="BA1103" i="1"/>
  <c r="AY1103" i="1"/>
  <c r="AX1103" i="1"/>
  <c r="BA804" i="1"/>
  <c r="AY804" i="1"/>
  <c r="AX804" i="1"/>
  <c r="BA306" i="1"/>
  <c r="AY306" i="1"/>
  <c r="AX306" i="1"/>
  <c r="BA736" i="1"/>
  <c r="AY736" i="1"/>
  <c r="AX736" i="1"/>
  <c r="BA1761" i="1"/>
  <c r="AY1761" i="1"/>
  <c r="AX1761" i="1"/>
  <c r="BA1682" i="1"/>
  <c r="AY1682" i="1"/>
  <c r="AX1682" i="1"/>
  <c r="BA1810" i="1"/>
  <c r="AY1810" i="1"/>
  <c r="AX1810" i="1"/>
  <c r="BA1337" i="1"/>
  <c r="AY1337" i="1"/>
  <c r="AX1337" i="1"/>
  <c r="BA1882" i="1"/>
  <c r="AY1882" i="1"/>
  <c r="AX1882" i="1"/>
  <c r="BA1963" i="1"/>
  <c r="AY1963" i="1"/>
  <c r="AX1963" i="1"/>
  <c r="BA485" i="1"/>
  <c r="AY485" i="1"/>
  <c r="AX485" i="1"/>
  <c r="BA1621" i="1"/>
  <c r="AY1621" i="1"/>
  <c r="AX1621" i="1"/>
  <c r="BA345" i="1"/>
  <c r="AY345" i="1"/>
  <c r="AX345" i="1"/>
  <c r="BA23" i="1"/>
  <c r="AY23" i="1"/>
  <c r="AX23" i="1"/>
  <c r="BA1374" i="1"/>
  <c r="AY1374" i="1"/>
  <c r="AX1374" i="1"/>
  <c r="BA1493" i="1"/>
  <c r="AY1493" i="1"/>
  <c r="AX1493" i="1"/>
  <c r="BA1013" i="1"/>
  <c r="AY1013" i="1"/>
  <c r="AX1013" i="1"/>
  <c r="BA764" i="1"/>
  <c r="AY764" i="1"/>
  <c r="AX764" i="1"/>
  <c r="BA194" i="1"/>
  <c r="AY194" i="1"/>
  <c r="AX194" i="1"/>
  <c r="BA1811" i="1"/>
  <c r="AY1811" i="1"/>
  <c r="AX1811" i="1"/>
  <c r="BA1385" i="1"/>
  <c r="AY1385" i="1"/>
  <c r="AX1385" i="1"/>
  <c r="BA1411" i="1"/>
  <c r="AY1411" i="1"/>
  <c r="AX1411" i="1"/>
  <c r="BA1150" i="1"/>
  <c r="AY1150" i="1"/>
  <c r="AX1150" i="1"/>
  <c r="BA1222" i="1"/>
  <c r="AY1222" i="1"/>
  <c r="AX1222" i="1"/>
  <c r="BA989" i="1"/>
  <c r="AY989" i="1"/>
  <c r="AX989" i="1"/>
  <c r="BA1161" i="1"/>
  <c r="AY1161" i="1"/>
  <c r="AX1161" i="1"/>
  <c r="BA1995" i="1"/>
  <c r="AY1995" i="1"/>
  <c r="AX1995" i="1"/>
  <c r="BA1055" i="1"/>
  <c r="AY1055" i="1"/>
  <c r="AX1055" i="1"/>
  <c r="BA715" i="1"/>
  <c r="AY715" i="1"/>
  <c r="AX715" i="1"/>
  <c r="BA1474" i="1"/>
  <c r="AY1474" i="1"/>
  <c r="AX1474" i="1"/>
  <c r="BA670" i="1"/>
  <c r="AY670" i="1"/>
  <c r="AX670" i="1"/>
  <c r="BA1433" i="1"/>
  <c r="AY1433" i="1"/>
  <c r="AX1433" i="1"/>
  <c r="BA1465" i="1"/>
  <c r="AY1465" i="1"/>
  <c r="AX1465" i="1"/>
  <c r="BA1231" i="1"/>
  <c r="AY1231" i="1"/>
  <c r="AX1231" i="1"/>
  <c r="BA1468" i="1"/>
  <c r="AY1468" i="1"/>
  <c r="AX1468" i="1"/>
  <c r="BA1126" i="1"/>
  <c r="AY1126" i="1"/>
  <c r="AX1126" i="1"/>
  <c r="BA1794" i="1"/>
  <c r="AY1794" i="1"/>
  <c r="AX1794" i="1"/>
  <c r="BA628" i="1"/>
  <c r="AY628" i="1"/>
  <c r="AX628" i="1"/>
  <c r="BA1066" i="1"/>
  <c r="AY1066" i="1"/>
  <c r="AX1066" i="1"/>
  <c r="BA1134" i="1"/>
  <c r="AY1134" i="1"/>
  <c r="AX1134" i="1"/>
  <c r="BA722" i="1"/>
  <c r="AY722" i="1"/>
  <c r="AX722" i="1"/>
  <c r="BA523" i="1"/>
  <c r="AY523" i="1"/>
  <c r="AX523" i="1"/>
  <c r="BA109" i="1"/>
  <c r="AY109" i="1"/>
  <c r="AX109" i="1"/>
  <c r="BA1624" i="1"/>
  <c r="AY1624" i="1"/>
  <c r="AX1624" i="1"/>
  <c r="BA287" i="1"/>
  <c r="AY287" i="1"/>
  <c r="AX287" i="1"/>
  <c r="BA1753" i="1"/>
  <c r="AY1753" i="1"/>
  <c r="AX1753" i="1"/>
  <c r="BA137" i="1"/>
  <c r="AY137" i="1"/>
  <c r="AX137" i="1"/>
  <c r="BA923" i="1"/>
  <c r="AY923" i="1"/>
  <c r="AX923" i="1"/>
  <c r="BA1344" i="1"/>
  <c r="AY1344" i="1"/>
  <c r="AX1344" i="1"/>
  <c r="BA168" i="1"/>
  <c r="AY168" i="1"/>
  <c r="AX168" i="1"/>
  <c r="BA1550" i="1"/>
  <c r="AY1550" i="1"/>
  <c r="AX1550" i="1"/>
  <c r="BA778" i="1"/>
  <c r="AY778" i="1"/>
  <c r="AX778" i="1"/>
  <c r="BA1894" i="1"/>
  <c r="AY1894" i="1"/>
  <c r="AX1894" i="1"/>
  <c r="BA1444" i="1"/>
  <c r="AY1444" i="1"/>
  <c r="AX1444" i="1"/>
  <c r="BA1799" i="1"/>
  <c r="AY1799" i="1"/>
  <c r="AX1799" i="1"/>
  <c r="BA1948" i="1"/>
  <c r="AY1948" i="1"/>
  <c r="AX1948" i="1"/>
  <c r="BA1116" i="1"/>
  <c r="AY1116" i="1"/>
  <c r="AX1116" i="1"/>
  <c r="BA75" i="1"/>
  <c r="AY75" i="1"/>
  <c r="AX75" i="1"/>
  <c r="BA1822" i="1"/>
  <c r="AY1822" i="1"/>
  <c r="AX1822" i="1"/>
  <c r="BA950" i="1"/>
  <c r="AY950" i="1"/>
  <c r="AX950" i="1"/>
  <c r="BA72" i="1"/>
  <c r="AY72" i="1"/>
  <c r="AX72" i="1"/>
  <c r="BA1271" i="1"/>
  <c r="AY1271" i="1"/>
  <c r="AX1271" i="1"/>
  <c r="BA1286" i="1"/>
  <c r="AY1286" i="1"/>
  <c r="AX1286" i="1"/>
  <c r="BA1834" i="1"/>
  <c r="AY1834" i="1"/>
  <c r="AX1834" i="1"/>
  <c r="BA1880" i="1"/>
  <c r="AY1880" i="1"/>
  <c r="AX1880" i="1"/>
  <c r="BA921" i="1"/>
  <c r="AY921" i="1"/>
  <c r="AX921" i="1"/>
  <c r="BA218" i="1"/>
  <c r="AY218" i="1"/>
  <c r="AX218" i="1"/>
  <c r="BA1252" i="1"/>
  <c r="AY1252" i="1"/>
  <c r="AX1252" i="1"/>
  <c r="BA1220" i="1"/>
  <c r="AY1220" i="1"/>
  <c r="AX1220" i="1"/>
  <c r="BA1747" i="1"/>
  <c r="AY1747" i="1"/>
  <c r="AX1747" i="1"/>
  <c r="BA667" i="1"/>
  <c r="AY667" i="1"/>
  <c r="AX667" i="1"/>
  <c r="BA833" i="1"/>
  <c r="AY833" i="1"/>
  <c r="AX833" i="1"/>
  <c r="BA509" i="1"/>
  <c r="AY509" i="1"/>
  <c r="AX509" i="1"/>
  <c r="BA1135" i="1"/>
  <c r="AY1135" i="1"/>
  <c r="AX1135" i="1"/>
  <c r="BA1132" i="1"/>
  <c r="AY1132" i="1"/>
  <c r="AX1132" i="1"/>
  <c r="BA467" i="1"/>
  <c r="AY467" i="1"/>
  <c r="AX467" i="1"/>
  <c r="BA653" i="1"/>
  <c r="AY653" i="1"/>
  <c r="AX653" i="1"/>
  <c r="BA217" i="1"/>
  <c r="AY217" i="1"/>
  <c r="AX217" i="1"/>
  <c r="BA1609" i="1"/>
  <c r="AY1609" i="1"/>
  <c r="AX1609" i="1"/>
  <c r="BA1806" i="1"/>
  <c r="AY1806" i="1"/>
  <c r="AX1806" i="1"/>
  <c r="BA356" i="1"/>
  <c r="AY356" i="1"/>
  <c r="AX356" i="1"/>
  <c r="BA824" i="1"/>
  <c r="AY824" i="1"/>
  <c r="AX824" i="1"/>
  <c r="BA251" i="1"/>
  <c r="AY251" i="1"/>
  <c r="AX251" i="1"/>
  <c r="BA1737" i="1"/>
  <c r="AY1737" i="1"/>
  <c r="AX1737" i="1"/>
  <c r="BA202" i="1"/>
  <c r="AY202" i="1"/>
  <c r="AX202" i="1"/>
  <c r="BA331" i="1"/>
  <c r="AY331" i="1"/>
  <c r="AX331" i="1"/>
  <c r="BA1790" i="1"/>
  <c r="AY1790" i="1"/>
  <c r="AX1790" i="1"/>
  <c r="BA1568" i="1"/>
  <c r="AY1568" i="1"/>
  <c r="AX1568" i="1"/>
  <c r="BA122" i="1"/>
  <c r="AY122" i="1"/>
  <c r="AX122" i="1"/>
  <c r="BA1342" i="1"/>
  <c r="AY1342" i="1"/>
  <c r="AX1342" i="1"/>
  <c r="BA53" i="1"/>
  <c r="AY53" i="1"/>
  <c r="AX53" i="1"/>
  <c r="BA1129" i="1"/>
  <c r="AY1129" i="1"/>
  <c r="AX1129" i="1"/>
  <c r="BA765" i="1"/>
  <c r="AY765" i="1"/>
  <c r="AX765" i="1"/>
  <c r="BA1384" i="1"/>
  <c r="AY1384" i="1"/>
  <c r="AX1384" i="1"/>
  <c r="BA787" i="1"/>
  <c r="AY787" i="1"/>
  <c r="AX787" i="1"/>
  <c r="BA1054" i="1"/>
  <c r="AY1054" i="1"/>
  <c r="AX1054" i="1"/>
  <c r="BA101" i="1"/>
  <c r="AY101" i="1"/>
  <c r="AX101" i="1"/>
  <c r="BA614" i="1"/>
  <c r="AY614" i="1"/>
  <c r="AX614" i="1"/>
  <c r="BA613" i="1"/>
  <c r="AY613" i="1"/>
  <c r="AX613" i="1"/>
  <c r="BA634" i="1"/>
  <c r="AY634" i="1"/>
  <c r="AX634" i="1"/>
  <c r="BA1401" i="1"/>
  <c r="AY1401" i="1"/>
  <c r="AX1401" i="1"/>
  <c r="BA1151" i="1"/>
  <c r="AY1151" i="1"/>
  <c r="AX1151" i="1"/>
  <c r="BA1849" i="1"/>
  <c r="AY1849" i="1"/>
  <c r="AX1849" i="1"/>
  <c r="BA442" i="1"/>
  <c r="AY442" i="1"/>
  <c r="AX442" i="1"/>
  <c r="BA619" i="1"/>
  <c r="AY619" i="1"/>
  <c r="AX619" i="1"/>
  <c r="BA409" i="1"/>
  <c r="AY409" i="1"/>
  <c r="AX409" i="1"/>
  <c r="BA907" i="1"/>
  <c r="AY907" i="1"/>
  <c r="AX907" i="1"/>
  <c r="BA827" i="1"/>
  <c r="AY827" i="1"/>
  <c r="AX827" i="1"/>
  <c r="BA594" i="1"/>
  <c r="AY594" i="1"/>
  <c r="AX594" i="1"/>
  <c r="BA853" i="1"/>
  <c r="AY853" i="1"/>
  <c r="AX853" i="1"/>
  <c r="BA256" i="1"/>
  <c r="AY256" i="1"/>
  <c r="AX256" i="1"/>
  <c r="BA1168" i="1"/>
  <c r="AY1168" i="1"/>
  <c r="AX1168" i="1"/>
  <c r="BA426" i="1"/>
  <c r="AY426" i="1"/>
  <c r="AX426" i="1"/>
  <c r="BA1371" i="1"/>
  <c r="AY1371" i="1"/>
  <c r="AX1371" i="1"/>
  <c r="BA1994" i="1"/>
  <c r="AY1994" i="1"/>
  <c r="AX1994" i="1"/>
  <c r="BA783" i="1"/>
  <c r="AY783" i="1"/>
  <c r="AX783" i="1"/>
  <c r="BA639" i="1"/>
  <c r="AY639" i="1"/>
  <c r="AX639" i="1"/>
  <c r="BA196" i="1"/>
  <c r="AY196" i="1"/>
  <c r="AX196" i="1"/>
  <c r="BA114" i="1"/>
  <c r="AY114" i="1"/>
  <c r="AX114" i="1"/>
  <c r="BA1287" i="1"/>
  <c r="AY1287" i="1"/>
  <c r="AX1287" i="1"/>
  <c r="BA1663" i="1"/>
  <c r="AY1663" i="1"/>
  <c r="AX1663" i="1"/>
  <c r="BA1475" i="1"/>
  <c r="AY1475" i="1"/>
  <c r="AX1475" i="1"/>
  <c r="BA1437" i="1"/>
  <c r="AY1437" i="1"/>
  <c r="AX1437" i="1"/>
  <c r="BA1346" i="1"/>
  <c r="AY1346" i="1"/>
  <c r="AX1346" i="1"/>
  <c r="BA731" i="1"/>
  <c r="AY731" i="1"/>
  <c r="AX731" i="1"/>
  <c r="BA901" i="1"/>
  <c r="AY901" i="1"/>
  <c r="AX901" i="1"/>
  <c r="BA1345" i="1"/>
  <c r="AY1345" i="1"/>
  <c r="AX1345" i="1"/>
  <c r="BA754" i="1"/>
  <c r="AY754" i="1"/>
  <c r="AX754" i="1"/>
  <c r="BA1916" i="1"/>
  <c r="AY1916" i="1"/>
  <c r="AX1916" i="1"/>
  <c r="BA1439" i="1"/>
  <c r="AY1439" i="1"/>
  <c r="AX1439" i="1"/>
  <c r="BA847" i="1"/>
  <c r="AY847" i="1"/>
  <c r="AX847" i="1"/>
  <c r="BA1462" i="1"/>
  <c r="AY1462" i="1"/>
  <c r="AX1462" i="1"/>
  <c r="BA735" i="1"/>
  <c r="AY735" i="1"/>
  <c r="AX735" i="1"/>
  <c r="BA1100" i="1"/>
  <c r="AY1100" i="1"/>
  <c r="AX1100" i="1"/>
  <c r="BA1027" i="1"/>
  <c r="AY1027" i="1"/>
  <c r="AX1027" i="1"/>
  <c r="BA1689" i="1"/>
  <c r="AY1689" i="1"/>
  <c r="AX1689" i="1"/>
  <c r="BA267" i="1"/>
  <c r="AY267" i="1"/>
  <c r="AX267" i="1"/>
  <c r="BA385" i="1"/>
  <c r="AY385" i="1"/>
  <c r="AX385" i="1"/>
  <c r="BA1632" i="1"/>
  <c r="AY1632" i="1"/>
  <c r="AX1632" i="1"/>
  <c r="BA1096" i="1"/>
  <c r="AY1096" i="1"/>
  <c r="AX1096" i="1"/>
  <c r="BA365" i="1"/>
  <c r="AY365" i="1"/>
  <c r="AX365" i="1"/>
  <c r="BA793" i="1"/>
  <c r="AY793" i="1"/>
  <c r="AX793" i="1"/>
  <c r="BA369" i="1"/>
  <c r="AY369" i="1"/>
  <c r="AX369" i="1"/>
  <c r="BA1119" i="1"/>
  <c r="AY1119" i="1"/>
  <c r="AX1119" i="1"/>
  <c r="BA1289" i="1"/>
  <c r="AY1289" i="1"/>
  <c r="AX1289" i="1"/>
  <c r="BA45" i="1"/>
  <c r="AY45" i="1"/>
  <c r="AX45" i="1"/>
  <c r="BA1438" i="1"/>
  <c r="AY1438" i="1"/>
  <c r="AX1438" i="1"/>
  <c r="BA610" i="1"/>
  <c r="AY610" i="1"/>
  <c r="AX610" i="1"/>
  <c r="BA522" i="1"/>
  <c r="AY522" i="1"/>
  <c r="AX522" i="1"/>
  <c r="BA1533" i="1"/>
  <c r="AY1533" i="1"/>
  <c r="AX1533" i="1"/>
  <c r="BA894" i="1"/>
  <c r="AY894" i="1"/>
  <c r="AX894" i="1"/>
  <c r="BA898" i="1"/>
  <c r="AY898" i="1"/>
  <c r="AX898" i="1"/>
  <c r="BA959" i="1"/>
  <c r="AY959" i="1"/>
  <c r="AX959" i="1"/>
  <c r="BA1868" i="1"/>
  <c r="AY1868" i="1"/>
  <c r="AX1868" i="1"/>
  <c r="BA144" i="1"/>
  <c r="AY144" i="1"/>
  <c r="AX144" i="1"/>
  <c r="BA1316" i="1"/>
  <c r="AY1316" i="1"/>
  <c r="AX1316" i="1"/>
  <c r="BA1525" i="1"/>
  <c r="AY1525" i="1"/>
  <c r="AX1525" i="1"/>
  <c r="BA1599" i="1"/>
  <c r="AY1599" i="1"/>
  <c r="AX1599" i="1"/>
  <c r="BA1738" i="1"/>
  <c r="AY1738" i="1"/>
  <c r="AX1738" i="1"/>
  <c r="BA958" i="1"/>
  <c r="AY958" i="1"/>
  <c r="AX958" i="1"/>
  <c r="BA1734" i="1"/>
  <c r="AY1734" i="1"/>
  <c r="AX1734" i="1"/>
  <c r="BA2006" i="1"/>
  <c r="AY2006" i="1"/>
  <c r="AX2006" i="1"/>
  <c r="BA1680" i="1"/>
  <c r="AY1680" i="1"/>
  <c r="AX1680" i="1"/>
  <c r="BA1091" i="1"/>
  <c r="AY1091" i="1"/>
  <c r="AX1091" i="1"/>
  <c r="BA606" i="1"/>
  <c r="AY606" i="1"/>
  <c r="AX606" i="1"/>
  <c r="BA1085" i="1"/>
  <c r="AY1085" i="1"/>
  <c r="AX1085" i="1"/>
  <c r="BA1741" i="1"/>
  <c r="AY1741" i="1"/>
  <c r="AX1741" i="1"/>
  <c r="BA481" i="1"/>
  <c r="AY481" i="1"/>
  <c r="AX481" i="1"/>
  <c r="BA604" i="1"/>
  <c r="AY604" i="1"/>
  <c r="AX604" i="1"/>
  <c r="BA1268" i="1"/>
  <c r="AY1268" i="1"/>
  <c r="AX1268" i="1"/>
  <c r="BA85" i="1"/>
  <c r="AY85" i="1"/>
  <c r="AX85" i="1"/>
  <c r="BA758" i="1"/>
  <c r="AY758" i="1"/>
  <c r="AX758" i="1"/>
  <c r="BA1999" i="1"/>
  <c r="AY1999" i="1"/>
  <c r="AX1999" i="1"/>
  <c r="BA441" i="1"/>
  <c r="AY441" i="1"/>
  <c r="AX441" i="1"/>
  <c r="BA14" i="1"/>
  <c r="AY14" i="1"/>
  <c r="AX14" i="1"/>
  <c r="BA1158" i="1"/>
  <c r="AY1158" i="1"/>
  <c r="AX1158" i="1"/>
  <c r="BA37" i="1"/>
  <c r="AY37" i="1"/>
  <c r="AX37" i="1"/>
  <c r="BA100" i="1"/>
  <c r="AY100" i="1"/>
  <c r="AX100" i="1"/>
  <c r="BA1946" i="1"/>
  <c r="AY1946" i="1"/>
  <c r="AX1946" i="1"/>
  <c r="BA1483" i="1"/>
  <c r="AY1483" i="1"/>
  <c r="AX1483" i="1"/>
  <c r="BA1094" i="1"/>
  <c r="AY1094" i="1"/>
  <c r="AX1094" i="1"/>
  <c r="BA27" i="1"/>
  <c r="AY27" i="1"/>
  <c r="AX27" i="1"/>
  <c r="BA113" i="1"/>
  <c r="AY113" i="1"/>
  <c r="AX113" i="1"/>
  <c r="BA1940" i="1"/>
  <c r="AY1940" i="1"/>
  <c r="AX1940" i="1"/>
  <c r="BA272" i="1"/>
  <c r="AY272" i="1"/>
  <c r="AX272" i="1"/>
  <c r="BA487" i="1"/>
  <c r="AY487" i="1"/>
  <c r="AX487" i="1"/>
  <c r="BA1128" i="1"/>
  <c r="AY1128" i="1"/>
  <c r="AX1128" i="1"/>
  <c r="BA654" i="1"/>
  <c r="AY654" i="1"/>
  <c r="AX654" i="1"/>
  <c r="BA955" i="1"/>
  <c r="AY955" i="1"/>
  <c r="AX955" i="1"/>
  <c r="BA1865" i="1"/>
  <c r="AY1865" i="1"/>
  <c r="AX1865" i="1"/>
  <c r="BA1078" i="1"/>
  <c r="AY1078" i="1"/>
  <c r="AX1078" i="1"/>
  <c r="BA1723" i="1"/>
  <c r="AY1723" i="1"/>
  <c r="AX1723" i="1"/>
  <c r="BA623" i="1"/>
  <c r="AY623" i="1"/>
  <c r="AX623" i="1"/>
  <c r="BA1800" i="1"/>
  <c r="AY1800" i="1"/>
  <c r="AX1800" i="1"/>
  <c r="BA1149" i="1"/>
  <c r="AY1149" i="1"/>
  <c r="AX1149" i="1"/>
  <c r="BA960" i="1"/>
  <c r="AY960" i="1"/>
  <c r="AX960" i="1"/>
  <c r="BA1279" i="1"/>
  <c r="AY1279" i="1"/>
  <c r="AX1279" i="1"/>
  <c r="BA1318" i="1"/>
  <c r="AY1318" i="1"/>
  <c r="AX1318" i="1"/>
  <c r="BA254" i="1"/>
  <c r="AY254" i="1"/>
  <c r="AX254" i="1"/>
  <c r="BA1739" i="1"/>
  <c r="AY1739" i="1"/>
  <c r="AX1739" i="1"/>
  <c r="BA1987" i="1"/>
  <c r="AY1987" i="1"/>
  <c r="AX1987" i="1"/>
  <c r="BA1855" i="1"/>
  <c r="AY1855" i="1"/>
  <c r="AX1855" i="1"/>
  <c r="BA1979" i="1"/>
  <c r="AY1979" i="1"/>
  <c r="AX1979" i="1"/>
  <c r="BA1275" i="1"/>
  <c r="AY1275" i="1"/>
  <c r="AX1275" i="1"/>
  <c r="BA325" i="1"/>
  <c r="AY325" i="1"/>
  <c r="AX325" i="1"/>
  <c r="BA542" i="1"/>
  <c r="AY542" i="1"/>
  <c r="AX542" i="1"/>
  <c r="BA703" i="1"/>
  <c r="AY703" i="1"/>
  <c r="AX703" i="1"/>
  <c r="BA224" i="1"/>
  <c r="AY224" i="1"/>
  <c r="AX224" i="1"/>
  <c r="BA696" i="1"/>
  <c r="AY696" i="1"/>
  <c r="AX696" i="1"/>
  <c r="BA34" i="1"/>
  <c r="AY34" i="1"/>
  <c r="AX34" i="1"/>
  <c r="BA351" i="1"/>
  <c r="AY351" i="1"/>
  <c r="AX351" i="1"/>
  <c r="BA1512" i="1"/>
  <c r="AY1512" i="1"/>
  <c r="AX1512" i="1"/>
  <c r="BA721" i="1"/>
  <c r="AY721" i="1"/>
  <c r="AX721" i="1"/>
  <c r="BA1282" i="1"/>
  <c r="AY1282" i="1"/>
  <c r="AX1282" i="1"/>
  <c r="BA2002" i="1"/>
  <c r="AY2002" i="1"/>
  <c r="AX2002" i="1"/>
  <c r="BA1505" i="1"/>
  <c r="AY1505" i="1"/>
  <c r="AX1505" i="1"/>
  <c r="BA1406" i="1"/>
  <c r="AY1406" i="1"/>
  <c r="AX1406" i="1"/>
  <c r="BA1925" i="1"/>
  <c r="AY1925" i="1"/>
  <c r="AX1925" i="1"/>
  <c r="BA1637" i="1"/>
  <c r="AY1637" i="1"/>
  <c r="AX1637" i="1"/>
  <c r="BA1721" i="1"/>
  <c r="AY1721" i="1"/>
  <c r="AX1721" i="1"/>
  <c r="BA640" i="1"/>
  <c r="AY640" i="1"/>
  <c r="AX640" i="1"/>
  <c r="BA1683" i="1"/>
  <c r="AY1683" i="1"/>
  <c r="AX1683" i="1"/>
  <c r="BA1518" i="1"/>
  <c r="AY1518" i="1"/>
  <c r="AX1518" i="1"/>
  <c r="BA1182" i="1"/>
  <c r="AY1182" i="1"/>
  <c r="AX1182" i="1"/>
  <c r="BA1451" i="1"/>
  <c r="AY1451" i="1"/>
  <c r="AX1451" i="1"/>
  <c r="BA692" i="1"/>
  <c r="AY692" i="1"/>
  <c r="AX692" i="1"/>
  <c r="BA1751" i="1"/>
  <c r="AY1751" i="1"/>
  <c r="AX1751" i="1"/>
  <c r="BA1121" i="1"/>
  <c r="AY1121" i="1"/>
  <c r="AX1121" i="1"/>
  <c r="BA1511" i="1"/>
  <c r="AY1511" i="1"/>
  <c r="AX1511" i="1"/>
  <c r="BA997" i="1"/>
  <c r="AY997" i="1"/>
  <c r="AX997" i="1"/>
  <c r="BA310" i="1"/>
  <c r="AY310" i="1"/>
  <c r="AX310" i="1"/>
  <c r="BA1678" i="1"/>
  <c r="AY1678" i="1"/>
  <c r="AX1678" i="1"/>
  <c r="BA188" i="1"/>
  <c r="AY188" i="1"/>
  <c r="AX188" i="1"/>
  <c r="BA949" i="1"/>
  <c r="AY949" i="1"/>
  <c r="AX949" i="1"/>
  <c r="BA1053" i="1"/>
  <c r="AY1053" i="1"/>
  <c r="AX1053" i="1"/>
  <c r="BA1764" i="1"/>
  <c r="AY1764" i="1"/>
  <c r="AX1764" i="1"/>
  <c r="BA732" i="1"/>
  <c r="AY732" i="1"/>
  <c r="AX732" i="1"/>
  <c r="BA206" i="1"/>
  <c r="AY206" i="1"/>
  <c r="AX206" i="1"/>
  <c r="BA1248" i="1"/>
  <c r="AY1248" i="1"/>
  <c r="AX1248" i="1"/>
  <c r="BA445" i="1"/>
  <c r="AY445" i="1"/>
  <c r="AX445" i="1"/>
  <c r="BA364" i="1"/>
  <c r="AY364" i="1"/>
  <c r="AX364" i="1"/>
  <c r="BA1098" i="1"/>
  <c r="AY1098" i="1"/>
  <c r="AX1098" i="1"/>
  <c r="BA1431" i="1"/>
  <c r="AY1431" i="1"/>
  <c r="AX1431" i="1"/>
  <c r="BA780" i="1"/>
  <c r="AY780" i="1"/>
  <c r="AX780" i="1"/>
  <c r="BA289" i="1"/>
  <c r="AY289" i="1"/>
  <c r="AX289" i="1"/>
  <c r="BA346" i="1"/>
  <c r="AY346" i="1"/>
  <c r="AX346" i="1"/>
  <c r="BA502" i="1"/>
  <c r="AY502" i="1"/>
  <c r="AX502" i="1"/>
  <c r="BA555" i="1"/>
  <c r="AY555" i="1"/>
  <c r="AX555" i="1"/>
  <c r="BA1627" i="1"/>
  <c r="AY1627" i="1"/>
  <c r="AX1627" i="1"/>
  <c r="BA1731" i="1"/>
  <c r="AY1731" i="1"/>
  <c r="AX1731" i="1"/>
  <c r="BA79" i="1"/>
  <c r="AY79" i="1"/>
  <c r="AX79" i="1"/>
  <c r="BA1277" i="1"/>
  <c r="AY1277" i="1"/>
  <c r="AX1277" i="1"/>
  <c r="BA136" i="1"/>
  <c r="AY136" i="1"/>
  <c r="AX136" i="1"/>
  <c r="BA1797" i="1"/>
  <c r="AY1797" i="1"/>
  <c r="AX1797" i="1"/>
  <c r="BA865" i="1"/>
  <c r="AY865" i="1"/>
  <c r="AX865" i="1"/>
  <c r="BA940" i="1"/>
  <c r="AY940" i="1"/>
  <c r="AX940" i="1"/>
  <c r="BA880" i="1"/>
  <c r="AY880" i="1"/>
  <c r="AX880" i="1"/>
  <c r="BA333" i="1"/>
  <c r="AY333" i="1"/>
  <c r="AX333" i="1"/>
  <c r="BA111" i="1"/>
  <c r="AY111" i="1"/>
  <c r="AX111" i="1"/>
  <c r="BA1718" i="1"/>
  <c r="AY1718" i="1"/>
  <c r="AX1718" i="1"/>
  <c r="BA238" i="1"/>
  <c r="AY238" i="1"/>
  <c r="AX238" i="1"/>
  <c r="BA752" i="1"/>
  <c r="AY752" i="1"/>
  <c r="AX752" i="1"/>
  <c r="BA1895" i="1"/>
  <c r="AY1895" i="1"/>
  <c r="AX1895" i="1"/>
  <c r="BA1577" i="1"/>
  <c r="AY1577" i="1"/>
  <c r="AX1577" i="1"/>
  <c r="BA656" i="1"/>
  <c r="AY656" i="1"/>
  <c r="AX656" i="1"/>
  <c r="BA1075" i="1"/>
  <c r="AY1075" i="1"/>
  <c r="AX1075" i="1"/>
  <c r="BA1851" i="1"/>
  <c r="AY1851" i="1"/>
  <c r="AX1851" i="1"/>
  <c r="BA1700" i="1"/>
  <c r="AY1700" i="1"/>
  <c r="AX1700" i="1"/>
  <c r="BA1010" i="1"/>
  <c r="AY1010" i="1"/>
  <c r="AX1010" i="1"/>
  <c r="BA1778" i="1"/>
  <c r="AY1778" i="1"/>
  <c r="AX1778" i="1"/>
  <c r="BA1988" i="1"/>
  <c r="AY1988" i="1"/>
  <c r="AX1988" i="1"/>
  <c r="BA476" i="1"/>
  <c r="AY476" i="1"/>
  <c r="AX476" i="1"/>
  <c r="BA1443" i="1"/>
  <c r="AY1443" i="1"/>
  <c r="AX1443" i="1"/>
  <c r="BA691" i="1"/>
  <c r="AY691" i="1"/>
  <c r="AX691" i="1"/>
  <c r="BA1178" i="1"/>
  <c r="AY1178" i="1"/>
  <c r="AX1178" i="1"/>
  <c r="BA1594" i="1"/>
  <c r="AY1594" i="1"/>
  <c r="AX1594" i="1"/>
  <c r="BA660" i="1"/>
  <c r="AY660" i="1"/>
  <c r="AX660" i="1"/>
  <c r="BA1765" i="1"/>
  <c r="AY1765" i="1"/>
  <c r="AX1765" i="1"/>
  <c r="BA584" i="1"/>
  <c r="AY584" i="1"/>
  <c r="AX584" i="1"/>
  <c r="BA1390" i="1"/>
  <c r="AY1390" i="1"/>
  <c r="AX1390" i="1"/>
  <c r="BA1795" i="1"/>
  <c r="AY1795" i="1"/>
  <c r="AX1795" i="1"/>
  <c r="BA973" i="1"/>
  <c r="AY973" i="1"/>
  <c r="AX973" i="1"/>
  <c r="BA308" i="1"/>
  <c r="AY308" i="1"/>
  <c r="AX308" i="1"/>
  <c r="BA1911" i="1"/>
  <c r="AY1911" i="1"/>
  <c r="AX1911" i="1"/>
  <c r="BA1996" i="1"/>
  <c r="AY1996" i="1"/>
  <c r="AX1996" i="1"/>
  <c r="BA819" i="1"/>
  <c r="AY819" i="1"/>
  <c r="AX819" i="1"/>
  <c r="BA689" i="1"/>
  <c r="AY689" i="1"/>
  <c r="AX689" i="1"/>
  <c r="BA241" i="1"/>
  <c r="AY241" i="1"/>
  <c r="AX241" i="1"/>
  <c r="BA1379" i="1"/>
  <c r="AY1379" i="1"/>
  <c r="AX1379" i="1"/>
  <c r="BA158" i="1"/>
  <c r="AY158" i="1"/>
  <c r="AX158" i="1"/>
  <c r="BA1852" i="1"/>
  <c r="AY1852" i="1"/>
  <c r="AX1852" i="1"/>
  <c r="BA1354" i="1"/>
  <c r="AY1354" i="1"/>
  <c r="AX1354" i="1"/>
  <c r="BA1162" i="1"/>
  <c r="AY1162" i="1"/>
  <c r="AX1162" i="1"/>
  <c r="BA861" i="1"/>
  <c r="AY861" i="1"/>
  <c r="AX861" i="1"/>
  <c r="BA1613" i="1"/>
  <c r="AY1613" i="1"/>
  <c r="AX1613" i="1"/>
  <c r="BA868" i="1"/>
  <c r="AY868" i="1"/>
  <c r="AX868" i="1"/>
  <c r="BA343" i="1"/>
  <c r="AY343" i="1"/>
  <c r="AX343" i="1"/>
  <c r="BA1278" i="1"/>
  <c r="AY1278" i="1"/>
  <c r="AX1278" i="1"/>
  <c r="BA1510" i="1"/>
  <c r="AY1510" i="1"/>
  <c r="AX1510" i="1"/>
  <c r="BA957" i="1"/>
  <c r="AY957" i="1"/>
  <c r="AX957" i="1"/>
  <c r="BA1762" i="1"/>
  <c r="AY1762" i="1"/>
  <c r="AX1762" i="1"/>
  <c r="BA1977" i="1"/>
  <c r="AY1977" i="1"/>
  <c r="AX1977" i="1"/>
  <c r="BA92" i="1"/>
  <c r="AY92" i="1"/>
  <c r="AX92" i="1"/>
  <c r="BA1464" i="1"/>
  <c r="AY1464" i="1"/>
  <c r="AX1464" i="1"/>
  <c r="BA1141" i="1"/>
  <c r="AY1141" i="1"/>
  <c r="AX1141" i="1"/>
  <c r="BA1145" i="1"/>
  <c r="AY1145" i="1"/>
  <c r="AX1145" i="1"/>
  <c r="BA174" i="1"/>
  <c r="AY174" i="1"/>
  <c r="AX174" i="1"/>
  <c r="BA1092" i="1"/>
  <c r="AY1092" i="1"/>
  <c r="AX1092" i="1"/>
  <c r="BA269" i="1"/>
  <c r="AY269" i="1"/>
  <c r="AX269" i="1"/>
  <c r="BA1715" i="1"/>
  <c r="AY1715" i="1"/>
  <c r="AX1715" i="1"/>
  <c r="BA1244" i="1"/>
  <c r="AY1244" i="1"/>
  <c r="AX1244" i="1"/>
  <c r="BA620" i="1"/>
  <c r="AY620" i="1"/>
  <c r="AX620" i="1"/>
  <c r="BA1845" i="1"/>
  <c r="AY1845" i="1"/>
  <c r="AX1845" i="1"/>
  <c r="BA686" i="1"/>
  <c r="AY686" i="1"/>
  <c r="AX686" i="1"/>
  <c r="BA309" i="1"/>
  <c r="AY309" i="1"/>
  <c r="AX309" i="1"/>
  <c r="BA187" i="1"/>
  <c r="AY187" i="1"/>
  <c r="AX187" i="1"/>
  <c r="BA499" i="1"/>
  <c r="AY499" i="1"/>
  <c r="AX499" i="1"/>
  <c r="BA635" i="1"/>
  <c r="AY635" i="1"/>
  <c r="AX635" i="1"/>
  <c r="BA1657" i="1"/>
  <c r="AY1657" i="1"/>
  <c r="AX1657" i="1"/>
  <c r="BA1779" i="1"/>
  <c r="AY1779" i="1"/>
  <c r="AX1779" i="1"/>
  <c r="BA725" i="1"/>
  <c r="AY725" i="1"/>
  <c r="AX725" i="1"/>
  <c r="BA1652" i="1"/>
  <c r="AY1652" i="1"/>
  <c r="AX1652" i="1"/>
  <c r="BA371" i="1"/>
  <c r="AY371" i="1"/>
  <c r="AX371" i="1"/>
  <c r="BA1917" i="1"/>
  <c r="AY1917" i="1"/>
  <c r="AX1917" i="1"/>
  <c r="BA280" i="1"/>
  <c r="AY280" i="1"/>
  <c r="AX280" i="1"/>
  <c r="BA1470" i="1"/>
  <c r="AY1470" i="1"/>
  <c r="AX1470" i="1"/>
  <c r="BA177" i="1"/>
  <c r="AY177" i="1"/>
  <c r="AX177" i="1"/>
  <c r="BA1478" i="1"/>
  <c r="AY1478" i="1"/>
  <c r="AX1478" i="1"/>
  <c r="BA1333" i="1"/>
  <c r="AY1333" i="1"/>
  <c r="AX1333" i="1"/>
  <c r="BA1458" i="1"/>
  <c r="AY1458" i="1"/>
  <c r="AX1458" i="1"/>
  <c r="BA1267" i="1"/>
  <c r="AY1267" i="1"/>
  <c r="AX1267" i="1"/>
  <c r="BA561" i="1"/>
  <c r="AY561" i="1"/>
  <c r="AX561" i="1"/>
  <c r="BA1982" i="1"/>
  <c r="AY1982" i="1"/>
  <c r="AX1982" i="1"/>
  <c r="BA1423" i="1"/>
  <c r="AY1423" i="1"/>
  <c r="AX1423" i="1"/>
  <c r="BA1960" i="1"/>
  <c r="AY1960" i="1"/>
  <c r="AX1960" i="1"/>
  <c r="BA1227" i="1"/>
  <c r="AY1227" i="1"/>
  <c r="AX1227" i="1"/>
  <c r="BA718" i="1"/>
  <c r="AY718" i="1"/>
  <c r="AX718" i="1"/>
  <c r="BA1706" i="1"/>
  <c r="AY1706" i="1"/>
  <c r="AX1706" i="1"/>
  <c r="BA469" i="1"/>
  <c r="AY469" i="1"/>
  <c r="AX469" i="1"/>
  <c r="BA1420" i="1"/>
  <c r="AY1420" i="1"/>
  <c r="AX1420" i="1"/>
  <c r="BA5" i="1"/>
  <c r="AY5" i="1"/>
  <c r="AX5" i="1"/>
  <c r="BA1704" i="1"/>
  <c r="AY1704" i="1"/>
  <c r="AX1704" i="1"/>
  <c r="BA1698" i="1"/>
  <c r="AY1698" i="1"/>
  <c r="AX1698" i="1"/>
  <c r="BA655" i="1"/>
  <c r="AY655" i="1"/>
  <c r="AX655" i="1"/>
  <c r="BA352" i="1"/>
  <c r="AY352" i="1"/>
  <c r="AX352" i="1"/>
  <c r="BA500" i="1"/>
  <c r="AY500" i="1"/>
  <c r="AX500" i="1"/>
  <c r="BA390" i="1"/>
  <c r="AY390" i="1"/>
  <c r="AX390" i="1"/>
  <c r="BA1710" i="1"/>
  <c r="AY1710" i="1"/>
  <c r="AX1710" i="1"/>
  <c r="BA795" i="1"/>
  <c r="AY795" i="1"/>
  <c r="AX795" i="1"/>
  <c r="BA239" i="1"/>
  <c r="AY239" i="1"/>
  <c r="AX239" i="1"/>
  <c r="BA1903" i="1"/>
  <c r="AY1903" i="1"/>
  <c r="AX1903" i="1"/>
  <c r="BA680" i="1"/>
  <c r="AY680" i="1"/>
  <c r="AX680" i="1"/>
  <c r="BA275" i="1"/>
  <c r="AY275" i="1"/>
  <c r="AX275" i="1"/>
  <c r="BA2013" i="1"/>
  <c r="AY2013" i="1"/>
  <c r="AX2013" i="1"/>
  <c r="BA412" i="1"/>
  <c r="AY412" i="1"/>
  <c r="AX412" i="1"/>
  <c r="BA1863" i="1"/>
  <c r="AY1863" i="1"/>
  <c r="AX1863" i="1"/>
  <c r="BA1907" i="1"/>
  <c r="AY1907" i="1"/>
  <c r="AX1907" i="1"/>
  <c r="BA727" i="1"/>
  <c r="AY727" i="1"/>
  <c r="AX727" i="1"/>
  <c r="BA1796" i="1"/>
  <c r="AY1796" i="1"/>
  <c r="AX1796" i="1"/>
  <c r="BA1454" i="1"/>
  <c r="AY1454" i="1"/>
  <c r="AX1454" i="1"/>
  <c r="BA376" i="1"/>
  <c r="AY376" i="1"/>
  <c r="AX376" i="1"/>
  <c r="BA1520" i="1"/>
  <c r="AY1520" i="1"/>
  <c r="AX1520" i="1"/>
  <c r="BA1563" i="1"/>
  <c r="AY1563" i="1"/>
  <c r="AX1563" i="1"/>
  <c r="BA159" i="1"/>
  <c r="AY159" i="1"/>
  <c r="AX159" i="1"/>
  <c r="BA1074" i="1"/>
  <c r="AY1074" i="1"/>
  <c r="AX1074" i="1"/>
  <c r="BA1034" i="1"/>
  <c r="AY1034" i="1"/>
  <c r="AX1034" i="1"/>
  <c r="BA1319" i="1"/>
  <c r="AY1319" i="1"/>
  <c r="AX1319" i="1"/>
  <c r="BA699" i="1"/>
  <c r="AY699" i="1"/>
  <c r="AX699" i="1"/>
  <c r="BA1697" i="1"/>
  <c r="AY1697" i="1"/>
  <c r="AX1697" i="1"/>
  <c r="BA433" i="1"/>
  <c r="AY433" i="1"/>
  <c r="AX433" i="1"/>
  <c r="BA292" i="1"/>
  <c r="AY292" i="1"/>
  <c r="AX292" i="1"/>
  <c r="BA1169" i="1"/>
  <c r="AY1169" i="1"/>
  <c r="AX1169" i="1"/>
  <c r="BA545" i="1"/>
  <c r="AY545" i="1"/>
  <c r="AX545" i="1"/>
  <c r="BA1302" i="1"/>
  <c r="AY1302" i="1"/>
  <c r="AX1302" i="1"/>
  <c r="BA120" i="1"/>
  <c r="AY120" i="1"/>
  <c r="AX120" i="1"/>
  <c r="BA1003" i="1"/>
  <c r="AY1003" i="1"/>
  <c r="AX1003" i="1"/>
  <c r="BA1338" i="1"/>
  <c r="AY1338" i="1"/>
  <c r="AX1338" i="1"/>
  <c r="BA295" i="1"/>
  <c r="AY295" i="1"/>
  <c r="AX295" i="1"/>
  <c r="BA1189" i="1"/>
  <c r="AY1189" i="1"/>
  <c r="AX1189" i="1"/>
  <c r="BA1265" i="1"/>
  <c r="AY1265" i="1"/>
  <c r="AX1265" i="1"/>
  <c r="BA220" i="1"/>
  <c r="AY220" i="1"/>
  <c r="AX220" i="1"/>
  <c r="BA1242" i="1"/>
  <c r="AY1242" i="1"/>
  <c r="AX1242" i="1"/>
  <c r="BA702" i="1"/>
  <c r="AY702" i="1"/>
  <c r="AX702" i="1"/>
  <c r="BA1261" i="1"/>
  <c r="AY1261" i="1"/>
  <c r="AX1261" i="1"/>
  <c r="BA1136" i="1"/>
  <c r="AY1136" i="1"/>
  <c r="AX1136" i="1"/>
  <c r="BA1708" i="1"/>
  <c r="AY1708" i="1"/>
  <c r="AX1708" i="1"/>
  <c r="BA1607" i="1"/>
  <c r="AY1607" i="1"/>
  <c r="AX1607" i="1"/>
  <c r="BA1405" i="1"/>
  <c r="AY1405" i="1"/>
  <c r="AX1405" i="1"/>
  <c r="BA6" i="1"/>
  <c r="AY6" i="1"/>
  <c r="AX6" i="1"/>
  <c r="BA669" i="1"/>
  <c r="AY669" i="1"/>
  <c r="AX669" i="1"/>
  <c r="BA232" i="1"/>
  <c r="AY232" i="1"/>
  <c r="AX232" i="1"/>
  <c r="BA592" i="1"/>
  <c r="AY592" i="1"/>
  <c r="AX592" i="1"/>
  <c r="BA1159" i="1"/>
  <c r="AY1159" i="1"/>
  <c r="AX1159" i="1"/>
  <c r="BA71" i="1"/>
  <c r="AY71" i="1"/>
  <c r="AX71" i="1"/>
  <c r="BA189" i="1"/>
  <c r="AY189" i="1"/>
  <c r="AX189" i="1"/>
  <c r="BA327" i="1"/>
  <c r="AY327" i="1"/>
  <c r="AX327" i="1"/>
  <c r="BA1684" i="1"/>
  <c r="AY1684" i="1"/>
  <c r="AX1684" i="1"/>
  <c r="BA1047" i="1"/>
  <c r="AY1047" i="1"/>
  <c r="AX1047" i="1"/>
  <c r="BA1392" i="1"/>
  <c r="AY1392" i="1"/>
  <c r="AX1392" i="1"/>
  <c r="BA360" i="1"/>
  <c r="AY360" i="1"/>
  <c r="AX360" i="1"/>
  <c r="BA1844" i="1"/>
  <c r="AY1844" i="1"/>
  <c r="AX1844" i="1"/>
  <c r="BA1233" i="1"/>
  <c r="AY1233" i="1"/>
  <c r="AX1233" i="1"/>
  <c r="BA261" i="1"/>
  <c r="AY261" i="1"/>
  <c r="AX261" i="1"/>
  <c r="BA769" i="1"/>
  <c r="AY769" i="1"/>
  <c r="AX769" i="1"/>
  <c r="BA1674" i="1"/>
  <c r="AY1674" i="1"/>
  <c r="AX1674" i="1"/>
  <c r="BA1824" i="1"/>
  <c r="AY1824" i="1"/>
  <c r="AX1824" i="1"/>
  <c r="BA1348" i="1"/>
  <c r="AY1348" i="1"/>
  <c r="AX1348" i="1"/>
  <c r="BA1694" i="1"/>
  <c r="AY1694" i="1"/>
  <c r="AX1694" i="1"/>
  <c r="BA405" i="1"/>
  <c r="AY405" i="1"/>
  <c r="AX405" i="1"/>
  <c r="BA1964" i="1"/>
  <c r="AY1964" i="1"/>
  <c r="AX1964" i="1"/>
  <c r="BA1022" i="1"/>
  <c r="AY1022" i="1"/>
  <c r="AX1022" i="1"/>
  <c r="BA1498" i="1"/>
  <c r="AY1498" i="1"/>
  <c r="AX1498" i="1"/>
  <c r="BA1447" i="1"/>
  <c r="AY1447" i="1"/>
  <c r="AX1447" i="1"/>
  <c r="BA118" i="1"/>
  <c r="AY118" i="1"/>
  <c r="AX118" i="1"/>
  <c r="BA380" i="1"/>
  <c r="AY380" i="1"/>
  <c r="AX380" i="1"/>
  <c r="BA1037" i="1"/>
  <c r="AY1037" i="1"/>
  <c r="AX1037" i="1"/>
  <c r="BA1011" i="1"/>
  <c r="AY1011" i="1"/>
  <c r="AX1011" i="1"/>
  <c r="BA1063" i="1"/>
  <c r="AY1063" i="1"/>
  <c r="AX1063" i="1"/>
  <c r="BA1746" i="1"/>
  <c r="AY1746" i="1"/>
  <c r="AX1746" i="1"/>
  <c r="BA1649" i="1"/>
  <c r="AY1649" i="1"/>
  <c r="AX1649" i="1"/>
  <c r="BA1859" i="1"/>
  <c r="AY1859" i="1"/>
  <c r="AX1859" i="1"/>
  <c r="BA362" i="1"/>
  <c r="AY362" i="1"/>
  <c r="AX362" i="1"/>
  <c r="BA645" i="1"/>
  <c r="AY645" i="1"/>
  <c r="AX645" i="1"/>
  <c r="BA475" i="1"/>
  <c r="AY475" i="1"/>
  <c r="AX475" i="1"/>
  <c r="BA1301" i="1"/>
  <c r="AY1301" i="1"/>
  <c r="AX1301" i="1"/>
  <c r="BA259" i="1"/>
  <c r="AY259" i="1"/>
  <c r="AX259" i="1"/>
  <c r="BA1870" i="1"/>
  <c r="AY1870" i="1"/>
  <c r="AX1870" i="1"/>
  <c r="BA368" i="1"/>
  <c r="AY368" i="1"/>
  <c r="AX368" i="1"/>
  <c r="BA1756" i="1"/>
  <c r="AY1756" i="1"/>
  <c r="AX1756" i="1"/>
  <c r="BA185" i="1"/>
  <c r="AY185" i="1"/>
  <c r="AX185" i="1"/>
  <c r="BA913" i="1"/>
  <c r="AY913" i="1"/>
  <c r="AX913" i="1"/>
  <c r="BA770" i="1"/>
  <c r="AY770" i="1"/>
  <c r="AX770" i="1"/>
  <c r="BA1111" i="1"/>
  <c r="AY1111" i="1"/>
  <c r="AX1111" i="1"/>
  <c r="BA373" i="1"/>
  <c r="AY373" i="1"/>
  <c r="AX373" i="1"/>
  <c r="BA805" i="1"/>
  <c r="AY805" i="1"/>
  <c r="AX805" i="1"/>
  <c r="BA1561" i="1"/>
  <c r="AY1561" i="1"/>
  <c r="AX1561" i="1"/>
  <c r="BA1184" i="1"/>
  <c r="AY1184" i="1"/>
  <c r="AX1184" i="1"/>
  <c r="BA637" i="1"/>
  <c r="AY637" i="1"/>
  <c r="AX637" i="1"/>
  <c r="BA851" i="1"/>
  <c r="AY851" i="1"/>
  <c r="AX851" i="1"/>
  <c r="BA693" i="1"/>
  <c r="AY693" i="1"/>
  <c r="AX693" i="1"/>
  <c r="BA1551" i="1"/>
  <c r="AY1551" i="1"/>
  <c r="AX1551" i="1"/>
  <c r="BA1426" i="1"/>
  <c r="AY1426" i="1"/>
  <c r="AX1426" i="1"/>
  <c r="BA1871" i="1"/>
  <c r="AY1871" i="1"/>
  <c r="AX1871" i="1"/>
  <c r="BA786" i="1"/>
  <c r="AY786" i="1"/>
  <c r="AX786" i="1"/>
  <c r="BA1288" i="1"/>
  <c r="AY1288" i="1"/>
  <c r="AX1288" i="1"/>
  <c r="BA573" i="1"/>
  <c r="AY573" i="1"/>
  <c r="AX573" i="1"/>
  <c r="BA70" i="1"/>
  <c r="AY70" i="1"/>
  <c r="AX70" i="1"/>
  <c r="BA638" i="1"/>
  <c r="AY638" i="1"/>
  <c r="AX638" i="1"/>
  <c r="BA13" i="1"/>
  <c r="AY13" i="1"/>
  <c r="AX13" i="1"/>
  <c r="BA1528" i="1"/>
  <c r="AY1528" i="1"/>
  <c r="AX1528" i="1"/>
  <c r="BA1545" i="1"/>
  <c r="AY1545" i="1"/>
  <c r="AX1545" i="1"/>
  <c r="BA1655" i="1"/>
  <c r="AY1655" i="1"/>
  <c r="AX1655" i="1"/>
  <c r="BA2003" i="1"/>
  <c r="AY2003" i="1"/>
  <c r="AX2003" i="1"/>
  <c r="BA444" i="1"/>
  <c r="AY444" i="1"/>
  <c r="AX444" i="1"/>
  <c r="BA1372" i="1"/>
  <c r="AY1372" i="1"/>
  <c r="AX1372" i="1"/>
  <c r="BA274" i="1"/>
  <c r="AY274" i="1"/>
  <c r="AX274" i="1"/>
  <c r="BA788" i="1"/>
  <c r="AY788" i="1"/>
  <c r="AX788" i="1"/>
  <c r="BA749" i="1"/>
  <c r="AY749" i="1"/>
  <c r="AX749" i="1"/>
  <c r="BA459" i="1"/>
  <c r="AY459" i="1"/>
  <c r="AX459" i="1"/>
  <c r="BA1005" i="1"/>
  <c r="AY1005" i="1"/>
  <c r="AX1005" i="1"/>
  <c r="BA140" i="1"/>
  <c r="AY140" i="1"/>
  <c r="AX140" i="1"/>
  <c r="BA317" i="1"/>
  <c r="AY317" i="1"/>
  <c r="AX317" i="1"/>
  <c r="BA4" i="1"/>
  <c r="AY4" i="1"/>
  <c r="AX4" i="1"/>
  <c r="BA1699" i="1"/>
  <c r="AY1699" i="1"/>
  <c r="AX1699" i="1"/>
  <c r="BA1930" i="1"/>
  <c r="AY1930" i="1"/>
  <c r="AX1930" i="1"/>
  <c r="BA1675" i="1"/>
  <c r="AY1675" i="1"/>
  <c r="AX1675" i="1"/>
  <c r="BA951" i="1"/>
  <c r="AY951" i="1"/>
  <c r="AX951" i="1"/>
  <c r="BA1922" i="1"/>
  <c r="AY1922" i="1"/>
  <c r="AX1922" i="1"/>
  <c r="BA1729" i="1"/>
  <c r="AY1729" i="1"/>
  <c r="AX1729" i="1"/>
  <c r="BA1499" i="1"/>
  <c r="AY1499" i="1"/>
  <c r="AX1499" i="1"/>
  <c r="BA36" i="1"/>
  <c r="AY36" i="1"/>
  <c r="AX36" i="1"/>
  <c r="BA1070" i="1"/>
  <c r="AY1070" i="1"/>
  <c r="AX1070" i="1"/>
  <c r="BA1241" i="1"/>
  <c r="AY1241" i="1"/>
  <c r="AX1241" i="1"/>
  <c r="BA54" i="1"/>
  <c r="AY54" i="1"/>
  <c r="AX54" i="1"/>
  <c r="BA897" i="1"/>
  <c r="AY897" i="1"/>
  <c r="AX897" i="1"/>
  <c r="BA341" i="1"/>
  <c r="AY341" i="1"/>
  <c r="AX341" i="1"/>
  <c r="BA424" i="1"/>
  <c r="AY424" i="1"/>
  <c r="AX424" i="1"/>
  <c r="BA52" i="1"/>
  <c r="AY52" i="1"/>
  <c r="AX52" i="1"/>
  <c r="BA1435" i="1"/>
  <c r="AY1435" i="1"/>
  <c r="AX1435" i="1"/>
  <c r="BA1017" i="1"/>
  <c r="AY1017" i="1"/>
  <c r="AX1017" i="1"/>
  <c r="BA1123" i="1"/>
  <c r="AY1123" i="1"/>
  <c r="AX1123" i="1"/>
  <c r="BA1847" i="1"/>
  <c r="AY1847" i="1"/>
  <c r="AX1847" i="1"/>
  <c r="BA63" i="1"/>
  <c r="AY63" i="1"/>
  <c r="AX63" i="1"/>
  <c r="BA428" i="1"/>
  <c r="AY428" i="1"/>
  <c r="AX428" i="1"/>
  <c r="BA296" i="1"/>
  <c r="AY296" i="1"/>
  <c r="AX296" i="1"/>
  <c r="BA1636" i="1"/>
  <c r="AY1636" i="1"/>
  <c r="AX1636" i="1"/>
  <c r="BA1166" i="1"/>
  <c r="AY1166" i="1"/>
  <c r="AX1166" i="1"/>
  <c r="BA647" i="1"/>
  <c r="AY647" i="1"/>
  <c r="AX647" i="1"/>
  <c r="BA216" i="1"/>
  <c r="AY216" i="1"/>
  <c r="AX216" i="1"/>
  <c r="BA1031" i="1"/>
  <c r="AY1031" i="1"/>
  <c r="AX1031" i="1"/>
  <c r="BA1163" i="1"/>
  <c r="AY1163" i="1"/>
  <c r="AX1163" i="1"/>
  <c r="BA1705" i="1"/>
  <c r="AY1705" i="1"/>
  <c r="AX1705" i="1"/>
  <c r="BA1884" i="1"/>
  <c r="AY1884" i="1"/>
  <c r="AX1884" i="1"/>
  <c r="BA1326" i="1"/>
  <c r="AY1326" i="1"/>
  <c r="AX1326" i="1"/>
  <c r="BA970" i="1"/>
  <c r="AY970" i="1"/>
  <c r="AX970" i="1"/>
  <c r="BA165" i="1"/>
  <c r="AY165" i="1"/>
  <c r="AX165" i="1"/>
  <c r="BA1105" i="1"/>
  <c r="AY1105" i="1"/>
  <c r="AX1105" i="1"/>
  <c r="BA1543" i="1"/>
  <c r="AY1543" i="1"/>
  <c r="AX1543" i="1"/>
  <c r="BA1776" i="1"/>
  <c r="AY1776" i="1"/>
  <c r="AX1776" i="1"/>
  <c r="BA102" i="1"/>
  <c r="AY102" i="1"/>
  <c r="AX102" i="1"/>
  <c r="BA1881" i="1"/>
  <c r="AY1881" i="1"/>
  <c r="AX1881" i="1"/>
  <c r="BA1830" i="1"/>
  <c r="AY1830" i="1"/>
  <c r="AX1830" i="1"/>
  <c r="BA1711" i="1"/>
  <c r="AY1711" i="1"/>
  <c r="AX1711" i="1"/>
  <c r="BA557" i="1"/>
  <c r="AY557" i="1"/>
  <c r="AX557" i="1"/>
  <c r="BA1368" i="1"/>
  <c r="AY1368" i="1"/>
  <c r="AX1368" i="1"/>
  <c r="BA223" i="1"/>
  <c r="AY223" i="1"/>
  <c r="AX223" i="1"/>
  <c r="BA240" i="1"/>
  <c r="AY240" i="1"/>
  <c r="AX240" i="1"/>
  <c r="BA1380" i="1"/>
  <c r="AY1380" i="1"/>
  <c r="AX1380" i="1"/>
  <c r="BA1378" i="1"/>
  <c r="AY1378" i="1"/>
  <c r="AX1378" i="1"/>
  <c r="BA761" i="1"/>
  <c r="AY761" i="1"/>
  <c r="AX761" i="1"/>
  <c r="BA676" i="1"/>
  <c r="AY676" i="1"/>
  <c r="AX676" i="1"/>
  <c r="BA397" i="1"/>
  <c r="AY397" i="1"/>
  <c r="AX397" i="1"/>
  <c r="BA479" i="1"/>
  <c r="AY479" i="1"/>
  <c r="AX479" i="1"/>
  <c r="BA581" i="1"/>
  <c r="AY581" i="1"/>
  <c r="AX581" i="1"/>
  <c r="BA255" i="1"/>
  <c r="AY255" i="1"/>
  <c r="AX255" i="1"/>
  <c r="BA1677" i="1"/>
  <c r="AY1677" i="1"/>
  <c r="AX1677" i="1"/>
  <c r="BA1839" i="1"/>
  <c r="AY1839" i="1"/>
  <c r="AX1839" i="1"/>
  <c r="BA359" i="1"/>
  <c r="AY359" i="1"/>
  <c r="AX359" i="1"/>
  <c r="BA621" i="1"/>
  <c r="AY621" i="1"/>
  <c r="AX621" i="1"/>
  <c r="BA790" i="1"/>
  <c r="AY790" i="1"/>
  <c r="AX790" i="1"/>
  <c r="BA602" i="1"/>
  <c r="AY602" i="1"/>
  <c r="AX602" i="1"/>
  <c r="BA214" i="1"/>
  <c r="AY214" i="1"/>
  <c r="AX214" i="1"/>
  <c r="BA919" i="1"/>
  <c r="AY919" i="1"/>
  <c r="AX919" i="1"/>
  <c r="BA1750" i="1"/>
  <c r="AY1750" i="1"/>
  <c r="AX1750" i="1"/>
  <c r="BA342" i="1"/>
  <c r="AY342" i="1"/>
  <c r="AX342" i="1"/>
  <c r="BA135" i="1"/>
  <c r="AY135" i="1"/>
  <c r="AX135" i="1"/>
  <c r="BA603" i="1"/>
  <c r="AY603" i="1"/>
  <c r="AX603" i="1"/>
  <c r="BA95" i="1"/>
  <c r="AY95" i="1"/>
  <c r="AX95" i="1"/>
  <c r="BA1532" i="1"/>
  <c r="AY1532" i="1"/>
  <c r="AX1532" i="1"/>
  <c r="BA190" i="1"/>
  <c r="AY190" i="1"/>
  <c r="AX190" i="1"/>
  <c r="BA673" i="1"/>
  <c r="AY673" i="1"/>
  <c r="AX673" i="1"/>
  <c r="BA529" i="1"/>
  <c r="AY529" i="1"/>
  <c r="AX529" i="1"/>
  <c r="BA1350" i="1"/>
  <c r="AY1350" i="1"/>
  <c r="AX1350" i="1"/>
  <c r="BA1877" i="1"/>
  <c r="AY1877" i="1"/>
  <c r="AX1877" i="1"/>
  <c r="BA152" i="1"/>
  <c r="AY152" i="1"/>
  <c r="AX152" i="1"/>
  <c r="BA2012" i="1"/>
  <c r="AY2012" i="1"/>
  <c r="AX2012" i="1"/>
  <c r="BA1931" i="1"/>
  <c r="AY1931" i="1"/>
  <c r="AX1931" i="1"/>
  <c r="BA1919" i="1"/>
  <c r="AY1919" i="1"/>
  <c r="AX1919" i="1"/>
  <c r="BA379" i="1"/>
  <c r="AY379" i="1"/>
  <c r="AX379" i="1"/>
  <c r="BA773" i="1"/>
  <c r="AY773" i="1"/>
  <c r="AX773" i="1"/>
  <c r="BA1321" i="1"/>
  <c r="AY1321" i="1"/>
  <c r="AX1321" i="1"/>
  <c r="BA1873" i="1"/>
  <c r="AY1873" i="1"/>
  <c r="AX1873" i="1"/>
  <c r="BA599" i="1"/>
  <c r="AY599" i="1"/>
  <c r="AX599" i="1"/>
  <c r="BA1146" i="1"/>
  <c r="AY1146" i="1"/>
  <c r="AX1146" i="1"/>
  <c r="BA384" i="1"/>
  <c r="AY384" i="1"/>
  <c r="AX384" i="1"/>
  <c r="BA1236" i="1"/>
  <c r="AY1236" i="1"/>
  <c r="AX1236" i="1"/>
  <c r="BA1387" i="1"/>
  <c r="AY1387" i="1"/>
  <c r="AX1387" i="1"/>
  <c r="BA1021" i="1"/>
  <c r="AY1021" i="1"/>
  <c r="AX1021" i="1"/>
  <c r="BA1813" i="1"/>
  <c r="AY1813" i="1"/>
  <c r="AX1813" i="1"/>
  <c r="BA84" i="1"/>
  <c r="AY84" i="1"/>
  <c r="AX84" i="1"/>
  <c r="BA1407" i="1"/>
  <c r="AY1407" i="1"/>
  <c r="AX1407" i="1"/>
  <c r="BA971" i="1"/>
  <c r="AY971" i="1"/>
  <c r="AX971" i="1"/>
  <c r="BA1660" i="1"/>
  <c r="AY1660" i="1"/>
  <c r="AX1660" i="1"/>
  <c r="BA1442" i="1"/>
  <c r="AY1442" i="1"/>
  <c r="AX1442" i="1"/>
  <c r="BA679" i="1"/>
  <c r="AY679" i="1"/>
  <c r="AX679" i="1"/>
  <c r="BA892" i="1"/>
  <c r="AY892" i="1"/>
  <c r="AX892" i="1"/>
  <c r="BA2022" i="1"/>
  <c r="AY2022" i="1"/>
  <c r="AX2022" i="1"/>
  <c r="BA1016" i="1"/>
  <c r="AY1016" i="1"/>
  <c r="AX1016" i="1"/>
  <c r="BA1582" i="1"/>
  <c r="AY1582" i="1"/>
  <c r="AX1582" i="1"/>
  <c r="BA477" i="1"/>
  <c r="AY477" i="1"/>
  <c r="AX477" i="1"/>
  <c r="BA1079" i="1"/>
  <c r="AY1079" i="1"/>
  <c r="AX1079" i="1"/>
  <c r="BA1317" i="1"/>
  <c r="AY1317" i="1"/>
  <c r="AX1317" i="1"/>
  <c r="BA147" i="1"/>
  <c r="AY147" i="1"/>
  <c r="AX147" i="1"/>
  <c r="BA1646" i="1"/>
  <c r="AY1646" i="1"/>
  <c r="AX1646" i="1"/>
  <c r="BA855" i="1"/>
  <c r="AY855" i="1"/>
  <c r="AX855" i="1"/>
  <c r="BA457" i="1"/>
  <c r="AY457" i="1"/>
  <c r="AX457" i="1"/>
  <c r="BA1912" i="1"/>
  <c r="AY1912" i="1"/>
  <c r="AX1912" i="1"/>
  <c r="BA2019" i="1"/>
  <c r="AY2019" i="1"/>
  <c r="AX2019" i="1"/>
  <c r="BA1722" i="1"/>
  <c r="AY1722" i="1"/>
  <c r="AX1722" i="1"/>
  <c r="BA1593" i="1"/>
  <c r="AY1593" i="1"/>
  <c r="AX1593" i="1"/>
  <c r="BA920" i="1"/>
  <c r="AY920" i="1"/>
  <c r="AX920" i="1"/>
  <c r="BA730" i="1"/>
  <c r="AY730" i="1"/>
  <c r="AX730" i="1"/>
  <c r="BA809" i="1"/>
  <c r="AY809" i="1"/>
  <c r="AX809" i="1"/>
  <c r="BA1789" i="1"/>
  <c r="AY1789" i="1"/>
  <c r="AX1789" i="1"/>
  <c r="BA313" i="1"/>
  <c r="AY313" i="1"/>
  <c r="AX313" i="1"/>
  <c r="BA1239" i="1"/>
  <c r="AY1239" i="1"/>
  <c r="AX1239" i="1"/>
  <c r="BA527" i="1"/>
  <c r="AY527" i="1"/>
  <c r="AX527" i="1"/>
  <c r="L44" i="19" l="1"/>
  <c r="L43" i="19"/>
  <c r="L42" i="19"/>
  <c r="H54" i="15"/>
  <c r="L8" i="19"/>
  <c r="L7" i="19"/>
  <c r="H55" i="15"/>
  <c r="L6" i="19"/>
  <c r="L5" i="19"/>
  <c r="L4" i="19"/>
  <c r="L3" i="19"/>
  <c r="L84" i="19"/>
  <c r="T84" i="19" s="1"/>
  <c r="E55" i="15"/>
  <c r="G55" i="15"/>
  <c r="C55" i="15"/>
  <c r="B55" i="15"/>
  <c r="M45" i="19"/>
  <c r="D55" i="15"/>
  <c r="F55" i="15"/>
  <c r="N45" i="19"/>
  <c r="S6" i="19"/>
  <c r="K45" i="19"/>
  <c r="S42" i="19" s="1"/>
  <c r="S4" i="19"/>
  <c r="S8" i="19"/>
  <c r="S5" i="19"/>
  <c r="S7" i="19"/>
  <c r="H8" i="21"/>
  <c r="H28" i="21" s="1"/>
  <c r="B8" i="21"/>
  <c r="B28" i="21" s="1"/>
  <c r="D52" i="15"/>
  <c r="E52" i="15"/>
  <c r="G52" i="15"/>
  <c r="F52" i="15"/>
  <c r="R6" i="19"/>
  <c r="H42" i="19"/>
  <c r="H52" i="15"/>
  <c r="H3" i="19"/>
  <c r="R43" i="19"/>
  <c r="R3" i="19"/>
  <c r="C52" i="15"/>
  <c r="R7" i="19"/>
  <c r="H44" i="19"/>
  <c r="H84" i="19"/>
  <c r="H51" i="15"/>
  <c r="R4" i="19"/>
  <c r="R42" i="19"/>
  <c r="R8" i="19"/>
  <c r="H50" i="15"/>
  <c r="R44" i="19"/>
  <c r="R5" i="19"/>
  <c r="Q74" i="19"/>
  <c r="H43" i="19"/>
  <c r="R84" i="19"/>
  <c r="U84" i="19" s="1"/>
  <c r="H74" i="19"/>
  <c r="H8" i="19"/>
  <c r="H5" i="19"/>
  <c r="H6" i="19"/>
  <c r="H7" i="19"/>
  <c r="H4" i="19"/>
  <c r="G8" i="16"/>
  <c r="G16" i="16"/>
  <c r="J16" i="16" s="1"/>
  <c r="R24" i="6"/>
  <c r="AL38" i="4"/>
  <c r="AL47" i="4"/>
  <c r="AL48" i="4"/>
  <c r="AL37" i="4"/>
  <c r="AL41" i="4"/>
  <c r="AL40" i="4"/>
  <c r="AL39" i="4"/>
  <c r="AL46" i="4"/>
  <c r="AL42" i="4"/>
  <c r="AG47" i="4"/>
  <c r="AL24" i="4"/>
  <c r="AL22" i="4"/>
  <c r="AH40" i="4"/>
  <c r="AL14" i="4"/>
  <c r="AL30" i="4"/>
  <c r="AJ40" i="4"/>
  <c r="AI40" i="4"/>
  <c r="AG40" i="4"/>
  <c r="AK39" i="4"/>
  <c r="AJ39" i="4"/>
  <c r="AI39" i="4"/>
  <c r="AH39" i="4"/>
  <c r="AL13" i="4"/>
  <c r="AG39" i="4"/>
  <c r="AL16" i="4"/>
  <c r="AK38" i="4"/>
  <c r="AL15" i="4"/>
  <c r="AJ38" i="4"/>
  <c r="AI38" i="4"/>
  <c r="AL21" i="4"/>
  <c r="AH38" i="4"/>
  <c r="AL23" i="4"/>
  <c r="AG37" i="4"/>
  <c r="AG38" i="4"/>
  <c r="AK37" i="4"/>
  <c r="AG46" i="4"/>
  <c r="AL29" i="4"/>
  <c r="AJ37" i="4"/>
  <c r="AK46" i="4"/>
  <c r="AI37" i="4"/>
  <c r="AJ46" i="4"/>
  <c r="AK32" i="4"/>
  <c r="AH37" i="4"/>
  <c r="AI46" i="4"/>
  <c r="AK31" i="4"/>
  <c r="AK41" i="4"/>
  <c r="AH46" i="4"/>
  <c r="AK30" i="4"/>
  <c r="AJ41" i="4"/>
  <c r="AK47" i="4"/>
  <c r="AL32" i="4"/>
  <c r="AI41" i="4"/>
  <c r="AJ47" i="4"/>
  <c r="AL31" i="4"/>
  <c r="AH41" i="4"/>
  <c r="AI47" i="4"/>
  <c r="AG41" i="4"/>
  <c r="AH47" i="4"/>
  <c r="AL33" i="4"/>
  <c r="AK40" i="4"/>
  <c r="AL17" i="4"/>
  <c r="AG29" i="4"/>
  <c r="AJ32" i="4"/>
  <c r="AI32" i="4"/>
  <c r="AH32" i="4"/>
  <c r="AG32" i="4"/>
  <c r="AJ31" i="4"/>
  <c r="AI31" i="4"/>
  <c r="AH31" i="4"/>
  <c r="AG31" i="4"/>
  <c r="AJ30" i="4"/>
  <c r="AI30" i="4"/>
  <c r="AH30" i="4"/>
  <c r="AG30" i="4"/>
  <c r="AK29" i="4"/>
  <c r="AJ29" i="4"/>
  <c r="AI29" i="4"/>
  <c r="AH29" i="4"/>
  <c r="AI21" i="4"/>
  <c r="AH13" i="4"/>
  <c r="AH21" i="4"/>
  <c r="AK16" i="4"/>
  <c r="AJ16" i="4"/>
  <c r="AK23" i="4"/>
  <c r="AI16" i="4"/>
  <c r="AJ23" i="4"/>
  <c r="AH16" i="4"/>
  <c r="AI23" i="4"/>
  <c r="AG16" i="4"/>
  <c r="AH23" i="4"/>
  <c r="AK15" i="4"/>
  <c r="AG23" i="4"/>
  <c r="AJ15" i="4"/>
  <c r="AK22" i="4"/>
  <c r="AI15" i="4"/>
  <c r="AJ22" i="4"/>
  <c r="AH15" i="4"/>
  <c r="AI22" i="4"/>
  <c r="AG15" i="4"/>
  <c r="AH22" i="4"/>
  <c r="AK14" i="4"/>
  <c r="AG22" i="4"/>
  <c r="AJ14" i="4"/>
  <c r="AI14" i="4"/>
  <c r="AH14" i="4"/>
  <c r="AG13" i="4"/>
  <c r="AG14" i="4"/>
  <c r="AK13" i="4"/>
  <c r="AG21" i="4"/>
  <c r="AJ13" i="4"/>
  <c r="AK21" i="4"/>
  <c r="AI13" i="4"/>
  <c r="AJ21" i="4"/>
  <c r="B52" i="15"/>
  <c r="T18" i="3"/>
  <c r="T20" i="3" s="1"/>
  <c r="AI18" i="3"/>
  <c r="AI20" i="3" s="1"/>
  <c r="K18" i="3"/>
  <c r="K20" i="3" s="1"/>
  <c r="X18" i="3"/>
  <c r="X20" i="3" s="1"/>
  <c r="Y18" i="3"/>
  <c r="Y20" i="3" s="1"/>
  <c r="S18" i="3"/>
  <c r="S20" i="3" s="1"/>
  <c r="AM18" i="3"/>
  <c r="AM20" i="3" s="1"/>
  <c r="O18" i="3"/>
  <c r="O20" i="3" s="1"/>
  <c r="V18" i="3"/>
  <c r="V20" i="3" s="1"/>
  <c r="W18" i="3"/>
  <c r="W20" i="3" s="1"/>
  <c r="N18" i="3"/>
  <c r="N20" i="3" s="1"/>
  <c r="M18" i="3"/>
  <c r="M20" i="3" s="1"/>
  <c r="AJ18" i="3"/>
  <c r="AJ20" i="3" s="1"/>
  <c r="L18" i="3"/>
  <c r="L20" i="3" s="1"/>
  <c r="AB18" i="3"/>
  <c r="AB20" i="3" s="1"/>
  <c r="D18" i="3"/>
  <c r="D20" i="3" s="1"/>
  <c r="AK18" i="3"/>
  <c r="AK20" i="3" s="1"/>
  <c r="AN18" i="3"/>
  <c r="AN20" i="3" s="1"/>
  <c r="P18" i="3"/>
  <c r="P20" i="3" s="1"/>
  <c r="AN8" i="3"/>
  <c r="AE18" i="3"/>
  <c r="AE20" i="3" s="1"/>
  <c r="G18" i="3"/>
  <c r="G20" i="3" s="1"/>
  <c r="AC18" i="3"/>
  <c r="AC20" i="3" s="1"/>
  <c r="E18" i="3"/>
  <c r="E20" i="3" s="1"/>
  <c r="U18" i="3"/>
  <c r="U20" i="3" s="1"/>
  <c r="AZ433" i="1"/>
  <c r="BB433" i="1" s="1"/>
  <c r="AZ581" i="1"/>
  <c r="BB581" i="1" s="1"/>
  <c r="AG18" i="3"/>
  <c r="AG20" i="3" s="1"/>
  <c r="I18" i="3"/>
  <c r="I20" i="3" s="1"/>
  <c r="B17" i="3"/>
  <c r="B19" i="3" s="1"/>
  <c r="Z18" i="3"/>
  <c r="Z20" i="3" s="1"/>
  <c r="R18" i="3"/>
  <c r="R20" i="3" s="1"/>
  <c r="AD18" i="3"/>
  <c r="AD20" i="3" s="1"/>
  <c r="F18" i="3"/>
  <c r="F20" i="3" s="1"/>
  <c r="Q17" i="3"/>
  <c r="Q19" i="3" s="1"/>
  <c r="AH18" i="3"/>
  <c r="AH20" i="3" s="1"/>
  <c r="J18" i="3"/>
  <c r="J20" i="3" s="1"/>
  <c r="AL17" i="3"/>
  <c r="AL19" i="3" s="1"/>
  <c r="AF18" i="3"/>
  <c r="AF20" i="3" s="1"/>
  <c r="H18" i="3"/>
  <c r="H20" i="3" s="1"/>
  <c r="AA17" i="3"/>
  <c r="AA19" i="3" s="1"/>
  <c r="C17" i="3"/>
  <c r="C19" i="3" s="1"/>
  <c r="Z17" i="3"/>
  <c r="Z19" i="3" s="1"/>
  <c r="AN17" i="3"/>
  <c r="AN19" i="3" s="1"/>
  <c r="P17" i="3"/>
  <c r="P19" i="3" s="1"/>
  <c r="AM17" i="3"/>
  <c r="AM19" i="3" s="1"/>
  <c r="O17" i="3"/>
  <c r="O19" i="3" s="1"/>
  <c r="N17" i="3"/>
  <c r="N19" i="3" s="1"/>
  <c r="AK17" i="3"/>
  <c r="AK19" i="3" s="1"/>
  <c r="M17" i="3"/>
  <c r="M19" i="3" s="1"/>
  <c r="AJ17" i="3"/>
  <c r="AJ19" i="3" s="1"/>
  <c r="L17" i="3"/>
  <c r="L19" i="3" s="1"/>
  <c r="AI17" i="3"/>
  <c r="AI19" i="3" s="1"/>
  <c r="K17" i="3"/>
  <c r="K19" i="3" s="1"/>
  <c r="AH17" i="3"/>
  <c r="AH19" i="3" s="1"/>
  <c r="J17" i="3"/>
  <c r="J19" i="3" s="1"/>
  <c r="AG17" i="3"/>
  <c r="AG19" i="3" s="1"/>
  <c r="I17" i="3"/>
  <c r="I19" i="3" s="1"/>
  <c r="AF17" i="3"/>
  <c r="AF19" i="3" s="1"/>
  <c r="H17" i="3"/>
  <c r="H19" i="3" s="1"/>
  <c r="AA18" i="3"/>
  <c r="AA20" i="3" s="1"/>
  <c r="C18" i="3"/>
  <c r="C20" i="3" s="1"/>
  <c r="AE17" i="3"/>
  <c r="AE19" i="3" s="1"/>
  <c r="G17" i="3"/>
  <c r="G19" i="3" s="1"/>
  <c r="AD17" i="3"/>
  <c r="AD19" i="3" s="1"/>
  <c r="F17" i="3"/>
  <c r="F19" i="3" s="1"/>
  <c r="AC17" i="3"/>
  <c r="AC19" i="3" s="1"/>
  <c r="E17" i="3"/>
  <c r="E19" i="3" s="1"/>
  <c r="AB17" i="3"/>
  <c r="AB19" i="3" s="1"/>
  <c r="D17" i="3"/>
  <c r="D19" i="3" s="1"/>
  <c r="X17" i="3"/>
  <c r="X19" i="3" s="1"/>
  <c r="W17" i="3"/>
  <c r="W19" i="3" s="1"/>
  <c r="V17" i="3"/>
  <c r="V19" i="3" s="1"/>
  <c r="B18" i="3"/>
  <c r="B20" i="3" s="1"/>
  <c r="Q18" i="3"/>
  <c r="Q20" i="3" s="1"/>
  <c r="U17" i="3"/>
  <c r="U19" i="3" s="1"/>
  <c r="T17" i="3"/>
  <c r="T19" i="3" s="1"/>
  <c r="S17" i="3"/>
  <c r="S19" i="3" s="1"/>
  <c r="AL18" i="3"/>
  <c r="AL20" i="3" s="1"/>
  <c r="R17" i="3"/>
  <c r="R19" i="3" s="1"/>
  <c r="Y17" i="3"/>
  <c r="Y19" i="3" s="1"/>
  <c r="AZ1551" i="1"/>
  <c r="BB1551" i="1" s="1"/>
  <c r="AZ1159" i="1"/>
  <c r="BB1159" i="1" s="1"/>
  <c r="AZ545" i="1"/>
  <c r="BB545" i="1" s="1"/>
  <c r="AZ795" i="1"/>
  <c r="BB795" i="1" s="1"/>
  <c r="AZ352" i="1"/>
  <c r="BB352" i="1" s="1"/>
  <c r="AZ1930" i="1"/>
  <c r="BB1930" i="1" s="1"/>
  <c r="AZ1684" i="1"/>
  <c r="BB1684" i="1" s="1"/>
  <c r="AZ384" i="1"/>
  <c r="BB384" i="1" s="1"/>
  <c r="AZ602" i="1"/>
  <c r="BB602" i="1" s="1"/>
  <c r="AZ1859" i="1"/>
  <c r="BB1859" i="1" s="1"/>
  <c r="AZ1241" i="1"/>
  <c r="BB1241" i="1" s="1"/>
  <c r="AZ13" i="1"/>
  <c r="BB13" i="1" s="1"/>
  <c r="AZ1931" i="1"/>
  <c r="BB1931" i="1" s="1"/>
  <c r="AZ1011" i="1"/>
  <c r="BB1011" i="1" s="1"/>
  <c r="AZ1722" i="1"/>
  <c r="BB1722" i="1" s="1"/>
  <c r="AZ479" i="1"/>
  <c r="BB479" i="1" s="1"/>
  <c r="AZ424" i="1"/>
  <c r="BB424" i="1" s="1"/>
  <c r="AZ1674" i="1"/>
  <c r="BB1674" i="1" s="1"/>
  <c r="AZ1907" i="1"/>
  <c r="BB1907" i="1" s="1"/>
  <c r="AZ761" i="1"/>
  <c r="BB761" i="1" s="1"/>
  <c r="AZ1136" i="1"/>
  <c r="BB1136" i="1" s="1"/>
  <c r="AZ1111" i="1"/>
  <c r="BB1111" i="1" s="1"/>
  <c r="AZ2022" i="1"/>
  <c r="BB2022" i="1" s="1"/>
  <c r="AZ376" i="1"/>
  <c r="BB376" i="1" s="1"/>
  <c r="AZ1378" i="1"/>
  <c r="BB1378" i="1" s="1"/>
  <c r="AZ296" i="1"/>
  <c r="BB296" i="1" s="1"/>
  <c r="AZ140" i="1"/>
  <c r="BB140" i="1" s="1"/>
  <c r="AZ405" i="1"/>
  <c r="BB405" i="1" s="1"/>
  <c r="AZ1350" i="1"/>
  <c r="BB1350" i="1" s="1"/>
  <c r="AZ379" i="1"/>
  <c r="BB379" i="1" s="1"/>
  <c r="AZ809" i="1"/>
  <c r="BB809" i="1" s="1"/>
  <c r="AZ1871" i="1"/>
  <c r="BB1871" i="1" s="1"/>
  <c r="AZ185" i="1"/>
  <c r="BB185" i="1" s="1"/>
  <c r="AZ1242" i="1"/>
  <c r="BB1242" i="1" s="1"/>
  <c r="AZ1697" i="1"/>
  <c r="BB1697" i="1" s="1"/>
  <c r="AZ604" i="1"/>
  <c r="BB604" i="1" s="1"/>
  <c r="AZ628" i="1"/>
  <c r="BB628" i="1" s="1"/>
  <c r="AZ1331" i="1"/>
  <c r="BB1331" i="1" s="1"/>
  <c r="AZ884" i="1"/>
  <c r="BB884" i="1" s="1"/>
  <c r="AZ320" i="1"/>
  <c r="BB320" i="1" s="1"/>
  <c r="AZ1059" i="1"/>
  <c r="BB1059" i="1" s="1"/>
  <c r="AZ1987" i="1"/>
  <c r="BB1987" i="1" s="1"/>
  <c r="AZ599" i="1"/>
  <c r="BB599" i="1" s="1"/>
  <c r="AZ359" i="1"/>
  <c r="BB359" i="1" s="1"/>
  <c r="AZ1884" i="1"/>
  <c r="BB1884" i="1" s="1"/>
  <c r="AZ70" i="1"/>
  <c r="BB70" i="1" s="1"/>
  <c r="AZ1333" i="1"/>
  <c r="BB1333" i="1" s="1"/>
  <c r="AZ1387" i="1"/>
  <c r="BB1387" i="1" s="1"/>
  <c r="AZ214" i="1"/>
  <c r="BB214" i="1" s="1"/>
  <c r="AZ1105" i="1"/>
  <c r="BB1105" i="1" s="1"/>
  <c r="AZ1545" i="1"/>
  <c r="BB1545" i="1" s="1"/>
  <c r="AZ373" i="1"/>
  <c r="BB373" i="1" s="1"/>
  <c r="AZ1708" i="1"/>
  <c r="BB1708" i="1" s="1"/>
  <c r="AZ1706" i="1"/>
  <c r="BB1706" i="1" s="1"/>
  <c r="AZ1145" i="1"/>
  <c r="BB1145" i="1" s="1"/>
  <c r="AZ691" i="1"/>
  <c r="BB691" i="1" s="1"/>
  <c r="AZ1098" i="1"/>
  <c r="BB1098" i="1" s="1"/>
  <c r="AZ34" i="1"/>
  <c r="BB34" i="1" s="1"/>
  <c r="AZ100" i="1"/>
  <c r="BB100" i="1" s="1"/>
  <c r="AZ45" i="1"/>
  <c r="BB45" i="1" s="1"/>
  <c r="AZ1372" i="1"/>
  <c r="BB1372" i="1" s="1"/>
  <c r="AZ1982" i="1"/>
  <c r="BB1982" i="1" s="1"/>
  <c r="AZ1762" i="1"/>
  <c r="BB1762" i="1" s="1"/>
  <c r="AZ1010" i="1"/>
  <c r="BB1010" i="1" s="1"/>
  <c r="AZ732" i="1"/>
  <c r="BB732" i="1" s="1"/>
  <c r="AZ325" i="1"/>
  <c r="BB325" i="1" s="1"/>
  <c r="AZ1999" i="1"/>
  <c r="BB1999" i="1" s="1"/>
  <c r="AZ365" i="1"/>
  <c r="BB365" i="1" s="1"/>
  <c r="AZ216" i="1"/>
  <c r="BB216" i="1" s="1"/>
  <c r="AZ679" i="1"/>
  <c r="BB679" i="1" s="1"/>
  <c r="AZ190" i="1"/>
  <c r="BB190" i="1" s="1"/>
  <c r="AZ1368" i="1"/>
  <c r="BB1368" i="1" s="1"/>
  <c r="AZ459" i="1"/>
  <c r="BB459" i="1" s="1"/>
  <c r="AZ637" i="1"/>
  <c r="BB637" i="1" s="1"/>
  <c r="AZ1301" i="1"/>
  <c r="BB1301" i="1" s="1"/>
  <c r="AZ669" i="1"/>
  <c r="BB669" i="1" s="1"/>
  <c r="AZ1338" i="1"/>
  <c r="BB1338" i="1" s="1"/>
  <c r="AZ1704" i="1"/>
  <c r="BB1704" i="1" s="1"/>
  <c r="AZ1877" i="1"/>
  <c r="BB1877" i="1" s="1"/>
  <c r="AZ4" i="1"/>
  <c r="BB4" i="1" s="1"/>
  <c r="AZ1715" i="1"/>
  <c r="BB1715" i="1" s="1"/>
  <c r="AZ1765" i="1"/>
  <c r="BB1765" i="1" s="1"/>
  <c r="AZ346" i="1"/>
  <c r="BB346" i="1" s="1"/>
  <c r="AZ1282" i="1"/>
  <c r="BB1282" i="1" s="1"/>
  <c r="AZ27" i="1"/>
  <c r="BB27" i="1" s="1"/>
  <c r="AZ1533" i="1"/>
  <c r="BB1533" i="1" s="1"/>
  <c r="AZ639" i="1"/>
  <c r="BB639" i="1" s="1"/>
  <c r="AZ1948" i="1"/>
  <c r="BB1948" i="1" s="1"/>
  <c r="AZ1881" i="1"/>
  <c r="BB1881" i="1" s="1"/>
  <c r="AZ1582" i="1"/>
  <c r="BB1582" i="1" s="1"/>
  <c r="AZ147" i="1"/>
  <c r="BB147" i="1" s="1"/>
  <c r="AZ1919" i="1"/>
  <c r="BB1919" i="1" s="1"/>
  <c r="AZ951" i="1"/>
  <c r="BB951" i="1" s="1"/>
  <c r="AZ1426" i="1"/>
  <c r="BB1426" i="1" s="1"/>
  <c r="AZ1756" i="1"/>
  <c r="BB1756" i="1" s="1"/>
  <c r="AZ71" i="1"/>
  <c r="BB71" i="1" s="1"/>
  <c r="AZ220" i="1"/>
  <c r="BB220" i="1" s="1"/>
  <c r="AZ500" i="1"/>
  <c r="BB500" i="1" s="1"/>
  <c r="AZ718" i="1"/>
  <c r="BB718" i="1" s="1"/>
  <c r="AZ1141" i="1"/>
  <c r="BB1141" i="1" s="1"/>
  <c r="AZ1443" i="1"/>
  <c r="BB1443" i="1" s="1"/>
  <c r="AZ364" i="1"/>
  <c r="BB364" i="1" s="1"/>
  <c r="AZ696" i="1"/>
  <c r="BB696" i="1" s="1"/>
  <c r="AZ37" i="1"/>
  <c r="BB37" i="1" s="1"/>
  <c r="AZ1289" i="1"/>
  <c r="BB1289" i="1" s="1"/>
  <c r="AZ1737" i="1"/>
  <c r="BB1737" i="1" s="1"/>
  <c r="AZ345" i="1"/>
  <c r="BB345" i="1" s="1"/>
  <c r="AZ1912" i="1"/>
  <c r="BB1912" i="1" s="1"/>
  <c r="AZ1873" i="1"/>
  <c r="BB1873" i="1" s="1"/>
  <c r="AZ1839" i="1"/>
  <c r="BB1839" i="1" s="1"/>
  <c r="AZ36" i="1"/>
  <c r="BB36" i="1" s="1"/>
  <c r="AZ573" i="1"/>
  <c r="BB573" i="1" s="1"/>
  <c r="AZ920" i="1"/>
  <c r="BB920" i="1" s="1"/>
  <c r="AZ1236" i="1"/>
  <c r="BB1236" i="1" s="1"/>
  <c r="AZ897" i="1"/>
  <c r="BB897" i="1" s="1"/>
  <c r="AZ1528" i="1"/>
  <c r="BB1528" i="1" s="1"/>
  <c r="AZ1047" i="1"/>
  <c r="BB1047" i="1" s="1"/>
  <c r="AZ239" i="1"/>
  <c r="BB239" i="1" s="1"/>
  <c r="AZ686" i="1"/>
  <c r="BB686" i="1" s="1"/>
  <c r="AZ973" i="1"/>
  <c r="BB973" i="1" s="1"/>
  <c r="AZ1731" i="1"/>
  <c r="BB1731" i="1" s="1"/>
  <c r="AZ1925" i="1"/>
  <c r="BB1925" i="1" s="1"/>
  <c r="AZ487" i="1"/>
  <c r="BB487" i="1" s="1"/>
  <c r="AZ1868" i="1"/>
  <c r="BB1868" i="1" s="1"/>
  <c r="AZ135" i="1"/>
  <c r="BB135" i="1" s="1"/>
  <c r="AZ1435" i="1"/>
  <c r="BB1435" i="1" s="1"/>
  <c r="AZ444" i="1"/>
  <c r="BB444" i="1" s="1"/>
  <c r="AZ269" i="1"/>
  <c r="BB269" i="1" s="1"/>
  <c r="AZ660" i="1"/>
  <c r="BB660" i="1" s="1"/>
  <c r="AZ289" i="1"/>
  <c r="BB289" i="1" s="1"/>
  <c r="AZ721" i="1"/>
  <c r="BB721" i="1" s="1"/>
  <c r="AZ1094" i="1"/>
  <c r="BB1094" i="1" s="1"/>
  <c r="AZ522" i="1"/>
  <c r="BB522" i="1" s="1"/>
  <c r="AZ312" i="1"/>
  <c r="BB312" i="1" s="1"/>
  <c r="AZ84" i="1"/>
  <c r="BB84" i="1" s="1"/>
  <c r="AZ1442" i="1"/>
  <c r="BB1442" i="1" s="1"/>
  <c r="AZ63" i="1"/>
  <c r="BB63" i="1" s="1"/>
  <c r="AZ749" i="1"/>
  <c r="BB749" i="1" s="1"/>
  <c r="AZ1184" i="1"/>
  <c r="BB1184" i="1" s="1"/>
  <c r="AZ1233" i="1"/>
  <c r="BB1233" i="1" s="1"/>
  <c r="AZ6" i="1"/>
  <c r="BB6" i="1" s="1"/>
  <c r="AZ2013" i="1"/>
  <c r="BB2013" i="1" s="1"/>
  <c r="AZ5" i="1"/>
  <c r="BB5" i="1" s="1"/>
  <c r="AZ656" i="1"/>
  <c r="BB656" i="1" s="1"/>
  <c r="AZ342" i="1"/>
  <c r="BB342" i="1" s="1"/>
  <c r="AZ1016" i="1"/>
  <c r="BB1016" i="1" s="1"/>
  <c r="AZ1166" i="1"/>
  <c r="BB1166" i="1" s="1"/>
  <c r="AZ317" i="1"/>
  <c r="BB317" i="1" s="1"/>
  <c r="AZ635" i="1"/>
  <c r="BB635" i="1" s="1"/>
  <c r="AZ819" i="1"/>
  <c r="BB819" i="1" s="1"/>
  <c r="AZ1797" i="1"/>
  <c r="BB1797" i="1" s="1"/>
  <c r="AZ1683" i="1"/>
  <c r="BB1683" i="1" s="1"/>
  <c r="AZ1865" i="1"/>
  <c r="BB1865" i="1" s="1"/>
  <c r="AZ1599" i="1"/>
  <c r="BB1599" i="1" s="1"/>
  <c r="AZ343" i="1"/>
  <c r="BB343" i="1" s="1"/>
  <c r="AZ1407" i="1"/>
  <c r="BB1407" i="1" s="1"/>
  <c r="AZ1317" i="1"/>
  <c r="BB1317" i="1" s="1"/>
  <c r="AZ1163" i="1"/>
  <c r="BB1163" i="1" s="1"/>
  <c r="AZ1675" i="1"/>
  <c r="BB1675" i="1" s="1"/>
  <c r="AZ1824" i="1"/>
  <c r="BB1824" i="1" s="1"/>
  <c r="AZ727" i="1"/>
  <c r="BB727" i="1" s="1"/>
  <c r="AZ1845" i="1"/>
  <c r="BB1845" i="1" s="1"/>
  <c r="AZ1795" i="1"/>
  <c r="BB1795" i="1" s="1"/>
  <c r="AZ1627" i="1"/>
  <c r="BB1627" i="1" s="1"/>
  <c r="AZ1406" i="1"/>
  <c r="BB1406" i="1" s="1"/>
  <c r="AZ272" i="1"/>
  <c r="BB272" i="1" s="1"/>
  <c r="AZ959" i="1"/>
  <c r="BB959" i="1" s="1"/>
  <c r="AZ1229" i="1"/>
  <c r="BB1229" i="1" s="1"/>
  <c r="AZ188" i="1"/>
  <c r="BB188" i="1" s="1"/>
  <c r="AZ1532" i="1"/>
  <c r="BB1532" i="1" s="1"/>
  <c r="AZ731" i="1"/>
  <c r="BB731" i="1" s="1"/>
  <c r="AZ348" i="1"/>
  <c r="BB348" i="1" s="1"/>
  <c r="AZ313" i="1"/>
  <c r="BB313" i="1" s="1"/>
  <c r="AZ457" i="1"/>
  <c r="BB457" i="1" s="1"/>
  <c r="AZ1321" i="1"/>
  <c r="BB1321" i="1" s="1"/>
  <c r="AZ970" i="1"/>
  <c r="BB970" i="1" s="1"/>
  <c r="AZ1499" i="1"/>
  <c r="BB1499" i="1" s="1"/>
  <c r="AZ1288" i="1"/>
  <c r="BB1288" i="1" s="1"/>
  <c r="AZ1593" i="1"/>
  <c r="BB1593" i="1" s="1"/>
  <c r="AZ1776" i="1"/>
  <c r="BB1776" i="1" s="1"/>
  <c r="AZ54" i="1"/>
  <c r="BB54" i="1" s="1"/>
  <c r="AZ1964" i="1"/>
  <c r="BB1964" i="1" s="1"/>
  <c r="AZ1520" i="1"/>
  <c r="BB1520" i="1" s="1"/>
  <c r="AZ1652" i="1"/>
  <c r="BB1652" i="1" s="1"/>
  <c r="AZ158" i="1"/>
  <c r="BB158" i="1" s="1"/>
  <c r="AZ333" i="1"/>
  <c r="BB333" i="1" s="1"/>
  <c r="AZ692" i="1"/>
  <c r="BB692" i="1" s="1"/>
  <c r="AZ1800" i="1"/>
  <c r="BB1800" i="1" s="1"/>
  <c r="AZ2006" i="1"/>
  <c r="BB2006" i="1" s="1"/>
  <c r="AZ1630" i="1"/>
  <c r="BB1630" i="1" s="1"/>
  <c r="AZ1711" i="1"/>
  <c r="BB1711" i="1" s="1"/>
  <c r="AZ52" i="1"/>
  <c r="BB52" i="1" s="1"/>
  <c r="AZ2003" i="1"/>
  <c r="BB2003" i="1" s="1"/>
  <c r="AZ499" i="1"/>
  <c r="BB499" i="1" s="1"/>
  <c r="AZ1996" i="1"/>
  <c r="BB1996" i="1" s="1"/>
  <c r="AZ136" i="1"/>
  <c r="BB136" i="1" s="1"/>
  <c r="AZ640" i="1"/>
  <c r="BB640" i="1" s="1"/>
  <c r="AZ955" i="1"/>
  <c r="BB955" i="1" s="1"/>
  <c r="AZ1525" i="1"/>
  <c r="BB1525" i="1" s="1"/>
  <c r="AZ409" i="1"/>
  <c r="BB409" i="1" s="1"/>
  <c r="AZ480" i="1"/>
  <c r="BB480" i="1" s="1"/>
  <c r="AZ1789" i="1"/>
  <c r="BB1789" i="1" s="1"/>
  <c r="AZ1813" i="1"/>
  <c r="BB1813" i="1" s="1"/>
  <c r="AZ788" i="1"/>
  <c r="BB788" i="1" s="1"/>
  <c r="AZ118" i="1"/>
  <c r="BB118" i="1" s="1"/>
  <c r="AZ1844" i="1"/>
  <c r="BB1844" i="1" s="1"/>
  <c r="AZ1034" i="1"/>
  <c r="BB1034" i="1" s="1"/>
  <c r="AZ275" i="1"/>
  <c r="BB275" i="1" s="1"/>
  <c r="AZ1100" i="1"/>
  <c r="BB1100" i="1" s="1"/>
  <c r="AZ1916" i="1"/>
  <c r="BB1916" i="1" s="1"/>
  <c r="AZ1676" i="1"/>
  <c r="BB1676" i="1" s="1"/>
  <c r="AZ240" i="1"/>
  <c r="BB240" i="1" s="1"/>
  <c r="AZ676" i="1"/>
  <c r="BB676" i="1" s="1"/>
  <c r="AZ1636" i="1"/>
  <c r="BB1636" i="1" s="1"/>
  <c r="AZ1470" i="1"/>
  <c r="BB1470" i="1" s="1"/>
  <c r="AZ861" i="1"/>
  <c r="BB861" i="1" s="1"/>
  <c r="AZ752" i="1"/>
  <c r="BB752" i="1" s="1"/>
  <c r="AZ997" i="1"/>
  <c r="BB997" i="1" s="1"/>
  <c r="AZ1318" i="1"/>
  <c r="BB1318" i="1" s="1"/>
  <c r="AZ1085" i="1"/>
  <c r="BB1085" i="1" s="1"/>
  <c r="AZ824" i="1"/>
  <c r="BB824" i="1" s="1"/>
  <c r="AZ1058" i="1"/>
  <c r="BB1058" i="1" s="1"/>
  <c r="AZ1660" i="1"/>
  <c r="BB1660" i="1" s="1"/>
  <c r="AZ1847" i="1"/>
  <c r="BB1847" i="1" s="1"/>
  <c r="AZ1079" i="1"/>
  <c r="BB1079" i="1" s="1"/>
  <c r="AZ255" i="1"/>
  <c r="BB255" i="1" s="1"/>
  <c r="AZ1031" i="1"/>
  <c r="BB1031" i="1" s="1"/>
  <c r="AZ1063" i="1"/>
  <c r="BB1063" i="1" s="1"/>
  <c r="AZ725" i="1"/>
  <c r="BB725" i="1" s="1"/>
  <c r="AZ1379" i="1"/>
  <c r="BB1379" i="1" s="1"/>
  <c r="AZ880" i="1"/>
  <c r="BB880" i="1" s="1"/>
  <c r="AZ1451" i="1"/>
  <c r="BB1451" i="1" s="1"/>
  <c r="AZ623" i="1"/>
  <c r="BB623" i="1" s="1"/>
  <c r="AZ1734" i="1"/>
  <c r="BB1734" i="1" s="1"/>
  <c r="AZ619" i="1"/>
  <c r="BB619" i="1" s="1"/>
  <c r="AZ855" i="1"/>
  <c r="BB855" i="1" s="1"/>
  <c r="AZ621" i="1"/>
  <c r="BB621" i="1" s="1"/>
  <c r="AZ1326" i="1"/>
  <c r="BB1326" i="1" s="1"/>
  <c r="AZ1729" i="1"/>
  <c r="BB1729" i="1" s="1"/>
  <c r="AZ1046" i="1"/>
  <c r="BB1046" i="1" s="1"/>
  <c r="AZ1328" i="1"/>
  <c r="BB1328" i="1" s="1"/>
  <c r="AZ877" i="1"/>
  <c r="BB877" i="1" s="1"/>
  <c r="AZ2008" i="1"/>
  <c r="BB2008" i="1" s="1"/>
  <c r="AZ2016" i="1"/>
  <c r="BB2016" i="1" s="1"/>
  <c r="AZ1393" i="1"/>
  <c r="BB1393" i="1" s="1"/>
  <c r="AZ734" i="1"/>
  <c r="BB734" i="1" s="1"/>
  <c r="AZ1962" i="1"/>
  <c r="BB1962" i="1" s="1"/>
  <c r="AZ849" i="1"/>
  <c r="BB849" i="1" s="1"/>
  <c r="AZ1421" i="1"/>
  <c r="BB1421" i="1" s="1"/>
  <c r="AZ416" i="1"/>
  <c r="BB416" i="1" s="1"/>
  <c r="AZ1028" i="1"/>
  <c r="BB1028" i="1" s="1"/>
  <c r="AZ999" i="1"/>
  <c r="BB999" i="1" s="1"/>
  <c r="AZ681" i="1"/>
  <c r="BB681" i="1" s="1"/>
  <c r="AZ572" i="1"/>
  <c r="BB572" i="1" s="1"/>
  <c r="AZ1686" i="1"/>
  <c r="BB1686" i="1" s="1"/>
  <c r="AZ678" i="1"/>
  <c r="BB678" i="1" s="1"/>
  <c r="AZ1603" i="1"/>
  <c r="BB1603" i="1" s="1"/>
  <c r="AZ347" i="1"/>
  <c r="BB347" i="1" s="1"/>
  <c r="AZ1397" i="1"/>
  <c r="BB1397" i="1" s="1"/>
  <c r="AZ1523" i="1"/>
  <c r="BB1523" i="1" s="1"/>
  <c r="AZ1766" i="1"/>
  <c r="BB1766" i="1" s="1"/>
  <c r="AZ415" i="1"/>
  <c r="BB415" i="1" s="1"/>
  <c r="AZ403" i="1"/>
  <c r="BB403" i="1" s="1"/>
  <c r="AZ1260" i="1"/>
  <c r="BB1260" i="1" s="1"/>
  <c r="AZ307" i="1"/>
  <c r="BB307" i="1" s="1"/>
  <c r="AZ1263" i="1"/>
  <c r="BB1263" i="1" s="1"/>
  <c r="AZ885" i="1"/>
  <c r="BB885" i="1" s="1"/>
  <c r="AZ1775" i="1"/>
  <c r="BB1775" i="1" s="1"/>
  <c r="AZ453" i="1"/>
  <c r="BB453" i="1" s="1"/>
  <c r="AZ1167" i="1"/>
  <c r="BB1167" i="1" s="1"/>
  <c r="AZ978" i="1"/>
  <c r="BB978" i="1" s="1"/>
  <c r="AZ47" i="1"/>
  <c r="BB47" i="1" s="1"/>
  <c r="AZ1777" i="1"/>
  <c r="BB1777" i="1" s="1"/>
  <c r="AZ1008" i="1"/>
  <c r="BB1008" i="1" s="1"/>
  <c r="AZ954" i="1"/>
  <c r="BB954" i="1" s="1"/>
  <c r="AZ525" i="1"/>
  <c r="BB525" i="1" s="1"/>
  <c r="AZ472" i="1"/>
  <c r="BB472" i="1" s="1"/>
  <c r="AZ454" i="1"/>
  <c r="BB454" i="1" s="1"/>
  <c r="AZ1501" i="1"/>
  <c r="BB1501" i="1" s="1"/>
  <c r="AZ627" i="1"/>
  <c r="BB627" i="1" s="1"/>
  <c r="AZ463" i="1"/>
  <c r="BB463" i="1" s="1"/>
  <c r="AZ1959" i="1"/>
  <c r="BB1959" i="1" s="1"/>
  <c r="AZ1138" i="1"/>
  <c r="BB1138" i="1" s="1"/>
  <c r="AZ471" i="1"/>
  <c r="BB471" i="1" s="1"/>
  <c r="AZ1733" i="1"/>
  <c r="BB1733" i="1" s="1"/>
  <c r="AZ375" i="1"/>
  <c r="BB375" i="1" s="1"/>
  <c r="AZ319" i="1"/>
  <c r="BB319" i="1" s="1"/>
  <c r="AZ685" i="1"/>
  <c r="BB685" i="1" s="1"/>
  <c r="AZ1784" i="1"/>
  <c r="BB1784" i="1" s="1"/>
  <c r="AZ881" i="1"/>
  <c r="BB881" i="1" s="1"/>
  <c r="AZ180" i="1"/>
  <c r="BB180" i="1" s="1"/>
  <c r="AZ888" i="1"/>
  <c r="BB888" i="1" s="1"/>
  <c r="AZ983" i="1"/>
  <c r="BB983" i="1" s="1"/>
  <c r="AZ1662" i="1"/>
  <c r="BB1662" i="1" s="1"/>
  <c r="AZ2018" i="1"/>
  <c r="BB2018" i="1" s="1"/>
  <c r="AZ61" i="1"/>
  <c r="BB61" i="1" s="1"/>
  <c r="AZ291" i="1"/>
  <c r="BB291" i="1" s="1"/>
  <c r="AZ318" i="1"/>
  <c r="BB318" i="1" s="1"/>
  <c r="AZ1740" i="1"/>
  <c r="BB1740" i="1" s="1"/>
  <c r="AZ181" i="1"/>
  <c r="BB181" i="1" s="1"/>
  <c r="AZ339" i="1"/>
  <c r="BB339" i="1" s="1"/>
  <c r="AZ268" i="1"/>
  <c r="BB268" i="1" s="1"/>
  <c r="AZ1841" i="1"/>
  <c r="BB1841" i="1" s="1"/>
  <c r="AZ1571" i="1"/>
  <c r="BB1571" i="1" s="1"/>
  <c r="AZ650" i="1"/>
  <c r="BB650" i="1" s="1"/>
  <c r="AZ322" i="1"/>
  <c r="BB322" i="1" s="1"/>
  <c r="AZ40" i="1"/>
  <c r="BB40" i="1" s="1"/>
  <c r="AZ1509" i="1"/>
  <c r="BB1509" i="1" s="1"/>
  <c r="AZ598" i="1"/>
  <c r="BB598" i="1" s="1"/>
  <c r="AZ1602" i="1"/>
  <c r="BB1602" i="1" s="1"/>
  <c r="AZ252" i="1"/>
  <c r="BB252" i="1" s="1"/>
  <c r="AZ1154" i="1"/>
  <c r="BB1154" i="1" s="1"/>
  <c r="AZ785" i="1"/>
  <c r="BB785" i="1" s="1"/>
  <c r="AZ1840" i="1"/>
  <c r="BB1840" i="1" s="1"/>
  <c r="AZ1489" i="1"/>
  <c r="BB1489" i="1" s="1"/>
  <c r="AZ1974" i="1"/>
  <c r="BB1974" i="1" s="1"/>
  <c r="AZ88" i="1"/>
  <c r="BB88" i="1" s="1"/>
  <c r="AZ1659" i="1"/>
  <c r="BB1659" i="1" s="1"/>
  <c r="AZ1905" i="1"/>
  <c r="BB1905" i="1" s="1"/>
  <c r="AZ743" i="1"/>
  <c r="BB743" i="1" s="1"/>
  <c r="AZ928" i="1"/>
  <c r="BB928" i="1" s="1"/>
  <c r="AZ1720" i="1"/>
  <c r="BB1720" i="1" s="1"/>
  <c r="AZ982" i="1"/>
  <c r="BB982" i="1" s="1"/>
  <c r="AZ1246" i="1"/>
  <c r="BB1246" i="1" s="1"/>
  <c r="AZ326" i="1"/>
  <c r="BB326" i="1" s="1"/>
  <c r="AZ400" i="1"/>
  <c r="BB400" i="1" s="1"/>
  <c r="AZ46" i="1"/>
  <c r="BB46" i="1" s="1"/>
  <c r="AZ460" i="1"/>
  <c r="BB460" i="1" s="1"/>
  <c r="AZ757" i="1"/>
  <c r="BB757" i="1" s="1"/>
  <c r="AZ741" i="1"/>
  <c r="BB741" i="1" s="1"/>
  <c r="AZ1600" i="1"/>
  <c r="BB1600" i="1" s="1"/>
  <c r="AZ1928" i="1"/>
  <c r="BB1928" i="1" s="1"/>
  <c r="AZ1329" i="1"/>
  <c r="BB1329" i="1" s="1"/>
  <c r="AZ1481" i="1"/>
  <c r="BB1481" i="1" s="1"/>
  <c r="AZ796" i="1"/>
  <c r="BB796" i="1" s="1"/>
  <c r="AZ1495" i="1"/>
  <c r="BB1495" i="1" s="1"/>
  <c r="AZ1086" i="1"/>
  <c r="BB1086" i="1" s="1"/>
  <c r="AZ556" i="1"/>
  <c r="BB556" i="1" s="1"/>
  <c r="AZ367" i="1"/>
  <c r="BB367" i="1" s="1"/>
  <c r="AZ1327" i="1"/>
  <c r="BB1327" i="1" s="1"/>
  <c r="AZ488" i="1"/>
  <c r="BB488" i="1" s="1"/>
  <c r="AZ562" i="1"/>
  <c r="BB562" i="1" s="1"/>
  <c r="AZ1422" i="1"/>
  <c r="BB1422" i="1" s="1"/>
  <c r="AZ1958" i="1"/>
  <c r="BB1958" i="1" s="1"/>
  <c r="AZ817" i="1"/>
  <c r="BB817" i="1" s="1"/>
  <c r="AZ1343" i="1"/>
  <c r="BB1343" i="1" s="1"/>
  <c r="AZ646" i="1"/>
  <c r="BB646" i="1" s="1"/>
  <c r="AZ2004" i="1"/>
  <c r="BB2004" i="1" s="1"/>
  <c r="AZ516" i="1"/>
  <c r="BB516" i="1" s="1"/>
  <c r="AZ774" i="1"/>
  <c r="BB774" i="1" s="1"/>
  <c r="AZ435" i="1"/>
  <c r="BB435" i="1" s="1"/>
  <c r="AZ169" i="1"/>
  <c r="BB169" i="1" s="1"/>
  <c r="AZ1926" i="1"/>
  <c r="BB1926" i="1" s="1"/>
  <c r="AZ1069" i="1"/>
  <c r="BB1069" i="1" s="1"/>
  <c r="AZ567" i="1"/>
  <c r="BB567" i="1" s="1"/>
  <c r="AZ1564" i="1"/>
  <c r="BB1564" i="1" s="1"/>
  <c r="AZ649" i="1"/>
  <c r="BB649" i="1" s="1"/>
  <c r="AZ1061" i="1"/>
  <c r="BB1061" i="1" s="1"/>
  <c r="AZ1892" i="1"/>
  <c r="BB1892" i="1" s="1"/>
  <c r="AZ947" i="1"/>
  <c r="BB947" i="1" s="1"/>
  <c r="AZ1012" i="1"/>
  <c r="BB1012" i="1" s="1"/>
  <c r="AZ1558" i="1"/>
  <c r="BB1558" i="1" s="1"/>
  <c r="AZ1122" i="1"/>
  <c r="BB1122" i="1" s="1"/>
  <c r="AZ1323" i="1"/>
  <c r="BB1323" i="1" s="1"/>
  <c r="AZ1157" i="1"/>
  <c r="BB1157" i="1" s="1"/>
  <c r="AZ1954" i="1"/>
  <c r="BB1954" i="1" s="1"/>
  <c r="AZ1752" i="1"/>
  <c r="BB1752" i="1" s="1"/>
  <c r="AZ387" i="1"/>
  <c r="BB387" i="1" s="1"/>
  <c r="AZ510" i="1"/>
  <c r="BB510" i="1" s="1"/>
  <c r="AZ350" i="1"/>
  <c r="BB350" i="1" s="1"/>
  <c r="AZ451" i="1"/>
  <c r="BB451" i="1" s="1"/>
  <c r="AZ1989" i="1"/>
  <c r="BB1989" i="1" s="1"/>
  <c r="AZ474" i="1"/>
  <c r="BB474" i="1" s="1"/>
  <c r="AZ1223" i="1"/>
  <c r="BB1223" i="1" s="1"/>
  <c r="AZ762" i="1"/>
  <c r="BB762" i="1" s="1"/>
  <c r="AZ1774" i="1"/>
  <c r="BB1774" i="1" s="1"/>
  <c r="AZ497" i="1"/>
  <c r="BB497" i="1" s="1"/>
  <c r="AZ419" i="1"/>
  <c r="BB419" i="1" s="1"/>
  <c r="AZ1671" i="1"/>
  <c r="BB1671" i="1" s="1"/>
  <c r="AZ225" i="1"/>
  <c r="BB225" i="1" s="1"/>
  <c r="AZ1253" i="1"/>
  <c r="BB1253" i="1" s="1"/>
  <c r="AZ383" i="1"/>
  <c r="BB383" i="1" s="1"/>
  <c r="AZ515" i="1"/>
  <c r="BB515" i="1" s="1"/>
  <c r="AZ1857" i="1"/>
  <c r="BB1857" i="1" s="1"/>
  <c r="AZ866" i="1"/>
  <c r="BB866" i="1" s="1"/>
  <c r="AZ161" i="1"/>
  <c r="BB161" i="1" s="1"/>
  <c r="AZ340" i="1"/>
  <c r="BB340" i="1" s="1"/>
  <c r="AZ941" i="1"/>
  <c r="BB941" i="1" s="1"/>
  <c r="AZ503" i="1"/>
  <c r="BB503" i="1" s="1"/>
  <c r="AZ874" i="1"/>
  <c r="BB874" i="1" s="1"/>
  <c r="AZ1322" i="1"/>
  <c r="BB1322" i="1" s="1"/>
  <c r="AZ991" i="1"/>
  <c r="BB991" i="1" s="1"/>
  <c r="AZ1827" i="1"/>
  <c r="BB1827" i="1" s="1"/>
  <c r="AZ1139" i="1"/>
  <c r="BB1139" i="1" s="1"/>
  <c r="AZ1065" i="1"/>
  <c r="BB1065" i="1" s="1"/>
  <c r="AZ652" i="1"/>
  <c r="BB652" i="1" s="1"/>
  <c r="AZ682" i="1"/>
  <c r="BB682" i="1" s="1"/>
  <c r="AZ1990" i="1"/>
  <c r="BB1990" i="1" s="1"/>
  <c r="AZ1553" i="1"/>
  <c r="BB1553" i="1" s="1"/>
  <c r="AZ1428" i="1"/>
  <c r="BB1428" i="1" s="1"/>
  <c r="AZ1633" i="1"/>
  <c r="BB1633" i="1" s="1"/>
  <c r="AZ974" i="1"/>
  <c r="BB974" i="1" s="1"/>
  <c r="AZ1019" i="1"/>
  <c r="BB1019" i="1" s="1"/>
  <c r="AZ378" i="1"/>
  <c r="BB378" i="1" s="1"/>
  <c r="AZ183" i="1"/>
  <c r="BB183" i="1" s="1"/>
  <c r="AZ1294" i="1"/>
  <c r="BB1294" i="1" s="1"/>
  <c r="AZ648" i="1"/>
  <c r="BB648" i="1" s="1"/>
  <c r="AZ215" i="1"/>
  <c r="BB215" i="1" s="1"/>
  <c r="AZ1936" i="1"/>
  <c r="BB1936" i="1" s="1"/>
  <c r="AZ1560" i="1"/>
  <c r="BB1560" i="1" s="1"/>
  <c r="AZ1802" i="1"/>
  <c r="BB1802" i="1" s="1"/>
  <c r="AZ872" i="1"/>
  <c r="BB872" i="1" s="1"/>
  <c r="AZ1456" i="1"/>
  <c r="BB1456" i="1" s="1"/>
  <c r="AZ1887" i="1"/>
  <c r="BB1887" i="1" s="1"/>
  <c r="AZ1309" i="1"/>
  <c r="BB1309" i="1" s="1"/>
  <c r="AZ157" i="1"/>
  <c r="BB157" i="1" s="1"/>
  <c r="AZ1270" i="1"/>
  <c r="BB1270" i="1" s="1"/>
  <c r="AZ2020" i="1"/>
  <c r="BB2020" i="1" s="1"/>
  <c r="AZ1211" i="1"/>
  <c r="BB1211" i="1" s="1"/>
  <c r="AZ719" i="1"/>
  <c r="BB719" i="1" s="1"/>
  <c r="AZ39" i="1"/>
  <c r="BB39" i="1" s="1"/>
  <c r="AZ283" i="1"/>
  <c r="BB283" i="1" s="1"/>
  <c r="AZ1500" i="1"/>
  <c r="BB1500" i="1" s="1"/>
  <c r="AZ1376" i="1"/>
  <c r="BB1376" i="1" s="1"/>
  <c r="AZ1970" i="1"/>
  <c r="BB1970" i="1" s="1"/>
  <c r="AZ867" i="1"/>
  <c r="BB867" i="1" s="1"/>
  <c r="AZ528" i="1"/>
  <c r="BB528" i="1" s="1"/>
  <c r="AZ1735" i="1"/>
  <c r="BB1735" i="1" s="1"/>
  <c r="AZ377" i="1"/>
  <c r="BB377" i="1" s="1"/>
  <c r="AZ1792" i="1"/>
  <c r="BB1792" i="1" s="1"/>
  <c r="AZ724" i="1"/>
  <c r="BB724" i="1" s="1"/>
  <c r="AZ1191" i="1"/>
  <c r="BB1191" i="1" s="1"/>
  <c r="AZ1612" i="1"/>
  <c r="BB1612" i="1" s="1"/>
  <c r="AZ404" i="1"/>
  <c r="BB404" i="1" s="1"/>
  <c r="AZ1888" i="1"/>
  <c r="BB1888" i="1" s="1"/>
  <c r="AZ576" i="1"/>
  <c r="BB576" i="1" s="1"/>
  <c r="AZ1127" i="1"/>
  <c r="BB1127" i="1" s="1"/>
  <c r="AZ900" i="1"/>
  <c r="BB900" i="1" s="1"/>
  <c r="AZ1207" i="1"/>
  <c r="BB1207" i="1" s="1"/>
  <c r="AZ2015" i="1"/>
  <c r="BB2015" i="1" s="1"/>
  <c r="AZ1837" i="1"/>
  <c r="BB1837" i="1" s="1"/>
  <c r="AZ937" i="1"/>
  <c r="BB937" i="1" s="1"/>
  <c r="AZ1152" i="1"/>
  <c r="BB1152" i="1" s="1"/>
  <c r="AZ1089" i="1"/>
  <c r="BB1089" i="1" s="1"/>
  <c r="AZ1860" i="1"/>
  <c r="BB1860" i="1" s="1"/>
  <c r="AZ250" i="1"/>
  <c r="BB250" i="1" s="1"/>
  <c r="AZ1889" i="1"/>
  <c r="BB1889" i="1" s="1"/>
  <c r="AZ172" i="1"/>
  <c r="BB172" i="1" s="1"/>
  <c r="AZ1418" i="1"/>
  <c r="BB1418" i="1" s="1"/>
  <c r="AZ845" i="1"/>
  <c r="BB845" i="1" s="1"/>
  <c r="AZ1611" i="1"/>
  <c r="BB1611" i="1" s="1"/>
  <c r="AZ1315" i="1"/>
  <c r="BB1315" i="1" s="1"/>
  <c r="AZ413" i="1"/>
  <c r="BB413" i="1" s="1"/>
  <c r="AZ78" i="1"/>
  <c r="BB78" i="1" s="1"/>
  <c r="AZ1519" i="1"/>
  <c r="BB1519" i="1" s="1"/>
  <c r="AZ574" i="1"/>
  <c r="BB574" i="1" s="1"/>
  <c r="AZ1099" i="1"/>
  <c r="BB1099" i="1" s="1"/>
  <c r="AZ1787" i="1"/>
  <c r="BB1787" i="1" s="1"/>
  <c r="AZ537" i="1"/>
  <c r="BB537" i="1" s="1"/>
  <c r="AZ1165" i="1"/>
  <c r="BB1165" i="1" s="1"/>
  <c r="AZ560" i="1"/>
  <c r="BB560" i="1" s="1"/>
  <c r="AZ1668" i="1"/>
  <c r="BB1668" i="1" s="1"/>
  <c r="AZ314" i="1"/>
  <c r="BB314" i="1" s="1"/>
  <c r="AZ1193" i="1"/>
  <c r="BB1193" i="1" s="1"/>
  <c r="AZ338" i="1"/>
  <c r="BB338" i="1" s="1"/>
  <c r="AZ1898" i="1"/>
  <c r="BB1898" i="1" s="1"/>
  <c r="AZ707" i="1"/>
  <c r="BB707" i="1" s="1"/>
  <c r="AZ506" i="1"/>
  <c r="BB506" i="1" s="1"/>
  <c r="AZ452" i="1"/>
  <c r="BB452" i="1" s="1"/>
  <c r="AZ1143" i="1"/>
  <c r="BB1143" i="1" s="1"/>
  <c r="AZ1535" i="1"/>
  <c r="BB1535" i="1" s="1"/>
  <c r="AZ1310" i="1"/>
  <c r="BB1310" i="1" s="1"/>
  <c r="AZ837" i="1"/>
  <c r="BB837" i="1" s="1"/>
  <c r="AZ1195" i="1"/>
  <c r="BB1195" i="1" s="1"/>
  <c r="AZ107" i="1"/>
  <c r="BB107" i="1" s="1"/>
  <c r="AZ171" i="1"/>
  <c r="BB171" i="1" s="1"/>
  <c r="AZ1205" i="1"/>
  <c r="BB1205" i="1" s="1"/>
  <c r="AZ1850" i="1"/>
  <c r="BB1850" i="1" s="1"/>
  <c r="AZ229" i="1"/>
  <c r="BB229" i="1" s="1"/>
  <c r="AZ490" i="1"/>
  <c r="BB490" i="1" s="1"/>
  <c r="AZ1490" i="1"/>
  <c r="BB1490" i="1" s="1"/>
  <c r="AZ1900" i="1"/>
  <c r="BB1900" i="1" s="1"/>
  <c r="AZ1307" i="1"/>
  <c r="BB1307" i="1" s="1"/>
  <c r="AZ119" i="1"/>
  <c r="BB119" i="1" s="1"/>
  <c r="AZ55" i="1"/>
  <c r="BB55" i="1" s="1"/>
  <c r="AZ1692" i="1"/>
  <c r="BB1692" i="1" s="1"/>
  <c r="AZ1174" i="1"/>
  <c r="BB1174" i="1" s="1"/>
  <c r="AZ1899" i="1"/>
  <c r="BB1899" i="1" s="1"/>
  <c r="AZ624" i="1"/>
  <c r="BB624" i="1" s="1"/>
  <c r="AZ596" i="1"/>
  <c r="BB596" i="1" s="1"/>
  <c r="AZ870" i="1"/>
  <c r="BB870" i="1" s="1"/>
  <c r="AZ1642" i="1"/>
  <c r="BB1642" i="1" s="1"/>
  <c r="AZ170" i="1"/>
  <c r="BB170" i="1" s="1"/>
  <c r="AZ77" i="1"/>
  <c r="BB77" i="1" s="1"/>
  <c r="AZ968" i="1"/>
  <c r="BB968" i="1" s="1"/>
  <c r="AZ856" i="1"/>
  <c r="BB856" i="1" s="1"/>
  <c r="AZ862" i="1"/>
  <c r="BB862" i="1" s="1"/>
  <c r="AZ1932" i="1"/>
  <c r="BB1932" i="1" s="1"/>
  <c r="AZ1583" i="1"/>
  <c r="BB1583" i="1" s="1"/>
  <c r="AZ154" i="1"/>
  <c r="BB154" i="1" s="1"/>
  <c r="AZ1245" i="1"/>
  <c r="BB1245" i="1" s="1"/>
  <c r="AZ668" i="1"/>
  <c r="BB668" i="1" s="1"/>
  <c r="AZ1358" i="1"/>
  <c r="BB1358" i="1" s="1"/>
  <c r="AZ582" i="1"/>
  <c r="BB582" i="1" s="1"/>
  <c r="AZ1639" i="1"/>
  <c r="BB1639" i="1" s="1"/>
  <c r="AZ26" i="1"/>
  <c r="BB26" i="1" s="1"/>
  <c r="AZ1685" i="1"/>
  <c r="BB1685" i="1" s="1"/>
  <c r="AZ337" i="1"/>
  <c r="BB337" i="1" s="1"/>
  <c r="AZ903" i="1"/>
  <c r="BB903" i="1" s="1"/>
  <c r="AZ176" i="1"/>
  <c r="BB176" i="1" s="1"/>
  <c r="AZ1896" i="1"/>
  <c r="BB1896" i="1" s="1"/>
  <c r="AZ840" i="1"/>
  <c r="BB840" i="1" s="1"/>
  <c r="AZ575" i="1"/>
  <c r="BB575" i="1" s="1"/>
  <c r="AZ1264" i="1"/>
  <c r="BB1264" i="1" s="1"/>
  <c r="AZ1399" i="1"/>
  <c r="BB1399" i="1" s="1"/>
  <c r="AZ538" i="1"/>
  <c r="BB538" i="1" s="1"/>
  <c r="AZ675" i="1"/>
  <c r="BB675" i="1" s="1"/>
  <c r="AZ1596" i="1"/>
  <c r="BB1596" i="1" s="1"/>
  <c r="AZ489" i="1"/>
  <c r="BB489" i="1" s="1"/>
  <c r="AZ148" i="1"/>
  <c r="BB148" i="1" s="1"/>
  <c r="AZ630" i="1"/>
  <c r="BB630" i="1" s="1"/>
  <c r="AZ146" i="1"/>
  <c r="BB146" i="1" s="1"/>
  <c r="AZ908" i="1"/>
  <c r="BB908" i="1" s="1"/>
  <c r="AZ1590" i="1"/>
  <c r="BB1590" i="1" s="1"/>
  <c r="AZ1743" i="1"/>
  <c r="BB1743" i="1" s="1"/>
  <c r="AZ1951" i="1"/>
  <c r="BB1951" i="1" s="1"/>
  <c r="AZ427" i="1"/>
  <c r="BB427" i="1" s="1"/>
  <c r="AZ1020" i="1"/>
  <c r="BB1020" i="1" s="1"/>
  <c r="AZ742" i="1"/>
  <c r="BB742" i="1" s="1"/>
  <c r="AZ1359" i="1"/>
  <c r="BB1359" i="1" s="1"/>
  <c r="AZ1947" i="1"/>
  <c r="BB1947" i="1" s="1"/>
  <c r="AZ836" i="1"/>
  <c r="BB836" i="1" s="1"/>
  <c r="AZ1038" i="1"/>
  <c r="BB1038" i="1" s="1"/>
  <c r="AZ534" i="1"/>
  <c r="BB534" i="1" s="1"/>
  <c r="AZ1701" i="1"/>
  <c r="BB1701" i="1" s="1"/>
  <c r="AZ493" i="1"/>
  <c r="BB493" i="1" s="1"/>
  <c r="AZ1820" i="1"/>
  <c r="BB1820" i="1" s="1"/>
  <c r="AZ29" i="1"/>
  <c r="BB29" i="1" s="1"/>
  <c r="AZ1941" i="1"/>
  <c r="BB1941" i="1" s="1"/>
  <c r="AZ492" i="1"/>
  <c r="BB492" i="1" s="1"/>
  <c r="AZ710" i="1"/>
  <c r="BB710" i="1" s="1"/>
  <c r="AZ1183" i="1"/>
  <c r="BB1183" i="1" s="1"/>
  <c r="AZ1156" i="1"/>
  <c r="BB1156" i="1" s="1"/>
  <c r="AZ1071" i="1"/>
  <c r="BB1071" i="1" s="1"/>
  <c r="AZ1688" i="1"/>
  <c r="BB1688" i="1" s="1"/>
  <c r="AZ1257" i="1"/>
  <c r="BB1257" i="1" s="1"/>
  <c r="AZ852" i="1"/>
  <c r="BB852" i="1" s="1"/>
  <c r="AZ139" i="1"/>
  <c r="BB139" i="1" s="1"/>
  <c r="AZ1295" i="1"/>
  <c r="BB1295" i="1" s="1"/>
  <c r="AZ1006" i="1"/>
  <c r="BB1006" i="1" s="1"/>
  <c r="AZ1324" i="1"/>
  <c r="BB1324" i="1" s="1"/>
  <c r="AZ1272" i="1"/>
  <c r="BB1272" i="1" s="1"/>
  <c r="AZ961" i="1"/>
  <c r="BB961" i="1" s="1"/>
  <c r="AZ1755" i="1"/>
  <c r="BB1755" i="1" s="1"/>
  <c r="AZ1869" i="1"/>
  <c r="BB1869" i="1" s="1"/>
  <c r="AZ126" i="1"/>
  <c r="BB126" i="1" s="1"/>
  <c r="AZ706" i="1"/>
  <c r="BB706" i="1" s="1"/>
  <c r="AZ1273" i="1"/>
  <c r="BB1273" i="1" s="1"/>
  <c r="AZ1177" i="1"/>
  <c r="BB1177" i="1" s="1"/>
  <c r="AZ2009" i="1"/>
  <c r="BB2009" i="1" s="1"/>
  <c r="AZ906" i="1"/>
  <c r="BB906" i="1" s="1"/>
  <c r="AZ473" i="1"/>
  <c r="BB473" i="1" s="1"/>
  <c r="AZ1112" i="1"/>
  <c r="BB1112" i="1" s="1"/>
  <c r="AZ264" i="1"/>
  <c r="BB264" i="1" s="1"/>
  <c r="AZ636" i="1"/>
  <c r="BB636" i="1" s="1"/>
  <c r="AZ304" i="1"/>
  <c r="BB304" i="1" s="1"/>
  <c r="AZ1018" i="1"/>
  <c r="BB1018" i="1" s="1"/>
  <c r="AZ1527" i="1"/>
  <c r="BB1527" i="1" s="1"/>
  <c r="AZ1968" i="1"/>
  <c r="BB1968" i="1" s="1"/>
  <c r="AZ618" i="1"/>
  <c r="BB618" i="1" s="1"/>
  <c r="AZ1736" i="1"/>
  <c r="BB1736" i="1" s="1"/>
  <c r="AZ81" i="1"/>
  <c r="BB81" i="1" s="1"/>
  <c r="AZ410" i="1"/>
  <c r="BB410" i="1" s="1"/>
  <c r="AZ1425" i="1"/>
  <c r="BB1425" i="1" s="1"/>
  <c r="AZ93" i="1"/>
  <c r="BB93" i="1" s="1"/>
  <c r="AZ1349" i="1"/>
  <c r="BB1349" i="1" s="1"/>
  <c r="AZ1347" i="1"/>
  <c r="BB1347" i="1" s="1"/>
  <c r="AZ56" i="1"/>
  <c r="BB56" i="1" s="1"/>
  <c r="AZ548" i="1"/>
  <c r="BB548" i="1" s="1"/>
  <c r="AZ68" i="1"/>
  <c r="BB68" i="1" s="1"/>
  <c r="AZ854" i="1"/>
  <c r="BB854" i="1" s="1"/>
  <c r="AZ324" i="1"/>
  <c r="BB324" i="1" s="1"/>
  <c r="AZ1782" i="1"/>
  <c r="BB1782" i="1" s="1"/>
  <c r="AZ1266" i="1"/>
  <c r="BB1266" i="1" s="1"/>
  <c r="AZ1658" i="1"/>
  <c r="BB1658" i="1" s="1"/>
  <c r="AZ1488" i="1"/>
  <c r="BB1488" i="1" s="1"/>
  <c r="AZ1175" i="1"/>
  <c r="BB1175" i="1" s="1"/>
  <c r="AZ361" i="1"/>
  <c r="BB361" i="1" s="1"/>
  <c r="AZ1713" i="1"/>
  <c r="BB1713" i="1" s="1"/>
  <c r="AZ1961" i="1"/>
  <c r="BB1961" i="1" s="1"/>
  <c r="AZ1579" i="1"/>
  <c r="BB1579" i="1" s="1"/>
  <c r="AZ328" i="1"/>
  <c r="BB328" i="1" s="1"/>
  <c r="AZ1717" i="1"/>
  <c r="BB1717" i="1" s="1"/>
  <c r="AZ1949" i="1"/>
  <c r="BB1949" i="1" s="1"/>
  <c r="AZ1878" i="1"/>
  <c r="BB1878" i="1" s="1"/>
  <c r="AZ1243" i="1"/>
  <c r="BB1243" i="1" s="1"/>
  <c r="AZ616" i="1"/>
  <c r="BB616" i="1" s="1"/>
  <c r="AZ1616" i="1"/>
  <c r="BB1616" i="1" s="1"/>
  <c r="AZ633" i="1"/>
  <c r="BB633" i="1" s="1"/>
  <c r="AZ1210" i="1"/>
  <c r="BB1210" i="1" s="1"/>
  <c r="AZ97" i="1"/>
  <c r="BB97" i="1" s="1"/>
  <c r="AZ1388" i="1"/>
  <c r="BB1388" i="1" s="1"/>
  <c r="AZ1626" i="1"/>
  <c r="BB1626" i="1" s="1"/>
  <c r="AZ1383" i="1"/>
  <c r="BB1383" i="1" s="1"/>
  <c r="AZ996" i="1"/>
  <c r="BB996" i="1" s="1"/>
  <c r="AZ1969" i="1"/>
  <c r="BB1969" i="1" s="1"/>
  <c r="AZ832" i="1"/>
  <c r="BB832" i="1" s="1"/>
  <c r="AZ1604" i="1"/>
  <c r="BB1604" i="1" s="1"/>
  <c r="AZ1140" i="1"/>
  <c r="BB1140" i="1" s="1"/>
  <c r="AZ1956" i="1"/>
  <c r="BB1956" i="1" s="1"/>
  <c r="AZ585" i="1"/>
  <c r="BB585" i="1" s="1"/>
  <c r="AZ1107" i="1"/>
  <c r="BB1107" i="1" s="1"/>
  <c r="AZ138" i="1"/>
  <c r="BB138" i="1" s="1"/>
  <c r="AZ657" i="1"/>
  <c r="BB657" i="1" s="1"/>
  <c r="AZ1539" i="1"/>
  <c r="BB1539" i="1" s="1"/>
  <c r="AZ1235" i="1"/>
  <c r="BB1235" i="1" s="1"/>
  <c r="AZ1921" i="1"/>
  <c r="BB1921" i="1" s="1"/>
  <c r="AZ1453" i="1"/>
  <c r="BB1453" i="1" s="1"/>
  <c r="AZ1885" i="1"/>
  <c r="BB1885" i="1" s="1"/>
  <c r="AZ1672" i="1"/>
  <c r="BB1672" i="1" s="1"/>
  <c r="AZ1285" i="1"/>
  <c r="BB1285" i="1" s="1"/>
  <c r="AZ1605" i="1"/>
  <c r="BB1605" i="1" s="1"/>
  <c r="AZ237" i="1"/>
  <c r="BB237" i="1" s="1"/>
  <c r="AZ559" i="1"/>
  <c r="BB559" i="1" s="1"/>
  <c r="AZ1212" i="1"/>
  <c r="BB1212" i="1" s="1"/>
  <c r="AZ539" i="1"/>
  <c r="BB539" i="1" s="1"/>
  <c r="AZ288" i="1"/>
  <c r="BB288" i="1" s="1"/>
  <c r="AZ938" i="1"/>
  <c r="BB938" i="1" s="1"/>
  <c r="AZ1461" i="1"/>
  <c r="BB1461" i="1" s="1"/>
  <c r="AZ1473" i="1"/>
  <c r="BB1473" i="1" s="1"/>
  <c r="AZ1408" i="1"/>
  <c r="BB1408" i="1" s="1"/>
  <c r="AZ1336" i="1"/>
  <c r="BB1336" i="1" s="1"/>
  <c r="AZ281" i="1"/>
  <c r="BB281" i="1" s="1"/>
  <c r="AZ1529" i="1"/>
  <c r="BB1529" i="1" s="1"/>
  <c r="AZ16" i="1"/>
  <c r="BB16" i="1" s="1"/>
  <c r="AZ1194" i="1"/>
  <c r="BB1194" i="1" s="1"/>
  <c r="AZ1812" i="1"/>
  <c r="BB1812" i="1" s="1"/>
  <c r="AZ1097" i="1"/>
  <c r="BB1097" i="1" s="1"/>
  <c r="AZ772" i="1"/>
  <c r="BB772" i="1" s="1"/>
  <c r="AZ875" i="1"/>
  <c r="BB875" i="1" s="1"/>
  <c r="AZ744" i="1"/>
  <c r="BB744" i="1" s="1"/>
  <c r="AZ531" i="1"/>
  <c r="BB531" i="1" s="1"/>
  <c r="AZ1547" i="1"/>
  <c r="BB1547" i="1" s="1"/>
  <c r="AZ979" i="1"/>
  <c r="BB979" i="1" s="1"/>
  <c r="AZ558" i="1"/>
  <c r="BB558" i="1" s="1"/>
  <c r="AZ1467" i="1"/>
  <c r="BB1467" i="1" s="1"/>
  <c r="AZ1973" i="1"/>
  <c r="BB1973" i="1" s="1"/>
  <c r="AZ1566" i="1"/>
  <c r="BB1566" i="1" s="1"/>
  <c r="AZ1846" i="1"/>
  <c r="BB1846" i="1" s="1"/>
  <c r="AZ1455" i="1"/>
  <c r="BB1455" i="1" s="1"/>
  <c r="AZ1772" i="1"/>
  <c r="BB1772" i="1" s="1"/>
  <c r="AZ823" i="1"/>
  <c r="BB823" i="1" s="1"/>
  <c r="AZ1334" i="1"/>
  <c r="BB1334" i="1" s="1"/>
  <c r="AZ1497" i="1"/>
  <c r="BB1497" i="1" s="1"/>
  <c r="AZ1432" i="1"/>
  <c r="BB1432" i="1" s="1"/>
  <c r="AZ1691" i="1"/>
  <c r="BB1691" i="1" s="1"/>
  <c r="AZ936" i="1"/>
  <c r="BB936" i="1" s="1"/>
  <c r="AZ286" i="1"/>
  <c r="BB286" i="1" s="1"/>
  <c r="AZ831" i="1"/>
  <c r="BB831" i="1" s="1"/>
  <c r="AZ1985" i="1"/>
  <c r="BB1985" i="1" s="1"/>
  <c r="AZ48" i="1"/>
  <c r="BB48" i="1" s="1"/>
  <c r="AZ208" i="1"/>
  <c r="BB208" i="1" s="1"/>
  <c r="AZ2000" i="1"/>
  <c r="BB2000" i="1" s="1"/>
  <c r="AZ1608" i="1"/>
  <c r="BB1608" i="1" s="1"/>
  <c r="AZ151" i="1"/>
  <c r="BB151" i="1" s="1"/>
  <c r="AZ198" i="1"/>
  <c r="BB198" i="1" s="1"/>
  <c r="AZ571" i="1"/>
  <c r="BB571" i="1" s="1"/>
  <c r="AZ1208" i="1"/>
  <c r="BB1208" i="1" s="1"/>
  <c r="AZ2010" i="1"/>
  <c r="BB2010" i="1" s="1"/>
  <c r="AZ642" i="1"/>
  <c r="BB642" i="1" s="1"/>
  <c r="AZ1361" i="1"/>
  <c r="BB1361" i="1" s="1"/>
  <c r="AZ871" i="1"/>
  <c r="BB871" i="1" s="1"/>
  <c r="AZ797" i="1"/>
  <c r="BB797" i="1" s="1"/>
  <c r="AZ1540" i="1"/>
  <c r="BB1540" i="1" s="1"/>
  <c r="AZ1638" i="1"/>
  <c r="BB1638" i="1" s="1"/>
  <c r="AZ1120" i="1"/>
  <c r="BB1120" i="1" s="1"/>
  <c r="AZ781" i="1"/>
  <c r="BB781" i="1" s="1"/>
  <c r="AZ478" i="1"/>
  <c r="BB478" i="1" s="1"/>
  <c r="AZ1879" i="1"/>
  <c r="BB1879" i="1" s="1"/>
  <c r="AZ1036" i="1"/>
  <c r="BB1036" i="1" s="1"/>
  <c r="AZ1631" i="1"/>
  <c r="BB1631" i="1" s="1"/>
  <c r="AZ980" i="1"/>
  <c r="BB980" i="1" s="1"/>
  <c r="AZ1942" i="1"/>
  <c r="BB1942" i="1" s="1"/>
  <c r="AZ964" i="1"/>
  <c r="BB964" i="1" s="1"/>
  <c r="AZ666" i="1"/>
  <c r="BB666" i="1" s="1"/>
  <c r="AZ794" i="1"/>
  <c r="BB794" i="1" s="1"/>
  <c r="AZ1414" i="1"/>
  <c r="BB1414" i="1" s="1"/>
  <c r="AZ399" i="1"/>
  <c r="BB399" i="1" s="1"/>
  <c r="AZ1117" i="1"/>
  <c r="BB1117" i="1" s="1"/>
  <c r="AZ429" i="1"/>
  <c r="BB429" i="1" s="1"/>
  <c r="AZ739" i="1"/>
  <c r="BB739" i="1" s="1"/>
  <c r="AZ1823" i="1"/>
  <c r="BB1823" i="1" s="1"/>
  <c r="AZ1484" i="1"/>
  <c r="BB1484" i="1" s="1"/>
  <c r="AZ1466" i="1"/>
  <c r="BB1466" i="1" s="1"/>
  <c r="AZ1381" i="1"/>
  <c r="BB1381" i="1" s="1"/>
  <c r="AZ501" i="1"/>
  <c r="BB501" i="1" s="1"/>
  <c r="AZ1727" i="1"/>
  <c r="BB1727" i="1" s="1"/>
  <c r="AZ662" i="1"/>
  <c r="BB662" i="1" s="1"/>
  <c r="AZ1557" i="1"/>
  <c r="BB1557" i="1" s="1"/>
  <c r="AZ1534" i="1"/>
  <c r="BB1534" i="1" s="1"/>
  <c r="AZ496" i="1"/>
  <c r="BB496" i="1" s="1"/>
  <c r="AZ372" i="1"/>
  <c r="BB372" i="1" s="1"/>
  <c r="AZ1367" i="1"/>
  <c r="BB1367" i="1" s="1"/>
  <c r="AZ1585" i="1"/>
  <c r="BB1585" i="1" s="1"/>
  <c r="AZ1083" i="1"/>
  <c r="BB1083" i="1" s="1"/>
  <c r="AZ1192" i="1"/>
  <c r="BB1192" i="1" s="1"/>
  <c r="AZ1284" i="1"/>
  <c r="BB1284" i="1" s="1"/>
  <c r="AZ253" i="1"/>
  <c r="BB253" i="1" s="1"/>
  <c r="AZ1186" i="1"/>
  <c r="BB1186" i="1" s="1"/>
  <c r="AZ1045" i="1"/>
  <c r="BB1045" i="1" s="1"/>
  <c r="AZ411" i="1"/>
  <c r="BB411" i="1" s="1"/>
  <c r="AZ910" i="1"/>
  <c r="BB910" i="1" s="1"/>
  <c r="AZ1906" i="1"/>
  <c r="BB1906" i="1" s="1"/>
  <c r="AZ440" i="1"/>
  <c r="BB440" i="1" s="1"/>
  <c r="AZ1441" i="1"/>
  <c r="BB1441" i="1" s="1"/>
  <c r="AZ1650" i="1"/>
  <c r="BB1650" i="1" s="1"/>
  <c r="AZ131" i="1"/>
  <c r="BB131" i="1" s="1"/>
  <c r="AZ988" i="1"/>
  <c r="BB988" i="1" s="1"/>
  <c r="AZ1556" i="1"/>
  <c r="BB1556" i="1" s="1"/>
  <c r="AZ1588" i="1"/>
  <c r="BB1588" i="1" s="1"/>
  <c r="AZ221" i="1"/>
  <c r="BB221" i="1" s="1"/>
  <c r="AZ1927" i="1"/>
  <c r="BB1927" i="1" s="1"/>
  <c r="AZ335" i="1"/>
  <c r="BB335" i="1" s="1"/>
  <c r="AZ1409" i="1"/>
  <c r="BB1409" i="1" s="1"/>
  <c r="AZ1479" i="1"/>
  <c r="BB1479" i="1" s="1"/>
  <c r="AZ1933" i="1"/>
  <c r="BB1933" i="1" s="1"/>
  <c r="AZ228" i="1"/>
  <c r="BB228" i="1" s="1"/>
  <c r="AZ1039" i="1"/>
  <c r="BB1039" i="1" s="1"/>
  <c r="AZ1902" i="1"/>
  <c r="BB1902" i="1" s="1"/>
  <c r="AZ1786" i="1"/>
  <c r="BB1786" i="1" s="1"/>
  <c r="AZ166" i="1"/>
  <c r="BB166" i="1" s="1"/>
  <c r="AZ436" i="1"/>
  <c r="BB436" i="1" s="1"/>
  <c r="AZ491" i="1"/>
  <c r="BB491" i="1" s="1"/>
  <c r="AZ1828" i="1"/>
  <c r="BB1828" i="1" s="1"/>
  <c r="AZ1480" i="1"/>
  <c r="BB1480" i="1" s="1"/>
  <c r="AZ818" i="1"/>
  <c r="BB818" i="1" s="1"/>
  <c r="AZ213" i="1"/>
  <c r="BB213" i="1" s="1"/>
  <c r="AZ712" i="1"/>
  <c r="BB712" i="1" s="1"/>
  <c r="AZ260" i="1"/>
  <c r="BB260" i="1" s="1"/>
  <c r="AZ1427" i="1"/>
  <c r="BB1427" i="1" s="1"/>
  <c r="AZ1256" i="1"/>
  <c r="BB1256" i="1" s="1"/>
  <c r="AZ1416" i="1"/>
  <c r="BB1416" i="1" s="1"/>
  <c r="AZ1580" i="1"/>
  <c r="BB1580" i="1" s="1"/>
  <c r="AZ50" i="1"/>
  <c r="BB50" i="1" s="1"/>
  <c r="AZ720" i="1"/>
  <c r="BB720" i="1" s="1"/>
  <c r="AZ1292" i="1"/>
  <c r="BB1292" i="1" s="1"/>
  <c r="AZ801" i="1"/>
  <c r="BB801" i="1" s="1"/>
  <c r="AZ1459" i="1"/>
  <c r="BB1459" i="1" s="1"/>
  <c r="AZ94" i="1"/>
  <c r="BB94" i="1" s="1"/>
  <c r="AZ1476" i="1"/>
  <c r="BB1476" i="1" s="1"/>
  <c r="AZ777" i="1"/>
  <c r="BB777" i="1" s="1"/>
  <c r="AZ701" i="1"/>
  <c r="BB701" i="1" s="1"/>
  <c r="AZ1521" i="1"/>
  <c r="BB1521" i="1" s="1"/>
  <c r="AZ1093" i="1"/>
  <c r="BB1093" i="1" s="1"/>
  <c r="AZ767" i="1"/>
  <c r="BB767" i="1" s="1"/>
  <c r="AZ1281" i="1"/>
  <c r="BB1281" i="1" s="1"/>
  <c r="AZ1945" i="1"/>
  <c r="BB1945" i="1" s="1"/>
  <c r="AZ1325" i="1"/>
  <c r="BB1325" i="1" s="1"/>
  <c r="AZ1002" i="1"/>
  <c r="BB1002" i="1" s="1"/>
  <c r="AZ839" i="1"/>
  <c r="BB839" i="1" s="1"/>
  <c r="AZ1187" i="1"/>
  <c r="BB1187" i="1" s="1"/>
  <c r="AZ1102" i="1"/>
  <c r="BB1102" i="1" s="1"/>
  <c r="AZ834" i="1"/>
  <c r="BB834" i="1" s="1"/>
  <c r="AZ1768" i="1"/>
  <c r="BB1768" i="1" s="1"/>
  <c r="AZ1589" i="1"/>
  <c r="BB1589" i="1" s="1"/>
  <c r="AZ1804" i="1"/>
  <c r="BB1804" i="1" s="1"/>
  <c r="AZ1487" i="1"/>
  <c r="BB1487" i="1" s="1"/>
  <c r="AZ869" i="1"/>
  <c r="BB869" i="1" s="1"/>
  <c r="AZ590" i="1"/>
  <c r="BB590" i="1" s="1"/>
  <c r="AZ860" i="1"/>
  <c r="BB860" i="1" s="1"/>
  <c r="AZ1530" i="1"/>
  <c r="BB1530" i="1" s="1"/>
  <c r="AZ994" i="1"/>
  <c r="BB994" i="1" s="1"/>
  <c r="AZ932" i="1"/>
  <c r="BB932" i="1" s="1"/>
  <c r="AZ24" i="1"/>
  <c r="BB24" i="1" s="1"/>
  <c r="AZ1148" i="1"/>
  <c r="BB1148" i="1" s="1"/>
  <c r="AZ51" i="1"/>
  <c r="BB51" i="1" s="1"/>
  <c r="AZ912" i="1"/>
  <c r="BB912" i="1" s="1"/>
  <c r="AZ1972" i="1"/>
  <c r="BB1972" i="1" s="1"/>
  <c r="AZ96" i="1"/>
  <c r="BB96" i="1" s="1"/>
  <c r="AZ1909" i="1"/>
  <c r="BB1909" i="1" s="1"/>
  <c r="AZ993" i="1"/>
  <c r="BB993" i="1" s="1"/>
  <c r="AZ1833" i="1"/>
  <c r="BB1833" i="1" s="1"/>
  <c r="AZ873" i="1"/>
  <c r="BB873" i="1" s="1"/>
  <c r="AZ814" i="1"/>
  <c r="BB814" i="1" s="1"/>
  <c r="AZ896" i="1"/>
  <c r="BB896" i="1" s="1"/>
  <c r="AZ1993" i="1"/>
  <c r="BB1993" i="1" s="1"/>
  <c r="AZ1843" i="1"/>
  <c r="BB1843" i="1" s="1"/>
  <c r="AZ392" i="1"/>
  <c r="BB392" i="1" s="1"/>
  <c r="AZ588" i="1"/>
  <c r="BB588" i="1" s="1"/>
  <c r="AZ124" i="1"/>
  <c r="BB124" i="1" s="1"/>
  <c r="AZ1770" i="1"/>
  <c r="BB1770" i="1" s="1"/>
  <c r="AZ962" i="1"/>
  <c r="BB962" i="1" s="1"/>
  <c r="AZ438" i="1"/>
  <c r="BB438" i="1" s="1"/>
  <c r="AZ203" i="1"/>
  <c r="BB203" i="1" s="1"/>
  <c r="AZ1062" i="1"/>
  <c r="BB1062" i="1" s="1"/>
  <c r="AZ1025" i="1"/>
  <c r="BB1025" i="1" s="1"/>
  <c r="AZ1965" i="1"/>
  <c r="BB1965" i="1" s="1"/>
  <c r="AZ179" i="1"/>
  <c r="BB179" i="1" s="1"/>
  <c r="AZ747" i="1"/>
  <c r="BB747" i="1" s="1"/>
  <c r="AZ1929" i="1"/>
  <c r="BB1929" i="1" s="1"/>
  <c r="AZ1396" i="1"/>
  <c r="BB1396" i="1" s="1"/>
  <c r="AZ57" i="1"/>
  <c r="BB57" i="1" s="1"/>
  <c r="AZ753" i="1"/>
  <c r="BB753" i="1" s="1"/>
  <c r="AZ1095" i="1"/>
  <c r="BB1095" i="1" s="1"/>
  <c r="AZ431" i="1"/>
  <c r="BB431" i="1" s="1"/>
  <c r="AZ1394" i="1"/>
  <c r="BB1394" i="1" s="1"/>
  <c r="AZ110" i="1"/>
  <c r="BB110" i="1" s="1"/>
  <c r="AZ1832" i="1"/>
  <c r="BB1832" i="1" s="1"/>
  <c r="AZ1966" i="1"/>
  <c r="BB1966" i="1" s="1"/>
  <c r="AZ437" i="1"/>
  <c r="BB437" i="1" s="1"/>
  <c r="AZ1818" i="1"/>
  <c r="BB1818" i="1" s="1"/>
  <c r="AZ622" i="1"/>
  <c r="BB622" i="1" s="1"/>
  <c r="AZ1924" i="1"/>
  <c r="BB1924" i="1" s="1"/>
  <c r="AZ963" i="1"/>
  <c r="BB963" i="1" s="1"/>
  <c r="AZ153" i="1"/>
  <c r="BB153" i="1" s="1"/>
  <c r="AZ1953" i="1"/>
  <c r="BB1953" i="1" s="1"/>
  <c r="AZ829" i="1"/>
  <c r="BB829" i="1" s="1"/>
  <c r="AZ142" i="1"/>
  <c r="BB142" i="1" s="1"/>
  <c r="AZ1330" i="1"/>
  <c r="BB1330" i="1" s="1"/>
  <c r="AZ1725" i="1"/>
  <c r="BB1725" i="1" s="1"/>
  <c r="AZ511" i="1"/>
  <c r="BB511" i="1" s="1"/>
  <c r="AZ1413" i="1"/>
  <c r="BB1413" i="1" s="1"/>
  <c r="AZ210" i="1"/>
  <c r="BB210" i="1" s="1"/>
  <c r="AZ357" i="1"/>
  <c r="BB357" i="1" s="1"/>
  <c r="AZ1673" i="1"/>
  <c r="BB1673" i="1" s="1"/>
  <c r="AZ1477" i="1"/>
  <c r="BB1477" i="1" s="1"/>
  <c r="AZ408" i="1"/>
  <c r="BB408" i="1" s="1"/>
  <c r="AZ89" i="1"/>
  <c r="BB89" i="1" s="1"/>
  <c r="AZ1971" i="1"/>
  <c r="BB1971" i="1" s="1"/>
  <c r="AZ1164" i="1"/>
  <c r="BB1164" i="1" s="1"/>
  <c r="AZ1952" i="1"/>
  <c r="BB1952" i="1" s="1"/>
  <c r="AZ231" i="1"/>
  <c r="BB231" i="1" s="1"/>
  <c r="AZ31" i="1"/>
  <c r="BB31" i="1" s="1"/>
  <c r="AZ2011" i="1"/>
  <c r="BB2011" i="1" s="1"/>
  <c r="AZ486" i="1"/>
  <c r="BB486" i="1" s="1"/>
  <c r="AZ62" i="1"/>
  <c r="BB62" i="1" s="1"/>
  <c r="AZ1628" i="1"/>
  <c r="BB1628" i="1" s="1"/>
  <c r="AZ1351" i="1"/>
  <c r="BB1351" i="1" s="1"/>
  <c r="AZ521" i="1"/>
  <c r="BB521" i="1" s="1"/>
  <c r="AZ806" i="1"/>
  <c r="BB806" i="1" s="1"/>
  <c r="AZ1218" i="1"/>
  <c r="BB1218" i="1" s="1"/>
  <c r="AZ1082" i="1"/>
  <c r="BB1082" i="1" s="1"/>
  <c r="AZ605" i="1"/>
  <c r="BB605" i="1" s="1"/>
  <c r="AZ363" i="1"/>
  <c r="BB363" i="1" s="1"/>
  <c r="AZ315" i="1"/>
  <c r="BB315" i="1" s="1"/>
  <c r="AZ609" i="1"/>
  <c r="BB609" i="1" s="1"/>
  <c r="AZ1767" i="1"/>
  <c r="BB1767" i="1" s="1"/>
  <c r="AZ1793" i="1"/>
  <c r="BB1793" i="1" s="1"/>
  <c r="AZ1190" i="1"/>
  <c r="BB1190" i="1" s="1"/>
  <c r="AZ1114" i="1"/>
  <c r="BB1114" i="1" s="1"/>
  <c r="AZ632" i="1"/>
  <c r="BB632" i="1" s="1"/>
  <c r="AZ1181" i="1"/>
  <c r="BB1181" i="1" s="1"/>
  <c r="AZ266" i="1"/>
  <c r="BB266" i="1" s="1"/>
  <c r="AZ99" i="1"/>
  <c r="BB99" i="1" s="1"/>
  <c r="AZ414" i="1"/>
  <c r="BB414" i="1" s="1"/>
  <c r="AZ552" i="1"/>
  <c r="BB552" i="1" s="1"/>
  <c r="AZ1482" i="1"/>
  <c r="BB1482" i="1" s="1"/>
  <c r="AZ1748" i="1"/>
  <c r="BB1748" i="1" s="1"/>
  <c r="AZ726" i="1"/>
  <c r="BB726" i="1" s="1"/>
  <c r="AZ143" i="1"/>
  <c r="BB143" i="1" s="1"/>
  <c r="AZ1103" i="1"/>
  <c r="BB1103" i="1" s="1"/>
  <c r="AZ1761" i="1"/>
  <c r="BB1761" i="1" s="1"/>
  <c r="AZ924" i="1"/>
  <c r="BB924" i="1" s="1"/>
  <c r="AZ629" i="1"/>
  <c r="BB629" i="1" s="1"/>
  <c r="AZ631" i="1"/>
  <c r="BB631" i="1" s="1"/>
  <c r="AZ677" i="1"/>
  <c r="BB677" i="1" s="1"/>
  <c r="AZ1173" i="1"/>
  <c r="BB1173" i="1" s="1"/>
  <c r="AZ66" i="1"/>
  <c r="BB66" i="1" s="1"/>
  <c r="AZ784" i="1"/>
  <c r="BB784" i="1" s="1"/>
  <c r="AZ1072" i="1"/>
  <c r="BB1072" i="1" s="1"/>
  <c r="AZ243" i="1"/>
  <c r="BB243" i="1" s="1"/>
  <c r="AZ1696" i="1"/>
  <c r="BB1696" i="1" s="1"/>
  <c r="AZ1957" i="1"/>
  <c r="BB1957" i="1" s="1"/>
  <c r="AZ1113" i="1"/>
  <c r="BB1113" i="1" s="1"/>
  <c r="AZ688" i="1"/>
  <c r="BB688" i="1" s="1"/>
  <c r="AZ1382" i="1"/>
  <c r="BB1382" i="1" s="1"/>
  <c r="AZ948" i="1"/>
  <c r="BB948" i="1" s="1"/>
  <c r="AZ674" i="1"/>
  <c r="BB674" i="1" s="1"/>
  <c r="AZ1081" i="1"/>
  <c r="BB1081" i="1" s="1"/>
  <c r="AZ601" i="1"/>
  <c r="BB601" i="1" s="1"/>
  <c r="AZ1445" i="1"/>
  <c r="BB1445" i="1" s="1"/>
  <c r="AZ1237" i="1"/>
  <c r="BB1237" i="1" s="1"/>
  <c r="AZ1503" i="1"/>
  <c r="BB1503" i="1" s="1"/>
  <c r="AZ104" i="1"/>
  <c r="BB104" i="1" s="1"/>
  <c r="AZ1363" i="1"/>
  <c r="BB1363" i="1" s="1"/>
  <c r="AZ248" i="1"/>
  <c r="BB248" i="1" s="1"/>
  <c r="AZ1044" i="1"/>
  <c r="BB1044" i="1" s="1"/>
  <c r="AZ1984" i="1"/>
  <c r="BB1984" i="1" s="1"/>
  <c r="AZ518" i="1"/>
  <c r="BB518" i="1" s="1"/>
  <c r="AZ1377" i="1"/>
  <c r="BB1377" i="1" s="1"/>
  <c r="AZ1417" i="1"/>
  <c r="BB1417" i="1" s="1"/>
  <c r="AZ716" i="1"/>
  <c r="BB716" i="1" s="1"/>
  <c r="AZ1923" i="1"/>
  <c r="BB1923" i="1" s="1"/>
  <c r="AZ1452" i="1"/>
  <c r="BB1452" i="1" s="1"/>
  <c r="AZ1876" i="1"/>
  <c r="BB1876" i="1" s="1"/>
  <c r="AZ82" i="1"/>
  <c r="BB82" i="1" s="1"/>
  <c r="AZ644" i="1"/>
  <c r="BB644" i="1" s="1"/>
  <c r="AZ1670" i="1"/>
  <c r="BB1670" i="1" s="1"/>
  <c r="AZ370" i="1"/>
  <c r="BB370" i="1" s="1"/>
  <c r="AZ1592" i="1"/>
  <c r="BB1592" i="1" s="1"/>
  <c r="AZ19" i="1"/>
  <c r="BB19" i="1" s="1"/>
  <c r="AZ1142" i="1"/>
  <c r="BB1142" i="1" s="1"/>
  <c r="AZ822" i="1"/>
  <c r="BB822" i="1" s="1"/>
  <c r="AZ1788" i="1"/>
  <c r="BB1788" i="1" s="1"/>
  <c r="AZ112" i="1"/>
  <c r="BB112" i="1" s="1"/>
  <c r="AZ1643" i="1"/>
  <c r="BB1643" i="1" s="1"/>
  <c r="AZ700" i="1"/>
  <c r="BB700" i="1" s="1"/>
  <c r="AZ301" i="1"/>
  <c r="BB301" i="1" s="1"/>
  <c r="AZ1133" i="1"/>
  <c r="BB1133" i="1" s="1"/>
  <c r="AZ423" i="1"/>
  <c r="BB423" i="1" s="1"/>
  <c r="AZ929" i="1"/>
  <c r="BB929" i="1" s="1"/>
  <c r="AZ1449" i="1"/>
  <c r="BB1449" i="1" s="1"/>
  <c r="AZ800" i="1"/>
  <c r="BB800" i="1" s="1"/>
  <c r="AZ1644" i="1"/>
  <c r="BB1644" i="1" s="1"/>
  <c r="AZ65" i="1"/>
  <c r="BB65" i="1" s="1"/>
  <c r="AZ698" i="1"/>
  <c r="BB698" i="1" s="1"/>
  <c r="AZ1042" i="1"/>
  <c r="BB1042" i="1" s="1"/>
  <c r="AZ812" i="1"/>
  <c r="BB812" i="1" s="1"/>
  <c r="AZ90" i="1"/>
  <c r="BB90" i="1" s="1"/>
  <c r="AZ942" i="1"/>
  <c r="BB942" i="1" s="1"/>
  <c r="AZ1780" i="1"/>
  <c r="BB1780" i="1" s="1"/>
  <c r="AZ446" i="1"/>
  <c r="BB446" i="1" s="1"/>
  <c r="AZ1728" i="1"/>
  <c r="BB1728" i="1" s="1"/>
  <c r="AZ297" i="1"/>
  <c r="BB297" i="1" s="1"/>
  <c r="AZ1341" i="1"/>
  <c r="BB1341" i="1" s="1"/>
  <c r="AZ450" i="1"/>
  <c r="BB450" i="1" s="1"/>
  <c r="AZ1077" i="1"/>
  <c r="BB1077" i="1" s="1"/>
  <c r="AZ1980" i="1"/>
  <c r="BB1980" i="1" s="1"/>
  <c r="AZ145" i="1"/>
  <c r="BB145" i="1" s="1"/>
  <c r="AZ1395" i="1"/>
  <c r="BB1395" i="1" s="1"/>
  <c r="AZ263" i="1"/>
  <c r="BB263" i="1" s="1"/>
  <c r="AZ1606" i="1"/>
  <c r="BB1606" i="1" s="1"/>
  <c r="AZ526" i="1"/>
  <c r="BB526" i="1" s="1"/>
  <c r="AZ249" i="1"/>
  <c r="BB249" i="1" s="1"/>
  <c r="AZ298" i="1"/>
  <c r="BB298" i="1" s="1"/>
  <c r="AZ1570" i="1"/>
  <c r="BB1570" i="1" s="1"/>
  <c r="AZ1262" i="1"/>
  <c r="BB1262" i="1" s="1"/>
  <c r="AZ1430" i="1"/>
  <c r="BB1430" i="1" s="1"/>
  <c r="AZ1891" i="1"/>
  <c r="BB1891" i="1" s="1"/>
  <c r="AZ926" i="1"/>
  <c r="BB926" i="1" s="1"/>
  <c r="AZ1681" i="1"/>
  <c r="BB1681" i="1" s="1"/>
  <c r="AZ1247" i="1"/>
  <c r="BB1247" i="1" s="1"/>
  <c r="AZ1538" i="1"/>
  <c r="BB1538" i="1" s="1"/>
  <c r="AZ1366" i="1"/>
  <c r="BB1366" i="1" s="1"/>
  <c r="AZ1293" i="1"/>
  <c r="BB1293" i="1" s="1"/>
  <c r="AZ1702" i="1"/>
  <c r="BB1702" i="1" s="1"/>
  <c r="AZ843" i="1"/>
  <c r="BB843" i="1" s="1"/>
  <c r="AZ1255" i="1"/>
  <c r="BB1255" i="1" s="1"/>
  <c r="AZ893" i="1"/>
  <c r="BB893" i="1" s="1"/>
  <c r="AZ1730" i="1"/>
  <c r="BB1730" i="1" s="1"/>
  <c r="AZ1101" i="1"/>
  <c r="BB1101" i="1" s="1"/>
  <c r="AZ123" i="1"/>
  <c r="BB123" i="1" s="1"/>
  <c r="AZ876" i="1"/>
  <c r="BB876" i="1" s="1"/>
  <c r="AZ551" i="1"/>
  <c r="BB551" i="1" s="1"/>
  <c r="AZ659" i="1"/>
  <c r="BB659" i="1" s="1"/>
  <c r="AZ1504" i="1"/>
  <c r="BB1504" i="1" s="1"/>
  <c r="AZ1913" i="1"/>
  <c r="BB1913" i="1" s="1"/>
  <c r="AZ1576" i="1"/>
  <c r="BB1576" i="1" s="1"/>
  <c r="AZ1048" i="1"/>
  <c r="BB1048" i="1" s="1"/>
  <c r="AZ507" i="1"/>
  <c r="BB507" i="1" s="1"/>
  <c r="AZ1068" i="1"/>
  <c r="BB1068" i="1" s="1"/>
  <c r="AZ1216" i="1"/>
  <c r="BB1216" i="1" s="1"/>
  <c r="AZ802" i="1"/>
  <c r="BB802" i="1" s="1"/>
  <c r="AZ1032" i="1"/>
  <c r="BB1032" i="1" s="1"/>
  <c r="AZ1355" i="1"/>
  <c r="BB1355" i="1" s="1"/>
  <c r="AZ1920" i="1"/>
  <c r="BB1920" i="1" s="1"/>
  <c r="AZ1515" i="1"/>
  <c r="BB1515" i="1" s="1"/>
  <c r="AZ277" i="1"/>
  <c r="BB277" i="1" s="1"/>
  <c r="AZ1622" i="1"/>
  <c r="BB1622" i="1" s="1"/>
  <c r="AZ771" i="1"/>
  <c r="BB771" i="1" s="1"/>
  <c r="AZ1153" i="1"/>
  <c r="BB1153" i="1" s="1"/>
  <c r="AZ406" i="1"/>
  <c r="BB406" i="1" s="1"/>
  <c r="AZ846" i="1"/>
  <c r="BB846" i="1" s="1"/>
  <c r="AZ141" i="1"/>
  <c r="BB141" i="1" s="1"/>
  <c r="AZ1629" i="1"/>
  <c r="BB1629" i="1" s="1"/>
  <c r="AZ121" i="1"/>
  <c r="BB121" i="1" s="1"/>
  <c r="AZ717" i="1"/>
  <c r="BB717" i="1" s="1"/>
  <c r="AZ589" i="1"/>
  <c r="BB589" i="1" s="1"/>
  <c r="AZ1029" i="1"/>
  <c r="BB1029" i="1" s="1"/>
  <c r="AZ236" i="1"/>
  <c r="BB236" i="1" s="1"/>
  <c r="AZ1939" i="1"/>
  <c r="BB1939" i="1" s="1"/>
  <c r="AZ828" i="1"/>
  <c r="BB828" i="1" s="1"/>
  <c r="AZ1049" i="1"/>
  <c r="BB1049" i="1" s="1"/>
  <c r="AZ1815" i="1"/>
  <c r="BB1815" i="1" s="1"/>
  <c r="AZ1364" i="1"/>
  <c r="BB1364" i="1" s="1"/>
  <c r="AZ402" i="1"/>
  <c r="BB402" i="1" s="1"/>
  <c r="AZ1050" i="1"/>
  <c r="BB1050" i="1" s="1"/>
  <c r="AZ1360" i="1"/>
  <c r="BB1360" i="1" s="1"/>
  <c r="AZ175" i="1"/>
  <c r="BB175" i="1" s="1"/>
  <c r="AZ1485" i="1"/>
  <c r="BB1485" i="1" s="1"/>
  <c r="AZ389" i="1"/>
  <c r="BB389" i="1" s="1"/>
  <c r="AZ1805" i="1"/>
  <c r="BB1805" i="1" s="1"/>
  <c r="AZ826" i="1"/>
  <c r="BB826" i="1" s="1"/>
  <c r="AZ1228" i="1"/>
  <c r="BB1228" i="1" s="1"/>
  <c r="AZ825" i="1"/>
  <c r="BB825" i="1" s="1"/>
  <c r="AZ799" i="1"/>
  <c r="BB799" i="1" s="1"/>
  <c r="AZ1732" i="1"/>
  <c r="BB1732" i="1" s="1"/>
  <c r="AZ935" i="1"/>
  <c r="BB935" i="1" s="1"/>
  <c r="AZ1230" i="1"/>
  <c r="BB1230" i="1" s="1"/>
  <c r="AZ750" i="1"/>
  <c r="BB750" i="1" s="1"/>
  <c r="AZ83" i="1"/>
  <c r="BB83" i="1" s="1"/>
  <c r="AZ1757" i="1"/>
  <c r="BB1757" i="1" s="1"/>
  <c r="AZ1992" i="1"/>
  <c r="BB1992" i="1" s="1"/>
  <c r="AZ1209" i="1"/>
  <c r="BB1209" i="1" s="1"/>
  <c r="AZ1575" i="1"/>
  <c r="BB1575" i="1" s="1"/>
  <c r="AZ887" i="1"/>
  <c r="BB887" i="1" s="1"/>
  <c r="AZ1862" i="1"/>
  <c r="BB1862" i="1" s="1"/>
  <c r="AZ306" i="1"/>
  <c r="BB306" i="1" s="1"/>
  <c r="AZ1810" i="1"/>
  <c r="BB1810" i="1" s="1"/>
  <c r="AZ485" i="1"/>
  <c r="BB485" i="1" s="1"/>
  <c r="AZ1374" i="1"/>
  <c r="BB1374" i="1" s="1"/>
  <c r="AZ194" i="1"/>
  <c r="BB194" i="1" s="1"/>
  <c r="AZ1150" i="1"/>
  <c r="BB1150" i="1" s="1"/>
  <c r="AZ1995" i="1"/>
  <c r="BB1995" i="1" s="1"/>
  <c r="AZ670" i="1"/>
  <c r="BB670" i="1" s="1"/>
  <c r="AZ1468" i="1"/>
  <c r="BB1468" i="1" s="1"/>
  <c r="AZ1066" i="1"/>
  <c r="BB1066" i="1" s="1"/>
  <c r="AZ109" i="1"/>
  <c r="BB109" i="1" s="1"/>
  <c r="AZ137" i="1"/>
  <c r="BB137" i="1" s="1"/>
  <c r="AZ1550" i="1"/>
  <c r="BB1550" i="1" s="1"/>
  <c r="AZ1799" i="1"/>
  <c r="BB1799" i="1" s="1"/>
  <c r="AZ1822" i="1"/>
  <c r="BB1822" i="1" s="1"/>
  <c r="AZ1286" i="1"/>
  <c r="BB1286" i="1" s="1"/>
  <c r="AZ218" i="1"/>
  <c r="BB218" i="1" s="1"/>
  <c r="AZ667" i="1"/>
  <c r="BB667" i="1" s="1"/>
  <c r="AZ1132" i="1"/>
  <c r="BB1132" i="1" s="1"/>
  <c r="AZ1609" i="1"/>
  <c r="BB1609" i="1" s="1"/>
  <c r="AZ251" i="1"/>
  <c r="BB251" i="1" s="1"/>
  <c r="AZ1790" i="1"/>
  <c r="BB1790" i="1" s="1"/>
  <c r="AZ53" i="1"/>
  <c r="BB53" i="1" s="1"/>
  <c r="AZ787" i="1"/>
  <c r="BB787" i="1" s="1"/>
  <c r="AZ613" i="1"/>
  <c r="BB613" i="1" s="1"/>
  <c r="AZ1849" i="1"/>
  <c r="BB1849" i="1" s="1"/>
  <c r="AZ907" i="1"/>
  <c r="BB907" i="1" s="1"/>
  <c r="AZ256" i="1"/>
  <c r="BB256" i="1" s="1"/>
  <c r="AZ1994" i="1"/>
  <c r="BB1994" i="1" s="1"/>
  <c r="AZ114" i="1"/>
  <c r="BB114" i="1" s="1"/>
  <c r="AZ1437" i="1"/>
  <c r="BB1437" i="1" s="1"/>
  <c r="AZ1345" i="1"/>
  <c r="BB1345" i="1" s="1"/>
  <c r="AZ847" i="1"/>
  <c r="BB847" i="1" s="1"/>
  <c r="AZ1027" i="1"/>
  <c r="BB1027" i="1" s="1"/>
  <c r="AZ1632" i="1"/>
  <c r="BB1632" i="1" s="1"/>
  <c r="AZ1883" i="1"/>
  <c r="BB1883" i="1" s="1"/>
  <c r="AZ299" i="1"/>
  <c r="BB299" i="1" s="1"/>
  <c r="AZ199" i="1"/>
  <c r="BB199" i="1" s="1"/>
  <c r="AZ30" i="1"/>
  <c r="BB30" i="1" s="1"/>
  <c r="AZ1041" i="1"/>
  <c r="BB1041" i="1" s="1"/>
  <c r="AZ163" i="1"/>
  <c r="BB163" i="1" s="1"/>
  <c r="AZ524" i="1"/>
  <c r="BB524" i="1" s="1"/>
  <c r="AZ775" i="1"/>
  <c r="BB775" i="1" s="1"/>
  <c r="AZ927" i="1"/>
  <c r="BB927" i="1" s="1"/>
  <c r="AZ811" i="1"/>
  <c r="BB811" i="1" s="1"/>
  <c r="AZ244" i="1"/>
  <c r="BB244" i="1" s="1"/>
  <c r="AZ353" i="1"/>
  <c r="BB353" i="1" s="1"/>
  <c r="AZ1548" i="1"/>
  <c r="BB1548" i="1" s="1"/>
  <c r="AZ808" i="1"/>
  <c r="BB808" i="1" s="1"/>
  <c r="AZ1651" i="1"/>
  <c r="BB1651" i="1" s="1"/>
  <c r="AZ1214" i="1"/>
  <c r="BB1214" i="1" s="1"/>
  <c r="AZ1199" i="1"/>
  <c r="BB1199" i="1" s="1"/>
  <c r="AZ76" i="1"/>
  <c r="BB76" i="1" s="1"/>
  <c r="AZ1875" i="1"/>
  <c r="BB1875" i="1" s="1"/>
  <c r="AZ1536" i="1"/>
  <c r="BB1536" i="1" s="1"/>
  <c r="AZ186" i="1"/>
  <c r="BB186" i="1" s="1"/>
  <c r="AZ763" i="1"/>
  <c r="BB763" i="1" s="1"/>
  <c r="AZ1115" i="1"/>
  <c r="BB1115" i="1" s="1"/>
  <c r="AZ517" i="1"/>
  <c r="BB517" i="1" s="1"/>
  <c r="AZ1546" i="1"/>
  <c r="BB1546" i="1" s="1"/>
  <c r="AZ1620" i="1"/>
  <c r="BB1620" i="1" s="1"/>
  <c r="AZ547" i="1"/>
  <c r="BB547" i="1" s="1"/>
  <c r="AZ22" i="1"/>
  <c r="BB22" i="1" s="1"/>
  <c r="AZ466" i="1"/>
  <c r="BB466" i="1" s="1"/>
  <c r="AZ776" i="1"/>
  <c r="BB776" i="1" s="1"/>
  <c r="AZ1661" i="1"/>
  <c r="BB1661" i="1" s="1"/>
  <c r="AZ64" i="1"/>
  <c r="BB64" i="1" s="1"/>
  <c r="AZ791" i="1"/>
  <c r="BB791" i="1" s="1"/>
  <c r="AZ156" i="1"/>
  <c r="BB156" i="1" s="1"/>
  <c r="AZ565" i="1"/>
  <c r="BB565" i="1" s="1"/>
  <c r="AZ1251" i="1"/>
  <c r="BB1251" i="1" s="1"/>
  <c r="AZ553" i="1"/>
  <c r="BB553" i="1" s="1"/>
  <c r="AZ1716" i="1"/>
  <c r="BB1716" i="1" s="1"/>
  <c r="AZ1144" i="1"/>
  <c r="BB1144" i="1" s="1"/>
  <c r="AZ684" i="1"/>
  <c r="BB684" i="1" s="1"/>
  <c r="AZ579" i="1"/>
  <c r="BB579" i="1" s="1"/>
  <c r="AZ972" i="1"/>
  <c r="BB972" i="1" s="1"/>
  <c r="AZ1703" i="1"/>
  <c r="BB1703" i="1" s="1"/>
  <c r="AZ1188" i="1"/>
  <c r="BB1188" i="1" s="1"/>
  <c r="AZ1817" i="1"/>
  <c r="BB1817" i="1" s="1"/>
  <c r="AZ1687" i="1"/>
  <c r="BB1687" i="1" s="1"/>
  <c r="AZ1373" i="1"/>
  <c r="BB1373" i="1" s="1"/>
  <c r="AZ1882" i="1"/>
  <c r="BB1882" i="1" s="1"/>
  <c r="AZ1231" i="1"/>
  <c r="BB1231" i="1" s="1"/>
  <c r="AZ1806" i="1"/>
  <c r="BB1806" i="1" s="1"/>
  <c r="AZ1439" i="1"/>
  <c r="BB1439" i="1" s="1"/>
  <c r="AZ1056" i="1"/>
  <c r="BB1056" i="1" s="1"/>
  <c r="AZ708" i="1"/>
  <c r="BB708" i="1" s="1"/>
  <c r="AZ130" i="1"/>
  <c r="BB130" i="1" s="1"/>
  <c r="AZ1217" i="1"/>
  <c r="BB1217" i="1" s="1"/>
  <c r="AZ115" i="1"/>
  <c r="BB115" i="1" s="1"/>
  <c r="AZ1842" i="1"/>
  <c r="BB1842" i="1" s="1"/>
  <c r="AZ498" i="1"/>
  <c r="BB498" i="1" s="1"/>
  <c r="AZ1474" i="1"/>
  <c r="BB1474" i="1" s="1"/>
  <c r="AZ467" i="1"/>
  <c r="BB467" i="1" s="1"/>
  <c r="AZ1401" i="1"/>
  <c r="BB1401" i="1" s="1"/>
  <c r="AZ901" i="1"/>
  <c r="BB901" i="1" s="1"/>
  <c r="AZ1914" i="1"/>
  <c r="BB1914" i="1" s="1"/>
  <c r="AZ209" i="1"/>
  <c r="BB209" i="1" s="1"/>
  <c r="AZ1332" i="1"/>
  <c r="BB1332" i="1" s="1"/>
  <c r="AZ519" i="1"/>
  <c r="BB519" i="1" s="1"/>
  <c r="AZ946" i="1"/>
  <c r="BB946" i="1" s="1"/>
  <c r="AZ1202" i="1"/>
  <c r="BB1202" i="1" s="1"/>
  <c r="AZ1161" i="1"/>
  <c r="BB1161" i="1" s="1"/>
  <c r="AZ833" i="1"/>
  <c r="BB833" i="1" s="1"/>
  <c r="AZ101" i="1"/>
  <c r="BB101" i="1" s="1"/>
  <c r="AZ1475" i="1"/>
  <c r="BB1475" i="1" s="1"/>
  <c r="AZ155" i="1"/>
  <c r="BB155" i="1" s="1"/>
  <c r="AZ1986" i="1"/>
  <c r="BB1986" i="1" s="1"/>
  <c r="AZ265" i="1"/>
  <c r="BB265" i="1" s="1"/>
  <c r="AZ456" i="1"/>
  <c r="BB456" i="1" s="1"/>
  <c r="AZ1866" i="1"/>
  <c r="BB1866" i="1" s="1"/>
  <c r="AZ235" i="1"/>
  <c r="BB235" i="1" s="1"/>
  <c r="AZ1411" i="1"/>
  <c r="BB1411" i="1" s="1"/>
  <c r="AZ1252" i="1"/>
  <c r="BB1252" i="1" s="1"/>
  <c r="AZ765" i="1"/>
  <c r="BB765" i="1" s="1"/>
  <c r="AZ196" i="1"/>
  <c r="BB196" i="1" s="1"/>
  <c r="AZ369" i="1"/>
  <c r="BB369" i="1" s="1"/>
  <c r="AZ1438" i="1"/>
  <c r="BB1438" i="1" s="1"/>
  <c r="AZ894" i="1"/>
  <c r="BB894" i="1" s="1"/>
  <c r="AZ144" i="1"/>
  <c r="BB144" i="1" s="1"/>
  <c r="AZ1738" i="1"/>
  <c r="BB1738" i="1" s="1"/>
  <c r="AZ1680" i="1"/>
  <c r="BB1680" i="1" s="1"/>
  <c r="AZ1741" i="1"/>
  <c r="BB1741" i="1" s="1"/>
  <c r="AZ85" i="1"/>
  <c r="BB85" i="1" s="1"/>
  <c r="AZ14" i="1"/>
  <c r="BB14" i="1" s="1"/>
  <c r="AZ1946" i="1"/>
  <c r="BB1946" i="1" s="1"/>
  <c r="AZ113" i="1"/>
  <c r="BB113" i="1" s="1"/>
  <c r="AZ1128" i="1"/>
  <c r="BB1128" i="1" s="1"/>
  <c r="AZ1078" i="1"/>
  <c r="BB1078" i="1" s="1"/>
  <c r="AZ1149" i="1"/>
  <c r="BB1149" i="1" s="1"/>
  <c r="AZ254" i="1"/>
  <c r="BB254" i="1" s="1"/>
  <c r="AZ1979" i="1"/>
  <c r="BB1979" i="1" s="1"/>
  <c r="AZ703" i="1"/>
  <c r="BB703" i="1" s="1"/>
  <c r="AZ351" i="1"/>
  <c r="BB351" i="1" s="1"/>
  <c r="AZ2002" i="1"/>
  <c r="BB2002" i="1" s="1"/>
  <c r="AZ1637" i="1"/>
  <c r="BB1637" i="1" s="1"/>
  <c r="AZ1518" i="1"/>
  <c r="BB1518" i="1" s="1"/>
  <c r="AZ1751" i="1"/>
  <c r="BB1751" i="1" s="1"/>
  <c r="AZ310" i="1"/>
  <c r="BB310" i="1" s="1"/>
  <c r="AZ1053" i="1"/>
  <c r="BB1053" i="1" s="1"/>
  <c r="AZ1248" i="1"/>
  <c r="BB1248" i="1" s="1"/>
  <c r="AZ1431" i="1"/>
  <c r="BB1431" i="1" s="1"/>
  <c r="AZ502" i="1"/>
  <c r="BB502" i="1" s="1"/>
  <c r="AZ79" i="1"/>
  <c r="BB79" i="1" s="1"/>
  <c r="AZ865" i="1"/>
  <c r="BB865" i="1" s="1"/>
  <c r="AZ111" i="1"/>
  <c r="BB111" i="1" s="1"/>
  <c r="AZ1895" i="1"/>
  <c r="BB1895" i="1" s="1"/>
  <c r="AZ1851" i="1"/>
  <c r="BB1851" i="1" s="1"/>
  <c r="AZ1988" i="1"/>
  <c r="BB1988" i="1" s="1"/>
  <c r="AZ1178" i="1"/>
  <c r="BB1178" i="1" s="1"/>
  <c r="AZ584" i="1"/>
  <c r="BB584" i="1" s="1"/>
  <c r="AZ308" i="1"/>
  <c r="BB308" i="1" s="1"/>
  <c r="AZ689" i="1"/>
  <c r="BB689" i="1" s="1"/>
  <c r="AZ1852" i="1"/>
  <c r="BB1852" i="1" s="1"/>
  <c r="AZ1613" i="1"/>
  <c r="BB1613" i="1" s="1"/>
  <c r="AZ1510" i="1"/>
  <c r="BB1510" i="1" s="1"/>
  <c r="AZ92" i="1"/>
  <c r="BB92" i="1" s="1"/>
  <c r="AZ174" i="1"/>
  <c r="BB174" i="1" s="1"/>
  <c r="AZ1244" i="1"/>
  <c r="BB1244" i="1" s="1"/>
  <c r="AZ309" i="1"/>
  <c r="BB309" i="1" s="1"/>
  <c r="AZ1657" i="1"/>
  <c r="BB1657" i="1" s="1"/>
  <c r="AZ371" i="1"/>
  <c r="BB371" i="1" s="1"/>
  <c r="AZ177" i="1"/>
  <c r="BB177" i="1" s="1"/>
  <c r="AZ1267" i="1"/>
  <c r="BB1267" i="1" s="1"/>
  <c r="AZ1960" i="1"/>
  <c r="BB1960" i="1" s="1"/>
  <c r="AZ469" i="1"/>
  <c r="BB469" i="1" s="1"/>
  <c r="AZ1698" i="1"/>
  <c r="BB1698" i="1" s="1"/>
  <c r="AZ390" i="1"/>
  <c r="BB390" i="1" s="1"/>
  <c r="AZ1903" i="1"/>
  <c r="BB1903" i="1" s="1"/>
  <c r="AZ412" i="1"/>
  <c r="BB412" i="1" s="1"/>
  <c r="AZ1796" i="1"/>
  <c r="BB1796" i="1" s="1"/>
  <c r="AZ1563" i="1"/>
  <c r="BB1563" i="1" s="1"/>
  <c r="AZ1319" i="1"/>
  <c r="BB1319" i="1" s="1"/>
  <c r="AZ292" i="1"/>
  <c r="BB292" i="1" s="1"/>
  <c r="AZ120" i="1"/>
  <c r="BB120" i="1" s="1"/>
  <c r="AZ1189" i="1"/>
  <c r="BB1189" i="1" s="1"/>
  <c r="AZ702" i="1"/>
  <c r="BB702" i="1" s="1"/>
  <c r="AZ1607" i="1"/>
  <c r="BB1607" i="1" s="1"/>
  <c r="AZ232" i="1"/>
  <c r="BB232" i="1" s="1"/>
  <c r="AZ189" i="1"/>
  <c r="BB189" i="1" s="1"/>
  <c r="AZ1392" i="1"/>
  <c r="BB1392" i="1" s="1"/>
  <c r="AZ261" i="1"/>
  <c r="BB261" i="1" s="1"/>
  <c r="AZ1348" i="1"/>
  <c r="BB1348" i="1" s="1"/>
  <c r="AZ1022" i="1"/>
  <c r="BB1022" i="1" s="1"/>
  <c r="AZ380" i="1"/>
  <c r="BB380" i="1" s="1"/>
  <c r="AZ1746" i="1"/>
  <c r="BB1746" i="1" s="1"/>
  <c r="AZ645" i="1"/>
  <c r="BB645" i="1" s="1"/>
  <c r="AZ1870" i="1"/>
  <c r="BB1870" i="1" s="1"/>
  <c r="AZ913" i="1"/>
  <c r="BB913" i="1" s="1"/>
  <c r="AZ805" i="1"/>
  <c r="BB805" i="1" s="1"/>
  <c r="AZ851" i="1"/>
  <c r="BB851" i="1" s="1"/>
  <c r="AZ334" i="1"/>
  <c r="BB334" i="1" s="1"/>
  <c r="AZ1312" i="1"/>
  <c r="BB1312" i="1" s="1"/>
  <c r="AZ204" i="1"/>
  <c r="BB204" i="1" s="1"/>
  <c r="AZ1400" i="1"/>
  <c r="BB1400" i="1" s="1"/>
  <c r="AZ182" i="1"/>
  <c r="BB182" i="1" s="1"/>
  <c r="AZ421" i="1"/>
  <c r="BB421" i="1" s="1"/>
  <c r="AZ984" i="1"/>
  <c r="BB984" i="1" s="1"/>
  <c r="AZ764" i="1"/>
  <c r="BB764" i="1" s="1"/>
  <c r="AZ1834" i="1"/>
  <c r="BB1834" i="1" s="1"/>
  <c r="AZ122" i="1"/>
  <c r="BB122" i="1" s="1"/>
  <c r="AZ1371" i="1"/>
  <c r="BB1371" i="1" s="1"/>
  <c r="AZ745" i="1"/>
  <c r="BB745" i="1" s="1"/>
  <c r="AZ1172" i="1"/>
  <c r="BB1172" i="1" s="1"/>
  <c r="AZ1645" i="1"/>
  <c r="BB1645" i="1" s="1"/>
  <c r="AZ226" i="1"/>
  <c r="BB226" i="1" s="1"/>
  <c r="AZ513" i="1"/>
  <c r="BB513" i="1" s="1"/>
  <c r="AZ401" i="1"/>
  <c r="BB401" i="1" s="1"/>
  <c r="AZ23" i="1"/>
  <c r="BB23" i="1" s="1"/>
  <c r="AZ950" i="1"/>
  <c r="BB950" i="1" s="1"/>
  <c r="AZ202" i="1"/>
  <c r="BB202" i="1" s="1"/>
  <c r="AZ853" i="1"/>
  <c r="BB853" i="1" s="1"/>
  <c r="AZ569" i="1"/>
  <c r="BB569" i="1" s="1"/>
  <c r="AZ1858" i="1"/>
  <c r="BB1858" i="1" s="1"/>
  <c r="AZ915" i="1"/>
  <c r="BB915" i="1" s="1"/>
  <c r="AZ302" i="1"/>
  <c r="BB302" i="1" s="1"/>
  <c r="AZ1617" i="1"/>
  <c r="BB1617" i="1" s="1"/>
  <c r="AZ1491" i="1"/>
  <c r="BB1491" i="1" s="1"/>
  <c r="AZ1559" i="1"/>
  <c r="BB1559" i="1" s="1"/>
  <c r="AZ1494" i="1"/>
  <c r="BB1494" i="1" s="1"/>
  <c r="AZ883" i="1"/>
  <c r="BB883" i="1" s="1"/>
  <c r="AZ1352" i="1"/>
  <c r="BB1352" i="1" s="1"/>
  <c r="AZ1567" i="1"/>
  <c r="BB1567" i="1" s="1"/>
  <c r="AZ587" i="1"/>
  <c r="BB587" i="1" s="1"/>
  <c r="AZ1682" i="1"/>
  <c r="BB1682" i="1" s="1"/>
  <c r="AZ778" i="1"/>
  <c r="BB778" i="1" s="1"/>
  <c r="AZ653" i="1"/>
  <c r="BB653" i="1" s="1"/>
  <c r="AZ1151" i="1"/>
  <c r="BB1151" i="1" s="1"/>
  <c r="AZ807" i="1"/>
  <c r="BB807" i="1" s="1"/>
  <c r="AZ116" i="1"/>
  <c r="BB116" i="1" s="1"/>
  <c r="AZ1581" i="1"/>
  <c r="BB1581" i="1" s="1"/>
  <c r="AZ1693" i="1"/>
  <c r="BB1693" i="1" s="1"/>
  <c r="AZ336" i="1"/>
  <c r="BB336" i="1" s="1"/>
  <c r="AZ904" i="1"/>
  <c r="BB904" i="1" s="1"/>
  <c r="AZ1586" i="1"/>
  <c r="BB1586" i="1" s="1"/>
  <c r="AZ923" i="1"/>
  <c r="BB923" i="1" s="1"/>
  <c r="AZ509" i="1"/>
  <c r="BB509" i="1" s="1"/>
  <c r="AZ614" i="1"/>
  <c r="BB614" i="1" s="1"/>
  <c r="AZ1893" i="1"/>
  <c r="BB1893" i="1" s="1"/>
  <c r="AZ1339" i="1"/>
  <c r="BB1339" i="1" s="1"/>
  <c r="AZ164" i="1"/>
  <c r="BB164" i="1" s="1"/>
  <c r="AZ945" i="1"/>
  <c r="BB945" i="1" s="1"/>
  <c r="AZ532" i="1"/>
  <c r="BB532" i="1" s="1"/>
  <c r="AZ804" i="1"/>
  <c r="BB804" i="1" s="1"/>
  <c r="AZ1624" i="1"/>
  <c r="BB1624" i="1" s="1"/>
  <c r="AZ1220" i="1"/>
  <c r="BB1220" i="1" s="1"/>
  <c r="AZ1384" i="1"/>
  <c r="BB1384" i="1" s="1"/>
  <c r="AZ1096" i="1"/>
  <c r="BB1096" i="1" s="1"/>
  <c r="AZ1119" i="1"/>
  <c r="BB1119" i="1" s="1"/>
  <c r="AZ610" i="1"/>
  <c r="BB610" i="1" s="1"/>
  <c r="AZ898" i="1"/>
  <c r="BB898" i="1" s="1"/>
  <c r="AZ1316" i="1"/>
  <c r="BB1316" i="1" s="1"/>
  <c r="AZ958" i="1"/>
  <c r="BB958" i="1" s="1"/>
  <c r="AZ1091" i="1"/>
  <c r="BB1091" i="1" s="1"/>
  <c r="AZ481" i="1"/>
  <c r="BB481" i="1" s="1"/>
  <c r="AZ758" i="1"/>
  <c r="BB758" i="1" s="1"/>
  <c r="AZ1158" i="1"/>
  <c r="BB1158" i="1" s="1"/>
  <c r="AZ1483" i="1"/>
  <c r="BB1483" i="1" s="1"/>
  <c r="AZ1940" i="1"/>
  <c r="BB1940" i="1" s="1"/>
  <c r="AZ654" i="1"/>
  <c r="BB654" i="1" s="1"/>
  <c r="AZ1723" i="1"/>
  <c r="BB1723" i="1" s="1"/>
  <c r="AZ960" i="1"/>
  <c r="BB960" i="1" s="1"/>
  <c r="AZ1739" i="1"/>
  <c r="BB1739" i="1" s="1"/>
  <c r="AZ1275" i="1"/>
  <c r="BB1275" i="1" s="1"/>
  <c r="AZ224" i="1"/>
  <c r="BB224" i="1" s="1"/>
  <c r="AZ1512" i="1"/>
  <c r="BB1512" i="1" s="1"/>
  <c r="AZ1505" i="1"/>
  <c r="BB1505" i="1" s="1"/>
  <c r="AZ1721" i="1"/>
  <c r="BB1721" i="1" s="1"/>
  <c r="AZ1182" i="1"/>
  <c r="BB1182" i="1" s="1"/>
  <c r="AZ1121" i="1"/>
  <c r="BB1121" i="1" s="1"/>
  <c r="AZ1678" i="1"/>
  <c r="BB1678" i="1" s="1"/>
  <c r="AZ1764" i="1"/>
  <c r="BB1764" i="1" s="1"/>
  <c r="AZ445" i="1"/>
  <c r="BB445" i="1" s="1"/>
  <c r="AZ780" i="1"/>
  <c r="BB780" i="1" s="1"/>
  <c r="AZ555" i="1"/>
  <c r="BB555" i="1" s="1"/>
  <c r="AZ1277" i="1"/>
  <c r="BB1277" i="1" s="1"/>
  <c r="AZ940" i="1"/>
  <c r="BB940" i="1" s="1"/>
  <c r="AZ1718" i="1"/>
  <c r="BB1718" i="1" s="1"/>
  <c r="AZ1577" i="1"/>
  <c r="BB1577" i="1" s="1"/>
  <c r="AZ1700" i="1"/>
  <c r="BB1700" i="1" s="1"/>
  <c r="AZ476" i="1"/>
  <c r="BB476" i="1" s="1"/>
  <c r="AZ1594" i="1"/>
  <c r="BB1594" i="1" s="1"/>
  <c r="AZ1390" i="1"/>
  <c r="BB1390" i="1" s="1"/>
  <c r="AZ1911" i="1"/>
  <c r="BB1911" i="1" s="1"/>
  <c r="AZ241" i="1"/>
  <c r="BB241" i="1" s="1"/>
  <c r="AZ1354" i="1"/>
  <c r="BB1354" i="1" s="1"/>
  <c r="AZ868" i="1"/>
  <c r="BB868" i="1" s="1"/>
  <c r="AZ957" i="1"/>
  <c r="BB957" i="1" s="1"/>
  <c r="AZ1464" i="1"/>
  <c r="BB1464" i="1" s="1"/>
  <c r="AZ1092" i="1"/>
  <c r="BB1092" i="1" s="1"/>
  <c r="AZ620" i="1"/>
  <c r="BB620" i="1" s="1"/>
  <c r="AZ187" i="1"/>
  <c r="BB187" i="1" s="1"/>
  <c r="AZ1779" i="1"/>
  <c r="BB1779" i="1" s="1"/>
  <c r="AZ1917" i="1"/>
  <c r="BB1917" i="1" s="1"/>
  <c r="AZ1478" i="1"/>
  <c r="BB1478" i="1" s="1"/>
  <c r="AZ561" i="1"/>
  <c r="BB561" i="1" s="1"/>
  <c r="AZ1227" i="1"/>
  <c r="BB1227" i="1" s="1"/>
  <c r="AZ1420" i="1"/>
  <c r="BB1420" i="1" s="1"/>
  <c r="AZ655" i="1"/>
  <c r="BB655" i="1" s="1"/>
  <c r="AZ1710" i="1"/>
  <c r="BB1710" i="1" s="1"/>
  <c r="AZ680" i="1"/>
  <c r="BB680" i="1" s="1"/>
  <c r="AZ1863" i="1"/>
  <c r="BB1863" i="1" s="1"/>
  <c r="AZ1454" i="1"/>
  <c r="BB1454" i="1" s="1"/>
  <c r="AZ159" i="1"/>
  <c r="BB159" i="1" s="1"/>
  <c r="AZ699" i="1"/>
  <c r="BB699" i="1" s="1"/>
  <c r="AZ1169" i="1"/>
  <c r="BB1169" i="1" s="1"/>
  <c r="AZ1003" i="1"/>
  <c r="BB1003" i="1" s="1"/>
  <c r="AZ1265" i="1"/>
  <c r="BB1265" i="1" s="1"/>
  <c r="AZ1261" i="1"/>
  <c r="BB1261" i="1" s="1"/>
  <c r="AZ1405" i="1"/>
  <c r="BB1405" i="1" s="1"/>
  <c r="AZ592" i="1"/>
  <c r="BB592" i="1" s="1"/>
  <c r="AZ327" i="1"/>
  <c r="BB327" i="1" s="1"/>
  <c r="AZ360" i="1"/>
  <c r="BB360" i="1" s="1"/>
  <c r="AZ769" i="1"/>
  <c r="BB769" i="1" s="1"/>
  <c r="AZ1694" i="1"/>
  <c r="BB1694" i="1" s="1"/>
  <c r="AZ1498" i="1"/>
  <c r="BB1498" i="1" s="1"/>
  <c r="AZ1037" i="1"/>
  <c r="BB1037" i="1" s="1"/>
  <c r="AZ1649" i="1"/>
  <c r="BB1649" i="1" s="1"/>
  <c r="AZ475" i="1"/>
  <c r="BB475" i="1" s="1"/>
  <c r="AZ368" i="1"/>
  <c r="BB368" i="1" s="1"/>
  <c r="AZ770" i="1"/>
  <c r="BB770" i="1" s="1"/>
  <c r="AZ1561" i="1"/>
  <c r="BB1561" i="1" s="1"/>
  <c r="AZ693" i="1"/>
  <c r="BB693" i="1" s="1"/>
  <c r="AZ786" i="1"/>
  <c r="BB786" i="1" s="1"/>
  <c r="AZ638" i="1"/>
  <c r="BB638" i="1" s="1"/>
  <c r="AZ1655" i="1"/>
  <c r="BB1655" i="1" s="1"/>
  <c r="AZ274" i="1"/>
  <c r="BB274" i="1" s="1"/>
  <c r="AZ1005" i="1"/>
  <c r="BB1005" i="1" s="1"/>
  <c r="AZ1699" i="1"/>
  <c r="BB1699" i="1" s="1"/>
  <c r="AZ1922" i="1"/>
  <c r="BB1922" i="1" s="1"/>
  <c r="AZ1070" i="1"/>
  <c r="BB1070" i="1" s="1"/>
  <c r="AZ341" i="1"/>
  <c r="BB341" i="1" s="1"/>
  <c r="AZ1017" i="1"/>
  <c r="BB1017" i="1" s="1"/>
  <c r="AZ428" i="1"/>
  <c r="BB428" i="1" s="1"/>
  <c r="AZ647" i="1"/>
  <c r="BB647" i="1" s="1"/>
  <c r="AZ1705" i="1"/>
  <c r="BB1705" i="1" s="1"/>
  <c r="AZ165" i="1"/>
  <c r="BB165" i="1" s="1"/>
  <c r="AZ102" i="1"/>
  <c r="BB102" i="1" s="1"/>
  <c r="AZ557" i="1"/>
  <c r="BB557" i="1" s="1"/>
  <c r="AZ1380" i="1"/>
  <c r="BB1380" i="1" s="1"/>
  <c r="AZ397" i="1"/>
  <c r="BB397" i="1" s="1"/>
  <c r="AZ1677" i="1"/>
  <c r="BB1677" i="1" s="1"/>
  <c r="AZ790" i="1"/>
  <c r="BB790" i="1" s="1"/>
  <c r="AZ1750" i="1"/>
  <c r="BB1750" i="1" s="1"/>
  <c r="AZ95" i="1"/>
  <c r="BB95" i="1" s="1"/>
  <c r="AZ529" i="1"/>
  <c r="BB529" i="1" s="1"/>
  <c r="AZ2012" i="1"/>
  <c r="BB2012" i="1" s="1"/>
  <c r="AZ773" i="1"/>
  <c r="BB773" i="1" s="1"/>
  <c r="AZ1146" i="1"/>
  <c r="BB1146" i="1" s="1"/>
  <c r="AZ1021" i="1"/>
  <c r="BB1021" i="1" s="1"/>
  <c r="AZ971" i="1"/>
  <c r="BB971" i="1" s="1"/>
  <c r="AZ892" i="1"/>
  <c r="BB892" i="1" s="1"/>
  <c r="AZ477" i="1"/>
  <c r="BB477" i="1" s="1"/>
  <c r="AZ1646" i="1"/>
  <c r="BB1646" i="1" s="1"/>
  <c r="AZ2019" i="1"/>
  <c r="BB2019" i="1" s="1"/>
  <c r="AZ730" i="1"/>
  <c r="BB730" i="1" s="1"/>
  <c r="AZ1239" i="1"/>
  <c r="BB1239" i="1" s="1"/>
  <c r="AZ358" i="1"/>
  <c r="BB358" i="1" s="1"/>
  <c r="AZ1170" i="1"/>
  <c r="BB1170" i="1" s="1"/>
  <c r="AZ1259" i="1"/>
  <c r="BB1259" i="1" s="1"/>
  <c r="AZ709" i="1"/>
  <c r="BB709" i="1" s="1"/>
  <c r="AZ60" i="1"/>
  <c r="BB60" i="1" s="1"/>
  <c r="AZ1224" i="1"/>
  <c r="BB1224" i="1" s="1"/>
  <c r="AZ1134" i="1"/>
  <c r="BB1134" i="1" s="1"/>
  <c r="AZ1880" i="1"/>
  <c r="BB1880" i="1" s="1"/>
  <c r="AZ1342" i="1"/>
  <c r="BB1342" i="1" s="1"/>
  <c r="AZ1689" i="1"/>
  <c r="BB1689" i="1" s="1"/>
  <c r="AZ992" i="1"/>
  <c r="BB992" i="1" s="1"/>
  <c r="AZ1303" i="1"/>
  <c r="BB1303" i="1" s="1"/>
  <c r="AZ18" i="1"/>
  <c r="BB18" i="1" s="1"/>
  <c r="AZ234" i="1"/>
  <c r="BB234" i="1" s="1"/>
  <c r="AZ212" i="1"/>
  <c r="BB212" i="1" s="1"/>
  <c r="AZ1369" i="1"/>
  <c r="BB1369" i="1" s="1"/>
  <c r="AZ1707" i="1"/>
  <c r="BB1707" i="1" s="1"/>
  <c r="AZ1126" i="1"/>
  <c r="BB1126" i="1" s="1"/>
  <c r="AZ72" i="1"/>
  <c r="BB72" i="1" s="1"/>
  <c r="AZ331" i="1"/>
  <c r="BB331" i="1" s="1"/>
  <c r="AZ1462" i="1"/>
  <c r="BB1462" i="1" s="1"/>
  <c r="AZ1116" i="1"/>
  <c r="BB1116" i="1" s="1"/>
  <c r="AZ714" i="1"/>
  <c r="BB714" i="1" s="1"/>
  <c r="AZ1769" i="1"/>
  <c r="BB1769" i="1" s="1"/>
  <c r="AZ1937" i="1"/>
  <c r="BB1937" i="1" s="1"/>
  <c r="AZ1763" i="1"/>
  <c r="BB1763" i="1" s="1"/>
  <c r="AZ1429" i="1"/>
  <c r="BB1429" i="1" s="1"/>
  <c r="AZ470" i="1"/>
  <c r="BB470" i="1" s="1"/>
  <c r="AZ925" i="1"/>
  <c r="BB925" i="1" s="1"/>
  <c r="AZ1433" i="1"/>
  <c r="BB1433" i="1" s="1"/>
  <c r="AZ1542" i="1"/>
  <c r="BB1542" i="1" s="1"/>
  <c r="AZ311" i="1"/>
  <c r="BB311" i="1" s="1"/>
  <c r="AZ626" i="1"/>
  <c r="BB626" i="1" s="1"/>
  <c r="AZ505" i="1"/>
  <c r="BB505" i="1" s="1"/>
  <c r="AZ1269" i="1"/>
  <c r="BB1269" i="1" s="1"/>
  <c r="AZ1908" i="1"/>
  <c r="BB1908" i="1" s="1"/>
  <c r="AZ1950" i="1"/>
  <c r="BB1950" i="1" s="1"/>
  <c r="AZ1055" i="1"/>
  <c r="BB1055" i="1" s="1"/>
  <c r="AZ1894" i="1"/>
  <c r="BB1894" i="1" s="1"/>
  <c r="AZ217" i="1"/>
  <c r="BB217" i="1" s="1"/>
  <c r="AZ1346" i="1"/>
  <c r="BB1346" i="1" s="1"/>
  <c r="AZ1308" i="1"/>
  <c r="BB1308" i="1" s="1"/>
  <c r="AZ1492" i="1"/>
  <c r="BB1492" i="1" s="1"/>
  <c r="AZ965" i="1"/>
  <c r="BB965" i="1" s="1"/>
  <c r="AZ568" i="1"/>
  <c r="BB568" i="1" s="1"/>
  <c r="AZ273" i="1"/>
  <c r="BB273" i="1" s="1"/>
  <c r="AZ759" i="1"/>
  <c r="BB759" i="1" s="1"/>
  <c r="AZ738" i="1"/>
  <c r="BB738" i="1" s="1"/>
  <c r="AZ1222" i="1"/>
  <c r="BB1222" i="1" s="1"/>
  <c r="AZ1344" i="1"/>
  <c r="BB1344" i="1" s="1"/>
  <c r="AZ1135" i="1"/>
  <c r="BB1135" i="1" s="1"/>
  <c r="AZ1287" i="1"/>
  <c r="BB1287" i="1" s="1"/>
  <c r="AZ733" i="1"/>
  <c r="BB733" i="1" s="1"/>
  <c r="AZ544" i="1"/>
  <c r="BB544" i="1" s="1"/>
  <c r="AZ2017" i="1"/>
  <c r="BB2017" i="1" s="1"/>
  <c r="AZ305" i="1"/>
  <c r="BB305" i="1" s="1"/>
  <c r="AZ835" i="1"/>
  <c r="BB835" i="1" s="1"/>
  <c r="AZ943" i="1"/>
  <c r="BB943" i="1" s="1"/>
  <c r="AZ1811" i="1"/>
  <c r="BB1811" i="1" s="1"/>
  <c r="AZ287" i="1"/>
  <c r="BB287" i="1" s="1"/>
  <c r="AZ1747" i="1"/>
  <c r="BB1747" i="1" s="1"/>
  <c r="AZ783" i="1"/>
  <c r="BB783" i="1" s="1"/>
  <c r="AZ132" i="1"/>
  <c r="BB132" i="1" s="1"/>
  <c r="AZ737" i="1"/>
  <c r="BB737" i="1" s="1"/>
  <c r="AZ1064" i="1"/>
  <c r="BB1064" i="1" s="1"/>
  <c r="AZ205" i="1"/>
  <c r="BB205" i="1" s="1"/>
  <c r="AZ3" i="1"/>
  <c r="BB3" i="1" s="1"/>
  <c r="AZ1493" i="1"/>
  <c r="BB1493" i="1" s="1"/>
  <c r="AZ722" i="1"/>
  <c r="BB722" i="1" s="1"/>
  <c r="AZ921" i="1"/>
  <c r="BB921" i="1" s="1"/>
  <c r="AZ1168" i="1"/>
  <c r="BB1168" i="1" s="1"/>
  <c r="AZ267" i="1"/>
  <c r="BB267" i="1" s="1"/>
  <c r="AZ195" i="1"/>
  <c r="BB195" i="1" s="1"/>
  <c r="AZ73" i="1"/>
  <c r="BB73" i="1" s="1"/>
  <c r="AZ394" i="1"/>
  <c r="BB394" i="1" s="1"/>
  <c r="AZ1080" i="1"/>
  <c r="BB1080" i="1" s="1"/>
  <c r="AZ899" i="1"/>
  <c r="BB899" i="1" s="1"/>
  <c r="AZ386" i="1"/>
  <c r="BB386" i="1" s="1"/>
  <c r="AZ330" i="1"/>
  <c r="BB330" i="1" s="1"/>
  <c r="AZ1621" i="1"/>
  <c r="BB1621" i="1" s="1"/>
  <c r="AZ1794" i="1"/>
  <c r="BB1794" i="1" s="1"/>
  <c r="AZ1271" i="1"/>
  <c r="BB1271" i="1" s="1"/>
  <c r="AZ827" i="1"/>
  <c r="BB827" i="1" s="1"/>
  <c r="AZ211" i="1"/>
  <c r="BB211" i="1" s="1"/>
  <c r="AZ1448" i="1"/>
  <c r="BB1448" i="1" s="1"/>
  <c r="AZ751" i="1"/>
  <c r="BB751" i="1" s="1"/>
  <c r="AZ723" i="1"/>
  <c r="BB723" i="1" s="1"/>
  <c r="AZ28" i="1"/>
  <c r="BB28" i="1" s="1"/>
  <c r="AZ8" i="1"/>
  <c r="BB8" i="1" s="1"/>
  <c r="AZ1337" i="1"/>
  <c r="BB1337" i="1" s="1"/>
  <c r="AZ1465" i="1"/>
  <c r="BB1465" i="1" s="1"/>
  <c r="AZ75" i="1"/>
  <c r="BB75" i="1" s="1"/>
  <c r="AZ442" i="1"/>
  <c r="BB442" i="1" s="1"/>
  <c r="AZ1508" i="1"/>
  <c r="BB1508" i="1" s="1"/>
  <c r="AZ905" i="1"/>
  <c r="BB905" i="1" s="1"/>
  <c r="AZ1934" i="1"/>
  <c r="BB1934" i="1" s="1"/>
  <c r="AZ1304" i="1"/>
  <c r="BB1304" i="1" s="1"/>
  <c r="AZ593" i="1"/>
  <c r="BB593" i="1" s="1"/>
  <c r="AZ329" i="1"/>
  <c r="BB329" i="1" s="1"/>
  <c r="AZ715" i="1"/>
  <c r="BB715" i="1" s="1"/>
  <c r="AZ1444" i="1"/>
  <c r="BB1444" i="1" s="1"/>
  <c r="AZ634" i="1"/>
  <c r="BB634" i="1" s="1"/>
  <c r="AZ1007" i="1"/>
  <c r="BB1007" i="1" s="1"/>
  <c r="AZ1897" i="1"/>
  <c r="BB1897" i="1" s="1"/>
  <c r="AZ798" i="1"/>
  <c r="BB798" i="1" s="1"/>
  <c r="AZ1524" i="1"/>
  <c r="BB1524" i="1" s="1"/>
  <c r="AZ672" i="1"/>
  <c r="BB672" i="1" s="1"/>
  <c r="AZ1137" i="1"/>
  <c r="BB1137" i="1" s="1"/>
  <c r="AZ736" i="1"/>
  <c r="BB736" i="1" s="1"/>
  <c r="AZ989" i="1"/>
  <c r="BB989" i="1" s="1"/>
  <c r="AZ168" i="1"/>
  <c r="BB168" i="1" s="1"/>
  <c r="AZ1054" i="1"/>
  <c r="BB1054" i="1" s="1"/>
  <c r="AZ1663" i="1"/>
  <c r="BB1663" i="1" s="1"/>
  <c r="AZ1357" i="1"/>
  <c r="BB1357" i="1" s="1"/>
  <c r="AZ1087" i="1"/>
  <c r="BB1087" i="1" s="1"/>
  <c r="AZ1981" i="1"/>
  <c r="BB1981" i="1" s="1"/>
  <c r="AZ570" i="1"/>
  <c r="BB570" i="1" s="1"/>
  <c r="AZ398" i="1"/>
  <c r="BB398" i="1" s="1"/>
  <c r="AZ566" i="1"/>
  <c r="BB566" i="1" s="1"/>
  <c r="AZ1385" i="1"/>
  <c r="BB1385" i="1" s="1"/>
  <c r="AZ1753" i="1"/>
  <c r="BB1753" i="1" s="1"/>
  <c r="AZ1129" i="1"/>
  <c r="BB1129" i="1" s="1"/>
  <c r="AZ1073" i="1"/>
  <c r="BB1073" i="1" s="1"/>
  <c r="AZ270" i="1"/>
  <c r="BB270" i="1" s="1"/>
  <c r="AZ271" i="1"/>
  <c r="BB271" i="1" s="1"/>
  <c r="AZ530" i="1"/>
  <c r="BB530" i="1" s="1"/>
  <c r="AZ922" i="1"/>
  <c r="BB922" i="1" s="1"/>
  <c r="AZ1890" i="1"/>
  <c r="BB1890" i="1" s="1"/>
  <c r="AZ1013" i="1"/>
  <c r="BB1013" i="1" s="1"/>
  <c r="AZ523" i="1"/>
  <c r="BB523" i="1" s="1"/>
  <c r="AZ1568" i="1"/>
  <c r="BB1568" i="1" s="1"/>
  <c r="AZ426" i="1"/>
  <c r="BB426" i="1" s="1"/>
  <c r="AZ385" i="1"/>
  <c r="BB385" i="1" s="1"/>
  <c r="AZ919" i="1"/>
  <c r="BB919" i="1" s="1"/>
  <c r="AZ1543" i="1"/>
  <c r="BB1543" i="1" s="1"/>
  <c r="AZ362" i="1"/>
  <c r="BB362" i="1" s="1"/>
  <c r="AZ1302" i="1"/>
  <c r="BB1302" i="1" s="1"/>
  <c r="AZ1458" i="1"/>
  <c r="BB1458" i="1" s="1"/>
  <c r="AZ1278" i="1"/>
  <c r="BB1278" i="1" s="1"/>
  <c r="AZ1075" i="1"/>
  <c r="BB1075" i="1" s="1"/>
  <c r="AZ949" i="1"/>
  <c r="BB949" i="1" s="1"/>
  <c r="AZ1855" i="1"/>
  <c r="BB1855" i="1" s="1"/>
  <c r="AZ1268" i="1"/>
  <c r="BB1268" i="1" s="1"/>
  <c r="AZ735" i="1"/>
  <c r="BB735" i="1" s="1"/>
  <c r="AZ280" i="1"/>
  <c r="BB280" i="1" s="1"/>
  <c r="AZ1162" i="1"/>
  <c r="BB1162" i="1" s="1"/>
  <c r="AZ238" i="1"/>
  <c r="BB238" i="1" s="1"/>
  <c r="AZ1511" i="1"/>
  <c r="BB1511" i="1" s="1"/>
  <c r="AZ1279" i="1"/>
  <c r="BB1279" i="1" s="1"/>
  <c r="AZ606" i="1"/>
  <c r="BB606" i="1" s="1"/>
  <c r="AZ603" i="1"/>
  <c r="BB603" i="1" s="1"/>
  <c r="AZ1830" i="1"/>
  <c r="BB1830" i="1" s="1"/>
  <c r="AZ527" i="1"/>
  <c r="BB527" i="1" s="1"/>
  <c r="AZ673" i="1"/>
  <c r="BB673" i="1" s="1"/>
  <c r="AZ223" i="1"/>
  <c r="BB223" i="1" s="1"/>
  <c r="AZ1123" i="1"/>
  <c r="BB1123" i="1" s="1"/>
  <c r="AZ259" i="1"/>
  <c r="BB259" i="1" s="1"/>
  <c r="AZ1447" i="1"/>
  <c r="BB1447" i="1" s="1"/>
  <c r="AZ295" i="1"/>
  <c r="BB295" i="1" s="1"/>
  <c r="AZ1074" i="1"/>
  <c r="BB1074" i="1" s="1"/>
  <c r="AZ1963" i="1"/>
  <c r="BB1963" i="1" s="1"/>
  <c r="AZ152" i="1"/>
  <c r="BB152" i="1" s="1"/>
  <c r="AZ1423" i="1"/>
  <c r="BB1423" i="1" s="1"/>
  <c r="AZ1977" i="1"/>
  <c r="BB1977" i="1" s="1"/>
  <c r="AZ1778" i="1"/>
  <c r="BB1778" i="1" s="1"/>
  <c r="AZ206" i="1"/>
  <c r="BB206" i="1" s="1"/>
  <c r="AZ542" i="1"/>
  <c r="BB542" i="1" s="1"/>
  <c r="AZ441" i="1"/>
  <c r="BB441" i="1" s="1"/>
  <c r="AZ793" i="1"/>
  <c r="BB793" i="1" s="1"/>
  <c r="AZ754" i="1"/>
  <c r="BB754" i="1" s="1"/>
  <c r="AZ594" i="1"/>
  <c r="BB594" i="1" s="1"/>
  <c r="AZ356" i="1"/>
  <c r="BB356" i="1" s="1"/>
  <c r="AZ1829" i="1"/>
  <c r="BB1829" i="1" s="1"/>
  <c r="AZ697" i="1"/>
  <c r="BB697" i="1" s="1"/>
  <c r="AZ246" i="1"/>
  <c r="BB246" i="1" s="1"/>
  <c r="AZ1084" i="1"/>
  <c r="BB1084" i="1" s="1"/>
  <c r="AZ844" i="1"/>
  <c r="BB844" i="1" s="1"/>
  <c r="AZ1758" i="1"/>
  <c r="BB1758" i="1" s="1"/>
  <c r="AZ1798" i="1"/>
  <c r="BB1798" i="1" s="1"/>
  <c r="AZ1679" i="1"/>
  <c r="BB1679" i="1" s="1"/>
  <c r="AZ1196" i="1"/>
  <c r="BB1196" i="1" s="1"/>
  <c r="AZ1419" i="1"/>
  <c r="BB1419" i="1" s="1"/>
  <c r="AZ1147" i="1"/>
  <c r="BB1147" i="1" s="1"/>
  <c r="AZ1051" i="1"/>
  <c r="BB1051" i="1" s="1"/>
  <c r="AZ671" i="1"/>
  <c r="BB671" i="1" s="1"/>
  <c r="AZ967" i="1"/>
  <c r="BB967" i="1" s="1"/>
  <c r="AZ482" i="1"/>
  <c r="BB482" i="1" s="1"/>
  <c r="AZ1057" i="1"/>
  <c r="BB1057" i="1" s="1"/>
  <c r="AZ1978" i="1"/>
  <c r="BB1978" i="1" s="1"/>
  <c r="AZ1238" i="1"/>
  <c r="BB1238" i="1" s="1"/>
  <c r="AZ705" i="1"/>
  <c r="BB705" i="1" s="1"/>
  <c r="AZ1469" i="1"/>
  <c r="BB1469" i="1" s="1"/>
  <c r="AZ1232" i="1"/>
  <c r="BB1232" i="1" s="1"/>
  <c r="AZ1690" i="1"/>
  <c r="BB1690" i="1" s="1"/>
  <c r="AZ663" i="1"/>
  <c r="BB663" i="1" s="1"/>
  <c r="AZ1015" i="1"/>
  <c r="BB1015" i="1" s="1"/>
  <c r="AZ178" i="1"/>
  <c r="BB178" i="1" s="1"/>
  <c r="AZ975" i="1"/>
  <c r="BB975" i="1" s="1"/>
  <c r="AZ1664" i="1"/>
  <c r="BB1664" i="1" s="1"/>
  <c r="AZ1578" i="1"/>
  <c r="BB1578" i="1" s="1"/>
  <c r="AZ546" i="1"/>
  <c r="BB546" i="1" s="1"/>
  <c r="AZ230" i="1"/>
  <c r="BB230" i="1" s="1"/>
  <c r="AZ987" i="1"/>
  <c r="BB987" i="1" s="1"/>
  <c r="AZ895" i="1"/>
  <c r="BB895" i="1" s="1"/>
  <c r="AZ1320" i="1"/>
  <c r="BB1320" i="1" s="1"/>
  <c r="AZ1035" i="1"/>
  <c r="BB1035" i="1" s="1"/>
  <c r="AZ1463" i="1"/>
  <c r="BB1463" i="1" s="1"/>
  <c r="AZ658" i="1"/>
  <c r="BB658" i="1" s="1"/>
  <c r="AZ1597" i="1"/>
  <c r="BB1597" i="1" s="1"/>
  <c r="AZ1584" i="1"/>
  <c r="BB1584" i="1" s="1"/>
  <c r="AZ439" i="1"/>
  <c r="BB439" i="1" s="1"/>
  <c r="AZ1176" i="1"/>
  <c r="BB1176" i="1" s="1"/>
  <c r="AZ1783" i="1"/>
  <c r="BB1783" i="1" s="1"/>
  <c r="AZ293" i="1"/>
  <c r="BB293" i="1" s="1"/>
  <c r="AZ192" i="1"/>
  <c r="BB192" i="1" s="1"/>
  <c r="AZ1060" i="1"/>
  <c r="BB1060" i="1" s="1"/>
  <c r="AZ1938" i="1"/>
  <c r="BB1938" i="1" s="1"/>
  <c r="AZ952" i="1"/>
  <c r="BB952" i="1" s="1"/>
  <c r="AZ1864" i="1"/>
  <c r="BB1864" i="1" s="1"/>
  <c r="AZ1026" i="1"/>
  <c r="BB1026" i="1" s="1"/>
  <c r="AZ420" i="1"/>
  <c r="BB420" i="1" s="1"/>
  <c r="AZ766" i="1"/>
  <c r="BB766" i="1" s="1"/>
  <c r="AZ105" i="1"/>
  <c r="BB105" i="1" s="1"/>
  <c r="AZ108" i="1"/>
  <c r="BB108" i="1" s="1"/>
  <c r="AZ879" i="1"/>
  <c r="BB879" i="1" s="1"/>
  <c r="AZ160" i="1"/>
  <c r="BB160" i="1" s="1"/>
  <c r="AZ1180" i="1"/>
  <c r="BB1180" i="1" s="1"/>
  <c r="AZ969" i="1"/>
  <c r="BB969" i="1" s="1"/>
  <c r="AZ1219" i="1"/>
  <c r="BB1219" i="1" s="1"/>
  <c r="AZ1712" i="1"/>
  <c r="BB1712" i="1" s="1"/>
  <c r="AZ1314" i="1"/>
  <c r="BB1314" i="1" s="1"/>
  <c r="AZ1601" i="1"/>
  <c r="BB1601" i="1" s="1"/>
  <c r="AZ1313" i="1"/>
  <c r="BB1313" i="1" s="1"/>
  <c r="AZ1104" i="1"/>
  <c r="BB1104" i="1" s="1"/>
  <c r="AZ191" i="1"/>
  <c r="BB191" i="1" s="1"/>
  <c r="AZ554" i="1"/>
  <c r="BB554" i="1" s="1"/>
  <c r="AZ1434" i="1"/>
  <c r="BB1434" i="1" s="1"/>
  <c r="AZ611" i="1"/>
  <c r="BB611" i="1" s="1"/>
  <c r="AZ1861" i="1"/>
  <c r="BB1861" i="1" s="1"/>
  <c r="AZ316" i="1"/>
  <c r="BB316" i="1" s="1"/>
  <c r="AZ1088" i="1"/>
  <c r="BB1088" i="1" s="1"/>
  <c r="AZ578" i="1"/>
  <c r="BB578" i="1" s="1"/>
  <c r="AZ1457" i="1"/>
  <c r="BB1457" i="1" s="1"/>
  <c r="AZ600" i="1"/>
  <c r="BB600" i="1" s="1"/>
  <c r="AZ12" i="1"/>
  <c r="BB12" i="1" s="1"/>
  <c r="AZ374" i="1"/>
  <c r="BB374" i="1" s="1"/>
  <c r="AZ1410" i="1"/>
  <c r="BB1410" i="1" s="1"/>
  <c r="AZ990" i="1"/>
  <c r="BB990" i="1" s="1"/>
  <c r="AZ1625" i="1"/>
  <c r="BB1625" i="1" s="1"/>
  <c r="AZ15" i="1"/>
  <c r="BB15" i="1" s="1"/>
  <c r="AZ956" i="1"/>
  <c r="BB956" i="1" s="1"/>
  <c r="AZ931" i="1"/>
  <c r="BB931" i="1" s="1"/>
  <c r="AZ1781" i="1"/>
  <c r="BB1781" i="1" s="1"/>
  <c r="AZ995" i="1"/>
  <c r="BB995" i="1" s="1"/>
  <c r="AZ1826" i="1"/>
  <c r="BB1826" i="1" s="1"/>
  <c r="AZ591" i="1"/>
  <c r="BB591" i="1" s="1"/>
  <c r="AZ227" i="1"/>
  <c r="BB227" i="1" s="1"/>
  <c r="AZ458" i="1"/>
  <c r="BB458" i="1" s="1"/>
  <c r="AZ1773" i="1"/>
  <c r="BB1773" i="1" s="1"/>
  <c r="AZ564" i="1"/>
  <c r="BB564" i="1" s="1"/>
  <c r="AZ1595" i="1"/>
  <c r="BB1595" i="1" s="1"/>
  <c r="AZ1009" i="1"/>
  <c r="BB1009" i="1" s="1"/>
  <c r="AZ830" i="1"/>
  <c r="BB830" i="1" s="1"/>
  <c r="AZ1460" i="1"/>
  <c r="BB1460" i="1" s="1"/>
  <c r="AZ25" i="1"/>
  <c r="BB25" i="1" s="1"/>
  <c r="AZ820" i="1"/>
  <c r="BB820" i="1" s="1"/>
  <c r="AZ1854" i="1"/>
  <c r="BB1854" i="1" s="1"/>
  <c r="AZ242" i="1"/>
  <c r="BB242" i="1" s="1"/>
  <c r="AZ890" i="1"/>
  <c r="BB890" i="1" s="1"/>
  <c r="AZ1300" i="1"/>
  <c r="BB1300" i="1" s="1"/>
  <c r="AZ886" i="1"/>
  <c r="BB886" i="1" s="1"/>
  <c r="AZ1809" i="1"/>
  <c r="BB1809" i="1" s="1"/>
  <c r="AZ245" i="1"/>
  <c r="BB245" i="1" s="1"/>
  <c r="AZ1667" i="1"/>
  <c r="BB1667" i="1" s="1"/>
  <c r="AZ2001" i="1"/>
  <c r="BB2001" i="1" s="1"/>
  <c r="AZ1573" i="1"/>
  <c r="BB1573" i="1" s="1"/>
  <c r="AZ1514" i="1"/>
  <c r="BB1514" i="1" s="1"/>
  <c r="AZ276" i="1"/>
  <c r="BB276" i="1" s="1"/>
  <c r="AZ233" i="1"/>
  <c r="BB233" i="1" s="1"/>
  <c r="AZ1203" i="1"/>
  <c r="BB1203" i="1" s="1"/>
  <c r="AZ323" i="1"/>
  <c r="BB323" i="1" s="1"/>
  <c r="AZ1918" i="1"/>
  <c r="BB1918" i="1" s="1"/>
  <c r="AZ495" i="1"/>
  <c r="BB495" i="1" s="1"/>
  <c r="AZ1004" i="1"/>
  <c r="BB1004" i="1" s="1"/>
  <c r="AZ9" i="1"/>
  <c r="BB9" i="1" s="1"/>
  <c r="AZ1591" i="1"/>
  <c r="BB1591" i="1" s="1"/>
  <c r="AZ1106" i="1"/>
  <c r="BB1106" i="1" s="1"/>
  <c r="AZ694" i="1"/>
  <c r="BB694" i="1" s="1"/>
  <c r="AZ985" i="1"/>
  <c r="BB985" i="1" s="1"/>
  <c r="AZ201" i="1"/>
  <c r="BB201" i="1" s="1"/>
  <c r="AZ1610" i="1"/>
  <c r="BB1610" i="1" s="1"/>
  <c r="AZ1298" i="1"/>
  <c r="BB1298" i="1" s="1"/>
  <c r="AZ944" i="1"/>
  <c r="BB944" i="1" s="1"/>
  <c r="AZ1522" i="1"/>
  <c r="BB1522" i="1" s="1"/>
  <c r="AZ1719" i="1"/>
  <c r="BB1719" i="1" s="1"/>
  <c r="AZ1370" i="1"/>
  <c r="BB1370" i="1" s="1"/>
  <c r="AZ262" i="1"/>
  <c r="BB262" i="1" s="1"/>
  <c r="AZ1640" i="1"/>
  <c r="BB1640" i="1" s="1"/>
  <c r="AZ67" i="1"/>
  <c r="BB67" i="1" s="1"/>
  <c r="AZ382" i="1"/>
  <c r="BB382" i="1" s="1"/>
  <c r="AZ1615" i="1"/>
  <c r="BB1615" i="1" s="1"/>
  <c r="AZ257" i="1"/>
  <c r="BB257" i="1" s="1"/>
  <c r="AZ1517" i="1"/>
  <c r="BB1517" i="1" s="1"/>
  <c r="AZ1291" i="1"/>
  <c r="BB1291" i="1" s="1"/>
  <c r="AZ1807" i="1"/>
  <c r="BB1807" i="1" s="1"/>
  <c r="AZ1171" i="1"/>
  <c r="BB1171" i="1" s="1"/>
  <c r="AZ543" i="1"/>
  <c r="BB543" i="1" s="1"/>
  <c r="AZ882" i="1"/>
  <c r="BB882" i="1" s="1"/>
  <c r="AZ1249" i="1"/>
  <c r="BB1249" i="1" s="1"/>
  <c r="AZ1290" i="1"/>
  <c r="BB1290" i="1" s="1"/>
  <c r="AZ1402" i="1"/>
  <c r="BB1402" i="1" s="1"/>
  <c r="AZ162" i="1"/>
  <c r="BB162" i="1" s="1"/>
  <c r="AZ1067" i="1"/>
  <c r="BB1067" i="1" s="1"/>
  <c r="AZ388" i="1"/>
  <c r="BB388" i="1" s="1"/>
  <c r="AZ391" i="1"/>
  <c r="BB391" i="1" s="1"/>
  <c r="AZ1598" i="1"/>
  <c r="BB1598" i="1" s="1"/>
  <c r="AZ740" i="1"/>
  <c r="BB740" i="1" s="1"/>
  <c r="AZ197" i="1"/>
  <c r="BB197" i="1" s="1"/>
  <c r="AZ290" i="1"/>
  <c r="BB290" i="1" s="1"/>
  <c r="AZ690" i="1"/>
  <c r="BB690" i="1" s="1"/>
  <c r="AZ687" i="1"/>
  <c r="BB687" i="1" s="1"/>
  <c r="AZ1614" i="1"/>
  <c r="BB1614" i="1" s="1"/>
  <c r="AZ1131" i="1"/>
  <c r="BB1131" i="1" s="1"/>
  <c r="AZ864" i="1"/>
  <c r="BB864" i="1" s="1"/>
  <c r="AZ222" i="1"/>
  <c r="BB222" i="1" s="1"/>
  <c r="AZ1305" i="1"/>
  <c r="BB1305" i="1" s="1"/>
  <c r="AZ1856" i="1"/>
  <c r="BB1856" i="1" s="1"/>
  <c r="AZ1801" i="1"/>
  <c r="BB1801" i="1" s="1"/>
  <c r="AZ1656" i="1"/>
  <c r="BB1656" i="1" s="1"/>
  <c r="AZ1274" i="1"/>
  <c r="BB1274" i="1" s="1"/>
  <c r="AZ41" i="1"/>
  <c r="BB41" i="1" s="1"/>
  <c r="AZ1130" i="1"/>
  <c r="BB1130" i="1" s="1"/>
  <c r="AZ643" i="1"/>
  <c r="BB643" i="1" s="1"/>
  <c r="AZ953" i="1"/>
  <c r="BB953" i="1" s="1"/>
  <c r="AZ550" i="1"/>
  <c r="BB550" i="1" s="1"/>
  <c r="AZ803" i="1"/>
  <c r="BB803" i="1" s="1"/>
  <c r="AZ607" i="1"/>
  <c r="BB607" i="1" s="1"/>
  <c r="AZ1541" i="1"/>
  <c r="BB1541" i="1" s="1"/>
  <c r="AZ1030" i="1"/>
  <c r="BB1030" i="1" s="1"/>
  <c r="AZ103" i="1"/>
  <c r="BB103" i="1" s="1"/>
  <c r="AZ755" i="1"/>
  <c r="BB755" i="1" s="1"/>
  <c r="AZ1618" i="1"/>
  <c r="BB1618" i="1" s="1"/>
  <c r="AZ1398" i="1"/>
  <c r="BB1398" i="1" s="1"/>
  <c r="AZ918" i="1"/>
  <c r="BB918" i="1" s="1"/>
  <c r="AZ986" i="1"/>
  <c r="BB986" i="1" s="1"/>
  <c r="AZ914" i="1"/>
  <c r="BB914" i="1" s="1"/>
  <c r="AZ1513" i="1"/>
  <c r="BB1513" i="1" s="1"/>
  <c r="AZ695" i="1"/>
  <c r="BB695" i="1" s="1"/>
  <c r="AZ1440" i="1"/>
  <c r="BB1440" i="1" s="1"/>
  <c r="AZ1389" i="1"/>
  <c r="BB1389" i="1" s="1"/>
  <c r="AZ167" i="1"/>
  <c r="BB167" i="1" s="1"/>
  <c r="AZ303" i="1"/>
  <c r="BB303" i="1" s="1"/>
  <c r="AZ448" i="1"/>
  <c r="BB448" i="1" s="1"/>
  <c r="AZ418" i="1"/>
  <c r="BB418" i="1" s="1"/>
  <c r="AZ1403" i="1"/>
  <c r="BB1403" i="1" s="1"/>
  <c r="AZ38" i="1"/>
  <c r="BB38" i="1" s="1"/>
  <c r="AZ1808" i="1"/>
  <c r="BB1808" i="1" s="1"/>
  <c r="AZ381" i="1"/>
  <c r="BB381" i="1" s="1"/>
  <c r="AZ889" i="1"/>
  <c r="BB889" i="1" s="1"/>
  <c r="AZ863" i="1"/>
  <c r="BB863" i="1" s="1"/>
  <c r="AZ1634" i="1"/>
  <c r="BB1634" i="1" s="1"/>
  <c r="AZ1206" i="1"/>
  <c r="BB1206" i="1" s="1"/>
  <c r="AZ1179" i="1"/>
  <c r="BB1179" i="1" s="1"/>
  <c r="AZ80" i="1"/>
  <c r="BB80" i="1" s="1"/>
  <c r="AZ911" i="1"/>
  <c r="BB911" i="1" s="1"/>
  <c r="AZ44" i="1"/>
  <c r="BB44" i="1" s="1"/>
  <c r="AZ1531" i="1"/>
  <c r="BB1531" i="1" s="1"/>
  <c r="AZ422" i="1"/>
  <c r="BB422" i="1" s="1"/>
  <c r="AZ128" i="1"/>
  <c r="BB128" i="1" s="1"/>
  <c r="AZ1225" i="1"/>
  <c r="BB1225" i="1" s="1"/>
  <c r="AZ615" i="1"/>
  <c r="BB615" i="1" s="1"/>
  <c r="AZ465" i="1"/>
  <c r="BB465" i="1" s="1"/>
  <c r="AZ1496" i="1"/>
  <c r="BB1496" i="1" s="1"/>
  <c r="AZ1297" i="1"/>
  <c r="BB1297" i="1" s="1"/>
  <c r="AZ842" i="1"/>
  <c r="BB842" i="1" s="1"/>
  <c r="AZ651" i="1"/>
  <c r="BB651" i="1" s="1"/>
  <c r="AZ219" i="1"/>
  <c r="BB219" i="1" s="1"/>
  <c r="AZ789" i="1"/>
  <c r="BB789" i="1" s="1"/>
  <c r="AZ461" i="1"/>
  <c r="BB461" i="1" s="1"/>
  <c r="AZ494" i="1"/>
  <c r="BB494" i="1" s="1"/>
  <c r="AZ87" i="1"/>
  <c r="BB87" i="1" s="1"/>
  <c r="AZ838" i="1"/>
  <c r="BB838" i="1" s="1"/>
  <c r="AZ891" i="1"/>
  <c r="BB891" i="1" s="1"/>
  <c r="AZ447" i="1"/>
  <c r="BB447" i="1" s="1"/>
  <c r="AZ1976" i="1"/>
  <c r="BB1976" i="1" s="1"/>
  <c r="AZ1124" i="1"/>
  <c r="BB1124" i="1" s="1"/>
  <c r="AZ939" i="1"/>
  <c r="BB939" i="1" s="1"/>
  <c r="AZ344" i="1"/>
  <c r="BB344" i="1" s="1"/>
  <c r="AZ1446" i="1"/>
  <c r="BB1446" i="1" s="1"/>
  <c r="AZ150" i="1"/>
  <c r="BB150" i="1" s="1"/>
  <c r="AZ282" i="1"/>
  <c r="BB282" i="1" s="1"/>
  <c r="AZ1335" i="1"/>
  <c r="BB1335" i="1" s="1"/>
  <c r="AZ2005" i="1"/>
  <c r="BB2005" i="1" s="1"/>
  <c r="AZ1943" i="1"/>
  <c r="BB1943" i="1" s="1"/>
  <c r="AZ597" i="1"/>
  <c r="BB597" i="1" s="1"/>
  <c r="AZ278" i="1"/>
  <c r="BB278" i="1" s="1"/>
  <c r="AZ966" i="1"/>
  <c r="BB966" i="1" s="1"/>
  <c r="AZ98" i="1"/>
  <c r="BB98" i="1" s="1"/>
  <c r="AZ1714" i="1"/>
  <c r="BB1714" i="1" s="1"/>
  <c r="AZ1502" i="1"/>
  <c r="BB1502" i="1" s="1"/>
  <c r="AZ464" i="1"/>
  <c r="BB464" i="1" s="1"/>
  <c r="AZ1836" i="1"/>
  <c r="BB1836" i="1" s="1"/>
  <c r="AZ1754" i="1"/>
  <c r="BB1754" i="1" s="1"/>
  <c r="AZ1450" i="1"/>
  <c r="BB1450" i="1" s="1"/>
  <c r="AZ998" i="1"/>
  <c r="BB998" i="1" s="1"/>
  <c r="AZ17" i="1"/>
  <c r="BB17" i="1" s="1"/>
  <c r="AZ625" i="1"/>
  <c r="BB625" i="1" s="1"/>
  <c r="AZ74" i="1"/>
  <c r="BB74" i="1" s="1"/>
  <c r="AZ1276" i="1"/>
  <c r="BB1276" i="1" s="1"/>
  <c r="AZ1001" i="1"/>
  <c r="BB1001" i="1" s="1"/>
  <c r="AZ193" i="1"/>
  <c r="BB193" i="1" s="1"/>
  <c r="AZ1749" i="1"/>
  <c r="BB1749" i="1" s="1"/>
  <c r="AZ1052" i="1"/>
  <c r="BB1052" i="1" s="1"/>
  <c r="AZ1185" i="1"/>
  <c r="BB1185" i="1" s="1"/>
  <c r="AZ125" i="1"/>
  <c r="BB125" i="1" s="1"/>
  <c r="AZ1040" i="1"/>
  <c r="BB1040" i="1" s="1"/>
  <c r="AZ540" i="1"/>
  <c r="BB540" i="1" s="1"/>
  <c r="AZ1507" i="1"/>
  <c r="BB1507" i="1" s="1"/>
  <c r="AZ49" i="1"/>
  <c r="BB49" i="1" s="1"/>
  <c r="AZ1200" i="1"/>
  <c r="BB1200" i="1" s="1"/>
  <c r="AZ1955" i="1"/>
  <c r="BB1955" i="1" s="1"/>
  <c r="AZ661" i="1"/>
  <c r="BB661" i="1" s="1"/>
  <c r="AZ1283" i="1"/>
  <c r="BB1283" i="1" s="1"/>
  <c r="AZ117" i="1"/>
  <c r="BB117" i="1" s="1"/>
  <c r="AZ916" i="1"/>
  <c r="BB916" i="1" s="1"/>
  <c r="AZ782" i="1"/>
  <c r="BB782" i="1" s="1"/>
  <c r="AZ1299" i="1"/>
  <c r="BB1299" i="1" s="1"/>
  <c r="AZ1552" i="1"/>
  <c r="BB1552" i="1" s="1"/>
  <c r="AZ349" i="1"/>
  <c r="BB349" i="1" s="1"/>
  <c r="AZ200" i="1"/>
  <c r="BB200" i="1" s="1"/>
  <c r="AZ1904" i="1"/>
  <c r="BB1904" i="1" s="1"/>
  <c r="AZ1821" i="1"/>
  <c r="BB1821" i="1" s="1"/>
  <c r="AZ514" i="1"/>
  <c r="BB514" i="1" s="1"/>
  <c r="AZ1910" i="1"/>
  <c r="BB1910" i="1" s="1"/>
  <c r="AZ1506" i="1"/>
  <c r="BB1506" i="1" s="1"/>
  <c r="AZ1886" i="1"/>
  <c r="BB1886" i="1" s="1"/>
  <c r="AZ704" i="1"/>
  <c r="BB704" i="1" s="1"/>
  <c r="AZ1853" i="1"/>
  <c r="BB1853" i="1" s="1"/>
  <c r="AZ760" i="1"/>
  <c r="BB760" i="1" s="1"/>
  <c r="AZ1221" i="1"/>
  <c r="BB1221" i="1" s="1"/>
  <c r="AZ1544" i="1"/>
  <c r="BB1544" i="1" s="1"/>
  <c r="AZ1076" i="1"/>
  <c r="BB1076" i="1" s="1"/>
  <c r="AZ934" i="1"/>
  <c r="BB934" i="1" s="1"/>
  <c r="AZ1280" i="1"/>
  <c r="BB1280" i="1" s="1"/>
  <c r="AZ430" i="1"/>
  <c r="BB430" i="1" s="1"/>
  <c r="AZ332" i="1"/>
  <c r="BB332" i="1" s="1"/>
  <c r="AZ59" i="1"/>
  <c r="BB59" i="1" s="1"/>
  <c r="AZ2" i="1"/>
  <c r="BB2" i="1" s="1"/>
  <c r="AZ813" i="1"/>
  <c r="BB813" i="1" s="1"/>
  <c r="AZ127" i="1"/>
  <c r="BB127" i="1" s="1"/>
  <c r="AZ285" i="1"/>
  <c r="BB285" i="1" s="1"/>
  <c r="AZ1816" i="1"/>
  <c r="BB1816" i="1" s="1"/>
  <c r="AZ11" i="1"/>
  <c r="BB11" i="1" s="1"/>
  <c r="AZ1635" i="1"/>
  <c r="BB1635" i="1" s="1"/>
  <c r="AZ1526" i="1"/>
  <c r="BB1526" i="1" s="1"/>
  <c r="AZ756" i="1"/>
  <c r="BB756" i="1" s="1"/>
  <c r="AZ779" i="1"/>
  <c r="BB779" i="1" s="1"/>
  <c r="AZ284" i="1"/>
  <c r="BB284" i="1" s="1"/>
  <c r="AZ850" i="1"/>
  <c r="BB850" i="1" s="1"/>
  <c r="AZ58" i="1"/>
  <c r="BB58" i="1" s="1"/>
  <c r="AZ86" i="1"/>
  <c r="BB86" i="1" s="1"/>
  <c r="AZ1874" i="1"/>
  <c r="BB1874" i="1" s="1"/>
  <c r="AZ1375" i="1"/>
  <c r="BB1375" i="1" s="1"/>
  <c r="AZ821" i="1"/>
  <c r="BB821" i="1" s="1"/>
  <c r="AZ7" i="1"/>
  <c r="BB7" i="1" s="1"/>
  <c r="AZ1415" i="1"/>
  <c r="BB1415" i="1" s="1"/>
  <c r="AZ1306" i="1"/>
  <c r="BB1306" i="1" s="1"/>
  <c r="AZ407" i="1"/>
  <c r="BB407" i="1" s="1"/>
  <c r="AZ1109" i="1"/>
  <c r="BB1109" i="1" s="1"/>
  <c r="AZ91" i="1"/>
  <c r="BB91" i="1" s="1"/>
  <c r="AZ930" i="1"/>
  <c r="BB930" i="1" s="1"/>
  <c r="AZ1623" i="1"/>
  <c r="BB1623" i="1" s="1"/>
  <c r="AZ1554" i="1"/>
  <c r="BB1554" i="1" s="1"/>
  <c r="AZ1975" i="1"/>
  <c r="BB1975" i="1" s="1"/>
  <c r="AZ859" i="1"/>
  <c r="BB859" i="1" s="1"/>
  <c r="AZ69" i="1"/>
  <c r="BB69" i="1" s="1"/>
  <c r="AZ1125" i="1"/>
  <c r="BB1125" i="1" s="1"/>
  <c r="AZ520" i="1"/>
  <c r="BB520" i="1" s="1"/>
  <c r="AZ393" i="1"/>
  <c r="BB393" i="1" s="1"/>
  <c r="AZ468" i="1"/>
  <c r="BB468" i="1" s="1"/>
  <c r="AZ1386" i="1"/>
  <c r="BB1386" i="1" s="1"/>
  <c r="AZ355" i="1"/>
  <c r="BB355" i="1" s="1"/>
  <c r="AZ1572" i="1"/>
  <c r="BB1572" i="1" s="1"/>
  <c r="AZ366" i="1"/>
  <c r="BB366" i="1" s="1"/>
  <c r="AZ106" i="1"/>
  <c r="BB106" i="1" s="1"/>
  <c r="AZ2021" i="1"/>
  <c r="BB2021" i="1" s="1"/>
  <c r="AZ484" i="1"/>
  <c r="BB484" i="1" s="1"/>
  <c r="AZ1213" i="1"/>
  <c r="BB1213" i="1" s="1"/>
  <c r="AZ434" i="1"/>
  <c r="BB434" i="1" s="1"/>
  <c r="AZ728" i="1"/>
  <c r="BB728" i="1" s="1"/>
  <c r="AZ1024" i="1"/>
  <c r="BB1024" i="1" s="1"/>
  <c r="AZ1695" i="1"/>
  <c r="BB1695" i="1" s="1"/>
  <c r="AZ563" i="1"/>
  <c r="BB563" i="1" s="1"/>
  <c r="AZ300" i="1"/>
  <c r="BB300" i="1" s="1"/>
  <c r="AZ1666" i="1"/>
  <c r="BB1666" i="1" s="1"/>
  <c r="AZ1201" i="1"/>
  <c r="BB1201" i="1" s="1"/>
  <c r="AZ1365" i="1"/>
  <c r="BB1365" i="1" s="1"/>
  <c r="AZ816" i="1"/>
  <c r="BB816" i="1" s="1"/>
  <c r="AZ909" i="1"/>
  <c r="BB909" i="1" s="1"/>
  <c r="AZ1362" i="1"/>
  <c r="BB1362" i="1" s="1"/>
  <c r="AZ1803" i="1"/>
  <c r="BB1803" i="1" s="1"/>
  <c r="AZ129" i="1"/>
  <c r="BB129" i="1" s="1"/>
  <c r="AZ1254" i="1"/>
  <c r="BB1254" i="1" s="1"/>
  <c r="AZ1197" i="1"/>
  <c r="BB1197" i="1" s="1"/>
  <c r="AZ10" i="1"/>
  <c r="BB10" i="1" s="1"/>
  <c r="AZ1742" i="1"/>
  <c r="BB1742" i="1" s="1"/>
  <c r="AZ20" i="1"/>
  <c r="BB20" i="1" s="1"/>
  <c r="AZ1549" i="1"/>
  <c r="BB1549" i="1" s="1"/>
  <c r="AZ981" i="1"/>
  <c r="BB981" i="1" s="1"/>
  <c r="AZ258" i="1"/>
  <c r="BB258" i="1" s="1"/>
  <c r="AZ933" i="1"/>
  <c r="BB933" i="1" s="1"/>
  <c r="AZ1901" i="1"/>
  <c r="BB1901" i="1" s="1"/>
  <c r="AZ1935" i="1"/>
  <c r="BB1935" i="1" s="1"/>
  <c r="AZ396" i="1"/>
  <c r="BB396" i="1" s="1"/>
  <c r="AZ1118" i="1"/>
  <c r="BB1118" i="1" s="1"/>
  <c r="AZ1471" i="1"/>
  <c r="BB1471" i="1" s="1"/>
  <c r="AZ586" i="1"/>
  <c r="BB586" i="1" s="1"/>
  <c r="AZ1647" i="1"/>
  <c r="BB1647" i="1" s="1"/>
  <c r="AZ1565" i="1"/>
  <c r="BB1565" i="1" s="1"/>
  <c r="AZ1831" i="1"/>
  <c r="BB1831" i="1" s="1"/>
  <c r="AZ1744" i="1"/>
  <c r="BB1744" i="1" s="1"/>
  <c r="AZ977" i="1"/>
  <c r="BB977" i="1" s="1"/>
  <c r="AZ665" i="1"/>
  <c r="BB665" i="1" s="1"/>
  <c r="AZ848" i="1"/>
  <c r="BB848" i="1" s="1"/>
  <c r="AZ1669" i="1"/>
  <c r="BB1669" i="1" s="1"/>
  <c r="AZ1090" i="1"/>
  <c r="BB1090" i="1" s="1"/>
  <c r="AZ857" i="1"/>
  <c r="BB857" i="1" s="1"/>
  <c r="AZ580" i="1"/>
  <c r="BB580" i="1" s="1"/>
  <c r="AZ1745" i="1"/>
  <c r="BB1745" i="1" s="1"/>
  <c r="AZ1726" i="1"/>
  <c r="BB1726" i="1" s="1"/>
  <c r="AZ1819" i="1"/>
  <c r="BB1819" i="1" s="1"/>
  <c r="AZ1404" i="1"/>
  <c r="BB1404" i="1" s="1"/>
  <c r="AZ549" i="1"/>
  <c r="BB549" i="1" s="1"/>
  <c r="AZ1562" i="1"/>
  <c r="BB1562" i="1" s="1"/>
  <c r="AZ42" i="1"/>
  <c r="BB42" i="1" s="1"/>
  <c r="AZ1915" i="1"/>
  <c r="BB1915" i="1" s="1"/>
  <c r="AZ417" i="1"/>
  <c r="BB417" i="1" s="1"/>
  <c r="AZ1648" i="1"/>
  <c r="BB1648" i="1" s="1"/>
  <c r="AZ1198" i="1"/>
  <c r="BB1198" i="1" s="1"/>
  <c r="AZ1619" i="1"/>
  <c r="BB1619" i="1" s="1"/>
  <c r="AZ1486" i="1"/>
  <c r="BB1486" i="1" s="1"/>
  <c r="AZ535" i="1"/>
  <c r="BB535" i="1" s="1"/>
  <c r="AZ1569" i="1"/>
  <c r="BB1569" i="1" s="1"/>
  <c r="AZ815" i="1"/>
  <c r="BB815" i="1" s="1"/>
  <c r="AZ533" i="1"/>
  <c r="BB533" i="1" s="1"/>
  <c r="AZ1226" i="1"/>
  <c r="BB1226" i="1" s="1"/>
  <c r="AZ1014" i="1"/>
  <c r="BB1014" i="1" s="1"/>
  <c r="AZ664" i="1"/>
  <c r="BB664" i="1" s="1"/>
  <c r="AZ1516" i="1"/>
  <c r="BB1516" i="1" s="1"/>
  <c r="AZ432" i="1"/>
  <c r="BB432" i="1" s="1"/>
  <c r="AZ1665" i="1"/>
  <c r="BB1665" i="1" s="1"/>
  <c r="AZ32" i="1"/>
  <c r="BB32" i="1" s="1"/>
  <c r="AZ617" i="1"/>
  <c r="BB617" i="1" s="1"/>
  <c r="AZ1296" i="1"/>
  <c r="BB1296" i="1" s="1"/>
  <c r="AZ1311" i="1"/>
  <c r="BB1311" i="1" s="1"/>
  <c r="AZ1872" i="1"/>
  <c r="BB1872" i="1" s="1"/>
  <c r="AZ294" i="1"/>
  <c r="BB294" i="1" s="1"/>
  <c r="AZ1760" i="1"/>
  <c r="BB1760" i="1" s="1"/>
  <c r="AZ2014" i="1"/>
  <c r="BB2014" i="1" s="1"/>
  <c r="AZ354" i="1"/>
  <c r="BB354" i="1" s="1"/>
  <c r="AZ21" i="1"/>
  <c r="BB21" i="1" s="1"/>
  <c r="AZ1791" i="1"/>
  <c r="BB1791" i="1" s="1"/>
  <c r="AZ1709" i="1"/>
  <c r="BB1709" i="1" s="1"/>
  <c r="AZ1000" i="1"/>
  <c r="BB1000" i="1" s="1"/>
  <c r="AZ1391" i="1"/>
  <c r="BB1391" i="1" s="1"/>
  <c r="AZ748" i="1"/>
  <c r="BB748" i="1" s="1"/>
  <c r="AZ1991" i="1"/>
  <c r="BB1991" i="1" s="1"/>
  <c r="AZ1033" i="1"/>
  <c r="BB1033" i="1" s="1"/>
  <c r="AZ1204" i="1"/>
  <c r="BB1204" i="1" s="1"/>
  <c r="AZ917" i="1"/>
  <c r="BB917" i="1" s="1"/>
  <c r="AZ33" i="1"/>
  <c r="BB33" i="1" s="1"/>
  <c r="AZ483" i="1"/>
  <c r="BB483" i="1" s="1"/>
  <c r="AZ1835" i="1"/>
  <c r="BB1835" i="1" s="1"/>
  <c r="AZ878" i="1"/>
  <c r="BB878" i="1" s="1"/>
  <c r="AZ133" i="1"/>
  <c r="BB133" i="1" s="1"/>
  <c r="AZ768" i="1"/>
  <c r="BB768" i="1" s="1"/>
  <c r="AZ279" i="1"/>
  <c r="BB279" i="1" s="1"/>
  <c r="AZ1108" i="1"/>
  <c r="BB1108" i="1" s="1"/>
  <c r="AZ425" i="1"/>
  <c r="BB425" i="1" s="1"/>
  <c r="AZ1234" i="1"/>
  <c r="BB1234" i="1" s="1"/>
  <c r="AZ1654" i="1"/>
  <c r="BB1654" i="1" s="1"/>
  <c r="AZ902" i="1"/>
  <c r="BB902" i="1" s="1"/>
  <c r="AZ541" i="1"/>
  <c r="BB541" i="1" s="1"/>
  <c r="AZ612" i="1"/>
  <c r="BB612" i="1" s="1"/>
  <c r="AZ1967" i="1"/>
  <c r="BB1967" i="1" s="1"/>
  <c r="AZ1848" i="1"/>
  <c r="BB1848" i="1" s="1"/>
  <c r="AZ1867" i="1"/>
  <c r="BB1867" i="1" s="1"/>
  <c r="AZ711" i="1"/>
  <c r="BB711" i="1" s="1"/>
  <c r="AZ1759" i="1"/>
  <c r="BB1759" i="1" s="1"/>
  <c r="AZ449" i="1"/>
  <c r="BB449" i="1" s="1"/>
  <c r="AZ1160" i="1"/>
  <c r="BB1160" i="1" s="1"/>
  <c r="AZ1412" i="1"/>
  <c r="BB1412" i="1" s="1"/>
  <c r="AZ1785" i="1"/>
  <c r="BB1785" i="1" s="1"/>
  <c r="AZ1472" i="1"/>
  <c r="BB1472" i="1" s="1"/>
  <c r="AZ810" i="1"/>
  <c r="BB810" i="1" s="1"/>
  <c r="AZ508" i="1"/>
  <c r="BB508" i="1" s="1"/>
  <c r="AZ512" i="1"/>
  <c r="BB512" i="1" s="1"/>
  <c r="AZ1814" i="1"/>
  <c r="BB1814" i="1" s="1"/>
  <c r="AZ746" i="1"/>
  <c r="BB746" i="1" s="1"/>
  <c r="AZ536" i="1"/>
  <c r="BB536" i="1" s="1"/>
  <c r="AZ247" i="1"/>
  <c r="BB247" i="1" s="1"/>
  <c r="AZ1215" i="1"/>
  <c r="BB1215" i="1" s="1"/>
  <c r="AZ1997" i="1"/>
  <c r="BB1997" i="1" s="1"/>
  <c r="AZ2007" i="1"/>
  <c r="BB2007" i="1" s="1"/>
  <c r="AZ462" i="1"/>
  <c r="BB462" i="1" s="1"/>
  <c r="AZ792" i="1"/>
  <c r="BB792" i="1" s="1"/>
  <c r="AZ683" i="1"/>
  <c r="BB683" i="1" s="1"/>
  <c r="AZ608" i="1"/>
  <c r="BB608" i="1" s="1"/>
  <c r="AZ1653" i="1"/>
  <c r="BB1653" i="1" s="1"/>
  <c r="AZ443" i="1"/>
  <c r="BB443" i="1" s="1"/>
  <c r="AZ1424" i="1"/>
  <c r="BB1424" i="1" s="1"/>
  <c r="AZ729" i="1"/>
  <c r="BB729" i="1" s="1"/>
  <c r="AZ1436" i="1"/>
  <c r="BB1436" i="1" s="1"/>
  <c r="AZ577" i="1"/>
  <c r="BB577" i="1" s="1"/>
  <c r="AZ1356" i="1"/>
  <c r="BB1356" i="1" s="1"/>
  <c r="AZ321" i="1"/>
  <c r="BB321" i="1" s="1"/>
  <c r="AZ1771" i="1"/>
  <c r="BB1771" i="1" s="1"/>
  <c r="AZ1641" i="1"/>
  <c r="BB1641" i="1" s="1"/>
  <c r="AZ35" i="1"/>
  <c r="BB35" i="1" s="1"/>
  <c r="AZ1998" i="1"/>
  <c r="BB1998" i="1" s="1"/>
  <c r="AZ504" i="1"/>
  <c r="BB504" i="1" s="1"/>
  <c r="AZ641" i="1"/>
  <c r="BB641" i="1" s="1"/>
  <c r="AZ1825" i="1"/>
  <c r="BB1825" i="1" s="1"/>
  <c r="AZ1574" i="1"/>
  <c r="BB1574" i="1" s="1"/>
  <c r="AZ583" i="1"/>
  <c r="BB583" i="1" s="1"/>
  <c r="AZ1340" i="1"/>
  <c r="BB1340" i="1" s="1"/>
  <c r="AZ455" i="1"/>
  <c r="BB455" i="1" s="1"/>
  <c r="AZ858" i="1"/>
  <c r="BB858" i="1" s="1"/>
  <c r="AZ976" i="1"/>
  <c r="BB976" i="1" s="1"/>
  <c r="AZ1944" i="1"/>
  <c r="BB1944" i="1" s="1"/>
  <c r="AZ173" i="1"/>
  <c r="BB173" i="1" s="1"/>
  <c r="AZ43" i="1"/>
  <c r="BB43" i="1" s="1"/>
  <c r="AZ207" i="1"/>
  <c r="BB207" i="1" s="1"/>
  <c r="AZ1258" i="1"/>
  <c r="BB1258" i="1" s="1"/>
  <c r="AZ1353" i="1"/>
  <c r="BB1353" i="1" s="1"/>
  <c r="AZ1250" i="1"/>
  <c r="BB1250" i="1" s="1"/>
  <c r="AZ1110" i="1"/>
  <c r="BB1110" i="1" s="1"/>
  <c r="AZ1587" i="1"/>
  <c r="BB1587" i="1" s="1"/>
  <c r="AZ1838" i="1"/>
  <c r="BB1838" i="1" s="1"/>
  <c r="AZ1023" i="1"/>
  <c r="BB1023" i="1" s="1"/>
  <c r="AZ184" i="1"/>
  <c r="BB184" i="1" s="1"/>
  <c r="AZ149" i="1"/>
  <c r="BB149" i="1" s="1"/>
  <c r="AZ841" i="1"/>
  <c r="BB841" i="1" s="1"/>
  <c r="AZ395" i="1"/>
  <c r="BB395" i="1" s="1"/>
  <c r="AZ1724" i="1"/>
  <c r="BB1724" i="1" s="1"/>
  <c r="AZ1043" i="1"/>
  <c r="BB1043" i="1" s="1"/>
  <c r="AZ713" i="1"/>
  <c r="BB713" i="1" s="1"/>
  <c r="AZ595" i="1"/>
  <c r="BB595" i="1" s="1"/>
  <c r="AZ1240" i="1"/>
  <c r="BB1240" i="1" s="1"/>
  <c r="AZ1155" i="1"/>
  <c r="BB1155" i="1" s="1"/>
  <c r="AZ1983" i="1"/>
  <c r="BB1983" i="1" s="1"/>
  <c r="AZ1555" i="1"/>
  <c r="BB1555" i="1" s="1"/>
  <c r="AZ134" i="1"/>
  <c r="BB134" i="1" s="1"/>
  <c r="AZ1537" i="1"/>
  <c r="BB1537" i="1" s="1"/>
  <c r="S44" i="19" l="1"/>
  <c r="S43" i="19"/>
  <c r="T4" i="19"/>
  <c r="T5" i="19"/>
  <c r="T6" i="19"/>
  <c r="I55" i="15"/>
  <c r="T7" i="19"/>
  <c r="T8" i="19"/>
  <c r="I54" i="15"/>
  <c r="L45" i="19"/>
  <c r="T43" i="19" s="1"/>
  <c r="U6" i="19"/>
  <c r="U8" i="19"/>
  <c r="R45" i="19"/>
  <c r="U43" i="19" s="1"/>
  <c r="U4" i="19"/>
  <c r="U7" i="19"/>
  <c r="U5" i="19"/>
  <c r="BC1250" i="1"/>
  <c r="BD1250" i="1" s="1"/>
  <c r="BC729" i="1"/>
  <c r="BD729" i="1" s="1"/>
  <c r="BC711" i="1"/>
  <c r="BD711" i="1" s="1"/>
  <c r="BC1000" i="1"/>
  <c r="BD1000" i="1" s="1"/>
  <c r="BC1619" i="1"/>
  <c r="BD1619" i="1" s="1"/>
  <c r="BC1471" i="1"/>
  <c r="BD1471" i="1" s="1"/>
  <c r="BC1695" i="1"/>
  <c r="BD1695" i="1" s="1"/>
  <c r="BC1280" i="1"/>
  <c r="BD1280" i="1" s="1"/>
  <c r="BC1200" i="1"/>
  <c r="BD1200" i="1" s="1"/>
  <c r="BC278" i="1"/>
  <c r="BD278" i="1" s="1"/>
  <c r="BC465" i="1"/>
  <c r="BD465" i="1" s="1"/>
  <c r="BC695" i="1"/>
  <c r="BD695" i="1" s="1"/>
  <c r="BC864" i="1"/>
  <c r="BD864" i="1" s="1"/>
  <c r="BC1908" i="1"/>
  <c r="BD1908" i="1" s="1"/>
  <c r="BC991" i="1"/>
  <c r="BD991" i="1" s="1"/>
  <c r="BC764" i="1"/>
  <c r="BD764" i="1" s="1"/>
  <c r="BC287" i="1"/>
  <c r="BD287" i="1" s="1"/>
  <c r="BC689" i="1"/>
  <c r="BD689" i="1" s="1"/>
  <c r="BC1078" i="1"/>
  <c r="BD1078" i="1" s="1"/>
  <c r="BC101" i="1"/>
  <c r="BD101" i="1" s="1"/>
  <c r="BC1373" i="1"/>
  <c r="BD1373" i="1" s="1"/>
  <c r="BC1115" i="1"/>
  <c r="BD1115" i="1" s="1"/>
  <c r="BC1027" i="1"/>
  <c r="BD1027" i="1" s="1"/>
  <c r="BC1066" i="1"/>
  <c r="BD1066" i="1" s="1"/>
  <c r="BC826" i="1"/>
  <c r="BD826" i="1" s="1"/>
  <c r="BC1622" i="1"/>
  <c r="BD1622" i="1" s="1"/>
  <c r="BC1293" i="1"/>
  <c r="BD1293" i="1" s="1"/>
  <c r="BC1780" i="1"/>
  <c r="BD1780" i="1" s="1"/>
  <c r="BC644" i="1"/>
  <c r="BD644" i="1" s="1"/>
  <c r="BC1957" i="1"/>
  <c r="BD1957" i="1" s="1"/>
  <c r="BC1190" i="1"/>
  <c r="BD1190" i="1" s="1"/>
  <c r="BC1673" i="1"/>
  <c r="BD1673" i="1" s="1"/>
  <c r="BC1396" i="1"/>
  <c r="BD1396" i="1" s="1"/>
  <c r="BC912" i="1"/>
  <c r="BD912" i="1" s="1"/>
  <c r="BC1521" i="1"/>
  <c r="BD1521" i="1" s="1"/>
  <c r="BC1902" i="1"/>
  <c r="BD1902" i="1" s="1"/>
  <c r="BC1083" i="1"/>
  <c r="BD1083" i="1" s="1"/>
  <c r="BC1631" i="1"/>
  <c r="BD1631" i="1" s="1"/>
  <c r="BC936" i="1"/>
  <c r="BD936" i="1" s="1"/>
  <c r="BC281" i="1"/>
  <c r="BD281" i="1" s="1"/>
  <c r="BC1140" i="1"/>
  <c r="BD1140" i="1" s="1"/>
  <c r="BC1658" i="1"/>
  <c r="BD1658" i="1" s="1"/>
  <c r="BC906" i="1"/>
  <c r="BD906" i="1" s="1"/>
  <c r="BC1820" i="1"/>
  <c r="BD1820" i="1" s="1"/>
  <c r="BC575" i="1"/>
  <c r="BD575" i="1" s="1"/>
  <c r="BC624" i="1"/>
  <c r="BD624" i="1" s="1"/>
  <c r="BC338" i="1"/>
  <c r="BD338" i="1" s="1"/>
  <c r="BC1837" i="1"/>
  <c r="BD1837" i="1" s="1"/>
  <c r="BC1270" i="1"/>
  <c r="BD1270" i="1" s="1"/>
  <c r="BC1827" i="1"/>
  <c r="BD1827" i="1" s="1"/>
  <c r="BC510" i="1"/>
  <c r="BD510" i="1" s="1"/>
  <c r="BC817" i="1"/>
  <c r="BD817" i="1" s="1"/>
  <c r="BC382" i="1"/>
  <c r="BD382" i="1" s="1"/>
  <c r="BC1867" i="1"/>
  <c r="BD1867" i="1" s="1"/>
  <c r="BC827" i="1"/>
  <c r="BD827" i="1" s="1"/>
  <c r="BC1805" i="1"/>
  <c r="BD1805" i="1" s="1"/>
  <c r="BC493" i="1"/>
  <c r="BD493" i="1" s="1"/>
  <c r="BC47" i="1"/>
  <c r="BD47" i="1" s="1"/>
  <c r="BC396" i="1"/>
  <c r="BD396" i="1" s="1"/>
  <c r="BC1271" i="1"/>
  <c r="BD1271" i="1" s="1"/>
  <c r="BC1345" i="1"/>
  <c r="BD1345" i="1" s="1"/>
  <c r="BC1767" i="1"/>
  <c r="BD1767" i="1" s="1"/>
  <c r="BC1701" i="1"/>
  <c r="BD1701" i="1" s="1"/>
  <c r="BC1896" i="1"/>
  <c r="BD1896" i="1" s="1"/>
  <c r="BC1174" i="1"/>
  <c r="BD1174" i="1" s="1"/>
  <c r="BC314" i="1"/>
  <c r="BD314" i="1" s="1"/>
  <c r="BC1207" i="1"/>
  <c r="BD1207" i="1" s="1"/>
  <c r="BC1309" i="1"/>
  <c r="BD1309" i="1" s="1"/>
  <c r="BC1322" i="1"/>
  <c r="BD1322" i="1" s="1"/>
  <c r="BC1752" i="1"/>
  <c r="BD1752" i="1" s="1"/>
  <c r="BC1422" i="1"/>
  <c r="BD1422" i="1" s="1"/>
  <c r="BC1905" i="1"/>
  <c r="BD1905" i="1" s="1"/>
  <c r="BC2018" i="1"/>
  <c r="BD2018" i="1" s="1"/>
  <c r="BC978" i="1"/>
  <c r="BD978" i="1" s="1"/>
  <c r="BC1962" i="1"/>
  <c r="BD1962" i="1" s="1"/>
  <c r="BC1660" i="1"/>
  <c r="BD1660" i="1" s="1"/>
  <c r="BC1525" i="1"/>
  <c r="BD1525" i="1" s="1"/>
  <c r="BC1321" i="1"/>
  <c r="BD1321" i="1" s="1"/>
  <c r="BC1797" i="1"/>
  <c r="BD1797" i="1" s="1"/>
  <c r="BC444" i="1"/>
  <c r="BD444" i="1" s="1"/>
  <c r="BC696" i="1"/>
  <c r="BD696" i="1" s="1"/>
  <c r="BC1877" i="1"/>
  <c r="BD1877" i="1" s="1"/>
  <c r="BC1145" i="1"/>
  <c r="BD1145" i="1" s="1"/>
  <c r="BC809" i="1"/>
  <c r="BD809" i="1" s="1"/>
  <c r="BC1684" i="1"/>
  <c r="BD1684" i="1" s="1"/>
  <c r="BC1123" i="1"/>
  <c r="BD1123" i="1" s="1"/>
  <c r="BC49" i="1"/>
  <c r="BD49" i="1" s="1"/>
  <c r="BC1687" i="1"/>
  <c r="BD1687" i="1" s="1"/>
  <c r="BC37" i="1"/>
  <c r="BD37" i="1" s="1"/>
  <c r="BC1415" i="1"/>
  <c r="BD1415" i="1" s="1"/>
  <c r="BC1689" i="1"/>
  <c r="BD1689" i="1" s="1"/>
  <c r="BC210" i="1"/>
  <c r="BD210" i="1" s="1"/>
  <c r="BC540" i="1"/>
  <c r="BD540" i="1" s="1"/>
  <c r="BC835" i="1"/>
  <c r="BD835" i="1" s="1"/>
  <c r="BC1342" i="1"/>
  <c r="BD1342" i="1" s="1"/>
  <c r="BC1677" i="1"/>
  <c r="BD1677" i="1" s="1"/>
  <c r="BC1649" i="1"/>
  <c r="BD1649" i="1" s="1"/>
  <c r="BC1917" i="1"/>
  <c r="BD1917" i="1" s="1"/>
  <c r="BC1121" i="1"/>
  <c r="BD1121" i="1" s="1"/>
  <c r="BC1220" i="1"/>
  <c r="BD1220" i="1" s="1"/>
  <c r="BC1352" i="1"/>
  <c r="BD1352" i="1" s="1"/>
  <c r="BC984" i="1"/>
  <c r="BD984" i="1" s="1"/>
  <c r="BC292" i="1"/>
  <c r="BD292" i="1" s="1"/>
  <c r="BC1178" i="1"/>
  <c r="BD1178" i="1" s="1"/>
  <c r="BC1946" i="1"/>
  <c r="BD1946" i="1" s="1"/>
  <c r="BC1202" i="1"/>
  <c r="BD1202" i="1" s="1"/>
  <c r="BC1188" i="1"/>
  <c r="BD1188" i="1" s="1"/>
  <c r="BC1536" i="1"/>
  <c r="BD1536" i="1" s="1"/>
  <c r="BC1437" i="1"/>
  <c r="BD1437" i="1" s="1"/>
  <c r="BC1995" i="1"/>
  <c r="BD1995" i="1" s="1"/>
  <c r="BC1485" i="1"/>
  <c r="BD1485" i="1" s="1"/>
  <c r="BC1920" i="1"/>
  <c r="BD1920" i="1" s="1"/>
  <c r="BC1247" i="1"/>
  <c r="BD1247" i="1" s="1"/>
  <c r="BC812" i="1"/>
  <c r="BD812" i="1" s="1"/>
  <c r="BC1227" i="1"/>
  <c r="BD1227" i="1" s="1"/>
  <c r="BC2001" i="1"/>
  <c r="BD2001" i="1" s="1"/>
  <c r="BC1189" i="1"/>
  <c r="BD1189" i="1" s="1"/>
  <c r="BC1585" i="1"/>
  <c r="BD1585" i="1" s="1"/>
  <c r="BC4" i="1"/>
  <c r="BD4" i="1" s="1"/>
  <c r="BC1758" i="1"/>
  <c r="BD1758" i="1" s="1"/>
  <c r="BC1161" i="1"/>
  <c r="BD1161" i="1" s="1"/>
  <c r="BC1367" i="1"/>
  <c r="BD1367" i="1" s="1"/>
  <c r="BC687" i="1"/>
  <c r="BD687" i="1" s="1"/>
  <c r="BC1370" i="1"/>
  <c r="BD1370" i="1" s="1"/>
  <c r="BC1037" i="1"/>
  <c r="BD1037" i="1" s="1"/>
  <c r="BC1779" i="1"/>
  <c r="BD1779" i="1" s="1"/>
  <c r="BC1182" i="1"/>
  <c r="BD1182" i="1" s="1"/>
  <c r="BC1624" i="1"/>
  <c r="BD1624" i="1" s="1"/>
  <c r="BC883" i="1"/>
  <c r="BD883" i="1" s="1"/>
  <c r="BC421" i="1"/>
  <c r="BD421" i="1" s="1"/>
  <c r="BC1319" i="1"/>
  <c r="BD1319" i="1" s="1"/>
  <c r="BC1988" i="1"/>
  <c r="BD1988" i="1" s="1"/>
  <c r="BC14" i="1"/>
  <c r="BD14" i="1" s="1"/>
  <c r="BC946" i="1"/>
  <c r="BD946" i="1" s="1"/>
  <c r="BC1703" i="1"/>
  <c r="BD1703" i="1" s="1"/>
  <c r="BC1875" i="1"/>
  <c r="BD1875" i="1" s="1"/>
  <c r="BC114" i="1"/>
  <c r="BD114" i="1" s="1"/>
  <c r="BC1150" i="1"/>
  <c r="BD1150" i="1" s="1"/>
  <c r="BC175" i="1"/>
  <c r="BD175" i="1" s="1"/>
  <c r="BC1355" i="1"/>
  <c r="BD1355" i="1" s="1"/>
  <c r="BC1681" i="1"/>
  <c r="BD1681" i="1" s="1"/>
  <c r="BC1042" i="1"/>
  <c r="BD1042" i="1" s="1"/>
  <c r="BC1923" i="1"/>
  <c r="BD1923" i="1" s="1"/>
  <c r="BC784" i="1"/>
  <c r="BD784" i="1" s="1"/>
  <c r="BC315" i="1"/>
  <c r="BD315" i="1" s="1"/>
  <c r="BC511" i="1"/>
  <c r="BD511" i="1" s="1"/>
  <c r="BC1965" i="1"/>
  <c r="BD1965" i="1" s="1"/>
  <c r="BC1573" i="1"/>
  <c r="BD1573" i="1" s="1"/>
  <c r="BC1353" i="1"/>
  <c r="BD1353" i="1" s="1"/>
  <c r="BC1798" i="1"/>
  <c r="BD1798" i="1" s="1"/>
  <c r="BC763" i="1"/>
  <c r="BD763" i="1" s="1"/>
  <c r="BC1604" i="1"/>
  <c r="BD1604" i="1" s="1"/>
  <c r="BC1683" i="1"/>
  <c r="BD1683" i="1" s="1"/>
  <c r="BC914" i="1"/>
  <c r="BD914" i="1" s="1"/>
  <c r="BC475" i="1"/>
  <c r="BD475" i="1" s="1"/>
  <c r="BC1876" i="1"/>
  <c r="BD1876" i="1" s="1"/>
  <c r="BC798" i="1"/>
  <c r="BD798" i="1" s="1"/>
  <c r="BC1915" i="1"/>
  <c r="BD1915" i="1" s="1"/>
  <c r="BC422" i="1"/>
  <c r="BD422" i="1" s="1"/>
  <c r="BC886" i="1"/>
  <c r="BD886" i="1" s="1"/>
  <c r="BC1410" i="1"/>
  <c r="BD1410" i="1" s="1"/>
  <c r="BC105" i="1"/>
  <c r="BD105" i="1" s="1"/>
  <c r="BC1664" i="1"/>
  <c r="BD1664" i="1" s="1"/>
  <c r="BC246" i="1"/>
  <c r="BD246" i="1" s="1"/>
  <c r="BC603" i="1"/>
  <c r="BD603" i="1" s="1"/>
  <c r="BC922" i="1"/>
  <c r="BD922" i="1" s="1"/>
  <c r="BC1007" i="1"/>
  <c r="BD1007" i="1" s="1"/>
  <c r="BC330" i="1"/>
  <c r="BD330" i="1" s="1"/>
  <c r="BC2017" i="1"/>
  <c r="BD2017" i="1" s="1"/>
  <c r="BC1542" i="1"/>
  <c r="BD1542" i="1" s="1"/>
  <c r="BC1134" i="1"/>
  <c r="BD1134" i="1" s="1"/>
  <c r="BC1380" i="1"/>
  <c r="BD1380" i="1" s="1"/>
  <c r="BC1498" i="1"/>
  <c r="BD1498" i="1" s="1"/>
  <c r="BC187" i="1"/>
  <c r="BD187" i="1" s="1"/>
  <c r="BC1721" i="1"/>
  <c r="BD1721" i="1" s="1"/>
  <c r="BC804" i="1"/>
  <c r="BD804" i="1" s="1"/>
  <c r="BC1494" i="1"/>
  <c r="BD1494" i="1" s="1"/>
  <c r="BC182" i="1"/>
  <c r="BD182" i="1" s="1"/>
  <c r="BC1563" i="1"/>
  <c r="BD1563" i="1" s="1"/>
  <c r="BC1851" i="1"/>
  <c r="BD1851" i="1" s="1"/>
  <c r="BC85" i="1"/>
  <c r="BD85" i="1" s="1"/>
  <c r="BC519" i="1"/>
  <c r="BD519" i="1" s="1"/>
  <c r="BC972" i="1"/>
  <c r="BD972" i="1" s="1"/>
  <c r="BC426" i="1"/>
  <c r="BD426" i="1" s="1"/>
  <c r="BC934" i="1"/>
  <c r="BD934" i="1" s="1"/>
  <c r="BC1764" i="1"/>
  <c r="BD1764" i="1" s="1"/>
  <c r="BC1929" i="1"/>
  <c r="BD1929" i="1" s="1"/>
  <c r="BC743" i="1"/>
  <c r="BD743" i="1" s="1"/>
  <c r="BC443" i="1"/>
  <c r="BD443" i="1" s="1"/>
  <c r="BC943" i="1"/>
  <c r="BD943" i="1" s="1"/>
  <c r="BC228" i="1"/>
  <c r="BD228" i="1" s="1"/>
  <c r="BC1935" i="1"/>
  <c r="BD1935" i="1" s="1"/>
  <c r="BC626" i="1"/>
  <c r="BD626" i="1" s="1"/>
  <c r="BC1185" i="1"/>
  <c r="BD1185" i="1" s="1"/>
  <c r="BC975" i="1"/>
  <c r="BD975" i="1" s="1"/>
  <c r="BC697" i="1"/>
  <c r="BD697" i="1" s="1"/>
  <c r="BC606" i="1"/>
  <c r="BD606" i="1" s="1"/>
  <c r="BC530" i="1"/>
  <c r="BD530" i="1" s="1"/>
  <c r="BC634" i="1"/>
  <c r="BD634" i="1" s="1"/>
  <c r="BC386" i="1"/>
  <c r="BD386" i="1" s="1"/>
  <c r="BC544" i="1"/>
  <c r="BD544" i="1" s="1"/>
  <c r="BC1433" i="1"/>
  <c r="BD1433" i="1" s="1"/>
  <c r="BC1224" i="1"/>
  <c r="BD1224" i="1" s="1"/>
  <c r="BC557" i="1"/>
  <c r="BD557" i="1" s="1"/>
  <c r="BC1694" i="1"/>
  <c r="BD1694" i="1" s="1"/>
  <c r="BC620" i="1"/>
  <c r="BD620" i="1" s="1"/>
  <c r="BC1505" i="1"/>
  <c r="BD1505" i="1" s="1"/>
  <c r="BC532" i="1"/>
  <c r="BD532" i="1" s="1"/>
  <c r="BC1559" i="1"/>
  <c r="BD1559" i="1" s="1"/>
  <c r="BC1400" i="1"/>
  <c r="BD1400" i="1" s="1"/>
  <c r="BC122" i="1"/>
  <c r="BD122" i="1" s="1"/>
  <c r="BC956" i="1"/>
  <c r="BD956" i="1" s="1"/>
  <c r="BC1834" i="1"/>
  <c r="BD1834" i="1" s="1"/>
  <c r="BC357" i="1"/>
  <c r="BD357" i="1" s="1"/>
  <c r="BC2015" i="1"/>
  <c r="BD2015" i="1" s="1"/>
  <c r="BC15" i="1"/>
  <c r="BD15" i="1" s="1"/>
  <c r="BC790" i="1"/>
  <c r="BD790" i="1" s="1"/>
  <c r="BC90" i="1"/>
  <c r="BD90" i="1" s="1"/>
  <c r="BC1967" i="1"/>
  <c r="BD1967" i="1" s="1"/>
  <c r="BC986" i="1"/>
  <c r="BD986" i="1" s="1"/>
  <c r="BC608" i="1"/>
  <c r="BD608" i="1" s="1"/>
  <c r="BC1830" i="1"/>
  <c r="BD1830" i="1" s="1"/>
  <c r="BC933" i="1"/>
  <c r="BD933" i="1" s="1"/>
  <c r="BC1874" i="1"/>
  <c r="BD1874" i="1" s="1"/>
  <c r="BC294" i="1"/>
  <c r="BD294" i="1" s="1"/>
  <c r="BC549" i="1"/>
  <c r="BD549" i="1" s="1"/>
  <c r="BC981" i="1"/>
  <c r="BD981" i="1" s="1"/>
  <c r="BC106" i="1"/>
  <c r="BD106" i="1" s="1"/>
  <c r="BC86" i="1"/>
  <c r="BD86" i="1" s="1"/>
  <c r="BC704" i="1"/>
  <c r="BD704" i="1" s="1"/>
  <c r="BC1052" i="1"/>
  <c r="BD1052" i="1" s="1"/>
  <c r="BC1446" i="1"/>
  <c r="BD1446" i="1" s="1"/>
  <c r="BC911" i="1"/>
  <c r="BD911" i="1" s="1"/>
  <c r="BC755" i="1"/>
  <c r="BD755" i="1" s="1"/>
  <c r="BC740" i="1"/>
  <c r="BD740" i="1" s="1"/>
  <c r="BC944" i="1"/>
  <c r="BD944" i="1" s="1"/>
  <c r="BC890" i="1"/>
  <c r="BD890" i="1" s="1"/>
  <c r="BC12" i="1"/>
  <c r="BD12" i="1" s="1"/>
  <c r="BC420" i="1"/>
  <c r="BD420" i="1" s="1"/>
  <c r="BC178" i="1"/>
  <c r="BD178" i="1" s="1"/>
  <c r="BC1829" i="1"/>
  <c r="BD1829" i="1" s="1"/>
  <c r="BC1279" i="1"/>
  <c r="BD1279" i="1" s="1"/>
  <c r="BC271" i="1"/>
  <c r="BD271" i="1" s="1"/>
  <c r="BC1444" i="1"/>
  <c r="BD1444" i="1" s="1"/>
  <c r="BC899" i="1"/>
  <c r="BD899" i="1" s="1"/>
  <c r="BC733" i="1"/>
  <c r="BD733" i="1" s="1"/>
  <c r="BC925" i="1"/>
  <c r="BD925" i="1" s="1"/>
  <c r="BC60" i="1"/>
  <c r="BD60" i="1" s="1"/>
  <c r="BC102" i="1"/>
  <c r="BD102" i="1" s="1"/>
  <c r="BC769" i="1"/>
  <c r="BD769" i="1" s="1"/>
  <c r="BC931" i="1"/>
  <c r="BD931" i="1" s="1"/>
  <c r="BC1424" i="1"/>
  <c r="BD1424" i="1" s="1"/>
  <c r="BC987" i="1"/>
  <c r="BD987" i="1" s="1"/>
  <c r="BC847" i="1"/>
  <c r="BD847" i="1" s="1"/>
  <c r="BC1336" i="1"/>
  <c r="BD1336" i="1" s="1"/>
  <c r="BC409" i="1"/>
  <c r="BD409" i="1" s="1"/>
  <c r="BC1943" i="1"/>
  <c r="BD1943" i="1" s="1"/>
  <c r="BC1478" i="1"/>
  <c r="BD1478" i="1" s="1"/>
  <c r="BC747" i="1"/>
  <c r="BD747" i="1" s="1"/>
  <c r="BC844" i="1"/>
  <c r="BD844" i="1" s="1"/>
  <c r="BC1084" i="1"/>
  <c r="BD1084" i="1" s="1"/>
  <c r="BC42" i="1"/>
  <c r="BD42" i="1" s="1"/>
  <c r="BC1853" i="1"/>
  <c r="BD1853" i="1" s="1"/>
  <c r="BC858" i="1"/>
  <c r="BD858" i="1" s="1"/>
  <c r="BC366" i="1"/>
  <c r="BD366" i="1" s="1"/>
  <c r="BC58" i="1"/>
  <c r="BD58" i="1" s="1"/>
  <c r="BC1886" i="1"/>
  <c r="BD1886" i="1" s="1"/>
  <c r="BC1749" i="1"/>
  <c r="BD1749" i="1" s="1"/>
  <c r="BC344" i="1"/>
  <c r="BD344" i="1" s="1"/>
  <c r="BC80" i="1"/>
  <c r="BD80" i="1" s="1"/>
  <c r="BC103" i="1"/>
  <c r="BD103" i="1" s="1"/>
  <c r="BC1598" i="1"/>
  <c r="BD1598" i="1" s="1"/>
  <c r="BC1298" i="1"/>
  <c r="BD1298" i="1" s="1"/>
  <c r="BC242" i="1"/>
  <c r="BD242" i="1" s="1"/>
  <c r="BC600" i="1"/>
  <c r="BD600" i="1" s="1"/>
  <c r="BC1026" i="1"/>
  <c r="BD1026" i="1" s="1"/>
  <c r="BC1015" i="1"/>
  <c r="BD1015" i="1" s="1"/>
  <c r="BC356" i="1"/>
  <c r="BD356" i="1" s="1"/>
  <c r="BC1511" i="1"/>
  <c r="BD1511" i="1" s="1"/>
  <c r="BC270" i="1"/>
  <c r="BD270" i="1" s="1"/>
  <c r="BC715" i="1"/>
  <c r="BD715" i="1" s="1"/>
  <c r="BC1080" i="1"/>
  <c r="BD1080" i="1" s="1"/>
  <c r="BC1287" i="1"/>
  <c r="BD1287" i="1" s="1"/>
  <c r="BC470" i="1"/>
  <c r="BD470" i="1" s="1"/>
  <c r="BC709" i="1"/>
  <c r="BD709" i="1" s="1"/>
  <c r="BC165" i="1"/>
  <c r="BD165" i="1" s="1"/>
  <c r="BC407" i="1"/>
  <c r="BD407" i="1" s="1"/>
  <c r="BC969" i="1"/>
  <c r="BD969" i="1" s="1"/>
  <c r="BC1198" i="1"/>
  <c r="BD1198" i="1" s="1"/>
  <c r="BC1811" i="1"/>
  <c r="BD1811" i="1" s="1"/>
  <c r="BC277" i="1"/>
  <c r="BD277" i="1" s="1"/>
  <c r="BC840" i="1"/>
  <c r="BD840" i="1" s="1"/>
  <c r="BC1847" i="1"/>
  <c r="BD1847" i="1" s="1"/>
  <c r="BC1614" i="1"/>
  <c r="BD1614" i="1" s="1"/>
  <c r="BC113" i="1"/>
  <c r="BD113" i="1" s="1"/>
  <c r="BC1879" i="1"/>
  <c r="BD1879" i="1" s="1"/>
  <c r="BC262" i="1"/>
  <c r="BD262" i="1" s="1"/>
  <c r="BC305" i="1"/>
  <c r="BD305" i="1" s="1"/>
  <c r="BC484" i="1"/>
  <c r="BD484" i="1" s="1"/>
  <c r="BC1760" i="1"/>
  <c r="BD1760" i="1" s="1"/>
  <c r="BC1555" i="1"/>
  <c r="BD1555" i="1" s="1"/>
  <c r="BC1549" i="1"/>
  <c r="BD1549" i="1" s="1"/>
  <c r="BC1311" i="1"/>
  <c r="BD1311" i="1" s="1"/>
  <c r="BC20" i="1"/>
  <c r="BD20" i="1" s="1"/>
  <c r="BC1572" i="1"/>
  <c r="BD1572" i="1" s="1"/>
  <c r="BC850" i="1"/>
  <c r="BD850" i="1" s="1"/>
  <c r="BC1506" i="1"/>
  <c r="BD1506" i="1" s="1"/>
  <c r="BC193" i="1"/>
  <c r="BD193" i="1" s="1"/>
  <c r="BC939" i="1"/>
  <c r="BD939" i="1" s="1"/>
  <c r="BC1179" i="1"/>
  <c r="BD1179" i="1" s="1"/>
  <c r="BC1030" i="1"/>
  <c r="BD1030" i="1" s="1"/>
  <c r="BC391" i="1"/>
  <c r="BD391" i="1" s="1"/>
  <c r="BC1610" i="1"/>
  <c r="BD1610" i="1" s="1"/>
  <c r="BC1854" i="1"/>
  <c r="BD1854" i="1" s="1"/>
  <c r="BC1457" i="1"/>
  <c r="BD1457" i="1" s="1"/>
  <c r="BC1864" i="1"/>
  <c r="BD1864" i="1" s="1"/>
  <c r="BC663" i="1"/>
  <c r="BD663" i="1" s="1"/>
  <c r="BC594" i="1"/>
  <c r="BD594" i="1" s="1"/>
  <c r="BC238" i="1"/>
  <c r="BD238" i="1" s="1"/>
  <c r="BC1073" i="1"/>
  <c r="BD1073" i="1" s="1"/>
  <c r="BC329" i="1"/>
  <c r="BD329" i="1" s="1"/>
  <c r="BC394" i="1"/>
  <c r="BD394" i="1" s="1"/>
  <c r="BC1135" i="1"/>
  <c r="BD1135" i="1" s="1"/>
  <c r="BC1429" i="1"/>
  <c r="BD1429" i="1" s="1"/>
  <c r="BC1259" i="1"/>
  <c r="BD1259" i="1" s="1"/>
  <c r="BC1705" i="1"/>
  <c r="BD1705" i="1" s="1"/>
  <c r="BC1119" i="1"/>
  <c r="BD1119" i="1" s="1"/>
  <c r="BC223" i="1"/>
  <c r="BD223" i="1" s="1"/>
  <c r="BC82" i="1"/>
  <c r="BD82" i="1" s="1"/>
  <c r="BC384" i="1"/>
  <c r="BD384" i="1" s="1"/>
  <c r="BC1667" i="1"/>
  <c r="BD1667" i="1" s="1"/>
  <c r="BC1567" i="1"/>
  <c r="BD1567" i="1" s="1"/>
  <c r="BC243" i="1"/>
  <c r="BD243" i="1" s="1"/>
  <c r="BC1013" i="1"/>
  <c r="BD1013" i="1" s="1"/>
  <c r="BC1040" i="1"/>
  <c r="BD1040" i="1" s="1"/>
  <c r="BC918" i="1"/>
  <c r="BD918" i="1" s="1"/>
  <c r="BC125" i="1"/>
  <c r="BD125" i="1" s="1"/>
  <c r="BC902" i="1"/>
  <c r="BD902" i="1" s="1"/>
  <c r="BC134" i="1"/>
  <c r="BD134" i="1" s="1"/>
  <c r="BC1404" i="1"/>
  <c r="BD1404" i="1" s="1"/>
  <c r="BC1997" i="1"/>
  <c r="BD1997" i="1" s="1"/>
  <c r="BC1340" i="1"/>
  <c r="BD1340" i="1" s="1"/>
  <c r="BC1296" i="1"/>
  <c r="BD1296" i="1" s="1"/>
  <c r="BC284" i="1"/>
  <c r="BD284" i="1" s="1"/>
  <c r="BC1206" i="1"/>
  <c r="BD1206" i="1" s="1"/>
  <c r="BC820" i="1"/>
  <c r="BD820" i="1" s="1"/>
  <c r="BC1690" i="1"/>
  <c r="BD1690" i="1" s="1"/>
  <c r="BC1129" i="1"/>
  <c r="BD1129" i="1" s="1"/>
  <c r="BC1344" i="1"/>
  <c r="BD1344" i="1" s="1"/>
  <c r="BC647" i="1"/>
  <c r="BD647" i="1" s="1"/>
  <c r="BC1739" i="1"/>
  <c r="BD1739" i="1" s="1"/>
  <c r="BC915" i="1"/>
  <c r="BD915" i="1" s="1"/>
  <c r="BC1698" i="1"/>
  <c r="BD1698" i="1" s="1"/>
  <c r="BC502" i="1"/>
  <c r="BD502" i="1" s="1"/>
  <c r="BC894" i="1"/>
  <c r="BD894" i="1" s="1"/>
  <c r="BC553" i="1"/>
  <c r="BD553" i="1" s="1"/>
  <c r="BC1548" i="1"/>
  <c r="BD1548" i="1" s="1"/>
  <c r="BC787" i="1"/>
  <c r="BD787" i="1" s="1"/>
  <c r="BC1049" i="1"/>
  <c r="BD1049" i="1" s="1"/>
  <c r="BC1048" i="1"/>
  <c r="BD1048" i="1" s="1"/>
  <c r="BC298" i="1"/>
  <c r="BD298" i="1" s="1"/>
  <c r="BC929" i="1"/>
  <c r="BD929" i="1" s="1"/>
  <c r="BC1044" i="1"/>
  <c r="BD1044" i="1" s="1"/>
  <c r="BC924" i="1"/>
  <c r="BD924" i="1" s="1"/>
  <c r="BC521" i="1"/>
  <c r="BD521" i="1" s="1"/>
  <c r="BC153" i="1"/>
  <c r="BD153" i="1" s="1"/>
  <c r="BC1770" i="1"/>
  <c r="BD1770" i="1" s="1"/>
  <c r="BC211" i="1"/>
  <c r="BD211" i="1" s="1"/>
  <c r="BC1024" i="1"/>
  <c r="BD1024" i="1" s="1"/>
  <c r="BC1750" i="1"/>
  <c r="BD1750" i="1" s="1"/>
  <c r="BC1039" i="1"/>
  <c r="BD1039" i="1" s="1"/>
  <c r="BC1871" i="1"/>
  <c r="BD1871" i="1" s="1"/>
  <c r="BC1640" i="1"/>
  <c r="BD1640" i="1" s="1"/>
  <c r="BC584" i="1"/>
  <c r="BD584" i="1" s="1"/>
  <c r="BC1782" i="1"/>
  <c r="BD1782" i="1" s="1"/>
  <c r="BC7" i="1"/>
  <c r="BD7" i="1" s="1"/>
  <c r="BC821" i="1"/>
  <c r="BD821" i="1" s="1"/>
  <c r="BC311" i="1"/>
  <c r="BD311" i="1" s="1"/>
  <c r="BC2014" i="1"/>
  <c r="BD2014" i="1" s="1"/>
  <c r="BC766" i="1"/>
  <c r="BD766" i="1" s="1"/>
  <c r="BC1872" i="1"/>
  <c r="BD1872" i="1" s="1"/>
  <c r="BC1983" i="1"/>
  <c r="BD1983" i="1" s="1"/>
  <c r="BC425" i="1"/>
  <c r="BD425" i="1" s="1"/>
  <c r="BC1155" i="1"/>
  <c r="BD1155" i="1" s="1"/>
  <c r="BC1108" i="1"/>
  <c r="BD1108" i="1" s="1"/>
  <c r="BC1742" i="1"/>
  <c r="BD1742" i="1" s="1"/>
  <c r="BC355" i="1"/>
  <c r="BD355" i="1" s="1"/>
  <c r="BC1001" i="1"/>
  <c r="BD1001" i="1" s="1"/>
  <c r="BC1541" i="1"/>
  <c r="BD1541" i="1" s="1"/>
  <c r="BC201" i="1"/>
  <c r="BD201" i="1" s="1"/>
  <c r="BC952" i="1"/>
  <c r="BD952" i="1" s="1"/>
  <c r="BC1162" i="1"/>
  <c r="BD1162" i="1" s="1"/>
  <c r="BC73" i="1"/>
  <c r="BD73" i="1" s="1"/>
  <c r="BC1170" i="1"/>
  <c r="BD1170" i="1" s="1"/>
  <c r="BC592" i="1"/>
  <c r="BD592" i="1" s="1"/>
  <c r="BC1893" i="1"/>
  <c r="BD1893" i="1" s="1"/>
  <c r="BC851" i="1"/>
  <c r="BD851" i="1" s="1"/>
  <c r="BC1862" i="1"/>
  <c r="BD1862" i="1" s="1"/>
  <c r="BC1240" i="1"/>
  <c r="BD1240" i="1" s="1"/>
  <c r="BC583" i="1"/>
  <c r="BD583" i="1" s="1"/>
  <c r="BC247" i="1"/>
  <c r="BD247" i="1" s="1"/>
  <c r="BC279" i="1"/>
  <c r="BD279" i="1" s="1"/>
  <c r="BC617" i="1"/>
  <c r="BD617" i="1" s="1"/>
  <c r="BC1745" i="1"/>
  <c r="BD1745" i="1" s="1"/>
  <c r="BC10" i="1"/>
  <c r="BD10" i="1" s="1"/>
  <c r="BC1386" i="1"/>
  <c r="BD1386" i="1" s="1"/>
  <c r="BC779" i="1"/>
  <c r="BD779" i="1" s="1"/>
  <c r="BC514" i="1"/>
  <c r="BD514" i="1" s="1"/>
  <c r="BC1276" i="1"/>
  <c r="BD1276" i="1" s="1"/>
  <c r="BC895" i="1"/>
  <c r="BD895" i="1" s="1"/>
  <c r="BC1709" i="1"/>
  <c r="BD1709" i="1" s="1"/>
  <c r="BC1568" i="1"/>
  <c r="BD1568" i="1" s="1"/>
  <c r="BC833" i="1"/>
  <c r="BD833" i="1" s="1"/>
  <c r="BC1036" i="1"/>
  <c r="BD1036" i="1" s="1"/>
  <c r="BC849" i="1"/>
  <c r="BD849" i="1" s="1"/>
  <c r="BC1648" i="1"/>
  <c r="BD1648" i="1" s="1"/>
  <c r="BC523" i="1"/>
  <c r="BD523" i="1" s="1"/>
  <c r="BC389" i="1"/>
  <c r="BD389" i="1" s="1"/>
  <c r="BC417" i="1"/>
  <c r="BD417" i="1" s="1"/>
  <c r="BC527" i="1"/>
  <c r="BD527" i="1" s="1"/>
  <c r="BC1335" i="1"/>
  <c r="BD1335" i="1" s="1"/>
  <c r="BC990" i="1"/>
  <c r="BD990" i="1" s="1"/>
  <c r="BC1719" i="1"/>
  <c r="BD1719" i="1" s="1"/>
  <c r="BC1562" i="1"/>
  <c r="BD1562" i="1" s="1"/>
  <c r="BC462" i="1"/>
  <c r="BD462" i="1" s="1"/>
  <c r="BC1234" i="1"/>
  <c r="BD1234" i="1" s="1"/>
  <c r="BC455" i="1"/>
  <c r="BD455" i="1" s="1"/>
  <c r="BC1819" i="1"/>
  <c r="BD1819" i="1" s="1"/>
  <c r="BC1215" i="1"/>
  <c r="BD1215" i="1" s="1"/>
  <c r="BC1726" i="1"/>
  <c r="BD1726" i="1" s="1"/>
  <c r="BC1910" i="1"/>
  <c r="BD1910" i="1" s="1"/>
  <c r="BC1124" i="1"/>
  <c r="BD1124" i="1" s="1"/>
  <c r="BC388" i="1"/>
  <c r="BD388" i="1" s="1"/>
  <c r="BC578" i="1"/>
  <c r="BD578" i="1" s="1"/>
  <c r="BC754" i="1"/>
  <c r="BD754" i="1" s="1"/>
  <c r="BC593" i="1"/>
  <c r="BD593" i="1" s="1"/>
  <c r="BC1763" i="1"/>
  <c r="BD1763" i="1" s="1"/>
  <c r="BC868" i="1"/>
  <c r="BD868" i="1" s="1"/>
  <c r="BC1401" i="1"/>
  <c r="BD1401" i="1" s="1"/>
  <c r="BC595" i="1"/>
  <c r="BD595" i="1" s="1"/>
  <c r="BC1574" i="1"/>
  <c r="BD1574" i="1" s="1"/>
  <c r="BC536" i="1"/>
  <c r="BD536" i="1" s="1"/>
  <c r="BC768" i="1"/>
  <c r="BD768" i="1" s="1"/>
  <c r="BC32" i="1"/>
  <c r="BD32" i="1" s="1"/>
  <c r="BC580" i="1"/>
  <c r="BD580" i="1" s="1"/>
  <c r="BC1197" i="1"/>
  <c r="BD1197" i="1" s="1"/>
  <c r="BC468" i="1"/>
  <c r="BD468" i="1" s="1"/>
  <c r="BC756" i="1"/>
  <c r="BD756" i="1" s="1"/>
  <c r="BC1821" i="1"/>
  <c r="BD1821" i="1" s="1"/>
  <c r="BC74" i="1"/>
  <c r="BD74" i="1" s="1"/>
  <c r="BC447" i="1"/>
  <c r="BD447" i="1" s="1"/>
  <c r="BC863" i="1"/>
  <c r="BD863" i="1" s="1"/>
  <c r="BC1513" i="1"/>
  <c r="BD1513" i="1" s="1"/>
  <c r="BC308" i="1"/>
  <c r="BD308" i="1" s="1"/>
  <c r="BC171" i="1"/>
  <c r="BD171" i="1" s="1"/>
  <c r="BC378" i="1"/>
  <c r="BD378" i="1" s="1"/>
  <c r="BC225" i="1"/>
  <c r="BD225" i="1" s="1"/>
  <c r="BC1564" i="1"/>
  <c r="BD1564" i="1" s="1"/>
  <c r="BC1928" i="1"/>
  <c r="BD1928" i="1" s="1"/>
  <c r="BC1509" i="1"/>
  <c r="BD1509" i="1" s="1"/>
  <c r="BC471" i="1"/>
  <c r="BD471" i="1" s="1"/>
  <c r="BC1523" i="1"/>
  <c r="BD1523" i="1" s="1"/>
  <c r="BC855" i="1"/>
  <c r="BD855" i="1" s="1"/>
  <c r="BC240" i="1"/>
  <c r="BD240" i="1" s="1"/>
  <c r="BC1800" i="1"/>
  <c r="BD1800" i="1" s="1"/>
  <c r="BC1627" i="1"/>
  <c r="BD1627" i="1" s="1"/>
  <c r="BC1233" i="1"/>
  <c r="BD1233" i="1" s="1"/>
  <c r="BC1528" i="1"/>
  <c r="BD1528" i="1" s="1"/>
  <c r="BC1919" i="1"/>
  <c r="BD1919" i="1" s="1"/>
  <c r="BC365" i="1"/>
  <c r="BD365" i="1" s="1"/>
  <c r="BC359" i="1"/>
  <c r="BD359" i="1" s="1"/>
  <c r="BC761" i="1"/>
  <c r="BD761" i="1" s="1"/>
  <c r="BC1303" i="1"/>
  <c r="BD1303" i="1" s="1"/>
  <c r="BC615" i="1"/>
  <c r="BD615" i="1" s="1"/>
  <c r="BC587" i="1"/>
  <c r="BD587" i="1" s="1"/>
  <c r="BC51" i="1"/>
  <c r="BD51" i="1" s="1"/>
  <c r="BC1958" i="1"/>
  <c r="BD1958" i="1" s="1"/>
  <c r="BC728" i="1"/>
  <c r="BD728" i="1" s="1"/>
  <c r="BC1384" i="1"/>
  <c r="BD1384" i="1" s="1"/>
  <c r="BC832" i="1"/>
  <c r="BD832" i="1" s="1"/>
  <c r="BC1544" i="1"/>
  <c r="BD1544" i="1" s="1"/>
  <c r="BC43" i="1"/>
  <c r="BD43" i="1" s="1"/>
  <c r="BC108" i="1"/>
  <c r="BD108" i="1" s="1"/>
  <c r="BC1531" i="1"/>
  <c r="BD1531" i="1" s="1"/>
  <c r="BC258" i="1"/>
  <c r="BD258" i="1" s="1"/>
  <c r="BC1654" i="1"/>
  <c r="BD1654" i="1" s="1"/>
  <c r="BC889" i="1"/>
  <c r="BD889" i="1" s="1"/>
  <c r="BC730" i="1"/>
  <c r="BD730" i="1" s="1"/>
  <c r="BC1208" i="1"/>
  <c r="BD1208" i="1" s="1"/>
  <c r="BC953" i="1"/>
  <c r="BD953" i="1" s="1"/>
  <c r="BC293" i="1"/>
  <c r="BD293" i="1" s="1"/>
  <c r="BC1855" i="1"/>
  <c r="BD1855" i="1" s="1"/>
  <c r="BC1508" i="1"/>
  <c r="BD1508" i="1" s="1"/>
  <c r="BC921" i="1"/>
  <c r="BD921" i="1" s="1"/>
  <c r="BC273" i="1"/>
  <c r="BD273" i="1" s="1"/>
  <c r="BC1116" i="1"/>
  <c r="BD1116" i="1" s="1"/>
  <c r="BC1070" i="1"/>
  <c r="BD1070" i="1" s="1"/>
  <c r="BC1003" i="1"/>
  <c r="BD1003" i="1" s="1"/>
  <c r="BC1390" i="1"/>
  <c r="BD1390" i="1" s="1"/>
  <c r="BC1940" i="1"/>
  <c r="BD1940" i="1" s="1"/>
  <c r="BC1586" i="1"/>
  <c r="BD1586" i="1" s="1"/>
  <c r="BC202" i="1"/>
  <c r="BD202" i="1" s="1"/>
  <c r="BC645" i="1"/>
  <c r="BD645" i="1" s="1"/>
  <c r="BC1148" i="1"/>
  <c r="BD1148" i="1" s="1"/>
  <c r="BC879" i="1"/>
  <c r="BD879" i="1" s="1"/>
  <c r="BC1213" i="1"/>
  <c r="BD1213" i="1" s="1"/>
  <c r="BC1578" i="1"/>
  <c r="BD1578" i="1" s="1"/>
  <c r="BC282" i="1"/>
  <c r="BD282" i="1" s="1"/>
  <c r="BC2021" i="1"/>
  <c r="BD2021" i="1" s="1"/>
  <c r="BC976" i="1"/>
  <c r="BD976" i="1" s="1"/>
  <c r="BC746" i="1"/>
  <c r="BD746" i="1" s="1"/>
  <c r="BC891" i="1"/>
  <c r="BD891" i="1" s="1"/>
  <c r="BC705" i="1"/>
  <c r="BD705" i="1" s="1"/>
  <c r="BC1265" i="1"/>
  <c r="BD1265" i="1" s="1"/>
  <c r="BC196" i="1"/>
  <c r="BD196" i="1" s="1"/>
  <c r="BC236" i="1"/>
  <c r="BD236" i="1" s="1"/>
  <c r="BC62" i="1"/>
  <c r="BD62" i="1" s="1"/>
  <c r="BC1672" i="1"/>
  <c r="BD1672" i="1" s="1"/>
  <c r="BC641" i="1"/>
  <c r="BD641" i="1" s="1"/>
  <c r="BC17" i="1"/>
  <c r="BD17" i="1" s="1"/>
  <c r="BC1009" i="1"/>
  <c r="BD1009" i="1" s="1"/>
  <c r="BC611" i="1"/>
  <c r="BD611" i="1" s="1"/>
  <c r="BC1238" i="1"/>
  <c r="BD1238" i="1" s="1"/>
  <c r="BC206" i="1"/>
  <c r="BD206" i="1" s="1"/>
  <c r="BC398" i="1"/>
  <c r="BD398" i="1" s="1"/>
  <c r="BC2019" i="1"/>
  <c r="BD2019" i="1" s="1"/>
  <c r="BC1724" i="1"/>
  <c r="BD1724" i="1" s="1"/>
  <c r="BC504" i="1"/>
  <c r="BD504" i="1" s="1"/>
  <c r="BC512" i="1"/>
  <c r="BD512" i="1" s="1"/>
  <c r="BC1835" i="1"/>
  <c r="BD1835" i="1" s="1"/>
  <c r="BC1516" i="1"/>
  <c r="BD1516" i="1" s="1"/>
  <c r="BC1669" i="1"/>
  <c r="BD1669" i="1" s="1"/>
  <c r="BC1803" i="1"/>
  <c r="BD1803" i="1" s="1"/>
  <c r="BC1125" i="1"/>
  <c r="BD1125" i="1" s="1"/>
  <c r="BC11" i="1"/>
  <c r="BD11" i="1" s="1"/>
  <c r="BC1137" i="1"/>
  <c r="BD1137" i="1" s="1"/>
  <c r="BC1306" i="1"/>
  <c r="BD1306" i="1" s="1"/>
  <c r="BC368" i="1"/>
  <c r="BD368" i="1" s="1"/>
  <c r="BC701" i="1"/>
  <c r="BD701" i="1" s="1"/>
  <c r="BC691" i="1"/>
  <c r="BD691" i="1" s="1"/>
  <c r="BC160" i="1"/>
  <c r="BD160" i="1" s="1"/>
  <c r="BC120" i="1"/>
  <c r="BD120" i="1" s="1"/>
  <c r="BC777" i="1"/>
  <c r="BD777" i="1" s="1"/>
  <c r="BC245" i="1"/>
  <c r="BD245" i="1" s="1"/>
  <c r="BC1880" i="1"/>
  <c r="BD1880" i="1" s="1"/>
  <c r="BC541" i="1"/>
  <c r="BD541" i="1" s="1"/>
  <c r="BC792" i="1"/>
  <c r="BD792" i="1" s="1"/>
  <c r="BC44" i="1"/>
  <c r="BD44" i="1" s="1"/>
  <c r="BC2007" i="1"/>
  <c r="BD2007" i="1" s="1"/>
  <c r="BC1526" i="1"/>
  <c r="BD1526" i="1" s="1"/>
  <c r="BC1861" i="1"/>
  <c r="BD1861" i="1" s="1"/>
  <c r="BC714" i="1"/>
  <c r="BD714" i="1" s="1"/>
  <c r="BC1267" i="1"/>
  <c r="BD1267" i="1" s="1"/>
  <c r="BC301" i="1"/>
  <c r="BD301" i="1" s="1"/>
  <c r="BC1315" i="1"/>
  <c r="BD1315" i="1" s="1"/>
  <c r="BC1814" i="1"/>
  <c r="BD1814" i="1" s="1"/>
  <c r="BC508" i="1"/>
  <c r="BD508" i="1" s="1"/>
  <c r="BC1004" i="1"/>
  <c r="BD1004" i="1" s="1"/>
  <c r="BC75" i="1"/>
  <c r="BD75" i="1" s="1"/>
  <c r="BC1699" i="1"/>
  <c r="BD1699" i="1" s="1"/>
  <c r="BC336" i="1"/>
  <c r="BD336" i="1" s="1"/>
  <c r="BC1518" i="1"/>
  <c r="BD1518" i="1" s="1"/>
  <c r="BC1411" i="1"/>
  <c r="BD1411" i="1" s="1"/>
  <c r="BC1217" i="1"/>
  <c r="BD1217" i="1" s="1"/>
  <c r="BC1661" i="1"/>
  <c r="BD1661" i="1" s="1"/>
  <c r="BC524" i="1"/>
  <c r="BD524" i="1" s="1"/>
  <c r="BC1679" i="1"/>
  <c r="BD1679" i="1" s="1"/>
  <c r="BC1118" i="1"/>
  <c r="BD1118" i="1" s="1"/>
  <c r="BC1269" i="1"/>
  <c r="BD1269" i="1" s="1"/>
  <c r="BC1366" i="1"/>
  <c r="BD1366" i="1" s="1"/>
  <c r="BC2009" i="1"/>
  <c r="BD2009" i="1" s="1"/>
  <c r="BC61" i="1"/>
  <c r="BD61" i="1" s="1"/>
  <c r="BC1848" i="1"/>
  <c r="BD1848" i="1" s="1"/>
  <c r="BC673" i="1"/>
  <c r="BD673" i="1" s="1"/>
  <c r="BC670" i="1"/>
  <c r="BD670" i="1" s="1"/>
  <c r="BC21" i="1"/>
  <c r="BD21" i="1" s="1"/>
  <c r="BC1794" i="1"/>
  <c r="BD1794" i="1" s="1"/>
  <c r="BC1221" i="1"/>
  <c r="BD1221" i="1" s="1"/>
  <c r="BC1809" i="1"/>
  <c r="BD1809" i="1" s="1"/>
  <c r="BC760" i="1"/>
  <c r="BD760" i="1" s="1"/>
  <c r="BC374" i="1"/>
  <c r="BD374" i="1" s="1"/>
  <c r="BC1665" i="1"/>
  <c r="BD1665" i="1" s="1"/>
  <c r="BC1402" i="1"/>
  <c r="BD1402" i="1" s="1"/>
  <c r="BC905" i="1"/>
  <c r="BD905" i="1" s="1"/>
  <c r="BC923" i="1"/>
  <c r="BD923" i="1" s="1"/>
  <c r="BC811" i="1"/>
  <c r="BD811" i="1" s="1"/>
  <c r="BC622" i="1"/>
  <c r="BD622" i="1" s="1"/>
  <c r="BC139" i="1"/>
  <c r="BD139" i="1" s="1"/>
  <c r="BC878" i="1"/>
  <c r="BD878" i="1" s="1"/>
  <c r="BC381" i="1"/>
  <c r="BD381" i="1" s="1"/>
  <c r="BC1450" i="1"/>
  <c r="BD1450" i="1" s="1"/>
  <c r="BC699" i="1"/>
  <c r="BD699" i="1" s="1"/>
  <c r="BC35" i="1"/>
  <c r="BD35" i="1" s="1"/>
  <c r="BC810" i="1"/>
  <c r="BD810" i="1" s="1"/>
  <c r="BC33" i="1"/>
  <c r="BD33" i="1" s="1"/>
  <c r="BC1014" i="1"/>
  <c r="BD1014" i="1" s="1"/>
  <c r="BC665" i="1"/>
  <c r="BD665" i="1" s="1"/>
  <c r="BC909" i="1"/>
  <c r="BD909" i="1" s="1"/>
  <c r="BC859" i="1"/>
  <c r="BD859" i="1" s="1"/>
  <c r="BC285" i="1"/>
  <c r="BD285" i="1" s="1"/>
  <c r="BC1299" i="1"/>
  <c r="BD1299" i="1" s="1"/>
  <c r="BC1754" i="1"/>
  <c r="BD1754" i="1" s="1"/>
  <c r="BC461" i="1"/>
  <c r="BD461" i="1" s="1"/>
  <c r="BC1225" i="1"/>
  <c r="BD1225" i="1" s="1"/>
  <c r="BC1817" i="1"/>
  <c r="BD1817" i="1" s="1"/>
  <c r="BC1177" i="1"/>
  <c r="BD1177" i="1" s="1"/>
  <c r="BC434" i="1"/>
  <c r="BD434" i="1" s="1"/>
  <c r="BC354" i="1"/>
  <c r="BD354" i="1" s="1"/>
  <c r="BC1897" i="1"/>
  <c r="BD1897" i="1" s="1"/>
  <c r="BC290" i="1"/>
  <c r="BD290" i="1" s="1"/>
  <c r="BC1522" i="1"/>
  <c r="BD1522" i="1" s="1"/>
  <c r="BC133" i="1"/>
  <c r="BD133" i="1" s="1"/>
  <c r="BC550" i="1"/>
  <c r="BD550" i="1" s="1"/>
  <c r="BC566" i="1"/>
  <c r="BD566" i="1" s="1"/>
  <c r="BC853" i="1"/>
  <c r="BD853" i="1" s="1"/>
  <c r="BC1209" i="1"/>
  <c r="BD1209" i="1" s="1"/>
  <c r="BC1768" i="1"/>
  <c r="BD1768" i="1" s="1"/>
  <c r="BC1735" i="1"/>
  <c r="BD1735" i="1" s="1"/>
  <c r="BC200" i="1"/>
  <c r="BD200" i="1" s="1"/>
  <c r="BC664" i="1"/>
  <c r="BD664" i="1" s="1"/>
  <c r="BC494" i="1"/>
  <c r="BD494" i="1" s="1"/>
  <c r="BC1057" i="1"/>
  <c r="BD1057" i="1" s="1"/>
  <c r="BC1493" i="1"/>
  <c r="BD1493" i="1" s="1"/>
  <c r="BC477" i="1"/>
  <c r="BD477" i="1" s="1"/>
  <c r="BC1158" i="1"/>
  <c r="BD1158" i="1" s="1"/>
  <c r="BC977" i="1"/>
  <c r="BD977" i="1" s="1"/>
  <c r="BC418" i="1"/>
  <c r="BD418" i="1" s="1"/>
  <c r="BC458" i="1"/>
  <c r="BD458" i="1" s="1"/>
  <c r="BC1584" i="1"/>
  <c r="BD1584" i="1" s="1"/>
  <c r="BC967" i="1"/>
  <c r="BD967" i="1" s="1"/>
  <c r="BC152" i="1"/>
  <c r="BD152" i="1" s="1"/>
  <c r="BC1458" i="1"/>
  <c r="BD1458" i="1" s="1"/>
  <c r="BC1357" i="1"/>
  <c r="BD1357" i="1" s="1"/>
  <c r="BC1337" i="1"/>
  <c r="BD1337" i="1" s="1"/>
  <c r="BC205" i="1"/>
  <c r="BD205" i="1" s="1"/>
  <c r="BC1308" i="1"/>
  <c r="BD1308" i="1" s="1"/>
  <c r="BC1126" i="1"/>
  <c r="BD1126" i="1" s="1"/>
  <c r="BC971" i="1"/>
  <c r="BD971" i="1" s="1"/>
  <c r="BC274" i="1"/>
  <c r="BD274" i="1" s="1"/>
  <c r="BC1454" i="1"/>
  <c r="BD1454" i="1" s="1"/>
  <c r="BC1682" i="1"/>
  <c r="BD1682" i="1" s="1"/>
  <c r="BC672" i="1"/>
  <c r="BD672" i="1" s="1"/>
  <c r="BC1468" i="1"/>
  <c r="BD1468" i="1" s="1"/>
  <c r="BC1266" i="1"/>
  <c r="BD1266" i="1" s="1"/>
  <c r="BC387" i="1"/>
  <c r="BD387" i="1" s="1"/>
  <c r="BC1791" i="1"/>
  <c r="BD1791" i="1" s="1"/>
  <c r="BC1524" i="1"/>
  <c r="BD1524" i="1" s="1"/>
  <c r="BC1515" i="1"/>
  <c r="BD1515" i="1" s="1"/>
  <c r="BC1653" i="1"/>
  <c r="BD1653" i="1" s="1"/>
  <c r="BC1625" i="1"/>
  <c r="BD1625" i="1" s="1"/>
  <c r="BC612" i="1"/>
  <c r="BD612" i="1" s="1"/>
  <c r="BC690" i="1"/>
  <c r="BD690" i="1" s="1"/>
  <c r="BC1375" i="1"/>
  <c r="BD1375" i="1" s="1"/>
  <c r="BC1300" i="1"/>
  <c r="BD1300" i="1" s="1"/>
  <c r="BC857" i="1"/>
  <c r="BD857" i="1" s="1"/>
  <c r="BC830" i="1"/>
  <c r="BD830" i="1" s="1"/>
  <c r="BC759" i="1"/>
  <c r="BD759" i="1" s="1"/>
  <c r="BC1870" i="1"/>
  <c r="BD1870" i="1" s="1"/>
  <c r="BC251" i="1"/>
  <c r="BD251" i="1" s="1"/>
  <c r="BC143" i="1"/>
  <c r="BD143" i="1" s="1"/>
  <c r="BC1823" i="1"/>
  <c r="BD1823" i="1" s="1"/>
  <c r="BC81" i="1"/>
  <c r="BD81" i="1" s="1"/>
  <c r="BC129" i="1"/>
  <c r="BD129" i="1" s="1"/>
  <c r="BC1998" i="1"/>
  <c r="BD1998" i="1" s="1"/>
  <c r="BC1552" i="1"/>
  <c r="BD1552" i="1" s="1"/>
  <c r="BC564" i="1"/>
  <c r="BD564" i="1" s="1"/>
  <c r="BC1075" i="1"/>
  <c r="BD1075" i="1" s="1"/>
  <c r="BC380" i="1"/>
  <c r="BD380" i="1" s="1"/>
  <c r="BC149" i="1"/>
  <c r="BD149" i="1" s="1"/>
  <c r="BC1226" i="1"/>
  <c r="BD1226" i="1" s="1"/>
  <c r="BC782" i="1"/>
  <c r="BD782" i="1" s="1"/>
  <c r="BC1274" i="1"/>
  <c r="BD1274" i="1" s="1"/>
  <c r="BC184" i="1"/>
  <c r="BD184" i="1" s="1"/>
  <c r="BC533" i="1"/>
  <c r="BD533" i="1" s="1"/>
  <c r="BC1554" i="1"/>
  <c r="BD1554" i="1" s="1"/>
  <c r="BC219" i="1"/>
  <c r="BD219" i="1" s="1"/>
  <c r="BC1807" i="1"/>
  <c r="BD1807" i="1" s="1"/>
  <c r="BC1313" i="1"/>
  <c r="BD1313" i="1" s="1"/>
  <c r="BC1963" i="1"/>
  <c r="BD1963" i="1" s="1"/>
  <c r="BC1346" i="1"/>
  <c r="BD1346" i="1" s="1"/>
  <c r="BC770" i="1"/>
  <c r="BD770" i="1" s="1"/>
  <c r="BC1131" i="1"/>
  <c r="BD1131" i="1" s="1"/>
  <c r="BC561" i="1"/>
  <c r="BD561" i="1" s="1"/>
  <c r="BC1793" i="1"/>
  <c r="BD1793" i="1" s="1"/>
  <c r="BC1193" i="1"/>
  <c r="BD1193" i="1" s="1"/>
  <c r="BC230" i="1"/>
  <c r="BD230" i="1" s="1"/>
  <c r="BC186" i="1"/>
  <c r="BD186" i="1" s="1"/>
  <c r="BC1408" i="1"/>
  <c r="BD1408" i="1" s="1"/>
  <c r="BC128" i="1"/>
  <c r="BD128" i="1" s="1"/>
  <c r="BC1901" i="1"/>
  <c r="BD1901" i="1" s="1"/>
  <c r="BC1890" i="1"/>
  <c r="BD1890" i="1" s="1"/>
  <c r="BC1398" i="1"/>
  <c r="BD1398" i="1" s="1"/>
  <c r="BC197" i="1"/>
  <c r="BD197" i="1" s="1"/>
  <c r="BC1254" i="1"/>
  <c r="BD1254" i="1" s="1"/>
  <c r="BC1106" i="1"/>
  <c r="BD1106" i="1" s="1"/>
  <c r="BC1268" i="1"/>
  <c r="BD1268" i="1" s="1"/>
  <c r="BC654" i="1"/>
  <c r="BD654" i="1" s="1"/>
  <c r="BC156" i="1"/>
  <c r="BD156" i="1" s="1"/>
  <c r="BC104" i="1"/>
  <c r="BD104" i="1" s="1"/>
  <c r="BC1650" i="1"/>
  <c r="BD1650" i="1" s="1"/>
  <c r="BC1590" i="1"/>
  <c r="BD1590" i="1" s="1"/>
  <c r="BC432" i="1"/>
  <c r="BD432" i="1" s="1"/>
  <c r="BC838" i="1"/>
  <c r="BD838" i="1" s="1"/>
  <c r="BC483" i="1"/>
  <c r="BD483" i="1" s="1"/>
  <c r="BC69" i="1"/>
  <c r="BD69" i="1" s="1"/>
  <c r="BC1130" i="1"/>
  <c r="BD1130" i="1" s="1"/>
  <c r="BC1176" i="1"/>
  <c r="BD1176" i="1" s="1"/>
  <c r="BC331" i="1"/>
  <c r="BD331" i="1" s="1"/>
  <c r="BC1657" i="1"/>
  <c r="BD1657" i="1" s="1"/>
  <c r="BC1472" i="1"/>
  <c r="BD1472" i="1" s="1"/>
  <c r="BC1975" i="1"/>
  <c r="BD1975" i="1" s="1"/>
  <c r="BC1836" i="1"/>
  <c r="BD1836" i="1" s="1"/>
  <c r="BC1918" i="1"/>
  <c r="BD1918" i="1" s="1"/>
  <c r="BC1771" i="1"/>
  <c r="BD1771" i="1" s="1"/>
  <c r="BC1204" i="1"/>
  <c r="BD1204" i="1" s="1"/>
  <c r="BC1365" i="1"/>
  <c r="BD1365" i="1" s="1"/>
  <c r="BC916" i="1"/>
  <c r="BD916" i="1" s="1"/>
  <c r="BC448" i="1"/>
  <c r="BD448" i="1" s="1"/>
  <c r="BC227" i="1"/>
  <c r="BD227" i="1" s="1"/>
  <c r="BC671" i="1"/>
  <c r="BD671" i="1" s="1"/>
  <c r="BC1663" i="1"/>
  <c r="BD1663" i="1" s="1"/>
  <c r="BC1707" i="1"/>
  <c r="BD1707" i="1" s="1"/>
  <c r="BC95" i="1"/>
  <c r="BD95" i="1" s="1"/>
  <c r="BC597" i="1"/>
  <c r="BD597" i="1" s="1"/>
  <c r="BC992" i="1"/>
  <c r="BD992" i="1" s="1"/>
  <c r="BC942" i="1"/>
  <c r="BD942" i="1" s="1"/>
  <c r="BC1899" i="1"/>
  <c r="BD1899" i="1" s="1"/>
  <c r="BC269" i="1"/>
  <c r="BD269" i="1" s="1"/>
  <c r="BC1076" i="1"/>
  <c r="BD1076" i="1" s="1"/>
  <c r="BC505" i="1"/>
  <c r="BD505" i="1" s="1"/>
  <c r="BC1538" i="1"/>
  <c r="BD1538" i="1" s="1"/>
  <c r="BC207" i="1"/>
  <c r="BD207" i="1" s="1"/>
  <c r="BC546" i="1"/>
  <c r="BD546" i="1" s="1"/>
  <c r="BC1621" i="1"/>
  <c r="BD1621" i="1" s="1"/>
  <c r="BC173" i="1"/>
  <c r="BD173" i="1" s="1"/>
  <c r="BC1537" i="1"/>
  <c r="BD1537" i="1" s="1"/>
  <c r="BC1618" i="1"/>
  <c r="BD1618" i="1" s="1"/>
  <c r="BC1825" i="1"/>
  <c r="BD1825" i="1" s="1"/>
  <c r="BC625" i="1"/>
  <c r="BD625" i="1" s="1"/>
  <c r="BC542" i="1"/>
  <c r="BD542" i="1" s="1"/>
  <c r="BC1911" i="1"/>
  <c r="BD1911" i="1" s="1"/>
  <c r="BC498" i="1"/>
  <c r="BD498" i="1" s="1"/>
  <c r="BC1606" i="1"/>
  <c r="BD1606" i="1" s="1"/>
  <c r="BC392" i="1"/>
  <c r="BD392" i="1" s="1"/>
  <c r="BC979" i="1"/>
  <c r="BD979" i="1" s="1"/>
  <c r="BC1043" i="1"/>
  <c r="BD1043" i="1" s="1"/>
  <c r="BC1635" i="1"/>
  <c r="BD1635" i="1" s="1"/>
  <c r="BC395" i="1"/>
  <c r="BD395" i="1" s="1"/>
  <c r="BC1362" i="1"/>
  <c r="BD1362" i="1" s="1"/>
  <c r="BC882" i="1"/>
  <c r="BD882" i="1" s="1"/>
  <c r="BC1977" i="1"/>
  <c r="BD1977" i="1" s="1"/>
  <c r="BC965" i="1"/>
  <c r="BD965" i="1" s="1"/>
  <c r="BC23" i="1"/>
  <c r="BD23" i="1" s="1"/>
  <c r="BC1641" i="1"/>
  <c r="BD1641" i="1" s="1"/>
  <c r="BC816" i="1"/>
  <c r="BD816" i="1" s="1"/>
  <c r="BC789" i="1"/>
  <c r="BD789" i="1" s="1"/>
  <c r="BC1104" i="1"/>
  <c r="BD1104" i="1" s="1"/>
  <c r="BC1785" i="1"/>
  <c r="BD1785" i="1" s="1"/>
  <c r="BC1744" i="1"/>
  <c r="BD1744" i="1" s="1"/>
  <c r="BC813" i="1"/>
  <c r="BD813" i="1" s="1"/>
  <c r="BC464" i="1"/>
  <c r="BD464" i="1" s="1"/>
  <c r="BC1656" i="1"/>
  <c r="BD1656" i="1" s="1"/>
  <c r="BC323" i="1"/>
  <c r="BD323" i="1" s="1"/>
  <c r="BC1597" i="1"/>
  <c r="BD1597" i="1" s="1"/>
  <c r="BC1302" i="1"/>
  <c r="BD1302" i="1" s="1"/>
  <c r="BC8" i="1"/>
  <c r="BD8" i="1" s="1"/>
  <c r="BC1064" i="1"/>
  <c r="BD1064" i="1" s="1"/>
  <c r="BC1655" i="1"/>
  <c r="BD1655" i="1" s="1"/>
  <c r="BC702" i="1"/>
  <c r="BD702" i="1" s="1"/>
  <c r="BC1180" i="1"/>
  <c r="BD1180" i="1" s="1"/>
  <c r="BC1128" i="1"/>
  <c r="BD1128" i="1" s="1"/>
  <c r="BC1691" i="1"/>
  <c r="BD1691" i="1" s="1"/>
  <c r="BC970" i="1"/>
  <c r="BD970" i="1" s="1"/>
  <c r="BC1507" i="1"/>
  <c r="BD1507" i="1" s="1"/>
  <c r="BC1678" i="1"/>
  <c r="BD1678" i="1" s="1"/>
  <c r="BC1432" i="1"/>
  <c r="BD1432" i="1" s="1"/>
  <c r="BC2005" i="1"/>
  <c r="BD2005" i="1" s="1"/>
  <c r="BC397" i="1"/>
  <c r="BD397" i="1" s="1"/>
  <c r="BC683" i="1"/>
  <c r="BD683" i="1" s="1"/>
  <c r="BC1944" i="1"/>
  <c r="BD1944" i="1" s="1"/>
  <c r="BC150" i="1"/>
  <c r="BD150" i="1" s="1"/>
  <c r="BC713" i="1"/>
  <c r="BD713" i="1" s="1"/>
  <c r="BC1904" i="1"/>
  <c r="BD1904" i="1" s="1"/>
  <c r="BC192" i="1"/>
  <c r="BD192" i="1" s="1"/>
  <c r="BC341" i="1"/>
  <c r="BD341" i="1" s="1"/>
  <c r="BC1053" i="1"/>
  <c r="BD1053" i="1" s="1"/>
  <c r="BC1504" i="1"/>
  <c r="BD1504" i="1" s="1"/>
  <c r="BC1427" i="1"/>
  <c r="BD1427" i="1" s="1"/>
  <c r="BC154" i="1"/>
  <c r="BD154" i="1" s="1"/>
  <c r="BC520" i="1"/>
  <c r="BD520" i="1" s="1"/>
  <c r="BC1290" i="1"/>
  <c r="BD1290" i="1" s="1"/>
  <c r="BC848" i="1"/>
  <c r="BD848" i="1" s="1"/>
  <c r="BC38" i="1"/>
  <c r="BD38" i="1" s="1"/>
  <c r="BC554" i="1"/>
  <c r="BD554" i="1" s="1"/>
  <c r="BC1981" i="1"/>
  <c r="BD1981" i="1" s="1"/>
  <c r="BC476" i="1"/>
  <c r="BD476" i="1" s="1"/>
  <c r="BC841" i="1"/>
  <c r="BD841" i="1" s="1"/>
  <c r="BC917" i="1"/>
  <c r="BD917" i="1" s="1"/>
  <c r="BC127" i="1"/>
  <c r="BD127" i="1" s="1"/>
  <c r="BC1171" i="1"/>
  <c r="BD1171" i="1" s="1"/>
  <c r="BC1587" i="1"/>
  <c r="BD1587" i="1" s="1"/>
  <c r="BC577" i="1"/>
  <c r="BD577" i="1" s="1"/>
  <c r="BC449" i="1"/>
  <c r="BD449" i="1" s="1"/>
  <c r="BC748" i="1"/>
  <c r="BD748" i="1" s="1"/>
  <c r="BC535" i="1"/>
  <c r="BD535" i="1" s="1"/>
  <c r="BC1647" i="1"/>
  <c r="BD1647" i="1" s="1"/>
  <c r="BC300" i="1"/>
  <c r="BD300" i="1" s="1"/>
  <c r="BC91" i="1"/>
  <c r="BD91" i="1" s="1"/>
  <c r="BC332" i="1"/>
  <c r="BD332" i="1" s="1"/>
  <c r="BC661" i="1"/>
  <c r="BD661" i="1" s="1"/>
  <c r="BC98" i="1"/>
  <c r="BD98" i="1" s="1"/>
  <c r="BC1297" i="1"/>
  <c r="BD1297" i="1" s="1"/>
  <c r="BC1389" i="1"/>
  <c r="BD1389" i="1" s="1"/>
  <c r="BC1305" i="1"/>
  <c r="BD1305" i="1" s="1"/>
  <c r="BC257" i="1"/>
  <c r="BD257" i="1" s="1"/>
  <c r="BC276" i="1"/>
  <c r="BD276" i="1" s="1"/>
  <c r="BC995" i="1"/>
  <c r="BD995" i="1" s="1"/>
  <c r="BC1712" i="1"/>
  <c r="BD1712" i="1" s="1"/>
  <c r="BC1035" i="1"/>
  <c r="BD1035" i="1" s="1"/>
  <c r="BC1419" i="1"/>
  <c r="BD1419" i="1" s="1"/>
  <c r="BC1447" i="1"/>
  <c r="BD1447" i="1" s="1"/>
  <c r="BC919" i="1"/>
  <c r="BD919" i="1" s="1"/>
  <c r="BC989" i="1"/>
  <c r="BD989" i="1" s="1"/>
  <c r="BC445" i="1"/>
  <c r="BD445" i="1" s="1"/>
  <c r="BC67" i="1"/>
  <c r="BD67" i="1" s="1"/>
  <c r="BC1096" i="1"/>
  <c r="BD1096" i="1" s="1"/>
  <c r="BC1696" i="1"/>
  <c r="BD1696" i="1" s="1"/>
  <c r="BC157" i="1"/>
  <c r="BD157" i="1" s="1"/>
  <c r="BC1258" i="1"/>
  <c r="BD1258" i="1" s="1"/>
  <c r="BC393" i="1"/>
  <c r="BD393" i="1" s="1"/>
  <c r="BC1168" i="1"/>
  <c r="BD1168" i="1" s="1"/>
  <c r="BC1243" i="1"/>
  <c r="BD1243" i="1" s="1"/>
  <c r="BC1090" i="1"/>
  <c r="BD1090" i="1" s="1"/>
  <c r="BC1591" i="1"/>
  <c r="BD1591" i="1" s="1"/>
  <c r="BC1816" i="1"/>
  <c r="BD1816" i="1" s="1"/>
  <c r="BC1110" i="1"/>
  <c r="BD1110" i="1" s="1"/>
  <c r="BC1436" i="1"/>
  <c r="BD1436" i="1" s="1"/>
  <c r="BC1759" i="1"/>
  <c r="BD1759" i="1" s="1"/>
  <c r="BC1391" i="1"/>
  <c r="BD1391" i="1" s="1"/>
  <c r="BC1486" i="1"/>
  <c r="BD1486" i="1" s="1"/>
  <c r="BC586" i="1"/>
  <c r="BD586" i="1" s="1"/>
  <c r="BC563" i="1"/>
  <c r="BD563" i="1" s="1"/>
  <c r="BC1109" i="1"/>
  <c r="BD1109" i="1" s="1"/>
  <c r="BC430" i="1"/>
  <c r="BD430" i="1" s="1"/>
  <c r="BC1955" i="1"/>
  <c r="BD1955" i="1" s="1"/>
  <c r="BC966" i="1"/>
  <c r="BD966" i="1" s="1"/>
  <c r="BC1496" i="1"/>
  <c r="BD1496" i="1" s="1"/>
  <c r="BC1440" i="1"/>
  <c r="BD1440" i="1" s="1"/>
  <c r="BC222" i="1"/>
  <c r="BD222" i="1" s="1"/>
  <c r="BC1615" i="1"/>
  <c r="BD1615" i="1" s="1"/>
  <c r="BC1514" i="1"/>
  <c r="BD1514" i="1" s="1"/>
  <c r="BC1781" i="1"/>
  <c r="BD1781" i="1" s="1"/>
  <c r="BC928" i="1"/>
  <c r="BD928" i="1" s="1"/>
  <c r="BC291" i="1"/>
  <c r="BD291" i="1" s="1"/>
  <c r="BC1777" i="1"/>
  <c r="BD1777" i="1" s="1"/>
  <c r="BC1421" i="1"/>
  <c r="BD1421" i="1" s="1"/>
  <c r="BC1079" i="1"/>
  <c r="BD1079" i="1" s="1"/>
  <c r="BC480" i="1"/>
  <c r="BD480" i="1" s="1"/>
  <c r="BC1499" i="1"/>
  <c r="BD1499" i="1" s="1"/>
  <c r="BC1865" i="1"/>
  <c r="BD1865" i="1" s="1"/>
  <c r="BC660" i="1"/>
  <c r="BD660" i="1" s="1"/>
  <c r="BC1289" i="1"/>
  <c r="BD1289" i="1" s="1"/>
  <c r="BC1715" i="1"/>
  <c r="BD1715" i="1" s="1"/>
  <c r="BC1098" i="1"/>
  <c r="BD1098" i="1" s="1"/>
  <c r="BC185" i="1"/>
  <c r="BD185" i="1" s="1"/>
  <c r="BC602" i="1"/>
  <c r="BD602" i="1" s="1"/>
  <c r="BC1452" i="1"/>
  <c r="BD1452" i="1" s="1"/>
  <c r="BC1072" i="1"/>
  <c r="BD1072" i="1" s="1"/>
  <c r="BC609" i="1"/>
  <c r="BD609" i="1" s="1"/>
  <c r="BC1413" i="1"/>
  <c r="BD1413" i="1" s="1"/>
  <c r="BC179" i="1"/>
  <c r="BD179" i="1" s="1"/>
  <c r="BC24" i="1"/>
  <c r="BD24" i="1" s="1"/>
  <c r="BC1476" i="1"/>
  <c r="BD1476" i="1" s="1"/>
  <c r="BC1933" i="1"/>
  <c r="BD1933" i="1" s="1"/>
  <c r="BC372" i="1"/>
  <c r="BD372" i="1" s="1"/>
  <c r="BC478" i="1"/>
  <c r="BD478" i="1" s="1"/>
  <c r="BC1497" i="1"/>
  <c r="BD1497" i="1" s="1"/>
  <c r="BC1473" i="1"/>
  <c r="BD1473" i="1" s="1"/>
  <c r="BC1969" i="1"/>
  <c r="BD1969" i="1" s="1"/>
  <c r="BC324" i="1"/>
  <c r="BD324" i="1" s="1"/>
  <c r="BC1273" i="1"/>
  <c r="BD1273" i="1" s="1"/>
  <c r="BC534" i="1"/>
  <c r="BD534" i="1" s="1"/>
  <c r="BC176" i="1"/>
  <c r="BD176" i="1" s="1"/>
  <c r="BC1692" i="1"/>
  <c r="BD1692" i="1" s="1"/>
  <c r="BC1668" i="1"/>
  <c r="BD1668" i="1" s="1"/>
  <c r="BC900" i="1"/>
  <c r="BD900" i="1" s="1"/>
  <c r="BC1887" i="1"/>
  <c r="BD1887" i="1" s="1"/>
  <c r="BC874" i="1"/>
  <c r="BD874" i="1" s="1"/>
  <c r="BC1954" i="1"/>
  <c r="BD1954" i="1" s="1"/>
  <c r="BC562" i="1"/>
  <c r="BD562" i="1" s="1"/>
  <c r="BC1659" i="1"/>
  <c r="BD1659" i="1" s="1"/>
  <c r="BC1662" i="1"/>
  <c r="BD1662" i="1" s="1"/>
  <c r="BC1167" i="1"/>
  <c r="BD1167" i="1" s="1"/>
  <c r="BC734" i="1"/>
  <c r="BD734" i="1" s="1"/>
  <c r="BC1058" i="1"/>
  <c r="BD1058" i="1" s="1"/>
  <c r="BC955" i="1"/>
  <c r="BD955" i="1" s="1"/>
  <c r="BC457" i="1"/>
  <c r="BD457" i="1" s="1"/>
  <c r="BC819" i="1"/>
  <c r="BD819" i="1" s="1"/>
  <c r="BC1435" i="1"/>
  <c r="BD1435" i="1" s="1"/>
  <c r="BC364" i="1"/>
  <c r="BD364" i="1" s="1"/>
  <c r="BC1704" i="1"/>
  <c r="BD1704" i="1" s="1"/>
  <c r="BC1706" i="1"/>
  <c r="BD1706" i="1" s="1"/>
  <c r="BC379" i="1"/>
  <c r="BD379" i="1" s="1"/>
  <c r="BC1930" i="1"/>
  <c r="BD1930" i="1" s="1"/>
  <c r="BC932" i="1"/>
  <c r="BD932" i="1" s="1"/>
  <c r="BC94" i="1"/>
  <c r="BD94" i="1" s="1"/>
  <c r="BC1479" i="1"/>
  <c r="BD1479" i="1" s="1"/>
  <c r="BC496" i="1"/>
  <c r="BD496" i="1" s="1"/>
  <c r="BC781" i="1"/>
  <c r="BD781" i="1" s="1"/>
  <c r="BC1334" i="1"/>
  <c r="BD1334" i="1" s="1"/>
  <c r="BC1461" i="1"/>
  <c r="BD1461" i="1" s="1"/>
  <c r="BC996" i="1"/>
  <c r="BD996" i="1" s="1"/>
  <c r="BC854" i="1"/>
  <c r="BD854" i="1" s="1"/>
  <c r="BC706" i="1"/>
  <c r="BD706" i="1" s="1"/>
  <c r="BC1038" i="1"/>
  <c r="BD1038" i="1" s="1"/>
  <c r="BC903" i="1"/>
  <c r="BD903" i="1" s="1"/>
  <c r="BC55" i="1"/>
  <c r="BD55" i="1" s="1"/>
  <c r="BC560" i="1"/>
  <c r="BD560" i="1" s="1"/>
  <c r="BC1127" i="1"/>
  <c r="BD1127" i="1" s="1"/>
  <c r="BC1456" i="1"/>
  <c r="BD1456" i="1" s="1"/>
  <c r="BC1157" i="1"/>
  <c r="BD1157" i="1" s="1"/>
  <c r="BC488" i="1"/>
  <c r="BD488" i="1" s="1"/>
  <c r="BC88" i="1"/>
  <c r="BD88" i="1" s="1"/>
  <c r="BC983" i="1"/>
  <c r="BD983" i="1" s="1"/>
  <c r="BC453" i="1"/>
  <c r="BD453" i="1" s="1"/>
  <c r="BC1393" i="1"/>
  <c r="BD1393" i="1" s="1"/>
  <c r="BC824" i="1"/>
  <c r="BD824" i="1" s="1"/>
  <c r="BC640" i="1"/>
  <c r="BD640" i="1" s="1"/>
  <c r="BC313" i="1"/>
  <c r="BD313" i="1" s="1"/>
  <c r="BC635" i="1"/>
  <c r="BD635" i="1" s="1"/>
  <c r="BC135" i="1"/>
  <c r="BD135" i="1" s="1"/>
  <c r="BC1443" i="1"/>
  <c r="BD1443" i="1" s="1"/>
  <c r="BC1338" i="1"/>
  <c r="BD1338" i="1" s="1"/>
  <c r="BC1708" i="1"/>
  <c r="BD1708" i="1" s="1"/>
  <c r="BC1350" i="1"/>
  <c r="BD1350" i="1" s="1"/>
  <c r="BC352" i="1"/>
  <c r="BD352" i="1" s="1"/>
  <c r="BC76" i="1"/>
  <c r="BD76" i="1" s="1"/>
  <c r="BC1994" i="1"/>
  <c r="BD1994" i="1" s="1"/>
  <c r="BC194" i="1"/>
  <c r="BD194" i="1" s="1"/>
  <c r="BC1360" i="1"/>
  <c r="BD1360" i="1" s="1"/>
  <c r="BC1032" i="1"/>
  <c r="BD1032" i="1" s="1"/>
  <c r="BC926" i="1"/>
  <c r="BD926" i="1" s="1"/>
  <c r="BC698" i="1"/>
  <c r="BD698" i="1" s="1"/>
  <c r="BC716" i="1"/>
  <c r="BD716" i="1" s="1"/>
  <c r="BC66" i="1"/>
  <c r="BD66" i="1" s="1"/>
  <c r="BC363" i="1"/>
  <c r="BD363" i="1" s="1"/>
  <c r="BC1725" i="1"/>
  <c r="BD1725" i="1" s="1"/>
  <c r="BC1025" i="1"/>
  <c r="BD1025" i="1" s="1"/>
  <c r="BC994" i="1"/>
  <c r="BD994" i="1" s="1"/>
  <c r="BC1459" i="1"/>
  <c r="BD1459" i="1" s="1"/>
  <c r="BC1409" i="1"/>
  <c r="BD1409" i="1" s="1"/>
  <c r="BC1534" i="1"/>
  <c r="BD1534" i="1" s="1"/>
  <c r="BC1120" i="1"/>
  <c r="BD1120" i="1" s="1"/>
  <c r="BC823" i="1"/>
  <c r="BD823" i="1" s="1"/>
  <c r="BC938" i="1"/>
  <c r="BD938" i="1" s="1"/>
  <c r="BC1383" i="1"/>
  <c r="BD1383" i="1" s="1"/>
  <c r="BC68" i="1"/>
  <c r="BD68" i="1" s="1"/>
  <c r="BC126" i="1"/>
  <c r="BD126" i="1" s="1"/>
  <c r="BC836" i="1"/>
  <c r="BD836" i="1" s="1"/>
  <c r="BC337" i="1"/>
  <c r="BD337" i="1" s="1"/>
  <c r="BC119" i="1"/>
  <c r="BD119" i="1" s="1"/>
  <c r="BC1165" i="1"/>
  <c r="BD1165" i="1" s="1"/>
  <c r="BC576" i="1"/>
  <c r="BD576" i="1" s="1"/>
  <c r="BC872" i="1"/>
  <c r="BD872" i="1" s="1"/>
  <c r="BC941" i="1"/>
  <c r="BD941" i="1" s="1"/>
  <c r="BC1323" i="1"/>
  <c r="BD1323" i="1" s="1"/>
  <c r="BC1327" i="1"/>
  <c r="BD1327" i="1" s="1"/>
  <c r="BC1974" i="1"/>
  <c r="BD1974" i="1" s="1"/>
  <c r="BC888" i="1"/>
  <c r="BD888" i="1" s="1"/>
  <c r="BC1775" i="1"/>
  <c r="BD1775" i="1" s="1"/>
  <c r="BC2016" i="1"/>
  <c r="BD2016" i="1" s="1"/>
  <c r="BC1085" i="1"/>
  <c r="BD1085" i="1" s="1"/>
  <c r="BC136" i="1"/>
  <c r="BD136" i="1" s="1"/>
  <c r="BC348" i="1"/>
  <c r="BD348" i="1" s="1"/>
  <c r="BC317" i="1"/>
  <c r="BD317" i="1" s="1"/>
  <c r="BC1868" i="1"/>
  <c r="BD1868" i="1" s="1"/>
  <c r="BC1141" i="1"/>
  <c r="BD1141" i="1" s="1"/>
  <c r="BC669" i="1"/>
  <c r="BD669" i="1" s="1"/>
  <c r="BC373" i="1"/>
  <c r="BD373" i="1" s="1"/>
  <c r="BC405" i="1"/>
  <c r="BD405" i="1" s="1"/>
  <c r="BC795" i="1"/>
  <c r="BD795" i="1" s="1"/>
  <c r="BC1796" i="1"/>
  <c r="BD1796" i="1" s="1"/>
  <c r="BC1895" i="1"/>
  <c r="BD1895" i="1" s="1"/>
  <c r="BC1741" i="1"/>
  <c r="BD1741" i="1" s="1"/>
  <c r="BC1332" i="1"/>
  <c r="BD1332" i="1" s="1"/>
  <c r="BC579" i="1"/>
  <c r="BD579" i="1" s="1"/>
  <c r="BC1199" i="1"/>
  <c r="BD1199" i="1" s="1"/>
  <c r="BC256" i="1"/>
  <c r="BD256" i="1" s="1"/>
  <c r="BC1374" i="1"/>
  <c r="BD1374" i="1" s="1"/>
  <c r="BC1050" i="1"/>
  <c r="BD1050" i="1" s="1"/>
  <c r="BC802" i="1"/>
  <c r="BD802" i="1" s="1"/>
  <c r="BC1891" i="1"/>
  <c r="BD1891" i="1" s="1"/>
  <c r="BC65" i="1"/>
  <c r="BD65" i="1" s="1"/>
  <c r="BC1417" i="1"/>
  <c r="BD1417" i="1" s="1"/>
  <c r="BC1173" i="1"/>
  <c r="BD1173" i="1" s="1"/>
  <c r="BC605" i="1"/>
  <c r="BD605" i="1" s="1"/>
  <c r="BC1330" i="1"/>
  <c r="BD1330" i="1" s="1"/>
  <c r="BC1062" i="1"/>
  <c r="BD1062" i="1" s="1"/>
  <c r="BC1530" i="1"/>
  <c r="BD1530" i="1" s="1"/>
  <c r="BC801" i="1"/>
  <c r="BD801" i="1" s="1"/>
  <c r="BC335" i="1"/>
  <c r="BD335" i="1" s="1"/>
  <c r="BC1557" i="1"/>
  <c r="BD1557" i="1" s="1"/>
  <c r="BC1638" i="1"/>
  <c r="BD1638" i="1" s="1"/>
  <c r="BC1772" i="1"/>
  <c r="BD1772" i="1" s="1"/>
  <c r="BC288" i="1"/>
  <c r="BD288" i="1" s="1"/>
  <c r="BC1626" i="1"/>
  <c r="BD1626" i="1" s="1"/>
  <c r="BC548" i="1"/>
  <c r="BD548" i="1" s="1"/>
  <c r="BC1869" i="1"/>
  <c r="BD1869" i="1" s="1"/>
  <c r="BC1947" i="1"/>
  <c r="BD1947" i="1" s="1"/>
  <c r="BC1685" i="1"/>
  <c r="BD1685" i="1" s="1"/>
  <c r="BC1307" i="1"/>
  <c r="BD1307" i="1" s="1"/>
  <c r="BC537" i="1"/>
  <c r="BD537" i="1" s="1"/>
  <c r="BC1888" i="1"/>
  <c r="BD1888" i="1" s="1"/>
  <c r="BC1802" i="1"/>
  <c r="BD1802" i="1" s="1"/>
  <c r="BC340" i="1"/>
  <c r="BD340" i="1" s="1"/>
  <c r="BC1122" i="1"/>
  <c r="BD1122" i="1" s="1"/>
  <c r="BC367" i="1"/>
  <c r="BD367" i="1" s="1"/>
  <c r="BC1489" i="1"/>
  <c r="BD1489" i="1" s="1"/>
  <c r="BC180" i="1"/>
  <c r="BD180" i="1" s="1"/>
  <c r="BC885" i="1"/>
  <c r="BD885" i="1" s="1"/>
  <c r="BC2008" i="1"/>
  <c r="BD2008" i="1" s="1"/>
  <c r="BC1318" i="1"/>
  <c r="BD1318" i="1" s="1"/>
  <c r="BC1996" i="1"/>
  <c r="BD1996" i="1" s="1"/>
  <c r="BC731" i="1"/>
  <c r="BD731" i="1" s="1"/>
  <c r="BC1166" i="1"/>
  <c r="BD1166" i="1" s="1"/>
  <c r="BC487" i="1"/>
  <c r="BD487" i="1" s="1"/>
  <c r="BC718" i="1"/>
  <c r="BD718" i="1" s="1"/>
  <c r="BC1301" i="1"/>
  <c r="BD1301" i="1" s="1"/>
  <c r="BC1545" i="1"/>
  <c r="BD1545" i="1" s="1"/>
  <c r="BC140" i="1"/>
  <c r="BD140" i="1" s="1"/>
  <c r="BC545" i="1"/>
  <c r="BD545" i="1" s="1"/>
  <c r="BC1092" i="1"/>
  <c r="BD1092" i="1" s="1"/>
  <c r="BC1512" i="1"/>
  <c r="BD1512" i="1" s="1"/>
  <c r="BC945" i="1"/>
  <c r="BD945" i="1" s="1"/>
  <c r="BC1491" i="1"/>
  <c r="BD1491" i="1" s="1"/>
  <c r="BC204" i="1"/>
  <c r="BD204" i="1" s="1"/>
  <c r="BC412" i="1"/>
  <c r="BD412" i="1" s="1"/>
  <c r="BC111" i="1"/>
  <c r="BD111" i="1" s="1"/>
  <c r="BC1680" i="1"/>
  <c r="BD1680" i="1" s="1"/>
  <c r="BC209" i="1"/>
  <c r="BD209" i="1" s="1"/>
  <c r="BC684" i="1"/>
  <c r="BD684" i="1" s="1"/>
  <c r="BC1214" i="1"/>
  <c r="BD1214" i="1" s="1"/>
  <c r="BC907" i="1"/>
  <c r="BD907" i="1" s="1"/>
  <c r="BC485" i="1"/>
  <c r="BD485" i="1" s="1"/>
  <c r="BC402" i="1"/>
  <c r="BD402" i="1" s="1"/>
  <c r="BC1216" i="1"/>
  <c r="BD1216" i="1" s="1"/>
  <c r="BC1430" i="1"/>
  <c r="BD1430" i="1" s="1"/>
  <c r="BC1644" i="1"/>
  <c r="BD1644" i="1" s="1"/>
  <c r="BC1377" i="1"/>
  <c r="BD1377" i="1" s="1"/>
  <c r="BC677" i="1"/>
  <c r="BD677" i="1" s="1"/>
  <c r="BC1082" i="1"/>
  <c r="BD1082" i="1" s="1"/>
  <c r="BC142" i="1"/>
  <c r="BD142" i="1" s="1"/>
  <c r="BC203" i="1"/>
  <c r="BD203" i="1" s="1"/>
  <c r="BC860" i="1"/>
  <c r="BD860" i="1" s="1"/>
  <c r="BC1292" i="1"/>
  <c r="BD1292" i="1" s="1"/>
  <c r="BC1927" i="1"/>
  <c r="BD1927" i="1" s="1"/>
  <c r="BC662" i="1"/>
  <c r="BD662" i="1" s="1"/>
  <c r="BC1540" i="1"/>
  <c r="BD1540" i="1" s="1"/>
  <c r="BC1455" i="1"/>
  <c r="BD1455" i="1" s="1"/>
  <c r="BC539" i="1"/>
  <c r="BD539" i="1" s="1"/>
  <c r="BC1388" i="1"/>
  <c r="BD1388" i="1" s="1"/>
  <c r="BC56" i="1"/>
  <c r="BD56" i="1" s="1"/>
  <c r="BC1755" i="1"/>
  <c r="BD1755" i="1" s="1"/>
  <c r="BC1359" i="1"/>
  <c r="BD1359" i="1" s="1"/>
  <c r="BC26" i="1"/>
  <c r="BD26" i="1" s="1"/>
  <c r="BC1900" i="1"/>
  <c r="BD1900" i="1" s="1"/>
  <c r="BC1787" i="1"/>
  <c r="BD1787" i="1" s="1"/>
  <c r="BC404" i="1"/>
  <c r="BD404" i="1" s="1"/>
  <c r="BC1560" i="1"/>
  <c r="BD1560" i="1" s="1"/>
  <c r="BC161" i="1"/>
  <c r="BD161" i="1" s="1"/>
  <c r="BC1558" i="1"/>
  <c r="BD1558" i="1" s="1"/>
  <c r="BC556" i="1"/>
  <c r="BD556" i="1" s="1"/>
  <c r="BC1840" i="1"/>
  <c r="BD1840" i="1" s="1"/>
  <c r="BC881" i="1"/>
  <c r="BD881" i="1" s="1"/>
  <c r="BC1263" i="1"/>
  <c r="BD1263" i="1" s="1"/>
  <c r="BC877" i="1"/>
  <c r="BD877" i="1" s="1"/>
  <c r="BC997" i="1"/>
  <c r="BD997" i="1" s="1"/>
  <c r="BC499" i="1"/>
  <c r="BD499" i="1" s="1"/>
  <c r="BC1532" i="1"/>
  <c r="BD1532" i="1" s="1"/>
  <c r="BC1016" i="1"/>
  <c r="BD1016" i="1" s="1"/>
  <c r="BC1925" i="1"/>
  <c r="BD1925" i="1" s="1"/>
  <c r="BC500" i="1"/>
  <c r="BD500" i="1" s="1"/>
  <c r="BC637" i="1"/>
  <c r="BD637" i="1" s="1"/>
  <c r="BC1105" i="1"/>
  <c r="BD1105" i="1" s="1"/>
  <c r="BC296" i="1"/>
  <c r="BD296" i="1" s="1"/>
  <c r="BC1159" i="1"/>
  <c r="BD1159" i="1" s="1"/>
  <c r="BC360" i="1"/>
  <c r="BD360" i="1" s="1"/>
  <c r="BC1464" i="1"/>
  <c r="BD1464" i="1" s="1"/>
  <c r="BC224" i="1"/>
  <c r="BD224" i="1" s="1"/>
  <c r="BC164" i="1"/>
  <c r="BD164" i="1" s="1"/>
  <c r="BC1617" i="1"/>
  <c r="BD1617" i="1" s="1"/>
  <c r="BC1312" i="1"/>
  <c r="BD1312" i="1" s="1"/>
  <c r="BC1903" i="1"/>
  <c r="BD1903" i="1" s="1"/>
  <c r="BC865" i="1"/>
  <c r="BD865" i="1" s="1"/>
  <c r="BC1738" i="1"/>
  <c r="BD1738" i="1" s="1"/>
  <c r="BC1914" i="1"/>
  <c r="BD1914" i="1" s="1"/>
  <c r="BC1144" i="1"/>
  <c r="BD1144" i="1" s="1"/>
  <c r="BC1651" i="1"/>
  <c r="BD1651" i="1" s="1"/>
  <c r="BC1849" i="1"/>
  <c r="BD1849" i="1" s="1"/>
  <c r="BC1810" i="1"/>
  <c r="BD1810" i="1" s="1"/>
  <c r="BC1364" i="1"/>
  <c r="BD1364" i="1" s="1"/>
  <c r="BC1068" i="1"/>
  <c r="BD1068" i="1" s="1"/>
  <c r="BC1262" i="1"/>
  <c r="BD1262" i="1" s="1"/>
  <c r="BC800" i="1"/>
  <c r="BD800" i="1" s="1"/>
  <c r="BC518" i="1"/>
  <c r="BD518" i="1" s="1"/>
  <c r="BC631" i="1"/>
  <c r="BD631" i="1" s="1"/>
  <c r="BC1218" i="1"/>
  <c r="BD1218" i="1" s="1"/>
  <c r="BC829" i="1"/>
  <c r="BD829" i="1" s="1"/>
  <c r="BC438" i="1"/>
  <c r="BD438" i="1" s="1"/>
  <c r="BC590" i="1"/>
  <c r="BD590" i="1" s="1"/>
  <c r="BC720" i="1"/>
  <c r="BD720" i="1" s="1"/>
  <c r="BC221" i="1"/>
  <c r="BD221" i="1" s="1"/>
  <c r="BC1727" i="1"/>
  <c r="BD1727" i="1" s="1"/>
  <c r="BC797" i="1"/>
  <c r="BD797" i="1" s="1"/>
  <c r="BC1846" i="1"/>
  <c r="BD1846" i="1" s="1"/>
  <c r="BC1212" i="1"/>
  <c r="BD1212" i="1" s="1"/>
  <c r="BC97" i="1"/>
  <c r="BD97" i="1" s="1"/>
  <c r="BC1347" i="1"/>
  <c r="BD1347" i="1" s="1"/>
  <c r="BC961" i="1"/>
  <c r="BD961" i="1" s="1"/>
  <c r="BC742" i="1"/>
  <c r="BD742" i="1" s="1"/>
  <c r="BC1639" i="1"/>
  <c r="BD1639" i="1" s="1"/>
  <c r="BC1490" i="1"/>
  <c r="BD1490" i="1" s="1"/>
  <c r="BC1099" i="1"/>
  <c r="BD1099" i="1" s="1"/>
  <c r="BC1612" i="1"/>
  <c r="BD1612" i="1" s="1"/>
  <c r="BC1936" i="1"/>
  <c r="BD1936" i="1" s="1"/>
  <c r="BC866" i="1"/>
  <c r="BD866" i="1" s="1"/>
  <c r="BC1012" i="1"/>
  <c r="BD1012" i="1" s="1"/>
  <c r="BC1086" i="1"/>
  <c r="BD1086" i="1" s="1"/>
  <c r="BC785" i="1"/>
  <c r="BD785" i="1" s="1"/>
  <c r="BC1784" i="1"/>
  <c r="BD1784" i="1" s="1"/>
  <c r="BC307" i="1"/>
  <c r="BD307" i="1" s="1"/>
  <c r="BC1328" i="1"/>
  <c r="BD1328" i="1" s="1"/>
  <c r="BC752" i="1"/>
  <c r="BD752" i="1" s="1"/>
  <c r="BC2003" i="1"/>
  <c r="BD2003" i="1" s="1"/>
  <c r="BC188" i="1"/>
  <c r="BD188" i="1" s="1"/>
  <c r="BC342" i="1"/>
  <c r="BD342" i="1" s="1"/>
  <c r="BC1731" i="1"/>
  <c r="BD1731" i="1" s="1"/>
  <c r="BC220" i="1"/>
  <c r="BD220" i="1" s="1"/>
  <c r="BC459" i="1"/>
  <c r="BD459" i="1" s="1"/>
  <c r="BC214" i="1"/>
  <c r="BD214" i="1" s="1"/>
  <c r="BC1378" i="1"/>
  <c r="BD1378" i="1" s="1"/>
  <c r="BC1551" i="1"/>
  <c r="BD1551" i="1" s="1"/>
  <c r="BC327" i="1"/>
  <c r="BD327" i="1" s="1"/>
  <c r="BC957" i="1"/>
  <c r="BD957" i="1" s="1"/>
  <c r="BC1275" i="1"/>
  <c r="BD1275" i="1" s="1"/>
  <c r="BC1339" i="1"/>
  <c r="BD1339" i="1" s="1"/>
  <c r="BC302" i="1"/>
  <c r="BD302" i="1" s="1"/>
  <c r="BC334" i="1"/>
  <c r="BD334" i="1" s="1"/>
  <c r="BC390" i="1"/>
  <c r="BD390" i="1" s="1"/>
  <c r="BC79" i="1"/>
  <c r="BD79" i="1" s="1"/>
  <c r="BC144" i="1"/>
  <c r="BD144" i="1" s="1"/>
  <c r="BC901" i="1"/>
  <c r="BD901" i="1" s="1"/>
  <c r="BC1716" i="1"/>
  <c r="BD1716" i="1" s="1"/>
  <c r="BC808" i="1"/>
  <c r="BD808" i="1" s="1"/>
  <c r="BC613" i="1"/>
  <c r="BD613" i="1" s="1"/>
  <c r="BC306" i="1"/>
  <c r="BD306" i="1" s="1"/>
  <c r="BC1815" i="1"/>
  <c r="BD1815" i="1" s="1"/>
  <c r="BC507" i="1"/>
  <c r="BD507" i="1" s="1"/>
  <c r="BC1570" i="1"/>
  <c r="BD1570" i="1" s="1"/>
  <c r="BC1449" i="1"/>
  <c r="BD1449" i="1" s="1"/>
  <c r="BC1984" i="1"/>
  <c r="BD1984" i="1" s="1"/>
  <c r="BC629" i="1"/>
  <c r="BD629" i="1" s="1"/>
  <c r="BC806" i="1"/>
  <c r="BD806" i="1" s="1"/>
  <c r="BC1953" i="1"/>
  <c r="BD1953" i="1" s="1"/>
  <c r="BC962" i="1"/>
  <c r="BD962" i="1" s="1"/>
  <c r="BC869" i="1"/>
  <c r="BD869" i="1" s="1"/>
  <c r="BC50" i="1"/>
  <c r="BD50" i="1" s="1"/>
  <c r="BC1588" i="1"/>
  <c r="BD1588" i="1" s="1"/>
  <c r="BC501" i="1"/>
  <c r="BD501" i="1" s="1"/>
  <c r="BC871" i="1"/>
  <c r="BD871" i="1" s="1"/>
  <c r="BC1566" i="1"/>
  <c r="BD1566" i="1" s="1"/>
  <c r="BC559" i="1"/>
  <c r="BD559" i="1" s="1"/>
  <c r="BC1210" i="1"/>
  <c r="BD1210" i="1" s="1"/>
  <c r="BC1349" i="1"/>
  <c r="BD1349" i="1" s="1"/>
  <c r="BC1272" i="1"/>
  <c r="BD1272" i="1" s="1"/>
  <c r="BC1020" i="1"/>
  <c r="BD1020" i="1" s="1"/>
  <c r="BC582" i="1"/>
  <c r="BD582" i="1" s="1"/>
  <c r="BC490" i="1"/>
  <c r="BD490" i="1" s="1"/>
  <c r="BC574" i="1"/>
  <c r="BD574" i="1" s="1"/>
  <c r="BC1191" i="1"/>
  <c r="BD1191" i="1" s="1"/>
  <c r="BC215" i="1"/>
  <c r="BD215" i="1" s="1"/>
  <c r="BC1857" i="1"/>
  <c r="BD1857" i="1" s="1"/>
  <c r="BC947" i="1"/>
  <c r="BD947" i="1" s="1"/>
  <c r="BC1495" i="1"/>
  <c r="BD1495" i="1" s="1"/>
  <c r="BC1154" i="1"/>
  <c r="BD1154" i="1" s="1"/>
  <c r="BC685" i="1"/>
  <c r="BD685" i="1" s="1"/>
  <c r="BC1260" i="1"/>
  <c r="BD1260" i="1" s="1"/>
  <c r="BC1046" i="1"/>
  <c r="BD1046" i="1" s="1"/>
  <c r="BC861" i="1"/>
  <c r="BD861" i="1" s="1"/>
  <c r="BC52" i="1"/>
  <c r="BD52" i="1" s="1"/>
  <c r="BC1229" i="1"/>
  <c r="BD1229" i="1" s="1"/>
  <c r="BC656" i="1"/>
  <c r="BD656" i="1" s="1"/>
  <c r="BC973" i="1"/>
  <c r="BD973" i="1" s="1"/>
  <c r="BC71" i="1"/>
  <c r="BD71" i="1" s="1"/>
  <c r="BC1368" i="1"/>
  <c r="BD1368" i="1" s="1"/>
  <c r="BC1387" i="1"/>
  <c r="BD1387" i="1" s="1"/>
  <c r="BC376" i="1"/>
  <c r="BD376" i="1" s="1"/>
  <c r="BC1487" i="1"/>
  <c r="BD1487" i="1" s="1"/>
  <c r="BC1580" i="1"/>
  <c r="BD1580" i="1" s="1"/>
  <c r="BC1556" i="1"/>
  <c r="BD1556" i="1" s="1"/>
  <c r="BC1381" i="1"/>
  <c r="BD1381" i="1" s="1"/>
  <c r="BC1361" i="1"/>
  <c r="BD1361" i="1" s="1"/>
  <c r="BC1973" i="1"/>
  <c r="BD1973" i="1" s="1"/>
  <c r="BC237" i="1"/>
  <c r="BD237" i="1" s="1"/>
  <c r="BC633" i="1"/>
  <c r="BD633" i="1" s="1"/>
  <c r="BC93" i="1"/>
  <c r="BD93" i="1" s="1"/>
  <c r="BC1324" i="1"/>
  <c r="BD1324" i="1" s="1"/>
  <c r="BC427" i="1"/>
  <c r="BD427" i="1" s="1"/>
  <c r="BC1358" i="1"/>
  <c r="BD1358" i="1" s="1"/>
  <c r="BC229" i="1"/>
  <c r="BD229" i="1" s="1"/>
  <c r="BC1519" i="1"/>
  <c r="BD1519" i="1" s="1"/>
  <c r="BC724" i="1"/>
  <c r="BD724" i="1" s="1"/>
  <c r="BC648" i="1"/>
  <c r="BD648" i="1" s="1"/>
  <c r="BC515" i="1"/>
  <c r="BD515" i="1" s="1"/>
  <c r="BC1892" i="1"/>
  <c r="BD1892" i="1" s="1"/>
  <c r="BC796" i="1"/>
  <c r="BD796" i="1" s="1"/>
  <c r="BC252" i="1"/>
  <c r="BD252" i="1" s="1"/>
  <c r="BC319" i="1"/>
  <c r="BD319" i="1" s="1"/>
  <c r="BC403" i="1"/>
  <c r="BD403" i="1" s="1"/>
  <c r="BC1729" i="1"/>
  <c r="BD1729" i="1" s="1"/>
  <c r="BC1470" i="1"/>
  <c r="BD1470" i="1" s="1"/>
  <c r="BC1711" i="1"/>
  <c r="BD1711" i="1" s="1"/>
  <c r="BC959" i="1"/>
  <c r="BD959" i="1" s="1"/>
  <c r="BC5" i="1"/>
  <c r="BD5" i="1" s="1"/>
  <c r="BC686" i="1"/>
  <c r="BD686" i="1" s="1"/>
  <c r="BC1756" i="1"/>
  <c r="BD1756" i="1" s="1"/>
  <c r="BC190" i="1"/>
  <c r="BD190" i="1" s="1"/>
  <c r="BC1333" i="1"/>
  <c r="BD1333" i="1" s="1"/>
  <c r="BC2022" i="1"/>
  <c r="BD2022" i="1" s="1"/>
  <c r="BC1976" i="1"/>
  <c r="BD1976" i="1" s="1"/>
  <c r="BC1634" i="1"/>
  <c r="BD1634" i="1" s="1"/>
  <c r="BC607" i="1"/>
  <c r="BD607" i="1" s="1"/>
  <c r="BC1067" i="1"/>
  <c r="BD1067" i="1" s="1"/>
  <c r="BC985" i="1"/>
  <c r="BD985" i="1" s="1"/>
  <c r="BC25" i="1"/>
  <c r="BD25" i="1" s="1"/>
  <c r="BC1088" i="1"/>
  <c r="BD1088" i="1" s="1"/>
  <c r="BC1938" i="1"/>
  <c r="BD1938" i="1" s="1"/>
  <c r="BC1232" i="1"/>
  <c r="BD1232" i="1" s="1"/>
  <c r="BC793" i="1"/>
  <c r="BD793" i="1" s="1"/>
  <c r="BC280" i="1"/>
  <c r="BD280" i="1" s="1"/>
  <c r="BC1753" i="1"/>
  <c r="BD1753" i="1" s="1"/>
  <c r="BC1304" i="1"/>
  <c r="BD1304" i="1" s="1"/>
  <c r="BC195" i="1"/>
  <c r="BD195" i="1" s="1"/>
  <c r="BC1222" i="1"/>
  <c r="BD1222" i="1" s="1"/>
  <c r="BC1937" i="1"/>
  <c r="BD1937" i="1" s="1"/>
  <c r="BC358" i="1"/>
  <c r="BD358" i="1" s="1"/>
  <c r="BC428" i="1"/>
  <c r="BD428" i="1" s="1"/>
  <c r="BC1405" i="1"/>
  <c r="BD1405" i="1" s="1"/>
  <c r="BC1354" i="1"/>
  <c r="BD1354" i="1" s="1"/>
  <c r="BC960" i="1"/>
  <c r="BD960" i="1" s="1"/>
  <c r="BC614" i="1"/>
  <c r="BD614" i="1" s="1"/>
  <c r="BC1858" i="1"/>
  <c r="BD1858" i="1" s="1"/>
  <c r="BC805" i="1"/>
  <c r="BD805" i="1" s="1"/>
  <c r="BC469" i="1"/>
  <c r="BD469" i="1" s="1"/>
  <c r="BC1431" i="1"/>
  <c r="BD1431" i="1" s="1"/>
  <c r="BC1438" i="1"/>
  <c r="BD1438" i="1" s="1"/>
  <c r="BC467" i="1"/>
  <c r="BD467" i="1" s="1"/>
  <c r="BC1251" i="1"/>
  <c r="BD1251" i="1" s="1"/>
  <c r="BC353" i="1"/>
  <c r="BD353" i="1" s="1"/>
  <c r="BC53" i="1"/>
  <c r="BD53" i="1" s="1"/>
  <c r="BC887" i="1"/>
  <c r="BD887" i="1" s="1"/>
  <c r="BC828" i="1"/>
  <c r="BD828" i="1" s="1"/>
  <c r="BC1576" i="1"/>
  <c r="BD1576" i="1" s="1"/>
  <c r="BC249" i="1"/>
  <c r="BD249" i="1" s="1"/>
  <c r="BC423" i="1"/>
  <c r="BD423" i="1" s="1"/>
  <c r="BC248" i="1"/>
  <c r="BD248" i="1" s="1"/>
  <c r="BC1761" i="1"/>
  <c r="BD1761" i="1" s="1"/>
  <c r="BC1351" i="1"/>
  <c r="BD1351" i="1" s="1"/>
  <c r="BC963" i="1"/>
  <c r="BD963" i="1" s="1"/>
  <c r="BC124" i="1"/>
  <c r="BD124" i="1" s="1"/>
  <c r="BC1804" i="1"/>
  <c r="BD1804" i="1" s="1"/>
  <c r="BC1416" i="1"/>
  <c r="BD1416" i="1" s="1"/>
  <c r="BC988" i="1"/>
  <c r="BD988" i="1" s="1"/>
  <c r="BC1466" i="1"/>
  <c r="BD1466" i="1" s="1"/>
  <c r="BC642" i="1"/>
  <c r="BD642" i="1" s="1"/>
  <c r="BC1467" i="1"/>
  <c r="BD1467" i="1" s="1"/>
  <c r="BC1605" i="1"/>
  <c r="BD1605" i="1" s="1"/>
  <c r="BC1616" i="1"/>
  <c r="BD1616" i="1" s="1"/>
  <c r="BC1425" i="1"/>
  <c r="BD1425" i="1" s="1"/>
  <c r="BC1006" i="1"/>
  <c r="BD1006" i="1" s="1"/>
  <c r="BC1951" i="1"/>
  <c r="BD1951" i="1" s="1"/>
  <c r="BC668" i="1"/>
  <c r="BD668" i="1" s="1"/>
  <c r="BC1850" i="1"/>
  <c r="BD1850" i="1" s="1"/>
  <c r="BC78" i="1"/>
  <c r="BD78" i="1" s="1"/>
  <c r="BC1792" i="1"/>
  <c r="BD1792" i="1" s="1"/>
  <c r="BC1294" i="1"/>
  <c r="BD1294" i="1" s="1"/>
  <c r="BC383" i="1"/>
  <c r="BD383" i="1" s="1"/>
  <c r="BC1061" i="1"/>
  <c r="BD1061" i="1" s="1"/>
  <c r="BC1481" i="1"/>
  <c r="BD1481" i="1" s="1"/>
  <c r="BC1602" i="1"/>
  <c r="BD1602" i="1" s="1"/>
  <c r="BC375" i="1"/>
  <c r="BD375" i="1" s="1"/>
  <c r="BC1326" i="1"/>
  <c r="BD1326" i="1" s="1"/>
  <c r="BC1636" i="1"/>
  <c r="BD1636" i="1" s="1"/>
  <c r="BC1630" i="1"/>
  <c r="BD1630" i="1" s="1"/>
  <c r="BC272" i="1"/>
  <c r="BD272" i="1" s="1"/>
  <c r="BC2013" i="1"/>
  <c r="BD2013" i="1" s="1"/>
  <c r="BC239" i="1"/>
  <c r="BD239" i="1" s="1"/>
  <c r="BC1426" i="1"/>
  <c r="BD1426" i="1" s="1"/>
  <c r="BC679" i="1"/>
  <c r="BD679" i="1" s="1"/>
  <c r="BC70" i="1"/>
  <c r="BD70" i="1" s="1"/>
  <c r="BC1111" i="1"/>
  <c r="BD1111" i="1" s="1"/>
  <c r="BC803" i="1"/>
  <c r="BD803" i="1" s="1"/>
  <c r="BC162" i="1"/>
  <c r="BD162" i="1" s="1"/>
  <c r="BC694" i="1"/>
  <c r="BD694" i="1" s="1"/>
  <c r="BC1460" i="1"/>
  <c r="BD1460" i="1" s="1"/>
  <c r="BC316" i="1"/>
  <c r="BD316" i="1" s="1"/>
  <c r="BC1060" i="1"/>
  <c r="BD1060" i="1" s="1"/>
  <c r="BC1469" i="1"/>
  <c r="BD1469" i="1" s="1"/>
  <c r="BC441" i="1"/>
  <c r="BD441" i="1" s="1"/>
  <c r="BC735" i="1"/>
  <c r="BD735" i="1" s="1"/>
  <c r="BC1385" i="1"/>
  <c r="BD1385" i="1" s="1"/>
  <c r="BC1934" i="1"/>
  <c r="BD1934" i="1" s="1"/>
  <c r="BC267" i="1"/>
  <c r="BD267" i="1" s="1"/>
  <c r="BC738" i="1"/>
  <c r="BD738" i="1" s="1"/>
  <c r="BC1769" i="1"/>
  <c r="BD1769" i="1" s="1"/>
  <c r="BC1239" i="1"/>
  <c r="BD1239" i="1" s="1"/>
  <c r="BC1017" i="1"/>
  <c r="BD1017" i="1" s="1"/>
  <c r="BC1261" i="1"/>
  <c r="BD1261" i="1" s="1"/>
  <c r="BC241" i="1"/>
  <c r="BD241" i="1" s="1"/>
  <c r="BC1723" i="1"/>
  <c r="BD1723" i="1" s="1"/>
  <c r="BC509" i="1"/>
  <c r="BD509" i="1" s="1"/>
  <c r="BC569" i="1"/>
  <c r="BD569" i="1" s="1"/>
  <c r="BC913" i="1"/>
  <c r="BD913" i="1" s="1"/>
  <c r="BC1960" i="1"/>
  <c r="BD1960" i="1" s="1"/>
  <c r="BC1248" i="1"/>
  <c r="BD1248" i="1" s="1"/>
  <c r="BC369" i="1"/>
  <c r="BD369" i="1" s="1"/>
  <c r="BC1474" i="1"/>
  <c r="BD1474" i="1" s="1"/>
  <c r="BC565" i="1"/>
  <c r="BD565" i="1" s="1"/>
  <c r="BC244" i="1"/>
  <c r="BD244" i="1" s="1"/>
  <c r="BC1790" i="1"/>
  <c r="BD1790" i="1" s="1"/>
  <c r="BC1575" i="1"/>
  <c r="BD1575" i="1" s="1"/>
  <c r="BC1939" i="1"/>
  <c r="BD1939" i="1" s="1"/>
  <c r="BC1913" i="1"/>
  <c r="BD1913" i="1" s="1"/>
  <c r="BC526" i="1"/>
  <c r="BD526" i="1" s="1"/>
  <c r="BC1133" i="1"/>
  <c r="BD1133" i="1" s="1"/>
  <c r="BC1363" i="1"/>
  <c r="BD1363" i="1" s="1"/>
  <c r="BC1103" i="1"/>
  <c r="BD1103" i="1" s="1"/>
  <c r="BC1628" i="1"/>
  <c r="BD1628" i="1" s="1"/>
  <c r="BC1924" i="1"/>
  <c r="BD1924" i="1" s="1"/>
  <c r="BC588" i="1"/>
  <c r="BD588" i="1" s="1"/>
  <c r="BC1589" i="1"/>
  <c r="BD1589" i="1" s="1"/>
  <c r="BC1256" i="1"/>
  <c r="BD1256" i="1" s="1"/>
  <c r="BC131" i="1"/>
  <c r="BD131" i="1" s="1"/>
  <c r="BC1484" i="1"/>
  <c r="BD1484" i="1" s="1"/>
  <c r="BC2010" i="1"/>
  <c r="BD2010" i="1" s="1"/>
  <c r="BC558" i="1"/>
  <c r="BD558" i="1" s="1"/>
  <c r="BC1285" i="1"/>
  <c r="BD1285" i="1" s="1"/>
  <c r="BC616" i="1"/>
  <c r="BD616" i="1" s="1"/>
  <c r="BC410" i="1"/>
  <c r="BD410" i="1" s="1"/>
  <c r="BC1295" i="1"/>
  <c r="BD1295" i="1" s="1"/>
  <c r="BC1743" i="1"/>
  <c r="BD1743" i="1" s="1"/>
  <c r="BC1245" i="1"/>
  <c r="BD1245" i="1" s="1"/>
  <c r="BC1205" i="1"/>
  <c r="BD1205" i="1" s="1"/>
  <c r="BC413" i="1"/>
  <c r="BD413" i="1" s="1"/>
  <c r="BC377" i="1"/>
  <c r="BD377" i="1" s="1"/>
  <c r="BC183" i="1"/>
  <c r="BD183" i="1" s="1"/>
  <c r="BC1253" i="1"/>
  <c r="BD1253" i="1" s="1"/>
  <c r="BC649" i="1"/>
  <c r="BD649" i="1" s="1"/>
  <c r="BC1329" i="1"/>
  <c r="BD1329" i="1" s="1"/>
  <c r="BC598" i="1"/>
  <c r="BD598" i="1" s="1"/>
  <c r="BC1733" i="1"/>
  <c r="BD1733" i="1" s="1"/>
  <c r="BC1766" i="1"/>
  <c r="BD1766" i="1" s="1"/>
  <c r="BC621" i="1"/>
  <c r="BD621" i="1" s="1"/>
  <c r="BC676" i="1"/>
  <c r="BD676" i="1" s="1"/>
  <c r="BC2006" i="1"/>
  <c r="BD2006" i="1" s="1"/>
  <c r="BC1406" i="1"/>
  <c r="BD1406" i="1" s="1"/>
  <c r="BC6" i="1"/>
  <c r="BD6" i="1" s="1"/>
  <c r="BC951" i="1"/>
  <c r="BD951" i="1" s="1"/>
  <c r="BC216" i="1"/>
  <c r="BD216" i="1" s="1"/>
  <c r="BC1884" i="1"/>
  <c r="BD1884" i="1" s="1"/>
  <c r="BC1136" i="1"/>
  <c r="BD1136" i="1" s="1"/>
  <c r="BC177" i="1"/>
  <c r="BD177" i="1" s="1"/>
  <c r="BC310" i="1"/>
  <c r="BD310" i="1" s="1"/>
  <c r="BC765" i="1"/>
  <c r="BD765" i="1" s="1"/>
  <c r="BC1842" i="1"/>
  <c r="BD1842" i="1" s="1"/>
  <c r="BC791" i="1"/>
  <c r="BD791" i="1" s="1"/>
  <c r="BC927" i="1"/>
  <c r="BD927" i="1" s="1"/>
  <c r="BC1609" i="1"/>
  <c r="BD1609" i="1" s="1"/>
  <c r="BC1992" i="1"/>
  <c r="BD1992" i="1" s="1"/>
  <c r="BC1029" i="1"/>
  <c r="BD1029" i="1" s="1"/>
  <c r="BC659" i="1"/>
  <c r="BD659" i="1" s="1"/>
  <c r="BC263" i="1"/>
  <c r="BD263" i="1" s="1"/>
  <c r="BC700" i="1"/>
  <c r="BD700" i="1" s="1"/>
  <c r="BC1503" i="1"/>
  <c r="BD1503" i="1" s="1"/>
  <c r="BC726" i="1"/>
  <c r="BD726" i="1" s="1"/>
  <c r="BC486" i="1"/>
  <c r="BD486" i="1" s="1"/>
  <c r="BC1818" i="1"/>
  <c r="BD1818" i="1" s="1"/>
  <c r="BC1843" i="1"/>
  <c r="BD1843" i="1" s="1"/>
  <c r="BC834" i="1"/>
  <c r="BD834" i="1" s="1"/>
  <c r="BC260" i="1"/>
  <c r="BD260" i="1" s="1"/>
  <c r="BC1441" i="1"/>
  <c r="BD1441" i="1" s="1"/>
  <c r="BC739" i="1"/>
  <c r="BD739" i="1" s="1"/>
  <c r="BC571" i="1"/>
  <c r="BD571" i="1" s="1"/>
  <c r="BC1547" i="1"/>
  <c r="BD1547" i="1" s="1"/>
  <c r="BC1885" i="1"/>
  <c r="BD1885" i="1" s="1"/>
  <c r="BC1878" i="1"/>
  <c r="BD1878" i="1" s="1"/>
  <c r="BC1736" i="1"/>
  <c r="BD1736" i="1" s="1"/>
  <c r="BC852" i="1"/>
  <c r="BD852" i="1" s="1"/>
  <c r="BC908" i="1"/>
  <c r="BD908" i="1" s="1"/>
  <c r="BC1583" i="1"/>
  <c r="BD1583" i="1" s="1"/>
  <c r="BC107" i="1"/>
  <c r="BD107" i="1" s="1"/>
  <c r="BC1611" i="1"/>
  <c r="BD1611" i="1" s="1"/>
  <c r="BC528" i="1"/>
  <c r="BD528" i="1" s="1"/>
  <c r="BC1019" i="1"/>
  <c r="BD1019" i="1" s="1"/>
  <c r="BC1671" i="1"/>
  <c r="BD1671" i="1" s="1"/>
  <c r="BC567" i="1"/>
  <c r="BD567" i="1" s="1"/>
  <c r="BC1600" i="1"/>
  <c r="BD1600" i="1" s="1"/>
  <c r="BC40" i="1"/>
  <c r="BD40" i="1" s="1"/>
  <c r="BC1138" i="1"/>
  <c r="BD1138" i="1" s="1"/>
  <c r="BC1397" i="1"/>
  <c r="BD1397" i="1" s="1"/>
  <c r="BC619" i="1"/>
  <c r="BD619" i="1" s="1"/>
  <c r="BC1676" i="1"/>
  <c r="BD1676" i="1" s="1"/>
  <c r="BC692" i="1"/>
  <c r="BD692" i="1" s="1"/>
  <c r="BC1795" i="1"/>
  <c r="BD1795" i="1" s="1"/>
  <c r="BC1184" i="1"/>
  <c r="BD1184" i="1" s="1"/>
  <c r="BC897" i="1"/>
  <c r="BD897" i="1" s="1"/>
  <c r="BC147" i="1"/>
  <c r="BD147" i="1" s="1"/>
  <c r="BC1999" i="1"/>
  <c r="BD1999" i="1" s="1"/>
  <c r="BC599" i="1"/>
  <c r="BD599" i="1" s="1"/>
  <c r="BC1907" i="1"/>
  <c r="BD1907" i="1" s="1"/>
  <c r="BC349" i="1"/>
  <c r="BD349" i="1" s="1"/>
  <c r="BC998" i="1"/>
  <c r="BD998" i="1" s="1"/>
  <c r="BC87" i="1"/>
  <c r="BD87" i="1" s="1"/>
  <c r="BC1808" i="1"/>
  <c r="BD1808" i="1" s="1"/>
  <c r="BC643" i="1"/>
  <c r="BD643" i="1" s="1"/>
  <c r="BC1249" i="1"/>
  <c r="BD1249" i="1" s="1"/>
  <c r="BC9" i="1"/>
  <c r="BD9" i="1" s="1"/>
  <c r="BC1595" i="1"/>
  <c r="BD1595" i="1" s="1"/>
  <c r="BC1434" i="1"/>
  <c r="BD1434" i="1" s="1"/>
  <c r="BC1783" i="1"/>
  <c r="BD1783" i="1" s="1"/>
  <c r="BC1978" i="1"/>
  <c r="BD1978" i="1" s="1"/>
  <c r="BC1778" i="1"/>
  <c r="BD1778" i="1" s="1"/>
  <c r="BC949" i="1"/>
  <c r="BD949" i="1" s="1"/>
  <c r="BC570" i="1"/>
  <c r="BD570" i="1" s="1"/>
  <c r="BC442" i="1"/>
  <c r="BD442" i="1" s="1"/>
  <c r="BC722" i="1"/>
  <c r="BD722" i="1" s="1"/>
  <c r="BC568" i="1"/>
  <c r="BD568" i="1" s="1"/>
  <c r="BC1462" i="1"/>
  <c r="BD1462" i="1" s="1"/>
  <c r="BC1646" i="1"/>
  <c r="BD1646" i="1" s="1"/>
  <c r="BC1922" i="1"/>
  <c r="BD1922" i="1" s="1"/>
  <c r="BC1169" i="1"/>
  <c r="BD1169" i="1" s="1"/>
  <c r="BC1594" i="1"/>
  <c r="BD1594" i="1" s="1"/>
  <c r="BC1483" i="1"/>
  <c r="BD1483" i="1" s="1"/>
  <c r="BC904" i="1"/>
  <c r="BD904" i="1" s="1"/>
  <c r="BC950" i="1"/>
  <c r="BD950" i="1" s="1"/>
  <c r="BC1746" i="1"/>
  <c r="BD1746" i="1" s="1"/>
  <c r="BC371" i="1"/>
  <c r="BD371" i="1" s="1"/>
  <c r="BC1751" i="1"/>
  <c r="BD1751" i="1" s="1"/>
  <c r="BC1252" i="1"/>
  <c r="BD1252" i="1" s="1"/>
  <c r="BC115" i="1"/>
  <c r="BD115" i="1" s="1"/>
  <c r="BC64" i="1"/>
  <c r="BD64" i="1" s="1"/>
  <c r="BC775" i="1"/>
  <c r="BD775" i="1" s="1"/>
  <c r="BC1132" i="1"/>
  <c r="BD1132" i="1" s="1"/>
  <c r="BC1757" i="1"/>
  <c r="BD1757" i="1" s="1"/>
  <c r="BC589" i="1"/>
  <c r="BD589" i="1" s="1"/>
  <c r="BC551" i="1"/>
  <c r="BD551" i="1" s="1"/>
  <c r="BC1395" i="1"/>
  <c r="BD1395" i="1" s="1"/>
  <c r="BC1643" i="1"/>
  <c r="BD1643" i="1" s="1"/>
  <c r="BC1237" i="1"/>
  <c r="BD1237" i="1" s="1"/>
  <c r="BC1748" i="1"/>
  <c r="BD1748" i="1" s="1"/>
  <c r="BC2011" i="1"/>
  <c r="BD2011" i="1" s="1"/>
  <c r="BC437" i="1"/>
  <c r="BD437" i="1" s="1"/>
  <c r="BC1993" i="1"/>
  <c r="BD1993" i="1" s="1"/>
  <c r="BC1102" i="1"/>
  <c r="BD1102" i="1" s="1"/>
  <c r="BC712" i="1"/>
  <c r="BD712" i="1" s="1"/>
  <c r="BC440" i="1"/>
  <c r="BD440" i="1" s="1"/>
  <c r="BC429" i="1"/>
  <c r="BD429" i="1" s="1"/>
  <c r="BC198" i="1"/>
  <c r="BD198" i="1" s="1"/>
  <c r="BC531" i="1"/>
  <c r="BD531" i="1" s="1"/>
  <c r="BC1453" i="1"/>
  <c r="BD1453" i="1" s="1"/>
  <c r="BC1949" i="1"/>
  <c r="BD1949" i="1" s="1"/>
  <c r="BC618" i="1"/>
  <c r="BD618" i="1" s="1"/>
  <c r="BC1257" i="1"/>
  <c r="BD1257" i="1" s="1"/>
  <c r="BC146" i="1"/>
  <c r="BD146" i="1" s="1"/>
  <c r="BC1932" i="1"/>
  <c r="BD1932" i="1" s="1"/>
  <c r="BC1195" i="1"/>
  <c r="BD1195" i="1" s="1"/>
  <c r="BC845" i="1"/>
  <c r="BD845" i="1" s="1"/>
  <c r="BC867" i="1"/>
  <c r="BD867" i="1" s="1"/>
  <c r="BC974" i="1"/>
  <c r="BD974" i="1" s="1"/>
  <c r="BC419" i="1"/>
  <c r="BD419" i="1" s="1"/>
  <c r="BC1069" i="1"/>
  <c r="BD1069" i="1" s="1"/>
  <c r="BC741" i="1"/>
  <c r="BD741" i="1" s="1"/>
  <c r="BC322" i="1"/>
  <c r="BD322" i="1" s="1"/>
  <c r="BC1959" i="1"/>
  <c r="BD1959" i="1" s="1"/>
  <c r="BC347" i="1"/>
  <c r="BD347" i="1" s="1"/>
  <c r="BC1734" i="1"/>
  <c r="BD1734" i="1" s="1"/>
  <c r="BC1916" i="1"/>
  <c r="BD1916" i="1" s="1"/>
  <c r="BC333" i="1"/>
  <c r="BD333" i="1" s="1"/>
  <c r="BC1845" i="1"/>
  <c r="BD1845" i="1" s="1"/>
  <c r="BC749" i="1"/>
  <c r="BD749" i="1" s="1"/>
  <c r="BC1236" i="1"/>
  <c r="BD1236" i="1" s="1"/>
  <c r="BC1582" i="1"/>
  <c r="BD1582" i="1" s="1"/>
  <c r="BC325" i="1"/>
  <c r="BD325" i="1" s="1"/>
  <c r="BC1987" i="1"/>
  <c r="BD1987" i="1" s="1"/>
  <c r="BC1674" i="1"/>
  <c r="BD1674" i="1" s="1"/>
  <c r="BC667" i="1"/>
  <c r="BD667" i="1" s="1"/>
  <c r="BC83" i="1"/>
  <c r="BD83" i="1" s="1"/>
  <c r="BC717" i="1"/>
  <c r="BD717" i="1" s="1"/>
  <c r="BC876" i="1"/>
  <c r="BD876" i="1" s="1"/>
  <c r="BC145" i="1"/>
  <c r="BD145" i="1" s="1"/>
  <c r="BC112" i="1"/>
  <c r="BD112" i="1" s="1"/>
  <c r="BC1445" i="1"/>
  <c r="BD1445" i="1" s="1"/>
  <c r="BC1482" i="1"/>
  <c r="BD1482" i="1" s="1"/>
  <c r="BC31" i="1"/>
  <c r="BD31" i="1" s="1"/>
  <c r="BC1966" i="1"/>
  <c r="BD1966" i="1" s="1"/>
  <c r="BC896" i="1"/>
  <c r="BD896" i="1" s="1"/>
  <c r="BC1187" i="1"/>
  <c r="BD1187" i="1" s="1"/>
  <c r="BC213" i="1"/>
  <c r="BD213" i="1" s="1"/>
  <c r="BC1906" i="1"/>
  <c r="BD1906" i="1" s="1"/>
  <c r="BC1117" i="1"/>
  <c r="BD1117" i="1" s="1"/>
  <c r="BC151" i="1"/>
  <c r="BD151" i="1" s="1"/>
  <c r="BC744" i="1"/>
  <c r="BD744" i="1" s="1"/>
  <c r="BC1921" i="1"/>
  <c r="BD1921" i="1" s="1"/>
  <c r="BC1717" i="1"/>
  <c r="BD1717" i="1" s="1"/>
  <c r="BC1968" i="1"/>
  <c r="BD1968" i="1" s="1"/>
  <c r="BC1688" i="1"/>
  <c r="BD1688" i="1" s="1"/>
  <c r="BC630" i="1"/>
  <c r="BD630" i="1" s="1"/>
  <c r="BC862" i="1"/>
  <c r="BD862" i="1" s="1"/>
  <c r="BC837" i="1"/>
  <c r="BD837" i="1" s="1"/>
  <c r="BC1418" i="1"/>
  <c r="BD1418" i="1" s="1"/>
  <c r="BC1970" i="1"/>
  <c r="BD1970" i="1" s="1"/>
  <c r="BC1633" i="1"/>
  <c r="BD1633" i="1" s="1"/>
  <c r="BC497" i="1"/>
  <c r="BD497" i="1" s="1"/>
  <c r="BC1926" i="1"/>
  <c r="BD1926" i="1" s="1"/>
  <c r="BC757" i="1"/>
  <c r="BD757" i="1" s="1"/>
  <c r="BC650" i="1"/>
  <c r="BD650" i="1" s="1"/>
  <c r="BC463" i="1"/>
  <c r="BD463" i="1" s="1"/>
  <c r="BC1603" i="1"/>
  <c r="BD1603" i="1" s="1"/>
  <c r="BC623" i="1"/>
  <c r="BD623" i="1" s="1"/>
  <c r="BC1100" i="1"/>
  <c r="BD1100" i="1" s="1"/>
  <c r="BC158" i="1"/>
  <c r="BD158" i="1" s="1"/>
  <c r="BC727" i="1"/>
  <c r="BD727" i="1" s="1"/>
  <c r="BC63" i="1"/>
  <c r="BD63" i="1" s="1"/>
  <c r="BC920" i="1"/>
  <c r="BD920" i="1" s="1"/>
  <c r="BC1881" i="1"/>
  <c r="BD1881" i="1" s="1"/>
  <c r="BC732" i="1"/>
  <c r="BD732" i="1" s="1"/>
  <c r="BC1059" i="1"/>
  <c r="BD1059" i="1" s="1"/>
  <c r="BC424" i="1"/>
  <c r="BD424" i="1" s="1"/>
  <c r="BC1403" i="1"/>
  <c r="BD1403" i="1" s="1"/>
  <c r="BC41" i="1"/>
  <c r="BD41" i="1" s="1"/>
  <c r="BC543" i="1"/>
  <c r="BD543" i="1" s="1"/>
  <c r="BC495" i="1"/>
  <c r="BD495" i="1" s="1"/>
  <c r="BC1773" i="1"/>
  <c r="BD1773" i="1" s="1"/>
  <c r="BC191" i="1"/>
  <c r="BD191" i="1" s="1"/>
  <c r="BC439" i="1"/>
  <c r="BD439" i="1" s="1"/>
  <c r="BC482" i="1"/>
  <c r="BD482" i="1" s="1"/>
  <c r="BC1423" i="1"/>
  <c r="BD1423" i="1" s="1"/>
  <c r="BC1278" i="1"/>
  <c r="BD1278" i="1" s="1"/>
  <c r="BC1087" i="1"/>
  <c r="BD1087" i="1" s="1"/>
  <c r="BC1465" i="1"/>
  <c r="BD1465" i="1" s="1"/>
  <c r="BC3" i="1"/>
  <c r="BD3" i="1" s="1"/>
  <c r="BC1492" i="1"/>
  <c r="BD1492" i="1" s="1"/>
  <c r="BC72" i="1"/>
  <c r="BD72" i="1" s="1"/>
  <c r="BC892" i="1"/>
  <c r="BD892" i="1" s="1"/>
  <c r="BC1005" i="1"/>
  <c r="BD1005" i="1" s="1"/>
  <c r="BC159" i="1"/>
  <c r="BD159" i="1" s="1"/>
  <c r="BC1700" i="1"/>
  <c r="BD1700" i="1" s="1"/>
  <c r="BC758" i="1"/>
  <c r="BD758" i="1" s="1"/>
  <c r="BC1693" i="1"/>
  <c r="BD1693" i="1" s="1"/>
  <c r="BC401" i="1"/>
  <c r="BD401" i="1" s="1"/>
  <c r="BC1022" i="1"/>
  <c r="BD1022" i="1" s="1"/>
  <c r="BC309" i="1"/>
  <c r="BD309" i="1" s="1"/>
  <c r="BC1637" i="1"/>
  <c r="BD1637" i="1" s="1"/>
  <c r="BC235" i="1"/>
  <c r="BD235" i="1" s="1"/>
  <c r="BC130" i="1"/>
  <c r="BD130" i="1" s="1"/>
  <c r="BC776" i="1"/>
  <c r="BD776" i="1" s="1"/>
  <c r="BC163" i="1"/>
  <c r="BD163" i="1" s="1"/>
  <c r="BC218" i="1"/>
  <c r="BD218" i="1" s="1"/>
  <c r="BC750" i="1"/>
  <c r="BD750" i="1" s="1"/>
  <c r="BC121" i="1"/>
  <c r="BD121" i="1" s="1"/>
  <c r="BC123" i="1"/>
  <c r="BD123" i="1" s="1"/>
  <c r="BC1980" i="1"/>
  <c r="BD1980" i="1" s="1"/>
  <c r="BC1788" i="1"/>
  <c r="BD1788" i="1" s="1"/>
  <c r="BC601" i="1"/>
  <c r="BD601" i="1" s="1"/>
  <c r="BC552" i="1"/>
  <c r="BD552" i="1" s="1"/>
  <c r="BC231" i="1"/>
  <c r="BD231" i="1" s="1"/>
  <c r="BC1832" i="1"/>
  <c r="BD1832" i="1" s="1"/>
  <c r="BC814" i="1"/>
  <c r="BD814" i="1" s="1"/>
  <c r="BC839" i="1"/>
  <c r="BD839" i="1" s="1"/>
  <c r="BC818" i="1"/>
  <c r="BD818" i="1" s="1"/>
  <c r="BC910" i="1"/>
  <c r="BD910" i="1" s="1"/>
  <c r="BC399" i="1"/>
  <c r="BD399" i="1" s="1"/>
  <c r="BC1608" i="1"/>
  <c r="BD1608" i="1" s="1"/>
  <c r="BC875" i="1"/>
  <c r="BD875" i="1" s="1"/>
  <c r="BC1235" i="1"/>
  <c r="BD1235" i="1" s="1"/>
  <c r="BC328" i="1"/>
  <c r="BD328" i="1" s="1"/>
  <c r="BC1527" i="1"/>
  <c r="BD1527" i="1" s="1"/>
  <c r="BC1071" i="1"/>
  <c r="BD1071" i="1" s="1"/>
  <c r="BC148" i="1"/>
  <c r="BD148" i="1" s="1"/>
  <c r="BC856" i="1"/>
  <c r="BD856" i="1" s="1"/>
  <c r="BC1310" i="1"/>
  <c r="BD1310" i="1" s="1"/>
  <c r="BC172" i="1"/>
  <c r="BD172" i="1" s="1"/>
  <c r="BC1376" i="1"/>
  <c r="BD1376" i="1" s="1"/>
  <c r="BC1428" i="1"/>
  <c r="BD1428" i="1" s="1"/>
  <c r="BC1774" i="1"/>
  <c r="BD1774" i="1" s="1"/>
  <c r="BC169" i="1"/>
  <c r="BD169" i="1" s="1"/>
  <c r="BC460" i="1"/>
  <c r="BD460" i="1" s="1"/>
  <c r="BC1571" i="1"/>
  <c r="BD1571" i="1" s="1"/>
  <c r="BC627" i="1"/>
  <c r="BD627" i="1" s="1"/>
  <c r="BC678" i="1"/>
  <c r="BD678" i="1" s="1"/>
  <c r="BC1451" i="1"/>
  <c r="BD1451" i="1" s="1"/>
  <c r="BC275" i="1"/>
  <c r="BD275" i="1" s="1"/>
  <c r="BC1652" i="1"/>
  <c r="BD1652" i="1" s="1"/>
  <c r="BC1824" i="1"/>
  <c r="BD1824" i="1" s="1"/>
  <c r="BC1442" i="1"/>
  <c r="BD1442" i="1" s="1"/>
  <c r="BC573" i="1"/>
  <c r="BD573" i="1" s="1"/>
  <c r="BC1948" i="1"/>
  <c r="BD1948" i="1" s="1"/>
  <c r="BC1010" i="1"/>
  <c r="BD1010" i="1" s="1"/>
  <c r="BC320" i="1"/>
  <c r="BD320" i="1" s="1"/>
  <c r="BC479" i="1"/>
  <c r="BD479" i="1" s="1"/>
  <c r="BC1577" i="1"/>
  <c r="BD1577" i="1" s="1"/>
  <c r="BC481" i="1"/>
  <c r="BD481" i="1" s="1"/>
  <c r="BC1581" i="1"/>
  <c r="BD1581" i="1" s="1"/>
  <c r="BC513" i="1"/>
  <c r="BD513" i="1" s="1"/>
  <c r="BC1348" i="1"/>
  <c r="BD1348" i="1" s="1"/>
  <c r="BC1244" i="1"/>
  <c r="BD1244" i="1" s="1"/>
  <c r="BC2002" i="1"/>
  <c r="BD2002" i="1" s="1"/>
  <c r="BC1866" i="1"/>
  <c r="BD1866" i="1" s="1"/>
  <c r="BC708" i="1"/>
  <c r="BD708" i="1" s="1"/>
  <c r="BC466" i="1"/>
  <c r="BD466" i="1" s="1"/>
  <c r="BC1041" i="1"/>
  <c r="BD1041" i="1" s="1"/>
  <c r="BC1286" i="1"/>
  <c r="BD1286" i="1" s="1"/>
  <c r="BC1230" i="1"/>
  <c r="BD1230" i="1" s="1"/>
  <c r="BC1629" i="1"/>
  <c r="BD1629" i="1" s="1"/>
  <c r="BC1101" i="1"/>
  <c r="BD1101" i="1" s="1"/>
  <c r="BC1077" i="1"/>
  <c r="BD1077" i="1" s="1"/>
  <c r="BC822" i="1"/>
  <c r="BD822" i="1" s="1"/>
  <c r="BC1081" i="1"/>
  <c r="BD1081" i="1" s="1"/>
  <c r="BC414" i="1"/>
  <c r="BD414" i="1" s="1"/>
  <c r="BC1952" i="1"/>
  <c r="BD1952" i="1" s="1"/>
  <c r="BC110" i="1"/>
  <c r="BD110" i="1" s="1"/>
  <c r="BC873" i="1"/>
  <c r="BD873" i="1" s="1"/>
  <c r="BC1002" i="1"/>
  <c r="BD1002" i="1" s="1"/>
  <c r="BC1480" i="1"/>
  <c r="BD1480" i="1" s="1"/>
  <c r="BC411" i="1"/>
  <c r="BD411" i="1" s="1"/>
  <c r="BC1414" i="1"/>
  <c r="BD1414" i="1" s="1"/>
  <c r="BC2000" i="1"/>
  <c r="BD2000" i="1" s="1"/>
  <c r="BC772" i="1"/>
  <c r="BD772" i="1" s="1"/>
  <c r="BC1539" i="1"/>
  <c r="BD1539" i="1" s="1"/>
  <c r="BC1579" i="1"/>
  <c r="BD1579" i="1" s="1"/>
  <c r="BC1018" i="1"/>
  <c r="BD1018" i="1" s="1"/>
  <c r="BC1156" i="1"/>
  <c r="BD1156" i="1" s="1"/>
  <c r="BC489" i="1"/>
  <c r="BD489" i="1" s="1"/>
  <c r="BC968" i="1"/>
  <c r="BD968" i="1" s="1"/>
  <c r="BC1535" i="1"/>
  <c r="BD1535" i="1" s="1"/>
  <c r="BC1889" i="1"/>
  <c r="BD1889" i="1" s="1"/>
  <c r="BC1500" i="1"/>
  <c r="BD1500" i="1" s="1"/>
  <c r="BC1553" i="1"/>
  <c r="BD1553" i="1" s="1"/>
  <c r="BC762" i="1"/>
  <c r="BD762" i="1" s="1"/>
  <c r="BC435" i="1"/>
  <c r="BD435" i="1" s="1"/>
  <c r="BC46" i="1"/>
  <c r="BD46" i="1" s="1"/>
  <c r="BC1841" i="1"/>
  <c r="BD1841" i="1" s="1"/>
  <c r="BC1501" i="1"/>
  <c r="BD1501" i="1" s="1"/>
  <c r="BC1686" i="1"/>
  <c r="BD1686" i="1" s="1"/>
  <c r="BC880" i="1"/>
  <c r="BD880" i="1" s="1"/>
  <c r="BC1034" i="1"/>
  <c r="BD1034" i="1" s="1"/>
  <c r="BC1520" i="1"/>
  <c r="BD1520" i="1" s="1"/>
  <c r="BC1675" i="1"/>
  <c r="BD1675" i="1" s="1"/>
  <c r="BC84" i="1"/>
  <c r="BD84" i="1" s="1"/>
  <c r="BC36" i="1"/>
  <c r="BD36" i="1" s="1"/>
  <c r="BC639" i="1"/>
  <c r="BD639" i="1" s="1"/>
  <c r="BC1762" i="1"/>
  <c r="BD1762" i="1" s="1"/>
  <c r="BC884" i="1"/>
  <c r="BD884" i="1" s="1"/>
  <c r="BC1722" i="1"/>
  <c r="BD1722" i="1" s="1"/>
  <c r="BC581" i="1"/>
  <c r="BD581" i="1" s="1"/>
  <c r="BC1021" i="1"/>
  <c r="BD1021" i="1" s="1"/>
  <c r="BC1863" i="1"/>
  <c r="BD1863" i="1" s="1"/>
  <c r="BC1091" i="1"/>
  <c r="BD1091" i="1" s="1"/>
  <c r="BC116" i="1"/>
  <c r="BD116" i="1" s="1"/>
  <c r="BC226" i="1"/>
  <c r="BD226" i="1" s="1"/>
  <c r="BC261" i="1"/>
  <c r="BD261" i="1" s="1"/>
  <c r="BC174" i="1"/>
  <c r="BD174" i="1" s="1"/>
  <c r="BC351" i="1"/>
  <c r="BD351" i="1" s="1"/>
  <c r="BC456" i="1"/>
  <c r="BD456" i="1" s="1"/>
  <c r="BC1056" i="1"/>
  <c r="BD1056" i="1" s="1"/>
  <c r="BC22" i="1"/>
  <c r="BD22" i="1" s="1"/>
  <c r="BC30" i="1"/>
  <c r="BD30" i="1" s="1"/>
  <c r="BC1822" i="1"/>
  <c r="BD1822" i="1" s="1"/>
  <c r="BC935" i="1"/>
  <c r="BD935" i="1" s="1"/>
  <c r="BC141" i="1"/>
  <c r="BD141" i="1" s="1"/>
  <c r="BC1730" i="1"/>
  <c r="BD1730" i="1" s="1"/>
  <c r="BC450" i="1"/>
  <c r="BD450" i="1" s="1"/>
  <c r="BC1142" i="1"/>
  <c r="BD1142" i="1" s="1"/>
  <c r="BC674" i="1"/>
  <c r="BD674" i="1" s="1"/>
  <c r="BC99" i="1"/>
  <c r="BD99" i="1" s="1"/>
  <c r="BC1164" i="1"/>
  <c r="BD1164" i="1" s="1"/>
  <c r="BC1394" i="1"/>
  <c r="BD1394" i="1" s="1"/>
  <c r="BC1833" i="1"/>
  <c r="BD1833" i="1" s="1"/>
  <c r="BC1325" i="1"/>
  <c r="BD1325" i="1" s="1"/>
  <c r="BC1828" i="1"/>
  <c r="BD1828" i="1" s="1"/>
  <c r="BC1045" i="1"/>
  <c r="BD1045" i="1" s="1"/>
  <c r="BC794" i="1"/>
  <c r="BD794" i="1" s="1"/>
  <c r="BC208" i="1"/>
  <c r="BD208" i="1" s="1"/>
  <c r="BC1097" i="1"/>
  <c r="BD1097" i="1" s="1"/>
  <c r="BC657" i="1"/>
  <c r="BD657" i="1" s="1"/>
  <c r="BC1961" i="1"/>
  <c r="BD1961" i="1" s="1"/>
  <c r="BC304" i="1"/>
  <c r="BD304" i="1" s="1"/>
  <c r="BC1183" i="1"/>
  <c r="BD1183" i="1" s="1"/>
  <c r="BC1596" i="1"/>
  <c r="BD1596" i="1" s="1"/>
  <c r="BC77" i="1"/>
  <c r="BD77" i="1" s="1"/>
  <c r="BC1143" i="1"/>
  <c r="BD1143" i="1" s="1"/>
  <c r="BC250" i="1"/>
  <c r="BD250" i="1" s="1"/>
  <c r="BC283" i="1"/>
  <c r="BD283" i="1" s="1"/>
  <c r="BC1990" i="1"/>
  <c r="BD1990" i="1" s="1"/>
  <c r="BC1223" i="1"/>
  <c r="BD1223" i="1" s="1"/>
  <c r="BC774" i="1"/>
  <c r="BD774" i="1" s="1"/>
  <c r="BC400" i="1"/>
  <c r="BD400" i="1" s="1"/>
  <c r="BC268" i="1"/>
  <c r="BD268" i="1" s="1"/>
  <c r="BC454" i="1"/>
  <c r="BD454" i="1" s="1"/>
  <c r="BC572" i="1"/>
  <c r="BD572" i="1" s="1"/>
  <c r="BC1379" i="1"/>
  <c r="BD1379" i="1" s="1"/>
  <c r="BC1844" i="1"/>
  <c r="BD1844" i="1" s="1"/>
  <c r="BC1964" i="1"/>
  <c r="BD1964" i="1" s="1"/>
  <c r="BC1163" i="1"/>
  <c r="BD1163" i="1" s="1"/>
  <c r="BC312" i="1"/>
  <c r="BD312" i="1" s="1"/>
  <c r="BC1839" i="1"/>
  <c r="BD1839" i="1" s="1"/>
  <c r="BC1533" i="1"/>
  <c r="BD1533" i="1" s="1"/>
  <c r="BC1982" i="1"/>
  <c r="BD1982" i="1" s="1"/>
  <c r="BC1331" i="1"/>
  <c r="BD1331" i="1" s="1"/>
  <c r="BC1011" i="1"/>
  <c r="BD1011" i="1" s="1"/>
  <c r="BC433" i="1"/>
  <c r="BD433" i="1" s="1"/>
  <c r="BC1718" i="1"/>
  <c r="BD1718" i="1" s="1"/>
  <c r="BC1023" i="1"/>
  <c r="BD1023" i="1" s="1"/>
  <c r="BC321" i="1"/>
  <c r="BD321" i="1" s="1"/>
  <c r="BC1412" i="1"/>
  <c r="BD1412" i="1" s="1"/>
  <c r="BC1033" i="1"/>
  <c r="BD1033" i="1" s="1"/>
  <c r="BC815" i="1"/>
  <c r="BD815" i="1" s="1"/>
  <c r="BC1831" i="1"/>
  <c r="BD1831" i="1" s="1"/>
  <c r="BC1201" i="1"/>
  <c r="BD1201" i="1" s="1"/>
  <c r="BC1623" i="1"/>
  <c r="BD1623" i="1" s="1"/>
  <c r="BC2" i="1"/>
  <c r="BD2" i="1" s="1"/>
  <c r="BC117" i="1"/>
  <c r="BD117" i="1" s="1"/>
  <c r="BC1502" i="1"/>
  <c r="BD1502" i="1" s="1"/>
  <c r="BC651" i="1"/>
  <c r="BD651" i="1" s="1"/>
  <c r="BC303" i="1"/>
  <c r="BD303" i="1" s="1"/>
  <c r="BC1801" i="1"/>
  <c r="BD1801" i="1" s="1"/>
  <c r="BC1291" i="1"/>
  <c r="BD1291" i="1" s="1"/>
  <c r="BC1203" i="1"/>
  <c r="BD1203" i="1" s="1"/>
  <c r="BC591" i="1"/>
  <c r="BD591" i="1" s="1"/>
  <c r="BC1601" i="1"/>
  <c r="BD1601" i="1" s="1"/>
  <c r="BC658" i="1"/>
  <c r="BD658" i="1" s="1"/>
  <c r="BC1051" i="1"/>
  <c r="BD1051" i="1" s="1"/>
  <c r="BC1074" i="1"/>
  <c r="BD1074" i="1" s="1"/>
  <c r="BC362" i="1"/>
  <c r="BD362" i="1" s="1"/>
  <c r="BC1054" i="1"/>
  <c r="BD1054" i="1" s="1"/>
  <c r="BC28" i="1"/>
  <c r="BD28" i="1" s="1"/>
  <c r="BC737" i="1"/>
  <c r="BD737" i="1" s="1"/>
  <c r="BC217" i="1"/>
  <c r="BD217" i="1" s="1"/>
  <c r="BC1369" i="1"/>
  <c r="BD1369" i="1" s="1"/>
  <c r="BC1146" i="1"/>
  <c r="BD1146" i="1" s="1"/>
  <c r="BC638" i="1"/>
  <c r="BD638" i="1" s="1"/>
  <c r="BC680" i="1"/>
  <c r="BD680" i="1" s="1"/>
  <c r="BC940" i="1"/>
  <c r="BD940" i="1" s="1"/>
  <c r="BC958" i="1"/>
  <c r="BD958" i="1" s="1"/>
  <c r="BC807" i="1"/>
  <c r="BD807" i="1" s="1"/>
  <c r="BC1645" i="1"/>
  <c r="BD1645" i="1" s="1"/>
  <c r="BC1392" i="1"/>
  <c r="BD1392" i="1" s="1"/>
  <c r="BC92" i="1"/>
  <c r="BD92" i="1" s="1"/>
  <c r="BC703" i="1"/>
  <c r="BD703" i="1" s="1"/>
  <c r="BC265" i="1"/>
  <c r="BD265" i="1" s="1"/>
  <c r="BC1439" i="1"/>
  <c r="BD1439" i="1" s="1"/>
  <c r="BC547" i="1"/>
  <c r="BD547" i="1" s="1"/>
  <c r="BC199" i="1"/>
  <c r="BD199" i="1" s="1"/>
  <c r="BC1799" i="1"/>
  <c r="BD1799" i="1" s="1"/>
  <c r="BC1732" i="1"/>
  <c r="BD1732" i="1" s="1"/>
  <c r="BC846" i="1"/>
  <c r="BD846" i="1" s="1"/>
  <c r="BC893" i="1"/>
  <c r="BD893" i="1" s="1"/>
  <c r="BC1341" i="1"/>
  <c r="BD1341" i="1" s="1"/>
  <c r="BC19" i="1"/>
  <c r="BD19" i="1" s="1"/>
  <c r="BC948" i="1"/>
  <c r="BD948" i="1" s="1"/>
  <c r="BC266" i="1"/>
  <c r="BD266" i="1" s="1"/>
  <c r="BC1971" i="1"/>
  <c r="BD1971" i="1" s="1"/>
  <c r="BC431" i="1"/>
  <c r="BD431" i="1" s="1"/>
  <c r="BC993" i="1"/>
  <c r="BD993" i="1" s="1"/>
  <c r="BC1945" i="1"/>
  <c r="BD1945" i="1" s="1"/>
  <c r="BC491" i="1"/>
  <c r="BD491" i="1" s="1"/>
  <c r="BC1186" i="1"/>
  <c r="BD1186" i="1" s="1"/>
  <c r="BC666" i="1"/>
  <c r="BD666" i="1" s="1"/>
  <c r="BC48" i="1"/>
  <c r="BD48" i="1" s="1"/>
  <c r="BC1812" i="1"/>
  <c r="BD1812" i="1" s="1"/>
  <c r="BC138" i="1"/>
  <c r="BD138" i="1" s="1"/>
  <c r="BC1713" i="1"/>
  <c r="BD1713" i="1" s="1"/>
  <c r="BC636" i="1"/>
  <c r="BD636" i="1" s="1"/>
  <c r="BC710" i="1"/>
  <c r="BD710" i="1" s="1"/>
  <c r="BC675" i="1"/>
  <c r="BD675" i="1" s="1"/>
  <c r="BC170" i="1"/>
  <c r="BD170" i="1" s="1"/>
  <c r="BC452" i="1"/>
  <c r="BD452" i="1" s="1"/>
  <c r="BC1860" i="1"/>
  <c r="BD1860" i="1" s="1"/>
  <c r="BC39" i="1"/>
  <c r="BD39" i="1" s="1"/>
  <c r="BC682" i="1"/>
  <c r="BD682" i="1" s="1"/>
  <c r="BC474" i="1"/>
  <c r="BD474" i="1" s="1"/>
  <c r="BC516" i="1"/>
  <c r="BD516" i="1" s="1"/>
  <c r="BC326" i="1"/>
  <c r="BD326" i="1" s="1"/>
  <c r="BC339" i="1"/>
  <c r="BD339" i="1" s="1"/>
  <c r="BC472" i="1"/>
  <c r="BD472" i="1" s="1"/>
  <c r="BC681" i="1"/>
  <c r="BD681" i="1" s="1"/>
  <c r="BC725" i="1"/>
  <c r="BD725" i="1" s="1"/>
  <c r="BC118" i="1"/>
  <c r="BD118" i="1" s="1"/>
  <c r="BC54" i="1"/>
  <c r="BD54" i="1" s="1"/>
  <c r="BC1317" i="1"/>
  <c r="BD1317" i="1" s="1"/>
  <c r="BC522" i="1"/>
  <c r="BD522" i="1" s="1"/>
  <c r="BC1873" i="1"/>
  <c r="BD1873" i="1" s="1"/>
  <c r="BC27" i="1"/>
  <c r="BD27" i="1" s="1"/>
  <c r="BC1372" i="1"/>
  <c r="BD1372" i="1" s="1"/>
  <c r="BC628" i="1"/>
  <c r="BD628" i="1" s="1"/>
  <c r="BC1931" i="1"/>
  <c r="BD1931" i="1" s="1"/>
  <c r="BC1838" i="1"/>
  <c r="BD1838" i="1" s="1"/>
  <c r="BC1356" i="1"/>
  <c r="BD1356" i="1" s="1"/>
  <c r="BC1160" i="1"/>
  <c r="BD1160" i="1" s="1"/>
  <c r="BC1991" i="1"/>
  <c r="BD1991" i="1" s="1"/>
  <c r="BC1569" i="1"/>
  <c r="BD1569" i="1" s="1"/>
  <c r="BC1565" i="1"/>
  <c r="BD1565" i="1" s="1"/>
  <c r="BC1666" i="1"/>
  <c r="BD1666" i="1" s="1"/>
  <c r="BC930" i="1"/>
  <c r="BD930" i="1" s="1"/>
  <c r="BC59" i="1"/>
  <c r="BD59" i="1" s="1"/>
  <c r="BC1283" i="1"/>
  <c r="BD1283" i="1" s="1"/>
  <c r="BC1714" i="1"/>
  <c r="BD1714" i="1" s="1"/>
  <c r="BC842" i="1"/>
  <c r="BD842" i="1" s="1"/>
  <c r="BC167" i="1"/>
  <c r="BD167" i="1" s="1"/>
  <c r="BC1856" i="1"/>
  <c r="BD1856" i="1" s="1"/>
  <c r="BC1517" i="1"/>
  <c r="BD1517" i="1" s="1"/>
  <c r="BC233" i="1"/>
  <c r="BD233" i="1" s="1"/>
  <c r="BC1826" i="1"/>
  <c r="BD1826" i="1" s="1"/>
  <c r="BC1314" i="1"/>
  <c r="BD1314" i="1" s="1"/>
  <c r="BC1463" i="1"/>
  <c r="BD1463" i="1" s="1"/>
  <c r="BC1147" i="1"/>
  <c r="BD1147" i="1" s="1"/>
  <c r="BC295" i="1"/>
  <c r="BD295" i="1" s="1"/>
  <c r="BC1543" i="1"/>
  <c r="BD1543" i="1" s="1"/>
  <c r="BC168" i="1"/>
  <c r="BD168" i="1" s="1"/>
  <c r="BC723" i="1"/>
  <c r="BD723" i="1" s="1"/>
  <c r="BC132" i="1"/>
  <c r="BD132" i="1" s="1"/>
  <c r="BC1894" i="1"/>
  <c r="BD1894" i="1" s="1"/>
  <c r="BC212" i="1"/>
  <c r="BD212" i="1" s="1"/>
  <c r="BC773" i="1"/>
  <c r="BD773" i="1" s="1"/>
  <c r="BC786" i="1"/>
  <c r="BD786" i="1" s="1"/>
  <c r="BC1710" i="1"/>
  <c r="BD1710" i="1" s="1"/>
  <c r="BC1277" i="1"/>
  <c r="BD1277" i="1" s="1"/>
  <c r="BC1316" i="1"/>
  <c r="BD1316" i="1" s="1"/>
  <c r="BC1151" i="1"/>
  <c r="BD1151" i="1" s="1"/>
  <c r="BC1172" i="1"/>
  <c r="BD1172" i="1" s="1"/>
  <c r="BC189" i="1"/>
  <c r="BD189" i="1" s="1"/>
  <c r="BC1510" i="1"/>
  <c r="BD1510" i="1" s="1"/>
  <c r="BC1979" i="1"/>
  <c r="BD1979" i="1" s="1"/>
  <c r="BC1986" i="1"/>
  <c r="BD1986" i="1" s="1"/>
  <c r="BC1806" i="1"/>
  <c r="BD1806" i="1" s="1"/>
  <c r="BC1620" i="1"/>
  <c r="BD1620" i="1" s="1"/>
  <c r="BC299" i="1"/>
  <c r="BD299" i="1" s="1"/>
  <c r="BC1550" i="1"/>
  <c r="BD1550" i="1" s="1"/>
  <c r="BC799" i="1"/>
  <c r="BD799" i="1" s="1"/>
  <c r="BC406" i="1"/>
  <c r="BD406" i="1" s="1"/>
  <c r="BC1255" i="1"/>
  <c r="BD1255" i="1" s="1"/>
  <c r="BC297" i="1"/>
  <c r="BD297" i="1" s="1"/>
  <c r="BC1592" i="1"/>
  <c r="BD1592" i="1" s="1"/>
  <c r="BC1382" i="1"/>
  <c r="BD1382" i="1" s="1"/>
  <c r="BC1181" i="1"/>
  <c r="BD1181" i="1" s="1"/>
  <c r="BC89" i="1"/>
  <c r="BD89" i="1" s="1"/>
  <c r="BC1095" i="1"/>
  <c r="BD1095" i="1" s="1"/>
  <c r="BC1909" i="1"/>
  <c r="BD1909" i="1" s="1"/>
  <c r="BC1281" i="1"/>
  <c r="BD1281" i="1" s="1"/>
  <c r="BC436" i="1"/>
  <c r="BD436" i="1" s="1"/>
  <c r="BC253" i="1"/>
  <c r="BD253" i="1" s="1"/>
  <c r="BC964" i="1"/>
  <c r="BD964" i="1" s="1"/>
  <c r="BC1985" i="1"/>
  <c r="BD1985" i="1" s="1"/>
  <c r="BC1194" i="1"/>
  <c r="BD1194" i="1" s="1"/>
  <c r="BC1107" i="1"/>
  <c r="BD1107" i="1" s="1"/>
  <c r="BC361" i="1"/>
  <c r="BD361" i="1" s="1"/>
  <c r="BC264" i="1"/>
  <c r="BD264" i="1" s="1"/>
  <c r="BC492" i="1"/>
  <c r="BD492" i="1" s="1"/>
  <c r="BC538" i="1"/>
  <c r="BD538" i="1" s="1"/>
  <c r="BC1642" i="1"/>
  <c r="BD1642" i="1" s="1"/>
  <c r="BC506" i="1"/>
  <c r="BD506" i="1" s="1"/>
  <c r="BC1089" i="1"/>
  <c r="BD1089" i="1" s="1"/>
  <c r="BC719" i="1"/>
  <c r="BD719" i="1" s="1"/>
  <c r="BC652" i="1"/>
  <c r="BD652" i="1" s="1"/>
  <c r="BC1989" i="1"/>
  <c r="BD1989" i="1" s="1"/>
  <c r="BC2004" i="1"/>
  <c r="BD2004" i="1" s="1"/>
  <c r="BC1246" i="1"/>
  <c r="BD1246" i="1" s="1"/>
  <c r="BC181" i="1"/>
  <c r="BD181" i="1" s="1"/>
  <c r="BC525" i="1"/>
  <c r="BD525" i="1" s="1"/>
  <c r="BC999" i="1"/>
  <c r="BD999" i="1" s="1"/>
  <c r="BC1063" i="1"/>
  <c r="BD1063" i="1" s="1"/>
  <c r="BC788" i="1"/>
  <c r="BD788" i="1" s="1"/>
  <c r="BC1776" i="1"/>
  <c r="BD1776" i="1" s="1"/>
  <c r="BC1407" i="1"/>
  <c r="BD1407" i="1" s="1"/>
  <c r="BC1094" i="1"/>
  <c r="BD1094" i="1" s="1"/>
  <c r="BC1912" i="1"/>
  <c r="BD1912" i="1" s="1"/>
  <c r="BC1282" i="1"/>
  <c r="BD1282" i="1" s="1"/>
  <c r="BC45" i="1"/>
  <c r="BD45" i="1" s="1"/>
  <c r="BC604" i="1"/>
  <c r="BD604" i="1" s="1"/>
  <c r="BC13" i="1"/>
  <c r="BD13" i="1" s="1"/>
  <c r="BC503" i="1"/>
  <c r="BD503" i="1" s="1"/>
  <c r="BC751" i="1"/>
  <c r="BD751" i="1" s="1"/>
  <c r="BC783" i="1"/>
  <c r="BD783" i="1" s="1"/>
  <c r="BC1055" i="1"/>
  <c r="BD1055" i="1" s="1"/>
  <c r="BC234" i="1"/>
  <c r="BD234" i="1" s="1"/>
  <c r="BC2012" i="1"/>
  <c r="BD2012" i="1" s="1"/>
  <c r="BC693" i="1"/>
  <c r="BD693" i="1" s="1"/>
  <c r="BC655" i="1"/>
  <c r="BD655" i="1" s="1"/>
  <c r="BC555" i="1"/>
  <c r="BD555" i="1" s="1"/>
  <c r="BC898" i="1"/>
  <c r="BD898" i="1" s="1"/>
  <c r="BC653" i="1"/>
  <c r="BD653" i="1" s="1"/>
  <c r="BC745" i="1"/>
  <c r="BD745" i="1" s="1"/>
  <c r="BC232" i="1"/>
  <c r="BD232" i="1" s="1"/>
  <c r="BC1613" i="1"/>
  <c r="BD1613" i="1" s="1"/>
  <c r="BC254" i="1"/>
  <c r="BD254" i="1" s="1"/>
  <c r="BC155" i="1"/>
  <c r="BD155" i="1" s="1"/>
  <c r="BC1231" i="1"/>
  <c r="BD1231" i="1" s="1"/>
  <c r="BC1546" i="1"/>
  <c r="BD1546" i="1" s="1"/>
  <c r="BC1883" i="1"/>
  <c r="BD1883" i="1" s="1"/>
  <c r="BC137" i="1"/>
  <c r="BD137" i="1" s="1"/>
  <c r="BC825" i="1"/>
  <c r="BD825" i="1" s="1"/>
  <c r="BC1153" i="1"/>
  <c r="BD1153" i="1" s="1"/>
  <c r="BC843" i="1"/>
  <c r="BD843" i="1" s="1"/>
  <c r="BC1728" i="1"/>
  <c r="BD1728" i="1" s="1"/>
  <c r="BC370" i="1"/>
  <c r="BD370" i="1" s="1"/>
  <c r="BC688" i="1"/>
  <c r="BD688" i="1" s="1"/>
  <c r="BC632" i="1"/>
  <c r="BD632" i="1" s="1"/>
  <c r="BC408" i="1"/>
  <c r="BD408" i="1" s="1"/>
  <c r="BC753" i="1"/>
  <c r="BD753" i="1" s="1"/>
  <c r="BC96" i="1"/>
  <c r="BD96" i="1" s="1"/>
  <c r="BC767" i="1"/>
  <c r="BD767" i="1" s="1"/>
  <c r="BC166" i="1"/>
  <c r="BD166" i="1" s="1"/>
  <c r="BC1284" i="1"/>
  <c r="BD1284" i="1" s="1"/>
  <c r="BC1942" i="1"/>
  <c r="BD1942" i="1" s="1"/>
  <c r="BC831" i="1"/>
  <c r="BD831" i="1" s="1"/>
  <c r="BC16" i="1"/>
  <c r="BD16" i="1" s="1"/>
  <c r="BC585" i="1"/>
  <c r="BD585" i="1" s="1"/>
  <c r="BC1175" i="1"/>
  <c r="BD1175" i="1" s="1"/>
  <c r="BC1112" i="1"/>
  <c r="BD1112" i="1" s="1"/>
  <c r="BC1941" i="1"/>
  <c r="BD1941" i="1" s="1"/>
  <c r="BC1399" i="1"/>
  <c r="BD1399" i="1" s="1"/>
  <c r="BC870" i="1"/>
  <c r="BD870" i="1" s="1"/>
  <c r="BC707" i="1"/>
  <c r="BD707" i="1" s="1"/>
  <c r="BC1152" i="1"/>
  <c r="BD1152" i="1" s="1"/>
  <c r="BC1211" i="1"/>
  <c r="BD1211" i="1" s="1"/>
  <c r="BC1065" i="1"/>
  <c r="BD1065" i="1" s="1"/>
  <c r="BC451" i="1"/>
  <c r="BD451" i="1" s="1"/>
  <c r="BC646" i="1"/>
  <c r="BD646" i="1" s="1"/>
  <c r="BC982" i="1"/>
  <c r="BD982" i="1" s="1"/>
  <c r="BC1740" i="1"/>
  <c r="BD1740" i="1" s="1"/>
  <c r="BC954" i="1"/>
  <c r="BD954" i="1" s="1"/>
  <c r="BC1028" i="1"/>
  <c r="BD1028" i="1" s="1"/>
  <c r="BC1031" i="1"/>
  <c r="BD1031" i="1" s="1"/>
  <c r="BC1813" i="1"/>
  <c r="BD1813" i="1" s="1"/>
  <c r="BC1593" i="1"/>
  <c r="BD1593" i="1" s="1"/>
  <c r="BC343" i="1"/>
  <c r="BD343" i="1" s="1"/>
  <c r="BC721" i="1"/>
  <c r="BD721" i="1" s="1"/>
  <c r="BC345" i="1"/>
  <c r="BD345" i="1" s="1"/>
  <c r="BC346" i="1"/>
  <c r="BD346" i="1" s="1"/>
  <c r="BC100" i="1"/>
  <c r="BD100" i="1" s="1"/>
  <c r="BC1697" i="1"/>
  <c r="BD1697" i="1" s="1"/>
  <c r="BC1241" i="1"/>
  <c r="BD1241" i="1" s="1"/>
  <c r="BC415" i="1"/>
  <c r="BD415" i="1" s="1"/>
  <c r="BC1219" i="1"/>
  <c r="BD1219" i="1" s="1"/>
  <c r="BC1320" i="1"/>
  <c r="BD1320" i="1" s="1"/>
  <c r="BC1196" i="1"/>
  <c r="BD1196" i="1" s="1"/>
  <c r="BC259" i="1"/>
  <c r="BD259" i="1" s="1"/>
  <c r="BC385" i="1"/>
  <c r="BD385" i="1" s="1"/>
  <c r="BC736" i="1"/>
  <c r="BD736" i="1" s="1"/>
  <c r="BC1448" i="1"/>
  <c r="BD1448" i="1" s="1"/>
  <c r="BC1747" i="1"/>
  <c r="BD1747" i="1" s="1"/>
  <c r="BC1950" i="1"/>
  <c r="BD1950" i="1" s="1"/>
  <c r="BC18" i="1"/>
  <c r="BD18" i="1" s="1"/>
  <c r="BC529" i="1"/>
  <c r="BD529" i="1" s="1"/>
  <c r="BC1561" i="1"/>
  <c r="BD1561" i="1" s="1"/>
  <c r="BC1420" i="1"/>
  <c r="BD1420" i="1" s="1"/>
  <c r="BC780" i="1"/>
  <c r="BD780" i="1" s="1"/>
  <c r="BC610" i="1"/>
  <c r="BD610" i="1" s="1"/>
  <c r="BC778" i="1"/>
  <c r="BD778" i="1" s="1"/>
  <c r="BC1371" i="1"/>
  <c r="BD1371" i="1" s="1"/>
  <c r="BC1607" i="1"/>
  <c r="BD1607" i="1" s="1"/>
  <c r="BC1852" i="1"/>
  <c r="BD1852" i="1" s="1"/>
  <c r="BC1149" i="1"/>
  <c r="BD1149" i="1" s="1"/>
  <c r="BC1475" i="1"/>
  <c r="BD1475" i="1" s="1"/>
  <c r="BC1882" i="1"/>
  <c r="BD1882" i="1" s="1"/>
  <c r="BC517" i="1"/>
  <c r="BD517" i="1" s="1"/>
  <c r="BC1632" i="1"/>
  <c r="BD1632" i="1" s="1"/>
  <c r="BC109" i="1"/>
  <c r="BD109" i="1" s="1"/>
  <c r="BC1228" i="1"/>
  <c r="BD1228" i="1" s="1"/>
  <c r="BC771" i="1"/>
  <c r="BD771" i="1" s="1"/>
  <c r="BC1702" i="1"/>
  <c r="BD1702" i="1" s="1"/>
  <c r="BC446" i="1"/>
  <c r="BD446" i="1" s="1"/>
  <c r="BC1670" i="1"/>
  <c r="BD1670" i="1" s="1"/>
  <c r="BC1113" i="1"/>
  <c r="BD1113" i="1" s="1"/>
  <c r="BC1114" i="1"/>
  <c r="BD1114" i="1" s="1"/>
  <c r="BC1477" i="1"/>
  <c r="BD1477" i="1" s="1"/>
  <c r="BC57" i="1"/>
  <c r="BD57" i="1" s="1"/>
  <c r="BC1972" i="1"/>
  <c r="BD1972" i="1" s="1"/>
  <c r="BC1093" i="1"/>
  <c r="BD1093" i="1" s="1"/>
  <c r="BC1786" i="1"/>
  <c r="BD1786" i="1" s="1"/>
  <c r="BC1192" i="1"/>
  <c r="BD1192" i="1" s="1"/>
  <c r="BC980" i="1"/>
  <c r="BD980" i="1" s="1"/>
  <c r="BC286" i="1"/>
  <c r="BD286" i="1" s="1"/>
  <c r="BC1529" i="1"/>
  <c r="BD1529" i="1" s="1"/>
  <c r="BC1956" i="1"/>
  <c r="BD1956" i="1" s="1"/>
  <c r="BC1488" i="1"/>
  <c r="BD1488" i="1" s="1"/>
  <c r="BC473" i="1"/>
  <c r="BD473" i="1" s="1"/>
  <c r="BC29" i="1"/>
  <c r="BD29" i="1" s="1"/>
  <c r="BC1264" i="1"/>
  <c r="BD1264" i="1" s="1"/>
  <c r="BC596" i="1"/>
  <c r="BD596" i="1" s="1"/>
  <c r="BC1898" i="1"/>
  <c r="BD1898" i="1" s="1"/>
  <c r="BC937" i="1"/>
  <c r="BD937" i="1" s="1"/>
  <c r="BC2020" i="1"/>
  <c r="BD2020" i="1" s="1"/>
  <c r="BC1139" i="1"/>
  <c r="BD1139" i="1" s="1"/>
  <c r="BC350" i="1"/>
  <c r="BD350" i="1" s="1"/>
  <c r="BC1343" i="1"/>
  <c r="BD1343" i="1" s="1"/>
  <c r="BC1720" i="1"/>
  <c r="BD1720" i="1" s="1"/>
  <c r="BC318" i="1"/>
  <c r="BD318" i="1" s="1"/>
  <c r="BC1008" i="1"/>
  <c r="BD1008" i="1" s="1"/>
  <c r="BC416" i="1"/>
  <c r="BD416" i="1" s="1"/>
  <c r="BC255" i="1"/>
  <c r="BD255" i="1" s="1"/>
  <c r="BC1789" i="1"/>
  <c r="BD1789" i="1" s="1"/>
  <c r="BC1288" i="1"/>
  <c r="BD1288" i="1" s="1"/>
  <c r="BC1599" i="1"/>
  <c r="BD1599" i="1" s="1"/>
  <c r="BC289" i="1"/>
  <c r="BD289" i="1" s="1"/>
  <c r="BC1737" i="1"/>
  <c r="BD1737" i="1" s="1"/>
  <c r="BC1765" i="1"/>
  <c r="BD1765" i="1" s="1"/>
  <c r="BC34" i="1"/>
  <c r="BD34" i="1" s="1"/>
  <c r="BC1242" i="1"/>
  <c r="BD1242" i="1" s="1"/>
  <c r="BC1859" i="1"/>
  <c r="BD1859" i="1" s="1"/>
  <c r="BC1047" i="1"/>
  <c r="BD1047" i="1" s="1"/>
  <c r="R89" i="19" l="1"/>
  <c r="U89" i="19" s="1"/>
  <c r="M24" i="19"/>
  <c r="N10" i="19"/>
  <c r="L24" i="19"/>
  <c r="M10" i="19"/>
  <c r="L29" i="19"/>
  <c r="T29" i="19" s="1"/>
  <c r="L10" i="19"/>
  <c r="N31" i="19"/>
  <c r="L28" i="19"/>
  <c r="N11" i="19"/>
  <c r="O31" i="19"/>
  <c r="L27" i="19"/>
  <c r="K10" i="19"/>
  <c r="L12" i="19"/>
  <c r="L68" i="19"/>
  <c r="P31" i="19"/>
  <c r="L26" i="19"/>
  <c r="T26" i="19" s="1"/>
  <c r="L15" i="19"/>
  <c r="T15" i="19" s="1"/>
  <c r="L67" i="19"/>
  <c r="Q31" i="19"/>
  <c r="L25" i="19"/>
  <c r="L14" i="19"/>
  <c r="O17" i="19"/>
  <c r="L66" i="19"/>
  <c r="R31" i="19"/>
  <c r="N17" i="19"/>
  <c r="L13" i="19"/>
  <c r="T13" i="19" s="1"/>
  <c r="L36" i="19"/>
  <c r="L62" i="19"/>
  <c r="L61" i="19"/>
  <c r="L35" i="19"/>
  <c r="P17" i="19"/>
  <c r="L11" i="19"/>
  <c r="T11" i="19" s="1"/>
  <c r="L60" i="19"/>
  <c r="L34" i="19"/>
  <c r="Q17" i="19"/>
  <c r="L56" i="19"/>
  <c r="L33" i="19"/>
  <c r="R17" i="19"/>
  <c r="L55" i="19"/>
  <c r="L32" i="19"/>
  <c r="M17" i="19"/>
  <c r="L54" i="19"/>
  <c r="L31" i="19"/>
  <c r="L17" i="19"/>
  <c r="L50" i="19"/>
  <c r="M31" i="19"/>
  <c r="K17" i="19"/>
  <c r="L49" i="19"/>
  <c r="K31" i="19"/>
  <c r="L22" i="19"/>
  <c r="L48" i="19"/>
  <c r="K25" i="19"/>
  <c r="L21" i="19"/>
  <c r="B25" i="19"/>
  <c r="L20" i="19"/>
  <c r="L89" i="19"/>
  <c r="T89" i="19" s="1"/>
  <c r="K24" i="19"/>
  <c r="L19" i="19"/>
  <c r="L88" i="19"/>
  <c r="T88" i="19" s="1"/>
  <c r="N24" i="19"/>
  <c r="L18" i="19"/>
  <c r="L87" i="19"/>
  <c r="T87" i="19" s="1"/>
  <c r="O24" i="19"/>
  <c r="R10" i="19"/>
  <c r="L86" i="19"/>
  <c r="T86" i="19" s="1"/>
  <c r="P24" i="19"/>
  <c r="Q10" i="19"/>
  <c r="H62" i="15"/>
  <c r="L85" i="19"/>
  <c r="T85" i="19" s="1"/>
  <c r="Q24" i="19"/>
  <c r="P10" i="19"/>
  <c r="R24" i="19"/>
  <c r="O10" i="19"/>
  <c r="T42" i="19"/>
  <c r="T44" i="19"/>
  <c r="U42" i="19"/>
  <c r="U44" i="19"/>
  <c r="G5" i="21"/>
  <c r="G25" i="21" s="1"/>
  <c r="G35" i="21" s="1"/>
  <c r="H5" i="21"/>
  <c r="H25" i="21" s="1"/>
  <c r="H35" i="21" s="1"/>
  <c r="D6" i="21"/>
  <c r="D26" i="21" s="1"/>
  <c r="D36" i="21" s="1"/>
  <c r="E6" i="21"/>
  <c r="E26" i="21" s="1"/>
  <c r="E36" i="21" s="1"/>
  <c r="F6" i="21"/>
  <c r="F26" i="21" s="1"/>
  <c r="F36" i="21" s="1"/>
  <c r="G6" i="21"/>
  <c r="G26" i="21" s="1"/>
  <c r="G36" i="21" s="1"/>
  <c r="H6" i="21"/>
  <c r="H26" i="21" s="1"/>
  <c r="H36" i="21" s="1"/>
  <c r="D7" i="21"/>
  <c r="D27" i="21" s="1"/>
  <c r="D37" i="21" s="1"/>
  <c r="E7" i="21"/>
  <c r="E27" i="21" s="1"/>
  <c r="E37" i="21" s="1"/>
  <c r="F7" i="21"/>
  <c r="F27" i="21" s="1"/>
  <c r="F37" i="21" s="1"/>
  <c r="G7" i="21"/>
  <c r="G27" i="21" s="1"/>
  <c r="G37" i="21" s="1"/>
  <c r="D3" i="21"/>
  <c r="D23" i="21" s="1"/>
  <c r="D33" i="21" s="1"/>
  <c r="H7" i="21"/>
  <c r="H27" i="21" s="1"/>
  <c r="H37" i="21" s="1"/>
  <c r="E3" i="21"/>
  <c r="E23" i="21" s="1"/>
  <c r="E33" i="21" s="1"/>
  <c r="C7" i="21"/>
  <c r="C27" i="21" s="1"/>
  <c r="C37" i="21" s="1"/>
  <c r="F3" i="21"/>
  <c r="F23" i="21" s="1"/>
  <c r="F33" i="21" s="1"/>
  <c r="C4" i="21"/>
  <c r="C24" i="21" s="1"/>
  <c r="C34" i="21" s="1"/>
  <c r="G3" i="21"/>
  <c r="G23" i="21" s="1"/>
  <c r="G33" i="21" s="1"/>
  <c r="C5" i="21"/>
  <c r="C25" i="21" s="1"/>
  <c r="C35" i="21" s="1"/>
  <c r="H3" i="21"/>
  <c r="H23" i="21" s="1"/>
  <c r="H33" i="21" s="1"/>
  <c r="C6" i="21"/>
  <c r="C26" i="21" s="1"/>
  <c r="C36" i="21" s="1"/>
  <c r="D4" i="21"/>
  <c r="D24" i="21" s="1"/>
  <c r="D34" i="21" s="1"/>
  <c r="C3" i="21"/>
  <c r="C23" i="21" s="1"/>
  <c r="C33" i="21" s="1"/>
  <c r="E4" i="21"/>
  <c r="E24" i="21" s="1"/>
  <c r="E34" i="21" s="1"/>
  <c r="B4" i="21"/>
  <c r="B24" i="21" s="1"/>
  <c r="B34" i="21" s="1"/>
  <c r="F4" i="21"/>
  <c r="F24" i="21" s="1"/>
  <c r="F34" i="21" s="1"/>
  <c r="B5" i="21"/>
  <c r="B25" i="21" s="1"/>
  <c r="B35" i="21" s="1"/>
  <c r="G4" i="21"/>
  <c r="G24" i="21" s="1"/>
  <c r="G34" i="21" s="1"/>
  <c r="B6" i="21"/>
  <c r="B26" i="21" s="1"/>
  <c r="B36" i="21" s="1"/>
  <c r="H4" i="21"/>
  <c r="H24" i="21" s="1"/>
  <c r="H34" i="21" s="1"/>
  <c r="B7" i="21"/>
  <c r="B27" i="21" s="1"/>
  <c r="B37" i="21" s="1"/>
  <c r="D5" i="21"/>
  <c r="D25" i="21" s="1"/>
  <c r="D35" i="21" s="1"/>
  <c r="B23" i="21"/>
  <c r="B33" i="21" s="1"/>
  <c r="E5" i="21"/>
  <c r="E25" i="21" s="1"/>
  <c r="E35" i="21" s="1"/>
  <c r="F5" i="21"/>
  <c r="F25" i="21" s="1"/>
  <c r="F35" i="21" s="1"/>
  <c r="L20" i="6"/>
  <c r="L21" i="6"/>
  <c r="L22" i="6"/>
  <c r="L23" i="6"/>
  <c r="L19" i="6"/>
  <c r="D70" i="15"/>
  <c r="C67" i="15"/>
  <c r="E59" i="15"/>
  <c r="O35" i="19"/>
  <c r="N12" i="19"/>
  <c r="M11" i="19"/>
  <c r="G35" i="19"/>
  <c r="F12" i="19"/>
  <c r="B14" i="19"/>
  <c r="D29" i="19"/>
  <c r="H19" i="19"/>
  <c r="B19" i="19"/>
  <c r="P22" i="19"/>
  <c r="P27" i="19"/>
  <c r="N66" i="19"/>
  <c r="Q60" i="19"/>
  <c r="O55" i="19"/>
  <c r="R49" i="19"/>
  <c r="H68" i="19"/>
  <c r="D54" i="19"/>
  <c r="H48" i="19"/>
  <c r="M75" i="19"/>
  <c r="Q79" i="19"/>
  <c r="G77" i="19"/>
  <c r="F85" i="19"/>
  <c r="C86" i="19"/>
  <c r="D11" i="16"/>
  <c r="D19" i="16" s="1"/>
  <c r="E10" i="16"/>
  <c r="E18" i="16" s="1"/>
  <c r="E70" i="15"/>
  <c r="C66" i="15"/>
  <c r="F59" i="15"/>
  <c r="P35" i="19"/>
  <c r="O12" i="19"/>
  <c r="K15" i="19"/>
  <c r="S15" i="19" s="1"/>
  <c r="H35" i="19"/>
  <c r="G12" i="19"/>
  <c r="B13" i="19"/>
  <c r="E29" i="19"/>
  <c r="D20" i="19"/>
  <c r="B18" i="19"/>
  <c r="Q22" i="19"/>
  <c r="Q27" i="19"/>
  <c r="O66" i="19"/>
  <c r="R60" i="19"/>
  <c r="P55" i="19"/>
  <c r="N50" i="19"/>
  <c r="B68" i="19"/>
  <c r="E54" i="19"/>
  <c r="D49" i="19"/>
  <c r="N75" i="19"/>
  <c r="L76" i="19"/>
  <c r="H77" i="19"/>
  <c r="G85" i="19"/>
  <c r="C87" i="19"/>
  <c r="E11" i="16"/>
  <c r="E19" i="16" s="1"/>
  <c r="F10" i="16"/>
  <c r="F18" i="16" s="1"/>
  <c r="F70" i="15"/>
  <c r="B67" i="15"/>
  <c r="G59" i="15"/>
  <c r="Q35" i="19"/>
  <c r="P12" i="19"/>
  <c r="K14" i="19"/>
  <c r="S14" i="19" s="1"/>
  <c r="D36" i="19"/>
  <c r="H12" i="19"/>
  <c r="B12" i="19"/>
  <c r="F29" i="19"/>
  <c r="E20" i="19"/>
  <c r="N18" i="19"/>
  <c r="R22" i="19"/>
  <c r="U22" i="19" s="1"/>
  <c r="R27" i="19"/>
  <c r="U27" i="19" s="1"/>
  <c r="P66" i="19"/>
  <c r="N61" i="19"/>
  <c r="Q55" i="19"/>
  <c r="O50" i="19"/>
  <c r="C68" i="19"/>
  <c r="F54" i="19"/>
  <c r="E49" i="19"/>
  <c r="O75" i="19"/>
  <c r="L77" i="19"/>
  <c r="D78" i="19"/>
  <c r="H85" i="19"/>
  <c r="C88" i="19"/>
  <c r="F11" i="16"/>
  <c r="F19" i="16" s="1"/>
  <c r="G10" i="16"/>
  <c r="G18" i="16" s="1"/>
  <c r="G70" i="15"/>
  <c r="B66" i="15"/>
  <c r="H59" i="15"/>
  <c r="R35" i="19"/>
  <c r="U35" i="19" s="1"/>
  <c r="Q12" i="19"/>
  <c r="K13" i="19"/>
  <c r="S13" i="19" s="1"/>
  <c r="E36" i="19"/>
  <c r="D13" i="19"/>
  <c r="B11" i="19"/>
  <c r="G29" i="19"/>
  <c r="F20" i="19"/>
  <c r="O18" i="19"/>
  <c r="M22" i="19"/>
  <c r="N28" i="19"/>
  <c r="Q66" i="19"/>
  <c r="O61" i="19"/>
  <c r="R55" i="19"/>
  <c r="P50" i="19"/>
  <c r="C67" i="19"/>
  <c r="G54" i="19"/>
  <c r="F49" i="19"/>
  <c r="P75" i="19"/>
  <c r="L78" i="19"/>
  <c r="E78" i="19"/>
  <c r="D86" i="19"/>
  <c r="C85" i="19"/>
  <c r="G11" i="16"/>
  <c r="G19" i="16" s="1"/>
  <c r="B10" i="16"/>
  <c r="B18" i="16" s="1"/>
  <c r="H70" i="15"/>
  <c r="D62" i="15"/>
  <c r="C59" i="15"/>
  <c r="N36" i="19"/>
  <c r="R12" i="19"/>
  <c r="U12" i="19" s="1"/>
  <c r="K12" i="19"/>
  <c r="S12" i="19" s="1"/>
  <c r="F36" i="19"/>
  <c r="E13" i="19"/>
  <c r="D25" i="19"/>
  <c r="H29" i="19"/>
  <c r="G20" i="19"/>
  <c r="P18" i="19"/>
  <c r="M21" i="19"/>
  <c r="O28" i="19"/>
  <c r="R66" i="19"/>
  <c r="P61" i="19"/>
  <c r="N56" i="19"/>
  <c r="Q50" i="19"/>
  <c r="B67" i="19"/>
  <c r="H54" i="19"/>
  <c r="G49" i="19"/>
  <c r="Q75" i="19"/>
  <c r="L79" i="19"/>
  <c r="F78" i="19"/>
  <c r="E86" i="19"/>
  <c r="B86" i="19"/>
  <c r="B12" i="16"/>
  <c r="B20" i="16" s="1"/>
  <c r="D71" i="15"/>
  <c r="E62" i="15"/>
  <c r="C58" i="15"/>
  <c r="O36" i="19"/>
  <c r="N13" i="19"/>
  <c r="K11" i="19"/>
  <c r="S11" i="19" s="1"/>
  <c r="G36" i="19"/>
  <c r="F13" i="19"/>
  <c r="E25" i="19"/>
  <c r="C29" i="19"/>
  <c r="H20" i="19"/>
  <c r="Q18" i="19"/>
  <c r="M20" i="19"/>
  <c r="P28" i="19"/>
  <c r="N67" i="19"/>
  <c r="Q61" i="19"/>
  <c r="O56" i="19"/>
  <c r="R50" i="19"/>
  <c r="D60" i="19"/>
  <c r="D55" i="19"/>
  <c r="H49" i="19"/>
  <c r="M76" i="19"/>
  <c r="L75" i="19"/>
  <c r="G78" i="19"/>
  <c r="F86" i="19"/>
  <c r="B87" i="19"/>
  <c r="C12" i="16"/>
  <c r="C20" i="16" s="1"/>
  <c r="E71" i="15"/>
  <c r="F62" i="15"/>
  <c r="B59" i="15"/>
  <c r="P36" i="19"/>
  <c r="O13" i="19"/>
  <c r="D32" i="19"/>
  <c r="H36" i="19"/>
  <c r="G13" i="19"/>
  <c r="F25" i="19"/>
  <c r="C28" i="19"/>
  <c r="D21" i="19"/>
  <c r="R18" i="19"/>
  <c r="U18" i="19" s="1"/>
  <c r="M19" i="19"/>
  <c r="Q28" i="19"/>
  <c r="O67" i="19"/>
  <c r="R61" i="19"/>
  <c r="P56" i="19"/>
  <c r="M49" i="19"/>
  <c r="E60" i="19"/>
  <c r="E55" i="19"/>
  <c r="D50" i="19"/>
  <c r="N76" i="19"/>
  <c r="K76" i="19"/>
  <c r="H78" i="19"/>
  <c r="G86" i="19"/>
  <c r="B88" i="19"/>
  <c r="D12" i="16"/>
  <c r="D20" i="16" s="1"/>
  <c r="F71" i="15"/>
  <c r="G62" i="15"/>
  <c r="B58" i="15"/>
  <c r="Q36" i="19"/>
  <c r="P13" i="19"/>
  <c r="E32" i="19"/>
  <c r="C36" i="19"/>
  <c r="H13" i="19"/>
  <c r="G25" i="19"/>
  <c r="C27" i="19"/>
  <c r="E21" i="19"/>
  <c r="N19" i="19"/>
  <c r="M18" i="19"/>
  <c r="R28" i="19"/>
  <c r="U28" i="19" s="1"/>
  <c r="P67" i="19"/>
  <c r="N62" i="19"/>
  <c r="Q56" i="19"/>
  <c r="M50" i="19"/>
  <c r="F60" i="19"/>
  <c r="F55" i="19"/>
  <c r="E50" i="19"/>
  <c r="O76" i="19"/>
  <c r="K77" i="19"/>
  <c r="D79" i="19"/>
  <c r="H86" i="19"/>
  <c r="B89" i="19"/>
  <c r="E12" i="16"/>
  <c r="E20" i="16" s="1"/>
  <c r="G71" i="15"/>
  <c r="N32" i="19"/>
  <c r="R36" i="19"/>
  <c r="U36" i="19" s="1"/>
  <c r="Q13" i="19"/>
  <c r="F32" i="19"/>
  <c r="C35" i="19"/>
  <c r="D14" i="19"/>
  <c r="H25" i="19"/>
  <c r="C26" i="19"/>
  <c r="F21" i="19"/>
  <c r="O19" i="19"/>
  <c r="K22" i="19"/>
  <c r="N29" i="19"/>
  <c r="Q67" i="19"/>
  <c r="O62" i="19"/>
  <c r="R56" i="19"/>
  <c r="K50" i="19"/>
  <c r="G60" i="19"/>
  <c r="G55" i="19"/>
  <c r="F50" i="19"/>
  <c r="P76" i="19"/>
  <c r="K78" i="19"/>
  <c r="E79" i="19"/>
  <c r="D87" i="19"/>
  <c r="B85" i="19"/>
  <c r="F12" i="16"/>
  <c r="F20" i="16" s="1"/>
  <c r="H71" i="15"/>
  <c r="D63" i="15"/>
  <c r="O32" i="19"/>
  <c r="M36" i="19"/>
  <c r="R13" i="19"/>
  <c r="U13" i="19" s="1"/>
  <c r="G32" i="19"/>
  <c r="C34" i="19"/>
  <c r="E14" i="19"/>
  <c r="D26" i="19"/>
  <c r="C25" i="19"/>
  <c r="G21" i="19"/>
  <c r="P19" i="19"/>
  <c r="K21" i="19"/>
  <c r="O29" i="19"/>
  <c r="R67" i="19"/>
  <c r="P62" i="19"/>
  <c r="M56" i="19"/>
  <c r="K49" i="19"/>
  <c r="H60" i="19"/>
  <c r="H55" i="19"/>
  <c r="G50" i="19"/>
  <c r="Q76" i="19"/>
  <c r="K79" i="19"/>
  <c r="F79" i="19"/>
  <c r="E87" i="19"/>
  <c r="N85" i="19"/>
  <c r="G12" i="16"/>
  <c r="G20" i="16" s="1"/>
  <c r="H20" i="16" s="1"/>
  <c r="C71" i="15"/>
  <c r="E63" i="15"/>
  <c r="P32" i="19"/>
  <c r="M35" i="19"/>
  <c r="N14" i="19"/>
  <c r="H32" i="19"/>
  <c r="C33" i="19"/>
  <c r="F14" i="19"/>
  <c r="E26" i="19"/>
  <c r="B29" i="19"/>
  <c r="H21" i="19"/>
  <c r="Q19" i="19"/>
  <c r="K20" i="19"/>
  <c r="P29" i="19"/>
  <c r="N68" i="19"/>
  <c r="Q62" i="19"/>
  <c r="M55" i="19"/>
  <c r="D66" i="19"/>
  <c r="D61" i="19"/>
  <c r="D56" i="19"/>
  <c r="H50" i="19"/>
  <c r="M77" i="19"/>
  <c r="K75" i="19"/>
  <c r="G79" i="19"/>
  <c r="F87" i="19"/>
  <c r="O85" i="19"/>
  <c r="B13" i="16"/>
  <c r="B21" i="16" s="1"/>
  <c r="C70" i="15"/>
  <c r="F63" i="15"/>
  <c r="Q32" i="19"/>
  <c r="M34" i="19"/>
  <c r="O14" i="19"/>
  <c r="D33" i="19"/>
  <c r="C32" i="19"/>
  <c r="G14" i="19"/>
  <c r="F26" i="19"/>
  <c r="B28" i="19"/>
  <c r="D22" i="19"/>
  <c r="R19" i="19"/>
  <c r="U19" i="19" s="1"/>
  <c r="K19" i="19"/>
  <c r="Q29" i="19"/>
  <c r="O68" i="19"/>
  <c r="R62" i="19"/>
  <c r="M54" i="19"/>
  <c r="E66" i="19"/>
  <c r="E61" i="19"/>
  <c r="E56" i="19"/>
  <c r="C50" i="19"/>
  <c r="N77" i="19"/>
  <c r="D75" i="19"/>
  <c r="H79" i="19"/>
  <c r="G87" i="19"/>
  <c r="P85" i="19"/>
  <c r="C13" i="16"/>
  <c r="C21" i="16" s="1"/>
  <c r="B71" i="15"/>
  <c r="G63" i="15"/>
  <c r="R32" i="19"/>
  <c r="U32" i="19" s="1"/>
  <c r="M33" i="19"/>
  <c r="P14" i="19"/>
  <c r="E33" i="19"/>
  <c r="B36" i="19"/>
  <c r="H14" i="19"/>
  <c r="G26" i="19"/>
  <c r="B27" i="19"/>
  <c r="E22" i="19"/>
  <c r="N20" i="19"/>
  <c r="N25" i="19"/>
  <c r="R29" i="19"/>
  <c r="U29" i="19" s="1"/>
  <c r="P68" i="19"/>
  <c r="M62" i="19"/>
  <c r="K56" i="19"/>
  <c r="F66" i="19"/>
  <c r="F61" i="19"/>
  <c r="F56" i="19"/>
  <c r="C49" i="19"/>
  <c r="O77" i="19"/>
  <c r="E75" i="19"/>
  <c r="C76" i="19"/>
  <c r="H87" i="19"/>
  <c r="Q85" i="19"/>
  <c r="D13" i="16"/>
  <c r="D21" i="16" s="1"/>
  <c r="B70" i="15"/>
  <c r="H63" i="15"/>
  <c r="N33" i="19"/>
  <c r="M32" i="19"/>
  <c r="Q14" i="19"/>
  <c r="F33" i="19"/>
  <c r="B35" i="19"/>
  <c r="D15" i="19"/>
  <c r="H26" i="19"/>
  <c r="B26" i="19"/>
  <c r="F22" i="19"/>
  <c r="O20" i="19"/>
  <c r="O25" i="19"/>
  <c r="M29" i="19"/>
  <c r="Q68" i="19"/>
  <c r="M61" i="19"/>
  <c r="K55" i="19"/>
  <c r="G66" i="19"/>
  <c r="G61" i="19"/>
  <c r="G56" i="19"/>
  <c r="B50" i="19"/>
  <c r="P77" i="19"/>
  <c r="F75" i="19"/>
  <c r="C77" i="19"/>
  <c r="D88" i="19"/>
  <c r="R85" i="19"/>
  <c r="U85" i="19" s="1"/>
  <c r="E13" i="16"/>
  <c r="E21" i="16" s="1"/>
  <c r="D66" i="15"/>
  <c r="C63" i="15"/>
  <c r="O33" i="19"/>
  <c r="K36" i="19"/>
  <c r="S36" i="19" s="1"/>
  <c r="R14" i="19"/>
  <c r="U14" i="19" s="1"/>
  <c r="G33" i="19"/>
  <c r="B34" i="19"/>
  <c r="E15" i="19"/>
  <c r="D27" i="19"/>
  <c r="G22" i="19"/>
  <c r="P20" i="19"/>
  <c r="P25" i="19"/>
  <c r="M28" i="19"/>
  <c r="R68" i="19"/>
  <c r="M60" i="19"/>
  <c r="K54" i="19"/>
  <c r="H66" i="19"/>
  <c r="H61" i="19"/>
  <c r="H56" i="19"/>
  <c r="B49" i="19"/>
  <c r="Q77" i="19"/>
  <c r="G75" i="19"/>
  <c r="C78" i="19"/>
  <c r="E88" i="19"/>
  <c r="M85" i="19"/>
  <c r="F13" i="16"/>
  <c r="F21" i="16" s="1"/>
  <c r="E66" i="15"/>
  <c r="C62" i="15"/>
  <c r="P33" i="19"/>
  <c r="K35" i="19"/>
  <c r="S35" i="19" s="1"/>
  <c r="N15" i="19"/>
  <c r="H33" i="19"/>
  <c r="B33" i="19"/>
  <c r="F15" i="19"/>
  <c r="E27" i="19"/>
  <c r="D18" i="19"/>
  <c r="H22" i="19"/>
  <c r="Q20" i="19"/>
  <c r="Q25" i="19"/>
  <c r="M27" i="19"/>
  <c r="M68" i="19"/>
  <c r="K62" i="19"/>
  <c r="N48" i="19"/>
  <c r="D67" i="19"/>
  <c r="D62" i="19"/>
  <c r="C56" i="19"/>
  <c r="K48" i="19"/>
  <c r="M78" i="19"/>
  <c r="H75" i="19"/>
  <c r="C79" i="19"/>
  <c r="F88" i="19"/>
  <c r="K85" i="19"/>
  <c r="S85" i="19" s="1"/>
  <c r="G13" i="16"/>
  <c r="G21" i="16" s="1"/>
  <c r="H21" i="16" s="1"/>
  <c r="N19" i="6"/>
  <c r="F66" i="15"/>
  <c r="B63" i="15"/>
  <c r="Q33" i="19"/>
  <c r="K34" i="19"/>
  <c r="S34" i="19" s="1"/>
  <c r="O15" i="19"/>
  <c r="D34" i="19"/>
  <c r="B32" i="19"/>
  <c r="G15" i="19"/>
  <c r="F27" i="19"/>
  <c r="E18" i="19"/>
  <c r="C22" i="19"/>
  <c r="R20" i="19"/>
  <c r="U20" i="19" s="1"/>
  <c r="R25" i="19"/>
  <c r="U25" i="19" s="1"/>
  <c r="M26" i="19"/>
  <c r="M67" i="19"/>
  <c r="K61" i="19"/>
  <c r="O48" i="19"/>
  <c r="E67" i="19"/>
  <c r="E62" i="19"/>
  <c r="C55" i="19"/>
  <c r="M48" i="19"/>
  <c r="M51" i="19" s="1"/>
  <c r="N78" i="19"/>
  <c r="D76" i="19"/>
  <c r="C75" i="19"/>
  <c r="G88" i="19"/>
  <c r="B14" i="16"/>
  <c r="B22" i="16" s="1"/>
  <c r="O19" i="6"/>
  <c r="G66" i="15"/>
  <c r="B62" i="15"/>
  <c r="R33" i="19"/>
  <c r="U33" i="19" s="1"/>
  <c r="K33" i="19"/>
  <c r="S33" i="19" s="1"/>
  <c r="P15" i="19"/>
  <c r="E34" i="19"/>
  <c r="D11" i="19"/>
  <c r="H15" i="19"/>
  <c r="G27" i="19"/>
  <c r="F18" i="19"/>
  <c r="C21" i="19"/>
  <c r="N21" i="19"/>
  <c r="N26" i="19"/>
  <c r="M25" i="19"/>
  <c r="M66" i="19"/>
  <c r="K60" i="19"/>
  <c r="P48" i="19"/>
  <c r="F67" i="19"/>
  <c r="F62" i="19"/>
  <c r="C54" i="19"/>
  <c r="C66" i="19"/>
  <c r="O78" i="19"/>
  <c r="E76" i="19"/>
  <c r="B76" i="19"/>
  <c r="H88" i="19"/>
  <c r="C14" i="16"/>
  <c r="C22" i="16" s="1"/>
  <c r="P19" i="6"/>
  <c r="H66" i="15"/>
  <c r="D58" i="15"/>
  <c r="N34" i="19"/>
  <c r="K32" i="19"/>
  <c r="S32" i="19" s="1"/>
  <c r="Q15" i="19"/>
  <c r="F34" i="19"/>
  <c r="E11" i="19"/>
  <c r="C15" i="19"/>
  <c r="H27" i="19"/>
  <c r="G18" i="19"/>
  <c r="C20" i="19"/>
  <c r="O21" i="19"/>
  <c r="O26" i="19"/>
  <c r="K26" i="19"/>
  <c r="S26" i="19" s="1"/>
  <c r="K68" i="19"/>
  <c r="N54" i="19"/>
  <c r="Q48" i="19"/>
  <c r="G67" i="19"/>
  <c r="G62" i="19"/>
  <c r="B56" i="19"/>
  <c r="B66" i="19"/>
  <c r="P78" i="19"/>
  <c r="F76" i="19"/>
  <c r="B77" i="19"/>
  <c r="D89" i="19"/>
  <c r="D14" i="16"/>
  <c r="D22" i="16" s="1"/>
  <c r="Q19" i="6"/>
  <c r="D67" i="15"/>
  <c r="E58" i="15"/>
  <c r="O34" i="19"/>
  <c r="R15" i="19"/>
  <c r="U15" i="19" s="1"/>
  <c r="G34" i="19"/>
  <c r="F11" i="19"/>
  <c r="C14" i="19"/>
  <c r="D28" i="19"/>
  <c r="H18" i="19"/>
  <c r="C19" i="19"/>
  <c r="P21" i="19"/>
  <c r="P26" i="19"/>
  <c r="K29" i="19"/>
  <c r="S29" i="19" s="1"/>
  <c r="K67" i="19"/>
  <c r="O54" i="19"/>
  <c r="O57" i="19" s="1"/>
  <c r="R48" i="19"/>
  <c r="H67" i="19"/>
  <c r="H62" i="19"/>
  <c r="B55" i="19"/>
  <c r="C60" i="19"/>
  <c r="Q78" i="19"/>
  <c r="G76" i="19"/>
  <c r="B78" i="19"/>
  <c r="E89" i="19"/>
  <c r="E14" i="16"/>
  <c r="E22" i="16" s="1"/>
  <c r="R19" i="6"/>
  <c r="E67" i="15"/>
  <c r="F58" i="15"/>
  <c r="P34" i="19"/>
  <c r="O11" i="19"/>
  <c r="M15" i="19"/>
  <c r="H34" i="19"/>
  <c r="G11" i="19"/>
  <c r="C13" i="19"/>
  <c r="E28" i="19"/>
  <c r="D19" i="19"/>
  <c r="C18" i="19"/>
  <c r="Q21" i="19"/>
  <c r="Q26" i="19"/>
  <c r="K28" i="19"/>
  <c r="S28" i="19" s="1"/>
  <c r="K66" i="19"/>
  <c r="P54" i="19"/>
  <c r="P57" i="19" s="1"/>
  <c r="N49" i="19"/>
  <c r="D68" i="19"/>
  <c r="C62" i="19"/>
  <c r="D48" i="19"/>
  <c r="B60" i="19"/>
  <c r="M79" i="19"/>
  <c r="H76" i="19"/>
  <c r="B79" i="19"/>
  <c r="F89" i="19"/>
  <c r="F14" i="16"/>
  <c r="F22" i="16" s="1"/>
  <c r="M19" i="6"/>
  <c r="F67" i="15"/>
  <c r="G58" i="15"/>
  <c r="Q34" i="19"/>
  <c r="P11" i="19"/>
  <c r="M14" i="19"/>
  <c r="D35" i="19"/>
  <c r="H11" i="19"/>
  <c r="C12" i="19"/>
  <c r="F28" i="19"/>
  <c r="E19" i="19"/>
  <c r="B22" i="19"/>
  <c r="R21" i="19"/>
  <c r="U21" i="19" s="1"/>
  <c r="R26" i="19"/>
  <c r="U26" i="19" s="1"/>
  <c r="K27" i="19"/>
  <c r="S27" i="19" s="1"/>
  <c r="N60" i="19"/>
  <c r="Q54" i="19"/>
  <c r="O49" i="19"/>
  <c r="E68" i="19"/>
  <c r="C61" i="19"/>
  <c r="E48" i="19"/>
  <c r="B54" i="19"/>
  <c r="N79" i="19"/>
  <c r="D77" i="19"/>
  <c r="B75" i="19"/>
  <c r="G89" i="19"/>
  <c r="G14" i="16"/>
  <c r="G22" i="16" s="1"/>
  <c r="H22" i="16" s="1"/>
  <c r="G67" i="15"/>
  <c r="H58" i="15"/>
  <c r="R34" i="19"/>
  <c r="U34" i="19" s="1"/>
  <c r="Q11" i="19"/>
  <c r="M13" i="19"/>
  <c r="E35" i="19"/>
  <c r="D12" i="19"/>
  <c r="C11" i="19"/>
  <c r="G28" i="19"/>
  <c r="F19" i="19"/>
  <c r="B21" i="19"/>
  <c r="N22" i="19"/>
  <c r="N27" i="19"/>
  <c r="O60" i="19"/>
  <c r="O63" i="19" s="1"/>
  <c r="R54" i="19"/>
  <c r="P49" i="19"/>
  <c r="F68" i="19"/>
  <c r="B62" i="19"/>
  <c r="F48" i="19"/>
  <c r="C48" i="19"/>
  <c r="O79" i="19"/>
  <c r="E77" i="19"/>
  <c r="D85" i="19"/>
  <c r="H89" i="19"/>
  <c r="B11" i="16"/>
  <c r="B19" i="16" s="1"/>
  <c r="C10" i="16"/>
  <c r="C18" i="16" s="1"/>
  <c r="H67" i="15"/>
  <c r="D59" i="15"/>
  <c r="N35" i="19"/>
  <c r="R11" i="19"/>
  <c r="U11" i="19" s="1"/>
  <c r="M12" i="19"/>
  <c r="F35" i="19"/>
  <c r="E12" i="19"/>
  <c r="B15" i="19"/>
  <c r="H28" i="19"/>
  <c r="G19" i="19"/>
  <c r="B20" i="19"/>
  <c r="O22" i="19"/>
  <c r="O27" i="19"/>
  <c r="K18" i="19"/>
  <c r="P60" i="19"/>
  <c r="P63" i="19" s="1"/>
  <c r="N55" i="19"/>
  <c r="Q49" i="19"/>
  <c r="G68" i="19"/>
  <c r="B61" i="19"/>
  <c r="G48" i="19"/>
  <c r="B48" i="19"/>
  <c r="P79" i="19"/>
  <c r="F77" i="19"/>
  <c r="E85" i="19"/>
  <c r="C89" i="19"/>
  <c r="C11" i="16"/>
  <c r="C19" i="16" s="1"/>
  <c r="D10" i="16"/>
  <c r="D18" i="16" s="1"/>
  <c r="Q87" i="19"/>
  <c r="R87" i="19"/>
  <c r="U87" i="19" s="1"/>
  <c r="M87" i="19"/>
  <c r="K87" i="19"/>
  <c r="S87" i="19" s="1"/>
  <c r="M89" i="19"/>
  <c r="K89" i="19"/>
  <c r="S89" i="19" s="1"/>
  <c r="N86" i="19"/>
  <c r="M88" i="19"/>
  <c r="O86" i="19"/>
  <c r="K88" i="19"/>
  <c r="S88" i="19" s="1"/>
  <c r="P86" i="19"/>
  <c r="M86" i="19"/>
  <c r="Q86" i="19"/>
  <c r="K86" i="19"/>
  <c r="S86" i="19" s="1"/>
  <c r="R86" i="19"/>
  <c r="U86" i="19" s="1"/>
  <c r="N88" i="19"/>
  <c r="O88" i="19"/>
  <c r="P88" i="19"/>
  <c r="Q88" i="19"/>
  <c r="R88" i="19"/>
  <c r="U88" i="19" s="1"/>
  <c r="N89" i="19"/>
  <c r="O89" i="19"/>
  <c r="P89" i="19"/>
  <c r="Q89" i="19"/>
  <c r="N87" i="19"/>
  <c r="O87" i="19"/>
  <c r="P87" i="19"/>
  <c r="R21" i="6"/>
  <c r="Q21" i="6"/>
  <c r="R20" i="6"/>
  <c r="N22" i="6"/>
  <c r="R23" i="6"/>
  <c r="O22" i="6"/>
  <c r="R22" i="6"/>
  <c r="P22" i="6"/>
  <c r="Q22" i="6"/>
  <c r="M22" i="6"/>
  <c r="M23" i="6"/>
  <c r="N23" i="6"/>
  <c r="M21" i="6"/>
  <c r="O23" i="6"/>
  <c r="P23" i="6"/>
  <c r="Q23" i="6"/>
  <c r="M20" i="6"/>
  <c r="N20" i="6"/>
  <c r="O20" i="6"/>
  <c r="P20" i="6"/>
  <c r="Q20" i="6"/>
  <c r="N21" i="6"/>
  <c r="O21" i="6"/>
  <c r="P21" i="6"/>
  <c r="T18" i="19" l="1"/>
  <c r="T19" i="19"/>
  <c r="T28" i="19"/>
  <c r="T20" i="19"/>
  <c r="N63" i="19"/>
  <c r="T21" i="19"/>
  <c r="T22" i="19"/>
  <c r="S18" i="19"/>
  <c r="S19" i="19"/>
  <c r="S20" i="19"/>
  <c r="S21" i="19"/>
  <c r="S22" i="19"/>
  <c r="T27" i="19"/>
  <c r="T25" i="19"/>
  <c r="M63" i="19"/>
  <c r="Q57" i="19"/>
  <c r="T14" i="19"/>
  <c r="L69" i="19"/>
  <c r="T68" i="19" s="1"/>
  <c r="P69" i="19"/>
  <c r="K63" i="19"/>
  <c r="S62" i="19" s="1"/>
  <c r="S60" i="19"/>
  <c r="M69" i="19"/>
  <c r="L57" i="19"/>
  <c r="T56" i="19" s="1"/>
  <c r="T67" i="19"/>
  <c r="K51" i="19"/>
  <c r="S49" i="19" s="1"/>
  <c r="S48" i="19"/>
  <c r="O69" i="19"/>
  <c r="T32" i="19"/>
  <c r="T33" i="19"/>
  <c r="T12" i="19"/>
  <c r="N69" i="19"/>
  <c r="K57" i="19"/>
  <c r="S55" i="19" s="1"/>
  <c r="T34" i="19"/>
  <c r="L63" i="19"/>
  <c r="T60" i="19" s="1"/>
  <c r="T35" i="19"/>
  <c r="T61" i="19"/>
  <c r="R69" i="19"/>
  <c r="U66" i="19" s="1"/>
  <c r="S25" i="19"/>
  <c r="T62" i="19"/>
  <c r="L51" i="19"/>
  <c r="T50" i="19" s="1"/>
  <c r="T36" i="19"/>
  <c r="K69" i="19"/>
  <c r="S67" i="19" s="1"/>
  <c r="M57" i="19"/>
  <c r="R51" i="19"/>
  <c r="U48" i="19" s="1"/>
  <c r="Q69" i="19"/>
  <c r="R63" i="19"/>
  <c r="U62" i="19" s="1"/>
  <c r="Q63" i="19"/>
  <c r="N57" i="19"/>
  <c r="R57" i="19"/>
  <c r="U55" i="19" s="1"/>
  <c r="Q51" i="19"/>
  <c r="P51" i="19"/>
  <c r="O51" i="19"/>
  <c r="N51" i="19"/>
  <c r="H18" i="16"/>
  <c r="H19" i="16"/>
  <c r="H16" i="16"/>
  <c r="I63" i="15"/>
  <c r="I67" i="15"/>
  <c r="I66" i="15"/>
  <c r="I62" i="15"/>
  <c r="T55" i="19" l="1"/>
  <c r="S54" i="19"/>
  <c r="S61" i="19"/>
  <c r="U49" i="19"/>
  <c r="T49" i="19"/>
  <c r="U50" i="19"/>
  <c r="T48" i="19"/>
  <c r="U56" i="19"/>
  <c r="U60" i="19"/>
  <c r="S56" i="19"/>
  <c r="U54" i="19"/>
  <c r="U68" i="19"/>
  <c r="T54" i="19"/>
  <c r="S50" i="19"/>
  <c r="U67" i="19"/>
  <c r="U61" i="19"/>
  <c r="S68" i="19"/>
  <c r="S66" i="19"/>
  <c r="T66" i="19"/>
</calcChain>
</file>

<file path=xl/sharedStrings.xml><?xml version="1.0" encoding="utf-8"?>
<sst xmlns="http://schemas.openxmlformats.org/spreadsheetml/2006/main" count="1533" uniqueCount="248">
  <si>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</si>
  <si>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</si>
  <si>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</si>
  <si>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</si>
  <si>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</si>
  <si>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</si>
  <si>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</si>
  <si>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</si>
  <si>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</si>
  <si>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</si>
  <si>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</si>
  <si>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</si>
  <si>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</si>
  <si>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</si>
  <si>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</si>
  <si>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</si>
  <si>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</si>
  <si>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</si>
  <si>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</si>
  <si>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</si>
  <si>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</si>
  <si>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</si>
  <si>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</si>
  <si>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</si>
  <si>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</si>
  <si>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</si>
  <si>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</si>
  <si>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</si>
  <si>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</si>
  <si>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</si>
  <si>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</si>
  <si>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</si>
  <si>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</si>
  <si>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</si>
  <si>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</si>
  <si>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</si>
  <si>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</si>
  <si>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</si>
  <si>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</si>
  <si>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Total Churn 1 Month</t>
  </si>
  <si>
    <t>Total Churn 3 Months</t>
  </si>
  <si>
    <t>Recency Score</t>
  </si>
  <si>
    <t>Frequency Score</t>
  </si>
  <si>
    <t>Monetary Score</t>
  </si>
  <si>
    <t>Frequency</t>
  </si>
  <si>
    <t>Customer ID</t>
  </si>
  <si>
    <t>Row Labels</t>
  </si>
  <si>
    <t>Grand Total</t>
  </si>
  <si>
    <t>NA Values</t>
  </si>
  <si>
    <t>Number of Rows</t>
  </si>
  <si>
    <t>Number of Columns</t>
  </si>
  <si>
    <t>Data Type</t>
  </si>
  <si>
    <t>Max</t>
  </si>
  <si>
    <t>Min</t>
  </si>
  <si>
    <t>Std</t>
  </si>
  <si>
    <t>Mean</t>
  </si>
  <si>
    <t>Median</t>
  </si>
  <si>
    <t>Variables</t>
  </si>
  <si>
    <t>25% Quartile</t>
  </si>
  <si>
    <t>75% Quartile</t>
  </si>
  <si>
    <t>Upper Outlier Threshold</t>
  </si>
  <si>
    <t>Lower Outlier Threshold</t>
  </si>
  <si>
    <t>2. Summarize Data Checks on NA values, Data Type, Max, Min, Standard Deviation, Mean, Median, Outliers</t>
  </si>
  <si>
    <t>Has Lower Outlier</t>
  </si>
  <si>
    <t>Has Upper Outlier</t>
  </si>
  <si>
    <t>Family</t>
  </si>
  <si>
    <t xml:space="preserve">Family </t>
  </si>
  <si>
    <t>Martial Status</t>
  </si>
  <si>
    <t>Raw Data</t>
  </si>
  <si>
    <t>Number of unique rows</t>
  </si>
  <si>
    <t>Columns Created</t>
  </si>
  <si>
    <t>1. Number of Rows and Columns Checked</t>
  </si>
  <si>
    <t>Education</t>
  </si>
  <si>
    <t>Family Status</t>
  </si>
  <si>
    <t>After Duplicates Removed</t>
  </si>
  <si>
    <t>Duplicates Removed %</t>
  </si>
  <si>
    <t>Total Spent</t>
  </si>
  <si>
    <t>Receny</t>
  </si>
  <si>
    <t>Number of Purchases with Discount</t>
  </si>
  <si>
    <t>Variables to Observe</t>
  </si>
  <si>
    <t>Demographic</t>
  </si>
  <si>
    <t>Other</t>
  </si>
  <si>
    <t>Customer Days</t>
  </si>
  <si>
    <t>Income Level</t>
  </si>
  <si>
    <t>Age Group</t>
  </si>
  <si>
    <t>&lt;35K</t>
  </si>
  <si>
    <t>35K-50K</t>
  </si>
  <si>
    <t>50K-75K</t>
  </si>
  <si>
    <t>75K+</t>
  </si>
  <si>
    <t>Total Customers</t>
  </si>
  <si>
    <t>&lt;30</t>
  </si>
  <si>
    <t>30-40</t>
  </si>
  <si>
    <t>40-50</t>
  </si>
  <si>
    <t>50-60</t>
  </si>
  <si>
    <t>60+</t>
  </si>
  <si>
    <t>High School</t>
  </si>
  <si>
    <t>Master's Degree or Higher</t>
  </si>
  <si>
    <t>Undergraduate Degree</t>
  </si>
  <si>
    <t>Divorced</t>
  </si>
  <si>
    <t>Living Together</t>
  </si>
  <si>
    <t>Married</t>
  </si>
  <si>
    <t>Single</t>
  </si>
  <si>
    <t>Widow</t>
  </si>
  <si>
    <t>Marital Status</t>
  </si>
  <si>
    <t>Exploratory Analysis</t>
  </si>
  <si>
    <t>Has Family</t>
  </si>
  <si>
    <t>No Family</t>
  </si>
  <si>
    <t>Campaign 1</t>
  </si>
  <si>
    <t>Campaign 2</t>
  </si>
  <si>
    <t>Campaign 3</t>
  </si>
  <si>
    <t>Campaign 4</t>
  </si>
  <si>
    <t>Campaign 5</t>
  </si>
  <si>
    <t>Campaign Overall</t>
  </si>
  <si>
    <t>*Reasonable to keep upper outliers due to natural variation as the amount of food obtained varies among customer while the rest of the "Has Upper Outlier" check as Yes are indicator variables denoting 1 or 0.</t>
  </si>
  <si>
    <t>%</t>
  </si>
  <si>
    <t>RFM</t>
  </si>
  <si>
    <t>RFM Score</t>
  </si>
  <si>
    <t>AcceptedCmpOverallSum</t>
  </si>
  <si>
    <t>Top Customer</t>
  </si>
  <si>
    <t>Loyal Customer</t>
  </si>
  <si>
    <t>Promising</t>
  </si>
  <si>
    <t>At Risk</t>
  </si>
  <si>
    <t>Lost</t>
  </si>
  <si>
    <t>Segment</t>
  </si>
  <si>
    <t>Customer Segment</t>
  </si>
  <si>
    <t>*Due to small sample size, need to do segmentation on combined RFM score rather than the different combinations of receny, frequency, and monetary scores.</t>
  </si>
  <si>
    <t>Total Customers Accepted Campaign Offer</t>
  </si>
  <si>
    <t>Customer Segmentation</t>
  </si>
  <si>
    <t>Total</t>
  </si>
  <si>
    <t>MntPremiumProds</t>
  </si>
  <si>
    <t>(All)</t>
  </si>
  <si>
    <t>Average of MntRegularProds</t>
  </si>
  <si>
    <t>Average of MntPremiumProds</t>
  </si>
  <si>
    <t>Average of MntTotal</t>
  </si>
  <si>
    <t>Comparison of how much Campaign Customer Spent vs Non Campaign Customer Spent</t>
  </si>
  <si>
    <t>Total Spent Ratio of Campaign Customer and Non-campaign Customer</t>
  </si>
  <si>
    <t>Distribution of Demographics who Accept a Campaign Offer</t>
  </si>
  <si>
    <t>Distribution Comparing Demographics among the Campaigns</t>
  </si>
  <si>
    <t>Campaign Cost</t>
  </si>
  <si>
    <t>Campaign Cost per Existing Customer</t>
  </si>
  <si>
    <t>Campaign Cost Constant</t>
  </si>
  <si>
    <t>Total Campaign Customers</t>
  </si>
  <si>
    <t>Metrics</t>
  </si>
  <si>
    <t>Total Regular Spent</t>
  </si>
  <si>
    <t>Total Premium Spent</t>
  </si>
  <si>
    <t>All Campaigns</t>
  </si>
  <si>
    <t>Avg Spent</t>
  </si>
  <si>
    <t>Avg Regular Spent</t>
  </si>
  <si>
    <t>Avg Premium Spent</t>
  </si>
  <si>
    <t>Avg Total Spent by Demographics and Campaigns</t>
  </si>
  <si>
    <t>Total Customer Counts by Campaigns</t>
  </si>
  <si>
    <t>$</t>
  </si>
  <si>
    <t>Avg Spent: Wine</t>
  </si>
  <si>
    <t>Avg Spent: Fruit</t>
  </si>
  <si>
    <t>Avg Spent: Fish</t>
  </si>
  <si>
    <t>Avg Spent: Meat</t>
  </si>
  <si>
    <t>Avg Spent: Sweet</t>
  </si>
  <si>
    <t>Total Spent: Fish</t>
  </si>
  <si>
    <t>Total Spent: Fruit</t>
  </si>
  <si>
    <t>Total Spent: Meat</t>
  </si>
  <si>
    <t>Total Spent: Sweet</t>
  </si>
  <si>
    <t>Total Spent: Wine</t>
  </si>
  <si>
    <t>Purchase Methods: Website, Catalogue, Physical Store</t>
  </si>
  <si>
    <t>Gross Customer Lifetime Value</t>
  </si>
  <si>
    <t>Average: Catalogue</t>
  </si>
  <si>
    <t>Average: Physical Store</t>
  </si>
  <si>
    <t>Average: Website</t>
  </si>
  <si>
    <t>Total: Catalogue</t>
  </si>
  <si>
    <t>Total: Physical Store</t>
  </si>
  <si>
    <t>Total: Website</t>
  </si>
  <si>
    <t>Website Visits Last Month</t>
  </si>
  <si>
    <t>Average: Website Visits Last Month</t>
  </si>
  <si>
    <t>Total: Website Visits Last Month</t>
  </si>
  <si>
    <t>Average: Discount Purchase</t>
  </si>
  <si>
    <t>Total: Discount Purchase</t>
  </si>
  <si>
    <t>All Customers</t>
  </si>
  <si>
    <t>% All Campaigns Discount Purchase</t>
  </si>
  <si>
    <t>Customer Segments:</t>
  </si>
  <si>
    <t>Customer_Years</t>
  </si>
  <si>
    <t>*Used Excel's Remove Duplicates feature for all columns.</t>
  </si>
  <si>
    <t>Average Total Spent</t>
  </si>
  <si>
    <t>*Assumption that campaign costs were the same across the campaigns</t>
  </si>
  <si>
    <t>Main Product Categories: Fish, Fruit, Meat, Sweet, and Wine</t>
  </si>
  <si>
    <t>(Multiple Items)</t>
  </si>
  <si>
    <t>Average Purchase with Discount</t>
  </si>
  <si>
    <t>Total Purchases with Discount</t>
  </si>
  <si>
    <t>Average Customer Total Spent</t>
  </si>
  <si>
    <t>Demographics of Customer Segmention that Accepted Campaign Offer</t>
  </si>
  <si>
    <t>Demographics by Customer Segmention for Average Total Spent on All Customers</t>
  </si>
  <si>
    <t>Count of MntTotal</t>
  </si>
  <si>
    <t>Demographics by Customer Segmention for Total Count of All Customers</t>
  </si>
  <si>
    <t>Estimated Total Reveune</t>
  </si>
  <si>
    <t>Revenue Share by Customer Segment</t>
  </si>
  <si>
    <t xml:space="preserve"> </t>
  </si>
  <si>
    <t>SUMMARY OUTPUT</t>
  </si>
  <si>
    <t>Regression Statistics</t>
  </si>
  <si>
    <t>Multiple R</t>
  </si>
  <si>
    <t>R Square</t>
  </si>
  <si>
    <t>Adjusted R Square</t>
  </si>
  <si>
    <t>Standard Error</t>
  </si>
  <si>
    <t>Observations</t>
  </si>
  <si>
    <t>ANOVA</t>
  </si>
  <si>
    <t>Regression</t>
  </si>
  <si>
    <t>Residual</t>
  </si>
  <si>
    <t>Intercept</t>
  </si>
  <si>
    <t>df</t>
  </si>
  <si>
    <t>SS</t>
  </si>
  <si>
    <t>MS</t>
  </si>
  <si>
    <t>F</t>
  </si>
  <si>
    <t>Significance F</t>
  </si>
  <si>
    <t>Coefficients</t>
  </si>
  <si>
    <t>t Stat</t>
  </si>
  <si>
    <t>P-value</t>
  </si>
  <si>
    <t>Lower 95%</t>
  </si>
  <si>
    <t>Upper 95%</t>
  </si>
  <si>
    <t>Lower 95.0%</t>
  </si>
  <si>
    <t>Upper 95.0%</t>
  </si>
  <si>
    <t>Demographics for All Customers</t>
  </si>
  <si>
    <t>Behavioral Attributes for All Customers</t>
  </si>
  <si>
    <t>First Run</t>
  </si>
  <si>
    <t>Second Run</t>
  </si>
  <si>
    <t>Third Run</t>
  </si>
  <si>
    <t>*Income, Age, and Family Status are statistically significant indictors to predict the total spend</t>
  </si>
  <si>
    <t>Fourth Run</t>
  </si>
  <si>
    <t>Predicted Total Spend</t>
  </si>
  <si>
    <t>Demographic Regression Models for All Customers</t>
  </si>
  <si>
    <t>Testing Each Significant Variable in Demographic Regression Model for All Customers</t>
  </si>
  <si>
    <t>Demographic Regression Models for Loyal Customers</t>
  </si>
  <si>
    <t>Demographics for Loyal Customers</t>
  </si>
  <si>
    <t>% of Customers Segment</t>
  </si>
  <si>
    <t>Demographics Attributes: Income 75K+, Age 60+, No Family - Average Total Spent, College or Higher</t>
  </si>
  <si>
    <t>Loyal Customer CCPC Ratio</t>
  </si>
  <si>
    <t>Cost per Conversion</t>
  </si>
  <si>
    <t>Total Spend</t>
  </si>
  <si>
    <t>Total Spend - Regular Products</t>
  </si>
  <si>
    <t>Total Spend - Premium Products</t>
  </si>
  <si>
    <t>Regular vs Premium Products Total Spend</t>
  </si>
  <si>
    <t>% Total Spend - Regular Products</t>
  </si>
  <si>
    <t>% Total Spend - Premium Products</t>
  </si>
  <si>
    <t>% All Campaigns</t>
  </si>
  <si>
    <t>% All Customers</t>
  </si>
  <si>
    <t>Non Respondents</t>
  </si>
  <si>
    <t>% Non Respondents</t>
  </si>
  <si>
    <t>Campaign Respondent</t>
  </si>
  <si>
    <t>Campaign Return on Investment</t>
  </si>
  <si>
    <t>ROI</t>
  </si>
  <si>
    <t>Campaign Cost per Customer</t>
  </si>
  <si>
    <t>Industry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</si>
</sst>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quot;$&quot;#,##0.00"/>
    <numFmt numFmtId="167"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i/>
      <sz val="11"/>
      <color theme="1"/>
      <name val="Calibri"/>
      <family val="2"/>
      <scheme val="minor"/>
    </font>
    <font>
      <sz val="8"/>
      <name val="Calibri"/>
      <family val="2"/>
      <scheme val="minor"/>
    </font>
    <font>
      <b/>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medium">
        <color indexed="64"/>
      </bottom>
      <diagonal/>
    </border>
    <border>
      <left style="thin">
        <color theme="1"/>
      </left>
      <right/>
      <top style="thin">
        <color theme="1"/>
      </top>
      <bottom style="thin">
        <color theme="1"/>
      </bottom>
      <diagonal/>
    </border>
    <border>
      <left/>
      <right/>
      <top/>
      <bottom style="double">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7">
    <xf numFmtId="0" fontId="0" fillId="0" borderId="0" xfId="0"/>
    <xf numFmtId="0" fontId="0" fillId="0" borderId="0" xfId="0" applyAlignment="1">
      <alignment wrapText="1"/>
    </xf>
    <xf numFmtId="0" fontId="0" fillId="34" borderId="10" xfId="0" applyFill="1" applyBorder="1"/>
    <xf numFmtId="0" fontId="0" fillId="0" borderId="10" xfId="0" applyBorder="1"/>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center"/>
    </xf>
    <xf numFmtId="0" fontId="18" fillId="0" borderId="0" xfId="0" applyFont="1" applyAlignment="1">
      <alignment horizontal="left"/>
    </xf>
    <xf numFmtId="0" fontId="16" fillId="0" borderId="0" xfId="0" applyFont="1" applyAlignment="1">
      <alignment horizontal="center" vertical="center"/>
    </xf>
    <xf numFmtId="0" fontId="0" fillId="0" borderId="0" xfId="0" applyAlignment="1">
      <alignment horizontal="center" vertical="center"/>
    </xf>
    <xf numFmtId="0" fontId="16" fillId="0" borderId="0" xfId="0" applyFont="1" applyAlignment="1">
      <alignment horizontal="center" wrapText="1"/>
    </xf>
    <xf numFmtId="0" fontId="18" fillId="0" borderId="0" xfId="0" applyFont="1"/>
    <xf numFmtId="0" fontId="0" fillId="0" borderId="0" xfId="0" applyAlignment="1">
      <alignment horizontal="center" wrapText="1"/>
    </xf>
    <xf numFmtId="0" fontId="16" fillId="0" borderId="0" xfId="0" applyFont="1" applyAlignment="1">
      <alignment wrapText="1"/>
    </xf>
    <xf numFmtId="164" fontId="0" fillId="0" borderId="0" xfId="0" applyNumberFormat="1" applyAlignment="1">
      <alignment horizontal="center"/>
    </xf>
    <xf numFmtId="0" fontId="19" fillId="0" borderId="0" xfId="0" applyFont="1"/>
    <xf numFmtId="0" fontId="19" fillId="0" borderId="0" xfId="0" applyFont="1" applyAlignment="1">
      <alignment vertical="center" wrapText="1"/>
    </xf>
    <xf numFmtId="9" fontId="0" fillId="0" borderId="0" xfId="42" applyFont="1"/>
    <xf numFmtId="165" fontId="0" fillId="0" borderId="0" xfId="42" applyNumberFormat="1" applyFont="1"/>
    <xf numFmtId="0" fontId="16" fillId="0" borderId="11" xfId="0" applyFont="1" applyBorder="1"/>
    <xf numFmtId="0" fontId="21" fillId="0" borderId="0" xfId="0" applyFont="1"/>
    <xf numFmtId="0" fontId="0" fillId="0" borderId="0" xfId="0" pivotButton="1" applyAlignment="1">
      <alignment wrapText="1"/>
    </xf>
    <xf numFmtId="16" fontId="0" fillId="0" borderId="0" xfId="0" applyNumberFormat="1" applyAlignment="1">
      <alignment horizontal="center" vertical="center"/>
    </xf>
    <xf numFmtId="0" fontId="0" fillId="0" borderId="0" xfId="0" applyAlignment="1">
      <alignment horizontal="left" wrapText="1"/>
    </xf>
    <xf numFmtId="1" fontId="0" fillId="0" borderId="0" xfId="0" applyNumberFormat="1"/>
    <xf numFmtId="166" fontId="0" fillId="0" borderId="0" xfId="0" applyNumberFormat="1"/>
    <xf numFmtId="167" fontId="0" fillId="0" borderId="0" xfId="0" applyNumberFormat="1"/>
    <xf numFmtId="164" fontId="0" fillId="0" borderId="0" xfId="0" applyNumberFormat="1"/>
    <xf numFmtId="0" fontId="16" fillId="0" borderId="0" xfId="0" applyFont="1" applyAlignment="1">
      <alignment horizontal="center"/>
    </xf>
    <xf numFmtId="0" fontId="16" fillId="0" borderId="11" xfId="0" applyFont="1" applyBorder="1" applyAlignment="1">
      <alignment horizontal="center" wrapText="1"/>
    </xf>
    <xf numFmtId="0" fontId="16" fillId="0" borderId="11" xfId="0" applyFont="1" applyBorder="1" applyAlignment="1">
      <alignment horizontal="center"/>
    </xf>
    <xf numFmtId="0" fontId="16" fillId="0" borderId="11" xfId="0" applyFont="1" applyBorder="1" applyAlignment="1">
      <alignment wrapText="1"/>
    </xf>
    <xf numFmtId="0" fontId="0" fillId="0" borderId="11" xfId="0" applyBorder="1" applyAlignment="1">
      <alignment wrapText="1"/>
    </xf>
    <xf numFmtId="9" fontId="0" fillId="0" borderId="0" xfId="42" applyFont="1" applyAlignment="1">
      <alignment wrapText="1"/>
    </xf>
    <xf numFmtId="0" fontId="0" fillId="0" borderId="0" xfId="0" applyAlignment="1">
      <alignment horizontal="right"/>
    </xf>
    <xf numFmtId="0" fontId="19" fillId="0" borderId="0" xfId="0" applyFont="1" applyAlignment="1">
      <alignment horizontal="right" wrapText="1"/>
    </xf>
    <xf numFmtId="0" fontId="0" fillId="0" borderId="12" xfId="0" applyBorder="1"/>
    <xf numFmtId="0" fontId="0" fillId="34" borderId="12" xfId="0" applyFill="1" applyBorder="1"/>
    <xf numFmtId="9" fontId="0" fillId="0" borderId="0" xfId="42" applyFont="1" applyAlignment="1">
      <alignment horizontal="center"/>
    </xf>
    <xf numFmtId="0" fontId="0" fillId="0" borderId="13" xfId="0" applyBorder="1" applyAlignment="1">
      <alignment horizontal="center"/>
    </xf>
    <xf numFmtId="9" fontId="0" fillId="0" borderId="13" xfId="42" applyFont="1" applyBorder="1" applyAlignment="1">
      <alignment horizontal="center"/>
    </xf>
    <xf numFmtId="1" fontId="0" fillId="37" borderId="0" xfId="0" applyNumberFormat="1" applyFill="1"/>
    <xf numFmtId="0" fontId="0" fillId="0" borderId="13" xfId="0" applyBorder="1"/>
    <xf numFmtId="0" fontId="0" fillId="0" borderId="0" xfId="42" applyNumberFormat="1" applyFont="1" applyAlignment="1">
      <alignment horizontal="center"/>
    </xf>
    <xf numFmtId="0" fontId="0" fillId="0" borderId="13" xfId="42" applyNumberFormat="1" applyFont="1" applyBorder="1" applyAlignment="1">
      <alignment horizontal="center"/>
    </xf>
    <xf numFmtId="0" fontId="0" fillId="0" borderId="0" xfId="42" applyNumberFormat="1" applyFont="1" applyBorder="1" applyAlignment="1">
      <alignment horizontal="center"/>
    </xf>
    <xf numFmtId="0" fontId="0" fillId="0" borderId="0" xfId="0" applyAlignment="1">
      <alignment horizontal="right" wrapText="1"/>
    </xf>
    <xf numFmtId="1" fontId="0" fillId="35" borderId="0" xfId="0" applyNumberFormat="1" applyFill="1"/>
    <xf numFmtId="1" fontId="0" fillId="0" borderId="13" xfId="0" applyNumberFormat="1" applyBorder="1"/>
    <xf numFmtId="0" fontId="0" fillId="0" borderId="13" xfId="0" applyBorder="1" applyAlignment="1">
      <alignment horizontal="left"/>
    </xf>
    <xf numFmtId="9" fontId="0" fillId="0" borderId="13" xfId="42" applyFont="1" applyBorder="1"/>
    <xf numFmtId="0" fontId="13" fillId="33" borderId="12" xfId="0" applyFont="1" applyFill="1" applyBorder="1"/>
    <xf numFmtId="0" fontId="13" fillId="33" borderId="10" xfId="0" applyFont="1" applyFill="1" applyBorder="1"/>
    <xf numFmtId="0" fontId="0" fillId="0" borderId="11" xfId="0" applyBorder="1"/>
    <xf numFmtId="0" fontId="19" fillId="0" borderId="14" xfId="0" applyFont="1" applyBorder="1" applyAlignment="1">
      <alignment horizontal="center"/>
    </xf>
    <xf numFmtId="0" fontId="19" fillId="0" borderId="14" xfId="0" applyFont="1" applyBorder="1" applyAlignment="1">
      <alignment horizontal="centerContinuous"/>
    </xf>
    <xf numFmtId="0" fontId="0" fillId="37" borderId="0" xfId="0" applyFill="1"/>
    <xf numFmtId="0" fontId="0" fillId="37" borderId="11" xfId="0" applyFill="1" applyBorder="1"/>
    <xf numFmtId="0" fontId="13" fillId="33" borderId="0" xfId="0" applyFont="1" applyFill="1"/>
    <xf numFmtId="0" fontId="0" fillId="38" borderId="0" xfId="0" applyFill="1"/>
    <xf numFmtId="0" fontId="0" fillId="35" borderId="0" xfId="0" applyFill="1" applyAlignment="1">
      <alignment horizontal="left" wrapText="1"/>
    </xf>
    <xf numFmtId="0" fontId="0" fillId="35" borderId="0" xfId="0" applyFill="1"/>
    <xf numFmtId="0" fontId="0" fillId="0" borderId="0" xfId="42" applyNumberFormat="1" applyFont="1"/>
    <xf numFmtId="0" fontId="16" fillId="0" borderId="0" xfId="0" applyFont="1" applyAlignment="1">
      <alignment horizontal="left"/>
    </xf>
    <xf numFmtId="9" fontId="0" fillId="0" borderId="0" xfId="0" applyNumberFormat="1"/>
    <xf numFmtId="164" fontId="0" fillId="0" borderId="0" xfId="42" applyNumberFormat="1" applyFont="1"/>
    <xf numFmtId="0" fontId="19" fillId="35" borderId="0" xfId="0" applyFont="1" applyFill="1" applyAlignment="1">
      <alignment horizontal="left" wrapText="1"/>
    </xf>
    <xf numFmtId="0" fontId="18" fillId="0" borderId="0" xfId="0" applyFont="1" applyAlignment="1">
      <alignment horizontal="center"/>
    </xf>
    <xf numFmtId="0" fontId="18" fillId="0" borderId="11" xfId="0" applyFont="1" applyBorder="1" applyAlignment="1">
      <alignment horizontal="center"/>
    </xf>
    <xf numFmtId="0" fontId="16" fillId="0" borderId="11" xfId="0" applyFont="1" applyBorder="1" applyAlignment="1">
      <alignment horizontal="center"/>
    </xf>
    <xf numFmtId="0" fontId="16" fillId="0" borderId="11" xfId="0" applyFont="1" applyBorder="1" applyAlignment="1">
      <alignment horizontal="center" wrapText="1"/>
    </xf>
    <xf numFmtId="0" fontId="16" fillId="0" borderId="0" xfId="0" applyFont="1" applyAlignment="1">
      <alignment horizontal="center"/>
    </xf>
    <xf numFmtId="0" fontId="18" fillId="36" borderId="0" xfId="0" applyFont="1" applyFill="1" applyAlignment="1">
      <alignment horizontal="center"/>
    </xf>
    <xf numFmtId="0" fontId="0" fillId="0" borderId="0" xfId="0" applyAlignment="1">
      <alignment horizontal="left"/>
    </xf>
    <xf numFmtId="0" fontId="19" fillId="0" borderId="0" xfId="0" applyFont="1" applyAlignment="1">
      <alignment horizontal="center"/>
    </xf>
    <xf numFmtId="0" fontId="18"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4">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border outline="0">
        <left style="thin">
          <color theme="1"/>
        </left>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font>
        <b/>
        <i val="0"/>
        <strike val="0"/>
        <condense val="0"/>
        <extend val="0"/>
        <outline val="0"/>
        <shadow val="0"/>
        <u val="none"/>
        <vertAlign val="baseline"/>
        <sz val="11"/>
        <color theme="0"/>
        <name val="Calibri"/>
        <family val="2"/>
        <scheme val="minor"/>
      </font>
      <fill>
        <patternFill patternType="solid">
          <fgColor theme="1"/>
          <bgColor theme="1"/>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patternType="solid">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79998168889431442"/>
        </patternFill>
      </fill>
    </dxf>
    <dxf>
      <fill>
        <patternFill>
          <bgColor theme="0"/>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patternType="solid">
          <bgColor theme="9"/>
        </patternFill>
      </fill>
    </dxf>
    <dxf>
      <numFmt numFmtId="1" formatCode="0"/>
    </dxf>
    <dxf>
      <alignment wrapText="1"/>
    </dxf>
    <dxf>
      <alignment wrapText="1"/>
    </dxf>
    <dxf>
      <alignment wrapText="1"/>
    </dxf>
    <dxf>
      <alignment wrapText="1"/>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fill>
        <patternFill>
          <bgColor theme="0"/>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numFmt numFmtId="1" formatCode="0"/>
    </dxf>
    <dxf>
      <alignment wrapText="1"/>
    </dxf>
    <dxf>
      <alignment wrapText="1"/>
    </dxf>
    <dxf>
      <alignment wrapText="1"/>
    </dxf>
    <dxf>
      <alignment wrapText="1"/>
    </dxf>
    <dxf>
      <numFmt numFmtId="1" formatCode="0"/>
    </dxf>
    <dxf>
      <numFmt numFmtId="1" formatCode="0"/>
    </dxf>
    <dxf>
      <numFmt numFmtId="1" formatCode="0"/>
    </dxf>
    <dxf>
      <numFmt numFmtId="1" formatCode="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0" formatCode="General"/>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Hiek" refreshedDate="45771.524750462966" createdVersion="8" refreshedVersion="8" minRefreshableVersion="3" recordCount="2021" xr:uid="{16C0B428-363F-4F67-B726-53F9D4900A57}">
  <cacheSource type="worksheet">
    <worksheetSource name="ifood_data"/>
  </cacheSource>
  <cacheFields count="58">
    <cacheField name="Customer ID" numFmtId="0">
      <sharedItems containsSemiMixedTypes="0" containsString="0" containsNumber="1" containsInteger="1" minValue="1" maxValue="2021" count="2021">
        <n v="21"/>
        <n v="1276"/>
        <n v="1651"/>
        <n v="432"/>
        <n v="1912"/>
        <n v="975"/>
        <n v="117"/>
        <n v="1787"/>
        <n v="1186"/>
        <n v="535"/>
        <n v="1576"/>
        <n v="1584"/>
        <n v="1833"/>
        <n v="800"/>
        <n v="71"/>
        <n v="520"/>
        <n v="915"/>
        <n v="129"/>
        <n v="1113"/>
        <n v="1454"/>
        <n v="1143"/>
        <n v="1693"/>
        <n v="724"/>
        <n v="866"/>
        <n v="1931"/>
        <n v="858"/>
        <n v="1071"/>
        <n v="2002"/>
        <n v="1585"/>
        <n v="1551"/>
        <n v="1949"/>
        <n v="806"/>
        <n v="1986"/>
        <n v="1031"/>
        <n v="1025"/>
        <n v="1213"/>
        <n v="650"/>
        <n v="1573"/>
        <n v="1726"/>
        <n v="320"/>
        <n v="1411"/>
        <n v="1067"/>
        <n v="340"/>
        <n v="1962"/>
        <n v="1694"/>
        <n v="1793"/>
        <n v="345"/>
        <n v="1386"/>
        <n v="183"/>
        <n v="107"/>
        <n v="778"/>
        <n v="28"/>
        <n v="564"/>
        <n v="1807"/>
        <n v="403"/>
        <n v="892"/>
        <n v="368"/>
        <n v="337"/>
        <n v="994"/>
        <n v="48"/>
        <n v="72"/>
        <n v="793"/>
        <n v="233"/>
        <n v="1537"/>
        <n v="531"/>
        <n v="612"/>
        <n v="225"/>
        <n v="131"/>
        <n v="1708"/>
        <n v="1757"/>
        <n v="1603"/>
        <n v="1072"/>
        <n v="1980"/>
        <n v="772"/>
        <n v="1816"/>
        <n v="709"/>
        <n v="214"/>
        <n v="1669"/>
        <n v="1835"/>
        <n v="974"/>
        <n v="603"/>
        <n v="1089"/>
        <n v="1357"/>
        <n v="1410"/>
        <n v="1233"/>
        <n v="401"/>
        <n v="605"/>
        <n v="618"/>
        <n v="934"/>
        <n v="748"/>
        <n v="1404"/>
        <n v="686"/>
        <n v="878"/>
        <n v="1431"/>
        <n v="1668"/>
        <n v="1298"/>
        <n v="1605"/>
        <n v="95"/>
        <n v="1135"/>
        <n v="711"/>
        <n v="1971"/>
        <n v="1205"/>
        <n v="1380"/>
        <n v="838"/>
        <n v="1008"/>
        <n v="862"/>
        <n v="1538"/>
        <n v="1344"/>
        <n v="1187"/>
        <n v="493"/>
        <n v="1983"/>
        <n v="1775"/>
        <n v="1782"/>
        <n v="609"/>
        <n v="933"/>
        <n v="1862"/>
        <n v="1478"/>
        <n v="935"/>
        <n v="1461"/>
        <n v="565"/>
        <n v="2004"/>
        <n v="1647"/>
        <n v="1469"/>
        <n v="1222"/>
        <n v="694"/>
        <n v="1959"/>
        <n v="489"/>
        <n v="1729"/>
        <n v="1194"/>
        <n v="1893"/>
        <n v="891"/>
        <n v="1098"/>
        <n v="1699"/>
        <n v="1682"/>
        <n v="1352"/>
        <n v="1518"/>
        <n v="684"/>
        <n v="756"/>
        <n v="1343"/>
        <n v="465"/>
        <n v="1814"/>
        <n v="581"/>
        <n v="393"/>
        <n v="124"/>
        <n v="1691"/>
        <n v="1652"/>
        <n v="1487"/>
        <n v="1268"/>
        <n v="1351"/>
        <n v="1462"/>
        <n v="275"/>
        <n v="597"/>
        <n v="319"/>
        <n v="832"/>
        <n v="82"/>
        <n v="1781"/>
        <n v="1655"/>
        <n v="271"/>
        <n v="295"/>
        <n v="1417"/>
        <n v="652"/>
        <n v="1586"/>
        <n v="1016"/>
        <n v="200"/>
        <n v="1796"/>
        <n v="187"/>
        <n v="1346"/>
        <n v="1370"/>
        <n v="50"/>
        <n v="347"/>
        <n v="1124"/>
        <n v="1023"/>
        <n v="1106"/>
        <n v="1"/>
        <n v="738"/>
        <n v="942"/>
        <n v="207"/>
        <n v="56"/>
        <n v="175"/>
        <n v="423"/>
        <n v="1241"/>
        <n v="1528"/>
        <n v="39"/>
        <n v="1870"/>
        <n v="997"/>
        <n v="559"/>
        <n v="1250"/>
        <n v="863"/>
        <n v="737"/>
        <n v="1563"/>
        <n v="1319"/>
        <n v="528"/>
        <n v="575"/>
        <n v="1970"/>
        <n v="332"/>
        <n v="1178"/>
        <n v="263"/>
        <n v="880"/>
        <n v="1594"/>
        <n v="596"/>
        <n v="373"/>
        <n v="228"/>
        <n v="677"/>
        <n v="1933"/>
        <n v="1981"/>
        <n v="1746"/>
        <n v="829"/>
        <n v="255"/>
        <n v="1545"/>
        <n v="18"/>
        <n v="698"/>
        <n v="1997"/>
        <n v="1064"/>
        <n v="852"/>
        <n v="1000"/>
        <n v="65"/>
        <n v="1094"/>
        <n v="53"/>
        <n v="184"/>
        <n v="12"/>
        <n v="651"/>
        <n v="1255"/>
        <n v="781"/>
        <n v="872"/>
        <n v="33"/>
        <n v="767"/>
        <n v="1428"/>
        <n v="879"/>
        <n v="1458"/>
        <n v="220"/>
        <n v="870"/>
        <n v="1626"/>
        <n v="66"/>
        <n v="1776"/>
        <n v="1272"/>
        <n v="1677"/>
        <n v="331"/>
        <n v="1608"/>
        <n v="1269"/>
        <n v="1921"/>
        <n v="1049"/>
        <n v="163"/>
        <n v="946"/>
        <n v="435"/>
        <n v="886"/>
        <n v="1877"/>
        <n v="89"/>
        <n v="845"/>
        <n v="749"/>
        <n v="1716"/>
        <n v="1902"/>
        <n v="925"/>
        <n v="237"/>
        <n v="1597"/>
        <n v="1426"/>
        <n v="648"/>
        <n v="178"/>
        <n v="52"/>
        <n v="799"/>
        <n v="875"/>
        <n v="923"/>
        <n v="1040"/>
        <n v="1734"/>
        <n v="635"/>
        <n v="1829"/>
        <n v="1403"/>
        <n v="1869"/>
        <n v="1104"/>
        <n v="78"/>
        <n v="1464"/>
        <n v="1371"/>
        <n v="1483"/>
        <n v="1181"/>
        <n v="440"/>
        <n v="624"/>
        <n v="1695"/>
        <n v="1659"/>
        <n v="1837"/>
        <n v="203"/>
        <n v="1817"/>
        <n v="1188"/>
        <n v="986"/>
        <n v="1555"/>
        <n v="1887"/>
        <n v="1166"/>
        <n v="1257"/>
        <n v="441"/>
        <n v="1030"/>
        <n v="333"/>
        <n v="784"/>
        <n v="1684"/>
        <n v="487"/>
        <n v="924"/>
        <n v="854"/>
        <n v="517"/>
        <n v="1755"/>
        <n v="410"/>
        <n v="1045"/>
        <n v="290"/>
        <n v="919"/>
        <n v="1956"/>
        <n v="801"/>
        <n v="1662"/>
        <n v="251"/>
        <n v="1680"/>
        <n v="824"/>
        <n v="1574"/>
        <n v="954"/>
        <n v="262"/>
        <n v="1075"/>
        <n v="735"/>
        <n v="720"/>
        <n v="857"/>
        <n v="492"/>
        <n v="467"/>
        <n v="662"/>
        <n v="480"/>
        <n v="148"/>
        <n v="1393"/>
        <n v="445"/>
        <n v="645"/>
        <n v="877"/>
        <n v="1011"/>
        <n v="1894"/>
        <n v="502"/>
        <n v="327"/>
        <n v="1415"/>
        <n v="1226"/>
        <n v="1797"/>
        <n v="714"/>
        <n v="712"/>
        <n v="1508"/>
        <n v="706"/>
        <n v="1037"/>
        <n v="679"/>
        <n v="1440"/>
        <n v="1579"/>
        <n v="60"/>
        <n v="1854"/>
        <n v="430"/>
        <n v="1539"/>
        <n v="1987"/>
        <n v="703"/>
        <n v="1928"/>
        <n v="473"/>
        <n v="976"/>
        <n v="849"/>
        <n v="304"/>
        <n v="239"/>
        <n v="1366"/>
        <n v="666"/>
        <n v="1744"/>
        <n v="495"/>
        <n v="1758"/>
        <n v="1640"/>
        <n v="1777"/>
        <n v="813"/>
        <n v="407"/>
        <n v="1348"/>
        <n v="728"/>
        <n v="1784"/>
        <n v="704"/>
        <n v="1564"/>
        <n v="695"/>
        <n v="1718"/>
        <n v="188"/>
        <n v="370"/>
        <n v="1021"/>
        <n v="990"/>
        <n v="1882"/>
        <n v="1095"/>
        <n v="481"/>
        <n v="1860"/>
        <n v="594"/>
        <n v="426"/>
        <n v="1852"/>
        <n v="1770"/>
        <n v="472"/>
        <n v="195"/>
        <n v="500"/>
        <n v="197"/>
        <n v="46"/>
        <n v="1470"/>
        <n v="713"/>
        <n v="102"/>
        <n v="885"/>
        <n v="937"/>
        <n v="1384"/>
        <n v="392"/>
        <n v="1475"/>
        <n v="663"/>
        <n v="63"/>
        <n v="156"/>
        <n v="722"/>
        <n v="1719"/>
        <n v="809"/>
        <n v="1994"/>
        <n v="485"/>
        <n v="1656"/>
        <n v="253"/>
        <n v="404"/>
        <n v="1389"/>
        <n v="676"/>
        <n v="317"/>
        <n v="943"/>
        <n v="1929"/>
        <n v="511"/>
        <n v="101"/>
        <n v="67"/>
        <n v="725"/>
        <n v="951"/>
        <n v="945"/>
        <n v="533"/>
        <n v="782"/>
        <n v="1968"/>
        <n v="940"/>
        <n v="1001"/>
        <n v="395"/>
        <n v="1754"/>
        <n v="1164"/>
        <n v="607"/>
        <n v="1012"/>
        <n v="1646"/>
        <n v="665"/>
        <n v="1447"/>
        <n v="1904"/>
        <n v="226"/>
        <n v="94"/>
        <n v="306"/>
        <n v="791"/>
        <n v="1686"/>
        <n v="231"/>
        <n v="98"/>
        <n v="413"/>
        <n v="1171"/>
        <n v="1430"/>
        <n v="144"/>
        <n v="1004"/>
        <n v="825"/>
        <n v="43"/>
        <n v="470"/>
        <n v="867"/>
        <n v="1180"/>
        <n v="1521"/>
        <n v="1868"/>
        <n v="281"/>
        <n v="505"/>
        <n v="1275"/>
        <n v="537"/>
        <n v="1179"/>
        <n v="1378"/>
        <n v="1130"/>
        <n v="436"/>
        <n v="1857"/>
        <n v="770"/>
        <n v="330"/>
        <n v="1439"/>
        <n v="1450"/>
        <n v="960"/>
        <n v="1913"/>
        <n v="352"/>
        <n v="437"/>
        <n v="1392"/>
        <n v="518"/>
        <n v="708"/>
        <n v="1622"/>
        <n v="1596"/>
        <n v="608"/>
        <n v="1080"/>
        <n v="1009"/>
        <n v="889"/>
        <n v="150"/>
        <n v="681"/>
        <n v="1229"/>
        <n v="585"/>
        <n v="316"/>
        <n v="1715"/>
        <n v="729"/>
        <n v="270"/>
        <n v="1845"/>
        <n v="1142"/>
        <n v="1665"/>
        <n v="1888"/>
        <n v="1717"/>
        <n v="152"/>
        <n v="1206"/>
        <n v="771"/>
        <n v="479"/>
        <n v="1093"/>
        <n v="1703"/>
        <n v="1795"/>
        <n v="1281"/>
        <n v="887"/>
        <n v="1317"/>
        <n v="1740"/>
        <n v="408"/>
        <n v="1246"/>
        <n v="918"/>
        <n v="906"/>
        <n v="130"/>
        <n v="461"/>
        <n v="1654"/>
        <n v="1243"/>
        <n v="1484"/>
        <n v="1531"/>
        <n v="269"/>
        <n v="1908"/>
        <n v="761"/>
        <n v="914"/>
        <n v="775"/>
        <n v="1846"/>
        <n v="261"/>
        <n v="654"/>
        <n v="1849"/>
        <n v="719"/>
        <n v="1314"/>
        <n v="389"/>
        <n v="1419"/>
        <n v="474"/>
        <n v="313"/>
        <n v="687"/>
        <n v="876"/>
        <n v="2019"/>
        <n v="334"/>
        <n v="1559"/>
        <n v="620"/>
        <n v="1978"/>
        <n v="1591"/>
        <n v="1253"/>
        <n v="1858"/>
        <n v="497"/>
        <n v="1773"/>
        <n v="1036"/>
        <n v="1490"/>
        <n v="1851"/>
        <n v="1273"/>
        <n v="246"/>
        <n v="1058"/>
        <n v="1479"/>
        <n v="1513"/>
        <n v="2020"/>
        <n v="1873"/>
        <n v="627"/>
        <n v="755"/>
        <n v="693"/>
        <n v="1235"/>
        <n v="1732"/>
        <n v="210"/>
        <n v="601"/>
        <n v="842"/>
        <n v="1042"/>
        <n v="38"/>
        <n v="1553"/>
        <n v="1607"/>
        <n v="1283"/>
        <n v="1208"/>
        <n v="762"/>
        <n v="213"/>
        <n v="390"/>
        <n v="1616"/>
        <n v="325"/>
        <n v="1700"/>
        <n v="1766"/>
        <n v="674"/>
        <n v="1798"/>
        <n v="600"/>
        <n v="1861"/>
        <n v="1280"/>
        <n v="1087"/>
        <n v="169"/>
        <n v="1569"/>
        <n v="637"/>
        <n v="450"/>
        <n v="1400"/>
        <n v="406"/>
        <n v="1232"/>
        <n v="122"/>
        <n v="560"/>
        <n v="745"/>
        <n v="1196"/>
        <n v="1764"/>
        <n v="1582"/>
        <n v="1414"/>
        <n v="217"/>
        <n v="1086"/>
        <n v="234"/>
        <n v="93"/>
        <n v="2018"/>
        <n v="1003"/>
        <n v="409"/>
        <n v="1354"/>
        <n v="1917"/>
        <n v="1154"/>
        <n v="1453"/>
        <n v="1517"/>
        <n v="1436"/>
        <n v="1910"/>
        <n v="232"/>
        <n v="661"/>
        <n v="1387"/>
        <n v="766"/>
        <n v="1886"/>
        <n v="1360"/>
        <n v="338"/>
        <n v="664"/>
        <n v="1727"/>
        <n v="1013"/>
        <n v="1745"/>
        <n v="1920"/>
        <n v="969"/>
        <n v="1794"/>
        <n v="201"/>
        <n v="1383"/>
        <n v="1083"/>
        <n v="909"/>
        <n v="1620"/>
        <n v="1451"/>
        <n v="1634"/>
        <n v="1943"/>
        <n v="1401"/>
        <n v="1133"/>
        <n v="592"/>
        <n v="567"/>
        <n v="828"/>
        <n v="966"/>
        <n v="1633"/>
        <n v="1445"/>
        <n v="1290"/>
        <n v="1979"/>
        <n v="444"/>
        <n v="1402"/>
        <n v="959"/>
        <n v="7"/>
        <n v="1653"/>
        <n v="205"/>
        <n v="1103"/>
        <n v="427"/>
        <n v="848"/>
        <n v="540"/>
        <n v="973"/>
        <n v="1382"/>
        <n v="1527"/>
        <n v="343"/>
        <n v="1039"/>
        <n v="758"/>
        <n v="64"/>
        <n v="1349"/>
        <n v="1026"/>
        <n v="1759"/>
        <n v="1722"/>
        <n v="787"/>
        <n v="841"/>
        <n v="1995"/>
        <n v="1227"/>
        <n v="1967"/>
        <n v="284"/>
        <n v="1231"/>
        <n v="868"/>
        <n v="208"/>
        <n v="1499"/>
        <n v="501"/>
        <n v="1710"/>
        <n v="1191"/>
        <n v="1918"/>
        <n v="616"/>
        <n v="1214"/>
        <n v="35"/>
        <n v="367"/>
        <n v="266"/>
        <n v="641"/>
        <n v="1063"/>
        <n v="1170"/>
        <n v="640"/>
        <n v="947"/>
        <n v="895"/>
        <n v="549"/>
        <n v="2016"/>
        <n v="1529"/>
        <n v="1878"/>
        <n v="1500"/>
        <n v="348"/>
        <n v="1673"/>
        <n v="365"/>
        <n v="898"/>
        <n v="1379"/>
        <n v="1822"/>
        <n v="991"/>
        <n v="1578"/>
        <n v="134"/>
        <n v="1664"/>
        <n v="1897"/>
        <n v="802"/>
        <n v="478"/>
        <n v="1053"/>
        <n v="1321"/>
        <n v="189"/>
        <n v="1802"/>
        <n v="216"/>
        <n v="646"/>
        <n v="1062"/>
        <n v="530"/>
        <n v="2013"/>
        <n v="1129"/>
        <n v="939"/>
        <n v="765"/>
        <n v="754"/>
        <n v="574"/>
        <n v="850"/>
        <n v="982"/>
        <n v="682"/>
        <n v="1459"/>
        <n v="58"/>
        <n v="1421"/>
        <n v="1514"/>
        <n v="1312"/>
        <n v="1914"/>
        <n v="1724"/>
        <n v="927"/>
        <n v="111"/>
        <n v="1821"/>
        <n v="229"/>
        <n v="1177"/>
        <n v="1880"/>
        <n v="1963"/>
        <n v="1712"/>
        <n v="132"/>
        <n v="536"/>
        <n v="689"/>
        <n v="2001"/>
        <n v="1598"/>
        <n v="469"/>
        <n v="978"/>
        <n v="1813"/>
        <n v="599"/>
        <n v="1474"/>
        <n v="2007"/>
        <n v="1966"/>
        <n v="1488"/>
        <n v="1639"/>
        <n v="299"/>
        <n v="1789"/>
        <n v="1905"/>
        <n v="950"/>
        <n v="443"/>
        <n v="1761"/>
        <n v="3"/>
        <n v="1561"/>
        <n v="649"/>
        <n v="1022"/>
        <n v="746"/>
        <n v="447"/>
        <n v="1398"/>
        <n v="47"/>
        <n v="379"/>
        <n v="1900"/>
        <n v="104"/>
        <n v="1819"/>
        <n v="1990"/>
        <n v="1571"/>
        <n v="51"/>
        <n v="1701"/>
        <n v="1899"/>
        <n v="116"/>
        <n v="223"/>
        <n v="1358"/>
        <n v="644"/>
        <n v="1836"/>
        <n v="636"/>
        <n v="1172"/>
        <n v="1397"/>
        <n v="1748"/>
        <n v="819"/>
        <n v="301"/>
        <n v="1685"/>
        <n v="164"/>
        <n v="1753"/>
        <n v="305"/>
        <n v="5"/>
        <n v="241"/>
        <n v="1609"/>
        <n v="1254"/>
        <n v="1334"/>
        <n v="643"/>
        <n v="1820"/>
        <n v="811"/>
        <n v="1587"/>
        <n v="1433"/>
        <n v="1954"/>
        <n v="1305"/>
        <n v="1050"/>
        <n v="15"/>
        <n v="1221"/>
        <n v="576"/>
        <n v="1946"/>
        <n v="460"/>
        <n v="193"/>
        <n v="1131"/>
        <n v="1832"/>
        <n v="372"/>
        <n v="1092"/>
        <n v="509"/>
        <n v="1630"/>
        <n v="288"/>
        <n v="1958"/>
        <n v="1236"/>
        <n v="1541"/>
        <n v="1728"/>
        <n v="119"/>
        <n v="1041"/>
        <n v="1399"/>
        <n v="462"/>
        <n v="1151"/>
        <n v="464"/>
        <n v="1395"/>
        <n v="1284"/>
        <n v="1452"/>
        <n v="931"/>
        <n v="396"/>
        <n v="1244"/>
        <n v="1073"/>
        <n v="1570"/>
        <n v="174"/>
        <n v="638"/>
        <n v="1017"/>
        <n v="544"/>
        <n v="1658"/>
        <n v="1155"/>
        <n v="2012"/>
        <n v="182"/>
        <n v="429"/>
        <n v="1203"/>
        <n v="100"/>
        <n v="1496"/>
        <n v="1195"/>
        <n v="1315"/>
        <n v="614"/>
        <n v="431"/>
        <n v="1780"/>
        <n v="400"/>
        <n v="1028"/>
        <n v="1345"/>
        <n v="610"/>
        <n v="23"/>
        <n v="57"/>
        <n v="115"/>
        <n v="1424"/>
        <n v="105"/>
        <n v="1811"/>
        <n v="1391"/>
        <n v="715"/>
        <n v="1121"/>
        <n v="1252"/>
        <n v="622"/>
        <n v="397"/>
        <n v="1035"/>
        <n v="264"/>
        <n v="1752"/>
        <n v="459"/>
        <n v="1866"/>
        <n v="692"/>
        <n v="1347"/>
        <n v="1492"/>
        <n v="260"/>
        <n v="1926"/>
        <n v="6"/>
        <n v="154"/>
        <n v="1788"/>
        <n v="529"/>
        <n v="1242"/>
        <n v="792"/>
        <n v="357"/>
        <n v="1595"/>
        <n v="361"/>
        <n v="32"/>
        <n v="1617"/>
        <n v="1200"/>
        <n v="1363"/>
        <n v="108"/>
        <n v="1885"/>
        <n v="286"/>
        <n v="830"/>
        <n v="1060"/>
        <n v="1141"/>
        <n v="1855"/>
        <n v="1350"/>
        <n v="90"/>
        <n v="387"/>
        <n v="344"/>
        <n v="1526"/>
        <n v="507"/>
        <n v="1942"/>
        <n v="730"/>
        <n v="992"/>
        <n v="1396"/>
        <n v="1534"/>
        <n v="137"/>
        <n v="822"/>
        <n v="788"/>
        <n v="1643"/>
        <n v="815"/>
        <n v="856"/>
        <n v="1955"/>
        <n v="1783"/>
        <n v="466"/>
        <n v="1449"/>
        <n v="1477"/>
        <n v="2008"/>
        <n v="1146"/>
        <n v="586"/>
        <n v="242"/>
        <n v="1660"/>
        <n v="1406"/>
        <n v="1182"/>
        <n v="1601"/>
        <n v="1786"/>
        <n v="22"/>
        <n v="699"/>
        <n v="1184"/>
        <n v="1136"/>
        <n v="1407"/>
        <n v="1619"/>
        <n v="454"/>
        <n v="913"/>
        <n v="1267"/>
        <n v="932"/>
        <n v="589"/>
        <n v="515"/>
        <n v="504"/>
        <n v="1114"/>
        <n v="672"/>
        <n v="341"/>
        <n v="1100"/>
        <n v="773"/>
        <n v="1530"/>
        <n v="647"/>
        <n v="1554"/>
        <n v="425"/>
        <n v="795"/>
        <n v="272"/>
        <n v="538"/>
        <n v="1809"/>
        <n v="655"/>
        <n v="278"/>
        <n v="282"/>
        <n v="385"/>
        <n v="1737"/>
        <n v="185"/>
        <n v="1308"/>
        <n v="212"/>
        <n v="1209"/>
        <n v="1260"/>
        <n v="818"/>
        <n v="691"/>
        <n v="139"/>
        <n v="1019"/>
        <n v="688"/>
        <n v="582"/>
        <n v="642"/>
        <n v="1525"/>
        <n v="1115"/>
        <n v="1493"/>
        <n v="1300"/>
        <n v="888"/>
        <n v="1856"/>
        <n v="1427"/>
        <n v="1364"/>
        <n v="922"/>
        <n v="1271"/>
        <n v="381"/>
        <n v="422"/>
        <n v="1234"/>
        <n v="727"/>
        <n v="1326"/>
        <n v="20"/>
        <n v="1800"/>
        <n v="1238"/>
        <n v="1543"/>
        <n v="961"/>
        <n v="615"/>
        <n v="120"/>
        <n v="433"/>
        <n v="882"/>
        <n v="1696"/>
        <n v="747"/>
        <n v="249"/>
        <n v="1581"/>
        <n v="1204"/>
        <n v="1507"/>
        <n v="864"/>
        <n v="1747"/>
        <n v="1704"/>
        <n v="1506"/>
        <n v="1645"/>
        <n v="1969"/>
        <n v="1047"/>
        <n v="1125"/>
        <n v="1568"/>
        <n v="817"/>
        <n v="339"/>
        <n v="145"/>
        <n v="606"/>
        <n v="855"/>
        <n v="468"/>
        <n v="1282"/>
        <n v="1230"/>
        <n v="1006"/>
        <n v="75"/>
        <n v="820"/>
        <n v="196"/>
        <n v="1844"/>
        <n v="486"/>
        <n v="1516"/>
        <n v="1278"/>
        <n v="323"/>
        <n v="1467"/>
        <n v="865"/>
        <n v="1457"/>
        <n v="503"/>
        <n v="1823"/>
        <n v="1336"/>
        <n v="985"/>
        <n v="956"/>
        <n v="482"/>
        <n v="1674"/>
        <n v="675"/>
        <n v="710"/>
        <n v="1225"/>
        <n v="1566"/>
        <n v="626"/>
        <n v="68"/>
        <n v="483"/>
        <n v="498"/>
        <n v="1332"/>
        <n v="1865"/>
        <n v="496"/>
        <n v="1295"/>
        <n v="751"/>
        <n v="1111"/>
        <n v="74"/>
        <n v="780"/>
        <n v="1198"/>
        <n v="371"/>
        <n v="696"/>
        <n v="1806"/>
        <n v="247"/>
        <n v="1604"/>
        <n v="617"/>
        <n v="380"/>
        <n v="1262"/>
        <n v="2021"/>
        <n v="1552"/>
        <n v="1934"/>
        <n v="369"/>
        <n v="1512"/>
        <n v="1635"/>
        <n v="1614"/>
        <n v="753"/>
        <n v="434"/>
        <n v="1116"/>
        <n v="1375"/>
        <n v="310"/>
        <n v="831"/>
        <n v="1082"/>
        <n v="1159"/>
        <n v="199"/>
        <n v="1057"/>
        <n v="1286"/>
        <n v="1368"/>
        <n v="901"/>
        <n v="2011"/>
        <n v="827"/>
        <n v="141"/>
        <n v="1394"/>
        <n v="1132"/>
        <n v="1675"/>
        <n v="147"/>
        <n v="1219"/>
        <n v="143"/>
        <n v="1048"/>
        <n v="1681"/>
        <n v="8"/>
        <n v="1923"/>
        <n v="274"/>
        <n v="484"/>
        <n v="1589"/>
        <n v="869"/>
        <n v="1636"/>
        <n v="1076"/>
        <n v="1731"/>
        <n v="488"/>
        <n v="839"/>
        <n v="1812"/>
        <n v="1055"/>
        <n v="1374"/>
        <n v="391"/>
        <n v="803"/>
        <n v="1256"/>
        <n v="1667"/>
        <n v="890"/>
        <n v="998"/>
        <n v="364"/>
        <n v="583"/>
        <n v="847"/>
        <n v="1689"/>
        <n v="13"/>
        <n v="1068"/>
        <n v="238"/>
        <n v="1707"/>
        <n v="1197"/>
        <n v="797"/>
        <n v="1466"/>
        <n v="1355"/>
        <n v="1287"/>
        <n v="1503"/>
        <n v="1128"/>
        <n v="1228"/>
        <n v="1872"/>
        <n v="896"/>
        <n v="1435"/>
        <n v="1320"/>
        <n v="1935"/>
        <n v="1473"/>
        <n v="1972"/>
        <n v="151"/>
        <n v="546"/>
        <n v="861"/>
        <n v="776"/>
        <n v="1831"/>
        <n v="1989"/>
        <n v="894"/>
        <n v="1936"/>
        <n v="1957"/>
        <n v="140"/>
        <n v="59"/>
        <n v="527"/>
        <n v="844"/>
        <n v="1611"/>
        <n v="121"/>
        <n v="1183"/>
        <n v="1679"/>
        <n v="578"/>
        <n v="1891"/>
        <n v="1628"/>
        <n v="490"/>
        <n v="1536"/>
        <n v="912"/>
        <n v="292"/>
        <n v="285"/>
        <n v="553"/>
        <n v="1468"/>
        <n v="1145"/>
        <n v="350"/>
        <n v="180"/>
        <n v="322"/>
        <n v="1002"/>
        <n v="1263"/>
        <n v="670"/>
        <n v="30"/>
        <n v="1791"/>
        <n v="1952"/>
        <n v="458"/>
        <n v="1248"/>
        <n v="1442"/>
        <n v="1973"/>
        <n v="1808"/>
        <n v="905"/>
        <n v="547"/>
        <n v="902"/>
        <n v="1678"/>
        <n v="521"/>
        <n v="1733"/>
        <n v="1309"/>
        <n v="257"/>
        <n v="1059"/>
        <n v="27"/>
        <n v="516"/>
        <n v="669"/>
        <n v="374"/>
        <n v="1641"/>
        <n v="1310"/>
        <n v="133"/>
        <n v="1549"/>
        <n v="259"/>
        <n v="1258"/>
        <n v="1408"/>
        <n v="1385"/>
        <n v="1448"/>
        <n v="613"/>
        <n v="439"/>
        <n v="1311"/>
        <n v="625"/>
        <n v="1911"/>
        <n v="1322"/>
        <n v="83"/>
        <n v="452"/>
        <n v="1144"/>
        <n v="1084"/>
        <n v="453"/>
        <n v="833"/>
        <n v="1774"/>
        <n v="17"/>
        <n v="321"/>
        <n v="723"/>
        <n v="1291"/>
        <n v="1637"/>
        <n v="1991"/>
        <n v="1937"/>
        <n v="988"/>
        <n v="1102"/>
        <n v="81"/>
        <n v="910"/>
        <n v="1090"/>
        <n v="634"/>
        <n v="1670"/>
        <n v="1859"/>
        <n v="1760"/>
        <n v="457"/>
        <n v="1502"/>
        <n v="252"/>
        <n v="563"/>
        <n v="1167"/>
        <n v="752"/>
        <n v="414"/>
        <n v="1292"/>
        <n v="1107"/>
        <n v="126"/>
        <n v="1778"/>
        <n v="1074"/>
        <n v="1296"/>
        <n v="1127"/>
        <n v="186"/>
        <n v="1650"/>
        <n v="989"/>
        <n v="598"/>
        <n v="1834"/>
        <n v="123"/>
        <n v="204"/>
        <n v="1193"/>
        <n v="155"/>
        <n v="1420"/>
        <n v="1810"/>
        <n v="153"/>
        <n v="944"/>
        <n v="97"/>
        <n v="1519"/>
        <n v="512"/>
        <n v="1965"/>
        <n v="1588"/>
        <n v="572"/>
        <n v="1544"/>
        <n v="1277"/>
        <n v="949"/>
        <n v="99"/>
        <n v="1830"/>
        <n v="955"/>
        <n v="1572"/>
        <n v="418"/>
        <n v="921"/>
        <n v="1625"/>
        <n v="1388"/>
        <n v="1638"/>
        <n v="428"/>
        <n v="1644"/>
        <n v="198"/>
        <n v="1015"/>
        <n v="1043"/>
        <n v="26"/>
        <n v="561"/>
        <n v="908"/>
        <n v="1767"/>
        <n v="1381"/>
        <n v="40"/>
        <n v="1301"/>
        <n v="1199"/>
        <n v="970"/>
        <n v="112"/>
        <n v="760"/>
        <n v="1843"/>
        <n v="1602"/>
        <n v="860"/>
        <n v="138"/>
        <n v="1134"/>
        <n v="539"/>
        <n v="1097"/>
        <n v="983"/>
        <n v="307"/>
        <n v="798"/>
        <n v="660"/>
        <n v="1688"/>
        <n v="1122"/>
        <n v="1522"/>
        <n v="1546"/>
        <n v="1096"/>
        <n v="296"/>
        <n v="786"/>
        <n v="55"/>
        <n v="623"/>
        <n v="1876"/>
        <n v="916"/>
        <n v="1274"/>
        <n v="1815"/>
        <n v="24"/>
        <n v="1202"/>
        <n v="611"/>
        <n v="354"/>
        <n v="1422"/>
        <n v="881"/>
        <n v="590"/>
        <n v="1438"/>
        <n v="291"/>
        <n v="1249"/>
        <n v="2015"/>
        <n v="384"/>
        <n v="1409"/>
        <n v="1328"/>
        <n v="964"/>
        <n v="1077"/>
        <n v="1372"/>
        <n v="1624"/>
        <n v="87"/>
        <n v="577"/>
        <n v="763"/>
        <n v="1903"/>
        <n v="382"/>
        <n v="25"/>
        <n v="1081"/>
        <n v="1247"/>
        <n v="289"/>
        <n v="209"/>
        <n v="109"/>
        <n v="235"/>
        <n v="378"/>
        <n v="700"/>
        <n v="1139"/>
        <n v="548"/>
        <n v="873"/>
        <n v="206"/>
        <n v="805"/>
        <n v="621"/>
        <n v="963"/>
        <n v="525"/>
        <n v="1890"/>
        <n v="965"/>
        <n v="1671"/>
        <n v="1738"/>
        <n v="9"/>
        <n v="386"/>
        <n v="1429"/>
        <n v="142"/>
        <n v="702"/>
        <n v="1676"/>
        <n v="1140"/>
        <n v="1216"/>
        <n v="160"/>
        <n v="1288"/>
        <n v="653"/>
        <n v="1289"/>
        <n v="1211"/>
        <n v="506"/>
        <n v="526"/>
        <n v="904"/>
        <n v="1853"/>
        <n v="1501"/>
        <n v="1342"/>
        <n v="1455"/>
        <n v="556"/>
        <n v="256"/>
        <n v="1951"/>
        <n v="1524"/>
        <n v="1996"/>
        <n v="1456"/>
        <n v="716"/>
        <n v="1613"/>
        <n v="726"/>
        <n v="1061"/>
        <n v="1892"/>
        <n v="276"/>
        <n v="1540"/>
        <n v="1444"/>
        <n v="508"/>
        <n v="411"/>
        <n v="731"/>
        <n v="1148"/>
        <n v="718"/>
        <n v="250"/>
        <n v="353"/>
        <n v="1033"/>
        <n v="1945"/>
        <n v="1672"/>
        <n v="550"/>
        <n v="167"/>
        <n v="522"/>
        <n v="952"/>
        <n v="287"/>
        <n v="477"/>
        <n v="1481"/>
        <n v="475"/>
        <n v="673"/>
        <n v="957"/>
        <n v="1313"/>
        <n v="1412"/>
        <n v="179"/>
        <n v="298"/>
        <n v="667"/>
        <n v="1632"/>
        <n v="1975"/>
        <n v="808"/>
        <n v="701"/>
        <n v="1261"/>
        <n v="106"/>
        <n v="1867"/>
        <n v="103"/>
        <n v="1359"/>
        <n v="1495"/>
        <n v="221"/>
        <n v="4"/>
        <n v="268"/>
        <n v="1961"/>
        <n v="346"/>
        <n v="1883"/>
        <n v="843"/>
        <n v="874"/>
        <n v="49"/>
        <n v="1207"/>
        <n v="1533"/>
        <n v="1070"/>
        <n v="1120"/>
        <n v="1239"/>
        <n v="657"/>
        <n v="744"/>
        <n v="1558"/>
        <n v="1565"/>
        <n v="1762"/>
        <n v="254"/>
        <n v="513"/>
        <n v="1826"/>
        <n v="77"/>
        <n v="157"/>
        <n v="1683"/>
        <n v="1162"/>
        <n v="1112"/>
        <n v="1340"/>
        <n v="19"/>
        <n v="398"/>
        <n v="455"/>
        <n v="16"/>
        <n v="1109"/>
        <n v="34"/>
        <n v="837"/>
        <n v="1165"/>
        <n v="764"/>
        <n v="1174"/>
        <n v="1052"/>
        <n v="1698"/>
        <n v="851"/>
        <n v="814"/>
        <n v="569"/>
        <n v="135"/>
        <n v="172"/>
        <n v="678"/>
        <n v="1974"/>
        <n v="1763"/>
        <n v="930"/>
        <n v="1054"/>
        <n v="1210"/>
        <n v="1803"/>
        <n v="1032"/>
        <n v="1629"/>
        <n v="897"/>
        <n v="1739"/>
        <n v="176"/>
        <n v="1101"/>
        <n v="1294"/>
        <n v="658"/>
        <n v="1850"/>
        <n v="551"/>
        <n v="14"/>
        <n v="1297"/>
        <n v="769"/>
        <n v="1237"/>
        <n v="1251"/>
        <n v="1416"/>
        <n v="1842"/>
        <n v="619"/>
        <n v="1847"/>
        <n v="1804"/>
        <n v="2003"/>
        <n v="1331"/>
        <n v="1353"/>
        <n v="734"/>
        <n v="1916"/>
        <n v="1299"/>
        <n v="1065"/>
        <n v="1494"/>
        <n v="900"/>
        <n v="1157"/>
        <n v="1567"/>
        <n v="375"/>
        <n v="1993"/>
        <n v="968"/>
        <n v="568"/>
        <n v="757"/>
        <n v="826"/>
        <n v="1324"/>
        <n v="1356"/>
        <n v="1307"/>
        <n v="1839"/>
        <n v="1044"/>
        <n v="318"/>
        <n v="1730"/>
        <n v="1741"/>
        <n v="1153"/>
        <n v="1147"/>
        <n v="987"/>
        <n v="80"/>
        <n v="1874"/>
        <n v="1316"/>
        <n v="1992"/>
        <n v="979"/>
        <n v="211"/>
        <n v="280"/>
        <n v="980"/>
        <n v="555"/>
        <n v="1948"/>
        <n v="1721"/>
        <n v="118"/>
        <n v="1497"/>
        <n v="941"/>
        <n v="1486"/>
        <n v="595"/>
        <n v="804"/>
        <n v="355"/>
        <n v="1108"/>
        <n v="571"/>
        <n v="1709"/>
        <n v="1863"/>
        <n v="823"/>
        <n v="1895"/>
        <n v="742"/>
        <n v="415"/>
        <n v="602"/>
        <n v="499"/>
        <n v="884"/>
        <n v="312"/>
        <n v="796"/>
        <n v="1884"/>
        <n v="1335"/>
        <n v="1765"/>
        <n v="1749"/>
        <n v="45"/>
        <n v="1881"/>
        <n v="1792"/>
        <n v="907"/>
        <n v="1485"/>
        <n v="44"/>
        <n v="293"/>
        <n v="893"/>
        <n v="1279"/>
        <n v="1293"/>
        <n v="1736"/>
        <n v="85"/>
        <n v="36"/>
        <n v="1771"/>
        <n v="258"/>
        <n v="79"/>
        <n v="356"/>
        <n v="114"/>
        <n v="1220"/>
        <n v="835"/>
        <n v="1511"/>
        <n v="1838"/>
        <n v="1158"/>
        <n v="335"/>
        <n v="165"/>
        <n v="984"/>
        <n v="1790"/>
        <n v="1592"/>
        <n v="1988"/>
        <n v="532"/>
        <n v="1245"/>
        <n v="779"/>
        <n v="1590"/>
        <n v="579"/>
        <n v="558"/>
        <n v="996"/>
        <n v="899"/>
        <n v="69"/>
        <n v="417"/>
        <n v="192"/>
        <n v="1828"/>
        <n v="358"/>
        <n v="977"/>
        <n v="1743"/>
        <n v="1705"/>
        <n v="314"/>
        <n v="456"/>
        <n v="448"/>
        <n v="1302"/>
        <n v="190"/>
        <n v="1947"/>
        <n v="1697"/>
        <n v="1373"/>
        <n v="1801"/>
        <n v="732"/>
        <n v="685"/>
        <n v="705"/>
        <n v="1376"/>
        <n v="1156"/>
        <n v="834"/>
        <n v="1982"/>
        <n v="995"/>
        <n v="1723"/>
        <n v="328"/>
        <n v="1434"/>
        <n v="494"/>
        <n v="1805"/>
        <n v="591"/>
        <n v="1871"/>
        <n v="1390"/>
        <n v="534"/>
        <n v="1079"/>
        <n v="2010"/>
        <n v="283"/>
        <n v="936"/>
        <n v="926"/>
        <n v="128"/>
        <n v="1940"/>
        <n v="1303"/>
        <n v="1532"/>
        <n v="1190"/>
        <n v="162"/>
        <n v="999"/>
        <n v="1600"/>
        <n v="1169"/>
        <n v="11"/>
        <n v="2009"/>
        <n v="405"/>
        <n v="1909"/>
        <n v="629"/>
        <n v="971"/>
        <n v="750"/>
        <n v="1950"/>
        <n v="1577"/>
        <n v="632"/>
        <n v="948"/>
        <n v="1056"/>
        <n v="1091"/>
        <n v="1941"/>
        <n v="388"/>
        <n v="424"/>
        <n v="1666"/>
        <n v="628"/>
        <n v="1118"/>
        <n v="308"/>
        <n v="86"/>
        <n v="1337"/>
        <n v="1189"/>
        <n v="659"/>
        <n v="1939"/>
        <n v="593"/>
        <n v="1201"/>
        <n v="958"/>
        <n v="1160"/>
        <n v="366"/>
        <n v="920"/>
        <n v="1575"/>
        <n v="1599"/>
        <n v="1339"/>
        <n v="1879"/>
        <n v="1925"/>
        <n v="510"/>
        <n v="552"/>
        <n v="383"/>
        <n v="1875"/>
        <n v="336"/>
        <n v="736"/>
        <n v="853"/>
        <n v="1126"/>
        <n v="42"/>
        <n v="224"/>
        <n v="29"/>
        <n v="168"/>
        <n v="1405"/>
        <n v="1547"/>
        <n v="519"/>
        <n v="177"/>
        <n v="1976"/>
        <n v="1362"/>
        <n v="342"/>
        <n v="1642"/>
        <n v="1333"/>
        <n v="181"/>
        <n v="1489"/>
        <n v="1998"/>
        <n v="158"/>
        <n v="1706"/>
        <n v="1323"/>
        <n v="1593"/>
        <n v="812"/>
        <n v="1285"/>
        <n v="136"/>
        <n v="524"/>
        <n v="1964"/>
        <n v="84"/>
        <n v="1509"/>
        <n v="554"/>
        <n v="1463"/>
        <n v="1212"/>
        <n v="759"/>
        <n v="1901"/>
        <n v="1927"/>
        <n v="1504"/>
        <n v="588"/>
        <n v="1648"/>
        <n v="1818"/>
        <n v="377"/>
        <n v="1137"/>
        <n v="1377"/>
        <n v="1938"/>
        <n v="1192"/>
        <n v="394"/>
        <n v="1657"/>
        <n v="315"/>
        <n v="1580"/>
        <n v="1756"/>
        <n v="1367"/>
        <n v="562"/>
        <n v="265"/>
        <n v="777"/>
        <n v="491"/>
        <n v="721"/>
        <n v="215"/>
        <n v="1915"/>
        <n v="790"/>
        <n v="1742"/>
        <n v="981"/>
        <n v="1240"/>
        <n v="1163"/>
        <n v="1799"/>
        <n v="911"/>
        <n v="570"/>
        <n v="1029"/>
        <n v="1725"/>
        <n v="326"/>
        <n v="1663"/>
        <n v="1218"/>
        <n v="1977"/>
        <n v="471"/>
        <n v="1034"/>
        <n v="1618"/>
        <n v="1907"/>
        <n v="245"/>
        <n v="1264"/>
        <n v="1078"/>
        <n v="1119"/>
        <n v="1520"/>
        <n v="294"/>
        <n v="1505"/>
        <n v="1224"/>
        <n v="1824"/>
        <n v="2014"/>
        <n v="1690"/>
        <n v="514"/>
        <n v="1922"/>
        <n v="1085"/>
        <n v="768"/>
        <n v="54"/>
        <n v="1944"/>
        <n v="741"/>
        <n v="240"/>
        <n v="1110"/>
        <n v="668"/>
        <n v="127"/>
        <n v="1005"/>
        <n v="1465"/>
        <n v="446"/>
        <n v="783"/>
        <n v="218"/>
        <n v="1024"/>
        <n v="1161"/>
        <n v="1550"/>
        <n v="267"/>
        <n v="1711"/>
        <n v="903"/>
        <n v="1046"/>
        <n v="1906"/>
        <n v="1327"/>
        <n v="2005"/>
        <n v="1425"/>
        <n v="363"/>
        <n v="656"/>
        <n v="1270"/>
        <n v="630"/>
        <n v="113"/>
        <n v="1631"/>
        <n v="110"/>
        <n v="1621"/>
        <n v="1010"/>
        <n v="227"/>
        <n v="1423"/>
        <n v="1027"/>
        <n v="938"/>
        <n v="789"/>
        <n v="1018"/>
        <n v="324"/>
        <n v="171"/>
        <n v="297"/>
        <n v="1785"/>
        <n v="236"/>
        <n v="300"/>
        <n v="1610"/>
        <n v="707"/>
        <n v="1953"/>
        <n v="302"/>
        <n v="279"/>
        <n v="349"/>
        <n v="810"/>
        <n v="717"/>
        <n v="557"/>
        <n v="1259"/>
        <n v="1152"/>
        <n v="1984"/>
        <n v="1318"/>
        <n v="1330"/>
        <n v="194"/>
        <n v="1864"/>
        <n v="1123"/>
        <n v="402"/>
        <n v="412"/>
        <n v="1779"/>
        <n v="88"/>
        <n v="146"/>
        <n v="10"/>
        <n v="1361"/>
        <n v="683"/>
        <n v="449"/>
        <n v="740"/>
        <n v="41"/>
        <n v="1848"/>
        <n v="376"/>
        <n v="1772"/>
        <n v="1714"/>
        <n v="311"/>
        <n v="96"/>
        <n v="61"/>
        <n v="2017"/>
        <n v="159"/>
        <n v="633"/>
        <n v="351"/>
        <n v="1304"/>
        <n v="1720"/>
        <n v="170"/>
        <n v="962"/>
        <n v="92"/>
        <n v="1476"/>
        <n v="1441"/>
        <n v="248"/>
        <n v="1615"/>
        <n v="1515"/>
        <n v="70"/>
        <n v="1099"/>
        <n v="1020"/>
        <n v="37"/>
        <n v="1480"/>
        <n v="794"/>
        <n v="2"/>
        <n v="438"/>
        <n v="161"/>
        <n v="1498"/>
        <n v="416"/>
        <n v="1471"/>
        <n v="463"/>
        <n v="219"/>
        <n v="1215"/>
        <n v="785"/>
        <n v="1556"/>
        <n v="360"/>
        <n v="743"/>
        <n v="1338"/>
        <n v="1523"/>
        <n v="76"/>
        <n v="73"/>
        <n v="639"/>
        <n v="1038"/>
        <n v="1919"/>
        <n v="1491"/>
        <n v="1825"/>
        <n v="1841"/>
        <n v="1510"/>
        <n v="580"/>
        <n v="230"/>
        <n v="1751"/>
        <n v="442"/>
        <n v="273"/>
        <n v="359"/>
        <n v="1896"/>
        <n v="1460"/>
        <n v="1369"/>
        <n v="587"/>
        <n v="739"/>
        <n v="836"/>
        <n v="2006"/>
        <n v="166"/>
        <n v="545"/>
        <n v="1014"/>
        <n v="1175"/>
        <n v="31"/>
        <n v="1217"/>
        <n v="1649"/>
        <n v="2000"/>
        <n v="680"/>
        <n v="859"/>
        <n v="91"/>
        <n v="309"/>
        <n v="1223"/>
        <n v="1542"/>
        <n v="1612"/>
        <n v="1066"/>
        <n v="1007"/>
        <n v="821"/>
        <n v="1176"/>
        <n v="1692"/>
        <n v="1898"/>
        <n v="222"/>
        <n v="1446"/>
        <n v="1924"/>
        <n v="671"/>
        <n v="1769"/>
        <n v="1150"/>
        <n v="1266"/>
        <n v="1889"/>
        <n v="774"/>
        <n v="1750"/>
        <n v="1768"/>
        <n v="1341"/>
        <n v="543"/>
        <n v="1138"/>
        <n v="244"/>
        <n v="451"/>
        <n v="1560"/>
        <n v="476"/>
        <n v="202"/>
        <n v="1482"/>
        <n v="1051"/>
        <n v="1173"/>
        <n v="816"/>
        <n v="1088"/>
        <n v="1149"/>
        <n v="125"/>
        <n v="1999"/>
        <n v="1117"/>
        <n v="1960"/>
        <n v="1418"/>
        <n v="420"/>
        <n v="1548"/>
        <n v="883"/>
        <n v="523"/>
        <n v="1606"/>
        <n v="993"/>
        <n v="277"/>
        <n v="149"/>
        <n v="1443"/>
        <n v="1661"/>
        <n v="329"/>
        <n v="1827"/>
        <n v="967"/>
        <n v="690"/>
        <n v="1535"/>
        <n v="953"/>
        <n v="1306"/>
        <n v="1365"/>
        <n v="733"/>
        <n v="1627"/>
        <n v="631"/>
        <n v="928"/>
        <n v="303"/>
        <n v="542"/>
        <n v="1713"/>
        <n v="1432"/>
        <n v="1472"/>
        <n v="1735"/>
        <n v="1105"/>
        <n v="1932"/>
        <n v="419"/>
        <n v="399"/>
        <n v="243"/>
        <n v="1840"/>
        <n v="1557"/>
        <n v="1265"/>
        <n v="1168"/>
        <n v="1069"/>
        <n v="1985"/>
        <n v="541"/>
        <n v="573"/>
        <n v="807"/>
        <n v="972"/>
        <n v="173"/>
        <n v="566"/>
        <n v="1930"/>
        <n v="917"/>
        <n v="1329"/>
        <n v="1623"/>
        <n v="1437"/>
        <n v="1185"/>
        <n v="1562"/>
        <n v="840"/>
        <n v="871"/>
        <n v="1413"/>
        <n v="1687"/>
        <n v="929"/>
        <n v="697"/>
        <n v="1583"/>
        <n v="191"/>
        <n v="584"/>
        <n v="421"/>
        <n v="846"/>
        <n v="62"/>
        <n v="1325"/>
        <n v="362"/>
        <n v="604"/>
        <n v="1702"/>
      </sharedItems>
    </cacheField>
    <cacheField name="Income" numFmtId="0">
      <sharedItems containsSemiMixedTypes="0" containsString="0" containsNumber="1" containsInteger="1" minValue="1730" maxValue="113734"/>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Overall" numFmtId="0">
      <sharedItems containsSemiMixedTypes="0" containsString="0" containsNumber="1" containsInteger="1" minValue="0" maxValue="1" count="2">
        <n v="0"/>
        <n v="1"/>
      </sharedItems>
    </cacheField>
    <cacheField name="Complain" numFmtId="0">
      <sharedItems containsSemiMixedTypes="0" containsString="0" containsNumber="1" containsInteger="1" minValue="0" maxValue="1"/>
    </cacheField>
    <cacheField name="Z_CostContact" numFmtId="0">
      <sharedItems containsSemiMixedTypes="0" containsString="0" containsNumber="1" containsInteger="1" minValue="3" maxValue="3"/>
    </cacheField>
    <cacheField name="Z_Revenue" numFmtId="0">
      <sharedItems containsSemiMixedTypes="0" containsString="0" containsNumber="1" containsInteger="1" minValue="11" maxValue="11"/>
    </cacheField>
    <cacheField name="Response" numFmtId="0">
      <sharedItems containsSemiMixedTypes="0" containsString="0" containsNumber="1" containsInteger="1" minValue="0" maxValue="1"/>
    </cacheField>
    <cacheField name="Age" numFmtId="0">
      <sharedItems containsSemiMixedTypes="0" containsString="0" containsNumber="1" containsInteger="1" minValue="24" maxValue="80"/>
    </cacheField>
    <cacheField name="Customer_Days" numFmtId="0">
      <sharedItems containsSemiMixedTypes="0" containsString="0" containsNumber="1" containsInteger="1" minValue="2159" maxValue="2858"/>
    </cacheField>
    <cacheField name="Customer_Years" numFmtId="164">
      <sharedItems containsSemiMixedTypes="0" containsString="0" containsNumber="1" minValue="5.9150684931506845" maxValue="7.8301369863013699"/>
    </cacheField>
    <cacheField name="marital_Divorced" numFmtId="0">
      <sharedItems containsSemiMixedTypes="0" containsString="0" containsNumber="1" containsInteger="1" minValue="0" maxValue="1"/>
    </cacheField>
    <cacheField name="marital_Married" numFmtId="0">
      <sharedItems containsSemiMixedTypes="0" containsString="0" containsNumber="1" containsInteger="1" minValue="0" maxValue="1"/>
    </cacheField>
    <cacheField name="marital_Single" numFmtId="0">
      <sharedItems containsSemiMixedTypes="0" containsString="0" containsNumber="1" containsInteger="1" minValue="0" maxValue="1"/>
    </cacheField>
    <cacheField name="marital_Together" numFmtId="0">
      <sharedItems containsSemiMixedTypes="0" containsString="0" containsNumber="1" containsInteger="1" minValue="0" maxValue="1"/>
    </cacheField>
    <cacheField name="marital_Widow" numFmtId="0">
      <sharedItems containsSemiMixedTypes="0" containsString="0" containsNumber="1" containsInteger="1" minValue="0" maxValue="1"/>
    </cacheField>
    <cacheField name="education_2n Cycle" numFmtId="0">
      <sharedItems containsSemiMixedTypes="0" containsString="0" containsNumber="1" containsInteger="1" minValue="0" maxValue="1"/>
    </cacheField>
    <cacheField name="education_Basic" numFmtId="0">
      <sharedItems containsSemiMixedTypes="0" containsString="0" containsNumber="1" containsInteger="1" minValue="0" maxValue="1"/>
    </cacheField>
    <cacheField name="education_Graduation" numFmtId="0">
      <sharedItems containsSemiMixedTypes="0" containsString="0" containsNumber="1" containsInteger="1" minValue="0" maxValue="1"/>
    </cacheField>
    <cacheField name="education_Master" numFmtId="0">
      <sharedItems containsSemiMixedTypes="0" containsString="0" containsNumber="1" containsInteger="1" minValue="0" maxValue="1"/>
    </cacheField>
    <cacheField name="education_PhD" numFmtId="0">
      <sharedItems containsSemiMixedTypes="0" containsString="0" containsNumber="1" containsInteger="1" minValue="0" maxValue="1"/>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MntPremiumProds" numFmtId="0">
      <sharedItems containsSemiMixedTypes="0" containsString="0" containsNumber="1" containsInteger="1" minValue="0" maxValue="321"/>
    </cacheField>
    <cacheField name="AcceptedCmpOverallSum" numFmtId="0">
      <sharedItems containsSemiMixedTypes="0" containsString="0" containsNumber="1" containsInteger="1" minValue="0" maxValue="4"/>
    </cacheField>
    <cacheField name="Family" numFmtId="0">
      <sharedItems containsSemiMixedTypes="0" containsString="0" containsNumber="1" containsInteger="1" minValue="0" maxValue="1" count="2">
        <n v="1"/>
        <n v="0"/>
      </sharedItems>
    </cacheField>
    <cacheField name="Family Status" numFmtId="0">
      <sharedItems count="2">
        <s v="Has Family"/>
        <s v="No Family"/>
      </sharedItems>
    </cacheField>
    <cacheField name="Martial Status" numFmtId="0">
      <sharedItems count="5">
        <s v="Married"/>
        <s v="Single"/>
        <s v="Living Together"/>
        <s v="Divorced"/>
        <s v="Widow"/>
      </sharedItems>
    </cacheField>
    <cacheField name="Education" numFmtId="0">
      <sharedItems count="3">
        <s v="Undergraduate Degree"/>
        <s v="Master's Degree or Higher"/>
        <s v="High School"/>
      </sharedItems>
    </cacheField>
    <cacheField name="Income Level" numFmtId="0">
      <sharedItems count="4">
        <s v="&lt;35K"/>
        <s v="75K+"/>
        <s v="50K-75K"/>
        <s v="35K-50K"/>
      </sharedItems>
    </cacheField>
    <cacheField name="Age Group" numFmtId="0">
      <sharedItems count="5">
        <s v="40-50"/>
        <s v="50-60"/>
        <s v="60+"/>
        <s v="30-40"/>
        <s v="&lt;30"/>
      </sharedItems>
    </cacheField>
    <cacheField name="Total Churn 1 Month" numFmtId="0">
      <sharedItems containsSemiMixedTypes="0" containsString="0" containsNumber="1" containsInteger="1" minValue="0" maxValue="1"/>
    </cacheField>
    <cacheField name="Total Churn 3 Months" numFmtId="0">
      <sharedItems containsSemiMixedTypes="0" containsString="0" containsNumber="1" containsInteger="1" minValue="0" maxValue="1"/>
    </cacheField>
    <cacheField name="Frequency" numFmtId="0">
      <sharedItems containsSemiMixedTypes="0" containsString="0" containsNumber="1" containsInteger="1" minValue="6" maxValue="46"/>
    </cacheField>
    <cacheField name="Recency Score" numFmtId="0">
      <sharedItems containsSemiMixedTypes="0" containsString="0" containsNumber="1" minValue="0.99999999999999978" maxValue="10"/>
    </cacheField>
    <cacheField name="Frequency Score" numFmtId="0">
      <sharedItems containsSemiMixedTypes="0" containsString="0" containsNumber="1" containsInteger="1" minValue="0" maxValue="10"/>
    </cacheField>
    <cacheField name="Monetary Score" numFmtId="0">
      <sharedItems containsSemiMixedTypes="0" containsString="0" containsNumber="1" containsInteger="1" minValue="0" maxValue="10"/>
    </cacheField>
    <cacheField name="RFM" numFmtId="0">
      <sharedItems containsSemiMixedTypes="0" containsString="0" containsNumber="1" minValue="0.99999999999999978" maxValue="28"/>
    </cacheField>
    <cacheField name="RFM Score" numFmtId="0">
      <sharedItems containsSemiMixedTypes="0" containsString="0" containsNumber="1" containsInteger="1" minValue="0" maxValue="9"/>
    </cacheField>
    <cacheField name="Customer Segment" numFmtId="0">
      <sharedItems count="6">
        <s v="Top Customer"/>
        <s v="Promising"/>
        <s v="Loyal Customer"/>
        <s v="At Risk"/>
        <s v="Lost"/>
        <s v="Hibernating"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x v="0"/>
    <n v="2447"/>
    <n v="1"/>
    <n v="0"/>
    <n v="42"/>
    <n v="1"/>
    <n v="1"/>
    <n v="1725"/>
    <n v="1"/>
    <n v="1"/>
    <n v="1"/>
    <n v="15"/>
    <n v="0"/>
    <n v="28"/>
    <n v="0"/>
    <n v="1"/>
    <n v="0"/>
    <n v="0"/>
    <n v="0"/>
    <n v="0"/>
    <n v="0"/>
    <x v="0"/>
    <n v="0"/>
    <n v="3"/>
    <n v="11"/>
    <n v="0"/>
    <n v="41"/>
    <n v="2698"/>
    <n v="7.3917808219178083"/>
    <n v="0"/>
    <n v="1"/>
    <n v="0"/>
    <n v="0"/>
    <n v="0"/>
    <n v="0"/>
    <n v="0"/>
    <n v="1"/>
    <n v="0"/>
    <n v="0"/>
    <n v="1729"/>
    <n v="1728"/>
    <n v="1"/>
    <n v="0"/>
    <x v="0"/>
    <x v="0"/>
    <x v="0"/>
    <x v="0"/>
    <x v="0"/>
    <x v="0"/>
    <n v="1"/>
    <n v="0"/>
    <n v="44"/>
    <n v="6"/>
    <n v="9"/>
    <n v="9"/>
    <n v="24"/>
    <n v="9"/>
    <x v="0"/>
  </r>
  <r>
    <x v="1"/>
    <n v="80695"/>
    <n v="0"/>
    <n v="0"/>
    <n v="85"/>
    <n v="557"/>
    <n v="129"/>
    <n v="984"/>
    <n v="193"/>
    <n v="37"/>
    <n v="18"/>
    <n v="1"/>
    <n v="5"/>
    <n v="8"/>
    <n v="5"/>
    <n v="2"/>
    <n v="0"/>
    <n v="0"/>
    <n v="0"/>
    <n v="0"/>
    <n v="0"/>
    <x v="0"/>
    <n v="0"/>
    <n v="3"/>
    <n v="11"/>
    <n v="0"/>
    <n v="57"/>
    <n v="2341"/>
    <n v="6.4136986301369863"/>
    <n v="0"/>
    <n v="0"/>
    <n v="1"/>
    <n v="0"/>
    <n v="0"/>
    <n v="0"/>
    <n v="0"/>
    <n v="1"/>
    <n v="0"/>
    <n v="0"/>
    <n v="1900"/>
    <n v="1882"/>
    <n v="18"/>
    <n v="0"/>
    <x v="1"/>
    <x v="1"/>
    <x v="1"/>
    <x v="0"/>
    <x v="1"/>
    <x v="1"/>
    <n v="1"/>
    <n v="0"/>
    <n v="21"/>
    <n v="1.9999999999999996"/>
    <n v="5"/>
    <n v="9"/>
    <n v="16"/>
    <n v="5"/>
    <x v="1"/>
  </r>
  <r>
    <x v="2"/>
    <n v="90369"/>
    <n v="0"/>
    <n v="0"/>
    <n v="2"/>
    <n v="292"/>
    <n v="51"/>
    <n v="981"/>
    <n v="224"/>
    <n v="23"/>
    <n v="17"/>
    <n v="1"/>
    <n v="4"/>
    <n v="6"/>
    <n v="6"/>
    <n v="1"/>
    <n v="0"/>
    <n v="0"/>
    <n v="0"/>
    <n v="0"/>
    <n v="0"/>
    <x v="0"/>
    <n v="0"/>
    <n v="3"/>
    <n v="11"/>
    <n v="1"/>
    <n v="64"/>
    <n v="2221"/>
    <n v="6.0849315068493155"/>
    <n v="0"/>
    <n v="1"/>
    <n v="0"/>
    <n v="0"/>
    <n v="0"/>
    <n v="0"/>
    <n v="0"/>
    <n v="1"/>
    <n v="0"/>
    <n v="0"/>
    <n v="1571"/>
    <n v="1554"/>
    <n v="17"/>
    <n v="0"/>
    <x v="1"/>
    <x v="1"/>
    <x v="0"/>
    <x v="0"/>
    <x v="1"/>
    <x v="2"/>
    <n v="0"/>
    <n v="0"/>
    <n v="18"/>
    <n v="10"/>
    <n v="4"/>
    <n v="9"/>
    <n v="23"/>
    <n v="8"/>
    <x v="2"/>
  </r>
  <r>
    <x v="3"/>
    <n v="89572"/>
    <n v="0"/>
    <n v="0"/>
    <n v="44"/>
    <n v="606"/>
    <n v="24"/>
    <n v="974"/>
    <n v="197"/>
    <n v="194"/>
    <n v="64"/>
    <n v="1"/>
    <n v="7"/>
    <n v="7"/>
    <n v="9"/>
    <n v="4"/>
    <n v="1"/>
    <n v="0"/>
    <n v="0"/>
    <n v="1"/>
    <n v="0"/>
    <x v="1"/>
    <n v="0"/>
    <n v="3"/>
    <n v="11"/>
    <n v="1"/>
    <n v="54"/>
    <n v="2811"/>
    <n v="7.7013698630136984"/>
    <n v="0"/>
    <n v="0"/>
    <n v="1"/>
    <n v="0"/>
    <n v="0"/>
    <n v="1"/>
    <n v="0"/>
    <n v="0"/>
    <n v="0"/>
    <n v="0"/>
    <n v="1995"/>
    <n v="1931"/>
    <n v="64"/>
    <n v="2"/>
    <x v="1"/>
    <x v="1"/>
    <x v="1"/>
    <x v="1"/>
    <x v="1"/>
    <x v="1"/>
    <n v="1"/>
    <n v="0"/>
    <n v="28"/>
    <n v="6"/>
    <n v="8"/>
    <n v="9"/>
    <n v="23"/>
    <n v="8"/>
    <x v="2"/>
  </r>
  <r>
    <x v="4"/>
    <n v="82332"/>
    <n v="0"/>
    <n v="0"/>
    <n v="89"/>
    <n v="830"/>
    <n v="59"/>
    <n v="968"/>
    <n v="51"/>
    <n v="79"/>
    <n v="19"/>
    <n v="1"/>
    <n v="5"/>
    <n v="3"/>
    <n v="12"/>
    <n v="2"/>
    <n v="0"/>
    <n v="0"/>
    <n v="0"/>
    <n v="0"/>
    <n v="1"/>
    <x v="1"/>
    <n v="0"/>
    <n v="3"/>
    <n v="11"/>
    <n v="1"/>
    <n v="59"/>
    <n v="2809"/>
    <n v="7.6958904109589037"/>
    <n v="0"/>
    <n v="0"/>
    <n v="1"/>
    <n v="0"/>
    <n v="0"/>
    <n v="0"/>
    <n v="0"/>
    <n v="1"/>
    <n v="0"/>
    <n v="0"/>
    <n v="1987"/>
    <n v="1968"/>
    <n v="19"/>
    <n v="1"/>
    <x v="1"/>
    <x v="1"/>
    <x v="1"/>
    <x v="0"/>
    <x v="1"/>
    <x v="1"/>
    <n v="1"/>
    <n v="0"/>
    <n v="23"/>
    <n v="1.9999999999999996"/>
    <n v="6"/>
    <n v="9"/>
    <n v="17"/>
    <n v="6"/>
    <x v="1"/>
  </r>
  <r>
    <x v="5"/>
    <n v="91700"/>
    <n v="0"/>
    <n v="0"/>
    <n v="58"/>
    <n v="576"/>
    <n v="172"/>
    <n v="961"/>
    <n v="125"/>
    <n v="115"/>
    <n v="19"/>
    <n v="1"/>
    <n v="8"/>
    <n v="6"/>
    <n v="5"/>
    <n v="3"/>
    <n v="0"/>
    <n v="0"/>
    <n v="0"/>
    <n v="0"/>
    <n v="0"/>
    <x v="0"/>
    <n v="0"/>
    <n v="3"/>
    <n v="11"/>
    <n v="1"/>
    <n v="49"/>
    <n v="2687"/>
    <n v="7.3616438356164382"/>
    <n v="0"/>
    <n v="0"/>
    <n v="1"/>
    <n v="0"/>
    <n v="0"/>
    <n v="0"/>
    <n v="0"/>
    <n v="1"/>
    <n v="0"/>
    <n v="0"/>
    <n v="1949"/>
    <n v="1930"/>
    <n v="19"/>
    <n v="0"/>
    <x v="1"/>
    <x v="1"/>
    <x v="1"/>
    <x v="0"/>
    <x v="1"/>
    <x v="0"/>
    <n v="1"/>
    <n v="0"/>
    <n v="23"/>
    <n v="5"/>
    <n v="6"/>
    <n v="9"/>
    <n v="20"/>
    <n v="7"/>
    <x v="2"/>
  </r>
  <r>
    <x v="6"/>
    <n v="79607"/>
    <n v="0"/>
    <n v="0"/>
    <n v="37"/>
    <n v="450"/>
    <n v="133"/>
    <n v="951"/>
    <n v="173"/>
    <n v="0"/>
    <n v="216"/>
    <n v="1"/>
    <n v="3"/>
    <n v="6"/>
    <n v="6"/>
    <n v="1"/>
    <n v="0"/>
    <n v="0"/>
    <n v="0"/>
    <n v="0"/>
    <n v="0"/>
    <x v="0"/>
    <n v="0"/>
    <n v="3"/>
    <n v="11"/>
    <n v="1"/>
    <n v="36"/>
    <n v="2593"/>
    <n v="7.1041095890410961"/>
    <n v="0"/>
    <n v="0"/>
    <n v="1"/>
    <n v="0"/>
    <n v="0"/>
    <n v="0"/>
    <n v="0"/>
    <n v="1"/>
    <n v="0"/>
    <n v="0"/>
    <n v="1707"/>
    <n v="1491"/>
    <n v="216"/>
    <n v="0"/>
    <x v="1"/>
    <x v="1"/>
    <x v="1"/>
    <x v="0"/>
    <x v="1"/>
    <x v="3"/>
    <n v="1"/>
    <n v="0"/>
    <n v="17"/>
    <n v="7"/>
    <n v="3"/>
    <n v="9"/>
    <n v="19"/>
    <n v="7"/>
    <x v="2"/>
  </r>
  <r>
    <x v="7"/>
    <n v="96843"/>
    <n v="0"/>
    <n v="0"/>
    <n v="60"/>
    <n v="448"/>
    <n v="71"/>
    <n v="951"/>
    <n v="40"/>
    <n v="17"/>
    <n v="17"/>
    <n v="1"/>
    <n v="6"/>
    <n v="11"/>
    <n v="10"/>
    <n v="2"/>
    <n v="0"/>
    <n v="0"/>
    <n v="0"/>
    <n v="0"/>
    <n v="1"/>
    <x v="1"/>
    <n v="0"/>
    <n v="3"/>
    <n v="11"/>
    <n v="1"/>
    <n v="30"/>
    <n v="2591"/>
    <n v="7.0986301369863014"/>
    <n v="0"/>
    <n v="0"/>
    <n v="1"/>
    <n v="0"/>
    <n v="0"/>
    <n v="0"/>
    <n v="0"/>
    <n v="1"/>
    <n v="0"/>
    <n v="0"/>
    <n v="1527"/>
    <n v="1510"/>
    <n v="17"/>
    <n v="1"/>
    <x v="1"/>
    <x v="1"/>
    <x v="1"/>
    <x v="0"/>
    <x v="1"/>
    <x v="4"/>
    <n v="1"/>
    <n v="0"/>
    <n v="30"/>
    <n v="4"/>
    <n v="8"/>
    <n v="9"/>
    <n v="21"/>
    <n v="8"/>
    <x v="2"/>
  </r>
  <r>
    <x v="8"/>
    <n v="76653"/>
    <n v="0"/>
    <n v="0"/>
    <n v="91"/>
    <n v="736"/>
    <n v="63"/>
    <n v="946"/>
    <n v="219"/>
    <n v="189"/>
    <n v="126"/>
    <n v="1"/>
    <n v="4"/>
    <n v="7"/>
    <n v="11"/>
    <n v="2"/>
    <n v="1"/>
    <n v="0"/>
    <n v="0"/>
    <n v="0"/>
    <n v="1"/>
    <x v="1"/>
    <n v="0"/>
    <n v="3"/>
    <n v="11"/>
    <n v="0"/>
    <n v="51"/>
    <n v="2476"/>
    <n v="6.7835616438356166"/>
    <n v="0"/>
    <n v="0"/>
    <n v="0"/>
    <n v="1"/>
    <n v="0"/>
    <n v="0"/>
    <n v="0"/>
    <n v="1"/>
    <n v="0"/>
    <n v="0"/>
    <n v="2153"/>
    <n v="2027"/>
    <n v="126"/>
    <n v="2"/>
    <x v="1"/>
    <x v="1"/>
    <x v="2"/>
    <x v="0"/>
    <x v="1"/>
    <x v="1"/>
    <n v="1"/>
    <n v="1"/>
    <n v="25"/>
    <n v="0.99999999999999978"/>
    <n v="7"/>
    <n v="9"/>
    <n v="17"/>
    <n v="6"/>
    <x v="1"/>
  </r>
  <r>
    <x v="9"/>
    <n v="81741"/>
    <n v="0"/>
    <n v="0"/>
    <n v="75"/>
    <n v="249"/>
    <n v="153"/>
    <n v="940"/>
    <n v="58"/>
    <n v="134"/>
    <n v="38"/>
    <n v="0"/>
    <n v="6"/>
    <n v="6"/>
    <n v="7"/>
    <n v="2"/>
    <n v="0"/>
    <n v="0"/>
    <n v="0"/>
    <n v="0"/>
    <n v="0"/>
    <x v="0"/>
    <n v="0"/>
    <n v="3"/>
    <n v="11"/>
    <n v="0"/>
    <n v="40"/>
    <n v="2537"/>
    <n v="6.9506849315068493"/>
    <n v="0"/>
    <n v="0"/>
    <n v="1"/>
    <n v="0"/>
    <n v="0"/>
    <n v="0"/>
    <n v="0"/>
    <n v="1"/>
    <n v="0"/>
    <n v="0"/>
    <n v="1534"/>
    <n v="1496"/>
    <n v="38"/>
    <n v="0"/>
    <x v="1"/>
    <x v="1"/>
    <x v="1"/>
    <x v="0"/>
    <x v="1"/>
    <x v="3"/>
    <n v="1"/>
    <n v="0"/>
    <n v="21"/>
    <n v="3.0000000000000004"/>
    <n v="5"/>
    <n v="9"/>
    <n v="17"/>
    <n v="6"/>
    <x v="1"/>
  </r>
  <r>
    <x v="10"/>
    <n v="80398"/>
    <n v="0"/>
    <n v="0"/>
    <n v="92"/>
    <n v="342"/>
    <n v="51"/>
    <n v="936"/>
    <n v="207"/>
    <n v="35"/>
    <n v="26"/>
    <n v="1"/>
    <n v="5"/>
    <n v="8"/>
    <n v="12"/>
    <n v="3"/>
    <n v="0"/>
    <n v="0"/>
    <n v="0"/>
    <n v="0"/>
    <n v="1"/>
    <x v="1"/>
    <n v="0"/>
    <n v="3"/>
    <n v="11"/>
    <n v="0"/>
    <n v="54"/>
    <n v="2755"/>
    <n v="7.5479452054794525"/>
    <n v="0"/>
    <n v="1"/>
    <n v="0"/>
    <n v="0"/>
    <n v="0"/>
    <n v="0"/>
    <n v="0"/>
    <n v="1"/>
    <n v="0"/>
    <n v="0"/>
    <n v="1571"/>
    <n v="1545"/>
    <n v="26"/>
    <n v="1"/>
    <x v="1"/>
    <x v="1"/>
    <x v="0"/>
    <x v="0"/>
    <x v="1"/>
    <x v="1"/>
    <n v="1"/>
    <n v="1"/>
    <n v="29"/>
    <n v="0.99999999999999978"/>
    <n v="8"/>
    <n v="9"/>
    <n v="18"/>
    <n v="6"/>
    <x v="1"/>
  </r>
  <r>
    <x v="11"/>
    <n v="92491"/>
    <n v="0"/>
    <n v="0"/>
    <n v="71"/>
    <n v="979"/>
    <n v="44"/>
    <n v="935"/>
    <n v="29"/>
    <n v="25"/>
    <n v="22"/>
    <n v="1"/>
    <n v="7"/>
    <n v="5"/>
    <n v="12"/>
    <n v="3"/>
    <n v="1"/>
    <n v="0"/>
    <n v="0"/>
    <n v="1"/>
    <n v="1"/>
    <x v="1"/>
    <n v="0"/>
    <n v="3"/>
    <n v="11"/>
    <n v="1"/>
    <n v="37"/>
    <n v="2583"/>
    <n v="7.0767123287671234"/>
    <n v="0"/>
    <n v="1"/>
    <n v="0"/>
    <n v="0"/>
    <n v="0"/>
    <n v="0"/>
    <n v="0"/>
    <n v="0"/>
    <n v="0"/>
    <n v="1"/>
    <n v="2012"/>
    <n v="1990"/>
    <n v="22"/>
    <n v="3"/>
    <x v="1"/>
    <x v="1"/>
    <x v="0"/>
    <x v="1"/>
    <x v="1"/>
    <x v="3"/>
    <n v="1"/>
    <n v="0"/>
    <n v="28"/>
    <n v="3.0000000000000004"/>
    <n v="8"/>
    <n v="9"/>
    <n v="20"/>
    <n v="7"/>
    <x v="2"/>
  </r>
  <r>
    <x v="12"/>
    <n v="71964"/>
    <n v="0"/>
    <n v="0"/>
    <n v="81"/>
    <n v="587"/>
    <n v="51"/>
    <n v="932"/>
    <n v="180"/>
    <n v="34"/>
    <n v="86"/>
    <n v="1"/>
    <n v="5"/>
    <n v="6"/>
    <n v="5"/>
    <n v="3"/>
    <n v="0"/>
    <n v="0"/>
    <n v="0"/>
    <n v="0"/>
    <n v="0"/>
    <x v="0"/>
    <n v="0"/>
    <n v="3"/>
    <n v="11"/>
    <n v="0"/>
    <n v="62"/>
    <n v="2564"/>
    <n v="7.0246575342465754"/>
    <n v="1"/>
    <n v="0"/>
    <n v="0"/>
    <n v="0"/>
    <n v="0"/>
    <n v="0"/>
    <n v="0"/>
    <n v="1"/>
    <n v="0"/>
    <n v="0"/>
    <n v="1784"/>
    <n v="1698"/>
    <n v="86"/>
    <n v="0"/>
    <x v="1"/>
    <x v="1"/>
    <x v="3"/>
    <x v="0"/>
    <x v="2"/>
    <x v="2"/>
    <n v="1"/>
    <n v="0"/>
    <n v="20"/>
    <n v="1.9999999999999996"/>
    <n v="4"/>
    <n v="9"/>
    <n v="15"/>
    <n v="4"/>
    <x v="3"/>
  </r>
  <r>
    <x v="13"/>
    <n v="81205"/>
    <n v="0"/>
    <n v="0"/>
    <n v="43"/>
    <n v="724"/>
    <n v="74"/>
    <n v="929"/>
    <n v="97"/>
    <n v="55"/>
    <n v="130"/>
    <n v="1"/>
    <n v="5"/>
    <n v="6"/>
    <n v="7"/>
    <n v="2"/>
    <n v="0"/>
    <n v="1"/>
    <n v="1"/>
    <n v="0"/>
    <n v="1"/>
    <x v="1"/>
    <n v="0"/>
    <n v="3"/>
    <n v="11"/>
    <n v="1"/>
    <n v="50"/>
    <n v="2326"/>
    <n v="6.3726027397260276"/>
    <n v="0"/>
    <n v="0"/>
    <n v="0"/>
    <n v="1"/>
    <n v="0"/>
    <n v="0"/>
    <n v="0"/>
    <n v="1"/>
    <n v="0"/>
    <n v="0"/>
    <n v="1879"/>
    <n v="1749"/>
    <n v="130"/>
    <n v="3"/>
    <x v="1"/>
    <x v="1"/>
    <x v="2"/>
    <x v="0"/>
    <x v="1"/>
    <x v="0"/>
    <n v="1"/>
    <n v="0"/>
    <n v="21"/>
    <n v="6"/>
    <n v="5"/>
    <n v="9"/>
    <n v="20"/>
    <n v="7"/>
    <x v="2"/>
  </r>
  <r>
    <x v="14"/>
    <n v="75251"/>
    <n v="0"/>
    <n v="0"/>
    <n v="34"/>
    <n v="721"/>
    <n v="111"/>
    <n v="925"/>
    <n v="97"/>
    <n v="18"/>
    <n v="18"/>
    <n v="1"/>
    <n v="7"/>
    <n v="6"/>
    <n v="5"/>
    <n v="5"/>
    <n v="0"/>
    <n v="0"/>
    <n v="0"/>
    <n v="0"/>
    <n v="0"/>
    <x v="0"/>
    <n v="0"/>
    <n v="3"/>
    <n v="11"/>
    <n v="1"/>
    <n v="48"/>
    <n v="2830"/>
    <n v="7.7534246575342465"/>
    <n v="0"/>
    <n v="1"/>
    <n v="0"/>
    <n v="0"/>
    <n v="0"/>
    <n v="0"/>
    <n v="0"/>
    <n v="0"/>
    <n v="1"/>
    <n v="0"/>
    <n v="1872"/>
    <n v="1854"/>
    <n v="18"/>
    <n v="0"/>
    <x v="1"/>
    <x v="1"/>
    <x v="0"/>
    <x v="1"/>
    <x v="1"/>
    <x v="0"/>
    <n v="1"/>
    <n v="0"/>
    <n v="24"/>
    <n v="7"/>
    <n v="6"/>
    <n v="9"/>
    <n v="22"/>
    <n v="8"/>
    <x v="2"/>
  </r>
  <r>
    <x v="15"/>
    <n v="85620"/>
    <n v="0"/>
    <n v="0"/>
    <n v="68"/>
    <n v="416"/>
    <n v="46"/>
    <n v="925"/>
    <n v="60"/>
    <n v="107"/>
    <n v="46"/>
    <n v="1"/>
    <n v="3"/>
    <n v="6"/>
    <n v="4"/>
    <n v="1"/>
    <n v="0"/>
    <n v="0"/>
    <n v="0"/>
    <n v="0"/>
    <n v="0"/>
    <x v="0"/>
    <n v="0"/>
    <n v="3"/>
    <n v="11"/>
    <n v="1"/>
    <n v="56"/>
    <n v="2332"/>
    <n v="6.3890410958904109"/>
    <n v="0"/>
    <n v="0"/>
    <n v="0"/>
    <n v="0"/>
    <n v="1"/>
    <n v="0"/>
    <n v="0"/>
    <n v="1"/>
    <n v="0"/>
    <n v="0"/>
    <n v="1554"/>
    <n v="1508"/>
    <n v="46"/>
    <n v="0"/>
    <x v="1"/>
    <x v="1"/>
    <x v="4"/>
    <x v="0"/>
    <x v="1"/>
    <x v="1"/>
    <n v="1"/>
    <n v="0"/>
    <n v="15"/>
    <n v="4"/>
    <n v="2"/>
    <n v="9"/>
    <n v="15"/>
    <n v="4"/>
    <x v="3"/>
  </r>
  <r>
    <x v="16"/>
    <n v="92955"/>
    <n v="0"/>
    <n v="0"/>
    <n v="35"/>
    <n v="693"/>
    <n v="21"/>
    <n v="925"/>
    <n v="31"/>
    <n v="24"/>
    <n v="84"/>
    <n v="1"/>
    <n v="6"/>
    <n v="7"/>
    <n v="9"/>
    <n v="2"/>
    <n v="1"/>
    <n v="0"/>
    <n v="0"/>
    <n v="0"/>
    <n v="1"/>
    <x v="1"/>
    <n v="0"/>
    <n v="3"/>
    <n v="11"/>
    <n v="1"/>
    <n v="47"/>
    <n v="2473"/>
    <n v="6.7753424657534245"/>
    <n v="0"/>
    <n v="1"/>
    <n v="0"/>
    <n v="0"/>
    <n v="0"/>
    <n v="0"/>
    <n v="0"/>
    <n v="1"/>
    <n v="0"/>
    <n v="0"/>
    <n v="1694"/>
    <n v="1610"/>
    <n v="84"/>
    <n v="2"/>
    <x v="1"/>
    <x v="1"/>
    <x v="0"/>
    <x v="0"/>
    <x v="1"/>
    <x v="0"/>
    <n v="1"/>
    <n v="0"/>
    <n v="25"/>
    <n v="7"/>
    <n v="7"/>
    <n v="9"/>
    <n v="23"/>
    <n v="8"/>
    <x v="2"/>
  </r>
  <r>
    <x v="17"/>
    <n v="92859"/>
    <n v="0"/>
    <n v="0"/>
    <n v="46"/>
    <n v="962"/>
    <n v="61"/>
    <n v="921"/>
    <n v="52"/>
    <n v="61"/>
    <n v="20"/>
    <n v="1"/>
    <n v="5"/>
    <n v="4"/>
    <n v="12"/>
    <n v="2"/>
    <n v="0"/>
    <n v="0"/>
    <n v="0"/>
    <n v="0"/>
    <n v="0"/>
    <x v="0"/>
    <n v="0"/>
    <n v="3"/>
    <n v="11"/>
    <n v="0"/>
    <n v="28"/>
    <n v="2777"/>
    <n v="7.6082191780821917"/>
    <n v="0"/>
    <n v="0"/>
    <n v="1"/>
    <n v="0"/>
    <n v="0"/>
    <n v="0"/>
    <n v="0"/>
    <n v="0"/>
    <n v="1"/>
    <n v="0"/>
    <n v="2057"/>
    <n v="2037"/>
    <n v="20"/>
    <n v="0"/>
    <x v="1"/>
    <x v="1"/>
    <x v="1"/>
    <x v="1"/>
    <x v="1"/>
    <x v="4"/>
    <n v="1"/>
    <n v="0"/>
    <n v="24"/>
    <n v="6"/>
    <n v="6"/>
    <n v="9"/>
    <n v="21"/>
    <n v="8"/>
    <x v="2"/>
  </r>
  <r>
    <x v="18"/>
    <n v="90638"/>
    <n v="0"/>
    <n v="0"/>
    <n v="29"/>
    <n v="1156"/>
    <n v="120"/>
    <n v="915"/>
    <n v="94"/>
    <n v="144"/>
    <n v="96"/>
    <n v="1"/>
    <n v="3"/>
    <n v="4"/>
    <n v="10"/>
    <n v="1"/>
    <n v="0"/>
    <n v="0"/>
    <n v="0"/>
    <n v="0"/>
    <n v="1"/>
    <x v="1"/>
    <n v="0"/>
    <n v="3"/>
    <n v="11"/>
    <n v="0"/>
    <n v="29"/>
    <n v="2295"/>
    <n v="6.2876712328767121"/>
    <n v="0"/>
    <n v="0"/>
    <n v="1"/>
    <n v="0"/>
    <n v="0"/>
    <n v="0"/>
    <n v="0"/>
    <n v="0"/>
    <n v="1"/>
    <n v="0"/>
    <n v="2429"/>
    <n v="2333"/>
    <n v="96"/>
    <n v="1"/>
    <x v="1"/>
    <x v="1"/>
    <x v="1"/>
    <x v="1"/>
    <x v="1"/>
    <x v="4"/>
    <n v="0"/>
    <n v="0"/>
    <n v="19"/>
    <n v="8"/>
    <n v="4"/>
    <n v="9"/>
    <n v="21"/>
    <n v="8"/>
    <x v="2"/>
  </r>
  <r>
    <x v="19"/>
    <n v="90638"/>
    <n v="0"/>
    <n v="0"/>
    <n v="29"/>
    <n v="1156"/>
    <n v="120"/>
    <n v="915"/>
    <n v="94"/>
    <n v="144"/>
    <n v="96"/>
    <n v="1"/>
    <n v="3"/>
    <n v="4"/>
    <n v="10"/>
    <n v="1"/>
    <n v="0"/>
    <n v="0"/>
    <n v="0"/>
    <n v="0"/>
    <n v="1"/>
    <x v="1"/>
    <n v="0"/>
    <n v="3"/>
    <n v="11"/>
    <n v="1"/>
    <n v="29"/>
    <n v="2295"/>
    <n v="6.2876712328767121"/>
    <n v="0"/>
    <n v="0"/>
    <n v="1"/>
    <n v="0"/>
    <n v="0"/>
    <n v="0"/>
    <n v="0"/>
    <n v="0"/>
    <n v="1"/>
    <n v="0"/>
    <n v="2429"/>
    <n v="2333"/>
    <n v="96"/>
    <n v="1"/>
    <x v="1"/>
    <x v="1"/>
    <x v="1"/>
    <x v="1"/>
    <x v="1"/>
    <x v="4"/>
    <n v="0"/>
    <n v="0"/>
    <n v="19"/>
    <n v="8"/>
    <n v="4"/>
    <n v="9"/>
    <n v="21"/>
    <n v="8"/>
    <x v="2"/>
  </r>
  <r>
    <x v="20"/>
    <n v="74918"/>
    <n v="0"/>
    <n v="0"/>
    <n v="78"/>
    <n v="972"/>
    <n v="59"/>
    <n v="913"/>
    <n v="25"/>
    <n v="19"/>
    <n v="59"/>
    <n v="1"/>
    <n v="5"/>
    <n v="9"/>
    <n v="6"/>
    <n v="3"/>
    <n v="0"/>
    <n v="0"/>
    <n v="0"/>
    <n v="0"/>
    <n v="1"/>
    <x v="1"/>
    <n v="0"/>
    <n v="3"/>
    <n v="11"/>
    <n v="0"/>
    <n v="51"/>
    <n v="2633"/>
    <n v="7.2136986301369861"/>
    <n v="0"/>
    <n v="0"/>
    <n v="0"/>
    <n v="1"/>
    <n v="0"/>
    <n v="0"/>
    <n v="0"/>
    <n v="1"/>
    <n v="0"/>
    <n v="0"/>
    <n v="1988"/>
    <n v="1929"/>
    <n v="59"/>
    <n v="1"/>
    <x v="1"/>
    <x v="1"/>
    <x v="2"/>
    <x v="0"/>
    <x v="2"/>
    <x v="1"/>
    <n v="1"/>
    <n v="0"/>
    <n v="24"/>
    <n v="3.0000000000000004"/>
    <n v="6"/>
    <n v="9"/>
    <n v="18"/>
    <n v="6"/>
    <x v="1"/>
  </r>
  <r>
    <x v="21"/>
    <n v="72159"/>
    <n v="0"/>
    <n v="0"/>
    <n v="62"/>
    <n v="322"/>
    <n v="53"/>
    <n v="899"/>
    <n v="34"/>
    <n v="40"/>
    <n v="53"/>
    <n v="1"/>
    <n v="4"/>
    <n v="6"/>
    <n v="10"/>
    <n v="2"/>
    <n v="0"/>
    <n v="0"/>
    <n v="0"/>
    <n v="0"/>
    <n v="0"/>
    <x v="0"/>
    <n v="0"/>
    <n v="3"/>
    <n v="11"/>
    <n v="0"/>
    <n v="42"/>
    <n v="2767"/>
    <n v="7.580821917808219"/>
    <n v="0"/>
    <n v="1"/>
    <n v="0"/>
    <n v="0"/>
    <n v="0"/>
    <n v="0"/>
    <n v="0"/>
    <n v="0"/>
    <n v="0"/>
    <n v="1"/>
    <n v="1348"/>
    <n v="1295"/>
    <n v="53"/>
    <n v="0"/>
    <x v="1"/>
    <x v="1"/>
    <x v="0"/>
    <x v="1"/>
    <x v="2"/>
    <x v="0"/>
    <n v="1"/>
    <n v="0"/>
    <n v="23"/>
    <n v="4"/>
    <n v="6"/>
    <n v="8"/>
    <n v="18"/>
    <n v="6"/>
    <x v="1"/>
  </r>
  <r>
    <x v="22"/>
    <n v="74985"/>
    <n v="0"/>
    <n v="0"/>
    <n v="8"/>
    <n v="587"/>
    <n v="51"/>
    <n v="898"/>
    <n v="247"/>
    <n v="0"/>
    <n v="86"/>
    <n v="1"/>
    <n v="3"/>
    <n v="6"/>
    <n v="7"/>
    <n v="2"/>
    <n v="0"/>
    <n v="0"/>
    <n v="0"/>
    <n v="0"/>
    <n v="0"/>
    <x v="0"/>
    <n v="0"/>
    <n v="3"/>
    <n v="11"/>
    <n v="0"/>
    <n v="43"/>
    <n v="2815"/>
    <n v="7.7123287671232879"/>
    <n v="0"/>
    <n v="1"/>
    <n v="0"/>
    <n v="0"/>
    <n v="0"/>
    <n v="0"/>
    <n v="0"/>
    <n v="1"/>
    <n v="0"/>
    <n v="0"/>
    <n v="1783"/>
    <n v="1697"/>
    <n v="86"/>
    <n v="0"/>
    <x v="1"/>
    <x v="1"/>
    <x v="0"/>
    <x v="0"/>
    <x v="2"/>
    <x v="0"/>
    <n v="0"/>
    <n v="0"/>
    <n v="19"/>
    <n v="10"/>
    <n v="4"/>
    <n v="9"/>
    <n v="23"/>
    <n v="8"/>
    <x v="2"/>
  </r>
  <r>
    <x v="23"/>
    <n v="95529"/>
    <n v="0"/>
    <n v="0"/>
    <n v="29"/>
    <n v="770"/>
    <n v="29"/>
    <n v="890"/>
    <n v="250"/>
    <n v="27"/>
    <n v="24"/>
    <n v="1"/>
    <n v="7"/>
    <n v="3"/>
    <n v="7"/>
    <n v="3"/>
    <n v="0"/>
    <n v="0"/>
    <n v="0"/>
    <n v="0"/>
    <n v="1"/>
    <x v="1"/>
    <n v="0"/>
    <n v="3"/>
    <n v="11"/>
    <n v="1"/>
    <n v="26"/>
    <n v="2732"/>
    <n v="7.484931506849315"/>
    <n v="0"/>
    <n v="0"/>
    <n v="1"/>
    <n v="0"/>
    <n v="0"/>
    <n v="0"/>
    <n v="0"/>
    <n v="1"/>
    <n v="0"/>
    <n v="0"/>
    <n v="1966"/>
    <n v="1942"/>
    <n v="24"/>
    <n v="1"/>
    <x v="1"/>
    <x v="1"/>
    <x v="1"/>
    <x v="0"/>
    <x v="1"/>
    <x v="4"/>
    <n v="0"/>
    <n v="0"/>
    <n v="21"/>
    <n v="8"/>
    <n v="5"/>
    <n v="9"/>
    <n v="22"/>
    <n v="8"/>
    <x v="2"/>
  </r>
  <r>
    <x v="24"/>
    <n v="72309"/>
    <n v="0"/>
    <n v="0"/>
    <n v="64"/>
    <n v="960"/>
    <n v="0"/>
    <n v="883"/>
    <n v="50"/>
    <n v="38"/>
    <n v="0"/>
    <n v="1"/>
    <n v="5"/>
    <n v="6"/>
    <n v="8"/>
    <n v="3"/>
    <n v="1"/>
    <n v="0"/>
    <n v="0"/>
    <n v="0"/>
    <n v="0"/>
    <x v="1"/>
    <n v="0"/>
    <n v="3"/>
    <n v="11"/>
    <n v="1"/>
    <n v="44"/>
    <n v="2634"/>
    <n v="7.2164383561643834"/>
    <n v="0"/>
    <n v="0"/>
    <n v="1"/>
    <n v="0"/>
    <n v="0"/>
    <n v="0"/>
    <n v="0"/>
    <n v="0"/>
    <n v="1"/>
    <n v="0"/>
    <n v="1931"/>
    <n v="1931"/>
    <n v="0"/>
    <n v="1"/>
    <x v="1"/>
    <x v="1"/>
    <x v="1"/>
    <x v="1"/>
    <x v="2"/>
    <x v="0"/>
    <n v="1"/>
    <n v="0"/>
    <n v="23"/>
    <n v="4"/>
    <n v="6"/>
    <n v="9"/>
    <n v="19"/>
    <n v="7"/>
    <x v="2"/>
  </r>
  <r>
    <x v="25"/>
    <n v="86429"/>
    <n v="0"/>
    <n v="0"/>
    <n v="10"/>
    <n v="464"/>
    <n v="28"/>
    <n v="873"/>
    <n v="29"/>
    <n v="18"/>
    <n v="37"/>
    <n v="0"/>
    <n v="7"/>
    <n v="4"/>
    <n v="7"/>
    <n v="2"/>
    <n v="1"/>
    <n v="0"/>
    <n v="0"/>
    <n v="0"/>
    <n v="0"/>
    <x v="1"/>
    <n v="0"/>
    <n v="3"/>
    <n v="11"/>
    <n v="1"/>
    <n v="59"/>
    <n v="2379"/>
    <n v="6.5178082191780824"/>
    <n v="0"/>
    <n v="0"/>
    <n v="1"/>
    <n v="0"/>
    <n v="0"/>
    <n v="0"/>
    <n v="0"/>
    <n v="1"/>
    <n v="0"/>
    <n v="0"/>
    <n v="1412"/>
    <n v="1375"/>
    <n v="37"/>
    <n v="1"/>
    <x v="1"/>
    <x v="1"/>
    <x v="1"/>
    <x v="0"/>
    <x v="1"/>
    <x v="1"/>
    <n v="0"/>
    <n v="0"/>
    <n v="20"/>
    <n v="9"/>
    <n v="4"/>
    <n v="8"/>
    <n v="21"/>
    <n v="8"/>
    <x v="2"/>
  </r>
  <r>
    <x v="26"/>
    <n v="85606"/>
    <n v="0"/>
    <n v="1"/>
    <n v="89"/>
    <n v="717"/>
    <n v="42"/>
    <n v="864"/>
    <n v="219"/>
    <n v="30"/>
    <n v="84"/>
    <n v="2"/>
    <n v="6"/>
    <n v="7"/>
    <n v="9"/>
    <n v="3"/>
    <n v="1"/>
    <n v="0"/>
    <n v="0"/>
    <n v="0"/>
    <n v="0"/>
    <x v="1"/>
    <n v="0"/>
    <n v="3"/>
    <n v="11"/>
    <n v="0"/>
    <n v="44"/>
    <n v="2753"/>
    <n v="7.5424657534246577"/>
    <n v="0"/>
    <n v="0"/>
    <n v="0"/>
    <n v="1"/>
    <n v="0"/>
    <n v="0"/>
    <n v="0"/>
    <n v="1"/>
    <n v="0"/>
    <n v="0"/>
    <n v="1872"/>
    <n v="1788"/>
    <n v="84"/>
    <n v="1"/>
    <x v="0"/>
    <x v="0"/>
    <x v="2"/>
    <x v="0"/>
    <x v="1"/>
    <x v="0"/>
    <n v="1"/>
    <n v="0"/>
    <n v="27"/>
    <n v="1.9999999999999996"/>
    <n v="7"/>
    <n v="9"/>
    <n v="18"/>
    <n v="6"/>
    <x v="1"/>
  </r>
  <r>
    <x v="27"/>
    <n v="88325"/>
    <n v="0"/>
    <n v="0"/>
    <n v="42"/>
    <n v="519"/>
    <n v="71"/>
    <n v="860"/>
    <n v="93"/>
    <n v="27"/>
    <n v="53"/>
    <n v="1"/>
    <n v="6"/>
    <n v="2"/>
    <n v="9"/>
    <n v="2"/>
    <n v="0"/>
    <n v="0"/>
    <n v="0"/>
    <n v="0"/>
    <n v="0"/>
    <x v="0"/>
    <n v="0"/>
    <n v="3"/>
    <n v="11"/>
    <n v="0"/>
    <n v="39"/>
    <n v="2303"/>
    <n v="6.3095890410958901"/>
    <n v="0"/>
    <n v="0"/>
    <n v="0"/>
    <n v="1"/>
    <n v="0"/>
    <n v="0"/>
    <n v="0"/>
    <n v="1"/>
    <n v="0"/>
    <n v="0"/>
    <n v="1570"/>
    <n v="1517"/>
    <n v="53"/>
    <n v="0"/>
    <x v="1"/>
    <x v="1"/>
    <x v="2"/>
    <x v="0"/>
    <x v="1"/>
    <x v="3"/>
    <n v="1"/>
    <n v="0"/>
    <n v="20"/>
    <n v="6"/>
    <n v="4"/>
    <n v="9"/>
    <n v="19"/>
    <n v="7"/>
    <x v="2"/>
  </r>
  <r>
    <x v="28"/>
    <n v="90273"/>
    <n v="0"/>
    <n v="0"/>
    <n v="32"/>
    <n v="704"/>
    <n v="129"/>
    <n v="853"/>
    <n v="120"/>
    <n v="74"/>
    <n v="111"/>
    <n v="1"/>
    <n v="5"/>
    <n v="6"/>
    <n v="7"/>
    <n v="2"/>
    <n v="1"/>
    <n v="0"/>
    <n v="0"/>
    <n v="1"/>
    <n v="1"/>
    <x v="1"/>
    <n v="0"/>
    <n v="3"/>
    <n v="11"/>
    <n v="1"/>
    <n v="29"/>
    <n v="2356"/>
    <n v="6.4547945205479449"/>
    <n v="0"/>
    <n v="0"/>
    <n v="1"/>
    <n v="0"/>
    <n v="0"/>
    <n v="0"/>
    <n v="0"/>
    <n v="1"/>
    <n v="0"/>
    <n v="0"/>
    <n v="1880"/>
    <n v="1769"/>
    <n v="111"/>
    <n v="3"/>
    <x v="1"/>
    <x v="1"/>
    <x v="1"/>
    <x v="0"/>
    <x v="1"/>
    <x v="4"/>
    <n v="1"/>
    <n v="0"/>
    <n v="21"/>
    <n v="7"/>
    <n v="5"/>
    <n v="9"/>
    <n v="21"/>
    <n v="8"/>
    <x v="2"/>
  </r>
  <r>
    <x v="29"/>
    <n v="78789"/>
    <n v="0"/>
    <n v="0"/>
    <n v="12"/>
    <n v="667"/>
    <n v="50"/>
    <n v="850"/>
    <n v="21"/>
    <n v="83"/>
    <n v="83"/>
    <n v="1"/>
    <n v="4"/>
    <n v="6"/>
    <n v="5"/>
    <n v="2"/>
    <n v="0"/>
    <n v="0"/>
    <n v="0"/>
    <n v="0"/>
    <n v="0"/>
    <x v="0"/>
    <n v="0"/>
    <n v="3"/>
    <n v="11"/>
    <n v="1"/>
    <n v="40"/>
    <n v="2849"/>
    <n v="7.8054794520547945"/>
    <n v="1"/>
    <n v="0"/>
    <n v="0"/>
    <n v="0"/>
    <n v="0"/>
    <n v="0"/>
    <n v="0"/>
    <n v="0"/>
    <n v="1"/>
    <n v="0"/>
    <n v="1671"/>
    <n v="1588"/>
    <n v="83"/>
    <n v="0"/>
    <x v="1"/>
    <x v="1"/>
    <x v="3"/>
    <x v="1"/>
    <x v="1"/>
    <x v="3"/>
    <n v="0"/>
    <n v="0"/>
    <n v="18"/>
    <n v="9"/>
    <n v="4"/>
    <n v="9"/>
    <n v="22"/>
    <n v="8"/>
    <x v="2"/>
  </r>
  <r>
    <x v="30"/>
    <n v="69209"/>
    <n v="0"/>
    <n v="0"/>
    <n v="4"/>
    <n v="496"/>
    <n v="32"/>
    <n v="849"/>
    <n v="229"/>
    <n v="48"/>
    <n v="128"/>
    <n v="2"/>
    <n v="5"/>
    <n v="3"/>
    <n v="6"/>
    <n v="4"/>
    <n v="1"/>
    <n v="0"/>
    <n v="0"/>
    <n v="0"/>
    <n v="0"/>
    <x v="1"/>
    <n v="0"/>
    <n v="3"/>
    <n v="11"/>
    <n v="0"/>
    <n v="48"/>
    <n v="2809"/>
    <n v="7.6958904109589037"/>
    <n v="0"/>
    <n v="1"/>
    <n v="0"/>
    <n v="0"/>
    <n v="0"/>
    <n v="0"/>
    <n v="0"/>
    <n v="1"/>
    <n v="0"/>
    <n v="0"/>
    <n v="1654"/>
    <n v="1526"/>
    <n v="128"/>
    <n v="1"/>
    <x v="1"/>
    <x v="1"/>
    <x v="0"/>
    <x v="0"/>
    <x v="2"/>
    <x v="0"/>
    <n v="0"/>
    <n v="0"/>
    <n v="20"/>
    <n v="10"/>
    <n v="4"/>
    <n v="9"/>
    <n v="23"/>
    <n v="8"/>
    <x v="2"/>
  </r>
  <r>
    <x v="31"/>
    <n v="82347"/>
    <n v="0"/>
    <n v="0"/>
    <n v="38"/>
    <n v="556"/>
    <n v="54"/>
    <n v="845"/>
    <n v="202"/>
    <n v="133"/>
    <n v="63"/>
    <n v="1"/>
    <n v="7"/>
    <n v="7"/>
    <n v="10"/>
    <n v="3"/>
    <n v="1"/>
    <n v="0"/>
    <n v="1"/>
    <n v="0"/>
    <n v="0"/>
    <x v="1"/>
    <n v="0"/>
    <n v="3"/>
    <n v="11"/>
    <n v="0"/>
    <n v="63"/>
    <n v="2759"/>
    <n v="7.558904109589041"/>
    <n v="0"/>
    <n v="1"/>
    <n v="0"/>
    <n v="0"/>
    <n v="0"/>
    <n v="1"/>
    <n v="0"/>
    <n v="0"/>
    <n v="0"/>
    <n v="0"/>
    <n v="1790"/>
    <n v="1727"/>
    <n v="63"/>
    <n v="2"/>
    <x v="1"/>
    <x v="1"/>
    <x v="0"/>
    <x v="1"/>
    <x v="1"/>
    <x v="2"/>
    <n v="1"/>
    <n v="0"/>
    <n v="28"/>
    <n v="7"/>
    <n v="8"/>
    <n v="9"/>
    <n v="24"/>
    <n v="9"/>
    <x v="0"/>
  </r>
  <r>
    <x v="32"/>
    <n v="82347"/>
    <n v="0"/>
    <n v="0"/>
    <n v="38"/>
    <n v="556"/>
    <n v="54"/>
    <n v="845"/>
    <n v="202"/>
    <n v="133"/>
    <n v="63"/>
    <n v="1"/>
    <n v="7"/>
    <n v="7"/>
    <n v="10"/>
    <n v="3"/>
    <n v="1"/>
    <n v="0"/>
    <n v="1"/>
    <n v="0"/>
    <n v="0"/>
    <x v="1"/>
    <n v="0"/>
    <n v="3"/>
    <n v="11"/>
    <n v="1"/>
    <n v="63"/>
    <n v="2759"/>
    <n v="7.558904109589041"/>
    <n v="0"/>
    <n v="1"/>
    <n v="0"/>
    <n v="0"/>
    <n v="0"/>
    <n v="1"/>
    <n v="0"/>
    <n v="0"/>
    <n v="0"/>
    <n v="0"/>
    <n v="1790"/>
    <n v="1727"/>
    <n v="63"/>
    <n v="2"/>
    <x v="1"/>
    <x v="1"/>
    <x v="0"/>
    <x v="1"/>
    <x v="1"/>
    <x v="2"/>
    <n v="1"/>
    <n v="0"/>
    <n v="28"/>
    <n v="7"/>
    <n v="8"/>
    <n v="9"/>
    <n v="24"/>
    <n v="9"/>
    <x v="0"/>
  </r>
  <r>
    <x v="33"/>
    <n v="85844"/>
    <n v="0"/>
    <n v="0"/>
    <n v="62"/>
    <n v="938"/>
    <n v="19"/>
    <n v="843"/>
    <n v="25"/>
    <n v="95"/>
    <n v="38"/>
    <n v="1"/>
    <n v="6"/>
    <n v="6"/>
    <n v="7"/>
    <n v="2"/>
    <n v="0"/>
    <n v="0"/>
    <n v="0"/>
    <n v="0"/>
    <n v="1"/>
    <x v="1"/>
    <n v="0"/>
    <n v="3"/>
    <n v="11"/>
    <n v="0"/>
    <n v="47"/>
    <n v="2190"/>
    <n v="6"/>
    <n v="0"/>
    <n v="1"/>
    <n v="0"/>
    <n v="0"/>
    <n v="0"/>
    <n v="0"/>
    <n v="0"/>
    <n v="0"/>
    <n v="0"/>
    <n v="1"/>
    <n v="1920"/>
    <n v="1882"/>
    <n v="38"/>
    <n v="1"/>
    <x v="1"/>
    <x v="1"/>
    <x v="0"/>
    <x v="1"/>
    <x v="1"/>
    <x v="0"/>
    <n v="1"/>
    <n v="0"/>
    <n v="22"/>
    <n v="4"/>
    <n v="5"/>
    <n v="9"/>
    <n v="18"/>
    <n v="6"/>
    <x v="1"/>
  </r>
  <r>
    <x v="34"/>
    <n v="75345"/>
    <n v="0"/>
    <n v="0"/>
    <n v="16"/>
    <n v="918"/>
    <n v="57"/>
    <n v="842"/>
    <n v="99"/>
    <n v="38"/>
    <n v="133"/>
    <n v="1"/>
    <n v="5"/>
    <n v="8"/>
    <n v="6"/>
    <n v="3"/>
    <n v="1"/>
    <n v="0"/>
    <n v="0"/>
    <n v="0"/>
    <n v="0"/>
    <x v="1"/>
    <n v="0"/>
    <n v="3"/>
    <n v="11"/>
    <n v="1"/>
    <n v="50"/>
    <n v="2671"/>
    <n v="7.3178082191780822"/>
    <n v="0"/>
    <n v="0"/>
    <n v="1"/>
    <n v="0"/>
    <n v="0"/>
    <n v="0"/>
    <n v="0"/>
    <n v="0"/>
    <n v="1"/>
    <n v="0"/>
    <n v="1954"/>
    <n v="1821"/>
    <n v="133"/>
    <n v="1"/>
    <x v="1"/>
    <x v="1"/>
    <x v="1"/>
    <x v="1"/>
    <x v="1"/>
    <x v="0"/>
    <n v="0"/>
    <n v="0"/>
    <n v="23"/>
    <n v="9"/>
    <n v="6"/>
    <n v="9"/>
    <n v="24"/>
    <n v="9"/>
    <x v="0"/>
  </r>
  <r>
    <x v="35"/>
    <n v="83151"/>
    <n v="0"/>
    <n v="0"/>
    <n v="80"/>
    <n v="968"/>
    <n v="147"/>
    <n v="842"/>
    <n v="137"/>
    <n v="42"/>
    <n v="210"/>
    <n v="1"/>
    <n v="5"/>
    <n v="7"/>
    <n v="10"/>
    <n v="2"/>
    <n v="1"/>
    <n v="0"/>
    <n v="1"/>
    <n v="0"/>
    <n v="1"/>
    <x v="1"/>
    <n v="0"/>
    <n v="3"/>
    <n v="11"/>
    <n v="1"/>
    <n v="48"/>
    <n v="2663"/>
    <n v="7.2958904109589042"/>
    <n v="0"/>
    <n v="1"/>
    <n v="0"/>
    <n v="0"/>
    <n v="0"/>
    <n v="0"/>
    <n v="0"/>
    <n v="0"/>
    <n v="1"/>
    <n v="0"/>
    <n v="2136"/>
    <n v="1926"/>
    <n v="210"/>
    <n v="3"/>
    <x v="1"/>
    <x v="1"/>
    <x v="0"/>
    <x v="1"/>
    <x v="1"/>
    <x v="0"/>
    <n v="1"/>
    <n v="0"/>
    <n v="25"/>
    <n v="1.9999999999999996"/>
    <n v="7"/>
    <n v="9"/>
    <n v="18"/>
    <n v="6"/>
    <x v="1"/>
  </r>
  <r>
    <x v="36"/>
    <n v="86857"/>
    <n v="0"/>
    <n v="0"/>
    <n v="96"/>
    <n v="899"/>
    <n v="102"/>
    <n v="838"/>
    <n v="133"/>
    <n v="102"/>
    <n v="40"/>
    <n v="1"/>
    <n v="5"/>
    <n v="6"/>
    <n v="10"/>
    <n v="2"/>
    <n v="0"/>
    <n v="0"/>
    <n v="0"/>
    <n v="0"/>
    <n v="0"/>
    <x v="0"/>
    <n v="0"/>
    <n v="3"/>
    <n v="11"/>
    <n v="1"/>
    <n v="48"/>
    <n v="2814"/>
    <n v="7.7095890410958905"/>
    <n v="0"/>
    <n v="0"/>
    <n v="1"/>
    <n v="0"/>
    <n v="0"/>
    <n v="0"/>
    <n v="0"/>
    <n v="0"/>
    <n v="0"/>
    <n v="1"/>
    <n v="2074"/>
    <n v="2034"/>
    <n v="40"/>
    <n v="0"/>
    <x v="1"/>
    <x v="1"/>
    <x v="1"/>
    <x v="1"/>
    <x v="1"/>
    <x v="0"/>
    <n v="1"/>
    <n v="1"/>
    <n v="24"/>
    <n v="0.99999999999999978"/>
    <n v="6"/>
    <n v="9"/>
    <n v="16"/>
    <n v="5"/>
    <x v="1"/>
  </r>
  <r>
    <x v="37"/>
    <n v="83512"/>
    <n v="0"/>
    <n v="0"/>
    <n v="31"/>
    <n v="1060"/>
    <n v="61"/>
    <n v="835"/>
    <n v="80"/>
    <n v="20"/>
    <n v="101"/>
    <n v="1"/>
    <n v="4"/>
    <n v="7"/>
    <n v="10"/>
    <n v="1"/>
    <n v="1"/>
    <n v="1"/>
    <n v="1"/>
    <n v="0"/>
    <n v="1"/>
    <x v="1"/>
    <n v="0"/>
    <n v="3"/>
    <n v="11"/>
    <n v="1"/>
    <n v="34"/>
    <n v="2171"/>
    <n v="5.9479452054794519"/>
    <n v="0"/>
    <n v="1"/>
    <n v="0"/>
    <n v="0"/>
    <n v="0"/>
    <n v="0"/>
    <n v="0"/>
    <n v="1"/>
    <n v="0"/>
    <n v="0"/>
    <n v="2056"/>
    <n v="1955"/>
    <n v="101"/>
    <n v="4"/>
    <x v="1"/>
    <x v="1"/>
    <x v="0"/>
    <x v="0"/>
    <x v="1"/>
    <x v="3"/>
    <n v="1"/>
    <n v="0"/>
    <n v="23"/>
    <n v="7"/>
    <n v="6"/>
    <n v="9"/>
    <n v="22"/>
    <n v="8"/>
    <x v="2"/>
  </r>
  <r>
    <x v="38"/>
    <n v="86979"/>
    <n v="0"/>
    <n v="0"/>
    <n v="67"/>
    <n v="584"/>
    <n v="100"/>
    <n v="835"/>
    <n v="65"/>
    <n v="83"/>
    <n v="35"/>
    <n v="1"/>
    <n v="5"/>
    <n v="5"/>
    <n v="5"/>
    <n v="2"/>
    <n v="0"/>
    <n v="0"/>
    <n v="1"/>
    <n v="0"/>
    <n v="0"/>
    <x v="1"/>
    <n v="0"/>
    <n v="3"/>
    <n v="11"/>
    <n v="1"/>
    <n v="49"/>
    <n v="2393"/>
    <n v="6.5561643835616437"/>
    <n v="1"/>
    <n v="0"/>
    <n v="0"/>
    <n v="0"/>
    <n v="0"/>
    <n v="0"/>
    <n v="0"/>
    <n v="0"/>
    <n v="0"/>
    <n v="1"/>
    <n v="1667"/>
    <n v="1632"/>
    <n v="35"/>
    <n v="1"/>
    <x v="1"/>
    <x v="1"/>
    <x v="3"/>
    <x v="1"/>
    <x v="1"/>
    <x v="0"/>
    <n v="1"/>
    <n v="0"/>
    <n v="18"/>
    <n v="4"/>
    <n v="4"/>
    <n v="9"/>
    <n v="17"/>
    <n v="6"/>
    <x v="1"/>
  </r>
  <r>
    <x v="39"/>
    <n v="68655"/>
    <n v="0"/>
    <n v="0"/>
    <n v="95"/>
    <n v="456"/>
    <n v="19"/>
    <n v="832"/>
    <n v="75"/>
    <n v="118"/>
    <n v="38"/>
    <n v="1"/>
    <n v="4"/>
    <n v="5"/>
    <n v="11"/>
    <n v="3"/>
    <n v="0"/>
    <n v="0"/>
    <n v="0"/>
    <n v="0"/>
    <n v="0"/>
    <x v="0"/>
    <n v="0"/>
    <n v="3"/>
    <n v="11"/>
    <n v="0"/>
    <n v="32"/>
    <n v="2847"/>
    <n v="7.8"/>
    <n v="0"/>
    <n v="0"/>
    <n v="1"/>
    <n v="0"/>
    <n v="0"/>
    <n v="0"/>
    <n v="0"/>
    <n v="1"/>
    <n v="0"/>
    <n v="0"/>
    <n v="1500"/>
    <n v="1462"/>
    <n v="38"/>
    <n v="0"/>
    <x v="1"/>
    <x v="1"/>
    <x v="1"/>
    <x v="0"/>
    <x v="2"/>
    <x v="3"/>
    <n v="1"/>
    <n v="1"/>
    <n v="24"/>
    <n v="0.99999999999999978"/>
    <n v="6"/>
    <n v="9"/>
    <n v="16"/>
    <n v="5"/>
    <x v="1"/>
  </r>
  <r>
    <x v="40"/>
    <n v="69930"/>
    <n v="0"/>
    <n v="0"/>
    <n v="21"/>
    <n v="252"/>
    <n v="98"/>
    <n v="827"/>
    <n v="219"/>
    <n v="70"/>
    <n v="196"/>
    <n v="1"/>
    <n v="4"/>
    <n v="5"/>
    <n v="12"/>
    <n v="3"/>
    <n v="0"/>
    <n v="0"/>
    <n v="0"/>
    <n v="0"/>
    <n v="0"/>
    <x v="0"/>
    <n v="0"/>
    <n v="3"/>
    <n v="11"/>
    <n v="0"/>
    <n v="49"/>
    <n v="2558"/>
    <n v="7.0082191780821921"/>
    <n v="0"/>
    <n v="0"/>
    <n v="0"/>
    <n v="1"/>
    <n v="0"/>
    <n v="0"/>
    <n v="0"/>
    <n v="1"/>
    <n v="0"/>
    <n v="0"/>
    <n v="1466"/>
    <n v="1270"/>
    <n v="196"/>
    <n v="0"/>
    <x v="1"/>
    <x v="1"/>
    <x v="2"/>
    <x v="0"/>
    <x v="2"/>
    <x v="0"/>
    <n v="0"/>
    <n v="0"/>
    <n v="25"/>
    <n v="8"/>
    <n v="7"/>
    <n v="8"/>
    <n v="23"/>
    <n v="8"/>
    <x v="2"/>
  </r>
  <r>
    <x v="41"/>
    <n v="63998"/>
    <n v="0"/>
    <n v="0"/>
    <n v="42"/>
    <n v="176"/>
    <n v="29"/>
    <n v="818"/>
    <n v="0"/>
    <n v="33"/>
    <n v="112"/>
    <n v="1"/>
    <n v="7"/>
    <n v="6"/>
    <n v="11"/>
    <n v="4"/>
    <n v="0"/>
    <n v="0"/>
    <n v="0"/>
    <n v="0"/>
    <n v="0"/>
    <x v="0"/>
    <n v="0"/>
    <n v="3"/>
    <n v="11"/>
    <n v="1"/>
    <n v="68"/>
    <n v="2350"/>
    <n v="6.4383561643835616"/>
    <n v="1"/>
    <n v="0"/>
    <n v="0"/>
    <n v="0"/>
    <n v="0"/>
    <n v="1"/>
    <n v="0"/>
    <n v="0"/>
    <n v="0"/>
    <n v="0"/>
    <n v="1056"/>
    <n v="944"/>
    <n v="112"/>
    <n v="0"/>
    <x v="1"/>
    <x v="1"/>
    <x v="3"/>
    <x v="1"/>
    <x v="2"/>
    <x v="2"/>
    <n v="1"/>
    <n v="0"/>
    <n v="29"/>
    <n v="6"/>
    <n v="8"/>
    <n v="7"/>
    <n v="21"/>
    <n v="8"/>
    <x v="2"/>
  </r>
  <r>
    <x v="42"/>
    <n v="78618"/>
    <n v="0"/>
    <n v="0"/>
    <n v="87"/>
    <n v="736"/>
    <n v="163"/>
    <n v="818"/>
    <n v="212"/>
    <n v="163"/>
    <n v="61"/>
    <n v="1"/>
    <n v="4"/>
    <n v="7"/>
    <n v="10"/>
    <n v="2"/>
    <n v="0"/>
    <n v="0"/>
    <n v="0"/>
    <n v="1"/>
    <n v="0"/>
    <x v="1"/>
    <n v="0"/>
    <n v="3"/>
    <n v="11"/>
    <n v="0"/>
    <n v="63"/>
    <n v="2798"/>
    <n v="7.6657534246575345"/>
    <n v="0"/>
    <n v="1"/>
    <n v="0"/>
    <n v="0"/>
    <n v="0"/>
    <n v="0"/>
    <n v="0"/>
    <n v="1"/>
    <n v="0"/>
    <n v="0"/>
    <n v="2092"/>
    <n v="2031"/>
    <n v="61"/>
    <n v="1"/>
    <x v="1"/>
    <x v="1"/>
    <x v="0"/>
    <x v="0"/>
    <x v="1"/>
    <x v="2"/>
    <n v="1"/>
    <n v="0"/>
    <n v="24"/>
    <n v="1.9999999999999996"/>
    <n v="6"/>
    <n v="9"/>
    <n v="17"/>
    <n v="6"/>
    <x v="1"/>
  </r>
  <r>
    <x v="43"/>
    <n v="91172"/>
    <n v="0"/>
    <n v="0"/>
    <n v="94"/>
    <n v="162"/>
    <n v="28"/>
    <n v="818"/>
    <n v="0"/>
    <n v="28"/>
    <n v="56"/>
    <n v="0"/>
    <n v="4"/>
    <n v="3"/>
    <n v="7"/>
    <n v="3"/>
    <n v="1"/>
    <n v="1"/>
    <n v="1"/>
    <n v="0"/>
    <n v="1"/>
    <x v="1"/>
    <n v="0"/>
    <n v="3"/>
    <n v="11"/>
    <n v="1"/>
    <n v="30"/>
    <n v="2618"/>
    <n v="7.1726027397260275"/>
    <n v="0"/>
    <n v="0"/>
    <n v="1"/>
    <n v="0"/>
    <n v="0"/>
    <n v="0"/>
    <n v="0"/>
    <n v="0"/>
    <n v="1"/>
    <n v="0"/>
    <n v="1036"/>
    <n v="980"/>
    <n v="56"/>
    <n v="4"/>
    <x v="1"/>
    <x v="1"/>
    <x v="1"/>
    <x v="1"/>
    <x v="1"/>
    <x v="4"/>
    <n v="1"/>
    <n v="1"/>
    <n v="17"/>
    <n v="0.99999999999999978"/>
    <n v="3"/>
    <n v="7"/>
    <n v="11"/>
    <n v="2"/>
    <x v="3"/>
  </r>
  <r>
    <x v="44"/>
    <n v="64260"/>
    <n v="0"/>
    <n v="0"/>
    <n v="1"/>
    <n v="539"/>
    <n v="169"/>
    <n v="816"/>
    <n v="20"/>
    <n v="0"/>
    <n v="30"/>
    <n v="1"/>
    <n v="4"/>
    <n v="5"/>
    <n v="4"/>
    <n v="3"/>
    <n v="0"/>
    <n v="0"/>
    <n v="0"/>
    <n v="0"/>
    <n v="0"/>
    <x v="0"/>
    <n v="0"/>
    <n v="3"/>
    <n v="11"/>
    <n v="1"/>
    <n v="59"/>
    <n v="2693"/>
    <n v="7.3780821917808215"/>
    <n v="0"/>
    <n v="0"/>
    <n v="0"/>
    <n v="1"/>
    <n v="0"/>
    <n v="0"/>
    <n v="0"/>
    <n v="1"/>
    <n v="0"/>
    <n v="0"/>
    <n v="1544"/>
    <n v="1514"/>
    <n v="30"/>
    <n v="0"/>
    <x v="1"/>
    <x v="1"/>
    <x v="2"/>
    <x v="0"/>
    <x v="2"/>
    <x v="1"/>
    <n v="0"/>
    <n v="0"/>
    <n v="17"/>
    <n v="10"/>
    <n v="3"/>
    <n v="9"/>
    <n v="22"/>
    <n v="8"/>
    <x v="2"/>
  </r>
  <r>
    <x v="45"/>
    <n v="74485"/>
    <n v="0"/>
    <n v="0"/>
    <n v="58"/>
    <n v="499"/>
    <n v="149"/>
    <n v="815"/>
    <n v="173"/>
    <n v="49"/>
    <n v="49"/>
    <n v="1"/>
    <n v="6"/>
    <n v="7"/>
    <n v="12"/>
    <n v="3"/>
    <n v="0"/>
    <n v="0"/>
    <n v="0"/>
    <n v="0"/>
    <n v="0"/>
    <x v="0"/>
    <n v="0"/>
    <n v="3"/>
    <n v="11"/>
    <n v="0"/>
    <n v="73"/>
    <n v="2468"/>
    <n v="6.7616438356164386"/>
    <n v="0"/>
    <n v="0"/>
    <n v="0"/>
    <n v="1"/>
    <n v="0"/>
    <n v="0"/>
    <n v="0"/>
    <n v="1"/>
    <n v="0"/>
    <n v="0"/>
    <n v="1685"/>
    <n v="1636"/>
    <n v="49"/>
    <n v="0"/>
    <x v="1"/>
    <x v="1"/>
    <x v="2"/>
    <x v="0"/>
    <x v="2"/>
    <x v="2"/>
    <n v="1"/>
    <n v="0"/>
    <n v="29"/>
    <n v="5"/>
    <n v="8"/>
    <n v="9"/>
    <n v="22"/>
    <n v="8"/>
    <x v="2"/>
  </r>
  <r>
    <x v="46"/>
    <n v="79530"/>
    <n v="0"/>
    <n v="0"/>
    <n v="64"/>
    <n v="333"/>
    <n v="0"/>
    <n v="815"/>
    <n v="129"/>
    <n v="42"/>
    <n v="29"/>
    <n v="1"/>
    <n v="4"/>
    <n v="10"/>
    <n v="11"/>
    <n v="2"/>
    <n v="0"/>
    <n v="0"/>
    <n v="0"/>
    <n v="0"/>
    <n v="0"/>
    <x v="0"/>
    <n v="0"/>
    <n v="3"/>
    <n v="11"/>
    <n v="0"/>
    <n v="60"/>
    <n v="2567"/>
    <n v="7.0328767123287674"/>
    <n v="0"/>
    <n v="1"/>
    <n v="0"/>
    <n v="0"/>
    <n v="0"/>
    <n v="0"/>
    <n v="0"/>
    <n v="1"/>
    <n v="0"/>
    <n v="0"/>
    <n v="1319"/>
    <n v="1290"/>
    <n v="29"/>
    <n v="0"/>
    <x v="1"/>
    <x v="1"/>
    <x v="0"/>
    <x v="0"/>
    <x v="1"/>
    <x v="1"/>
    <n v="1"/>
    <n v="0"/>
    <n v="28"/>
    <n v="4"/>
    <n v="8"/>
    <n v="8"/>
    <n v="20"/>
    <n v="7"/>
    <x v="2"/>
  </r>
  <r>
    <x v="47"/>
    <n v="87679"/>
    <n v="0"/>
    <n v="0"/>
    <n v="62"/>
    <n v="1259"/>
    <n v="172"/>
    <n v="815"/>
    <n v="97"/>
    <n v="148"/>
    <n v="33"/>
    <n v="1"/>
    <n v="7"/>
    <n v="11"/>
    <n v="10"/>
    <n v="4"/>
    <n v="1"/>
    <n v="0"/>
    <n v="1"/>
    <n v="0"/>
    <n v="1"/>
    <x v="1"/>
    <n v="0"/>
    <n v="3"/>
    <n v="11"/>
    <n v="1"/>
    <n v="32"/>
    <n v="2496"/>
    <n v="6.838356164383562"/>
    <n v="0"/>
    <n v="0"/>
    <n v="0"/>
    <n v="1"/>
    <n v="0"/>
    <n v="0"/>
    <n v="0"/>
    <n v="1"/>
    <n v="0"/>
    <n v="0"/>
    <n v="2491"/>
    <n v="2458"/>
    <n v="33"/>
    <n v="3"/>
    <x v="1"/>
    <x v="1"/>
    <x v="2"/>
    <x v="0"/>
    <x v="1"/>
    <x v="3"/>
    <n v="1"/>
    <n v="0"/>
    <n v="33"/>
    <n v="4"/>
    <n v="9"/>
    <n v="10"/>
    <n v="23"/>
    <n v="8"/>
    <x v="2"/>
  </r>
  <r>
    <x v="48"/>
    <n v="80067"/>
    <n v="0"/>
    <n v="0"/>
    <n v="82"/>
    <n v="519"/>
    <n v="17"/>
    <n v="813"/>
    <n v="27"/>
    <n v="173"/>
    <n v="51"/>
    <n v="1"/>
    <n v="4"/>
    <n v="6"/>
    <n v="6"/>
    <n v="2"/>
    <n v="0"/>
    <n v="0"/>
    <n v="0"/>
    <n v="0"/>
    <n v="1"/>
    <x v="1"/>
    <n v="0"/>
    <n v="3"/>
    <n v="11"/>
    <n v="0"/>
    <n v="66"/>
    <n v="2442"/>
    <n v="6.6904109589041099"/>
    <n v="0"/>
    <n v="1"/>
    <n v="0"/>
    <n v="0"/>
    <n v="0"/>
    <n v="0"/>
    <n v="0"/>
    <n v="1"/>
    <n v="0"/>
    <n v="0"/>
    <n v="1549"/>
    <n v="1498"/>
    <n v="51"/>
    <n v="1"/>
    <x v="1"/>
    <x v="1"/>
    <x v="0"/>
    <x v="0"/>
    <x v="1"/>
    <x v="2"/>
    <n v="1"/>
    <n v="0"/>
    <n v="19"/>
    <n v="1.9999999999999996"/>
    <n v="4"/>
    <n v="9"/>
    <n v="15"/>
    <n v="4"/>
    <x v="3"/>
  </r>
  <r>
    <x v="49"/>
    <n v="90765"/>
    <n v="0"/>
    <n v="0"/>
    <n v="25"/>
    <n v="547"/>
    <n v="99"/>
    <n v="812"/>
    <n v="151"/>
    <n v="82"/>
    <n v="33"/>
    <n v="0"/>
    <n v="4"/>
    <n v="6"/>
    <n v="5"/>
    <n v="1"/>
    <n v="1"/>
    <n v="0"/>
    <n v="0"/>
    <n v="0"/>
    <n v="1"/>
    <x v="1"/>
    <n v="0"/>
    <n v="3"/>
    <n v="11"/>
    <n v="0"/>
    <n v="50"/>
    <n v="2315"/>
    <n v="6.3424657534246576"/>
    <n v="0"/>
    <n v="1"/>
    <n v="0"/>
    <n v="0"/>
    <n v="0"/>
    <n v="0"/>
    <n v="0"/>
    <n v="1"/>
    <n v="0"/>
    <n v="0"/>
    <n v="1691"/>
    <n v="1658"/>
    <n v="33"/>
    <n v="2"/>
    <x v="1"/>
    <x v="1"/>
    <x v="0"/>
    <x v="0"/>
    <x v="1"/>
    <x v="0"/>
    <n v="0"/>
    <n v="0"/>
    <n v="16"/>
    <n v="8"/>
    <n v="3"/>
    <n v="9"/>
    <n v="20"/>
    <n v="7"/>
    <x v="2"/>
  </r>
  <r>
    <x v="50"/>
    <n v="76412"/>
    <n v="0"/>
    <n v="0"/>
    <n v="15"/>
    <n v="840"/>
    <n v="53"/>
    <n v="804"/>
    <n v="23"/>
    <n v="71"/>
    <n v="17"/>
    <n v="1"/>
    <n v="5"/>
    <n v="4"/>
    <n v="8"/>
    <n v="3"/>
    <n v="1"/>
    <n v="0"/>
    <n v="0"/>
    <n v="0"/>
    <n v="1"/>
    <x v="1"/>
    <n v="0"/>
    <n v="3"/>
    <n v="11"/>
    <n v="1"/>
    <n v="40"/>
    <n v="2579"/>
    <n v="7.065753424657534"/>
    <n v="0"/>
    <n v="0"/>
    <n v="1"/>
    <n v="0"/>
    <n v="0"/>
    <n v="0"/>
    <n v="0"/>
    <n v="0"/>
    <n v="0"/>
    <n v="1"/>
    <n v="1791"/>
    <n v="1774"/>
    <n v="17"/>
    <n v="2"/>
    <x v="1"/>
    <x v="1"/>
    <x v="1"/>
    <x v="1"/>
    <x v="1"/>
    <x v="3"/>
    <n v="0"/>
    <n v="0"/>
    <n v="21"/>
    <n v="9"/>
    <n v="5"/>
    <n v="9"/>
    <n v="23"/>
    <n v="8"/>
    <x v="2"/>
  </r>
  <r>
    <x v="51"/>
    <n v="84618"/>
    <n v="0"/>
    <n v="0"/>
    <n v="96"/>
    <n v="684"/>
    <n v="100"/>
    <n v="801"/>
    <n v="21"/>
    <n v="66"/>
    <n v="0"/>
    <n v="1"/>
    <n v="6"/>
    <n v="9"/>
    <n v="10"/>
    <n v="2"/>
    <n v="0"/>
    <n v="0"/>
    <n v="0"/>
    <n v="0"/>
    <n v="1"/>
    <x v="1"/>
    <n v="0"/>
    <n v="3"/>
    <n v="11"/>
    <n v="0"/>
    <n v="55"/>
    <n v="2378"/>
    <n v="6.515068493150685"/>
    <n v="0"/>
    <n v="1"/>
    <n v="0"/>
    <n v="0"/>
    <n v="0"/>
    <n v="0"/>
    <n v="0"/>
    <n v="0"/>
    <n v="0"/>
    <n v="1"/>
    <n v="1672"/>
    <n v="1672"/>
    <n v="0"/>
    <n v="1"/>
    <x v="1"/>
    <x v="1"/>
    <x v="0"/>
    <x v="1"/>
    <x v="1"/>
    <x v="1"/>
    <n v="1"/>
    <n v="1"/>
    <n v="28"/>
    <n v="0.99999999999999978"/>
    <n v="8"/>
    <n v="9"/>
    <n v="18"/>
    <n v="6"/>
    <x v="1"/>
  </r>
  <r>
    <x v="52"/>
    <n v="92163"/>
    <n v="0"/>
    <n v="0"/>
    <n v="25"/>
    <n v="817"/>
    <n v="183"/>
    <n v="797"/>
    <n v="106"/>
    <n v="163"/>
    <n v="20"/>
    <n v="0"/>
    <n v="5"/>
    <n v="11"/>
    <n v="5"/>
    <n v="2"/>
    <n v="1"/>
    <n v="0"/>
    <n v="0"/>
    <n v="0"/>
    <n v="1"/>
    <x v="1"/>
    <n v="0"/>
    <n v="3"/>
    <n v="11"/>
    <n v="1"/>
    <n v="45"/>
    <n v="2723"/>
    <n v="7.4602739726027396"/>
    <n v="0"/>
    <n v="1"/>
    <n v="0"/>
    <n v="0"/>
    <n v="0"/>
    <n v="0"/>
    <n v="0"/>
    <n v="0"/>
    <n v="1"/>
    <n v="0"/>
    <n v="2066"/>
    <n v="2046"/>
    <n v="20"/>
    <n v="2"/>
    <x v="1"/>
    <x v="1"/>
    <x v="0"/>
    <x v="1"/>
    <x v="1"/>
    <x v="0"/>
    <n v="0"/>
    <n v="0"/>
    <n v="23"/>
    <n v="8"/>
    <n v="6"/>
    <n v="9"/>
    <n v="23"/>
    <n v="8"/>
    <x v="2"/>
  </r>
  <r>
    <x v="53"/>
    <n v="94642"/>
    <n v="0"/>
    <n v="0"/>
    <n v="35"/>
    <n v="879"/>
    <n v="143"/>
    <n v="797"/>
    <n v="106"/>
    <n v="143"/>
    <n v="143"/>
    <n v="0"/>
    <n v="5"/>
    <n v="7"/>
    <n v="9"/>
    <n v="1"/>
    <n v="1"/>
    <n v="0"/>
    <n v="0"/>
    <n v="0"/>
    <n v="1"/>
    <x v="1"/>
    <n v="0"/>
    <n v="3"/>
    <n v="11"/>
    <n v="0"/>
    <n v="69"/>
    <n v="2296"/>
    <n v="6.2904109589041095"/>
    <n v="0"/>
    <n v="1"/>
    <n v="0"/>
    <n v="0"/>
    <n v="0"/>
    <n v="0"/>
    <n v="0"/>
    <n v="1"/>
    <n v="0"/>
    <n v="0"/>
    <n v="2068"/>
    <n v="1925"/>
    <n v="143"/>
    <n v="2"/>
    <x v="1"/>
    <x v="1"/>
    <x v="0"/>
    <x v="0"/>
    <x v="1"/>
    <x v="2"/>
    <n v="1"/>
    <n v="0"/>
    <n v="22"/>
    <n v="7"/>
    <n v="5"/>
    <n v="9"/>
    <n v="21"/>
    <n v="8"/>
    <x v="2"/>
  </r>
  <r>
    <x v="54"/>
    <n v="92910"/>
    <n v="0"/>
    <n v="0"/>
    <n v="42"/>
    <n v="551"/>
    <n v="137"/>
    <n v="792"/>
    <n v="179"/>
    <n v="103"/>
    <n v="33"/>
    <n v="1"/>
    <n v="6"/>
    <n v="7"/>
    <n v="13"/>
    <n v="1"/>
    <n v="1"/>
    <n v="0"/>
    <n v="0"/>
    <n v="1"/>
    <n v="1"/>
    <x v="1"/>
    <n v="0"/>
    <n v="3"/>
    <n v="11"/>
    <n v="0"/>
    <n v="34"/>
    <n v="2225"/>
    <n v="6.095890410958904"/>
    <n v="0"/>
    <n v="1"/>
    <n v="0"/>
    <n v="0"/>
    <n v="0"/>
    <n v="0"/>
    <n v="0"/>
    <n v="1"/>
    <n v="0"/>
    <n v="0"/>
    <n v="1762"/>
    <n v="1729"/>
    <n v="33"/>
    <n v="3"/>
    <x v="1"/>
    <x v="1"/>
    <x v="0"/>
    <x v="0"/>
    <x v="1"/>
    <x v="3"/>
    <n v="1"/>
    <n v="0"/>
    <n v="28"/>
    <n v="6"/>
    <n v="8"/>
    <n v="9"/>
    <n v="23"/>
    <n v="8"/>
    <x v="2"/>
  </r>
  <r>
    <x v="55"/>
    <n v="94384"/>
    <n v="0"/>
    <n v="0"/>
    <n v="62"/>
    <n v="1111"/>
    <n v="24"/>
    <n v="790"/>
    <n v="160"/>
    <n v="45"/>
    <n v="172"/>
    <n v="0"/>
    <n v="5"/>
    <n v="8"/>
    <n v="5"/>
    <n v="2"/>
    <n v="1"/>
    <n v="0"/>
    <n v="0"/>
    <n v="1"/>
    <n v="1"/>
    <x v="1"/>
    <n v="0"/>
    <n v="3"/>
    <n v="11"/>
    <n v="1"/>
    <n v="67"/>
    <n v="2641"/>
    <n v="7.2356164383561641"/>
    <n v="0"/>
    <n v="0"/>
    <n v="0"/>
    <n v="1"/>
    <n v="0"/>
    <n v="0"/>
    <n v="0"/>
    <n v="1"/>
    <n v="0"/>
    <n v="0"/>
    <n v="2130"/>
    <n v="1958"/>
    <n v="172"/>
    <n v="3"/>
    <x v="1"/>
    <x v="1"/>
    <x v="2"/>
    <x v="0"/>
    <x v="1"/>
    <x v="2"/>
    <n v="1"/>
    <n v="0"/>
    <n v="20"/>
    <n v="4"/>
    <n v="4"/>
    <n v="9"/>
    <n v="17"/>
    <n v="6"/>
    <x v="1"/>
  </r>
  <r>
    <x v="56"/>
    <n v="90300"/>
    <n v="0"/>
    <n v="0"/>
    <n v="7"/>
    <n v="594"/>
    <n v="134"/>
    <n v="786"/>
    <n v="33"/>
    <n v="134"/>
    <n v="57"/>
    <n v="0"/>
    <n v="5"/>
    <n v="6"/>
    <n v="8"/>
    <n v="1"/>
    <n v="0"/>
    <n v="0"/>
    <n v="0"/>
    <n v="0"/>
    <n v="1"/>
    <x v="1"/>
    <n v="0"/>
    <n v="3"/>
    <n v="11"/>
    <n v="0"/>
    <n v="41"/>
    <n v="2336"/>
    <n v="6.4"/>
    <n v="0"/>
    <n v="0"/>
    <n v="0"/>
    <n v="1"/>
    <n v="0"/>
    <n v="0"/>
    <n v="0"/>
    <n v="1"/>
    <n v="0"/>
    <n v="0"/>
    <n v="1681"/>
    <n v="1624"/>
    <n v="57"/>
    <n v="1"/>
    <x v="1"/>
    <x v="1"/>
    <x v="2"/>
    <x v="0"/>
    <x v="1"/>
    <x v="0"/>
    <n v="0"/>
    <n v="0"/>
    <n v="20"/>
    <n v="10"/>
    <n v="4"/>
    <n v="9"/>
    <n v="23"/>
    <n v="8"/>
    <x v="2"/>
  </r>
  <r>
    <x v="57"/>
    <n v="68462"/>
    <n v="0"/>
    <n v="0"/>
    <n v="6"/>
    <n v="561"/>
    <n v="64"/>
    <n v="785"/>
    <n v="84"/>
    <n v="128"/>
    <n v="48"/>
    <n v="1"/>
    <n v="3"/>
    <n v="3"/>
    <n v="8"/>
    <n v="1"/>
    <n v="0"/>
    <n v="0"/>
    <n v="0"/>
    <n v="0"/>
    <n v="0"/>
    <x v="0"/>
    <n v="0"/>
    <n v="3"/>
    <n v="11"/>
    <n v="0"/>
    <n v="51"/>
    <n v="2723"/>
    <n v="7.4602739726027396"/>
    <n v="0"/>
    <n v="1"/>
    <n v="0"/>
    <n v="0"/>
    <n v="0"/>
    <n v="0"/>
    <n v="0"/>
    <n v="0"/>
    <n v="0"/>
    <n v="1"/>
    <n v="1622"/>
    <n v="1574"/>
    <n v="48"/>
    <n v="0"/>
    <x v="1"/>
    <x v="1"/>
    <x v="0"/>
    <x v="1"/>
    <x v="2"/>
    <x v="1"/>
    <n v="0"/>
    <n v="0"/>
    <n v="16"/>
    <n v="10"/>
    <n v="3"/>
    <n v="9"/>
    <n v="22"/>
    <n v="8"/>
    <x v="2"/>
  </r>
  <r>
    <x v="58"/>
    <n v="69098"/>
    <n v="0"/>
    <n v="0"/>
    <n v="82"/>
    <n v="1315"/>
    <n v="22"/>
    <n v="780"/>
    <n v="145"/>
    <n v="0"/>
    <n v="178"/>
    <n v="1"/>
    <n v="7"/>
    <n v="8"/>
    <n v="9"/>
    <n v="5"/>
    <n v="0"/>
    <n v="0"/>
    <n v="0"/>
    <n v="0"/>
    <n v="0"/>
    <x v="0"/>
    <n v="0"/>
    <n v="3"/>
    <n v="11"/>
    <n v="0"/>
    <n v="71"/>
    <n v="2657"/>
    <n v="7.279452054794521"/>
    <n v="0"/>
    <n v="1"/>
    <n v="0"/>
    <n v="0"/>
    <n v="0"/>
    <n v="0"/>
    <n v="0"/>
    <n v="0"/>
    <n v="0"/>
    <n v="1"/>
    <n v="2262"/>
    <n v="2084"/>
    <n v="178"/>
    <n v="0"/>
    <x v="1"/>
    <x v="1"/>
    <x v="0"/>
    <x v="1"/>
    <x v="2"/>
    <x v="2"/>
    <n v="1"/>
    <n v="0"/>
    <n v="30"/>
    <n v="1.9999999999999996"/>
    <n v="8"/>
    <n v="9"/>
    <n v="19"/>
    <n v="7"/>
    <x v="2"/>
  </r>
  <r>
    <x v="59"/>
    <n v="79143"/>
    <n v="0"/>
    <n v="0"/>
    <n v="2"/>
    <n v="650"/>
    <n v="37"/>
    <n v="780"/>
    <n v="27"/>
    <n v="167"/>
    <n v="32"/>
    <n v="1"/>
    <n v="6"/>
    <n v="9"/>
    <n v="13"/>
    <n v="3"/>
    <n v="0"/>
    <n v="0"/>
    <n v="0"/>
    <n v="0"/>
    <n v="0"/>
    <x v="0"/>
    <n v="0"/>
    <n v="3"/>
    <n v="11"/>
    <n v="0"/>
    <n v="56"/>
    <n v="2846"/>
    <n v="7.7972602739726025"/>
    <n v="0"/>
    <n v="1"/>
    <n v="0"/>
    <n v="0"/>
    <n v="0"/>
    <n v="0"/>
    <n v="0"/>
    <n v="0"/>
    <n v="1"/>
    <n v="0"/>
    <n v="1661"/>
    <n v="1629"/>
    <n v="32"/>
    <n v="0"/>
    <x v="1"/>
    <x v="1"/>
    <x v="0"/>
    <x v="1"/>
    <x v="1"/>
    <x v="1"/>
    <n v="0"/>
    <n v="0"/>
    <n v="32"/>
    <n v="10"/>
    <n v="9"/>
    <n v="9"/>
    <n v="28"/>
    <n v="9"/>
    <x v="0"/>
  </r>
  <r>
    <x v="60"/>
    <n v="75825"/>
    <n v="0"/>
    <n v="0"/>
    <n v="40"/>
    <n v="1032"/>
    <n v="105"/>
    <n v="779"/>
    <n v="137"/>
    <n v="105"/>
    <n v="51"/>
    <n v="0"/>
    <n v="5"/>
    <n v="8"/>
    <n v="9"/>
    <n v="4"/>
    <n v="0"/>
    <n v="0"/>
    <n v="1"/>
    <n v="0"/>
    <n v="0"/>
    <x v="1"/>
    <n v="0"/>
    <n v="3"/>
    <n v="11"/>
    <n v="1"/>
    <n v="44"/>
    <n v="2784"/>
    <n v="7.6273972602739724"/>
    <n v="0"/>
    <n v="0"/>
    <n v="1"/>
    <n v="0"/>
    <n v="0"/>
    <n v="0"/>
    <n v="0"/>
    <n v="1"/>
    <n v="0"/>
    <n v="0"/>
    <n v="2158"/>
    <n v="2107"/>
    <n v="51"/>
    <n v="1"/>
    <x v="1"/>
    <x v="1"/>
    <x v="1"/>
    <x v="0"/>
    <x v="1"/>
    <x v="0"/>
    <n v="1"/>
    <n v="0"/>
    <n v="26"/>
    <n v="6"/>
    <n v="7"/>
    <n v="9"/>
    <n v="22"/>
    <n v="8"/>
    <x v="2"/>
  </r>
  <r>
    <x v="61"/>
    <n v="81702"/>
    <n v="0"/>
    <n v="0"/>
    <n v="98"/>
    <n v="563"/>
    <n v="50"/>
    <n v="774"/>
    <n v="28"/>
    <n v="31"/>
    <n v="187"/>
    <n v="1"/>
    <n v="7"/>
    <n v="7"/>
    <n v="12"/>
    <n v="3"/>
    <n v="0"/>
    <n v="0"/>
    <n v="0"/>
    <n v="0"/>
    <n v="0"/>
    <x v="0"/>
    <n v="0"/>
    <n v="3"/>
    <n v="11"/>
    <n v="0"/>
    <n v="40"/>
    <n v="2803"/>
    <n v="7.6794520547945204"/>
    <n v="1"/>
    <n v="0"/>
    <n v="0"/>
    <n v="0"/>
    <n v="0"/>
    <n v="0"/>
    <n v="0"/>
    <n v="1"/>
    <n v="0"/>
    <n v="0"/>
    <n v="1446"/>
    <n v="1259"/>
    <n v="187"/>
    <n v="0"/>
    <x v="1"/>
    <x v="1"/>
    <x v="3"/>
    <x v="0"/>
    <x v="1"/>
    <x v="3"/>
    <n v="1"/>
    <n v="1"/>
    <n v="30"/>
    <n v="0.99999999999999978"/>
    <n v="8"/>
    <n v="8"/>
    <n v="17"/>
    <n v="6"/>
    <x v="1"/>
  </r>
  <r>
    <x v="62"/>
    <n v="67546"/>
    <n v="0"/>
    <n v="0"/>
    <n v="90"/>
    <n v="864"/>
    <n v="134"/>
    <n v="768"/>
    <n v="150"/>
    <n v="38"/>
    <n v="172"/>
    <n v="1"/>
    <n v="4"/>
    <n v="10"/>
    <n v="5"/>
    <n v="3"/>
    <n v="0"/>
    <n v="0"/>
    <n v="0"/>
    <n v="0"/>
    <n v="0"/>
    <x v="0"/>
    <n v="0"/>
    <n v="3"/>
    <n v="11"/>
    <n v="0"/>
    <n v="32"/>
    <n v="2826"/>
    <n v="7.7424657534246579"/>
    <n v="0"/>
    <n v="1"/>
    <n v="0"/>
    <n v="0"/>
    <n v="0"/>
    <n v="0"/>
    <n v="0"/>
    <n v="0"/>
    <n v="0"/>
    <n v="1"/>
    <n v="1954"/>
    <n v="1782"/>
    <n v="172"/>
    <n v="0"/>
    <x v="1"/>
    <x v="1"/>
    <x v="0"/>
    <x v="1"/>
    <x v="2"/>
    <x v="3"/>
    <n v="1"/>
    <n v="0"/>
    <n v="23"/>
    <n v="0.99999999999999978"/>
    <n v="6"/>
    <n v="9"/>
    <n v="16"/>
    <n v="5"/>
    <x v="1"/>
  </r>
  <r>
    <x v="63"/>
    <n v="86610"/>
    <n v="0"/>
    <n v="0"/>
    <n v="66"/>
    <n v="446"/>
    <n v="107"/>
    <n v="768"/>
    <n v="33"/>
    <n v="196"/>
    <n v="53"/>
    <n v="1"/>
    <n v="5"/>
    <n v="6"/>
    <n v="6"/>
    <n v="2"/>
    <n v="0"/>
    <n v="0"/>
    <n v="0"/>
    <n v="0"/>
    <n v="0"/>
    <x v="0"/>
    <n v="0"/>
    <n v="3"/>
    <n v="11"/>
    <n v="0"/>
    <n v="69"/>
    <n v="2456"/>
    <n v="6.7287671232876711"/>
    <n v="0"/>
    <n v="0"/>
    <n v="0"/>
    <n v="1"/>
    <n v="0"/>
    <n v="0"/>
    <n v="0"/>
    <n v="1"/>
    <n v="0"/>
    <n v="0"/>
    <n v="1550"/>
    <n v="1497"/>
    <n v="53"/>
    <n v="0"/>
    <x v="1"/>
    <x v="1"/>
    <x v="2"/>
    <x v="0"/>
    <x v="1"/>
    <x v="2"/>
    <n v="1"/>
    <n v="0"/>
    <n v="20"/>
    <n v="4"/>
    <n v="4"/>
    <n v="9"/>
    <n v="17"/>
    <n v="6"/>
    <x v="1"/>
  </r>
  <r>
    <x v="64"/>
    <n v="79908"/>
    <n v="0"/>
    <n v="0"/>
    <n v="30"/>
    <n v="557"/>
    <n v="129"/>
    <n v="761"/>
    <n v="29"/>
    <n v="185"/>
    <n v="111"/>
    <n v="1"/>
    <n v="5"/>
    <n v="6"/>
    <n v="7"/>
    <n v="2"/>
    <n v="0"/>
    <n v="0"/>
    <n v="0"/>
    <n v="0"/>
    <n v="1"/>
    <x v="1"/>
    <n v="0"/>
    <n v="3"/>
    <n v="11"/>
    <n v="0"/>
    <n v="38"/>
    <n v="2609"/>
    <n v="7.1479452054794521"/>
    <n v="0"/>
    <n v="1"/>
    <n v="0"/>
    <n v="0"/>
    <n v="0"/>
    <n v="0"/>
    <n v="0"/>
    <n v="1"/>
    <n v="0"/>
    <n v="0"/>
    <n v="1661"/>
    <n v="1550"/>
    <n v="111"/>
    <n v="1"/>
    <x v="1"/>
    <x v="1"/>
    <x v="0"/>
    <x v="0"/>
    <x v="1"/>
    <x v="3"/>
    <n v="0"/>
    <n v="0"/>
    <n v="21"/>
    <n v="7"/>
    <n v="5"/>
    <n v="9"/>
    <n v="21"/>
    <n v="8"/>
    <x v="2"/>
  </r>
  <r>
    <x v="65"/>
    <n v="77632"/>
    <n v="0"/>
    <n v="0"/>
    <n v="73"/>
    <n v="1200"/>
    <n v="105"/>
    <n v="758"/>
    <n v="0"/>
    <n v="42"/>
    <n v="147"/>
    <n v="1"/>
    <n v="4"/>
    <n v="2"/>
    <n v="6"/>
    <n v="2"/>
    <n v="0"/>
    <n v="0"/>
    <n v="0"/>
    <n v="1"/>
    <n v="1"/>
    <x v="1"/>
    <n v="0"/>
    <n v="3"/>
    <n v="11"/>
    <n v="1"/>
    <n v="73"/>
    <n v="2635"/>
    <n v="7.2191780821917808"/>
    <n v="0"/>
    <n v="0"/>
    <n v="0"/>
    <n v="1"/>
    <n v="0"/>
    <n v="0"/>
    <n v="0"/>
    <n v="0"/>
    <n v="1"/>
    <n v="0"/>
    <n v="2105"/>
    <n v="1958"/>
    <n v="147"/>
    <n v="2"/>
    <x v="1"/>
    <x v="1"/>
    <x v="2"/>
    <x v="1"/>
    <x v="1"/>
    <x v="2"/>
    <n v="1"/>
    <n v="0"/>
    <n v="15"/>
    <n v="3.0000000000000004"/>
    <n v="2"/>
    <n v="9"/>
    <n v="14"/>
    <n v="4"/>
    <x v="3"/>
  </r>
  <r>
    <x v="66"/>
    <n v="73455"/>
    <n v="0"/>
    <n v="0"/>
    <n v="98"/>
    <n v="901"/>
    <n v="61"/>
    <n v="757"/>
    <n v="186"/>
    <n v="163"/>
    <n v="20"/>
    <n v="1"/>
    <n v="6"/>
    <n v="5"/>
    <n v="10"/>
    <n v="3"/>
    <n v="0"/>
    <n v="0"/>
    <n v="0"/>
    <n v="1"/>
    <n v="0"/>
    <x v="1"/>
    <n v="0"/>
    <n v="3"/>
    <n v="11"/>
    <n v="0"/>
    <n v="52"/>
    <n v="2403"/>
    <n v="6.5835616438356164"/>
    <n v="0"/>
    <n v="0"/>
    <n v="0"/>
    <n v="0"/>
    <n v="1"/>
    <n v="0"/>
    <n v="0"/>
    <n v="1"/>
    <n v="0"/>
    <n v="0"/>
    <n v="2068"/>
    <n v="2048"/>
    <n v="20"/>
    <n v="1"/>
    <x v="1"/>
    <x v="1"/>
    <x v="4"/>
    <x v="0"/>
    <x v="2"/>
    <x v="1"/>
    <n v="1"/>
    <n v="1"/>
    <n v="25"/>
    <n v="0.99999999999999978"/>
    <n v="7"/>
    <n v="9"/>
    <n v="17"/>
    <n v="6"/>
    <x v="1"/>
  </r>
  <r>
    <x v="67"/>
    <n v="86111"/>
    <n v="0"/>
    <n v="0"/>
    <n v="73"/>
    <n v="399"/>
    <n v="28"/>
    <n v="756"/>
    <n v="36"/>
    <n v="40"/>
    <n v="126"/>
    <n v="1"/>
    <n v="5"/>
    <n v="7"/>
    <n v="10"/>
    <n v="2"/>
    <n v="0"/>
    <n v="0"/>
    <n v="0"/>
    <n v="0"/>
    <n v="0"/>
    <x v="0"/>
    <n v="0"/>
    <n v="3"/>
    <n v="11"/>
    <n v="0"/>
    <n v="58"/>
    <n v="2595"/>
    <n v="7.1095890410958908"/>
    <n v="0"/>
    <n v="1"/>
    <n v="0"/>
    <n v="0"/>
    <n v="0"/>
    <n v="0"/>
    <n v="0"/>
    <n v="1"/>
    <n v="0"/>
    <n v="0"/>
    <n v="1259"/>
    <n v="1133"/>
    <n v="126"/>
    <n v="0"/>
    <x v="1"/>
    <x v="1"/>
    <x v="0"/>
    <x v="0"/>
    <x v="1"/>
    <x v="1"/>
    <n v="1"/>
    <n v="0"/>
    <n v="25"/>
    <n v="3.0000000000000004"/>
    <n v="7"/>
    <n v="8"/>
    <n v="18"/>
    <n v="6"/>
    <x v="1"/>
  </r>
  <r>
    <x v="68"/>
    <n v="82326"/>
    <n v="0"/>
    <n v="0"/>
    <n v="30"/>
    <n v="938"/>
    <n v="142"/>
    <n v="754"/>
    <n v="159"/>
    <n v="81"/>
    <n v="183"/>
    <n v="1"/>
    <n v="5"/>
    <n v="10"/>
    <n v="6"/>
    <n v="2"/>
    <n v="1"/>
    <n v="0"/>
    <n v="0"/>
    <n v="1"/>
    <n v="1"/>
    <x v="1"/>
    <n v="0"/>
    <n v="3"/>
    <n v="11"/>
    <n v="1"/>
    <n v="43"/>
    <n v="2270"/>
    <n v="6.2191780821917808"/>
    <n v="0"/>
    <n v="0"/>
    <n v="0"/>
    <n v="1"/>
    <n v="0"/>
    <n v="1"/>
    <n v="0"/>
    <n v="0"/>
    <n v="0"/>
    <n v="0"/>
    <n v="2074"/>
    <n v="1891"/>
    <n v="183"/>
    <n v="3"/>
    <x v="1"/>
    <x v="1"/>
    <x v="2"/>
    <x v="1"/>
    <x v="1"/>
    <x v="0"/>
    <n v="0"/>
    <n v="0"/>
    <n v="24"/>
    <n v="7"/>
    <n v="6"/>
    <n v="9"/>
    <n v="22"/>
    <n v="8"/>
    <x v="2"/>
  </r>
  <r>
    <x v="69"/>
    <n v="70617"/>
    <n v="0"/>
    <n v="0"/>
    <n v="45"/>
    <n v="353"/>
    <n v="61"/>
    <n v="753"/>
    <n v="40"/>
    <n v="46"/>
    <n v="27"/>
    <n v="1"/>
    <n v="3"/>
    <n v="3"/>
    <n v="7"/>
    <n v="2"/>
    <n v="0"/>
    <n v="0"/>
    <n v="0"/>
    <n v="0"/>
    <n v="0"/>
    <x v="0"/>
    <n v="0"/>
    <n v="3"/>
    <n v="11"/>
    <n v="0"/>
    <n v="50"/>
    <n v="2530"/>
    <n v="6.9315068493150687"/>
    <n v="0"/>
    <n v="1"/>
    <n v="0"/>
    <n v="0"/>
    <n v="0"/>
    <n v="0"/>
    <n v="0"/>
    <n v="1"/>
    <n v="0"/>
    <n v="0"/>
    <n v="1253"/>
    <n v="1226"/>
    <n v="27"/>
    <n v="0"/>
    <x v="1"/>
    <x v="1"/>
    <x v="0"/>
    <x v="0"/>
    <x v="2"/>
    <x v="0"/>
    <n v="1"/>
    <n v="0"/>
    <n v="16"/>
    <n v="6"/>
    <n v="3"/>
    <n v="8"/>
    <n v="17"/>
    <n v="6"/>
    <x v="1"/>
  </r>
  <r>
    <x v="70"/>
    <n v="70321"/>
    <n v="0"/>
    <n v="0"/>
    <n v="6"/>
    <n v="303"/>
    <n v="23"/>
    <n v="751"/>
    <n v="82"/>
    <n v="26"/>
    <n v="191"/>
    <n v="1"/>
    <n v="6"/>
    <n v="5"/>
    <n v="13"/>
    <n v="4"/>
    <n v="0"/>
    <n v="0"/>
    <n v="0"/>
    <n v="0"/>
    <n v="0"/>
    <x v="0"/>
    <n v="0"/>
    <n v="3"/>
    <n v="11"/>
    <n v="1"/>
    <n v="73"/>
    <n v="2688"/>
    <n v="7.3643835616438356"/>
    <n v="0"/>
    <n v="0"/>
    <n v="0"/>
    <n v="1"/>
    <n v="0"/>
    <n v="0"/>
    <n v="0"/>
    <n v="1"/>
    <n v="0"/>
    <n v="0"/>
    <n v="1185"/>
    <n v="994"/>
    <n v="191"/>
    <n v="0"/>
    <x v="1"/>
    <x v="1"/>
    <x v="2"/>
    <x v="0"/>
    <x v="2"/>
    <x v="2"/>
    <n v="0"/>
    <n v="0"/>
    <n v="29"/>
    <n v="10"/>
    <n v="8"/>
    <n v="8"/>
    <n v="26"/>
    <n v="9"/>
    <x v="0"/>
  </r>
  <r>
    <x v="71"/>
    <n v="72903"/>
    <n v="0"/>
    <n v="0"/>
    <n v="74"/>
    <n v="1067"/>
    <n v="138"/>
    <n v="750"/>
    <n v="0"/>
    <n v="19"/>
    <n v="39"/>
    <n v="1"/>
    <n v="7"/>
    <n v="5"/>
    <n v="8"/>
    <n v="4"/>
    <n v="1"/>
    <n v="0"/>
    <n v="0"/>
    <n v="1"/>
    <n v="1"/>
    <x v="1"/>
    <n v="0"/>
    <n v="3"/>
    <n v="11"/>
    <n v="1"/>
    <n v="35"/>
    <n v="2402"/>
    <n v="6.580821917808219"/>
    <n v="0"/>
    <n v="0"/>
    <n v="1"/>
    <n v="0"/>
    <n v="0"/>
    <n v="0"/>
    <n v="0"/>
    <n v="1"/>
    <n v="0"/>
    <n v="0"/>
    <n v="1974"/>
    <n v="1935"/>
    <n v="39"/>
    <n v="3"/>
    <x v="1"/>
    <x v="1"/>
    <x v="1"/>
    <x v="0"/>
    <x v="2"/>
    <x v="3"/>
    <n v="1"/>
    <n v="0"/>
    <n v="25"/>
    <n v="3.0000000000000004"/>
    <n v="7"/>
    <n v="9"/>
    <n v="19"/>
    <n v="7"/>
    <x v="2"/>
  </r>
  <r>
    <x v="72"/>
    <n v="84117"/>
    <n v="0"/>
    <n v="0"/>
    <n v="60"/>
    <n v="611"/>
    <n v="76"/>
    <n v="749"/>
    <n v="59"/>
    <n v="45"/>
    <n v="26"/>
    <n v="1"/>
    <n v="7"/>
    <n v="10"/>
    <n v="6"/>
    <n v="2"/>
    <n v="0"/>
    <n v="0"/>
    <n v="0"/>
    <n v="0"/>
    <n v="1"/>
    <x v="1"/>
    <n v="0"/>
    <n v="3"/>
    <n v="11"/>
    <n v="0"/>
    <n v="64"/>
    <n v="2208"/>
    <n v="6.0493150684931507"/>
    <n v="0"/>
    <n v="1"/>
    <n v="0"/>
    <n v="0"/>
    <n v="0"/>
    <n v="0"/>
    <n v="0"/>
    <n v="0"/>
    <n v="0"/>
    <n v="1"/>
    <n v="1540"/>
    <n v="1514"/>
    <n v="26"/>
    <n v="1"/>
    <x v="1"/>
    <x v="1"/>
    <x v="0"/>
    <x v="1"/>
    <x v="1"/>
    <x v="2"/>
    <n v="1"/>
    <n v="0"/>
    <n v="26"/>
    <n v="4"/>
    <n v="7"/>
    <n v="9"/>
    <n v="20"/>
    <n v="7"/>
    <x v="2"/>
  </r>
  <r>
    <x v="73"/>
    <n v="91820"/>
    <n v="0"/>
    <n v="0"/>
    <n v="72"/>
    <n v="410"/>
    <n v="73"/>
    <n v="747"/>
    <n v="76"/>
    <n v="161"/>
    <n v="30"/>
    <n v="0"/>
    <n v="5"/>
    <n v="5"/>
    <n v="12"/>
    <n v="1"/>
    <n v="0"/>
    <n v="0"/>
    <n v="0"/>
    <n v="0"/>
    <n v="0"/>
    <x v="0"/>
    <n v="0"/>
    <n v="3"/>
    <n v="11"/>
    <n v="0"/>
    <n v="34"/>
    <n v="2377"/>
    <n v="6.5123287671232877"/>
    <n v="0"/>
    <n v="0"/>
    <n v="0"/>
    <n v="1"/>
    <n v="0"/>
    <n v="0"/>
    <n v="0"/>
    <n v="0"/>
    <n v="0"/>
    <n v="1"/>
    <n v="1467"/>
    <n v="1437"/>
    <n v="30"/>
    <n v="0"/>
    <x v="1"/>
    <x v="1"/>
    <x v="2"/>
    <x v="1"/>
    <x v="1"/>
    <x v="3"/>
    <n v="1"/>
    <n v="0"/>
    <n v="23"/>
    <n v="3.0000000000000004"/>
    <n v="6"/>
    <n v="8"/>
    <n v="17"/>
    <n v="6"/>
    <x v="1"/>
  </r>
  <r>
    <x v="74"/>
    <n v="91712"/>
    <n v="0"/>
    <n v="0"/>
    <n v="47"/>
    <n v="1276"/>
    <n v="24"/>
    <n v="746"/>
    <n v="94"/>
    <n v="29"/>
    <n v="48"/>
    <n v="0"/>
    <n v="9"/>
    <n v="7"/>
    <n v="11"/>
    <n v="3"/>
    <n v="0"/>
    <n v="0"/>
    <n v="0"/>
    <n v="0"/>
    <n v="1"/>
    <x v="1"/>
    <n v="0"/>
    <n v="3"/>
    <n v="11"/>
    <n v="1"/>
    <n v="73"/>
    <n v="2414"/>
    <n v="6.6136986301369864"/>
    <n v="0"/>
    <n v="0"/>
    <n v="1"/>
    <n v="0"/>
    <n v="0"/>
    <n v="0"/>
    <n v="0"/>
    <n v="0"/>
    <n v="1"/>
    <n v="0"/>
    <n v="2169"/>
    <n v="2121"/>
    <n v="48"/>
    <n v="1"/>
    <x v="1"/>
    <x v="1"/>
    <x v="1"/>
    <x v="1"/>
    <x v="1"/>
    <x v="2"/>
    <n v="1"/>
    <n v="0"/>
    <n v="30"/>
    <n v="6"/>
    <n v="8"/>
    <n v="9"/>
    <n v="23"/>
    <n v="8"/>
    <x v="2"/>
  </r>
  <r>
    <x v="75"/>
    <n v="83443"/>
    <n v="0"/>
    <n v="0"/>
    <n v="89"/>
    <n v="518"/>
    <n v="42"/>
    <n v="742"/>
    <n v="55"/>
    <n v="56"/>
    <n v="84"/>
    <n v="1"/>
    <n v="6"/>
    <n v="10"/>
    <n v="5"/>
    <n v="2"/>
    <n v="0"/>
    <n v="0"/>
    <n v="0"/>
    <n v="0"/>
    <n v="0"/>
    <x v="0"/>
    <n v="0"/>
    <n v="3"/>
    <n v="11"/>
    <n v="0"/>
    <n v="48"/>
    <n v="2339"/>
    <n v="6.4082191780821915"/>
    <n v="0"/>
    <n v="0"/>
    <n v="0"/>
    <n v="1"/>
    <n v="0"/>
    <n v="0"/>
    <n v="0"/>
    <n v="0"/>
    <n v="0"/>
    <n v="1"/>
    <n v="1413"/>
    <n v="1329"/>
    <n v="84"/>
    <n v="0"/>
    <x v="1"/>
    <x v="1"/>
    <x v="2"/>
    <x v="1"/>
    <x v="1"/>
    <x v="0"/>
    <n v="1"/>
    <n v="0"/>
    <n v="24"/>
    <n v="1.9999999999999996"/>
    <n v="6"/>
    <n v="8"/>
    <n v="16"/>
    <n v="5"/>
    <x v="1"/>
  </r>
  <r>
    <x v="76"/>
    <n v="79930"/>
    <n v="0"/>
    <n v="0"/>
    <n v="72"/>
    <n v="792"/>
    <n v="86"/>
    <n v="740"/>
    <n v="67"/>
    <n v="51"/>
    <n v="17"/>
    <n v="1"/>
    <n v="3"/>
    <n v="5"/>
    <n v="8"/>
    <n v="2"/>
    <n v="0"/>
    <n v="0"/>
    <n v="0"/>
    <n v="0"/>
    <n v="0"/>
    <x v="0"/>
    <n v="0"/>
    <n v="3"/>
    <n v="11"/>
    <n v="0"/>
    <n v="48"/>
    <n v="2849"/>
    <n v="7.8054794520547945"/>
    <n v="0"/>
    <n v="1"/>
    <n v="0"/>
    <n v="0"/>
    <n v="0"/>
    <n v="0"/>
    <n v="0"/>
    <n v="0"/>
    <n v="0"/>
    <n v="1"/>
    <n v="1736"/>
    <n v="1719"/>
    <n v="17"/>
    <n v="0"/>
    <x v="1"/>
    <x v="1"/>
    <x v="0"/>
    <x v="1"/>
    <x v="1"/>
    <x v="0"/>
    <n v="1"/>
    <n v="0"/>
    <n v="19"/>
    <n v="3.0000000000000004"/>
    <n v="4"/>
    <n v="9"/>
    <n v="16"/>
    <n v="5"/>
    <x v="1"/>
  </r>
  <r>
    <x v="77"/>
    <n v="80739"/>
    <n v="0"/>
    <n v="0"/>
    <n v="92"/>
    <n v="674"/>
    <n v="92"/>
    <n v="736"/>
    <n v="39"/>
    <n v="0"/>
    <n v="92"/>
    <n v="1"/>
    <n v="3"/>
    <n v="11"/>
    <n v="9"/>
    <n v="1"/>
    <n v="0"/>
    <n v="0"/>
    <n v="0"/>
    <n v="0"/>
    <n v="0"/>
    <x v="0"/>
    <n v="0"/>
    <n v="3"/>
    <n v="11"/>
    <n v="0"/>
    <n v="62"/>
    <n v="2561"/>
    <n v="7.0164383561643833"/>
    <n v="0"/>
    <n v="1"/>
    <n v="0"/>
    <n v="0"/>
    <n v="0"/>
    <n v="0"/>
    <n v="0"/>
    <n v="0"/>
    <n v="1"/>
    <n v="0"/>
    <n v="1541"/>
    <n v="1449"/>
    <n v="92"/>
    <n v="0"/>
    <x v="1"/>
    <x v="1"/>
    <x v="0"/>
    <x v="1"/>
    <x v="1"/>
    <x v="2"/>
    <n v="1"/>
    <n v="1"/>
    <n v="25"/>
    <n v="0.99999999999999978"/>
    <n v="7"/>
    <n v="9"/>
    <n v="17"/>
    <n v="6"/>
    <x v="1"/>
  </r>
  <r>
    <x v="78"/>
    <n v="96876"/>
    <n v="0"/>
    <n v="0"/>
    <n v="79"/>
    <n v="908"/>
    <n v="43"/>
    <n v="735"/>
    <n v="40"/>
    <n v="194"/>
    <n v="21"/>
    <n v="1"/>
    <n v="7"/>
    <n v="7"/>
    <n v="9"/>
    <n v="2"/>
    <n v="1"/>
    <n v="0"/>
    <n v="0"/>
    <n v="1"/>
    <n v="1"/>
    <x v="1"/>
    <n v="0"/>
    <n v="3"/>
    <n v="11"/>
    <n v="1"/>
    <n v="43"/>
    <n v="2486"/>
    <n v="6.8109589041095893"/>
    <n v="0"/>
    <n v="0"/>
    <n v="0"/>
    <n v="1"/>
    <n v="0"/>
    <n v="0"/>
    <n v="0"/>
    <n v="1"/>
    <n v="0"/>
    <n v="0"/>
    <n v="1920"/>
    <n v="1899"/>
    <n v="21"/>
    <n v="3"/>
    <x v="1"/>
    <x v="1"/>
    <x v="2"/>
    <x v="0"/>
    <x v="1"/>
    <x v="0"/>
    <n v="1"/>
    <n v="0"/>
    <n v="26"/>
    <n v="3.0000000000000004"/>
    <n v="7"/>
    <n v="9"/>
    <n v="19"/>
    <n v="7"/>
    <x v="2"/>
  </r>
  <r>
    <x v="79"/>
    <n v="74538"/>
    <n v="0"/>
    <n v="0"/>
    <n v="21"/>
    <n v="380"/>
    <n v="98"/>
    <n v="733"/>
    <n v="110"/>
    <n v="112"/>
    <n v="28"/>
    <n v="1"/>
    <n v="8"/>
    <n v="8"/>
    <n v="5"/>
    <n v="3"/>
    <n v="0"/>
    <n v="0"/>
    <n v="0"/>
    <n v="0"/>
    <n v="1"/>
    <x v="1"/>
    <n v="0"/>
    <n v="3"/>
    <n v="11"/>
    <n v="1"/>
    <n v="49"/>
    <n v="2524"/>
    <n v="6.9150684931506845"/>
    <n v="0"/>
    <n v="0"/>
    <n v="0"/>
    <n v="1"/>
    <n v="0"/>
    <n v="0"/>
    <n v="0"/>
    <n v="1"/>
    <n v="0"/>
    <n v="0"/>
    <n v="1433"/>
    <n v="1405"/>
    <n v="28"/>
    <n v="1"/>
    <x v="1"/>
    <x v="1"/>
    <x v="2"/>
    <x v="0"/>
    <x v="2"/>
    <x v="0"/>
    <n v="0"/>
    <n v="0"/>
    <n v="25"/>
    <n v="8"/>
    <n v="7"/>
    <n v="8"/>
    <n v="23"/>
    <n v="8"/>
    <x v="2"/>
  </r>
  <r>
    <x v="80"/>
    <n v="83917"/>
    <n v="0"/>
    <n v="0"/>
    <n v="12"/>
    <n v="514"/>
    <n v="22"/>
    <n v="732"/>
    <n v="42"/>
    <n v="198"/>
    <n v="79"/>
    <n v="1"/>
    <n v="6"/>
    <n v="7"/>
    <n v="7"/>
    <n v="3"/>
    <n v="0"/>
    <n v="0"/>
    <n v="0"/>
    <n v="0"/>
    <n v="0"/>
    <x v="0"/>
    <n v="0"/>
    <n v="3"/>
    <n v="11"/>
    <n v="1"/>
    <n v="47"/>
    <n v="2596"/>
    <n v="7.1123287671232873"/>
    <n v="0"/>
    <n v="0"/>
    <n v="1"/>
    <n v="0"/>
    <n v="0"/>
    <n v="0"/>
    <n v="0"/>
    <n v="1"/>
    <n v="0"/>
    <n v="0"/>
    <n v="1508"/>
    <n v="1429"/>
    <n v="79"/>
    <n v="0"/>
    <x v="1"/>
    <x v="1"/>
    <x v="1"/>
    <x v="0"/>
    <x v="1"/>
    <x v="0"/>
    <n v="0"/>
    <n v="0"/>
    <n v="24"/>
    <n v="9"/>
    <n v="6"/>
    <n v="9"/>
    <n v="24"/>
    <n v="9"/>
    <x v="0"/>
  </r>
  <r>
    <x v="81"/>
    <n v="83145"/>
    <n v="0"/>
    <n v="0"/>
    <n v="14"/>
    <n v="777"/>
    <n v="35"/>
    <n v="731"/>
    <n v="39"/>
    <n v="137"/>
    <n v="114"/>
    <n v="1"/>
    <n v="5"/>
    <n v="9"/>
    <n v="11"/>
    <n v="2"/>
    <n v="0"/>
    <n v="0"/>
    <n v="0"/>
    <n v="0"/>
    <n v="1"/>
    <x v="1"/>
    <n v="0"/>
    <n v="3"/>
    <n v="11"/>
    <n v="1"/>
    <n v="46"/>
    <n v="2804"/>
    <n v="7.6821917808219178"/>
    <n v="0"/>
    <n v="0"/>
    <n v="0"/>
    <n v="1"/>
    <n v="0"/>
    <n v="0"/>
    <n v="0"/>
    <n v="1"/>
    <n v="0"/>
    <n v="0"/>
    <n v="1719"/>
    <n v="1605"/>
    <n v="114"/>
    <n v="1"/>
    <x v="1"/>
    <x v="1"/>
    <x v="2"/>
    <x v="0"/>
    <x v="1"/>
    <x v="0"/>
    <n v="0"/>
    <n v="0"/>
    <n v="28"/>
    <n v="9"/>
    <n v="8"/>
    <n v="9"/>
    <n v="26"/>
    <n v="9"/>
    <x v="0"/>
  </r>
  <r>
    <x v="82"/>
    <n v="93790"/>
    <n v="0"/>
    <n v="0"/>
    <n v="16"/>
    <n v="1302"/>
    <n v="68"/>
    <n v="731"/>
    <n v="89"/>
    <n v="114"/>
    <n v="45"/>
    <n v="0"/>
    <n v="6"/>
    <n v="7"/>
    <n v="12"/>
    <n v="2"/>
    <n v="1"/>
    <n v="0"/>
    <n v="0"/>
    <n v="1"/>
    <n v="1"/>
    <x v="1"/>
    <n v="0"/>
    <n v="3"/>
    <n v="11"/>
    <n v="1"/>
    <n v="50"/>
    <n v="2296"/>
    <n v="6.2904109589041095"/>
    <n v="0"/>
    <n v="0"/>
    <n v="1"/>
    <n v="0"/>
    <n v="0"/>
    <n v="0"/>
    <n v="0"/>
    <n v="1"/>
    <n v="0"/>
    <n v="0"/>
    <n v="2304"/>
    <n v="2259"/>
    <n v="45"/>
    <n v="3"/>
    <x v="1"/>
    <x v="1"/>
    <x v="1"/>
    <x v="0"/>
    <x v="1"/>
    <x v="0"/>
    <n v="0"/>
    <n v="0"/>
    <n v="27"/>
    <n v="9"/>
    <n v="7"/>
    <n v="9"/>
    <n v="25"/>
    <n v="9"/>
    <x v="0"/>
  </r>
  <r>
    <x v="83"/>
    <n v="87188"/>
    <n v="0"/>
    <n v="0"/>
    <n v="73"/>
    <n v="910"/>
    <n v="111"/>
    <n v="724"/>
    <n v="49"/>
    <n v="74"/>
    <n v="55"/>
    <n v="1"/>
    <n v="10"/>
    <n v="2"/>
    <n v="6"/>
    <n v="3"/>
    <n v="0"/>
    <n v="0"/>
    <n v="0"/>
    <n v="0"/>
    <n v="0"/>
    <x v="0"/>
    <n v="0"/>
    <n v="3"/>
    <n v="11"/>
    <n v="1"/>
    <n v="37"/>
    <n v="2550"/>
    <n v="6.9863013698630141"/>
    <n v="0"/>
    <n v="0"/>
    <n v="1"/>
    <n v="0"/>
    <n v="0"/>
    <n v="0"/>
    <n v="0"/>
    <n v="0"/>
    <n v="0"/>
    <n v="1"/>
    <n v="1868"/>
    <n v="1813"/>
    <n v="55"/>
    <n v="0"/>
    <x v="1"/>
    <x v="1"/>
    <x v="1"/>
    <x v="1"/>
    <x v="1"/>
    <x v="3"/>
    <n v="1"/>
    <n v="0"/>
    <n v="22"/>
    <n v="3.0000000000000004"/>
    <n v="5"/>
    <n v="9"/>
    <n v="17"/>
    <n v="6"/>
    <x v="1"/>
  </r>
  <r>
    <x v="84"/>
    <n v="64857"/>
    <n v="0"/>
    <n v="0"/>
    <n v="78"/>
    <n v="556"/>
    <n v="14"/>
    <n v="717"/>
    <n v="210"/>
    <n v="0"/>
    <n v="43"/>
    <n v="1"/>
    <n v="7"/>
    <n v="5"/>
    <n v="10"/>
    <n v="4"/>
    <n v="0"/>
    <n v="0"/>
    <n v="0"/>
    <n v="0"/>
    <n v="0"/>
    <x v="0"/>
    <n v="0"/>
    <n v="3"/>
    <n v="11"/>
    <n v="0"/>
    <n v="64"/>
    <n v="2742"/>
    <n v="7.5123287671232877"/>
    <n v="0"/>
    <n v="0"/>
    <n v="1"/>
    <n v="0"/>
    <n v="0"/>
    <n v="0"/>
    <n v="0"/>
    <n v="0"/>
    <n v="1"/>
    <n v="0"/>
    <n v="1497"/>
    <n v="1454"/>
    <n v="43"/>
    <n v="0"/>
    <x v="1"/>
    <x v="1"/>
    <x v="1"/>
    <x v="1"/>
    <x v="2"/>
    <x v="2"/>
    <n v="1"/>
    <n v="0"/>
    <n v="27"/>
    <n v="3.0000000000000004"/>
    <n v="7"/>
    <n v="9"/>
    <n v="19"/>
    <n v="7"/>
    <x v="2"/>
  </r>
  <r>
    <x v="85"/>
    <n v="93027"/>
    <n v="0"/>
    <n v="0"/>
    <n v="77"/>
    <n v="1285"/>
    <n v="42"/>
    <n v="716"/>
    <n v="55"/>
    <n v="0"/>
    <n v="21"/>
    <n v="0"/>
    <n v="7"/>
    <n v="10"/>
    <n v="5"/>
    <n v="2"/>
    <n v="0"/>
    <n v="0"/>
    <n v="0"/>
    <n v="0"/>
    <n v="1"/>
    <x v="1"/>
    <n v="0"/>
    <n v="3"/>
    <n v="11"/>
    <n v="0"/>
    <n v="79"/>
    <n v="2601"/>
    <n v="7.1260273972602741"/>
    <n v="0"/>
    <n v="1"/>
    <n v="0"/>
    <n v="0"/>
    <n v="0"/>
    <n v="0"/>
    <n v="0"/>
    <n v="0"/>
    <n v="0"/>
    <n v="1"/>
    <n v="2098"/>
    <n v="2077"/>
    <n v="21"/>
    <n v="1"/>
    <x v="1"/>
    <x v="1"/>
    <x v="0"/>
    <x v="1"/>
    <x v="1"/>
    <x v="2"/>
    <n v="1"/>
    <n v="0"/>
    <n v="24"/>
    <n v="3.0000000000000004"/>
    <n v="6"/>
    <n v="9"/>
    <n v="18"/>
    <n v="6"/>
    <x v="1"/>
  </r>
  <r>
    <x v="86"/>
    <n v="84574"/>
    <n v="0"/>
    <n v="0"/>
    <n v="72"/>
    <n v="387"/>
    <n v="20"/>
    <n v="713"/>
    <n v="38"/>
    <n v="54"/>
    <n v="163"/>
    <n v="1"/>
    <n v="9"/>
    <n v="11"/>
    <n v="11"/>
    <n v="5"/>
    <n v="0"/>
    <n v="0"/>
    <n v="0"/>
    <n v="0"/>
    <n v="0"/>
    <x v="0"/>
    <n v="0"/>
    <n v="3"/>
    <n v="11"/>
    <n v="0"/>
    <n v="68"/>
    <n v="2549"/>
    <n v="6.9835616438356167"/>
    <n v="0"/>
    <n v="0"/>
    <n v="1"/>
    <n v="0"/>
    <n v="0"/>
    <n v="0"/>
    <n v="0"/>
    <n v="1"/>
    <n v="0"/>
    <n v="0"/>
    <n v="1212"/>
    <n v="1049"/>
    <n v="163"/>
    <n v="0"/>
    <x v="1"/>
    <x v="1"/>
    <x v="1"/>
    <x v="0"/>
    <x v="1"/>
    <x v="2"/>
    <n v="1"/>
    <n v="0"/>
    <n v="37"/>
    <n v="3.0000000000000004"/>
    <n v="9"/>
    <n v="8"/>
    <n v="20"/>
    <n v="7"/>
    <x v="2"/>
  </r>
  <r>
    <x v="87"/>
    <n v="98777"/>
    <n v="0"/>
    <n v="0"/>
    <n v="23"/>
    <n v="1000"/>
    <n v="19"/>
    <n v="711"/>
    <n v="125"/>
    <n v="115"/>
    <n v="38"/>
    <n v="0"/>
    <n v="4"/>
    <n v="6"/>
    <n v="9"/>
    <n v="1"/>
    <n v="0"/>
    <n v="0"/>
    <n v="0"/>
    <n v="1"/>
    <n v="0"/>
    <x v="1"/>
    <n v="0"/>
    <n v="3"/>
    <n v="11"/>
    <n v="0"/>
    <n v="60"/>
    <n v="2291"/>
    <n v="6.2767123287671236"/>
    <n v="0"/>
    <n v="0"/>
    <n v="1"/>
    <n v="0"/>
    <n v="0"/>
    <n v="0"/>
    <n v="0"/>
    <n v="0"/>
    <n v="1"/>
    <n v="0"/>
    <n v="1970"/>
    <n v="1932"/>
    <n v="38"/>
    <n v="1"/>
    <x v="1"/>
    <x v="1"/>
    <x v="1"/>
    <x v="1"/>
    <x v="1"/>
    <x v="1"/>
    <n v="0"/>
    <n v="0"/>
    <n v="20"/>
    <n v="8"/>
    <n v="4"/>
    <n v="9"/>
    <n v="21"/>
    <n v="8"/>
    <x v="2"/>
  </r>
  <r>
    <x v="88"/>
    <n v="75759"/>
    <n v="0"/>
    <n v="0"/>
    <n v="46"/>
    <n v="1394"/>
    <n v="22"/>
    <n v="708"/>
    <n v="89"/>
    <n v="91"/>
    <n v="182"/>
    <n v="1"/>
    <n v="9"/>
    <n v="7"/>
    <n v="9"/>
    <n v="5"/>
    <n v="1"/>
    <n v="0"/>
    <n v="1"/>
    <n v="0"/>
    <n v="1"/>
    <x v="1"/>
    <n v="0"/>
    <n v="3"/>
    <n v="11"/>
    <n v="1"/>
    <n v="51"/>
    <n v="2406"/>
    <n v="6.5917808219178085"/>
    <n v="0"/>
    <n v="1"/>
    <n v="0"/>
    <n v="0"/>
    <n v="0"/>
    <n v="0"/>
    <n v="0"/>
    <n v="1"/>
    <n v="0"/>
    <n v="0"/>
    <n v="2304"/>
    <n v="2122"/>
    <n v="182"/>
    <n v="3"/>
    <x v="1"/>
    <x v="1"/>
    <x v="0"/>
    <x v="0"/>
    <x v="1"/>
    <x v="1"/>
    <n v="1"/>
    <n v="0"/>
    <n v="31"/>
    <n v="6"/>
    <n v="9"/>
    <n v="9"/>
    <n v="24"/>
    <n v="9"/>
    <x v="0"/>
  </r>
  <r>
    <x v="89"/>
    <n v="62847"/>
    <n v="0"/>
    <n v="0"/>
    <n v="45"/>
    <n v="521"/>
    <n v="168"/>
    <n v="706"/>
    <n v="80"/>
    <n v="76"/>
    <n v="61"/>
    <n v="1"/>
    <n v="3"/>
    <n v="6"/>
    <n v="4"/>
    <n v="2"/>
    <n v="0"/>
    <n v="0"/>
    <n v="0"/>
    <n v="0"/>
    <n v="0"/>
    <x v="0"/>
    <n v="0"/>
    <n v="3"/>
    <n v="11"/>
    <n v="0"/>
    <n v="75"/>
    <n v="2689"/>
    <n v="7.3671232876712329"/>
    <n v="0"/>
    <n v="0"/>
    <n v="0"/>
    <n v="1"/>
    <n v="0"/>
    <n v="0"/>
    <n v="0"/>
    <n v="0"/>
    <n v="1"/>
    <n v="0"/>
    <n v="1551"/>
    <n v="1490"/>
    <n v="61"/>
    <n v="0"/>
    <x v="1"/>
    <x v="1"/>
    <x v="2"/>
    <x v="1"/>
    <x v="2"/>
    <x v="2"/>
    <n v="1"/>
    <n v="0"/>
    <n v="16"/>
    <n v="6"/>
    <n v="3"/>
    <n v="9"/>
    <n v="18"/>
    <n v="6"/>
    <x v="1"/>
  </r>
  <r>
    <x v="90"/>
    <n v="79529"/>
    <n v="0"/>
    <n v="0"/>
    <n v="1"/>
    <n v="423"/>
    <n v="42"/>
    <n v="706"/>
    <n v="73"/>
    <n v="197"/>
    <n v="197"/>
    <n v="1"/>
    <n v="4"/>
    <n v="8"/>
    <n v="9"/>
    <n v="2"/>
    <n v="0"/>
    <n v="0"/>
    <n v="0"/>
    <n v="0"/>
    <n v="0"/>
    <x v="0"/>
    <n v="0"/>
    <n v="3"/>
    <n v="11"/>
    <n v="0"/>
    <n v="34"/>
    <n v="2222"/>
    <n v="6.087671232876712"/>
    <n v="0"/>
    <n v="1"/>
    <n v="0"/>
    <n v="0"/>
    <n v="0"/>
    <n v="0"/>
    <n v="0"/>
    <n v="1"/>
    <n v="0"/>
    <n v="0"/>
    <n v="1441"/>
    <n v="1244"/>
    <n v="197"/>
    <n v="0"/>
    <x v="1"/>
    <x v="1"/>
    <x v="0"/>
    <x v="0"/>
    <x v="1"/>
    <x v="3"/>
    <n v="0"/>
    <n v="0"/>
    <n v="24"/>
    <n v="10"/>
    <n v="6"/>
    <n v="8"/>
    <n v="24"/>
    <n v="9"/>
    <x v="0"/>
  </r>
  <r>
    <x v="91"/>
    <n v="80395"/>
    <n v="0"/>
    <n v="0"/>
    <n v="62"/>
    <n v="445"/>
    <n v="25"/>
    <n v="706"/>
    <n v="80"/>
    <n v="76"/>
    <n v="48"/>
    <n v="1"/>
    <n v="6"/>
    <n v="5"/>
    <n v="12"/>
    <n v="2"/>
    <n v="1"/>
    <n v="0"/>
    <n v="0"/>
    <n v="0"/>
    <n v="0"/>
    <x v="1"/>
    <n v="0"/>
    <n v="3"/>
    <n v="11"/>
    <n v="0"/>
    <n v="65"/>
    <n v="2377"/>
    <n v="6.5123287671232877"/>
    <n v="0"/>
    <n v="1"/>
    <n v="0"/>
    <n v="0"/>
    <n v="0"/>
    <n v="0"/>
    <n v="0"/>
    <n v="1"/>
    <n v="0"/>
    <n v="0"/>
    <n v="1332"/>
    <n v="1284"/>
    <n v="48"/>
    <n v="1"/>
    <x v="1"/>
    <x v="1"/>
    <x v="0"/>
    <x v="0"/>
    <x v="1"/>
    <x v="2"/>
    <n v="1"/>
    <n v="0"/>
    <n v="26"/>
    <n v="4"/>
    <n v="7"/>
    <n v="8"/>
    <n v="19"/>
    <n v="7"/>
    <x v="2"/>
  </r>
  <r>
    <x v="92"/>
    <n v="74116"/>
    <n v="0"/>
    <n v="0"/>
    <n v="53"/>
    <n v="871"/>
    <n v="111"/>
    <n v="704"/>
    <n v="145"/>
    <n v="55"/>
    <n v="166"/>
    <n v="1"/>
    <n v="4"/>
    <n v="4"/>
    <n v="10"/>
    <n v="2"/>
    <n v="0"/>
    <n v="0"/>
    <n v="0"/>
    <n v="1"/>
    <n v="0"/>
    <x v="1"/>
    <n v="0"/>
    <n v="3"/>
    <n v="11"/>
    <n v="0"/>
    <n v="38"/>
    <n v="2340"/>
    <n v="6.4109589041095889"/>
    <n v="0"/>
    <n v="0"/>
    <n v="1"/>
    <n v="0"/>
    <n v="0"/>
    <n v="1"/>
    <n v="0"/>
    <n v="0"/>
    <n v="0"/>
    <n v="0"/>
    <n v="1886"/>
    <n v="1720"/>
    <n v="166"/>
    <n v="1"/>
    <x v="1"/>
    <x v="1"/>
    <x v="1"/>
    <x v="1"/>
    <x v="2"/>
    <x v="3"/>
    <n v="1"/>
    <n v="0"/>
    <n v="21"/>
    <n v="5"/>
    <n v="5"/>
    <n v="9"/>
    <n v="19"/>
    <n v="7"/>
    <x v="2"/>
  </r>
  <r>
    <x v="93"/>
    <n v="65819"/>
    <n v="0"/>
    <n v="0"/>
    <n v="99"/>
    <n v="267"/>
    <n v="38"/>
    <n v="701"/>
    <n v="149"/>
    <n v="165"/>
    <n v="63"/>
    <n v="1"/>
    <n v="5"/>
    <n v="4"/>
    <n v="10"/>
    <n v="3"/>
    <n v="0"/>
    <n v="0"/>
    <n v="0"/>
    <n v="0"/>
    <n v="0"/>
    <x v="0"/>
    <n v="0"/>
    <n v="3"/>
    <n v="11"/>
    <n v="0"/>
    <n v="42"/>
    <n v="2736"/>
    <n v="7.4958904109589044"/>
    <n v="0"/>
    <n v="1"/>
    <n v="0"/>
    <n v="0"/>
    <n v="0"/>
    <n v="0"/>
    <n v="0"/>
    <n v="1"/>
    <n v="0"/>
    <n v="0"/>
    <n v="1320"/>
    <n v="1257"/>
    <n v="63"/>
    <n v="0"/>
    <x v="1"/>
    <x v="1"/>
    <x v="0"/>
    <x v="0"/>
    <x v="2"/>
    <x v="0"/>
    <n v="1"/>
    <n v="1"/>
    <n v="23"/>
    <n v="0.99999999999999978"/>
    <n v="6"/>
    <n v="8"/>
    <n v="15"/>
    <n v="4"/>
    <x v="3"/>
  </r>
  <r>
    <x v="94"/>
    <n v="78394"/>
    <n v="0"/>
    <n v="0"/>
    <n v="13"/>
    <n v="298"/>
    <n v="27"/>
    <n v="697"/>
    <n v="216"/>
    <n v="24"/>
    <n v="166"/>
    <n v="1"/>
    <n v="4"/>
    <n v="6"/>
    <n v="5"/>
    <n v="2"/>
    <n v="0"/>
    <n v="0"/>
    <n v="0"/>
    <n v="0"/>
    <n v="0"/>
    <x v="0"/>
    <n v="0"/>
    <n v="3"/>
    <n v="11"/>
    <n v="1"/>
    <n v="34"/>
    <n v="2658"/>
    <n v="7.2821917808219174"/>
    <n v="0"/>
    <n v="0"/>
    <n v="0"/>
    <n v="1"/>
    <n v="0"/>
    <n v="0"/>
    <n v="0"/>
    <n v="1"/>
    <n v="0"/>
    <n v="0"/>
    <n v="1262"/>
    <n v="1096"/>
    <n v="166"/>
    <n v="0"/>
    <x v="1"/>
    <x v="1"/>
    <x v="2"/>
    <x v="0"/>
    <x v="1"/>
    <x v="3"/>
    <n v="0"/>
    <n v="0"/>
    <n v="18"/>
    <n v="9"/>
    <n v="4"/>
    <n v="8"/>
    <n v="21"/>
    <n v="8"/>
    <x v="2"/>
  </r>
  <r>
    <x v="95"/>
    <n v="92344"/>
    <n v="0"/>
    <n v="0"/>
    <n v="9"/>
    <n v="992"/>
    <n v="24"/>
    <n v="694"/>
    <n v="51"/>
    <n v="19"/>
    <n v="119"/>
    <n v="0"/>
    <n v="5"/>
    <n v="10"/>
    <n v="5"/>
    <n v="1"/>
    <n v="0"/>
    <n v="0"/>
    <n v="1"/>
    <n v="0"/>
    <n v="1"/>
    <x v="1"/>
    <n v="0"/>
    <n v="3"/>
    <n v="11"/>
    <n v="0"/>
    <n v="72"/>
    <n v="2324"/>
    <n v="6.3671232876712329"/>
    <n v="0"/>
    <n v="1"/>
    <n v="0"/>
    <n v="0"/>
    <n v="0"/>
    <n v="0"/>
    <n v="0"/>
    <n v="1"/>
    <n v="0"/>
    <n v="0"/>
    <n v="1780"/>
    <n v="1661"/>
    <n v="119"/>
    <n v="2"/>
    <x v="1"/>
    <x v="1"/>
    <x v="0"/>
    <x v="0"/>
    <x v="1"/>
    <x v="2"/>
    <n v="0"/>
    <n v="0"/>
    <n v="21"/>
    <n v="10"/>
    <n v="5"/>
    <n v="9"/>
    <n v="24"/>
    <n v="9"/>
    <x v="0"/>
  </r>
  <r>
    <x v="96"/>
    <n v="81795"/>
    <n v="0"/>
    <n v="0"/>
    <n v="74"/>
    <n v="324"/>
    <n v="132"/>
    <n v="693"/>
    <n v="27"/>
    <n v="118"/>
    <n v="88"/>
    <n v="1"/>
    <n v="4"/>
    <n v="11"/>
    <n v="7"/>
    <n v="2"/>
    <n v="0"/>
    <n v="0"/>
    <n v="0"/>
    <n v="0"/>
    <n v="0"/>
    <x v="0"/>
    <n v="0"/>
    <n v="3"/>
    <n v="11"/>
    <n v="0"/>
    <n v="68"/>
    <n v="2770"/>
    <n v="7.5890410958904111"/>
    <n v="0"/>
    <n v="1"/>
    <n v="0"/>
    <n v="0"/>
    <n v="0"/>
    <n v="0"/>
    <n v="0"/>
    <n v="1"/>
    <n v="0"/>
    <n v="0"/>
    <n v="1294"/>
    <n v="1206"/>
    <n v="88"/>
    <n v="0"/>
    <x v="1"/>
    <x v="1"/>
    <x v="0"/>
    <x v="0"/>
    <x v="1"/>
    <x v="2"/>
    <n v="1"/>
    <n v="0"/>
    <n v="25"/>
    <n v="3.0000000000000004"/>
    <n v="7"/>
    <n v="8"/>
    <n v="18"/>
    <n v="6"/>
    <x v="1"/>
  </r>
  <r>
    <x v="97"/>
    <n v="87195"/>
    <n v="0"/>
    <n v="0"/>
    <n v="35"/>
    <n v="217"/>
    <n v="76"/>
    <n v="690"/>
    <n v="50"/>
    <n v="26"/>
    <n v="38"/>
    <n v="1"/>
    <n v="3"/>
    <n v="11"/>
    <n v="5"/>
    <n v="1"/>
    <n v="0"/>
    <n v="0"/>
    <n v="0"/>
    <n v="0"/>
    <n v="0"/>
    <x v="0"/>
    <n v="0"/>
    <n v="3"/>
    <n v="11"/>
    <n v="1"/>
    <n v="61"/>
    <n v="2211"/>
    <n v="6.0575342465753428"/>
    <n v="0"/>
    <n v="1"/>
    <n v="0"/>
    <n v="0"/>
    <n v="0"/>
    <n v="0"/>
    <n v="0"/>
    <n v="1"/>
    <n v="0"/>
    <n v="0"/>
    <n v="1059"/>
    <n v="1021"/>
    <n v="38"/>
    <n v="0"/>
    <x v="1"/>
    <x v="1"/>
    <x v="0"/>
    <x v="0"/>
    <x v="1"/>
    <x v="2"/>
    <n v="1"/>
    <n v="0"/>
    <n v="21"/>
    <n v="7"/>
    <n v="5"/>
    <n v="7"/>
    <n v="19"/>
    <n v="7"/>
    <x v="2"/>
  </r>
  <r>
    <x v="98"/>
    <n v="66636"/>
    <n v="0"/>
    <n v="0"/>
    <n v="64"/>
    <n v="291"/>
    <n v="10"/>
    <n v="689"/>
    <n v="84"/>
    <n v="10"/>
    <n v="0"/>
    <n v="1"/>
    <n v="3"/>
    <n v="4"/>
    <n v="9"/>
    <n v="1"/>
    <n v="0"/>
    <n v="0"/>
    <n v="0"/>
    <n v="0"/>
    <n v="0"/>
    <x v="0"/>
    <n v="0"/>
    <n v="3"/>
    <n v="11"/>
    <n v="0"/>
    <n v="63"/>
    <n v="2475"/>
    <n v="6.7808219178082192"/>
    <n v="0"/>
    <n v="0"/>
    <n v="0"/>
    <n v="1"/>
    <n v="0"/>
    <n v="0"/>
    <n v="0"/>
    <n v="0"/>
    <n v="1"/>
    <n v="0"/>
    <n v="1084"/>
    <n v="1084"/>
    <n v="0"/>
    <n v="0"/>
    <x v="1"/>
    <x v="1"/>
    <x v="2"/>
    <x v="1"/>
    <x v="2"/>
    <x v="2"/>
    <n v="1"/>
    <n v="0"/>
    <n v="18"/>
    <n v="4"/>
    <n v="4"/>
    <n v="7"/>
    <n v="15"/>
    <n v="4"/>
    <x v="3"/>
  </r>
  <r>
    <x v="99"/>
    <n v="80952"/>
    <n v="0"/>
    <n v="0"/>
    <n v="20"/>
    <n v="778"/>
    <n v="178"/>
    <n v="689"/>
    <n v="41"/>
    <n v="27"/>
    <n v="44"/>
    <n v="1"/>
    <n v="8"/>
    <n v="5"/>
    <n v="11"/>
    <n v="8"/>
    <n v="1"/>
    <n v="0"/>
    <n v="0"/>
    <n v="1"/>
    <n v="1"/>
    <x v="1"/>
    <n v="0"/>
    <n v="3"/>
    <n v="11"/>
    <n v="1"/>
    <n v="51"/>
    <n v="2645"/>
    <n v="7.2465753424657535"/>
    <n v="0"/>
    <n v="1"/>
    <n v="0"/>
    <n v="0"/>
    <n v="0"/>
    <n v="0"/>
    <n v="0"/>
    <n v="1"/>
    <n v="0"/>
    <n v="0"/>
    <n v="1713"/>
    <n v="1669"/>
    <n v="44"/>
    <n v="3"/>
    <x v="1"/>
    <x v="1"/>
    <x v="0"/>
    <x v="0"/>
    <x v="1"/>
    <x v="1"/>
    <n v="0"/>
    <n v="0"/>
    <n v="33"/>
    <n v="8"/>
    <n v="9"/>
    <n v="9"/>
    <n v="26"/>
    <n v="9"/>
    <x v="0"/>
  </r>
  <r>
    <x v="100"/>
    <n v="81380"/>
    <n v="0"/>
    <n v="0"/>
    <n v="51"/>
    <n v="741"/>
    <n v="68"/>
    <n v="689"/>
    <n v="224"/>
    <n v="68"/>
    <n v="103"/>
    <n v="1"/>
    <n v="4"/>
    <n v="2"/>
    <n v="10"/>
    <n v="2"/>
    <n v="0"/>
    <n v="0"/>
    <n v="0"/>
    <n v="0"/>
    <n v="0"/>
    <x v="0"/>
    <n v="0"/>
    <n v="3"/>
    <n v="11"/>
    <n v="0"/>
    <n v="53"/>
    <n v="2713"/>
    <n v="7.4328767123287669"/>
    <n v="1"/>
    <n v="0"/>
    <n v="0"/>
    <n v="0"/>
    <n v="0"/>
    <n v="0"/>
    <n v="0"/>
    <n v="0"/>
    <n v="1"/>
    <n v="0"/>
    <n v="1790"/>
    <n v="1687"/>
    <n v="103"/>
    <n v="0"/>
    <x v="1"/>
    <x v="1"/>
    <x v="3"/>
    <x v="1"/>
    <x v="1"/>
    <x v="1"/>
    <n v="1"/>
    <n v="0"/>
    <n v="19"/>
    <n v="5"/>
    <n v="4"/>
    <n v="9"/>
    <n v="18"/>
    <n v="6"/>
    <x v="1"/>
  </r>
  <r>
    <x v="101"/>
    <n v="78687"/>
    <n v="0"/>
    <n v="0"/>
    <n v="13"/>
    <n v="817"/>
    <n v="185"/>
    <n v="687"/>
    <n v="145"/>
    <n v="55"/>
    <n v="241"/>
    <n v="1"/>
    <n v="4"/>
    <n v="6"/>
    <n v="8"/>
    <n v="2"/>
    <n v="0"/>
    <n v="0"/>
    <n v="0"/>
    <n v="0"/>
    <n v="1"/>
    <x v="1"/>
    <n v="0"/>
    <n v="3"/>
    <n v="11"/>
    <n v="1"/>
    <n v="37"/>
    <n v="2848"/>
    <n v="7.8027397260273972"/>
    <n v="0"/>
    <n v="0"/>
    <n v="0"/>
    <n v="1"/>
    <n v="0"/>
    <n v="0"/>
    <n v="0"/>
    <n v="1"/>
    <n v="0"/>
    <n v="0"/>
    <n v="1889"/>
    <n v="1648"/>
    <n v="241"/>
    <n v="1"/>
    <x v="1"/>
    <x v="1"/>
    <x v="2"/>
    <x v="0"/>
    <x v="1"/>
    <x v="3"/>
    <n v="0"/>
    <n v="0"/>
    <n v="21"/>
    <n v="9"/>
    <n v="5"/>
    <n v="9"/>
    <n v="23"/>
    <n v="8"/>
    <x v="2"/>
  </r>
  <r>
    <x v="102"/>
    <n v="79419"/>
    <n v="0"/>
    <n v="0"/>
    <n v="96"/>
    <n v="751"/>
    <n v="127"/>
    <n v="687"/>
    <n v="20"/>
    <n v="15"/>
    <n v="31"/>
    <n v="1"/>
    <n v="4"/>
    <n v="6"/>
    <n v="4"/>
    <n v="2"/>
    <n v="0"/>
    <n v="0"/>
    <n v="0"/>
    <n v="0"/>
    <n v="0"/>
    <x v="0"/>
    <n v="0"/>
    <n v="3"/>
    <n v="11"/>
    <n v="0"/>
    <n v="50"/>
    <n v="2166"/>
    <n v="5.934246575342466"/>
    <n v="0"/>
    <n v="0"/>
    <n v="0"/>
    <n v="1"/>
    <n v="0"/>
    <n v="0"/>
    <n v="0"/>
    <n v="0"/>
    <n v="1"/>
    <n v="0"/>
    <n v="1600"/>
    <n v="1569"/>
    <n v="31"/>
    <n v="0"/>
    <x v="1"/>
    <x v="1"/>
    <x v="2"/>
    <x v="1"/>
    <x v="1"/>
    <x v="0"/>
    <n v="1"/>
    <n v="1"/>
    <n v="17"/>
    <n v="0.99999999999999978"/>
    <n v="3"/>
    <n v="9"/>
    <n v="13"/>
    <n v="3"/>
    <x v="3"/>
  </r>
  <r>
    <x v="103"/>
    <n v="82072"/>
    <n v="0"/>
    <n v="0"/>
    <n v="67"/>
    <n v="889"/>
    <n v="55"/>
    <n v="685"/>
    <n v="168"/>
    <n v="92"/>
    <n v="129"/>
    <n v="1"/>
    <n v="3"/>
    <n v="2"/>
    <n v="13"/>
    <n v="1"/>
    <n v="0"/>
    <n v="0"/>
    <n v="0"/>
    <n v="0"/>
    <n v="0"/>
    <x v="0"/>
    <n v="0"/>
    <n v="3"/>
    <n v="11"/>
    <n v="0"/>
    <n v="50"/>
    <n v="2521"/>
    <n v="6.9068493150684933"/>
    <n v="0"/>
    <n v="0"/>
    <n v="0"/>
    <n v="1"/>
    <n v="0"/>
    <n v="0"/>
    <n v="0"/>
    <n v="0"/>
    <n v="0"/>
    <n v="1"/>
    <n v="1889"/>
    <n v="1760"/>
    <n v="129"/>
    <n v="0"/>
    <x v="1"/>
    <x v="1"/>
    <x v="2"/>
    <x v="1"/>
    <x v="1"/>
    <x v="0"/>
    <n v="1"/>
    <n v="0"/>
    <n v="20"/>
    <n v="4"/>
    <n v="4"/>
    <n v="9"/>
    <n v="17"/>
    <n v="6"/>
    <x v="1"/>
  </r>
  <r>
    <x v="104"/>
    <n v="83528"/>
    <n v="0"/>
    <n v="0"/>
    <n v="7"/>
    <n v="530"/>
    <n v="117"/>
    <n v="678"/>
    <n v="134"/>
    <n v="44"/>
    <n v="147"/>
    <n v="1"/>
    <n v="4"/>
    <n v="10"/>
    <n v="8"/>
    <n v="1"/>
    <n v="1"/>
    <n v="0"/>
    <n v="1"/>
    <n v="0"/>
    <n v="0"/>
    <x v="1"/>
    <n v="0"/>
    <n v="3"/>
    <n v="11"/>
    <n v="1"/>
    <n v="28"/>
    <n v="2218"/>
    <n v="6.0767123287671234"/>
    <n v="0"/>
    <n v="0"/>
    <n v="1"/>
    <n v="0"/>
    <n v="0"/>
    <n v="0"/>
    <n v="0"/>
    <n v="1"/>
    <n v="0"/>
    <n v="0"/>
    <n v="1503"/>
    <n v="1356"/>
    <n v="147"/>
    <n v="2"/>
    <x v="1"/>
    <x v="1"/>
    <x v="1"/>
    <x v="0"/>
    <x v="1"/>
    <x v="4"/>
    <n v="0"/>
    <n v="0"/>
    <n v="24"/>
    <n v="10"/>
    <n v="6"/>
    <n v="9"/>
    <n v="25"/>
    <n v="9"/>
    <x v="0"/>
  </r>
  <r>
    <x v="105"/>
    <n v="78420"/>
    <n v="0"/>
    <n v="0"/>
    <n v="75"/>
    <n v="604"/>
    <n v="28"/>
    <n v="674"/>
    <n v="91"/>
    <n v="28"/>
    <n v="28"/>
    <n v="1"/>
    <n v="3"/>
    <n v="10"/>
    <n v="8"/>
    <n v="1"/>
    <n v="0"/>
    <n v="0"/>
    <n v="0"/>
    <n v="0"/>
    <n v="0"/>
    <x v="0"/>
    <n v="0"/>
    <n v="3"/>
    <n v="11"/>
    <n v="0"/>
    <n v="54"/>
    <n v="2524"/>
    <n v="6.9150684931506845"/>
    <n v="0"/>
    <n v="0"/>
    <n v="1"/>
    <n v="0"/>
    <n v="0"/>
    <n v="0"/>
    <n v="0"/>
    <n v="0"/>
    <n v="0"/>
    <n v="1"/>
    <n v="1425"/>
    <n v="1397"/>
    <n v="28"/>
    <n v="0"/>
    <x v="1"/>
    <x v="1"/>
    <x v="1"/>
    <x v="1"/>
    <x v="1"/>
    <x v="1"/>
    <n v="1"/>
    <n v="0"/>
    <n v="23"/>
    <n v="3.0000000000000004"/>
    <n v="6"/>
    <n v="8"/>
    <n v="17"/>
    <n v="6"/>
    <x v="1"/>
  </r>
  <r>
    <x v="106"/>
    <n v="80141"/>
    <n v="0"/>
    <n v="0"/>
    <n v="20"/>
    <n v="1184"/>
    <n v="102"/>
    <n v="673"/>
    <n v="52"/>
    <n v="40"/>
    <n v="40"/>
    <n v="1"/>
    <n v="7"/>
    <n v="4"/>
    <n v="10"/>
    <n v="6"/>
    <n v="0"/>
    <n v="0"/>
    <n v="0"/>
    <n v="0"/>
    <n v="1"/>
    <x v="1"/>
    <n v="0"/>
    <n v="3"/>
    <n v="11"/>
    <n v="1"/>
    <n v="34"/>
    <n v="2693"/>
    <n v="7.3780821917808215"/>
    <n v="0"/>
    <n v="1"/>
    <n v="0"/>
    <n v="0"/>
    <n v="0"/>
    <n v="0"/>
    <n v="0"/>
    <n v="0"/>
    <n v="1"/>
    <n v="0"/>
    <n v="2051"/>
    <n v="2011"/>
    <n v="40"/>
    <n v="1"/>
    <x v="1"/>
    <x v="1"/>
    <x v="0"/>
    <x v="1"/>
    <x v="1"/>
    <x v="3"/>
    <n v="0"/>
    <n v="0"/>
    <n v="28"/>
    <n v="8"/>
    <n v="8"/>
    <n v="9"/>
    <n v="25"/>
    <n v="9"/>
    <x v="0"/>
  </r>
  <r>
    <x v="107"/>
    <n v="82657"/>
    <n v="0"/>
    <n v="0"/>
    <n v="71"/>
    <n v="966"/>
    <n v="168"/>
    <n v="672"/>
    <n v="246"/>
    <n v="105"/>
    <n v="126"/>
    <n v="1"/>
    <n v="7"/>
    <n v="5"/>
    <n v="10"/>
    <n v="4"/>
    <n v="1"/>
    <n v="0"/>
    <n v="0"/>
    <n v="1"/>
    <n v="0"/>
    <x v="1"/>
    <n v="0"/>
    <n v="3"/>
    <n v="11"/>
    <n v="0"/>
    <n v="74"/>
    <n v="2434"/>
    <n v="6.6684931506849319"/>
    <n v="0"/>
    <n v="0"/>
    <n v="0"/>
    <n v="1"/>
    <n v="0"/>
    <n v="0"/>
    <n v="0"/>
    <n v="1"/>
    <n v="0"/>
    <n v="0"/>
    <n v="2157"/>
    <n v="2031"/>
    <n v="126"/>
    <n v="2"/>
    <x v="1"/>
    <x v="1"/>
    <x v="2"/>
    <x v="0"/>
    <x v="1"/>
    <x v="2"/>
    <n v="1"/>
    <n v="0"/>
    <n v="27"/>
    <n v="3.0000000000000004"/>
    <n v="7"/>
    <n v="9"/>
    <n v="19"/>
    <n v="7"/>
    <x v="2"/>
  </r>
  <r>
    <x v="108"/>
    <n v="90687"/>
    <n v="0"/>
    <n v="0"/>
    <n v="98"/>
    <n v="982"/>
    <n v="17"/>
    <n v="672"/>
    <n v="23"/>
    <n v="34"/>
    <n v="51"/>
    <n v="1"/>
    <n v="6"/>
    <n v="2"/>
    <n v="8"/>
    <n v="2"/>
    <n v="0"/>
    <n v="0"/>
    <n v="0"/>
    <n v="0"/>
    <n v="1"/>
    <x v="1"/>
    <n v="0"/>
    <n v="3"/>
    <n v="11"/>
    <n v="1"/>
    <n v="37"/>
    <n v="2562"/>
    <n v="7.0191780821917806"/>
    <n v="1"/>
    <n v="0"/>
    <n v="0"/>
    <n v="0"/>
    <n v="0"/>
    <n v="0"/>
    <n v="0"/>
    <n v="0"/>
    <n v="0"/>
    <n v="1"/>
    <n v="1728"/>
    <n v="1677"/>
    <n v="51"/>
    <n v="1"/>
    <x v="1"/>
    <x v="1"/>
    <x v="3"/>
    <x v="1"/>
    <x v="1"/>
    <x v="3"/>
    <n v="1"/>
    <n v="1"/>
    <n v="19"/>
    <n v="0.99999999999999978"/>
    <n v="4"/>
    <n v="9"/>
    <n v="14"/>
    <n v="4"/>
    <x v="3"/>
  </r>
  <r>
    <x v="109"/>
    <n v="80184"/>
    <n v="0"/>
    <n v="0"/>
    <n v="19"/>
    <n v="1035"/>
    <n v="134"/>
    <n v="670"/>
    <n v="25"/>
    <n v="38"/>
    <n v="0"/>
    <n v="1"/>
    <n v="6"/>
    <n v="3"/>
    <n v="10"/>
    <n v="3"/>
    <n v="1"/>
    <n v="0"/>
    <n v="0"/>
    <n v="0"/>
    <n v="1"/>
    <x v="1"/>
    <n v="0"/>
    <n v="3"/>
    <n v="11"/>
    <n v="0"/>
    <n v="76"/>
    <n v="2279"/>
    <n v="6.2438356164383562"/>
    <n v="0"/>
    <n v="1"/>
    <n v="0"/>
    <n v="0"/>
    <n v="0"/>
    <n v="0"/>
    <n v="0"/>
    <n v="0"/>
    <n v="1"/>
    <n v="0"/>
    <n v="1902"/>
    <n v="1902"/>
    <n v="0"/>
    <n v="2"/>
    <x v="1"/>
    <x v="1"/>
    <x v="0"/>
    <x v="1"/>
    <x v="1"/>
    <x v="2"/>
    <n v="0"/>
    <n v="0"/>
    <n v="23"/>
    <n v="9"/>
    <n v="6"/>
    <n v="9"/>
    <n v="24"/>
    <n v="9"/>
    <x v="0"/>
  </r>
  <r>
    <x v="110"/>
    <n v="89616"/>
    <n v="0"/>
    <n v="0"/>
    <n v="36"/>
    <n v="671"/>
    <n v="47"/>
    <n v="655"/>
    <n v="145"/>
    <n v="111"/>
    <n v="15"/>
    <n v="1"/>
    <n v="7"/>
    <n v="5"/>
    <n v="12"/>
    <n v="2"/>
    <n v="0"/>
    <n v="0"/>
    <n v="0"/>
    <n v="0"/>
    <n v="0"/>
    <x v="0"/>
    <n v="0"/>
    <n v="3"/>
    <n v="11"/>
    <n v="1"/>
    <n v="37"/>
    <n v="2648"/>
    <n v="7.2547945205479456"/>
    <n v="0"/>
    <n v="0"/>
    <n v="1"/>
    <n v="0"/>
    <n v="0"/>
    <n v="0"/>
    <n v="0"/>
    <n v="0"/>
    <n v="1"/>
    <n v="0"/>
    <n v="1629"/>
    <n v="1614"/>
    <n v="15"/>
    <n v="0"/>
    <x v="1"/>
    <x v="1"/>
    <x v="1"/>
    <x v="1"/>
    <x v="1"/>
    <x v="3"/>
    <n v="1"/>
    <n v="0"/>
    <n v="27"/>
    <n v="7"/>
    <n v="7"/>
    <n v="9"/>
    <n v="23"/>
    <n v="8"/>
    <x v="2"/>
  </r>
  <r>
    <x v="111"/>
    <n v="70792"/>
    <n v="0"/>
    <n v="0"/>
    <n v="82"/>
    <n v="344"/>
    <n v="45"/>
    <n v="654"/>
    <n v="104"/>
    <n v="11"/>
    <n v="114"/>
    <n v="2"/>
    <n v="3"/>
    <n v="4"/>
    <n v="10"/>
    <n v="3"/>
    <n v="0"/>
    <n v="0"/>
    <n v="0"/>
    <n v="0"/>
    <n v="0"/>
    <x v="0"/>
    <n v="0"/>
    <n v="3"/>
    <n v="11"/>
    <n v="0"/>
    <n v="69"/>
    <n v="2667"/>
    <n v="7.3068493150684928"/>
    <n v="0"/>
    <n v="0"/>
    <n v="0"/>
    <n v="0"/>
    <n v="1"/>
    <n v="0"/>
    <n v="0"/>
    <n v="1"/>
    <n v="0"/>
    <n v="0"/>
    <n v="1158"/>
    <n v="1044"/>
    <n v="114"/>
    <n v="0"/>
    <x v="1"/>
    <x v="1"/>
    <x v="4"/>
    <x v="0"/>
    <x v="2"/>
    <x v="2"/>
    <n v="1"/>
    <n v="0"/>
    <n v="22"/>
    <n v="1.9999999999999996"/>
    <n v="5"/>
    <n v="8"/>
    <n v="15"/>
    <n v="4"/>
    <x v="3"/>
  </r>
  <r>
    <x v="112"/>
    <n v="72335"/>
    <n v="0"/>
    <n v="0"/>
    <n v="2"/>
    <n v="1285"/>
    <n v="105"/>
    <n v="653"/>
    <n v="28"/>
    <n v="21"/>
    <n v="0"/>
    <n v="1"/>
    <n v="10"/>
    <n v="4"/>
    <n v="8"/>
    <n v="8"/>
    <n v="0"/>
    <n v="0"/>
    <n v="0"/>
    <n v="0"/>
    <n v="0"/>
    <x v="0"/>
    <n v="0"/>
    <n v="3"/>
    <n v="11"/>
    <n v="1"/>
    <n v="44"/>
    <n v="2844"/>
    <n v="7.7917808219178086"/>
    <n v="0"/>
    <n v="0"/>
    <n v="0"/>
    <n v="1"/>
    <n v="0"/>
    <n v="0"/>
    <n v="0"/>
    <n v="0"/>
    <n v="0"/>
    <n v="1"/>
    <n v="2092"/>
    <n v="2092"/>
    <n v="0"/>
    <n v="0"/>
    <x v="1"/>
    <x v="1"/>
    <x v="2"/>
    <x v="1"/>
    <x v="2"/>
    <x v="0"/>
    <n v="0"/>
    <n v="0"/>
    <n v="31"/>
    <n v="10"/>
    <n v="9"/>
    <n v="9"/>
    <n v="28"/>
    <n v="9"/>
    <x v="0"/>
  </r>
  <r>
    <x v="113"/>
    <n v="76140"/>
    <n v="0"/>
    <n v="0"/>
    <n v="57"/>
    <n v="586"/>
    <n v="66"/>
    <n v="653"/>
    <n v="17"/>
    <n v="0"/>
    <n v="26"/>
    <n v="1"/>
    <n v="5"/>
    <n v="9"/>
    <n v="6"/>
    <n v="2"/>
    <n v="0"/>
    <n v="0"/>
    <n v="0"/>
    <n v="0"/>
    <n v="0"/>
    <x v="0"/>
    <n v="0"/>
    <n v="3"/>
    <n v="11"/>
    <n v="0"/>
    <n v="72"/>
    <n v="2206"/>
    <n v="6.043835616438356"/>
    <n v="0"/>
    <n v="0"/>
    <n v="0"/>
    <n v="1"/>
    <n v="0"/>
    <n v="0"/>
    <n v="0"/>
    <n v="0"/>
    <n v="0"/>
    <n v="1"/>
    <n v="1322"/>
    <n v="1296"/>
    <n v="26"/>
    <n v="0"/>
    <x v="1"/>
    <x v="1"/>
    <x v="2"/>
    <x v="1"/>
    <x v="1"/>
    <x v="2"/>
    <n v="1"/>
    <n v="0"/>
    <n v="23"/>
    <n v="5"/>
    <n v="6"/>
    <n v="8"/>
    <n v="19"/>
    <n v="7"/>
    <x v="2"/>
  </r>
  <r>
    <x v="114"/>
    <n v="82170"/>
    <n v="0"/>
    <n v="0"/>
    <n v="13"/>
    <n v="1023"/>
    <n v="93"/>
    <n v="651"/>
    <n v="49"/>
    <n v="55"/>
    <n v="37"/>
    <n v="1"/>
    <n v="5"/>
    <n v="6"/>
    <n v="7"/>
    <n v="2"/>
    <n v="0"/>
    <n v="0"/>
    <n v="0"/>
    <n v="0"/>
    <n v="0"/>
    <x v="0"/>
    <n v="0"/>
    <n v="3"/>
    <n v="11"/>
    <n v="0"/>
    <n v="42"/>
    <n v="2375"/>
    <n v="6.506849315068493"/>
    <n v="0"/>
    <n v="1"/>
    <n v="0"/>
    <n v="0"/>
    <n v="0"/>
    <n v="0"/>
    <n v="0"/>
    <n v="0"/>
    <n v="0"/>
    <n v="1"/>
    <n v="1871"/>
    <n v="1834"/>
    <n v="37"/>
    <n v="0"/>
    <x v="1"/>
    <x v="1"/>
    <x v="0"/>
    <x v="1"/>
    <x v="1"/>
    <x v="0"/>
    <n v="0"/>
    <n v="0"/>
    <n v="21"/>
    <n v="9"/>
    <n v="5"/>
    <n v="9"/>
    <n v="23"/>
    <n v="8"/>
    <x v="2"/>
  </r>
  <r>
    <x v="115"/>
    <n v="83273"/>
    <n v="1"/>
    <n v="2"/>
    <n v="98"/>
    <n v="433"/>
    <n v="89"/>
    <n v="650"/>
    <n v="16"/>
    <n v="102"/>
    <n v="102"/>
    <n v="10"/>
    <n v="4"/>
    <n v="6"/>
    <n v="9"/>
    <n v="7"/>
    <n v="0"/>
    <n v="0"/>
    <n v="0"/>
    <n v="0"/>
    <n v="0"/>
    <x v="0"/>
    <n v="0"/>
    <n v="3"/>
    <n v="11"/>
    <n v="0"/>
    <n v="50"/>
    <n v="2801"/>
    <n v="7.6739726027397257"/>
    <n v="0"/>
    <n v="0"/>
    <n v="1"/>
    <n v="0"/>
    <n v="0"/>
    <n v="0"/>
    <n v="0"/>
    <n v="1"/>
    <n v="0"/>
    <n v="0"/>
    <n v="1290"/>
    <n v="1188"/>
    <n v="102"/>
    <n v="0"/>
    <x v="0"/>
    <x v="0"/>
    <x v="1"/>
    <x v="0"/>
    <x v="1"/>
    <x v="0"/>
    <n v="1"/>
    <n v="1"/>
    <n v="36"/>
    <n v="0.99999999999999978"/>
    <n v="9"/>
    <n v="8"/>
    <n v="18"/>
    <n v="6"/>
    <x v="1"/>
  </r>
  <r>
    <x v="116"/>
    <n v="90226"/>
    <n v="0"/>
    <n v="0"/>
    <n v="26"/>
    <n v="1083"/>
    <n v="108"/>
    <n v="649"/>
    <n v="253"/>
    <n v="151"/>
    <n v="108"/>
    <n v="1"/>
    <n v="4"/>
    <n v="7"/>
    <n v="12"/>
    <n v="2"/>
    <n v="1"/>
    <n v="0"/>
    <n v="0"/>
    <n v="0"/>
    <n v="0"/>
    <x v="1"/>
    <n v="0"/>
    <n v="3"/>
    <n v="11"/>
    <n v="0"/>
    <n v="64"/>
    <n v="2800"/>
    <n v="7.6712328767123283"/>
    <n v="0"/>
    <n v="1"/>
    <n v="0"/>
    <n v="0"/>
    <n v="0"/>
    <n v="0"/>
    <n v="0"/>
    <n v="0"/>
    <n v="1"/>
    <n v="0"/>
    <n v="2244"/>
    <n v="2136"/>
    <n v="108"/>
    <n v="1"/>
    <x v="1"/>
    <x v="1"/>
    <x v="0"/>
    <x v="1"/>
    <x v="1"/>
    <x v="2"/>
    <n v="0"/>
    <n v="0"/>
    <n v="26"/>
    <n v="8"/>
    <n v="7"/>
    <n v="9"/>
    <n v="24"/>
    <n v="9"/>
    <x v="0"/>
  </r>
  <r>
    <x v="117"/>
    <n v="79689"/>
    <n v="0"/>
    <n v="0"/>
    <n v="65"/>
    <n v="311"/>
    <n v="26"/>
    <n v="640"/>
    <n v="180"/>
    <n v="37"/>
    <n v="121"/>
    <n v="1"/>
    <n v="4"/>
    <n v="9"/>
    <n v="13"/>
    <n v="2"/>
    <n v="0"/>
    <n v="0"/>
    <n v="0"/>
    <n v="0"/>
    <n v="0"/>
    <x v="0"/>
    <n v="0"/>
    <n v="3"/>
    <n v="11"/>
    <n v="0"/>
    <n v="44"/>
    <n v="2572"/>
    <n v="7.0465753424657533"/>
    <n v="0"/>
    <n v="0"/>
    <n v="1"/>
    <n v="0"/>
    <n v="0"/>
    <n v="1"/>
    <n v="0"/>
    <n v="0"/>
    <n v="0"/>
    <n v="0"/>
    <n v="1194"/>
    <n v="1073"/>
    <n v="121"/>
    <n v="0"/>
    <x v="1"/>
    <x v="1"/>
    <x v="1"/>
    <x v="1"/>
    <x v="1"/>
    <x v="0"/>
    <n v="1"/>
    <n v="0"/>
    <n v="29"/>
    <n v="4"/>
    <n v="8"/>
    <n v="8"/>
    <n v="20"/>
    <n v="7"/>
    <x v="2"/>
  </r>
  <r>
    <x v="118"/>
    <n v="78093"/>
    <n v="0"/>
    <n v="0"/>
    <n v="53"/>
    <n v="368"/>
    <n v="32"/>
    <n v="639"/>
    <n v="13"/>
    <n v="43"/>
    <n v="10"/>
    <n v="1"/>
    <n v="4"/>
    <n v="7"/>
    <n v="5"/>
    <n v="1"/>
    <n v="0"/>
    <n v="0"/>
    <n v="0"/>
    <n v="0"/>
    <n v="0"/>
    <x v="0"/>
    <n v="0"/>
    <n v="3"/>
    <n v="11"/>
    <n v="0"/>
    <n v="73"/>
    <n v="2359"/>
    <n v="6.463013698630137"/>
    <n v="0"/>
    <n v="0"/>
    <n v="0"/>
    <n v="1"/>
    <n v="0"/>
    <n v="0"/>
    <n v="0"/>
    <n v="0"/>
    <n v="1"/>
    <n v="0"/>
    <n v="1095"/>
    <n v="1085"/>
    <n v="10"/>
    <n v="0"/>
    <x v="1"/>
    <x v="1"/>
    <x v="2"/>
    <x v="1"/>
    <x v="1"/>
    <x v="2"/>
    <n v="1"/>
    <n v="0"/>
    <n v="18"/>
    <n v="5"/>
    <n v="4"/>
    <n v="7"/>
    <n v="16"/>
    <n v="5"/>
    <x v="1"/>
  </r>
  <r>
    <x v="119"/>
    <n v="69882"/>
    <n v="0"/>
    <n v="0"/>
    <n v="94"/>
    <n v="292"/>
    <n v="127"/>
    <n v="635"/>
    <n v="132"/>
    <n v="127"/>
    <n v="165"/>
    <n v="1"/>
    <n v="3"/>
    <n v="7"/>
    <n v="9"/>
    <n v="1"/>
    <n v="0"/>
    <n v="0"/>
    <n v="0"/>
    <n v="0"/>
    <n v="0"/>
    <x v="0"/>
    <n v="0"/>
    <n v="3"/>
    <n v="11"/>
    <n v="0"/>
    <n v="55"/>
    <n v="2390"/>
    <n v="6.5479452054794525"/>
    <n v="0"/>
    <n v="0"/>
    <n v="1"/>
    <n v="0"/>
    <n v="0"/>
    <n v="0"/>
    <n v="0"/>
    <n v="0"/>
    <n v="1"/>
    <n v="0"/>
    <n v="1313"/>
    <n v="1148"/>
    <n v="165"/>
    <n v="0"/>
    <x v="1"/>
    <x v="1"/>
    <x v="1"/>
    <x v="1"/>
    <x v="2"/>
    <x v="1"/>
    <n v="1"/>
    <n v="1"/>
    <n v="21"/>
    <n v="0.99999999999999978"/>
    <n v="5"/>
    <n v="8"/>
    <n v="14"/>
    <n v="4"/>
    <x v="3"/>
  </r>
  <r>
    <x v="120"/>
    <n v="80617"/>
    <n v="0"/>
    <n v="0"/>
    <n v="42"/>
    <n v="594"/>
    <n v="51"/>
    <n v="631"/>
    <n v="72"/>
    <n v="55"/>
    <n v="32"/>
    <n v="1"/>
    <n v="4"/>
    <n v="6"/>
    <n v="8"/>
    <n v="2"/>
    <n v="0"/>
    <n v="0"/>
    <n v="0"/>
    <n v="0"/>
    <n v="0"/>
    <x v="0"/>
    <n v="0"/>
    <n v="3"/>
    <n v="11"/>
    <n v="0"/>
    <n v="25"/>
    <n v="2784"/>
    <n v="7.6273972602739724"/>
    <n v="0"/>
    <n v="0"/>
    <n v="1"/>
    <n v="0"/>
    <n v="0"/>
    <n v="1"/>
    <n v="0"/>
    <n v="0"/>
    <n v="0"/>
    <n v="0"/>
    <n v="1403"/>
    <n v="1371"/>
    <n v="32"/>
    <n v="0"/>
    <x v="1"/>
    <x v="1"/>
    <x v="1"/>
    <x v="1"/>
    <x v="1"/>
    <x v="4"/>
    <n v="1"/>
    <n v="0"/>
    <n v="21"/>
    <n v="6"/>
    <n v="5"/>
    <n v="8"/>
    <n v="19"/>
    <n v="7"/>
    <x v="2"/>
  </r>
  <r>
    <x v="121"/>
    <n v="75702"/>
    <n v="0"/>
    <n v="1"/>
    <n v="87"/>
    <n v="1073"/>
    <n v="0"/>
    <n v="629"/>
    <n v="145"/>
    <n v="37"/>
    <n v="37"/>
    <n v="1"/>
    <n v="10"/>
    <n v="5"/>
    <n v="13"/>
    <n v="6"/>
    <n v="0"/>
    <n v="0"/>
    <n v="0"/>
    <n v="0"/>
    <n v="1"/>
    <x v="1"/>
    <n v="0"/>
    <n v="3"/>
    <n v="11"/>
    <n v="0"/>
    <n v="46"/>
    <n v="2782"/>
    <n v="7.6219178082191785"/>
    <n v="0"/>
    <n v="0"/>
    <n v="0"/>
    <n v="1"/>
    <n v="0"/>
    <n v="0"/>
    <n v="0"/>
    <n v="1"/>
    <n v="0"/>
    <n v="0"/>
    <n v="1884"/>
    <n v="1847"/>
    <n v="37"/>
    <n v="1"/>
    <x v="0"/>
    <x v="0"/>
    <x v="2"/>
    <x v="0"/>
    <x v="1"/>
    <x v="0"/>
    <n v="1"/>
    <n v="0"/>
    <n v="35"/>
    <n v="1.9999999999999996"/>
    <n v="9"/>
    <n v="9"/>
    <n v="20"/>
    <n v="7"/>
    <x v="2"/>
  </r>
  <r>
    <x v="122"/>
    <n v="75794"/>
    <n v="0"/>
    <n v="0"/>
    <n v="33"/>
    <n v="754"/>
    <n v="160"/>
    <n v="625"/>
    <n v="63"/>
    <n v="32"/>
    <n v="48"/>
    <n v="1"/>
    <n v="7"/>
    <n v="5"/>
    <n v="12"/>
    <n v="3"/>
    <n v="1"/>
    <n v="0"/>
    <n v="0"/>
    <n v="0"/>
    <n v="0"/>
    <x v="1"/>
    <n v="0"/>
    <n v="3"/>
    <n v="11"/>
    <n v="0"/>
    <n v="33"/>
    <n v="2346"/>
    <n v="6.4273972602739722"/>
    <n v="0"/>
    <n v="1"/>
    <n v="0"/>
    <n v="0"/>
    <n v="0"/>
    <n v="0"/>
    <n v="0"/>
    <n v="1"/>
    <n v="0"/>
    <n v="0"/>
    <n v="1634"/>
    <n v="1586"/>
    <n v="48"/>
    <n v="1"/>
    <x v="1"/>
    <x v="1"/>
    <x v="0"/>
    <x v="0"/>
    <x v="1"/>
    <x v="3"/>
    <n v="1"/>
    <n v="0"/>
    <n v="28"/>
    <n v="7"/>
    <n v="8"/>
    <n v="9"/>
    <n v="24"/>
    <n v="9"/>
    <x v="0"/>
  </r>
  <r>
    <x v="123"/>
    <n v="78569"/>
    <n v="0"/>
    <n v="0"/>
    <n v="14"/>
    <n v="558"/>
    <n v="79"/>
    <n v="622"/>
    <n v="207"/>
    <n v="175"/>
    <n v="95"/>
    <n v="1"/>
    <n v="4"/>
    <n v="6"/>
    <n v="4"/>
    <n v="1"/>
    <n v="0"/>
    <n v="0"/>
    <n v="0"/>
    <n v="0"/>
    <n v="1"/>
    <x v="1"/>
    <n v="0"/>
    <n v="3"/>
    <n v="11"/>
    <n v="1"/>
    <n v="74"/>
    <n v="2289"/>
    <n v="6.2712328767123289"/>
    <n v="0"/>
    <n v="1"/>
    <n v="0"/>
    <n v="0"/>
    <n v="0"/>
    <n v="0"/>
    <n v="0"/>
    <n v="1"/>
    <n v="0"/>
    <n v="0"/>
    <n v="1641"/>
    <n v="1546"/>
    <n v="95"/>
    <n v="1"/>
    <x v="1"/>
    <x v="1"/>
    <x v="0"/>
    <x v="0"/>
    <x v="1"/>
    <x v="2"/>
    <n v="0"/>
    <n v="0"/>
    <n v="16"/>
    <n v="9"/>
    <n v="3"/>
    <n v="9"/>
    <n v="21"/>
    <n v="8"/>
    <x v="2"/>
  </r>
  <r>
    <x v="124"/>
    <n v="72025"/>
    <n v="0"/>
    <n v="0"/>
    <n v="46"/>
    <n v="967"/>
    <n v="0"/>
    <n v="617"/>
    <n v="43"/>
    <n v="50"/>
    <n v="0"/>
    <n v="1"/>
    <n v="4"/>
    <n v="8"/>
    <n v="13"/>
    <n v="2"/>
    <n v="1"/>
    <n v="0"/>
    <n v="0"/>
    <n v="1"/>
    <n v="1"/>
    <x v="1"/>
    <n v="0"/>
    <n v="3"/>
    <n v="11"/>
    <n v="1"/>
    <n v="71"/>
    <n v="2220"/>
    <n v="6.0821917808219181"/>
    <n v="0"/>
    <n v="1"/>
    <n v="0"/>
    <n v="0"/>
    <n v="0"/>
    <n v="0"/>
    <n v="0"/>
    <n v="1"/>
    <n v="0"/>
    <n v="0"/>
    <n v="1677"/>
    <n v="1677"/>
    <n v="0"/>
    <n v="3"/>
    <x v="1"/>
    <x v="1"/>
    <x v="0"/>
    <x v="0"/>
    <x v="2"/>
    <x v="2"/>
    <n v="1"/>
    <n v="0"/>
    <n v="28"/>
    <n v="6"/>
    <n v="8"/>
    <n v="9"/>
    <n v="23"/>
    <n v="8"/>
    <x v="2"/>
  </r>
  <r>
    <x v="125"/>
    <n v="74859"/>
    <n v="0"/>
    <n v="0"/>
    <n v="63"/>
    <n v="570"/>
    <n v="73"/>
    <n v="614"/>
    <n v="133"/>
    <n v="102"/>
    <n v="73"/>
    <n v="1"/>
    <n v="6"/>
    <n v="5"/>
    <n v="11"/>
    <n v="3"/>
    <n v="1"/>
    <n v="0"/>
    <n v="0"/>
    <n v="0"/>
    <n v="0"/>
    <x v="1"/>
    <n v="0"/>
    <n v="3"/>
    <n v="11"/>
    <n v="0"/>
    <n v="71"/>
    <n v="2550"/>
    <n v="6.9863013698630141"/>
    <n v="0"/>
    <n v="0"/>
    <n v="0"/>
    <n v="0"/>
    <n v="1"/>
    <n v="1"/>
    <n v="0"/>
    <n v="0"/>
    <n v="0"/>
    <n v="0"/>
    <n v="1492"/>
    <n v="1419"/>
    <n v="73"/>
    <n v="1"/>
    <x v="1"/>
    <x v="1"/>
    <x v="4"/>
    <x v="1"/>
    <x v="2"/>
    <x v="2"/>
    <n v="1"/>
    <n v="0"/>
    <n v="26"/>
    <n v="4"/>
    <n v="7"/>
    <n v="9"/>
    <n v="20"/>
    <n v="7"/>
    <x v="2"/>
  </r>
  <r>
    <x v="126"/>
    <n v="81169"/>
    <n v="0"/>
    <n v="0"/>
    <n v="47"/>
    <n v="1288"/>
    <n v="20"/>
    <n v="613"/>
    <n v="80"/>
    <n v="61"/>
    <n v="27"/>
    <n v="1"/>
    <n v="5"/>
    <n v="7"/>
    <n v="9"/>
    <n v="2"/>
    <n v="0"/>
    <n v="0"/>
    <n v="0"/>
    <n v="0"/>
    <n v="0"/>
    <x v="0"/>
    <n v="0"/>
    <n v="3"/>
    <n v="11"/>
    <n v="0"/>
    <n v="45"/>
    <n v="2600"/>
    <n v="7.1232876712328768"/>
    <n v="0"/>
    <n v="0"/>
    <n v="1"/>
    <n v="0"/>
    <n v="0"/>
    <n v="0"/>
    <n v="0"/>
    <n v="0"/>
    <n v="1"/>
    <n v="0"/>
    <n v="2062"/>
    <n v="2035"/>
    <n v="27"/>
    <n v="0"/>
    <x v="1"/>
    <x v="1"/>
    <x v="1"/>
    <x v="1"/>
    <x v="1"/>
    <x v="0"/>
    <n v="1"/>
    <n v="0"/>
    <n v="24"/>
    <n v="6"/>
    <n v="6"/>
    <n v="9"/>
    <n v="21"/>
    <n v="8"/>
    <x v="2"/>
  </r>
  <r>
    <x v="127"/>
    <n v="88420"/>
    <n v="0"/>
    <n v="0"/>
    <n v="87"/>
    <n v="957"/>
    <n v="153"/>
    <n v="612"/>
    <n v="99"/>
    <n v="95"/>
    <n v="153"/>
    <n v="1"/>
    <n v="4"/>
    <n v="7"/>
    <n v="8"/>
    <n v="1"/>
    <n v="1"/>
    <n v="0"/>
    <n v="1"/>
    <n v="0"/>
    <n v="1"/>
    <x v="1"/>
    <n v="0"/>
    <n v="3"/>
    <n v="11"/>
    <n v="0"/>
    <n v="31"/>
    <n v="2217"/>
    <n v="6.0739726027397261"/>
    <n v="0"/>
    <n v="0"/>
    <n v="0"/>
    <n v="1"/>
    <n v="0"/>
    <n v="0"/>
    <n v="0"/>
    <n v="0"/>
    <n v="1"/>
    <n v="0"/>
    <n v="1916"/>
    <n v="1763"/>
    <n v="153"/>
    <n v="3"/>
    <x v="1"/>
    <x v="1"/>
    <x v="2"/>
    <x v="1"/>
    <x v="1"/>
    <x v="3"/>
    <n v="1"/>
    <n v="0"/>
    <n v="21"/>
    <n v="1.9999999999999996"/>
    <n v="5"/>
    <n v="9"/>
    <n v="16"/>
    <n v="5"/>
    <x v="1"/>
  </r>
  <r>
    <x v="128"/>
    <n v="85485"/>
    <n v="0"/>
    <n v="0"/>
    <n v="73"/>
    <n v="630"/>
    <n v="26"/>
    <n v="611"/>
    <n v="44"/>
    <n v="18"/>
    <n v="54"/>
    <n v="1"/>
    <n v="6"/>
    <n v="6"/>
    <n v="6"/>
    <n v="2"/>
    <n v="0"/>
    <n v="0"/>
    <n v="0"/>
    <n v="0"/>
    <n v="0"/>
    <x v="0"/>
    <n v="0"/>
    <n v="3"/>
    <n v="11"/>
    <n v="0"/>
    <n v="62"/>
    <n v="2167"/>
    <n v="5.9369863013698634"/>
    <n v="0"/>
    <n v="0"/>
    <n v="1"/>
    <n v="0"/>
    <n v="0"/>
    <n v="1"/>
    <n v="0"/>
    <n v="0"/>
    <n v="0"/>
    <n v="0"/>
    <n v="1329"/>
    <n v="1275"/>
    <n v="54"/>
    <n v="0"/>
    <x v="1"/>
    <x v="1"/>
    <x v="1"/>
    <x v="1"/>
    <x v="1"/>
    <x v="2"/>
    <n v="1"/>
    <n v="0"/>
    <n v="21"/>
    <n v="3.0000000000000004"/>
    <n v="5"/>
    <n v="8"/>
    <n v="16"/>
    <n v="5"/>
    <x v="1"/>
  </r>
  <r>
    <x v="129"/>
    <n v="87000"/>
    <n v="0"/>
    <n v="0"/>
    <n v="61"/>
    <n v="196"/>
    <n v="25"/>
    <n v="607"/>
    <n v="67"/>
    <n v="17"/>
    <n v="49"/>
    <n v="1"/>
    <n v="4"/>
    <n v="6"/>
    <n v="7"/>
    <n v="2"/>
    <n v="0"/>
    <n v="0"/>
    <n v="0"/>
    <n v="0"/>
    <n v="0"/>
    <x v="0"/>
    <n v="0"/>
    <n v="3"/>
    <n v="11"/>
    <n v="0"/>
    <n v="28"/>
    <n v="2720"/>
    <n v="7.4520547945205475"/>
    <n v="0"/>
    <n v="1"/>
    <n v="0"/>
    <n v="0"/>
    <n v="0"/>
    <n v="1"/>
    <n v="0"/>
    <n v="0"/>
    <n v="0"/>
    <n v="0"/>
    <n v="912"/>
    <n v="863"/>
    <n v="49"/>
    <n v="0"/>
    <x v="1"/>
    <x v="1"/>
    <x v="0"/>
    <x v="1"/>
    <x v="1"/>
    <x v="4"/>
    <n v="1"/>
    <n v="0"/>
    <n v="20"/>
    <n v="4"/>
    <n v="4"/>
    <n v="7"/>
    <n v="15"/>
    <n v="4"/>
    <x v="3"/>
  </r>
  <r>
    <x v="130"/>
    <n v="82025"/>
    <n v="0"/>
    <n v="0"/>
    <n v="76"/>
    <n v="267"/>
    <n v="98"/>
    <n v="606"/>
    <n v="48"/>
    <n v="70"/>
    <n v="98"/>
    <n v="1"/>
    <n v="3"/>
    <n v="2"/>
    <n v="6"/>
    <n v="1"/>
    <n v="0"/>
    <n v="0"/>
    <n v="0"/>
    <n v="0"/>
    <n v="1"/>
    <x v="1"/>
    <n v="0"/>
    <n v="3"/>
    <n v="11"/>
    <n v="1"/>
    <n v="37"/>
    <n v="2556"/>
    <n v="7.0027397260273974"/>
    <n v="1"/>
    <n v="0"/>
    <n v="0"/>
    <n v="0"/>
    <n v="0"/>
    <n v="0"/>
    <n v="0"/>
    <n v="1"/>
    <n v="0"/>
    <n v="0"/>
    <n v="1089"/>
    <n v="991"/>
    <n v="98"/>
    <n v="1"/>
    <x v="1"/>
    <x v="1"/>
    <x v="3"/>
    <x v="0"/>
    <x v="1"/>
    <x v="3"/>
    <n v="1"/>
    <n v="0"/>
    <n v="13"/>
    <n v="3.0000000000000004"/>
    <n v="1"/>
    <n v="7"/>
    <n v="11"/>
    <n v="2"/>
    <x v="3"/>
  </r>
  <r>
    <x v="131"/>
    <n v="80685"/>
    <n v="0"/>
    <n v="0"/>
    <n v="55"/>
    <n v="241"/>
    <n v="45"/>
    <n v="604"/>
    <n v="34"/>
    <n v="26"/>
    <n v="54"/>
    <n v="1"/>
    <n v="6"/>
    <n v="4"/>
    <n v="10"/>
    <n v="2"/>
    <n v="0"/>
    <n v="0"/>
    <n v="0"/>
    <n v="0"/>
    <n v="0"/>
    <x v="0"/>
    <n v="0"/>
    <n v="3"/>
    <n v="11"/>
    <n v="0"/>
    <n v="26"/>
    <n v="2835"/>
    <n v="7.7671232876712333"/>
    <n v="0"/>
    <n v="0"/>
    <n v="0"/>
    <n v="1"/>
    <n v="0"/>
    <n v="0"/>
    <n v="0"/>
    <n v="1"/>
    <n v="0"/>
    <n v="0"/>
    <n v="950"/>
    <n v="896"/>
    <n v="54"/>
    <n v="0"/>
    <x v="1"/>
    <x v="1"/>
    <x v="2"/>
    <x v="0"/>
    <x v="1"/>
    <x v="4"/>
    <n v="1"/>
    <n v="0"/>
    <n v="23"/>
    <n v="5"/>
    <n v="6"/>
    <n v="7"/>
    <n v="18"/>
    <n v="6"/>
    <x v="1"/>
  </r>
  <r>
    <x v="132"/>
    <n v="70116"/>
    <n v="0"/>
    <n v="0"/>
    <n v="73"/>
    <n v="707"/>
    <n v="44"/>
    <n v="603"/>
    <n v="95"/>
    <n v="58"/>
    <n v="29"/>
    <n v="1"/>
    <n v="2"/>
    <n v="8"/>
    <n v="12"/>
    <n v="1"/>
    <n v="0"/>
    <n v="0"/>
    <n v="0"/>
    <n v="0"/>
    <n v="0"/>
    <x v="0"/>
    <n v="0"/>
    <n v="3"/>
    <n v="11"/>
    <n v="0"/>
    <n v="48"/>
    <n v="2678"/>
    <n v="7.3369863013698629"/>
    <n v="0"/>
    <n v="1"/>
    <n v="0"/>
    <n v="0"/>
    <n v="0"/>
    <n v="0"/>
    <n v="0"/>
    <n v="0"/>
    <n v="0"/>
    <n v="1"/>
    <n v="1507"/>
    <n v="1478"/>
    <n v="29"/>
    <n v="0"/>
    <x v="1"/>
    <x v="1"/>
    <x v="0"/>
    <x v="1"/>
    <x v="2"/>
    <x v="0"/>
    <n v="1"/>
    <n v="0"/>
    <n v="24"/>
    <n v="3.0000000000000004"/>
    <n v="6"/>
    <n v="9"/>
    <n v="18"/>
    <n v="6"/>
    <x v="1"/>
  </r>
  <r>
    <x v="133"/>
    <n v="84953"/>
    <n v="0"/>
    <n v="0"/>
    <n v="73"/>
    <n v="167"/>
    <n v="48"/>
    <n v="602"/>
    <n v="63"/>
    <n v="72"/>
    <n v="72"/>
    <n v="1"/>
    <n v="3"/>
    <n v="10"/>
    <n v="4"/>
    <n v="2"/>
    <n v="1"/>
    <n v="0"/>
    <n v="0"/>
    <n v="1"/>
    <n v="1"/>
    <x v="1"/>
    <n v="0"/>
    <n v="3"/>
    <n v="11"/>
    <n v="1"/>
    <n v="67"/>
    <n v="2550"/>
    <n v="6.9863013698630141"/>
    <n v="0"/>
    <n v="0"/>
    <n v="0"/>
    <n v="0"/>
    <n v="1"/>
    <n v="0"/>
    <n v="0"/>
    <n v="0"/>
    <n v="1"/>
    <n v="0"/>
    <n v="952"/>
    <n v="880"/>
    <n v="72"/>
    <n v="3"/>
    <x v="1"/>
    <x v="1"/>
    <x v="4"/>
    <x v="1"/>
    <x v="1"/>
    <x v="2"/>
    <n v="1"/>
    <n v="0"/>
    <n v="20"/>
    <n v="3.0000000000000004"/>
    <n v="4"/>
    <n v="7"/>
    <n v="14"/>
    <n v="4"/>
    <x v="3"/>
  </r>
  <r>
    <x v="134"/>
    <n v="73892"/>
    <n v="0"/>
    <n v="0"/>
    <n v="40"/>
    <n v="703"/>
    <n v="102"/>
    <n v="601"/>
    <n v="0"/>
    <n v="58"/>
    <n v="43"/>
    <n v="1"/>
    <n v="3"/>
    <n v="11"/>
    <n v="8"/>
    <n v="1"/>
    <n v="0"/>
    <n v="0"/>
    <n v="0"/>
    <n v="0"/>
    <n v="0"/>
    <x v="0"/>
    <n v="0"/>
    <n v="3"/>
    <n v="11"/>
    <n v="1"/>
    <n v="67"/>
    <n v="2387"/>
    <n v="6.5397260273972604"/>
    <n v="0"/>
    <n v="0"/>
    <n v="1"/>
    <n v="0"/>
    <n v="0"/>
    <n v="0"/>
    <n v="0"/>
    <n v="1"/>
    <n v="0"/>
    <n v="0"/>
    <n v="1464"/>
    <n v="1421"/>
    <n v="43"/>
    <n v="0"/>
    <x v="1"/>
    <x v="1"/>
    <x v="1"/>
    <x v="0"/>
    <x v="2"/>
    <x v="2"/>
    <n v="1"/>
    <n v="0"/>
    <n v="24"/>
    <n v="6"/>
    <n v="6"/>
    <n v="8"/>
    <n v="20"/>
    <n v="7"/>
    <x v="2"/>
  </r>
  <r>
    <x v="135"/>
    <n v="57136"/>
    <n v="0"/>
    <n v="0"/>
    <n v="18"/>
    <n v="267"/>
    <n v="140"/>
    <n v="599"/>
    <n v="34"/>
    <n v="12"/>
    <n v="127"/>
    <n v="1"/>
    <n v="7"/>
    <n v="5"/>
    <n v="7"/>
    <n v="6"/>
    <n v="0"/>
    <n v="0"/>
    <n v="0"/>
    <n v="0"/>
    <n v="0"/>
    <x v="0"/>
    <n v="0"/>
    <n v="3"/>
    <n v="11"/>
    <n v="1"/>
    <n v="53"/>
    <n v="2566"/>
    <n v="7.0301369863013701"/>
    <n v="1"/>
    <n v="0"/>
    <n v="0"/>
    <n v="0"/>
    <n v="0"/>
    <n v="0"/>
    <n v="0"/>
    <n v="1"/>
    <n v="0"/>
    <n v="0"/>
    <n v="1052"/>
    <n v="925"/>
    <n v="127"/>
    <n v="0"/>
    <x v="1"/>
    <x v="1"/>
    <x v="3"/>
    <x v="0"/>
    <x v="2"/>
    <x v="1"/>
    <n v="0"/>
    <n v="0"/>
    <n v="26"/>
    <n v="9"/>
    <n v="7"/>
    <n v="7"/>
    <n v="23"/>
    <n v="8"/>
    <x v="2"/>
  </r>
  <r>
    <x v="136"/>
    <n v="72190"/>
    <n v="0"/>
    <n v="0"/>
    <n v="79"/>
    <n v="597"/>
    <n v="166"/>
    <n v="597"/>
    <n v="172"/>
    <n v="166"/>
    <n v="249"/>
    <n v="1"/>
    <n v="5"/>
    <n v="6"/>
    <n v="4"/>
    <n v="3"/>
    <n v="0"/>
    <n v="0"/>
    <n v="0"/>
    <n v="0"/>
    <n v="0"/>
    <x v="0"/>
    <n v="0"/>
    <n v="3"/>
    <n v="11"/>
    <n v="0"/>
    <n v="55"/>
    <n v="2660"/>
    <n v="7.2876712328767121"/>
    <n v="0"/>
    <n v="1"/>
    <n v="0"/>
    <n v="0"/>
    <n v="0"/>
    <n v="0"/>
    <n v="0"/>
    <n v="1"/>
    <n v="0"/>
    <n v="0"/>
    <n v="1698"/>
    <n v="1449"/>
    <n v="249"/>
    <n v="0"/>
    <x v="1"/>
    <x v="1"/>
    <x v="0"/>
    <x v="0"/>
    <x v="2"/>
    <x v="1"/>
    <n v="1"/>
    <n v="0"/>
    <n v="19"/>
    <n v="3.0000000000000004"/>
    <n v="4"/>
    <n v="9"/>
    <n v="16"/>
    <n v="5"/>
    <x v="1"/>
  </r>
  <r>
    <x v="137"/>
    <n v="73926"/>
    <n v="0"/>
    <n v="0"/>
    <n v="54"/>
    <n v="627"/>
    <n v="91"/>
    <n v="597"/>
    <n v="159"/>
    <n v="91"/>
    <n v="15"/>
    <n v="1"/>
    <n v="6"/>
    <n v="5"/>
    <n v="12"/>
    <n v="3"/>
    <n v="0"/>
    <n v="0"/>
    <n v="0"/>
    <n v="0"/>
    <n v="0"/>
    <x v="0"/>
    <n v="0"/>
    <n v="3"/>
    <n v="11"/>
    <n v="0"/>
    <n v="47"/>
    <n v="2643"/>
    <n v="7.2410958904109588"/>
    <n v="0"/>
    <n v="0"/>
    <n v="0"/>
    <n v="1"/>
    <n v="0"/>
    <n v="0"/>
    <n v="0"/>
    <n v="1"/>
    <n v="0"/>
    <n v="0"/>
    <n v="1565"/>
    <n v="1550"/>
    <n v="15"/>
    <n v="0"/>
    <x v="1"/>
    <x v="1"/>
    <x v="2"/>
    <x v="0"/>
    <x v="2"/>
    <x v="0"/>
    <n v="1"/>
    <n v="0"/>
    <n v="27"/>
    <n v="5"/>
    <n v="7"/>
    <n v="9"/>
    <n v="21"/>
    <n v="8"/>
    <x v="2"/>
  </r>
  <r>
    <x v="138"/>
    <n v="78427"/>
    <n v="0"/>
    <n v="0"/>
    <n v="36"/>
    <n v="972"/>
    <n v="19"/>
    <n v="595"/>
    <n v="180"/>
    <n v="26"/>
    <n v="138"/>
    <n v="3"/>
    <n v="3"/>
    <n v="7"/>
    <n v="10"/>
    <n v="3"/>
    <n v="1"/>
    <n v="0"/>
    <n v="0"/>
    <n v="0"/>
    <n v="0"/>
    <x v="1"/>
    <n v="0"/>
    <n v="3"/>
    <n v="11"/>
    <n v="1"/>
    <n v="72"/>
    <n v="2772"/>
    <n v="7.5945205479452058"/>
    <n v="0"/>
    <n v="0"/>
    <n v="0"/>
    <n v="0"/>
    <n v="1"/>
    <n v="0"/>
    <n v="0"/>
    <n v="0"/>
    <n v="1"/>
    <n v="0"/>
    <n v="1792"/>
    <n v="1654"/>
    <n v="138"/>
    <n v="1"/>
    <x v="1"/>
    <x v="1"/>
    <x v="4"/>
    <x v="1"/>
    <x v="1"/>
    <x v="2"/>
    <n v="1"/>
    <n v="0"/>
    <n v="26"/>
    <n v="7"/>
    <n v="7"/>
    <n v="9"/>
    <n v="23"/>
    <n v="8"/>
    <x v="2"/>
  </r>
  <r>
    <x v="139"/>
    <n v="78952"/>
    <n v="0"/>
    <n v="1"/>
    <n v="11"/>
    <n v="1170"/>
    <n v="19"/>
    <n v="594"/>
    <n v="99"/>
    <n v="76"/>
    <n v="134"/>
    <n v="2"/>
    <n v="2"/>
    <n v="5"/>
    <n v="12"/>
    <n v="6"/>
    <n v="0"/>
    <n v="0"/>
    <n v="0"/>
    <n v="0"/>
    <n v="0"/>
    <x v="0"/>
    <n v="0"/>
    <n v="3"/>
    <n v="11"/>
    <n v="0"/>
    <n v="62"/>
    <n v="2802"/>
    <n v="7.6767123287671231"/>
    <n v="0"/>
    <n v="0"/>
    <n v="0"/>
    <n v="1"/>
    <n v="0"/>
    <n v="0"/>
    <n v="0"/>
    <n v="0"/>
    <n v="0"/>
    <n v="1"/>
    <n v="1958"/>
    <n v="1824"/>
    <n v="134"/>
    <n v="0"/>
    <x v="0"/>
    <x v="0"/>
    <x v="2"/>
    <x v="1"/>
    <x v="1"/>
    <x v="2"/>
    <n v="0"/>
    <n v="0"/>
    <n v="27"/>
    <n v="9"/>
    <n v="7"/>
    <n v="9"/>
    <n v="25"/>
    <n v="9"/>
    <x v="0"/>
  </r>
  <r>
    <x v="140"/>
    <n v="72968"/>
    <n v="0"/>
    <n v="0"/>
    <n v="8"/>
    <n v="1092"/>
    <n v="37"/>
    <n v="592"/>
    <n v="145"/>
    <n v="37"/>
    <n v="55"/>
    <n v="1"/>
    <n v="5"/>
    <n v="5"/>
    <n v="8"/>
    <n v="3"/>
    <n v="1"/>
    <n v="0"/>
    <n v="0"/>
    <n v="0"/>
    <n v="0"/>
    <x v="1"/>
    <n v="0"/>
    <n v="3"/>
    <n v="11"/>
    <n v="1"/>
    <n v="57"/>
    <n v="2354"/>
    <n v="6.4493150684931511"/>
    <n v="1"/>
    <n v="0"/>
    <n v="0"/>
    <n v="0"/>
    <n v="0"/>
    <n v="0"/>
    <n v="0"/>
    <n v="0"/>
    <n v="0"/>
    <n v="1"/>
    <n v="1903"/>
    <n v="1848"/>
    <n v="55"/>
    <n v="1"/>
    <x v="1"/>
    <x v="1"/>
    <x v="3"/>
    <x v="1"/>
    <x v="2"/>
    <x v="1"/>
    <n v="0"/>
    <n v="0"/>
    <n v="22"/>
    <n v="10"/>
    <n v="5"/>
    <n v="9"/>
    <n v="24"/>
    <n v="9"/>
    <x v="0"/>
  </r>
  <r>
    <x v="141"/>
    <n v="81168"/>
    <n v="0"/>
    <n v="0"/>
    <n v="84"/>
    <n v="410"/>
    <n v="0"/>
    <n v="592"/>
    <n v="147"/>
    <n v="22"/>
    <n v="22"/>
    <n v="1"/>
    <n v="6"/>
    <n v="4"/>
    <n v="7"/>
    <n v="3"/>
    <n v="1"/>
    <n v="0"/>
    <n v="0"/>
    <n v="0"/>
    <n v="0"/>
    <x v="1"/>
    <n v="0"/>
    <n v="3"/>
    <n v="11"/>
    <n v="0"/>
    <n v="55"/>
    <n v="2212"/>
    <n v="6.0602739726027401"/>
    <n v="0"/>
    <n v="1"/>
    <n v="0"/>
    <n v="0"/>
    <n v="0"/>
    <n v="0"/>
    <n v="0"/>
    <n v="1"/>
    <n v="0"/>
    <n v="0"/>
    <n v="1171"/>
    <n v="1149"/>
    <n v="22"/>
    <n v="1"/>
    <x v="1"/>
    <x v="1"/>
    <x v="0"/>
    <x v="0"/>
    <x v="1"/>
    <x v="1"/>
    <n v="1"/>
    <n v="0"/>
    <n v="21"/>
    <n v="1.9999999999999996"/>
    <n v="5"/>
    <n v="8"/>
    <n v="15"/>
    <n v="4"/>
    <x v="3"/>
  </r>
  <r>
    <x v="142"/>
    <n v="75865"/>
    <n v="0"/>
    <n v="0"/>
    <n v="73"/>
    <n v="483"/>
    <n v="0"/>
    <n v="591"/>
    <n v="156"/>
    <n v="0"/>
    <n v="12"/>
    <n v="1"/>
    <n v="3"/>
    <n v="5"/>
    <n v="10"/>
    <n v="1"/>
    <n v="0"/>
    <n v="0"/>
    <n v="0"/>
    <n v="0"/>
    <n v="0"/>
    <x v="0"/>
    <n v="0"/>
    <n v="3"/>
    <n v="11"/>
    <n v="0"/>
    <n v="77"/>
    <n v="2249"/>
    <n v="6.161643835616438"/>
    <n v="0"/>
    <n v="1"/>
    <n v="0"/>
    <n v="0"/>
    <n v="0"/>
    <n v="0"/>
    <n v="0"/>
    <n v="0"/>
    <n v="0"/>
    <n v="1"/>
    <n v="1230"/>
    <n v="1218"/>
    <n v="12"/>
    <n v="0"/>
    <x v="1"/>
    <x v="1"/>
    <x v="0"/>
    <x v="1"/>
    <x v="1"/>
    <x v="2"/>
    <n v="1"/>
    <n v="0"/>
    <n v="20"/>
    <n v="3.0000000000000004"/>
    <n v="4"/>
    <n v="8"/>
    <n v="15"/>
    <n v="4"/>
    <x v="3"/>
  </r>
  <r>
    <x v="143"/>
    <n v="62981"/>
    <n v="0"/>
    <n v="0"/>
    <n v="21"/>
    <n v="796"/>
    <n v="14"/>
    <n v="590"/>
    <n v="38"/>
    <n v="44"/>
    <n v="0"/>
    <n v="1"/>
    <n v="4"/>
    <n v="5"/>
    <n v="13"/>
    <n v="3"/>
    <n v="0"/>
    <n v="0"/>
    <n v="0"/>
    <n v="1"/>
    <n v="0"/>
    <x v="1"/>
    <n v="0"/>
    <n v="3"/>
    <n v="11"/>
    <n v="0"/>
    <n v="53"/>
    <n v="2628"/>
    <n v="7.2"/>
    <n v="0"/>
    <n v="0"/>
    <n v="0"/>
    <n v="1"/>
    <n v="0"/>
    <n v="0"/>
    <n v="0"/>
    <n v="0"/>
    <n v="0"/>
    <n v="1"/>
    <n v="1482"/>
    <n v="1482"/>
    <n v="0"/>
    <n v="1"/>
    <x v="1"/>
    <x v="1"/>
    <x v="2"/>
    <x v="1"/>
    <x v="2"/>
    <x v="1"/>
    <n v="0"/>
    <n v="0"/>
    <n v="26"/>
    <n v="8"/>
    <n v="7"/>
    <n v="9"/>
    <n v="24"/>
    <n v="9"/>
    <x v="0"/>
  </r>
  <r>
    <x v="144"/>
    <n v="83257"/>
    <n v="0"/>
    <n v="0"/>
    <n v="56"/>
    <n v="536"/>
    <n v="27"/>
    <n v="590"/>
    <n v="38"/>
    <n v="107"/>
    <n v="67"/>
    <n v="1"/>
    <n v="5"/>
    <n v="10"/>
    <n v="12"/>
    <n v="6"/>
    <n v="0"/>
    <n v="0"/>
    <n v="1"/>
    <n v="0"/>
    <n v="1"/>
    <x v="1"/>
    <n v="1"/>
    <n v="3"/>
    <n v="11"/>
    <n v="1"/>
    <n v="25"/>
    <n v="2808"/>
    <n v="7.6931506849315072"/>
    <n v="0"/>
    <n v="0"/>
    <n v="1"/>
    <n v="0"/>
    <n v="0"/>
    <n v="1"/>
    <n v="0"/>
    <n v="0"/>
    <n v="0"/>
    <n v="0"/>
    <n v="1298"/>
    <n v="1231"/>
    <n v="67"/>
    <n v="2"/>
    <x v="1"/>
    <x v="1"/>
    <x v="1"/>
    <x v="1"/>
    <x v="1"/>
    <x v="4"/>
    <n v="1"/>
    <n v="0"/>
    <n v="34"/>
    <n v="5"/>
    <n v="9"/>
    <n v="8"/>
    <n v="22"/>
    <n v="8"/>
    <x v="2"/>
  </r>
  <r>
    <x v="145"/>
    <n v="63159"/>
    <n v="0"/>
    <n v="0"/>
    <n v="74"/>
    <n v="965"/>
    <n v="34"/>
    <n v="586"/>
    <n v="89"/>
    <n v="86"/>
    <n v="37"/>
    <n v="1"/>
    <n v="3"/>
    <n v="5"/>
    <n v="8"/>
    <n v="3"/>
    <n v="0"/>
    <n v="0"/>
    <n v="1"/>
    <n v="0"/>
    <n v="0"/>
    <x v="1"/>
    <n v="0"/>
    <n v="3"/>
    <n v="11"/>
    <n v="0"/>
    <n v="46"/>
    <n v="2760"/>
    <n v="7.5616438356164384"/>
    <n v="0"/>
    <n v="0"/>
    <n v="1"/>
    <n v="0"/>
    <n v="0"/>
    <n v="0"/>
    <n v="0"/>
    <n v="0"/>
    <n v="0"/>
    <n v="1"/>
    <n v="1760"/>
    <n v="1723"/>
    <n v="37"/>
    <n v="1"/>
    <x v="1"/>
    <x v="1"/>
    <x v="1"/>
    <x v="1"/>
    <x v="2"/>
    <x v="0"/>
    <n v="1"/>
    <n v="0"/>
    <n v="20"/>
    <n v="3.0000000000000004"/>
    <n v="4"/>
    <n v="9"/>
    <n v="16"/>
    <n v="5"/>
    <x v="1"/>
  </r>
  <r>
    <x v="146"/>
    <n v="64509"/>
    <n v="0"/>
    <n v="0"/>
    <n v="19"/>
    <n v="836"/>
    <n v="185"/>
    <n v="575"/>
    <n v="24"/>
    <n v="25"/>
    <n v="77"/>
    <n v="1"/>
    <n v="6"/>
    <n v="3"/>
    <n v="9"/>
    <n v="4"/>
    <n v="0"/>
    <n v="0"/>
    <n v="1"/>
    <n v="0"/>
    <n v="0"/>
    <x v="1"/>
    <n v="0"/>
    <n v="3"/>
    <n v="11"/>
    <n v="1"/>
    <n v="30"/>
    <n v="2475"/>
    <n v="6.7808219178082192"/>
    <n v="0"/>
    <n v="0"/>
    <n v="1"/>
    <n v="0"/>
    <n v="0"/>
    <n v="0"/>
    <n v="0"/>
    <n v="1"/>
    <n v="0"/>
    <n v="0"/>
    <n v="1645"/>
    <n v="1568"/>
    <n v="77"/>
    <n v="1"/>
    <x v="1"/>
    <x v="1"/>
    <x v="1"/>
    <x v="0"/>
    <x v="2"/>
    <x v="4"/>
    <n v="0"/>
    <n v="0"/>
    <n v="23"/>
    <n v="9"/>
    <n v="6"/>
    <n v="9"/>
    <n v="24"/>
    <n v="9"/>
    <x v="0"/>
  </r>
  <r>
    <x v="147"/>
    <n v="76542"/>
    <n v="0"/>
    <n v="0"/>
    <n v="91"/>
    <n v="794"/>
    <n v="73"/>
    <n v="573"/>
    <n v="0"/>
    <n v="29"/>
    <n v="14"/>
    <n v="1"/>
    <n v="4"/>
    <n v="8"/>
    <n v="10"/>
    <n v="2"/>
    <n v="0"/>
    <n v="0"/>
    <n v="0"/>
    <n v="0"/>
    <n v="0"/>
    <x v="0"/>
    <n v="0"/>
    <n v="3"/>
    <n v="11"/>
    <n v="0"/>
    <n v="64"/>
    <n v="2615"/>
    <n v="7.1643835616438354"/>
    <n v="0"/>
    <n v="0"/>
    <n v="0"/>
    <n v="1"/>
    <n v="0"/>
    <n v="0"/>
    <n v="0"/>
    <n v="0"/>
    <n v="0"/>
    <n v="1"/>
    <n v="1469"/>
    <n v="1455"/>
    <n v="14"/>
    <n v="0"/>
    <x v="1"/>
    <x v="1"/>
    <x v="2"/>
    <x v="1"/>
    <x v="1"/>
    <x v="2"/>
    <n v="1"/>
    <n v="1"/>
    <n v="25"/>
    <n v="0.99999999999999978"/>
    <n v="7"/>
    <n v="9"/>
    <n v="17"/>
    <n v="6"/>
    <x v="1"/>
  </r>
  <r>
    <x v="148"/>
    <n v="77343"/>
    <n v="0"/>
    <n v="0"/>
    <n v="28"/>
    <n v="227"/>
    <n v="151"/>
    <n v="573"/>
    <n v="98"/>
    <n v="54"/>
    <n v="31"/>
    <n v="1"/>
    <n v="3"/>
    <n v="4"/>
    <n v="9"/>
    <n v="1"/>
    <n v="0"/>
    <n v="0"/>
    <n v="0"/>
    <n v="0"/>
    <n v="0"/>
    <x v="0"/>
    <n v="0"/>
    <n v="3"/>
    <n v="11"/>
    <n v="0"/>
    <n v="55"/>
    <n v="2179"/>
    <n v="5.9698630136986299"/>
    <n v="0"/>
    <n v="1"/>
    <n v="0"/>
    <n v="0"/>
    <n v="0"/>
    <n v="0"/>
    <n v="0"/>
    <n v="1"/>
    <n v="0"/>
    <n v="0"/>
    <n v="1103"/>
    <n v="1072"/>
    <n v="31"/>
    <n v="0"/>
    <x v="1"/>
    <x v="1"/>
    <x v="0"/>
    <x v="0"/>
    <x v="1"/>
    <x v="1"/>
    <n v="0"/>
    <n v="0"/>
    <n v="18"/>
    <n v="8"/>
    <n v="4"/>
    <n v="8"/>
    <n v="20"/>
    <n v="7"/>
    <x v="2"/>
  </r>
  <r>
    <x v="149"/>
    <n v="82460"/>
    <n v="0"/>
    <n v="0"/>
    <n v="78"/>
    <n v="255"/>
    <n v="47"/>
    <n v="573"/>
    <n v="52"/>
    <n v="32"/>
    <n v="15"/>
    <n v="1"/>
    <n v="5"/>
    <n v="3"/>
    <n v="6"/>
    <n v="1"/>
    <n v="0"/>
    <n v="0"/>
    <n v="0"/>
    <n v="0"/>
    <n v="0"/>
    <x v="0"/>
    <n v="0"/>
    <n v="3"/>
    <n v="11"/>
    <n v="0"/>
    <n v="70"/>
    <n v="2368"/>
    <n v="6.4876712328767123"/>
    <n v="1"/>
    <n v="0"/>
    <n v="0"/>
    <n v="0"/>
    <n v="0"/>
    <n v="0"/>
    <n v="0"/>
    <n v="1"/>
    <n v="0"/>
    <n v="0"/>
    <n v="959"/>
    <n v="944"/>
    <n v="15"/>
    <n v="0"/>
    <x v="1"/>
    <x v="1"/>
    <x v="3"/>
    <x v="0"/>
    <x v="1"/>
    <x v="2"/>
    <n v="1"/>
    <n v="0"/>
    <n v="16"/>
    <n v="3.0000000000000004"/>
    <n v="3"/>
    <n v="7"/>
    <n v="13"/>
    <n v="3"/>
    <x v="3"/>
  </r>
  <r>
    <x v="150"/>
    <n v="82497"/>
    <n v="0"/>
    <n v="0"/>
    <n v="32"/>
    <n v="777"/>
    <n v="129"/>
    <n v="573"/>
    <n v="216"/>
    <n v="21"/>
    <n v="203"/>
    <n v="1"/>
    <n v="2"/>
    <n v="7"/>
    <n v="9"/>
    <n v="4"/>
    <n v="0"/>
    <n v="0"/>
    <n v="0"/>
    <n v="0"/>
    <n v="1"/>
    <x v="1"/>
    <n v="0"/>
    <n v="3"/>
    <n v="11"/>
    <n v="0"/>
    <n v="40"/>
    <n v="2765"/>
    <n v="7.5753424657534243"/>
    <n v="0"/>
    <n v="1"/>
    <n v="0"/>
    <n v="0"/>
    <n v="0"/>
    <n v="0"/>
    <n v="0"/>
    <n v="1"/>
    <n v="0"/>
    <n v="0"/>
    <n v="1716"/>
    <n v="1513"/>
    <n v="203"/>
    <n v="1"/>
    <x v="1"/>
    <x v="1"/>
    <x v="0"/>
    <x v="0"/>
    <x v="1"/>
    <x v="3"/>
    <n v="1"/>
    <n v="0"/>
    <n v="23"/>
    <n v="7"/>
    <n v="6"/>
    <n v="9"/>
    <n v="22"/>
    <n v="8"/>
    <x v="2"/>
  </r>
  <r>
    <x v="151"/>
    <n v="70971"/>
    <n v="0"/>
    <n v="1"/>
    <n v="28"/>
    <n v="1001"/>
    <n v="17"/>
    <n v="572"/>
    <n v="93"/>
    <n v="125"/>
    <n v="17"/>
    <n v="7"/>
    <n v="11"/>
    <n v="11"/>
    <n v="5"/>
    <n v="7"/>
    <n v="0"/>
    <n v="0"/>
    <n v="0"/>
    <n v="0"/>
    <n v="0"/>
    <x v="0"/>
    <n v="0"/>
    <n v="3"/>
    <n v="11"/>
    <n v="1"/>
    <n v="60"/>
    <n v="2805"/>
    <n v="7.6849315068493151"/>
    <n v="0"/>
    <n v="0"/>
    <n v="0"/>
    <n v="1"/>
    <n v="0"/>
    <n v="0"/>
    <n v="0"/>
    <n v="1"/>
    <n v="0"/>
    <n v="0"/>
    <n v="1808"/>
    <n v="1791"/>
    <n v="17"/>
    <n v="0"/>
    <x v="0"/>
    <x v="0"/>
    <x v="2"/>
    <x v="0"/>
    <x v="2"/>
    <x v="1"/>
    <n v="0"/>
    <n v="0"/>
    <n v="41"/>
    <n v="8"/>
    <n v="9"/>
    <n v="9"/>
    <n v="26"/>
    <n v="9"/>
    <x v="0"/>
  </r>
  <r>
    <x v="152"/>
    <n v="83003"/>
    <n v="0"/>
    <n v="0"/>
    <n v="18"/>
    <n v="856"/>
    <n v="61"/>
    <n v="570"/>
    <n v="40"/>
    <n v="25"/>
    <n v="122"/>
    <n v="1"/>
    <n v="7"/>
    <n v="6"/>
    <n v="8"/>
    <n v="3"/>
    <n v="0"/>
    <n v="0"/>
    <n v="0"/>
    <n v="0"/>
    <n v="1"/>
    <x v="1"/>
    <n v="0"/>
    <n v="3"/>
    <n v="11"/>
    <n v="1"/>
    <n v="55"/>
    <n v="2642"/>
    <n v="7.2383561643835614"/>
    <n v="0"/>
    <n v="0"/>
    <n v="0"/>
    <n v="1"/>
    <n v="0"/>
    <n v="0"/>
    <n v="0"/>
    <n v="1"/>
    <n v="0"/>
    <n v="0"/>
    <n v="1552"/>
    <n v="1430"/>
    <n v="122"/>
    <n v="1"/>
    <x v="1"/>
    <x v="1"/>
    <x v="2"/>
    <x v="0"/>
    <x v="1"/>
    <x v="1"/>
    <n v="0"/>
    <n v="0"/>
    <n v="25"/>
    <n v="9"/>
    <n v="7"/>
    <n v="9"/>
    <n v="25"/>
    <n v="9"/>
    <x v="0"/>
  </r>
  <r>
    <x v="153"/>
    <n v="86424"/>
    <n v="0"/>
    <n v="0"/>
    <n v="12"/>
    <n v="387"/>
    <n v="68"/>
    <n v="569"/>
    <n v="89"/>
    <n v="45"/>
    <n v="68"/>
    <n v="1"/>
    <n v="6"/>
    <n v="9"/>
    <n v="12"/>
    <n v="1"/>
    <n v="0"/>
    <n v="0"/>
    <n v="0"/>
    <n v="0"/>
    <n v="0"/>
    <x v="0"/>
    <n v="0"/>
    <n v="3"/>
    <n v="11"/>
    <n v="0"/>
    <n v="64"/>
    <n v="2244"/>
    <n v="6.1479452054794521"/>
    <n v="0"/>
    <n v="0"/>
    <n v="1"/>
    <n v="0"/>
    <n v="0"/>
    <n v="0"/>
    <n v="0"/>
    <n v="0"/>
    <n v="1"/>
    <n v="0"/>
    <n v="1158"/>
    <n v="1090"/>
    <n v="68"/>
    <n v="0"/>
    <x v="1"/>
    <x v="1"/>
    <x v="1"/>
    <x v="1"/>
    <x v="1"/>
    <x v="2"/>
    <n v="0"/>
    <n v="0"/>
    <n v="29"/>
    <n v="9"/>
    <n v="8"/>
    <n v="8"/>
    <n v="25"/>
    <n v="9"/>
    <x v="0"/>
  </r>
  <r>
    <x v="154"/>
    <n v="79593"/>
    <n v="0"/>
    <n v="0"/>
    <n v="70"/>
    <n v="350"/>
    <n v="60"/>
    <n v="568"/>
    <n v="110"/>
    <n v="133"/>
    <n v="145"/>
    <n v="1"/>
    <n v="5"/>
    <n v="6"/>
    <n v="7"/>
    <n v="2"/>
    <n v="0"/>
    <n v="0"/>
    <n v="0"/>
    <n v="0"/>
    <n v="1"/>
    <x v="1"/>
    <n v="0"/>
    <n v="3"/>
    <n v="11"/>
    <n v="0"/>
    <n v="47"/>
    <n v="2207"/>
    <n v="6.0465753424657533"/>
    <n v="0"/>
    <n v="1"/>
    <n v="0"/>
    <n v="0"/>
    <n v="0"/>
    <n v="0"/>
    <n v="0"/>
    <n v="1"/>
    <n v="0"/>
    <n v="0"/>
    <n v="1221"/>
    <n v="1076"/>
    <n v="145"/>
    <n v="1"/>
    <x v="1"/>
    <x v="1"/>
    <x v="0"/>
    <x v="0"/>
    <x v="1"/>
    <x v="0"/>
    <n v="1"/>
    <n v="0"/>
    <n v="21"/>
    <n v="3.0000000000000004"/>
    <n v="5"/>
    <n v="8"/>
    <n v="16"/>
    <n v="5"/>
    <x v="1"/>
  </r>
  <r>
    <x v="155"/>
    <n v="80872"/>
    <n v="0"/>
    <n v="0"/>
    <n v="60"/>
    <n v="483"/>
    <n v="72"/>
    <n v="567"/>
    <n v="94"/>
    <n v="12"/>
    <n v="108"/>
    <n v="1"/>
    <n v="4"/>
    <n v="4"/>
    <n v="10"/>
    <n v="1"/>
    <n v="0"/>
    <n v="0"/>
    <n v="0"/>
    <n v="0"/>
    <n v="0"/>
    <x v="0"/>
    <n v="0"/>
    <n v="3"/>
    <n v="11"/>
    <n v="0"/>
    <n v="69"/>
    <n v="2207"/>
    <n v="6.0465753424657533"/>
    <n v="0"/>
    <n v="0"/>
    <n v="1"/>
    <n v="0"/>
    <n v="0"/>
    <n v="0"/>
    <n v="0"/>
    <n v="1"/>
    <n v="0"/>
    <n v="0"/>
    <n v="1228"/>
    <n v="1120"/>
    <n v="108"/>
    <n v="0"/>
    <x v="1"/>
    <x v="1"/>
    <x v="1"/>
    <x v="0"/>
    <x v="1"/>
    <x v="2"/>
    <n v="1"/>
    <n v="0"/>
    <n v="20"/>
    <n v="4"/>
    <n v="4"/>
    <n v="8"/>
    <n v="16"/>
    <n v="5"/>
    <x v="1"/>
  </r>
  <r>
    <x v="156"/>
    <n v="63207"/>
    <n v="0"/>
    <n v="0"/>
    <n v="68"/>
    <n v="438"/>
    <n v="169"/>
    <n v="565"/>
    <n v="91"/>
    <n v="169"/>
    <n v="70"/>
    <n v="1"/>
    <n v="2"/>
    <n v="3"/>
    <n v="6"/>
    <n v="7"/>
    <n v="1"/>
    <n v="0"/>
    <n v="0"/>
    <n v="0"/>
    <n v="0"/>
    <x v="1"/>
    <n v="0"/>
    <n v="3"/>
    <n v="11"/>
    <n v="0"/>
    <n v="28"/>
    <n v="2684"/>
    <n v="7.353424657534247"/>
    <n v="0"/>
    <n v="0"/>
    <n v="0"/>
    <n v="1"/>
    <n v="0"/>
    <n v="0"/>
    <n v="0"/>
    <n v="1"/>
    <n v="0"/>
    <n v="0"/>
    <n v="1432"/>
    <n v="1362"/>
    <n v="70"/>
    <n v="1"/>
    <x v="1"/>
    <x v="1"/>
    <x v="2"/>
    <x v="0"/>
    <x v="2"/>
    <x v="4"/>
    <n v="1"/>
    <n v="0"/>
    <n v="19"/>
    <n v="4"/>
    <n v="4"/>
    <n v="8"/>
    <n v="16"/>
    <n v="5"/>
    <x v="1"/>
  </r>
  <r>
    <x v="157"/>
    <n v="79946"/>
    <n v="0"/>
    <n v="0"/>
    <n v="19"/>
    <n v="395"/>
    <n v="183"/>
    <n v="565"/>
    <n v="166"/>
    <n v="141"/>
    <n v="28"/>
    <n v="1"/>
    <n v="5"/>
    <n v="11"/>
    <n v="5"/>
    <n v="3"/>
    <n v="0"/>
    <n v="0"/>
    <n v="0"/>
    <n v="0"/>
    <n v="0"/>
    <x v="0"/>
    <n v="0"/>
    <n v="3"/>
    <n v="11"/>
    <n v="0"/>
    <n v="54"/>
    <n v="2207"/>
    <n v="6.0465753424657533"/>
    <n v="0"/>
    <n v="0"/>
    <n v="0"/>
    <n v="0"/>
    <n v="1"/>
    <n v="0"/>
    <n v="0"/>
    <n v="1"/>
    <n v="0"/>
    <n v="0"/>
    <n v="1450"/>
    <n v="1422"/>
    <n v="28"/>
    <n v="0"/>
    <x v="1"/>
    <x v="1"/>
    <x v="4"/>
    <x v="0"/>
    <x v="1"/>
    <x v="1"/>
    <n v="0"/>
    <n v="0"/>
    <n v="25"/>
    <n v="9"/>
    <n v="7"/>
    <n v="8"/>
    <n v="24"/>
    <n v="9"/>
    <x v="0"/>
  </r>
  <r>
    <x v="158"/>
    <n v="70893"/>
    <n v="0"/>
    <n v="0"/>
    <n v="42"/>
    <n v="768"/>
    <n v="44"/>
    <n v="561"/>
    <n v="77"/>
    <n v="44"/>
    <n v="14"/>
    <n v="1"/>
    <n v="6"/>
    <n v="6"/>
    <n v="10"/>
    <n v="3"/>
    <n v="0"/>
    <n v="0"/>
    <n v="0"/>
    <n v="0"/>
    <n v="0"/>
    <x v="0"/>
    <n v="0"/>
    <n v="3"/>
    <n v="11"/>
    <n v="0"/>
    <n v="44"/>
    <n v="2667"/>
    <n v="7.3068493150684928"/>
    <n v="0"/>
    <n v="0"/>
    <n v="1"/>
    <n v="0"/>
    <n v="0"/>
    <n v="0"/>
    <n v="0"/>
    <n v="0"/>
    <n v="1"/>
    <n v="0"/>
    <n v="1494"/>
    <n v="1480"/>
    <n v="14"/>
    <n v="0"/>
    <x v="1"/>
    <x v="1"/>
    <x v="1"/>
    <x v="1"/>
    <x v="2"/>
    <x v="0"/>
    <n v="1"/>
    <n v="0"/>
    <n v="26"/>
    <n v="6"/>
    <n v="7"/>
    <n v="9"/>
    <n v="22"/>
    <n v="8"/>
    <x v="2"/>
  </r>
  <r>
    <x v="159"/>
    <n v="74004"/>
    <n v="0"/>
    <n v="0"/>
    <n v="5"/>
    <n v="784"/>
    <n v="48"/>
    <n v="560"/>
    <n v="42"/>
    <n v="176"/>
    <n v="48"/>
    <n v="1"/>
    <n v="4"/>
    <n v="6"/>
    <n v="4"/>
    <n v="3"/>
    <n v="1"/>
    <n v="0"/>
    <n v="0"/>
    <n v="0"/>
    <n v="1"/>
    <x v="1"/>
    <n v="0"/>
    <n v="3"/>
    <n v="11"/>
    <n v="1"/>
    <n v="33"/>
    <n v="2284"/>
    <n v="6.2575342465753421"/>
    <n v="0"/>
    <n v="0"/>
    <n v="1"/>
    <n v="0"/>
    <n v="0"/>
    <n v="0"/>
    <n v="0"/>
    <n v="0"/>
    <n v="0"/>
    <n v="1"/>
    <n v="1610"/>
    <n v="1562"/>
    <n v="48"/>
    <n v="2"/>
    <x v="1"/>
    <x v="1"/>
    <x v="1"/>
    <x v="1"/>
    <x v="2"/>
    <x v="3"/>
    <n v="0"/>
    <n v="0"/>
    <n v="18"/>
    <n v="10"/>
    <n v="4"/>
    <n v="9"/>
    <n v="23"/>
    <n v="8"/>
    <x v="2"/>
  </r>
  <r>
    <x v="160"/>
    <n v="69476"/>
    <n v="0"/>
    <n v="0"/>
    <n v="3"/>
    <n v="260"/>
    <n v="86"/>
    <n v="559"/>
    <n v="63"/>
    <n v="9"/>
    <n v="67"/>
    <n v="1"/>
    <n v="4"/>
    <n v="6"/>
    <n v="4"/>
    <n v="2"/>
    <n v="0"/>
    <n v="0"/>
    <n v="0"/>
    <n v="0"/>
    <n v="0"/>
    <x v="0"/>
    <n v="0"/>
    <n v="3"/>
    <n v="11"/>
    <n v="0"/>
    <n v="51"/>
    <n v="2431"/>
    <n v="6.6602739726027398"/>
    <n v="0"/>
    <n v="0"/>
    <n v="0"/>
    <n v="1"/>
    <n v="0"/>
    <n v="0"/>
    <n v="0"/>
    <n v="0"/>
    <n v="0"/>
    <n v="1"/>
    <n v="977"/>
    <n v="910"/>
    <n v="67"/>
    <n v="0"/>
    <x v="1"/>
    <x v="1"/>
    <x v="2"/>
    <x v="1"/>
    <x v="2"/>
    <x v="1"/>
    <n v="0"/>
    <n v="0"/>
    <n v="17"/>
    <n v="10"/>
    <n v="3"/>
    <n v="7"/>
    <n v="20"/>
    <n v="7"/>
    <x v="2"/>
  </r>
  <r>
    <x v="161"/>
    <n v="82571"/>
    <n v="0"/>
    <n v="0"/>
    <n v="28"/>
    <n v="861"/>
    <n v="31"/>
    <n v="558"/>
    <n v="62"/>
    <n v="95"/>
    <n v="79"/>
    <n v="0"/>
    <n v="6"/>
    <n v="5"/>
    <n v="13"/>
    <n v="2"/>
    <n v="0"/>
    <n v="0"/>
    <n v="0"/>
    <n v="0"/>
    <n v="1"/>
    <x v="1"/>
    <n v="0"/>
    <n v="3"/>
    <n v="11"/>
    <n v="0"/>
    <n v="58"/>
    <n v="2247"/>
    <n v="6.1561643835616442"/>
    <n v="0"/>
    <n v="0"/>
    <n v="0"/>
    <n v="0"/>
    <n v="1"/>
    <n v="0"/>
    <n v="0"/>
    <n v="0"/>
    <n v="0"/>
    <n v="1"/>
    <n v="1607"/>
    <n v="1528"/>
    <n v="79"/>
    <n v="1"/>
    <x v="1"/>
    <x v="1"/>
    <x v="4"/>
    <x v="1"/>
    <x v="1"/>
    <x v="1"/>
    <n v="0"/>
    <n v="0"/>
    <n v="26"/>
    <n v="8"/>
    <n v="7"/>
    <n v="9"/>
    <n v="24"/>
    <n v="9"/>
    <x v="0"/>
  </r>
  <r>
    <x v="162"/>
    <n v="88347"/>
    <n v="0"/>
    <n v="0"/>
    <n v="32"/>
    <n v="1050"/>
    <n v="178"/>
    <n v="555"/>
    <n v="77"/>
    <n v="138"/>
    <n v="118"/>
    <n v="1"/>
    <n v="4"/>
    <n v="7"/>
    <n v="9"/>
    <n v="1"/>
    <n v="1"/>
    <n v="0"/>
    <n v="0"/>
    <n v="0"/>
    <n v="0"/>
    <x v="1"/>
    <n v="0"/>
    <n v="3"/>
    <n v="11"/>
    <n v="0"/>
    <n v="59"/>
    <n v="2520"/>
    <n v="6.904109589041096"/>
    <n v="0"/>
    <n v="0"/>
    <n v="0"/>
    <n v="1"/>
    <n v="0"/>
    <n v="0"/>
    <n v="0"/>
    <n v="1"/>
    <n v="0"/>
    <n v="0"/>
    <n v="1998"/>
    <n v="1880"/>
    <n v="118"/>
    <n v="1"/>
    <x v="1"/>
    <x v="1"/>
    <x v="2"/>
    <x v="0"/>
    <x v="1"/>
    <x v="1"/>
    <n v="1"/>
    <n v="0"/>
    <n v="22"/>
    <n v="7"/>
    <n v="5"/>
    <n v="9"/>
    <n v="21"/>
    <n v="8"/>
    <x v="2"/>
  </r>
  <r>
    <x v="163"/>
    <n v="70951"/>
    <n v="0"/>
    <n v="0"/>
    <n v="66"/>
    <n v="239"/>
    <n v="10"/>
    <n v="554"/>
    <n v="254"/>
    <n v="87"/>
    <n v="54"/>
    <n v="1"/>
    <n v="3"/>
    <n v="4"/>
    <n v="9"/>
    <n v="1"/>
    <n v="0"/>
    <n v="0"/>
    <n v="0"/>
    <n v="0"/>
    <n v="0"/>
    <x v="0"/>
    <n v="0"/>
    <n v="3"/>
    <n v="11"/>
    <n v="0"/>
    <n v="35"/>
    <n v="2580"/>
    <n v="7.0684931506849313"/>
    <n v="0"/>
    <n v="1"/>
    <n v="0"/>
    <n v="0"/>
    <n v="0"/>
    <n v="0"/>
    <n v="0"/>
    <n v="1"/>
    <n v="0"/>
    <n v="0"/>
    <n v="1144"/>
    <n v="1090"/>
    <n v="54"/>
    <n v="0"/>
    <x v="1"/>
    <x v="1"/>
    <x v="0"/>
    <x v="0"/>
    <x v="2"/>
    <x v="3"/>
    <n v="1"/>
    <n v="0"/>
    <n v="18"/>
    <n v="4"/>
    <n v="4"/>
    <n v="8"/>
    <n v="16"/>
    <n v="5"/>
    <x v="1"/>
  </r>
  <r>
    <x v="164"/>
    <n v="72643"/>
    <n v="0"/>
    <n v="0"/>
    <n v="60"/>
    <n v="526"/>
    <n v="80"/>
    <n v="553"/>
    <n v="123"/>
    <n v="94"/>
    <n v="53"/>
    <n v="1"/>
    <n v="3"/>
    <n v="10"/>
    <n v="7"/>
    <n v="2"/>
    <n v="1"/>
    <n v="0"/>
    <n v="0"/>
    <n v="0"/>
    <n v="0"/>
    <x v="1"/>
    <n v="0"/>
    <n v="3"/>
    <n v="11"/>
    <n v="1"/>
    <n v="71"/>
    <n v="2646"/>
    <n v="7.2493150684931509"/>
    <n v="0"/>
    <n v="0"/>
    <n v="0"/>
    <n v="0"/>
    <n v="1"/>
    <n v="0"/>
    <n v="0"/>
    <n v="1"/>
    <n v="0"/>
    <n v="0"/>
    <n v="1376"/>
    <n v="1323"/>
    <n v="53"/>
    <n v="1"/>
    <x v="1"/>
    <x v="1"/>
    <x v="4"/>
    <x v="0"/>
    <x v="2"/>
    <x v="2"/>
    <n v="1"/>
    <n v="0"/>
    <n v="23"/>
    <n v="4"/>
    <n v="6"/>
    <n v="8"/>
    <n v="18"/>
    <n v="6"/>
    <x v="1"/>
  </r>
  <r>
    <x v="165"/>
    <n v="75922"/>
    <n v="0"/>
    <n v="0"/>
    <n v="60"/>
    <n v="265"/>
    <n v="138"/>
    <n v="553"/>
    <n v="224"/>
    <n v="23"/>
    <n v="92"/>
    <n v="1"/>
    <n v="4"/>
    <n v="4"/>
    <n v="9"/>
    <n v="1"/>
    <n v="0"/>
    <n v="0"/>
    <n v="0"/>
    <n v="0"/>
    <n v="0"/>
    <x v="0"/>
    <n v="0"/>
    <n v="3"/>
    <n v="11"/>
    <n v="0"/>
    <n v="52"/>
    <n v="2361"/>
    <n v="6.4684931506849317"/>
    <n v="0"/>
    <n v="0"/>
    <n v="1"/>
    <n v="0"/>
    <n v="0"/>
    <n v="0"/>
    <n v="0"/>
    <n v="1"/>
    <n v="0"/>
    <n v="0"/>
    <n v="1203"/>
    <n v="1111"/>
    <n v="92"/>
    <n v="0"/>
    <x v="1"/>
    <x v="1"/>
    <x v="1"/>
    <x v="0"/>
    <x v="1"/>
    <x v="1"/>
    <n v="1"/>
    <n v="0"/>
    <n v="19"/>
    <n v="4"/>
    <n v="4"/>
    <n v="8"/>
    <n v="16"/>
    <n v="5"/>
    <x v="1"/>
  </r>
  <r>
    <x v="166"/>
    <n v="78041"/>
    <n v="0"/>
    <n v="0"/>
    <n v="93"/>
    <n v="482"/>
    <n v="35"/>
    <n v="553"/>
    <n v="72"/>
    <n v="160"/>
    <n v="17"/>
    <n v="1"/>
    <n v="4"/>
    <n v="4"/>
    <n v="9"/>
    <n v="2"/>
    <n v="0"/>
    <n v="0"/>
    <n v="0"/>
    <n v="0"/>
    <n v="0"/>
    <x v="0"/>
    <n v="0"/>
    <n v="3"/>
    <n v="11"/>
    <n v="0"/>
    <n v="49"/>
    <n v="2719"/>
    <n v="7.4493150684931511"/>
    <n v="0"/>
    <n v="1"/>
    <n v="0"/>
    <n v="0"/>
    <n v="0"/>
    <n v="1"/>
    <n v="0"/>
    <n v="0"/>
    <n v="0"/>
    <n v="0"/>
    <n v="1302"/>
    <n v="1285"/>
    <n v="17"/>
    <n v="0"/>
    <x v="1"/>
    <x v="1"/>
    <x v="0"/>
    <x v="1"/>
    <x v="1"/>
    <x v="0"/>
    <n v="1"/>
    <n v="1"/>
    <n v="20"/>
    <n v="0.99999999999999978"/>
    <n v="4"/>
    <n v="8"/>
    <n v="13"/>
    <n v="3"/>
    <x v="3"/>
  </r>
  <r>
    <x v="167"/>
    <n v="94871"/>
    <n v="0"/>
    <n v="2"/>
    <n v="99"/>
    <n v="169"/>
    <n v="24"/>
    <n v="553"/>
    <n v="188"/>
    <n v="0"/>
    <n v="144"/>
    <n v="1"/>
    <n v="8"/>
    <n v="5"/>
    <n v="4"/>
    <n v="7"/>
    <n v="0"/>
    <n v="0"/>
    <n v="0"/>
    <n v="1"/>
    <n v="1"/>
    <x v="1"/>
    <n v="0"/>
    <n v="3"/>
    <n v="11"/>
    <n v="1"/>
    <n v="51"/>
    <n v="2825"/>
    <n v="7.7397260273972606"/>
    <n v="0"/>
    <n v="1"/>
    <n v="0"/>
    <n v="0"/>
    <n v="0"/>
    <n v="0"/>
    <n v="0"/>
    <n v="0"/>
    <n v="0"/>
    <n v="1"/>
    <n v="934"/>
    <n v="790"/>
    <n v="144"/>
    <n v="2"/>
    <x v="0"/>
    <x v="0"/>
    <x v="0"/>
    <x v="1"/>
    <x v="1"/>
    <x v="1"/>
    <n v="1"/>
    <n v="1"/>
    <n v="25"/>
    <n v="0.99999999999999978"/>
    <n v="7"/>
    <n v="7"/>
    <n v="15"/>
    <n v="4"/>
    <x v="3"/>
  </r>
  <r>
    <x v="168"/>
    <n v="82582"/>
    <n v="0"/>
    <n v="0"/>
    <n v="54"/>
    <n v="510"/>
    <n v="120"/>
    <n v="550"/>
    <n v="156"/>
    <n v="40"/>
    <n v="241"/>
    <n v="1"/>
    <n v="4"/>
    <n v="9"/>
    <n v="7"/>
    <n v="1"/>
    <n v="1"/>
    <n v="0"/>
    <n v="1"/>
    <n v="0"/>
    <n v="0"/>
    <x v="1"/>
    <n v="0"/>
    <n v="3"/>
    <n v="11"/>
    <n v="1"/>
    <n v="43"/>
    <n v="2181"/>
    <n v="5.9753424657534246"/>
    <n v="1"/>
    <n v="0"/>
    <n v="0"/>
    <n v="0"/>
    <n v="0"/>
    <n v="0"/>
    <n v="0"/>
    <n v="1"/>
    <n v="0"/>
    <n v="0"/>
    <n v="1376"/>
    <n v="1135"/>
    <n v="241"/>
    <n v="2"/>
    <x v="1"/>
    <x v="1"/>
    <x v="3"/>
    <x v="0"/>
    <x v="1"/>
    <x v="0"/>
    <n v="1"/>
    <n v="0"/>
    <n v="22"/>
    <n v="5"/>
    <n v="5"/>
    <n v="8"/>
    <n v="18"/>
    <n v="6"/>
    <x v="1"/>
  </r>
  <r>
    <x v="169"/>
    <n v="72025"/>
    <n v="0"/>
    <n v="0"/>
    <n v="27"/>
    <n v="833"/>
    <n v="33"/>
    <n v="549"/>
    <n v="151"/>
    <n v="133"/>
    <n v="233"/>
    <n v="1"/>
    <n v="4"/>
    <n v="3"/>
    <n v="8"/>
    <n v="3"/>
    <n v="0"/>
    <n v="0"/>
    <n v="0"/>
    <n v="0"/>
    <n v="0"/>
    <x v="0"/>
    <n v="0"/>
    <n v="3"/>
    <n v="11"/>
    <n v="0"/>
    <n v="58"/>
    <n v="2748"/>
    <n v="7.5287671232876709"/>
    <n v="0"/>
    <n v="0"/>
    <n v="0"/>
    <n v="1"/>
    <n v="0"/>
    <n v="0"/>
    <n v="0"/>
    <n v="1"/>
    <n v="0"/>
    <n v="0"/>
    <n v="1699"/>
    <n v="1466"/>
    <n v="233"/>
    <n v="0"/>
    <x v="1"/>
    <x v="1"/>
    <x v="2"/>
    <x v="0"/>
    <x v="2"/>
    <x v="1"/>
    <n v="0"/>
    <n v="0"/>
    <n v="19"/>
    <n v="8"/>
    <n v="4"/>
    <n v="9"/>
    <n v="21"/>
    <n v="8"/>
    <x v="2"/>
  </r>
  <r>
    <x v="170"/>
    <n v="78579"/>
    <n v="0"/>
    <n v="0"/>
    <n v="35"/>
    <n v="816"/>
    <n v="66"/>
    <n v="549"/>
    <n v="216"/>
    <n v="66"/>
    <n v="99"/>
    <n v="1"/>
    <n v="5"/>
    <n v="6"/>
    <n v="4"/>
    <n v="3"/>
    <n v="0"/>
    <n v="0"/>
    <n v="0"/>
    <n v="0"/>
    <n v="0"/>
    <x v="0"/>
    <n v="0"/>
    <n v="3"/>
    <n v="11"/>
    <n v="1"/>
    <n v="50"/>
    <n v="2713"/>
    <n v="7.4328767123287669"/>
    <n v="1"/>
    <n v="0"/>
    <n v="0"/>
    <n v="0"/>
    <n v="0"/>
    <n v="0"/>
    <n v="0"/>
    <n v="0"/>
    <n v="1"/>
    <n v="0"/>
    <n v="1713"/>
    <n v="1614"/>
    <n v="99"/>
    <n v="0"/>
    <x v="1"/>
    <x v="1"/>
    <x v="3"/>
    <x v="1"/>
    <x v="1"/>
    <x v="0"/>
    <n v="1"/>
    <n v="0"/>
    <n v="19"/>
    <n v="7"/>
    <n v="4"/>
    <n v="9"/>
    <n v="20"/>
    <n v="7"/>
    <x v="2"/>
  </r>
  <r>
    <x v="171"/>
    <n v="79456"/>
    <n v="0"/>
    <n v="0"/>
    <n v="12"/>
    <n v="565"/>
    <n v="42"/>
    <n v="548"/>
    <n v="64"/>
    <n v="83"/>
    <n v="99"/>
    <n v="1"/>
    <n v="5"/>
    <n v="6"/>
    <n v="4"/>
    <n v="3"/>
    <n v="0"/>
    <n v="0"/>
    <n v="0"/>
    <n v="0"/>
    <n v="0"/>
    <x v="0"/>
    <n v="0"/>
    <n v="3"/>
    <n v="11"/>
    <n v="1"/>
    <n v="64"/>
    <n v="2835"/>
    <n v="7.7671232876712333"/>
    <n v="0"/>
    <n v="1"/>
    <n v="0"/>
    <n v="0"/>
    <n v="0"/>
    <n v="0"/>
    <n v="0"/>
    <n v="1"/>
    <n v="0"/>
    <n v="0"/>
    <n v="1302"/>
    <n v="1203"/>
    <n v="99"/>
    <n v="0"/>
    <x v="1"/>
    <x v="1"/>
    <x v="0"/>
    <x v="0"/>
    <x v="1"/>
    <x v="2"/>
    <n v="0"/>
    <n v="0"/>
    <n v="19"/>
    <n v="9"/>
    <n v="4"/>
    <n v="8"/>
    <n v="21"/>
    <n v="8"/>
    <x v="2"/>
  </r>
  <r>
    <x v="172"/>
    <n v="74214"/>
    <n v="0"/>
    <n v="0"/>
    <n v="3"/>
    <n v="863"/>
    <n v="83"/>
    <n v="547"/>
    <n v="86"/>
    <n v="99"/>
    <n v="33"/>
    <n v="1"/>
    <n v="8"/>
    <n v="2"/>
    <n v="5"/>
    <n v="5"/>
    <n v="0"/>
    <n v="0"/>
    <n v="0"/>
    <n v="0"/>
    <n v="0"/>
    <x v="0"/>
    <n v="0"/>
    <n v="3"/>
    <n v="11"/>
    <n v="0"/>
    <n v="30"/>
    <n v="2831"/>
    <n v="7.7561643835616438"/>
    <n v="0"/>
    <n v="1"/>
    <n v="0"/>
    <n v="0"/>
    <n v="0"/>
    <n v="0"/>
    <n v="0"/>
    <n v="0"/>
    <n v="0"/>
    <n v="1"/>
    <n v="1678"/>
    <n v="1645"/>
    <n v="33"/>
    <n v="0"/>
    <x v="1"/>
    <x v="1"/>
    <x v="0"/>
    <x v="1"/>
    <x v="2"/>
    <x v="4"/>
    <n v="0"/>
    <n v="0"/>
    <n v="21"/>
    <n v="10"/>
    <n v="5"/>
    <n v="9"/>
    <n v="24"/>
    <n v="9"/>
    <x v="0"/>
  </r>
  <r>
    <x v="173"/>
    <n v="58138"/>
    <n v="0"/>
    <n v="0"/>
    <n v="58"/>
    <n v="635"/>
    <n v="88"/>
    <n v="546"/>
    <n v="172"/>
    <n v="88"/>
    <n v="88"/>
    <n v="3"/>
    <n v="8"/>
    <n v="10"/>
    <n v="4"/>
    <n v="7"/>
    <n v="0"/>
    <n v="0"/>
    <n v="0"/>
    <n v="0"/>
    <n v="0"/>
    <x v="0"/>
    <n v="0"/>
    <n v="3"/>
    <n v="11"/>
    <n v="1"/>
    <n v="63"/>
    <n v="2822"/>
    <n v="7.7315068493150685"/>
    <n v="0"/>
    <n v="0"/>
    <n v="1"/>
    <n v="0"/>
    <n v="0"/>
    <n v="0"/>
    <n v="0"/>
    <n v="1"/>
    <n v="0"/>
    <n v="0"/>
    <n v="1529"/>
    <n v="1441"/>
    <n v="88"/>
    <n v="0"/>
    <x v="1"/>
    <x v="1"/>
    <x v="1"/>
    <x v="0"/>
    <x v="2"/>
    <x v="2"/>
    <n v="1"/>
    <n v="0"/>
    <n v="32"/>
    <n v="5"/>
    <n v="9"/>
    <n v="9"/>
    <n v="23"/>
    <n v="8"/>
    <x v="2"/>
  </r>
  <r>
    <x v="174"/>
    <n v="71466"/>
    <n v="0"/>
    <n v="0"/>
    <n v="86"/>
    <n v="412"/>
    <n v="12"/>
    <n v="546"/>
    <n v="78"/>
    <n v="182"/>
    <n v="0"/>
    <n v="1"/>
    <n v="4"/>
    <n v="4"/>
    <n v="10"/>
    <n v="1"/>
    <n v="0"/>
    <n v="0"/>
    <n v="0"/>
    <n v="0"/>
    <n v="0"/>
    <x v="0"/>
    <n v="0"/>
    <n v="3"/>
    <n v="11"/>
    <n v="0"/>
    <n v="46"/>
    <n v="2244"/>
    <n v="6.1479452054794521"/>
    <n v="0"/>
    <n v="0"/>
    <n v="1"/>
    <n v="0"/>
    <n v="0"/>
    <n v="0"/>
    <n v="0"/>
    <n v="0"/>
    <n v="0"/>
    <n v="1"/>
    <n v="1230"/>
    <n v="1230"/>
    <n v="0"/>
    <n v="0"/>
    <x v="1"/>
    <x v="1"/>
    <x v="1"/>
    <x v="1"/>
    <x v="2"/>
    <x v="0"/>
    <n v="1"/>
    <n v="0"/>
    <n v="20"/>
    <n v="1.9999999999999996"/>
    <n v="4"/>
    <n v="8"/>
    <n v="14"/>
    <n v="4"/>
    <x v="3"/>
  </r>
  <r>
    <x v="175"/>
    <n v="75437"/>
    <n v="0"/>
    <n v="0"/>
    <n v="25"/>
    <n v="795"/>
    <n v="0"/>
    <n v="545"/>
    <n v="95"/>
    <n v="58"/>
    <n v="0"/>
    <n v="1"/>
    <n v="8"/>
    <n v="4"/>
    <n v="10"/>
    <n v="6"/>
    <n v="1"/>
    <n v="0"/>
    <n v="0"/>
    <n v="0"/>
    <n v="0"/>
    <x v="1"/>
    <n v="0"/>
    <n v="3"/>
    <n v="11"/>
    <n v="0"/>
    <n v="42"/>
    <n v="2391"/>
    <n v="6.5506849315068489"/>
    <n v="0"/>
    <n v="0"/>
    <n v="0"/>
    <n v="1"/>
    <n v="0"/>
    <n v="0"/>
    <n v="0"/>
    <n v="1"/>
    <n v="0"/>
    <n v="0"/>
    <n v="1493"/>
    <n v="1493"/>
    <n v="0"/>
    <n v="1"/>
    <x v="1"/>
    <x v="1"/>
    <x v="2"/>
    <x v="0"/>
    <x v="1"/>
    <x v="0"/>
    <n v="0"/>
    <n v="0"/>
    <n v="29"/>
    <n v="8"/>
    <n v="8"/>
    <n v="9"/>
    <n v="25"/>
    <n v="9"/>
    <x v="0"/>
  </r>
  <r>
    <x v="176"/>
    <n v="72460"/>
    <n v="0"/>
    <n v="0"/>
    <n v="56"/>
    <n v="377"/>
    <n v="10"/>
    <n v="540"/>
    <n v="80"/>
    <n v="30"/>
    <n v="10"/>
    <n v="1"/>
    <n v="3"/>
    <n v="5"/>
    <n v="7"/>
    <n v="1"/>
    <n v="0"/>
    <n v="0"/>
    <n v="0"/>
    <n v="0"/>
    <n v="0"/>
    <x v="0"/>
    <n v="0"/>
    <n v="3"/>
    <n v="11"/>
    <n v="0"/>
    <n v="51"/>
    <n v="2386"/>
    <n v="6.536986301369863"/>
    <n v="0"/>
    <n v="1"/>
    <n v="0"/>
    <n v="0"/>
    <n v="0"/>
    <n v="0"/>
    <n v="0"/>
    <n v="1"/>
    <n v="0"/>
    <n v="0"/>
    <n v="1037"/>
    <n v="1027"/>
    <n v="10"/>
    <n v="0"/>
    <x v="1"/>
    <x v="1"/>
    <x v="0"/>
    <x v="0"/>
    <x v="2"/>
    <x v="1"/>
    <n v="1"/>
    <n v="0"/>
    <n v="17"/>
    <n v="5"/>
    <n v="3"/>
    <n v="7"/>
    <n v="15"/>
    <n v="4"/>
    <x v="3"/>
  </r>
  <r>
    <x v="177"/>
    <n v="75777"/>
    <n v="0"/>
    <n v="0"/>
    <n v="12"/>
    <n v="712"/>
    <n v="26"/>
    <n v="538"/>
    <n v="69"/>
    <n v="13"/>
    <n v="80"/>
    <n v="1"/>
    <n v="3"/>
    <n v="6"/>
    <n v="11"/>
    <n v="1"/>
    <n v="0"/>
    <n v="0"/>
    <n v="0"/>
    <n v="1"/>
    <n v="1"/>
    <x v="1"/>
    <n v="0"/>
    <n v="3"/>
    <n v="11"/>
    <n v="1"/>
    <n v="38"/>
    <n v="2519"/>
    <n v="6.9013698630136986"/>
    <n v="0"/>
    <n v="0"/>
    <n v="1"/>
    <n v="0"/>
    <n v="0"/>
    <n v="0"/>
    <n v="0"/>
    <n v="0"/>
    <n v="1"/>
    <n v="0"/>
    <n v="1358"/>
    <n v="1278"/>
    <n v="80"/>
    <n v="2"/>
    <x v="1"/>
    <x v="1"/>
    <x v="1"/>
    <x v="1"/>
    <x v="1"/>
    <x v="3"/>
    <n v="0"/>
    <n v="0"/>
    <n v="22"/>
    <n v="9"/>
    <n v="5"/>
    <n v="8"/>
    <n v="22"/>
    <n v="8"/>
    <x v="2"/>
  </r>
  <r>
    <x v="178"/>
    <n v="74068"/>
    <n v="0"/>
    <n v="0"/>
    <n v="14"/>
    <n v="783"/>
    <n v="30"/>
    <n v="537"/>
    <n v="140"/>
    <n v="76"/>
    <n v="15"/>
    <n v="1"/>
    <n v="4"/>
    <n v="10"/>
    <n v="9"/>
    <n v="2"/>
    <n v="0"/>
    <n v="0"/>
    <n v="0"/>
    <n v="0"/>
    <n v="0"/>
    <x v="0"/>
    <n v="0"/>
    <n v="3"/>
    <n v="11"/>
    <n v="0"/>
    <n v="44"/>
    <n v="2626"/>
    <n v="7.1945205479452055"/>
    <n v="0"/>
    <n v="1"/>
    <n v="0"/>
    <n v="0"/>
    <n v="0"/>
    <n v="0"/>
    <n v="0"/>
    <n v="1"/>
    <n v="0"/>
    <n v="0"/>
    <n v="1566"/>
    <n v="1551"/>
    <n v="15"/>
    <n v="0"/>
    <x v="1"/>
    <x v="1"/>
    <x v="0"/>
    <x v="0"/>
    <x v="2"/>
    <x v="0"/>
    <n v="0"/>
    <n v="0"/>
    <n v="26"/>
    <n v="9"/>
    <n v="7"/>
    <n v="9"/>
    <n v="25"/>
    <n v="9"/>
    <x v="0"/>
  </r>
  <r>
    <x v="179"/>
    <n v="81246"/>
    <n v="0"/>
    <n v="0"/>
    <n v="87"/>
    <n v="398"/>
    <n v="190"/>
    <n v="537"/>
    <n v="61"/>
    <n v="156"/>
    <n v="37"/>
    <n v="1"/>
    <n v="4"/>
    <n v="5"/>
    <n v="7"/>
    <n v="1"/>
    <n v="1"/>
    <n v="0"/>
    <n v="1"/>
    <n v="0"/>
    <n v="0"/>
    <x v="1"/>
    <n v="0"/>
    <n v="3"/>
    <n v="11"/>
    <n v="0"/>
    <n v="56"/>
    <n v="2341"/>
    <n v="6.4136986301369863"/>
    <n v="0"/>
    <n v="0"/>
    <n v="1"/>
    <n v="0"/>
    <n v="0"/>
    <n v="0"/>
    <n v="0"/>
    <n v="1"/>
    <n v="0"/>
    <n v="0"/>
    <n v="1342"/>
    <n v="1305"/>
    <n v="37"/>
    <n v="2"/>
    <x v="1"/>
    <x v="1"/>
    <x v="1"/>
    <x v="0"/>
    <x v="1"/>
    <x v="1"/>
    <n v="1"/>
    <n v="0"/>
    <n v="18"/>
    <n v="1.9999999999999996"/>
    <n v="4"/>
    <n v="8"/>
    <n v="14"/>
    <n v="4"/>
    <x v="3"/>
  </r>
  <r>
    <x v="180"/>
    <n v="81843"/>
    <n v="0"/>
    <n v="0"/>
    <n v="13"/>
    <n v="779"/>
    <n v="86"/>
    <n v="537"/>
    <n v="34"/>
    <n v="69"/>
    <n v="138"/>
    <n v="1"/>
    <n v="5"/>
    <n v="9"/>
    <n v="12"/>
    <n v="3"/>
    <n v="0"/>
    <n v="0"/>
    <n v="0"/>
    <n v="0"/>
    <n v="0"/>
    <x v="0"/>
    <n v="0"/>
    <n v="3"/>
    <n v="11"/>
    <n v="0"/>
    <n v="60"/>
    <n v="2592"/>
    <n v="7.1013698630136988"/>
    <n v="0"/>
    <n v="1"/>
    <n v="0"/>
    <n v="0"/>
    <n v="0"/>
    <n v="0"/>
    <n v="0"/>
    <n v="0"/>
    <n v="1"/>
    <n v="0"/>
    <n v="1505"/>
    <n v="1367"/>
    <n v="138"/>
    <n v="0"/>
    <x v="1"/>
    <x v="1"/>
    <x v="0"/>
    <x v="1"/>
    <x v="1"/>
    <x v="1"/>
    <n v="0"/>
    <n v="0"/>
    <n v="30"/>
    <n v="9"/>
    <n v="8"/>
    <n v="9"/>
    <n v="26"/>
    <n v="9"/>
    <x v="0"/>
  </r>
  <r>
    <x v="181"/>
    <n v="72066"/>
    <n v="0"/>
    <n v="0"/>
    <n v="55"/>
    <n v="1003"/>
    <n v="34"/>
    <n v="536"/>
    <n v="134"/>
    <n v="51"/>
    <n v="34"/>
    <n v="1"/>
    <n v="4"/>
    <n v="6"/>
    <n v="6"/>
    <n v="2"/>
    <n v="1"/>
    <n v="0"/>
    <n v="0"/>
    <n v="0"/>
    <n v="1"/>
    <x v="1"/>
    <n v="0"/>
    <n v="3"/>
    <n v="11"/>
    <n v="1"/>
    <n v="39"/>
    <n v="2165"/>
    <n v="5.9315068493150687"/>
    <n v="0"/>
    <n v="0"/>
    <n v="1"/>
    <n v="0"/>
    <n v="0"/>
    <n v="0"/>
    <n v="0"/>
    <n v="1"/>
    <n v="0"/>
    <n v="0"/>
    <n v="1758"/>
    <n v="1724"/>
    <n v="34"/>
    <n v="2"/>
    <x v="1"/>
    <x v="1"/>
    <x v="1"/>
    <x v="0"/>
    <x v="2"/>
    <x v="3"/>
    <n v="1"/>
    <n v="0"/>
    <n v="19"/>
    <n v="5"/>
    <n v="4"/>
    <n v="9"/>
    <n v="18"/>
    <n v="6"/>
    <x v="1"/>
  </r>
  <r>
    <x v="182"/>
    <n v="80011"/>
    <n v="0"/>
    <n v="1"/>
    <n v="3"/>
    <n v="421"/>
    <n v="76"/>
    <n v="536"/>
    <n v="82"/>
    <n v="178"/>
    <n v="102"/>
    <n v="2"/>
    <n v="8"/>
    <n v="6"/>
    <n v="5"/>
    <n v="4"/>
    <n v="0"/>
    <n v="0"/>
    <n v="0"/>
    <n v="0"/>
    <n v="0"/>
    <x v="0"/>
    <n v="0"/>
    <n v="3"/>
    <n v="11"/>
    <n v="0"/>
    <n v="40"/>
    <n v="2585"/>
    <n v="7.0821917808219181"/>
    <n v="0"/>
    <n v="1"/>
    <n v="0"/>
    <n v="0"/>
    <n v="0"/>
    <n v="0"/>
    <n v="0"/>
    <n v="1"/>
    <n v="0"/>
    <n v="0"/>
    <n v="1293"/>
    <n v="1191"/>
    <n v="102"/>
    <n v="0"/>
    <x v="0"/>
    <x v="0"/>
    <x v="0"/>
    <x v="0"/>
    <x v="1"/>
    <x v="3"/>
    <n v="0"/>
    <n v="0"/>
    <n v="25"/>
    <n v="10"/>
    <n v="7"/>
    <n v="8"/>
    <n v="25"/>
    <n v="9"/>
    <x v="0"/>
  </r>
  <r>
    <x v="183"/>
    <n v="81044"/>
    <n v="0"/>
    <n v="0"/>
    <n v="0"/>
    <n v="450"/>
    <n v="26"/>
    <n v="535"/>
    <n v="73"/>
    <n v="98"/>
    <n v="26"/>
    <n v="1"/>
    <n v="5"/>
    <n v="6"/>
    <n v="10"/>
    <n v="1"/>
    <n v="0"/>
    <n v="0"/>
    <n v="0"/>
    <n v="0"/>
    <n v="0"/>
    <x v="0"/>
    <n v="0"/>
    <n v="3"/>
    <n v="11"/>
    <n v="0"/>
    <n v="73"/>
    <n v="2343"/>
    <n v="6.419178082191781"/>
    <n v="0"/>
    <n v="1"/>
    <n v="0"/>
    <n v="0"/>
    <n v="0"/>
    <n v="1"/>
    <n v="0"/>
    <n v="0"/>
    <n v="0"/>
    <n v="0"/>
    <n v="1182"/>
    <n v="1156"/>
    <n v="26"/>
    <n v="0"/>
    <x v="1"/>
    <x v="1"/>
    <x v="0"/>
    <x v="1"/>
    <x v="1"/>
    <x v="2"/>
    <n v="0"/>
    <n v="0"/>
    <n v="23"/>
    <n v="10"/>
    <n v="6"/>
    <n v="8"/>
    <n v="24"/>
    <n v="9"/>
    <x v="0"/>
  </r>
  <r>
    <x v="184"/>
    <n v="70596"/>
    <n v="0"/>
    <n v="0"/>
    <n v="68"/>
    <n v="347"/>
    <n v="44"/>
    <n v="534"/>
    <n v="17"/>
    <n v="0"/>
    <n v="26"/>
    <n v="1"/>
    <n v="3"/>
    <n v="5"/>
    <n v="12"/>
    <n v="2"/>
    <n v="0"/>
    <n v="0"/>
    <n v="0"/>
    <n v="0"/>
    <n v="0"/>
    <x v="0"/>
    <n v="0"/>
    <n v="3"/>
    <n v="11"/>
    <n v="0"/>
    <n v="35"/>
    <n v="2791"/>
    <n v="7.646575342465753"/>
    <n v="0"/>
    <n v="0"/>
    <n v="1"/>
    <n v="0"/>
    <n v="0"/>
    <n v="0"/>
    <n v="0"/>
    <n v="1"/>
    <n v="0"/>
    <n v="0"/>
    <n v="942"/>
    <n v="916"/>
    <n v="26"/>
    <n v="0"/>
    <x v="1"/>
    <x v="1"/>
    <x v="1"/>
    <x v="0"/>
    <x v="2"/>
    <x v="3"/>
    <n v="1"/>
    <n v="0"/>
    <n v="23"/>
    <n v="4"/>
    <n v="6"/>
    <n v="7"/>
    <n v="17"/>
    <n v="6"/>
    <x v="1"/>
  </r>
  <r>
    <x v="185"/>
    <n v="79800"/>
    <n v="0"/>
    <n v="0"/>
    <n v="65"/>
    <n v="1060"/>
    <n v="21"/>
    <n v="530"/>
    <n v="32"/>
    <n v="0"/>
    <n v="224"/>
    <n v="1"/>
    <n v="5"/>
    <n v="11"/>
    <n v="5"/>
    <n v="3"/>
    <n v="1"/>
    <n v="0"/>
    <n v="1"/>
    <n v="0"/>
    <n v="1"/>
    <x v="1"/>
    <n v="0"/>
    <n v="3"/>
    <n v="11"/>
    <n v="1"/>
    <n v="65"/>
    <n v="2803"/>
    <n v="7.6794520547945204"/>
    <n v="0"/>
    <n v="0"/>
    <n v="0"/>
    <n v="0"/>
    <n v="1"/>
    <n v="0"/>
    <n v="0"/>
    <n v="1"/>
    <n v="0"/>
    <n v="0"/>
    <n v="1643"/>
    <n v="1419"/>
    <n v="224"/>
    <n v="3"/>
    <x v="1"/>
    <x v="1"/>
    <x v="4"/>
    <x v="0"/>
    <x v="1"/>
    <x v="2"/>
    <n v="1"/>
    <n v="0"/>
    <n v="25"/>
    <n v="4"/>
    <n v="7"/>
    <n v="9"/>
    <n v="20"/>
    <n v="7"/>
    <x v="2"/>
  </r>
  <r>
    <x v="186"/>
    <n v="71604"/>
    <n v="0"/>
    <n v="0"/>
    <n v="3"/>
    <n v="345"/>
    <n v="53"/>
    <n v="528"/>
    <n v="98"/>
    <n v="75"/>
    <n v="97"/>
    <n v="1"/>
    <n v="8"/>
    <n v="3"/>
    <n v="5"/>
    <n v="4"/>
    <n v="0"/>
    <n v="0"/>
    <n v="1"/>
    <n v="0"/>
    <n v="0"/>
    <x v="1"/>
    <n v="0"/>
    <n v="3"/>
    <n v="11"/>
    <n v="1"/>
    <n v="75"/>
    <n v="2383"/>
    <n v="6.5287671232876709"/>
    <n v="0"/>
    <n v="0"/>
    <n v="0"/>
    <n v="1"/>
    <n v="0"/>
    <n v="0"/>
    <n v="0"/>
    <n v="0"/>
    <n v="0"/>
    <n v="1"/>
    <n v="1099"/>
    <n v="1002"/>
    <n v="97"/>
    <n v="1"/>
    <x v="1"/>
    <x v="1"/>
    <x v="2"/>
    <x v="1"/>
    <x v="2"/>
    <x v="2"/>
    <n v="0"/>
    <n v="0"/>
    <n v="21"/>
    <n v="10"/>
    <n v="5"/>
    <n v="8"/>
    <n v="23"/>
    <n v="8"/>
    <x v="2"/>
  </r>
  <r>
    <x v="187"/>
    <n v="75114"/>
    <n v="0"/>
    <n v="0"/>
    <n v="40"/>
    <n v="571"/>
    <n v="12"/>
    <n v="523"/>
    <n v="63"/>
    <n v="60"/>
    <n v="24"/>
    <n v="1"/>
    <n v="3"/>
    <n v="10"/>
    <n v="5"/>
    <n v="2"/>
    <n v="0"/>
    <n v="0"/>
    <n v="0"/>
    <n v="0"/>
    <n v="0"/>
    <x v="0"/>
    <n v="0"/>
    <n v="3"/>
    <n v="11"/>
    <n v="0"/>
    <n v="28"/>
    <n v="2393"/>
    <n v="6.5561643835616437"/>
    <n v="0"/>
    <n v="0"/>
    <n v="0"/>
    <n v="1"/>
    <n v="0"/>
    <n v="0"/>
    <n v="0"/>
    <n v="1"/>
    <n v="0"/>
    <n v="0"/>
    <n v="1229"/>
    <n v="1205"/>
    <n v="24"/>
    <n v="0"/>
    <x v="1"/>
    <x v="1"/>
    <x v="2"/>
    <x v="0"/>
    <x v="1"/>
    <x v="4"/>
    <n v="1"/>
    <n v="0"/>
    <n v="21"/>
    <n v="6"/>
    <n v="5"/>
    <n v="8"/>
    <n v="19"/>
    <n v="7"/>
    <x v="2"/>
  </r>
  <r>
    <x v="188"/>
    <n v="72258"/>
    <n v="0"/>
    <n v="1"/>
    <n v="28"/>
    <n v="522"/>
    <n v="0"/>
    <n v="522"/>
    <n v="227"/>
    <n v="120"/>
    <n v="134"/>
    <n v="2"/>
    <n v="6"/>
    <n v="9"/>
    <n v="5"/>
    <n v="2"/>
    <n v="0"/>
    <n v="0"/>
    <n v="0"/>
    <n v="0"/>
    <n v="0"/>
    <x v="0"/>
    <n v="0"/>
    <n v="3"/>
    <n v="11"/>
    <n v="0"/>
    <n v="49"/>
    <n v="2449"/>
    <n v="6.7095890410958905"/>
    <n v="0"/>
    <n v="0"/>
    <n v="1"/>
    <n v="0"/>
    <n v="0"/>
    <n v="0"/>
    <n v="0"/>
    <n v="1"/>
    <n v="0"/>
    <n v="0"/>
    <n v="1391"/>
    <n v="1257"/>
    <n v="134"/>
    <n v="0"/>
    <x v="0"/>
    <x v="0"/>
    <x v="1"/>
    <x v="0"/>
    <x v="2"/>
    <x v="0"/>
    <n v="0"/>
    <n v="0"/>
    <n v="24"/>
    <n v="8"/>
    <n v="6"/>
    <n v="8"/>
    <n v="22"/>
    <n v="8"/>
    <x v="2"/>
  </r>
  <r>
    <x v="189"/>
    <n v="73705"/>
    <n v="0"/>
    <n v="2"/>
    <n v="86"/>
    <n v="612"/>
    <n v="91"/>
    <n v="520"/>
    <n v="258"/>
    <n v="107"/>
    <n v="107"/>
    <n v="2"/>
    <n v="9"/>
    <n v="6"/>
    <n v="8"/>
    <n v="5"/>
    <n v="0"/>
    <n v="0"/>
    <n v="0"/>
    <n v="0"/>
    <n v="0"/>
    <x v="0"/>
    <n v="0"/>
    <n v="3"/>
    <n v="11"/>
    <n v="0"/>
    <n v="69"/>
    <n v="2275"/>
    <n v="6.2328767123287667"/>
    <n v="0"/>
    <n v="0"/>
    <n v="0"/>
    <n v="0"/>
    <n v="1"/>
    <n v="0"/>
    <n v="0"/>
    <n v="0"/>
    <n v="1"/>
    <n v="0"/>
    <n v="1588"/>
    <n v="1481"/>
    <n v="107"/>
    <n v="0"/>
    <x v="0"/>
    <x v="0"/>
    <x v="4"/>
    <x v="1"/>
    <x v="2"/>
    <x v="2"/>
    <n v="1"/>
    <n v="0"/>
    <n v="30"/>
    <n v="1.9999999999999996"/>
    <n v="8"/>
    <n v="9"/>
    <n v="19"/>
    <n v="7"/>
    <x v="2"/>
  </r>
  <r>
    <x v="190"/>
    <n v="80589"/>
    <n v="0"/>
    <n v="0"/>
    <n v="25"/>
    <n v="507"/>
    <n v="93"/>
    <n v="520"/>
    <n v="242"/>
    <n v="40"/>
    <n v="26"/>
    <n v="1"/>
    <n v="5"/>
    <n v="10"/>
    <n v="5"/>
    <n v="1"/>
    <n v="1"/>
    <n v="0"/>
    <n v="0"/>
    <n v="0"/>
    <n v="0"/>
    <x v="1"/>
    <n v="0"/>
    <n v="3"/>
    <n v="11"/>
    <n v="1"/>
    <n v="76"/>
    <n v="2317"/>
    <n v="6.3479452054794523"/>
    <n v="0"/>
    <n v="1"/>
    <n v="0"/>
    <n v="0"/>
    <n v="0"/>
    <n v="0"/>
    <n v="0"/>
    <n v="1"/>
    <n v="0"/>
    <n v="0"/>
    <n v="1402"/>
    <n v="1376"/>
    <n v="26"/>
    <n v="1"/>
    <x v="1"/>
    <x v="1"/>
    <x v="0"/>
    <x v="0"/>
    <x v="1"/>
    <x v="2"/>
    <n v="0"/>
    <n v="0"/>
    <n v="22"/>
    <n v="8"/>
    <n v="5"/>
    <n v="8"/>
    <n v="21"/>
    <n v="8"/>
    <x v="2"/>
  </r>
  <r>
    <x v="191"/>
    <n v="81698"/>
    <n v="0"/>
    <n v="0"/>
    <n v="4"/>
    <n v="179"/>
    <n v="28"/>
    <n v="520"/>
    <n v="111"/>
    <n v="123"/>
    <n v="47"/>
    <n v="1"/>
    <n v="3"/>
    <n v="8"/>
    <n v="13"/>
    <n v="1"/>
    <n v="0"/>
    <n v="0"/>
    <n v="0"/>
    <n v="0"/>
    <n v="0"/>
    <x v="0"/>
    <n v="0"/>
    <n v="3"/>
    <n v="11"/>
    <n v="1"/>
    <n v="71"/>
    <n v="2394"/>
    <n v="6.558904109589041"/>
    <n v="0"/>
    <n v="1"/>
    <n v="0"/>
    <n v="0"/>
    <n v="0"/>
    <n v="0"/>
    <n v="0"/>
    <n v="0"/>
    <n v="1"/>
    <n v="0"/>
    <n v="961"/>
    <n v="914"/>
    <n v="47"/>
    <n v="0"/>
    <x v="1"/>
    <x v="1"/>
    <x v="0"/>
    <x v="1"/>
    <x v="1"/>
    <x v="2"/>
    <n v="0"/>
    <n v="0"/>
    <n v="26"/>
    <n v="10"/>
    <n v="7"/>
    <n v="7"/>
    <n v="24"/>
    <n v="9"/>
    <x v="0"/>
  </r>
  <r>
    <x v="192"/>
    <n v="72906"/>
    <n v="0"/>
    <n v="0"/>
    <n v="79"/>
    <n v="400"/>
    <n v="32"/>
    <n v="519"/>
    <n v="71"/>
    <n v="75"/>
    <n v="54"/>
    <n v="1"/>
    <n v="3"/>
    <n v="4"/>
    <n v="9"/>
    <n v="1"/>
    <n v="0"/>
    <n v="0"/>
    <n v="0"/>
    <n v="0"/>
    <n v="0"/>
    <x v="0"/>
    <n v="0"/>
    <n v="3"/>
    <n v="11"/>
    <n v="0"/>
    <n v="65"/>
    <n v="2444"/>
    <n v="6.6958904109589037"/>
    <n v="0"/>
    <n v="0"/>
    <n v="1"/>
    <n v="0"/>
    <n v="0"/>
    <n v="0"/>
    <n v="0"/>
    <n v="1"/>
    <n v="0"/>
    <n v="0"/>
    <n v="1097"/>
    <n v="1043"/>
    <n v="54"/>
    <n v="0"/>
    <x v="1"/>
    <x v="1"/>
    <x v="1"/>
    <x v="0"/>
    <x v="2"/>
    <x v="2"/>
    <n v="1"/>
    <n v="0"/>
    <n v="18"/>
    <n v="3.0000000000000004"/>
    <n v="4"/>
    <n v="7"/>
    <n v="14"/>
    <n v="4"/>
    <x v="3"/>
  </r>
  <r>
    <x v="193"/>
    <n v="79174"/>
    <n v="0"/>
    <n v="0"/>
    <n v="2"/>
    <n v="1074"/>
    <n v="37"/>
    <n v="518"/>
    <n v="193"/>
    <n v="92"/>
    <n v="129"/>
    <n v="1"/>
    <n v="5"/>
    <n v="6"/>
    <n v="7"/>
    <n v="2"/>
    <n v="1"/>
    <n v="0"/>
    <n v="0"/>
    <n v="0"/>
    <n v="1"/>
    <x v="1"/>
    <n v="0"/>
    <n v="3"/>
    <n v="11"/>
    <n v="1"/>
    <n v="45"/>
    <n v="2693"/>
    <n v="7.3780821917808215"/>
    <n v="0"/>
    <n v="1"/>
    <n v="0"/>
    <n v="0"/>
    <n v="0"/>
    <n v="0"/>
    <n v="0"/>
    <n v="0"/>
    <n v="0"/>
    <n v="1"/>
    <n v="1914"/>
    <n v="1785"/>
    <n v="129"/>
    <n v="2"/>
    <x v="1"/>
    <x v="1"/>
    <x v="0"/>
    <x v="1"/>
    <x v="1"/>
    <x v="0"/>
    <n v="0"/>
    <n v="0"/>
    <n v="21"/>
    <n v="10"/>
    <n v="5"/>
    <n v="9"/>
    <n v="24"/>
    <n v="9"/>
    <x v="0"/>
  </r>
  <r>
    <x v="194"/>
    <n v="69759"/>
    <n v="0"/>
    <n v="0"/>
    <n v="38"/>
    <n v="452"/>
    <n v="20"/>
    <n v="514"/>
    <n v="13"/>
    <n v="30"/>
    <n v="0"/>
    <n v="3"/>
    <n v="4"/>
    <n v="6"/>
    <n v="5"/>
    <n v="3"/>
    <n v="0"/>
    <n v="0"/>
    <n v="0"/>
    <n v="0"/>
    <n v="0"/>
    <x v="0"/>
    <n v="0"/>
    <n v="3"/>
    <n v="11"/>
    <n v="1"/>
    <n v="54"/>
    <n v="2403"/>
    <n v="6.5835616438356164"/>
    <n v="0"/>
    <n v="0"/>
    <n v="1"/>
    <n v="0"/>
    <n v="0"/>
    <n v="0"/>
    <n v="0"/>
    <n v="0"/>
    <n v="0"/>
    <n v="1"/>
    <n v="1029"/>
    <n v="1029"/>
    <n v="0"/>
    <n v="0"/>
    <x v="1"/>
    <x v="1"/>
    <x v="1"/>
    <x v="1"/>
    <x v="2"/>
    <x v="1"/>
    <n v="1"/>
    <n v="0"/>
    <n v="21"/>
    <n v="7"/>
    <n v="5"/>
    <n v="7"/>
    <n v="19"/>
    <n v="7"/>
    <x v="2"/>
  </r>
  <r>
    <x v="195"/>
    <n v="69969"/>
    <n v="0"/>
    <n v="0"/>
    <n v="64"/>
    <n v="882"/>
    <n v="29"/>
    <n v="514"/>
    <n v="38"/>
    <n v="29"/>
    <n v="44"/>
    <n v="1"/>
    <n v="4"/>
    <n v="2"/>
    <n v="6"/>
    <n v="3"/>
    <n v="1"/>
    <n v="0"/>
    <n v="0"/>
    <n v="0"/>
    <n v="1"/>
    <x v="1"/>
    <n v="0"/>
    <n v="3"/>
    <n v="11"/>
    <n v="1"/>
    <n v="55"/>
    <n v="2465"/>
    <n v="6.7534246575342465"/>
    <n v="0"/>
    <n v="1"/>
    <n v="0"/>
    <n v="0"/>
    <n v="0"/>
    <n v="0"/>
    <n v="0"/>
    <n v="0"/>
    <n v="0"/>
    <n v="1"/>
    <n v="1492"/>
    <n v="1448"/>
    <n v="44"/>
    <n v="2"/>
    <x v="1"/>
    <x v="1"/>
    <x v="0"/>
    <x v="1"/>
    <x v="2"/>
    <x v="1"/>
    <n v="1"/>
    <n v="0"/>
    <n v="16"/>
    <n v="4"/>
    <n v="3"/>
    <n v="9"/>
    <n v="16"/>
    <n v="5"/>
    <x v="1"/>
  </r>
  <r>
    <x v="196"/>
    <n v="69867"/>
    <n v="0"/>
    <n v="0"/>
    <n v="30"/>
    <n v="196"/>
    <n v="0"/>
    <n v="512"/>
    <n v="33"/>
    <n v="130"/>
    <n v="54"/>
    <n v="1"/>
    <n v="3"/>
    <n v="5"/>
    <n v="8"/>
    <n v="1"/>
    <n v="1"/>
    <n v="0"/>
    <n v="0"/>
    <n v="0"/>
    <n v="0"/>
    <x v="1"/>
    <n v="0"/>
    <n v="3"/>
    <n v="11"/>
    <n v="1"/>
    <n v="34"/>
    <n v="2612"/>
    <n v="7.1561643835616442"/>
    <n v="0"/>
    <n v="0"/>
    <n v="1"/>
    <n v="0"/>
    <n v="0"/>
    <n v="0"/>
    <n v="0"/>
    <n v="0"/>
    <n v="0"/>
    <n v="1"/>
    <n v="871"/>
    <n v="817"/>
    <n v="54"/>
    <n v="1"/>
    <x v="1"/>
    <x v="1"/>
    <x v="1"/>
    <x v="1"/>
    <x v="2"/>
    <x v="3"/>
    <n v="0"/>
    <n v="0"/>
    <n v="18"/>
    <n v="7"/>
    <n v="4"/>
    <n v="7"/>
    <n v="18"/>
    <n v="6"/>
    <x v="1"/>
  </r>
  <r>
    <x v="197"/>
    <n v="79632"/>
    <n v="0"/>
    <n v="0"/>
    <n v="42"/>
    <n v="471"/>
    <n v="0"/>
    <n v="510"/>
    <n v="99"/>
    <n v="21"/>
    <n v="12"/>
    <n v="1"/>
    <n v="6"/>
    <n v="4"/>
    <n v="9"/>
    <n v="2"/>
    <n v="0"/>
    <n v="0"/>
    <n v="0"/>
    <n v="0"/>
    <n v="0"/>
    <x v="0"/>
    <n v="0"/>
    <n v="3"/>
    <n v="11"/>
    <n v="0"/>
    <n v="46"/>
    <n v="2241"/>
    <n v="6.13972602739726"/>
    <n v="0"/>
    <n v="0"/>
    <n v="0"/>
    <n v="1"/>
    <n v="0"/>
    <n v="0"/>
    <n v="0"/>
    <n v="0"/>
    <n v="0"/>
    <n v="1"/>
    <n v="1101"/>
    <n v="1089"/>
    <n v="12"/>
    <n v="0"/>
    <x v="1"/>
    <x v="1"/>
    <x v="2"/>
    <x v="1"/>
    <x v="1"/>
    <x v="0"/>
    <n v="1"/>
    <n v="0"/>
    <n v="22"/>
    <n v="6"/>
    <n v="5"/>
    <n v="8"/>
    <n v="19"/>
    <n v="7"/>
    <x v="2"/>
  </r>
  <r>
    <x v="198"/>
    <n v="82427"/>
    <n v="0"/>
    <n v="0"/>
    <n v="35"/>
    <n v="482"/>
    <n v="147"/>
    <n v="509"/>
    <n v="104"/>
    <n v="107"/>
    <n v="107"/>
    <n v="1"/>
    <n v="3"/>
    <n v="5"/>
    <n v="12"/>
    <n v="1"/>
    <n v="0"/>
    <n v="0"/>
    <n v="0"/>
    <n v="0"/>
    <n v="1"/>
    <x v="1"/>
    <n v="0"/>
    <n v="3"/>
    <n v="11"/>
    <n v="0"/>
    <n v="54"/>
    <n v="2268"/>
    <n v="6.2136986301369861"/>
    <n v="0"/>
    <n v="0"/>
    <n v="0"/>
    <n v="1"/>
    <n v="0"/>
    <n v="0"/>
    <n v="0"/>
    <n v="1"/>
    <n v="0"/>
    <n v="0"/>
    <n v="1349"/>
    <n v="1242"/>
    <n v="107"/>
    <n v="1"/>
    <x v="1"/>
    <x v="1"/>
    <x v="2"/>
    <x v="0"/>
    <x v="1"/>
    <x v="1"/>
    <n v="1"/>
    <n v="0"/>
    <n v="22"/>
    <n v="7"/>
    <n v="5"/>
    <n v="8"/>
    <n v="20"/>
    <n v="7"/>
    <x v="2"/>
  </r>
  <r>
    <x v="199"/>
    <n v="84196"/>
    <n v="0"/>
    <n v="1"/>
    <n v="56"/>
    <n v="215"/>
    <n v="63"/>
    <n v="507"/>
    <n v="231"/>
    <n v="31"/>
    <n v="190"/>
    <n v="1"/>
    <n v="8"/>
    <n v="4"/>
    <n v="7"/>
    <n v="3"/>
    <n v="0"/>
    <n v="0"/>
    <n v="0"/>
    <n v="0"/>
    <n v="0"/>
    <x v="0"/>
    <n v="0"/>
    <n v="3"/>
    <n v="11"/>
    <n v="0"/>
    <n v="45"/>
    <n v="2550"/>
    <n v="6.9863013698630141"/>
    <n v="0"/>
    <n v="0"/>
    <n v="1"/>
    <n v="0"/>
    <n v="0"/>
    <n v="0"/>
    <n v="0"/>
    <n v="1"/>
    <n v="0"/>
    <n v="0"/>
    <n v="1047"/>
    <n v="857"/>
    <n v="190"/>
    <n v="0"/>
    <x v="0"/>
    <x v="0"/>
    <x v="1"/>
    <x v="0"/>
    <x v="1"/>
    <x v="0"/>
    <n v="1"/>
    <n v="0"/>
    <n v="23"/>
    <n v="5"/>
    <n v="6"/>
    <n v="7"/>
    <n v="18"/>
    <n v="6"/>
    <x v="1"/>
  </r>
  <r>
    <x v="200"/>
    <n v="68682"/>
    <n v="0"/>
    <n v="0"/>
    <n v="56"/>
    <n v="919"/>
    <n v="0"/>
    <n v="505"/>
    <n v="99"/>
    <n v="30"/>
    <n v="45"/>
    <n v="1"/>
    <n v="4"/>
    <n v="9"/>
    <n v="10"/>
    <n v="2"/>
    <n v="0"/>
    <n v="0"/>
    <n v="0"/>
    <n v="0"/>
    <n v="0"/>
    <x v="0"/>
    <n v="0"/>
    <n v="3"/>
    <n v="11"/>
    <n v="0"/>
    <n v="29"/>
    <n v="2425"/>
    <n v="6.6438356164383565"/>
    <n v="0"/>
    <n v="0"/>
    <n v="0"/>
    <n v="1"/>
    <n v="0"/>
    <n v="0"/>
    <n v="0"/>
    <n v="0"/>
    <n v="0"/>
    <n v="1"/>
    <n v="1553"/>
    <n v="1508"/>
    <n v="45"/>
    <n v="0"/>
    <x v="1"/>
    <x v="1"/>
    <x v="2"/>
    <x v="1"/>
    <x v="2"/>
    <x v="4"/>
    <n v="1"/>
    <n v="0"/>
    <n v="26"/>
    <n v="5"/>
    <n v="7"/>
    <n v="9"/>
    <n v="21"/>
    <n v="8"/>
    <x v="2"/>
  </r>
  <r>
    <x v="201"/>
    <n v="73687"/>
    <n v="0"/>
    <n v="0"/>
    <n v="8"/>
    <n v="559"/>
    <n v="153"/>
    <n v="503"/>
    <n v="218"/>
    <n v="13"/>
    <n v="181"/>
    <n v="1"/>
    <n v="3"/>
    <n v="9"/>
    <n v="9"/>
    <n v="2"/>
    <n v="1"/>
    <n v="0"/>
    <n v="0"/>
    <n v="0"/>
    <n v="0"/>
    <x v="1"/>
    <n v="0"/>
    <n v="3"/>
    <n v="11"/>
    <n v="1"/>
    <n v="30"/>
    <n v="2372"/>
    <n v="6.4986301369863018"/>
    <n v="0"/>
    <n v="1"/>
    <n v="0"/>
    <n v="0"/>
    <n v="0"/>
    <n v="0"/>
    <n v="0"/>
    <n v="1"/>
    <n v="0"/>
    <n v="0"/>
    <n v="1446"/>
    <n v="1265"/>
    <n v="181"/>
    <n v="1"/>
    <x v="1"/>
    <x v="1"/>
    <x v="0"/>
    <x v="0"/>
    <x v="2"/>
    <x v="4"/>
    <n v="0"/>
    <n v="0"/>
    <n v="24"/>
    <n v="10"/>
    <n v="6"/>
    <n v="8"/>
    <n v="24"/>
    <n v="9"/>
    <x v="0"/>
  </r>
  <r>
    <x v="202"/>
    <n v="87305"/>
    <n v="0"/>
    <n v="0"/>
    <n v="19"/>
    <n v="345"/>
    <n v="25"/>
    <n v="501"/>
    <n v="63"/>
    <n v="138"/>
    <n v="80"/>
    <n v="1"/>
    <n v="5"/>
    <n v="3"/>
    <n v="8"/>
    <n v="2"/>
    <n v="0"/>
    <n v="0"/>
    <n v="0"/>
    <n v="0"/>
    <n v="1"/>
    <x v="1"/>
    <n v="0"/>
    <n v="3"/>
    <n v="11"/>
    <n v="1"/>
    <n v="60"/>
    <n v="2803"/>
    <n v="7.6794520547945204"/>
    <n v="1"/>
    <n v="0"/>
    <n v="0"/>
    <n v="0"/>
    <n v="0"/>
    <n v="1"/>
    <n v="0"/>
    <n v="0"/>
    <n v="0"/>
    <n v="0"/>
    <n v="1072"/>
    <n v="992"/>
    <n v="80"/>
    <n v="1"/>
    <x v="1"/>
    <x v="1"/>
    <x v="3"/>
    <x v="1"/>
    <x v="1"/>
    <x v="1"/>
    <n v="0"/>
    <n v="0"/>
    <n v="19"/>
    <n v="9"/>
    <n v="4"/>
    <n v="7"/>
    <n v="20"/>
    <n v="7"/>
    <x v="2"/>
  </r>
  <r>
    <x v="203"/>
    <n v="65487"/>
    <n v="0"/>
    <n v="0"/>
    <n v="48"/>
    <n v="240"/>
    <n v="67"/>
    <n v="500"/>
    <n v="199"/>
    <n v="0"/>
    <n v="163"/>
    <n v="3"/>
    <n v="3"/>
    <n v="5"/>
    <n v="6"/>
    <n v="2"/>
    <n v="0"/>
    <n v="0"/>
    <n v="0"/>
    <n v="0"/>
    <n v="0"/>
    <x v="0"/>
    <n v="0"/>
    <n v="3"/>
    <n v="11"/>
    <n v="0"/>
    <n v="63"/>
    <n v="2329"/>
    <n v="6.3808219178082188"/>
    <n v="0"/>
    <n v="0"/>
    <n v="1"/>
    <n v="0"/>
    <n v="0"/>
    <n v="0"/>
    <n v="0"/>
    <n v="0"/>
    <n v="1"/>
    <n v="0"/>
    <n v="1006"/>
    <n v="843"/>
    <n v="163"/>
    <n v="0"/>
    <x v="1"/>
    <x v="1"/>
    <x v="1"/>
    <x v="1"/>
    <x v="2"/>
    <x v="2"/>
    <n v="1"/>
    <n v="0"/>
    <n v="19"/>
    <n v="6"/>
    <n v="4"/>
    <n v="7"/>
    <n v="17"/>
    <n v="6"/>
    <x v="1"/>
  </r>
  <r>
    <x v="204"/>
    <n v="65487"/>
    <n v="0"/>
    <n v="0"/>
    <n v="48"/>
    <n v="240"/>
    <n v="67"/>
    <n v="500"/>
    <n v="199"/>
    <n v="0"/>
    <n v="163"/>
    <n v="3"/>
    <n v="3"/>
    <n v="5"/>
    <n v="6"/>
    <n v="2"/>
    <n v="0"/>
    <n v="0"/>
    <n v="0"/>
    <n v="0"/>
    <n v="0"/>
    <x v="0"/>
    <n v="0"/>
    <n v="3"/>
    <n v="11"/>
    <n v="0"/>
    <n v="63"/>
    <n v="2329"/>
    <n v="6.3808219178082188"/>
    <n v="0"/>
    <n v="0"/>
    <n v="0"/>
    <n v="1"/>
    <n v="0"/>
    <n v="0"/>
    <n v="0"/>
    <n v="0"/>
    <n v="1"/>
    <n v="0"/>
    <n v="1006"/>
    <n v="843"/>
    <n v="163"/>
    <n v="0"/>
    <x v="1"/>
    <x v="1"/>
    <x v="2"/>
    <x v="1"/>
    <x v="2"/>
    <x v="2"/>
    <n v="1"/>
    <n v="0"/>
    <n v="19"/>
    <n v="6"/>
    <n v="4"/>
    <n v="7"/>
    <n v="17"/>
    <n v="6"/>
    <x v="1"/>
  </r>
  <r>
    <x v="205"/>
    <n v="77870"/>
    <n v="0"/>
    <n v="1"/>
    <n v="93"/>
    <n v="1017"/>
    <n v="50"/>
    <n v="500"/>
    <n v="65"/>
    <n v="50"/>
    <n v="133"/>
    <n v="3"/>
    <n v="5"/>
    <n v="5"/>
    <n v="5"/>
    <n v="8"/>
    <n v="1"/>
    <n v="0"/>
    <n v="0"/>
    <n v="1"/>
    <n v="0"/>
    <x v="1"/>
    <n v="0"/>
    <n v="3"/>
    <n v="11"/>
    <n v="1"/>
    <n v="53"/>
    <n v="2835"/>
    <n v="7.7671232876712333"/>
    <n v="0"/>
    <n v="1"/>
    <n v="0"/>
    <n v="0"/>
    <n v="0"/>
    <n v="0"/>
    <n v="0"/>
    <n v="1"/>
    <n v="0"/>
    <n v="0"/>
    <n v="1682"/>
    <n v="1549"/>
    <n v="133"/>
    <n v="2"/>
    <x v="0"/>
    <x v="0"/>
    <x v="0"/>
    <x v="0"/>
    <x v="1"/>
    <x v="1"/>
    <n v="1"/>
    <n v="1"/>
    <n v="26"/>
    <n v="0.99999999999999978"/>
    <n v="7"/>
    <n v="9"/>
    <n v="17"/>
    <n v="6"/>
    <x v="1"/>
  </r>
  <r>
    <x v="206"/>
    <n v="80812"/>
    <n v="0"/>
    <n v="0"/>
    <n v="95"/>
    <n v="769"/>
    <n v="22"/>
    <n v="500"/>
    <n v="210"/>
    <n v="143"/>
    <n v="33"/>
    <n v="1"/>
    <n v="4"/>
    <n v="8"/>
    <n v="5"/>
    <n v="2"/>
    <n v="1"/>
    <n v="0"/>
    <n v="1"/>
    <n v="0"/>
    <n v="1"/>
    <x v="1"/>
    <n v="0"/>
    <n v="3"/>
    <n v="11"/>
    <n v="0"/>
    <n v="67"/>
    <n v="2444"/>
    <n v="6.6958904109589037"/>
    <n v="0"/>
    <n v="0"/>
    <n v="0"/>
    <n v="1"/>
    <n v="0"/>
    <n v="0"/>
    <n v="0"/>
    <n v="1"/>
    <n v="0"/>
    <n v="0"/>
    <n v="1644"/>
    <n v="1611"/>
    <n v="33"/>
    <n v="3"/>
    <x v="1"/>
    <x v="1"/>
    <x v="2"/>
    <x v="0"/>
    <x v="1"/>
    <x v="2"/>
    <n v="1"/>
    <n v="1"/>
    <n v="20"/>
    <n v="0.99999999999999978"/>
    <n v="4"/>
    <n v="9"/>
    <n v="14"/>
    <n v="4"/>
    <x v="3"/>
  </r>
  <r>
    <x v="207"/>
    <n v="69267"/>
    <n v="0"/>
    <n v="0"/>
    <n v="31"/>
    <n v="778"/>
    <n v="44"/>
    <n v="499"/>
    <n v="95"/>
    <n v="73"/>
    <n v="146"/>
    <n v="2"/>
    <n v="3"/>
    <n v="4"/>
    <n v="5"/>
    <n v="7"/>
    <n v="0"/>
    <n v="0"/>
    <n v="0"/>
    <n v="0"/>
    <n v="0"/>
    <x v="0"/>
    <n v="0"/>
    <n v="3"/>
    <n v="11"/>
    <n v="1"/>
    <n v="67"/>
    <n v="2804"/>
    <n v="7.6821917808219178"/>
    <n v="0"/>
    <n v="0"/>
    <n v="1"/>
    <n v="0"/>
    <n v="0"/>
    <n v="0"/>
    <n v="0"/>
    <n v="1"/>
    <n v="0"/>
    <n v="0"/>
    <n v="1489"/>
    <n v="1343"/>
    <n v="146"/>
    <n v="0"/>
    <x v="1"/>
    <x v="1"/>
    <x v="1"/>
    <x v="0"/>
    <x v="2"/>
    <x v="2"/>
    <n v="1"/>
    <n v="0"/>
    <n v="21"/>
    <n v="7"/>
    <n v="5"/>
    <n v="9"/>
    <n v="21"/>
    <n v="8"/>
    <x v="2"/>
  </r>
  <r>
    <x v="208"/>
    <n v="70440"/>
    <n v="0"/>
    <n v="0"/>
    <n v="49"/>
    <n v="690"/>
    <n v="117"/>
    <n v="499"/>
    <n v="76"/>
    <n v="102"/>
    <n v="88"/>
    <n v="1"/>
    <n v="5"/>
    <n v="10"/>
    <n v="7"/>
    <n v="3"/>
    <n v="1"/>
    <n v="0"/>
    <n v="0"/>
    <n v="0"/>
    <n v="0"/>
    <x v="1"/>
    <n v="0"/>
    <n v="3"/>
    <n v="11"/>
    <n v="0"/>
    <n v="42"/>
    <n v="2423"/>
    <n v="6.6383561643835618"/>
    <n v="0"/>
    <n v="0"/>
    <n v="0"/>
    <n v="1"/>
    <n v="0"/>
    <n v="0"/>
    <n v="0"/>
    <n v="1"/>
    <n v="0"/>
    <n v="0"/>
    <n v="1484"/>
    <n v="1396"/>
    <n v="88"/>
    <n v="1"/>
    <x v="1"/>
    <x v="1"/>
    <x v="2"/>
    <x v="0"/>
    <x v="2"/>
    <x v="0"/>
    <n v="1"/>
    <n v="0"/>
    <n v="26"/>
    <n v="6"/>
    <n v="7"/>
    <n v="9"/>
    <n v="22"/>
    <n v="8"/>
    <x v="2"/>
  </r>
  <r>
    <x v="209"/>
    <n v="76995"/>
    <n v="0"/>
    <n v="1"/>
    <n v="91"/>
    <n v="1012"/>
    <n v="80"/>
    <n v="498"/>
    <n v="0"/>
    <n v="16"/>
    <n v="176"/>
    <n v="2"/>
    <n v="11"/>
    <n v="4"/>
    <n v="9"/>
    <n v="5"/>
    <n v="1"/>
    <n v="0"/>
    <n v="0"/>
    <n v="0"/>
    <n v="0"/>
    <x v="1"/>
    <n v="0"/>
    <n v="3"/>
    <n v="11"/>
    <n v="0"/>
    <n v="71"/>
    <n v="2617"/>
    <n v="7.1698630136986301"/>
    <n v="0"/>
    <n v="1"/>
    <n v="0"/>
    <n v="0"/>
    <n v="0"/>
    <n v="0"/>
    <n v="0"/>
    <n v="0"/>
    <n v="1"/>
    <n v="0"/>
    <n v="1606"/>
    <n v="1430"/>
    <n v="176"/>
    <n v="1"/>
    <x v="0"/>
    <x v="0"/>
    <x v="0"/>
    <x v="1"/>
    <x v="1"/>
    <x v="2"/>
    <n v="1"/>
    <n v="1"/>
    <n v="31"/>
    <n v="0.99999999999999978"/>
    <n v="9"/>
    <n v="9"/>
    <n v="19"/>
    <n v="7"/>
    <x v="2"/>
  </r>
  <r>
    <x v="210"/>
    <n v="62882"/>
    <n v="0"/>
    <n v="1"/>
    <n v="26"/>
    <n v="509"/>
    <n v="133"/>
    <n v="497"/>
    <n v="78"/>
    <n v="24"/>
    <n v="97"/>
    <n v="2"/>
    <n v="7"/>
    <n v="5"/>
    <n v="6"/>
    <n v="4"/>
    <n v="0"/>
    <n v="0"/>
    <n v="0"/>
    <n v="0"/>
    <n v="0"/>
    <x v="0"/>
    <n v="0"/>
    <n v="3"/>
    <n v="11"/>
    <n v="0"/>
    <n v="51"/>
    <n v="2848"/>
    <n v="7.8027397260273972"/>
    <n v="0"/>
    <n v="0"/>
    <n v="0"/>
    <n v="1"/>
    <n v="0"/>
    <n v="0"/>
    <n v="0"/>
    <n v="1"/>
    <n v="0"/>
    <n v="0"/>
    <n v="1241"/>
    <n v="1144"/>
    <n v="97"/>
    <n v="0"/>
    <x v="0"/>
    <x v="0"/>
    <x v="2"/>
    <x v="0"/>
    <x v="2"/>
    <x v="1"/>
    <n v="0"/>
    <n v="0"/>
    <n v="24"/>
    <n v="8"/>
    <n v="6"/>
    <n v="8"/>
    <n v="22"/>
    <n v="8"/>
    <x v="2"/>
  </r>
  <r>
    <x v="211"/>
    <n v="61014"/>
    <n v="0"/>
    <n v="1"/>
    <n v="17"/>
    <n v="269"/>
    <n v="129"/>
    <n v="495"/>
    <n v="182"/>
    <n v="43"/>
    <n v="29"/>
    <n v="4"/>
    <n v="9"/>
    <n v="3"/>
    <n v="4"/>
    <n v="7"/>
    <n v="0"/>
    <n v="0"/>
    <n v="0"/>
    <n v="0"/>
    <n v="0"/>
    <x v="0"/>
    <n v="0"/>
    <n v="3"/>
    <n v="11"/>
    <n v="0"/>
    <n v="40"/>
    <n v="2846"/>
    <n v="7.7972602739726025"/>
    <n v="0"/>
    <n v="1"/>
    <n v="0"/>
    <n v="0"/>
    <n v="0"/>
    <n v="0"/>
    <n v="0"/>
    <n v="1"/>
    <n v="0"/>
    <n v="0"/>
    <n v="1118"/>
    <n v="1089"/>
    <n v="29"/>
    <n v="0"/>
    <x v="0"/>
    <x v="0"/>
    <x v="0"/>
    <x v="0"/>
    <x v="2"/>
    <x v="3"/>
    <n v="0"/>
    <n v="0"/>
    <n v="27"/>
    <n v="9"/>
    <n v="7"/>
    <n v="8"/>
    <n v="24"/>
    <n v="9"/>
    <x v="0"/>
  </r>
  <r>
    <x v="212"/>
    <n v="86358"/>
    <n v="1"/>
    <n v="1"/>
    <n v="78"/>
    <n v="957"/>
    <n v="47"/>
    <n v="494"/>
    <n v="82"/>
    <n v="47"/>
    <n v="95"/>
    <n v="4"/>
    <n v="5"/>
    <n v="3"/>
    <n v="6"/>
    <n v="8"/>
    <n v="0"/>
    <n v="0"/>
    <n v="0"/>
    <n v="0"/>
    <n v="0"/>
    <x v="0"/>
    <n v="0"/>
    <n v="3"/>
    <n v="11"/>
    <n v="0"/>
    <n v="54"/>
    <n v="2849"/>
    <n v="7.8054794520547945"/>
    <n v="0"/>
    <n v="0"/>
    <n v="1"/>
    <n v="0"/>
    <n v="0"/>
    <n v="0"/>
    <n v="0"/>
    <n v="1"/>
    <n v="0"/>
    <n v="0"/>
    <n v="1627"/>
    <n v="1532"/>
    <n v="95"/>
    <n v="0"/>
    <x v="0"/>
    <x v="0"/>
    <x v="1"/>
    <x v="0"/>
    <x v="1"/>
    <x v="1"/>
    <n v="1"/>
    <n v="0"/>
    <n v="26"/>
    <n v="3.0000000000000004"/>
    <n v="7"/>
    <n v="9"/>
    <n v="19"/>
    <n v="7"/>
    <x v="2"/>
  </r>
  <r>
    <x v="213"/>
    <n v="81320"/>
    <n v="0"/>
    <n v="0"/>
    <n v="61"/>
    <n v="183"/>
    <n v="33"/>
    <n v="493"/>
    <n v="59"/>
    <n v="103"/>
    <n v="57"/>
    <n v="1"/>
    <n v="4"/>
    <n v="3"/>
    <n v="10"/>
    <n v="2"/>
    <n v="0"/>
    <n v="0"/>
    <n v="0"/>
    <n v="0"/>
    <n v="0"/>
    <x v="0"/>
    <n v="0"/>
    <n v="3"/>
    <n v="11"/>
    <n v="0"/>
    <n v="62"/>
    <n v="2667"/>
    <n v="7.3068493150684928"/>
    <n v="0"/>
    <n v="1"/>
    <n v="0"/>
    <n v="0"/>
    <n v="0"/>
    <n v="0"/>
    <n v="0"/>
    <n v="1"/>
    <n v="0"/>
    <n v="0"/>
    <n v="871"/>
    <n v="814"/>
    <n v="57"/>
    <n v="0"/>
    <x v="1"/>
    <x v="1"/>
    <x v="0"/>
    <x v="0"/>
    <x v="1"/>
    <x v="2"/>
    <n v="1"/>
    <n v="0"/>
    <n v="20"/>
    <n v="4"/>
    <n v="4"/>
    <n v="7"/>
    <n v="15"/>
    <n v="4"/>
    <x v="3"/>
  </r>
  <r>
    <x v="214"/>
    <n v="72228"/>
    <n v="0"/>
    <n v="0"/>
    <n v="87"/>
    <n v="631"/>
    <n v="28"/>
    <n v="491"/>
    <n v="30"/>
    <n v="14"/>
    <n v="56"/>
    <n v="1"/>
    <n v="6"/>
    <n v="7"/>
    <n v="8"/>
    <n v="3"/>
    <n v="0"/>
    <n v="0"/>
    <n v="0"/>
    <n v="0"/>
    <n v="0"/>
    <x v="0"/>
    <n v="0"/>
    <n v="3"/>
    <n v="11"/>
    <n v="0"/>
    <n v="68"/>
    <n v="2738"/>
    <n v="7.5013698630136982"/>
    <n v="0"/>
    <n v="0"/>
    <n v="1"/>
    <n v="0"/>
    <n v="0"/>
    <n v="0"/>
    <n v="0"/>
    <n v="1"/>
    <n v="0"/>
    <n v="0"/>
    <n v="1194"/>
    <n v="1138"/>
    <n v="56"/>
    <n v="0"/>
    <x v="1"/>
    <x v="1"/>
    <x v="1"/>
    <x v="0"/>
    <x v="2"/>
    <x v="2"/>
    <n v="1"/>
    <n v="0"/>
    <n v="25"/>
    <n v="1.9999999999999996"/>
    <n v="7"/>
    <n v="8"/>
    <n v="17"/>
    <n v="6"/>
    <x v="1"/>
  </r>
  <r>
    <x v="215"/>
    <n v="74854"/>
    <n v="1"/>
    <n v="2"/>
    <n v="90"/>
    <n v="856"/>
    <n v="59"/>
    <n v="487"/>
    <n v="58"/>
    <n v="29"/>
    <n v="73"/>
    <n v="7"/>
    <n v="2"/>
    <n v="5"/>
    <n v="5"/>
    <n v="5"/>
    <n v="0"/>
    <n v="0"/>
    <n v="0"/>
    <n v="0"/>
    <n v="0"/>
    <x v="0"/>
    <n v="0"/>
    <n v="3"/>
    <n v="11"/>
    <n v="0"/>
    <n v="50"/>
    <n v="2606"/>
    <n v="7.13972602739726"/>
    <n v="0"/>
    <n v="0"/>
    <n v="0"/>
    <n v="1"/>
    <n v="0"/>
    <n v="0"/>
    <n v="0"/>
    <n v="1"/>
    <n v="0"/>
    <n v="0"/>
    <n v="1489"/>
    <n v="1416"/>
    <n v="73"/>
    <n v="0"/>
    <x v="0"/>
    <x v="0"/>
    <x v="2"/>
    <x v="0"/>
    <x v="2"/>
    <x v="0"/>
    <n v="1"/>
    <n v="0"/>
    <n v="24"/>
    <n v="0.99999999999999978"/>
    <n v="6"/>
    <n v="9"/>
    <n v="16"/>
    <n v="5"/>
    <x v="1"/>
  </r>
  <r>
    <x v="216"/>
    <n v="79410"/>
    <n v="0"/>
    <n v="0"/>
    <n v="19"/>
    <n v="658"/>
    <n v="80"/>
    <n v="483"/>
    <n v="123"/>
    <n v="13"/>
    <n v="13"/>
    <n v="1"/>
    <n v="3"/>
    <n v="2"/>
    <n v="5"/>
    <n v="1"/>
    <n v="0"/>
    <n v="0"/>
    <n v="0"/>
    <n v="0"/>
    <n v="0"/>
    <x v="0"/>
    <n v="0"/>
    <n v="3"/>
    <n v="11"/>
    <n v="0"/>
    <n v="59"/>
    <n v="2190"/>
    <n v="6"/>
    <n v="0"/>
    <n v="1"/>
    <n v="0"/>
    <n v="0"/>
    <n v="0"/>
    <n v="0"/>
    <n v="0"/>
    <n v="1"/>
    <n v="0"/>
    <n v="0"/>
    <n v="1357"/>
    <n v="1344"/>
    <n v="13"/>
    <n v="0"/>
    <x v="1"/>
    <x v="1"/>
    <x v="0"/>
    <x v="0"/>
    <x v="1"/>
    <x v="1"/>
    <n v="0"/>
    <n v="0"/>
    <n v="12"/>
    <n v="9"/>
    <n v="1"/>
    <n v="8"/>
    <n v="18"/>
    <n v="6"/>
    <x v="1"/>
  </r>
  <r>
    <x v="217"/>
    <n v="70287"/>
    <n v="0"/>
    <n v="0"/>
    <n v="30"/>
    <n v="295"/>
    <n v="35"/>
    <n v="482"/>
    <n v="121"/>
    <n v="120"/>
    <n v="40"/>
    <n v="1"/>
    <n v="5"/>
    <n v="5"/>
    <n v="10"/>
    <n v="3"/>
    <n v="0"/>
    <n v="0"/>
    <n v="0"/>
    <n v="0"/>
    <n v="0"/>
    <x v="0"/>
    <n v="0"/>
    <n v="3"/>
    <n v="11"/>
    <n v="1"/>
    <n v="54"/>
    <n v="2612"/>
    <n v="7.1561643835616442"/>
    <n v="1"/>
    <n v="0"/>
    <n v="0"/>
    <n v="0"/>
    <n v="0"/>
    <n v="0"/>
    <n v="0"/>
    <n v="1"/>
    <n v="0"/>
    <n v="0"/>
    <n v="1053"/>
    <n v="1013"/>
    <n v="40"/>
    <n v="0"/>
    <x v="1"/>
    <x v="1"/>
    <x v="3"/>
    <x v="0"/>
    <x v="2"/>
    <x v="1"/>
    <n v="0"/>
    <n v="0"/>
    <n v="24"/>
    <n v="7"/>
    <n v="6"/>
    <n v="7"/>
    <n v="20"/>
    <n v="7"/>
    <x v="2"/>
  </r>
  <r>
    <x v="218"/>
    <n v="86718"/>
    <n v="0"/>
    <n v="0"/>
    <n v="20"/>
    <n v="344"/>
    <n v="189"/>
    <n v="482"/>
    <n v="50"/>
    <n v="33"/>
    <n v="172"/>
    <n v="1"/>
    <n v="5"/>
    <n v="6"/>
    <n v="5"/>
    <n v="2"/>
    <n v="0"/>
    <n v="0"/>
    <n v="0"/>
    <n v="0"/>
    <n v="0"/>
    <x v="0"/>
    <n v="0"/>
    <n v="3"/>
    <n v="11"/>
    <n v="0"/>
    <n v="66"/>
    <n v="2687"/>
    <n v="7.3616438356164382"/>
    <n v="0"/>
    <n v="1"/>
    <n v="0"/>
    <n v="0"/>
    <n v="0"/>
    <n v="0"/>
    <n v="0"/>
    <n v="1"/>
    <n v="0"/>
    <n v="0"/>
    <n v="1098"/>
    <n v="926"/>
    <n v="172"/>
    <n v="0"/>
    <x v="1"/>
    <x v="1"/>
    <x v="0"/>
    <x v="0"/>
    <x v="1"/>
    <x v="2"/>
    <n v="0"/>
    <n v="0"/>
    <n v="19"/>
    <n v="8"/>
    <n v="4"/>
    <n v="8"/>
    <n v="20"/>
    <n v="7"/>
    <x v="2"/>
  </r>
  <r>
    <x v="219"/>
    <n v="63033"/>
    <n v="0"/>
    <n v="0"/>
    <n v="82"/>
    <n v="194"/>
    <n v="61"/>
    <n v="480"/>
    <n v="225"/>
    <n v="112"/>
    <n v="30"/>
    <n v="1"/>
    <n v="3"/>
    <n v="4"/>
    <n v="8"/>
    <n v="2"/>
    <n v="0"/>
    <n v="0"/>
    <n v="0"/>
    <n v="0"/>
    <n v="0"/>
    <x v="0"/>
    <n v="0"/>
    <n v="3"/>
    <n v="11"/>
    <n v="0"/>
    <n v="61"/>
    <n v="2385"/>
    <n v="6.5342465753424657"/>
    <n v="1"/>
    <n v="0"/>
    <n v="0"/>
    <n v="0"/>
    <n v="0"/>
    <n v="0"/>
    <n v="0"/>
    <n v="1"/>
    <n v="0"/>
    <n v="0"/>
    <n v="1072"/>
    <n v="1042"/>
    <n v="30"/>
    <n v="0"/>
    <x v="1"/>
    <x v="1"/>
    <x v="3"/>
    <x v="0"/>
    <x v="2"/>
    <x v="2"/>
    <n v="1"/>
    <n v="0"/>
    <n v="18"/>
    <n v="1.9999999999999996"/>
    <n v="4"/>
    <n v="7"/>
    <n v="13"/>
    <n v="3"/>
    <x v="3"/>
  </r>
  <r>
    <x v="220"/>
    <n v="77845"/>
    <n v="0"/>
    <n v="0"/>
    <n v="40"/>
    <n v="760"/>
    <n v="40"/>
    <n v="480"/>
    <n v="0"/>
    <n v="40"/>
    <n v="26"/>
    <n v="1"/>
    <n v="3"/>
    <n v="5"/>
    <n v="12"/>
    <n v="1"/>
    <n v="1"/>
    <n v="0"/>
    <n v="0"/>
    <n v="0"/>
    <n v="1"/>
    <x v="1"/>
    <n v="0"/>
    <n v="3"/>
    <n v="11"/>
    <n v="0"/>
    <n v="31"/>
    <n v="2203"/>
    <n v="6.0356164383561648"/>
    <n v="0"/>
    <n v="0"/>
    <n v="0"/>
    <n v="1"/>
    <n v="0"/>
    <n v="0"/>
    <n v="0"/>
    <n v="0"/>
    <n v="0"/>
    <n v="1"/>
    <n v="1320"/>
    <n v="1294"/>
    <n v="26"/>
    <n v="2"/>
    <x v="1"/>
    <x v="1"/>
    <x v="2"/>
    <x v="1"/>
    <x v="1"/>
    <x v="3"/>
    <n v="1"/>
    <n v="0"/>
    <n v="22"/>
    <n v="6"/>
    <n v="5"/>
    <n v="8"/>
    <n v="19"/>
    <n v="7"/>
    <x v="2"/>
  </r>
  <r>
    <x v="221"/>
    <n v="88097"/>
    <n v="1"/>
    <n v="0"/>
    <n v="24"/>
    <n v="163"/>
    <n v="0"/>
    <n v="480"/>
    <n v="0"/>
    <n v="126"/>
    <n v="75"/>
    <n v="1"/>
    <n v="6"/>
    <n v="5"/>
    <n v="8"/>
    <n v="9"/>
    <n v="1"/>
    <n v="0"/>
    <n v="0"/>
    <n v="1"/>
    <n v="1"/>
    <x v="1"/>
    <n v="0"/>
    <n v="3"/>
    <n v="11"/>
    <n v="1"/>
    <n v="42"/>
    <n v="2839"/>
    <n v="7.7780821917808218"/>
    <n v="0"/>
    <n v="1"/>
    <n v="0"/>
    <n v="0"/>
    <n v="0"/>
    <n v="0"/>
    <n v="0"/>
    <n v="0"/>
    <n v="1"/>
    <n v="0"/>
    <n v="769"/>
    <n v="694"/>
    <n v="75"/>
    <n v="3"/>
    <x v="0"/>
    <x v="0"/>
    <x v="0"/>
    <x v="1"/>
    <x v="1"/>
    <x v="0"/>
    <n v="0"/>
    <n v="0"/>
    <n v="29"/>
    <n v="8"/>
    <n v="8"/>
    <n v="6"/>
    <n v="22"/>
    <n v="8"/>
    <x v="2"/>
  </r>
  <r>
    <x v="222"/>
    <n v="78353"/>
    <n v="0"/>
    <n v="1"/>
    <n v="51"/>
    <n v="752"/>
    <n v="122"/>
    <n v="476"/>
    <n v="39"/>
    <n v="153"/>
    <n v="34"/>
    <n v="1"/>
    <n v="10"/>
    <n v="2"/>
    <n v="11"/>
    <n v="8"/>
    <n v="0"/>
    <n v="0"/>
    <n v="0"/>
    <n v="0"/>
    <n v="0"/>
    <x v="0"/>
    <n v="0"/>
    <n v="3"/>
    <n v="11"/>
    <n v="0"/>
    <n v="61"/>
    <n v="2598"/>
    <n v="7.117808219178082"/>
    <n v="1"/>
    <n v="0"/>
    <n v="0"/>
    <n v="0"/>
    <n v="0"/>
    <n v="1"/>
    <n v="0"/>
    <n v="0"/>
    <n v="0"/>
    <n v="0"/>
    <n v="1542"/>
    <n v="1508"/>
    <n v="34"/>
    <n v="0"/>
    <x v="0"/>
    <x v="0"/>
    <x v="3"/>
    <x v="1"/>
    <x v="1"/>
    <x v="2"/>
    <n v="1"/>
    <n v="0"/>
    <n v="32"/>
    <n v="5"/>
    <n v="9"/>
    <n v="9"/>
    <n v="23"/>
    <n v="8"/>
    <x v="2"/>
  </r>
  <r>
    <x v="223"/>
    <n v="72354"/>
    <n v="0"/>
    <n v="0"/>
    <n v="67"/>
    <n v="315"/>
    <n v="26"/>
    <n v="473"/>
    <n v="220"/>
    <n v="12"/>
    <n v="182"/>
    <n v="1"/>
    <n v="2"/>
    <n v="10"/>
    <n v="6"/>
    <n v="1"/>
    <n v="0"/>
    <n v="0"/>
    <n v="0"/>
    <n v="0"/>
    <n v="0"/>
    <x v="0"/>
    <n v="0"/>
    <n v="3"/>
    <n v="11"/>
    <n v="0"/>
    <n v="27"/>
    <n v="2597"/>
    <n v="7.1150684931506847"/>
    <n v="0"/>
    <n v="0"/>
    <n v="1"/>
    <n v="0"/>
    <n v="0"/>
    <n v="0"/>
    <n v="0"/>
    <n v="1"/>
    <n v="0"/>
    <n v="0"/>
    <n v="1046"/>
    <n v="864"/>
    <n v="182"/>
    <n v="0"/>
    <x v="1"/>
    <x v="1"/>
    <x v="1"/>
    <x v="0"/>
    <x v="2"/>
    <x v="4"/>
    <n v="1"/>
    <n v="0"/>
    <n v="20"/>
    <n v="4"/>
    <n v="4"/>
    <n v="7"/>
    <n v="15"/>
    <n v="4"/>
    <x v="3"/>
  </r>
  <r>
    <x v="224"/>
    <n v="68657"/>
    <n v="0"/>
    <n v="0"/>
    <n v="4"/>
    <n v="482"/>
    <n v="34"/>
    <n v="471"/>
    <n v="119"/>
    <n v="68"/>
    <n v="22"/>
    <n v="1"/>
    <n v="3"/>
    <n v="5"/>
    <n v="9"/>
    <n v="7"/>
    <n v="0"/>
    <n v="0"/>
    <n v="0"/>
    <n v="0"/>
    <n v="0"/>
    <x v="0"/>
    <n v="0"/>
    <n v="3"/>
    <n v="11"/>
    <n v="0"/>
    <n v="74"/>
    <n v="2653"/>
    <n v="7.2684931506849315"/>
    <n v="0"/>
    <n v="1"/>
    <n v="0"/>
    <n v="0"/>
    <n v="0"/>
    <n v="0"/>
    <n v="0"/>
    <n v="0"/>
    <n v="1"/>
    <n v="0"/>
    <n v="1174"/>
    <n v="1152"/>
    <n v="22"/>
    <n v="0"/>
    <x v="1"/>
    <x v="1"/>
    <x v="0"/>
    <x v="1"/>
    <x v="2"/>
    <x v="2"/>
    <n v="0"/>
    <n v="0"/>
    <n v="25"/>
    <n v="10"/>
    <n v="7"/>
    <n v="8"/>
    <n v="25"/>
    <n v="9"/>
    <x v="0"/>
  </r>
  <r>
    <x v="225"/>
    <n v="72504"/>
    <n v="0"/>
    <n v="1"/>
    <n v="43"/>
    <n v="604"/>
    <n v="26"/>
    <n v="470"/>
    <n v="123"/>
    <n v="161"/>
    <n v="94"/>
    <n v="2"/>
    <n v="5"/>
    <n v="9"/>
    <n v="6"/>
    <n v="2"/>
    <n v="0"/>
    <n v="0"/>
    <n v="0"/>
    <n v="0"/>
    <n v="0"/>
    <x v="0"/>
    <n v="0"/>
    <n v="3"/>
    <n v="11"/>
    <n v="0"/>
    <n v="48"/>
    <n v="2608"/>
    <n v="7.1452054794520548"/>
    <n v="0"/>
    <n v="0"/>
    <n v="1"/>
    <n v="0"/>
    <n v="0"/>
    <n v="0"/>
    <n v="0"/>
    <n v="1"/>
    <n v="0"/>
    <n v="0"/>
    <n v="1384"/>
    <n v="1290"/>
    <n v="94"/>
    <n v="0"/>
    <x v="0"/>
    <x v="0"/>
    <x v="1"/>
    <x v="0"/>
    <x v="2"/>
    <x v="0"/>
    <n v="1"/>
    <n v="0"/>
    <n v="24"/>
    <n v="6"/>
    <n v="6"/>
    <n v="8"/>
    <n v="20"/>
    <n v="7"/>
    <x v="2"/>
  </r>
  <r>
    <x v="226"/>
    <n v="59235"/>
    <n v="1"/>
    <n v="0"/>
    <n v="4"/>
    <n v="448"/>
    <n v="40"/>
    <n v="469"/>
    <n v="80"/>
    <n v="0"/>
    <n v="91"/>
    <n v="3"/>
    <n v="11"/>
    <n v="2"/>
    <n v="12"/>
    <n v="7"/>
    <n v="0"/>
    <n v="0"/>
    <n v="0"/>
    <n v="0"/>
    <n v="0"/>
    <x v="0"/>
    <n v="0"/>
    <n v="3"/>
    <n v="11"/>
    <n v="0"/>
    <n v="53"/>
    <n v="2692"/>
    <n v="7.375342465753425"/>
    <n v="0"/>
    <n v="0"/>
    <n v="1"/>
    <n v="0"/>
    <n v="0"/>
    <n v="0"/>
    <n v="0"/>
    <n v="0"/>
    <n v="1"/>
    <n v="0"/>
    <n v="1037"/>
    <n v="946"/>
    <n v="91"/>
    <n v="0"/>
    <x v="0"/>
    <x v="0"/>
    <x v="1"/>
    <x v="1"/>
    <x v="2"/>
    <x v="1"/>
    <n v="0"/>
    <n v="0"/>
    <n v="35"/>
    <n v="10"/>
    <n v="9"/>
    <n v="7"/>
    <n v="26"/>
    <n v="9"/>
    <x v="0"/>
  </r>
  <r>
    <x v="227"/>
    <n v="68397"/>
    <n v="0"/>
    <n v="1"/>
    <n v="6"/>
    <n v="760"/>
    <n v="80"/>
    <n v="466"/>
    <n v="17"/>
    <n v="13"/>
    <n v="80"/>
    <n v="1"/>
    <n v="6"/>
    <n v="9"/>
    <n v="5"/>
    <n v="3"/>
    <n v="0"/>
    <n v="0"/>
    <n v="0"/>
    <n v="0"/>
    <n v="0"/>
    <x v="0"/>
    <n v="0"/>
    <n v="3"/>
    <n v="11"/>
    <n v="0"/>
    <n v="44"/>
    <n v="2383"/>
    <n v="6.5287671232876709"/>
    <n v="0"/>
    <n v="1"/>
    <n v="0"/>
    <n v="0"/>
    <n v="0"/>
    <n v="0"/>
    <n v="0"/>
    <n v="0"/>
    <n v="0"/>
    <n v="1"/>
    <n v="1336"/>
    <n v="1256"/>
    <n v="80"/>
    <n v="0"/>
    <x v="0"/>
    <x v="0"/>
    <x v="0"/>
    <x v="1"/>
    <x v="2"/>
    <x v="0"/>
    <n v="0"/>
    <n v="0"/>
    <n v="24"/>
    <n v="10"/>
    <n v="6"/>
    <n v="8"/>
    <n v="24"/>
    <n v="9"/>
    <x v="0"/>
  </r>
  <r>
    <x v="228"/>
    <n v="81574"/>
    <n v="0"/>
    <n v="0"/>
    <n v="89"/>
    <n v="1252"/>
    <n v="0"/>
    <n v="465"/>
    <n v="46"/>
    <n v="35"/>
    <n v="0"/>
    <n v="1"/>
    <n v="4"/>
    <n v="5"/>
    <n v="8"/>
    <n v="1"/>
    <n v="0"/>
    <n v="0"/>
    <n v="0"/>
    <n v="1"/>
    <n v="1"/>
    <x v="1"/>
    <n v="0"/>
    <n v="3"/>
    <n v="11"/>
    <n v="0"/>
    <n v="73"/>
    <n v="2221"/>
    <n v="6.0849315068493155"/>
    <n v="0"/>
    <n v="0"/>
    <n v="0"/>
    <n v="1"/>
    <n v="0"/>
    <n v="0"/>
    <n v="0"/>
    <n v="0"/>
    <n v="0"/>
    <n v="1"/>
    <n v="1798"/>
    <n v="1798"/>
    <n v="0"/>
    <n v="2"/>
    <x v="1"/>
    <x v="1"/>
    <x v="2"/>
    <x v="1"/>
    <x v="1"/>
    <x v="2"/>
    <n v="1"/>
    <n v="0"/>
    <n v="19"/>
    <n v="1.9999999999999996"/>
    <n v="4"/>
    <n v="9"/>
    <n v="15"/>
    <n v="4"/>
    <x v="3"/>
  </r>
  <r>
    <x v="229"/>
    <n v="62745"/>
    <n v="0"/>
    <n v="1"/>
    <n v="89"/>
    <n v="562"/>
    <n v="21"/>
    <n v="464"/>
    <n v="28"/>
    <n v="10"/>
    <n v="32"/>
    <n v="3"/>
    <n v="7"/>
    <n v="8"/>
    <n v="11"/>
    <n v="5"/>
    <n v="0"/>
    <n v="0"/>
    <n v="0"/>
    <n v="0"/>
    <n v="0"/>
    <x v="0"/>
    <n v="0"/>
    <n v="3"/>
    <n v="11"/>
    <n v="0"/>
    <n v="55"/>
    <n v="2622"/>
    <n v="7.183561643835616"/>
    <n v="0"/>
    <n v="1"/>
    <n v="0"/>
    <n v="0"/>
    <n v="0"/>
    <n v="0"/>
    <n v="0"/>
    <n v="0"/>
    <n v="0"/>
    <n v="1"/>
    <n v="1085"/>
    <n v="1053"/>
    <n v="32"/>
    <n v="0"/>
    <x v="0"/>
    <x v="0"/>
    <x v="0"/>
    <x v="1"/>
    <x v="2"/>
    <x v="1"/>
    <n v="1"/>
    <n v="0"/>
    <n v="34"/>
    <n v="1.9999999999999996"/>
    <n v="9"/>
    <n v="7"/>
    <n v="18"/>
    <n v="6"/>
    <x v="1"/>
  </r>
  <r>
    <x v="230"/>
    <n v="74637"/>
    <n v="0"/>
    <n v="0"/>
    <n v="73"/>
    <n v="960"/>
    <n v="64"/>
    <n v="464"/>
    <n v="146"/>
    <n v="0"/>
    <n v="16"/>
    <n v="1"/>
    <n v="6"/>
    <n v="9"/>
    <n v="9"/>
    <n v="3"/>
    <n v="1"/>
    <n v="0"/>
    <n v="0"/>
    <n v="0"/>
    <n v="0"/>
    <x v="1"/>
    <n v="0"/>
    <n v="3"/>
    <n v="11"/>
    <n v="0"/>
    <n v="66"/>
    <n v="2566"/>
    <n v="7.0301369863013701"/>
    <n v="0"/>
    <n v="0"/>
    <n v="1"/>
    <n v="0"/>
    <n v="0"/>
    <n v="0"/>
    <n v="0"/>
    <n v="0"/>
    <n v="0"/>
    <n v="1"/>
    <n v="1634"/>
    <n v="1618"/>
    <n v="16"/>
    <n v="1"/>
    <x v="1"/>
    <x v="1"/>
    <x v="1"/>
    <x v="1"/>
    <x v="2"/>
    <x v="2"/>
    <n v="1"/>
    <n v="0"/>
    <n v="28"/>
    <n v="3.0000000000000004"/>
    <n v="8"/>
    <n v="9"/>
    <n v="20"/>
    <n v="7"/>
    <x v="2"/>
  </r>
  <r>
    <x v="231"/>
    <n v="85431"/>
    <n v="0"/>
    <n v="0"/>
    <n v="54"/>
    <n v="376"/>
    <n v="53"/>
    <n v="462"/>
    <n v="168"/>
    <n v="53"/>
    <n v="53"/>
    <n v="1"/>
    <n v="2"/>
    <n v="7"/>
    <n v="7"/>
    <n v="0"/>
    <n v="0"/>
    <n v="0"/>
    <n v="0"/>
    <n v="0"/>
    <n v="0"/>
    <x v="0"/>
    <n v="0"/>
    <n v="3"/>
    <n v="11"/>
    <n v="0"/>
    <n v="68"/>
    <n v="2545"/>
    <n v="6.9726027397260273"/>
    <n v="0"/>
    <n v="0"/>
    <n v="0"/>
    <n v="1"/>
    <n v="0"/>
    <n v="0"/>
    <n v="0"/>
    <n v="0"/>
    <n v="0"/>
    <n v="1"/>
    <n v="1112"/>
    <n v="1059"/>
    <n v="53"/>
    <n v="0"/>
    <x v="1"/>
    <x v="1"/>
    <x v="2"/>
    <x v="1"/>
    <x v="1"/>
    <x v="2"/>
    <n v="1"/>
    <n v="0"/>
    <n v="17"/>
    <n v="5"/>
    <n v="3"/>
    <n v="8"/>
    <n v="16"/>
    <n v="5"/>
    <x v="1"/>
  </r>
  <r>
    <x v="232"/>
    <n v="66991"/>
    <n v="0"/>
    <n v="0"/>
    <n v="1"/>
    <n v="496"/>
    <n v="36"/>
    <n v="460"/>
    <n v="189"/>
    <n v="60"/>
    <n v="12"/>
    <n v="3"/>
    <n v="4"/>
    <n v="8"/>
    <n v="6"/>
    <n v="3"/>
    <n v="0"/>
    <n v="0"/>
    <n v="0"/>
    <n v="0"/>
    <n v="0"/>
    <x v="0"/>
    <n v="0"/>
    <n v="3"/>
    <n v="11"/>
    <n v="0"/>
    <n v="66"/>
    <n v="2815"/>
    <n v="7.7123287671232879"/>
    <n v="0"/>
    <n v="1"/>
    <n v="0"/>
    <n v="0"/>
    <n v="0"/>
    <n v="0"/>
    <n v="0"/>
    <n v="0"/>
    <n v="1"/>
    <n v="0"/>
    <n v="1241"/>
    <n v="1229"/>
    <n v="12"/>
    <n v="0"/>
    <x v="1"/>
    <x v="1"/>
    <x v="0"/>
    <x v="1"/>
    <x v="2"/>
    <x v="2"/>
    <n v="0"/>
    <n v="0"/>
    <n v="24"/>
    <n v="10"/>
    <n v="6"/>
    <n v="8"/>
    <n v="24"/>
    <n v="9"/>
    <x v="0"/>
  </r>
  <r>
    <x v="233"/>
    <n v="63211"/>
    <n v="0"/>
    <n v="0"/>
    <n v="3"/>
    <n v="145"/>
    <n v="193"/>
    <n v="459"/>
    <n v="205"/>
    <n v="26"/>
    <n v="145"/>
    <n v="2"/>
    <n v="3"/>
    <n v="8"/>
    <n v="7"/>
    <n v="2"/>
    <n v="0"/>
    <n v="0"/>
    <n v="0"/>
    <n v="0"/>
    <n v="0"/>
    <x v="0"/>
    <n v="0"/>
    <n v="3"/>
    <n v="11"/>
    <n v="1"/>
    <n v="38"/>
    <n v="2763"/>
    <n v="7.5698630136986305"/>
    <n v="0"/>
    <n v="1"/>
    <n v="0"/>
    <n v="0"/>
    <n v="0"/>
    <n v="0"/>
    <n v="0"/>
    <n v="1"/>
    <n v="0"/>
    <n v="0"/>
    <n v="1028"/>
    <n v="883"/>
    <n v="145"/>
    <n v="0"/>
    <x v="1"/>
    <x v="1"/>
    <x v="0"/>
    <x v="0"/>
    <x v="2"/>
    <x v="3"/>
    <n v="0"/>
    <n v="0"/>
    <n v="22"/>
    <n v="10"/>
    <n v="5"/>
    <n v="7"/>
    <n v="22"/>
    <n v="8"/>
    <x v="2"/>
  </r>
  <r>
    <x v="234"/>
    <n v="69109"/>
    <n v="0"/>
    <n v="0"/>
    <n v="10"/>
    <n v="823"/>
    <n v="25"/>
    <n v="459"/>
    <n v="124"/>
    <n v="29"/>
    <n v="95"/>
    <n v="1"/>
    <n v="6"/>
    <n v="6"/>
    <n v="7"/>
    <n v="4"/>
    <n v="0"/>
    <n v="0"/>
    <n v="0"/>
    <n v="0"/>
    <n v="1"/>
    <x v="1"/>
    <n v="0"/>
    <n v="3"/>
    <n v="11"/>
    <n v="1"/>
    <n v="38"/>
    <n v="2756"/>
    <n v="7.5506849315068489"/>
    <n v="0"/>
    <n v="1"/>
    <n v="0"/>
    <n v="0"/>
    <n v="0"/>
    <n v="0"/>
    <n v="0"/>
    <n v="1"/>
    <n v="0"/>
    <n v="0"/>
    <n v="1460"/>
    <n v="1365"/>
    <n v="95"/>
    <n v="1"/>
    <x v="1"/>
    <x v="1"/>
    <x v="0"/>
    <x v="0"/>
    <x v="2"/>
    <x v="3"/>
    <n v="0"/>
    <n v="0"/>
    <n v="24"/>
    <n v="9"/>
    <n v="6"/>
    <n v="8"/>
    <n v="23"/>
    <n v="8"/>
    <x v="2"/>
  </r>
  <r>
    <x v="235"/>
    <n v="80336"/>
    <n v="0"/>
    <n v="0"/>
    <n v="12"/>
    <n v="209"/>
    <n v="19"/>
    <n v="456"/>
    <n v="160"/>
    <n v="142"/>
    <n v="66"/>
    <n v="1"/>
    <n v="2"/>
    <n v="9"/>
    <n v="13"/>
    <n v="1"/>
    <n v="0"/>
    <n v="0"/>
    <n v="0"/>
    <n v="0"/>
    <n v="0"/>
    <x v="0"/>
    <n v="0"/>
    <n v="3"/>
    <n v="11"/>
    <n v="0"/>
    <n v="50"/>
    <n v="2452"/>
    <n v="6.7178082191780826"/>
    <n v="0"/>
    <n v="1"/>
    <n v="0"/>
    <n v="0"/>
    <n v="0"/>
    <n v="0"/>
    <n v="0"/>
    <n v="0"/>
    <n v="0"/>
    <n v="1"/>
    <n v="986"/>
    <n v="920"/>
    <n v="66"/>
    <n v="0"/>
    <x v="1"/>
    <x v="1"/>
    <x v="0"/>
    <x v="1"/>
    <x v="1"/>
    <x v="0"/>
    <n v="0"/>
    <n v="0"/>
    <n v="26"/>
    <n v="9"/>
    <n v="7"/>
    <n v="7"/>
    <n v="23"/>
    <n v="8"/>
    <x v="2"/>
  </r>
  <r>
    <x v="236"/>
    <n v="71952"/>
    <n v="1"/>
    <n v="0"/>
    <n v="93"/>
    <n v="656"/>
    <n v="80"/>
    <n v="455"/>
    <n v="52"/>
    <n v="107"/>
    <n v="93"/>
    <n v="2"/>
    <n v="8"/>
    <n v="4"/>
    <n v="8"/>
    <n v="4"/>
    <n v="0"/>
    <n v="0"/>
    <n v="1"/>
    <n v="0"/>
    <n v="1"/>
    <x v="1"/>
    <n v="0"/>
    <n v="3"/>
    <n v="11"/>
    <n v="0"/>
    <n v="34"/>
    <n v="2694"/>
    <n v="7.3808219178082188"/>
    <n v="0"/>
    <n v="1"/>
    <n v="0"/>
    <n v="0"/>
    <n v="0"/>
    <n v="0"/>
    <n v="0"/>
    <n v="1"/>
    <n v="0"/>
    <n v="0"/>
    <n v="1350"/>
    <n v="1257"/>
    <n v="93"/>
    <n v="2"/>
    <x v="0"/>
    <x v="0"/>
    <x v="0"/>
    <x v="0"/>
    <x v="2"/>
    <x v="3"/>
    <n v="1"/>
    <n v="1"/>
    <n v="26"/>
    <n v="0.99999999999999978"/>
    <n v="7"/>
    <n v="8"/>
    <n v="16"/>
    <n v="5"/>
    <x v="1"/>
  </r>
  <r>
    <x v="237"/>
    <n v="80360"/>
    <n v="0"/>
    <n v="0"/>
    <n v="56"/>
    <n v="1493"/>
    <n v="86"/>
    <n v="454"/>
    <n v="112"/>
    <n v="43"/>
    <n v="43"/>
    <n v="2"/>
    <n v="4"/>
    <n v="4"/>
    <n v="5"/>
    <n v="2"/>
    <n v="1"/>
    <n v="0"/>
    <n v="0"/>
    <n v="1"/>
    <n v="1"/>
    <x v="1"/>
    <n v="0"/>
    <n v="3"/>
    <n v="11"/>
    <n v="0"/>
    <n v="71"/>
    <n v="2642"/>
    <n v="7.2383561643835614"/>
    <n v="0"/>
    <n v="1"/>
    <n v="0"/>
    <n v="0"/>
    <n v="0"/>
    <n v="0"/>
    <n v="0"/>
    <n v="0"/>
    <n v="0"/>
    <n v="1"/>
    <n v="2188"/>
    <n v="2145"/>
    <n v="43"/>
    <n v="3"/>
    <x v="1"/>
    <x v="1"/>
    <x v="0"/>
    <x v="1"/>
    <x v="1"/>
    <x v="2"/>
    <n v="1"/>
    <n v="0"/>
    <n v="17"/>
    <n v="5"/>
    <n v="3"/>
    <n v="9"/>
    <n v="17"/>
    <n v="6"/>
    <x v="1"/>
  </r>
  <r>
    <x v="238"/>
    <n v="70515"/>
    <n v="0"/>
    <n v="0"/>
    <n v="12"/>
    <n v="420"/>
    <n v="0"/>
    <n v="452"/>
    <n v="182"/>
    <n v="64"/>
    <n v="140"/>
    <n v="1"/>
    <n v="6"/>
    <n v="6"/>
    <n v="4"/>
    <n v="2"/>
    <n v="0"/>
    <n v="0"/>
    <n v="0"/>
    <n v="0"/>
    <n v="0"/>
    <x v="0"/>
    <n v="0"/>
    <n v="3"/>
    <n v="11"/>
    <n v="1"/>
    <n v="27"/>
    <n v="2410"/>
    <n v="6.602739726027397"/>
    <n v="0"/>
    <n v="0"/>
    <n v="1"/>
    <n v="0"/>
    <n v="0"/>
    <n v="0"/>
    <n v="0"/>
    <n v="1"/>
    <n v="0"/>
    <n v="0"/>
    <n v="1118"/>
    <n v="978"/>
    <n v="140"/>
    <n v="0"/>
    <x v="1"/>
    <x v="1"/>
    <x v="1"/>
    <x v="0"/>
    <x v="2"/>
    <x v="4"/>
    <n v="0"/>
    <n v="0"/>
    <n v="19"/>
    <n v="9"/>
    <n v="4"/>
    <n v="8"/>
    <n v="21"/>
    <n v="8"/>
    <x v="2"/>
  </r>
  <r>
    <x v="239"/>
    <n v="72217"/>
    <n v="0"/>
    <n v="0"/>
    <n v="93"/>
    <n v="816"/>
    <n v="42"/>
    <n v="450"/>
    <n v="55"/>
    <n v="56"/>
    <n v="154"/>
    <n v="1"/>
    <n v="3"/>
    <n v="10"/>
    <n v="8"/>
    <n v="2"/>
    <n v="0"/>
    <n v="0"/>
    <n v="0"/>
    <n v="0"/>
    <n v="0"/>
    <x v="0"/>
    <n v="0"/>
    <n v="3"/>
    <n v="11"/>
    <n v="0"/>
    <n v="58"/>
    <n v="2604"/>
    <n v="7.1342465753424653"/>
    <n v="0"/>
    <n v="0"/>
    <n v="1"/>
    <n v="0"/>
    <n v="0"/>
    <n v="0"/>
    <n v="0"/>
    <n v="0"/>
    <n v="1"/>
    <n v="0"/>
    <n v="1419"/>
    <n v="1265"/>
    <n v="154"/>
    <n v="0"/>
    <x v="1"/>
    <x v="1"/>
    <x v="1"/>
    <x v="1"/>
    <x v="2"/>
    <x v="1"/>
    <n v="1"/>
    <n v="1"/>
    <n v="24"/>
    <n v="0.99999999999999978"/>
    <n v="6"/>
    <n v="8"/>
    <n v="15"/>
    <n v="4"/>
    <x v="3"/>
  </r>
  <r>
    <x v="240"/>
    <n v="76773"/>
    <n v="0"/>
    <n v="0"/>
    <n v="79"/>
    <n v="516"/>
    <n v="56"/>
    <n v="449"/>
    <n v="86"/>
    <n v="33"/>
    <n v="16"/>
    <n v="1"/>
    <n v="2"/>
    <n v="2"/>
    <n v="11"/>
    <n v="1"/>
    <n v="0"/>
    <n v="0"/>
    <n v="0"/>
    <n v="0"/>
    <n v="0"/>
    <x v="0"/>
    <n v="0"/>
    <n v="3"/>
    <n v="11"/>
    <n v="0"/>
    <n v="66"/>
    <n v="2648"/>
    <n v="7.2547945205479456"/>
    <n v="1"/>
    <n v="0"/>
    <n v="0"/>
    <n v="0"/>
    <n v="0"/>
    <n v="0"/>
    <n v="0"/>
    <n v="1"/>
    <n v="0"/>
    <n v="0"/>
    <n v="1140"/>
    <n v="1124"/>
    <n v="16"/>
    <n v="0"/>
    <x v="1"/>
    <x v="1"/>
    <x v="3"/>
    <x v="0"/>
    <x v="1"/>
    <x v="2"/>
    <n v="1"/>
    <n v="0"/>
    <n v="17"/>
    <n v="3.0000000000000004"/>
    <n v="3"/>
    <n v="8"/>
    <n v="14"/>
    <n v="4"/>
    <x v="3"/>
  </r>
  <r>
    <x v="241"/>
    <n v="80427"/>
    <n v="0"/>
    <n v="1"/>
    <n v="56"/>
    <n v="1149"/>
    <n v="71"/>
    <n v="449"/>
    <n v="69"/>
    <n v="71"/>
    <n v="26"/>
    <n v="1"/>
    <n v="11"/>
    <n v="8"/>
    <n v="8"/>
    <n v="5"/>
    <n v="0"/>
    <n v="0"/>
    <n v="0"/>
    <n v="0"/>
    <n v="0"/>
    <x v="0"/>
    <n v="0"/>
    <n v="3"/>
    <n v="11"/>
    <n v="0"/>
    <n v="45"/>
    <n v="2814"/>
    <n v="7.7095890410958905"/>
    <n v="0"/>
    <n v="1"/>
    <n v="0"/>
    <n v="0"/>
    <n v="0"/>
    <n v="0"/>
    <n v="0"/>
    <n v="0"/>
    <n v="0"/>
    <n v="1"/>
    <n v="1809"/>
    <n v="1783"/>
    <n v="26"/>
    <n v="0"/>
    <x v="0"/>
    <x v="0"/>
    <x v="0"/>
    <x v="1"/>
    <x v="1"/>
    <x v="0"/>
    <n v="1"/>
    <n v="0"/>
    <n v="33"/>
    <n v="5"/>
    <n v="9"/>
    <n v="9"/>
    <n v="23"/>
    <n v="8"/>
    <x v="2"/>
  </r>
  <r>
    <x v="242"/>
    <n v="95169"/>
    <n v="0"/>
    <n v="0"/>
    <n v="1"/>
    <n v="1285"/>
    <n v="21"/>
    <n v="449"/>
    <n v="106"/>
    <n v="20"/>
    <n v="20"/>
    <n v="1"/>
    <n v="4"/>
    <n v="3"/>
    <n v="4"/>
    <n v="1"/>
    <n v="1"/>
    <n v="0"/>
    <n v="0"/>
    <n v="0"/>
    <n v="1"/>
    <x v="1"/>
    <n v="0"/>
    <n v="3"/>
    <n v="11"/>
    <n v="1"/>
    <n v="33"/>
    <n v="2422"/>
    <n v="6.6356164383561644"/>
    <n v="0"/>
    <n v="0"/>
    <n v="1"/>
    <n v="0"/>
    <n v="0"/>
    <n v="0"/>
    <n v="0"/>
    <n v="0"/>
    <n v="0"/>
    <n v="1"/>
    <n v="1881"/>
    <n v="1861"/>
    <n v="20"/>
    <n v="2"/>
    <x v="1"/>
    <x v="1"/>
    <x v="1"/>
    <x v="1"/>
    <x v="1"/>
    <x v="3"/>
    <n v="0"/>
    <n v="0"/>
    <n v="13"/>
    <n v="10"/>
    <n v="1"/>
    <n v="9"/>
    <n v="20"/>
    <n v="7"/>
    <x v="2"/>
  </r>
  <r>
    <x v="243"/>
    <n v="66664"/>
    <n v="0"/>
    <n v="0"/>
    <n v="78"/>
    <n v="398"/>
    <n v="96"/>
    <n v="447"/>
    <n v="220"/>
    <n v="96"/>
    <n v="32"/>
    <n v="1"/>
    <n v="5"/>
    <n v="7"/>
    <n v="6"/>
    <n v="3"/>
    <n v="0"/>
    <n v="0"/>
    <n v="0"/>
    <n v="0"/>
    <n v="0"/>
    <x v="0"/>
    <n v="0"/>
    <n v="3"/>
    <n v="11"/>
    <n v="0"/>
    <n v="38"/>
    <n v="2801"/>
    <n v="7.6739726027397257"/>
    <n v="0"/>
    <n v="0"/>
    <n v="0"/>
    <n v="1"/>
    <n v="0"/>
    <n v="1"/>
    <n v="0"/>
    <n v="0"/>
    <n v="0"/>
    <n v="0"/>
    <n v="1257"/>
    <n v="1225"/>
    <n v="32"/>
    <n v="0"/>
    <x v="1"/>
    <x v="1"/>
    <x v="2"/>
    <x v="1"/>
    <x v="2"/>
    <x v="3"/>
    <n v="1"/>
    <n v="0"/>
    <n v="22"/>
    <n v="3.0000000000000004"/>
    <n v="5"/>
    <n v="8"/>
    <n v="16"/>
    <n v="5"/>
    <x v="1"/>
  </r>
  <r>
    <x v="244"/>
    <n v="67536"/>
    <n v="0"/>
    <n v="1"/>
    <n v="45"/>
    <n v="1253"/>
    <n v="0"/>
    <n v="447"/>
    <n v="23"/>
    <n v="71"/>
    <n v="35"/>
    <n v="3"/>
    <n v="11"/>
    <n v="5"/>
    <n v="11"/>
    <n v="8"/>
    <n v="1"/>
    <n v="0"/>
    <n v="0"/>
    <n v="0"/>
    <n v="0"/>
    <x v="1"/>
    <n v="0"/>
    <n v="3"/>
    <n v="11"/>
    <n v="0"/>
    <n v="50"/>
    <n v="2562"/>
    <n v="7.0191780821917806"/>
    <n v="0"/>
    <n v="1"/>
    <n v="0"/>
    <n v="0"/>
    <n v="0"/>
    <n v="0"/>
    <n v="0"/>
    <n v="0"/>
    <n v="0"/>
    <n v="1"/>
    <n v="1794"/>
    <n v="1759"/>
    <n v="35"/>
    <n v="1"/>
    <x v="0"/>
    <x v="0"/>
    <x v="0"/>
    <x v="1"/>
    <x v="2"/>
    <x v="0"/>
    <n v="1"/>
    <n v="0"/>
    <n v="38"/>
    <n v="6"/>
    <n v="9"/>
    <n v="9"/>
    <n v="24"/>
    <n v="9"/>
    <x v="0"/>
  </r>
  <r>
    <x v="245"/>
    <n v="71128"/>
    <n v="1"/>
    <n v="0"/>
    <n v="80"/>
    <n v="958"/>
    <n v="159"/>
    <n v="447"/>
    <n v="20"/>
    <n v="0"/>
    <n v="31"/>
    <n v="3"/>
    <n v="2"/>
    <n v="10"/>
    <n v="12"/>
    <n v="7"/>
    <n v="0"/>
    <n v="0"/>
    <n v="0"/>
    <n v="0"/>
    <n v="0"/>
    <x v="0"/>
    <n v="0"/>
    <n v="3"/>
    <n v="11"/>
    <n v="0"/>
    <n v="47"/>
    <n v="2790"/>
    <n v="7.6438356164383565"/>
    <n v="1"/>
    <n v="0"/>
    <n v="0"/>
    <n v="0"/>
    <n v="0"/>
    <n v="0"/>
    <n v="0"/>
    <n v="1"/>
    <n v="0"/>
    <n v="0"/>
    <n v="1584"/>
    <n v="1553"/>
    <n v="31"/>
    <n v="0"/>
    <x v="0"/>
    <x v="0"/>
    <x v="3"/>
    <x v="0"/>
    <x v="2"/>
    <x v="0"/>
    <n v="1"/>
    <n v="0"/>
    <n v="34"/>
    <n v="1.9999999999999996"/>
    <n v="9"/>
    <n v="9"/>
    <n v="20"/>
    <n v="7"/>
    <x v="2"/>
  </r>
  <r>
    <x v="246"/>
    <n v="78497"/>
    <n v="0"/>
    <n v="0"/>
    <n v="44"/>
    <n v="207"/>
    <n v="26"/>
    <n v="447"/>
    <n v="75"/>
    <n v="0"/>
    <n v="223"/>
    <n v="1"/>
    <n v="5"/>
    <n v="7"/>
    <n v="12"/>
    <n v="2"/>
    <n v="1"/>
    <n v="0"/>
    <n v="0"/>
    <n v="0"/>
    <n v="0"/>
    <x v="1"/>
    <n v="0"/>
    <n v="3"/>
    <n v="11"/>
    <n v="0"/>
    <n v="69"/>
    <n v="2369"/>
    <n v="6.4904109589041097"/>
    <n v="0"/>
    <n v="1"/>
    <n v="0"/>
    <n v="0"/>
    <n v="0"/>
    <n v="1"/>
    <n v="0"/>
    <n v="0"/>
    <n v="0"/>
    <n v="0"/>
    <n v="755"/>
    <n v="532"/>
    <n v="223"/>
    <n v="1"/>
    <x v="1"/>
    <x v="1"/>
    <x v="0"/>
    <x v="1"/>
    <x v="1"/>
    <x v="2"/>
    <n v="1"/>
    <n v="0"/>
    <n v="27"/>
    <n v="6"/>
    <n v="7"/>
    <n v="6"/>
    <n v="19"/>
    <n v="7"/>
    <x v="2"/>
  </r>
  <r>
    <x v="247"/>
    <n v="76630"/>
    <n v="0"/>
    <n v="0"/>
    <n v="93"/>
    <n v="255"/>
    <n v="31"/>
    <n v="446"/>
    <n v="40"/>
    <n v="56"/>
    <n v="175"/>
    <n v="1"/>
    <n v="3"/>
    <n v="10"/>
    <n v="11"/>
    <n v="1"/>
    <n v="0"/>
    <n v="0"/>
    <n v="0"/>
    <n v="0"/>
    <n v="0"/>
    <x v="0"/>
    <n v="0"/>
    <n v="3"/>
    <n v="11"/>
    <n v="0"/>
    <n v="37"/>
    <n v="2325"/>
    <n v="6.3698630136986303"/>
    <n v="0"/>
    <n v="1"/>
    <n v="0"/>
    <n v="0"/>
    <n v="0"/>
    <n v="0"/>
    <n v="0"/>
    <n v="1"/>
    <n v="0"/>
    <n v="0"/>
    <n v="828"/>
    <n v="653"/>
    <n v="175"/>
    <n v="0"/>
    <x v="1"/>
    <x v="1"/>
    <x v="0"/>
    <x v="0"/>
    <x v="1"/>
    <x v="3"/>
    <n v="1"/>
    <n v="1"/>
    <n v="26"/>
    <n v="0.99999999999999978"/>
    <n v="7"/>
    <n v="6"/>
    <n v="14"/>
    <n v="4"/>
    <x v="3"/>
  </r>
  <r>
    <x v="248"/>
    <n v="82017"/>
    <n v="0"/>
    <n v="0"/>
    <n v="58"/>
    <n v="184"/>
    <n v="23"/>
    <n v="446"/>
    <n v="30"/>
    <n v="23"/>
    <n v="23"/>
    <n v="1"/>
    <n v="5"/>
    <n v="4"/>
    <n v="7"/>
    <n v="2"/>
    <n v="1"/>
    <n v="0"/>
    <n v="0"/>
    <n v="1"/>
    <n v="1"/>
    <x v="1"/>
    <n v="0"/>
    <n v="3"/>
    <n v="11"/>
    <n v="1"/>
    <n v="63"/>
    <n v="2758"/>
    <n v="7.5561643835616437"/>
    <n v="0"/>
    <n v="1"/>
    <n v="0"/>
    <n v="0"/>
    <n v="0"/>
    <n v="0"/>
    <n v="0"/>
    <n v="0"/>
    <n v="0"/>
    <n v="1"/>
    <n v="706"/>
    <n v="683"/>
    <n v="23"/>
    <n v="3"/>
    <x v="1"/>
    <x v="1"/>
    <x v="0"/>
    <x v="1"/>
    <x v="1"/>
    <x v="2"/>
    <n v="1"/>
    <n v="0"/>
    <n v="19"/>
    <n v="5"/>
    <n v="4"/>
    <n v="6"/>
    <n v="15"/>
    <n v="4"/>
    <x v="3"/>
  </r>
  <r>
    <x v="249"/>
    <n v="72905"/>
    <n v="0"/>
    <n v="0"/>
    <n v="52"/>
    <n v="407"/>
    <n v="114"/>
    <n v="445"/>
    <n v="181"/>
    <n v="165"/>
    <n v="203"/>
    <n v="1"/>
    <n v="3"/>
    <n v="7"/>
    <n v="9"/>
    <n v="1"/>
    <n v="1"/>
    <n v="0"/>
    <n v="0"/>
    <n v="0"/>
    <n v="0"/>
    <x v="1"/>
    <n v="0"/>
    <n v="3"/>
    <n v="11"/>
    <n v="0"/>
    <n v="62"/>
    <n v="2318"/>
    <n v="6.3506849315068497"/>
    <n v="0"/>
    <n v="1"/>
    <n v="0"/>
    <n v="0"/>
    <n v="0"/>
    <n v="0"/>
    <n v="0"/>
    <n v="1"/>
    <n v="0"/>
    <n v="0"/>
    <n v="1312"/>
    <n v="1109"/>
    <n v="203"/>
    <n v="1"/>
    <x v="1"/>
    <x v="1"/>
    <x v="0"/>
    <x v="0"/>
    <x v="2"/>
    <x v="2"/>
    <n v="1"/>
    <n v="0"/>
    <n v="21"/>
    <n v="5"/>
    <n v="5"/>
    <n v="8"/>
    <n v="18"/>
    <n v="6"/>
    <x v="1"/>
  </r>
  <r>
    <x v="250"/>
    <n v="80144"/>
    <n v="0"/>
    <n v="0"/>
    <n v="47"/>
    <n v="240"/>
    <n v="132"/>
    <n v="445"/>
    <n v="250"/>
    <n v="192"/>
    <n v="108"/>
    <n v="1"/>
    <n v="3"/>
    <n v="7"/>
    <n v="8"/>
    <n v="1"/>
    <n v="0"/>
    <n v="0"/>
    <n v="0"/>
    <n v="0"/>
    <n v="0"/>
    <x v="0"/>
    <n v="0"/>
    <n v="3"/>
    <n v="11"/>
    <n v="0"/>
    <n v="45"/>
    <n v="2431"/>
    <n v="6.6602739726027398"/>
    <n v="0"/>
    <n v="0"/>
    <n v="0"/>
    <n v="1"/>
    <n v="0"/>
    <n v="0"/>
    <n v="0"/>
    <n v="1"/>
    <n v="0"/>
    <n v="0"/>
    <n v="1259"/>
    <n v="1151"/>
    <n v="108"/>
    <n v="0"/>
    <x v="1"/>
    <x v="1"/>
    <x v="2"/>
    <x v="0"/>
    <x v="1"/>
    <x v="0"/>
    <n v="1"/>
    <n v="0"/>
    <n v="20"/>
    <n v="6"/>
    <n v="4"/>
    <n v="8"/>
    <n v="18"/>
    <n v="6"/>
    <x v="1"/>
  </r>
  <r>
    <x v="251"/>
    <n v="82576"/>
    <n v="0"/>
    <n v="0"/>
    <n v="66"/>
    <n v="1206"/>
    <n v="55"/>
    <n v="445"/>
    <n v="168"/>
    <n v="18"/>
    <n v="18"/>
    <n v="1"/>
    <n v="2"/>
    <n v="4"/>
    <n v="12"/>
    <n v="1"/>
    <n v="0"/>
    <n v="0"/>
    <n v="0"/>
    <n v="0"/>
    <n v="1"/>
    <x v="1"/>
    <n v="0"/>
    <n v="3"/>
    <n v="11"/>
    <n v="0"/>
    <n v="61"/>
    <n v="2856"/>
    <n v="7.8246575342465752"/>
    <n v="0"/>
    <n v="0"/>
    <n v="0"/>
    <n v="1"/>
    <n v="0"/>
    <n v="0"/>
    <n v="0"/>
    <n v="0"/>
    <n v="1"/>
    <n v="0"/>
    <n v="1892"/>
    <n v="1874"/>
    <n v="18"/>
    <n v="1"/>
    <x v="1"/>
    <x v="1"/>
    <x v="2"/>
    <x v="1"/>
    <x v="1"/>
    <x v="2"/>
    <n v="1"/>
    <n v="0"/>
    <n v="20"/>
    <n v="4"/>
    <n v="4"/>
    <n v="9"/>
    <n v="17"/>
    <n v="6"/>
    <x v="1"/>
  </r>
  <r>
    <x v="252"/>
    <n v="102692"/>
    <n v="0"/>
    <n v="0"/>
    <n v="5"/>
    <n v="168"/>
    <n v="148"/>
    <n v="444"/>
    <n v="32"/>
    <n v="172"/>
    <n v="148"/>
    <n v="1"/>
    <n v="6"/>
    <n v="9"/>
    <n v="13"/>
    <n v="2"/>
    <n v="1"/>
    <n v="1"/>
    <n v="0"/>
    <n v="1"/>
    <n v="1"/>
    <x v="1"/>
    <n v="0"/>
    <n v="3"/>
    <n v="11"/>
    <n v="1"/>
    <n v="46"/>
    <n v="2609"/>
    <n v="7.1479452054794521"/>
    <n v="1"/>
    <n v="0"/>
    <n v="0"/>
    <n v="0"/>
    <n v="0"/>
    <n v="0"/>
    <n v="0"/>
    <n v="1"/>
    <n v="0"/>
    <n v="0"/>
    <n v="964"/>
    <n v="816"/>
    <n v="148"/>
    <n v="4"/>
    <x v="1"/>
    <x v="1"/>
    <x v="3"/>
    <x v="0"/>
    <x v="1"/>
    <x v="0"/>
    <n v="0"/>
    <n v="0"/>
    <n v="31"/>
    <n v="10"/>
    <n v="9"/>
    <n v="7"/>
    <n v="26"/>
    <n v="9"/>
    <x v="0"/>
  </r>
  <r>
    <x v="253"/>
    <n v="77437"/>
    <n v="0"/>
    <n v="0"/>
    <n v="70"/>
    <n v="560"/>
    <n v="21"/>
    <n v="442"/>
    <n v="29"/>
    <n v="44"/>
    <n v="29"/>
    <n v="1"/>
    <n v="4"/>
    <n v="5"/>
    <n v="13"/>
    <n v="1"/>
    <n v="0"/>
    <n v="0"/>
    <n v="0"/>
    <n v="0"/>
    <n v="1"/>
    <x v="1"/>
    <n v="0"/>
    <n v="3"/>
    <n v="11"/>
    <n v="0"/>
    <n v="57"/>
    <n v="2374"/>
    <n v="6.5041095890410956"/>
    <n v="0"/>
    <n v="1"/>
    <n v="0"/>
    <n v="0"/>
    <n v="0"/>
    <n v="0"/>
    <n v="0"/>
    <n v="1"/>
    <n v="0"/>
    <n v="0"/>
    <n v="1096"/>
    <n v="1067"/>
    <n v="29"/>
    <n v="1"/>
    <x v="1"/>
    <x v="1"/>
    <x v="0"/>
    <x v="0"/>
    <x v="1"/>
    <x v="1"/>
    <n v="1"/>
    <n v="0"/>
    <n v="24"/>
    <n v="3.0000000000000004"/>
    <n v="6"/>
    <n v="7"/>
    <n v="16"/>
    <n v="5"/>
    <x v="1"/>
  </r>
  <r>
    <x v="254"/>
    <n v="67786"/>
    <n v="0"/>
    <n v="0"/>
    <n v="0"/>
    <n v="431"/>
    <n v="82"/>
    <n v="441"/>
    <n v="80"/>
    <n v="20"/>
    <n v="102"/>
    <n v="1"/>
    <n v="3"/>
    <n v="6"/>
    <n v="6"/>
    <n v="1"/>
    <n v="0"/>
    <n v="0"/>
    <n v="0"/>
    <n v="0"/>
    <n v="0"/>
    <x v="0"/>
    <n v="0"/>
    <n v="3"/>
    <n v="11"/>
    <n v="1"/>
    <n v="61"/>
    <n v="2363"/>
    <n v="6.4739726027397264"/>
    <n v="0"/>
    <n v="0"/>
    <n v="0"/>
    <n v="0"/>
    <n v="1"/>
    <n v="0"/>
    <n v="0"/>
    <n v="0"/>
    <n v="0"/>
    <n v="1"/>
    <n v="1054"/>
    <n v="952"/>
    <n v="102"/>
    <n v="0"/>
    <x v="1"/>
    <x v="1"/>
    <x v="4"/>
    <x v="1"/>
    <x v="2"/>
    <x v="2"/>
    <n v="0"/>
    <n v="0"/>
    <n v="17"/>
    <n v="10"/>
    <n v="3"/>
    <n v="7"/>
    <n v="20"/>
    <n v="7"/>
    <x v="2"/>
  </r>
  <r>
    <x v="255"/>
    <n v="65777"/>
    <n v="0"/>
    <n v="0"/>
    <n v="87"/>
    <n v="565"/>
    <n v="32"/>
    <n v="435"/>
    <n v="28"/>
    <n v="32"/>
    <n v="54"/>
    <n v="1"/>
    <n v="2"/>
    <n v="8"/>
    <n v="6"/>
    <n v="1"/>
    <n v="0"/>
    <n v="0"/>
    <n v="0"/>
    <n v="0"/>
    <n v="0"/>
    <x v="0"/>
    <n v="0"/>
    <n v="3"/>
    <n v="11"/>
    <n v="0"/>
    <n v="53"/>
    <n v="2351"/>
    <n v="6.441095890410959"/>
    <n v="0"/>
    <n v="0"/>
    <n v="0"/>
    <n v="1"/>
    <n v="0"/>
    <n v="0"/>
    <n v="0"/>
    <n v="1"/>
    <n v="0"/>
    <n v="0"/>
    <n v="1092"/>
    <n v="1038"/>
    <n v="54"/>
    <n v="0"/>
    <x v="1"/>
    <x v="1"/>
    <x v="2"/>
    <x v="0"/>
    <x v="2"/>
    <x v="1"/>
    <n v="1"/>
    <n v="0"/>
    <n v="18"/>
    <n v="1.9999999999999996"/>
    <n v="4"/>
    <n v="7"/>
    <n v="13"/>
    <n v="3"/>
    <x v="3"/>
  </r>
  <r>
    <x v="256"/>
    <n v="66973"/>
    <n v="0"/>
    <n v="0"/>
    <n v="98"/>
    <n v="466"/>
    <n v="22"/>
    <n v="432"/>
    <n v="147"/>
    <n v="113"/>
    <n v="102"/>
    <n v="1"/>
    <n v="8"/>
    <n v="7"/>
    <n v="12"/>
    <n v="3"/>
    <n v="0"/>
    <n v="0"/>
    <n v="0"/>
    <n v="0"/>
    <n v="0"/>
    <x v="0"/>
    <n v="0"/>
    <n v="3"/>
    <n v="11"/>
    <n v="0"/>
    <n v="31"/>
    <n v="2567"/>
    <n v="7.0328767123287674"/>
    <n v="0"/>
    <n v="0"/>
    <n v="0"/>
    <n v="1"/>
    <n v="0"/>
    <n v="0"/>
    <n v="0"/>
    <n v="0"/>
    <n v="0"/>
    <n v="1"/>
    <n v="1180"/>
    <n v="1078"/>
    <n v="102"/>
    <n v="0"/>
    <x v="1"/>
    <x v="1"/>
    <x v="2"/>
    <x v="1"/>
    <x v="2"/>
    <x v="3"/>
    <n v="1"/>
    <n v="1"/>
    <n v="31"/>
    <n v="0.99999999999999978"/>
    <n v="9"/>
    <n v="8"/>
    <n v="18"/>
    <n v="6"/>
    <x v="1"/>
  </r>
  <r>
    <x v="257"/>
    <n v="82384"/>
    <n v="0"/>
    <n v="0"/>
    <n v="55"/>
    <n v="984"/>
    <n v="51"/>
    <n v="432"/>
    <n v="180"/>
    <n v="120"/>
    <n v="190"/>
    <n v="1"/>
    <n v="3"/>
    <n v="10"/>
    <n v="13"/>
    <n v="1"/>
    <n v="0"/>
    <n v="0"/>
    <n v="0"/>
    <n v="0"/>
    <n v="1"/>
    <x v="1"/>
    <n v="0"/>
    <n v="3"/>
    <n v="11"/>
    <n v="1"/>
    <n v="65"/>
    <n v="2746"/>
    <n v="7.5232876712328771"/>
    <n v="0"/>
    <n v="0"/>
    <n v="0"/>
    <n v="1"/>
    <n v="0"/>
    <n v="0"/>
    <n v="0"/>
    <n v="0"/>
    <n v="1"/>
    <n v="0"/>
    <n v="1767"/>
    <n v="1577"/>
    <n v="190"/>
    <n v="1"/>
    <x v="1"/>
    <x v="1"/>
    <x v="2"/>
    <x v="1"/>
    <x v="1"/>
    <x v="2"/>
    <n v="1"/>
    <n v="0"/>
    <n v="28"/>
    <n v="5"/>
    <n v="8"/>
    <n v="9"/>
    <n v="22"/>
    <n v="8"/>
    <x v="2"/>
  </r>
  <r>
    <x v="258"/>
    <n v="82504"/>
    <n v="0"/>
    <n v="0"/>
    <n v="2"/>
    <n v="362"/>
    <n v="50"/>
    <n v="431"/>
    <n v="134"/>
    <n v="35"/>
    <n v="54"/>
    <n v="1"/>
    <n v="3"/>
    <n v="6"/>
    <n v="7"/>
    <n v="1"/>
    <n v="0"/>
    <n v="0"/>
    <n v="0"/>
    <n v="0"/>
    <n v="0"/>
    <x v="0"/>
    <n v="0"/>
    <n v="3"/>
    <n v="11"/>
    <n v="0"/>
    <n v="60"/>
    <n v="2496"/>
    <n v="6.838356164383562"/>
    <n v="0"/>
    <n v="1"/>
    <n v="0"/>
    <n v="0"/>
    <n v="0"/>
    <n v="1"/>
    <n v="0"/>
    <n v="0"/>
    <n v="0"/>
    <n v="0"/>
    <n v="1012"/>
    <n v="958"/>
    <n v="54"/>
    <n v="0"/>
    <x v="1"/>
    <x v="1"/>
    <x v="0"/>
    <x v="1"/>
    <x v="1"/>
    <x v="1"/>
    <n v="0"/>
    <n v="0"/>
    <n v="18"/>
    <n v="10"/>
    <n v="4"/>
    <n v="7"/>
    <n v="21"/>
    <n v="8"/>
    <x v="2"/>
  </r>
  <r>
    <x v="259"/>
    <n v="83033"/>
    <n v="1"/>
    <n v="0"/>
    <n v="82"/>
    <n v="812"/>
    <n v="99"/>
    <n v="431"/>
    <n v="237"/>
    <n v="149"/>
    <n v="33"/>
    <n v="1"/>
    <n v="11"/>
    <n v="4"/>
    <n v="10"/>
    <n v="5"/>
    <n v="1"/>
    <n v="0"/>
    <n v="0"/>
    <n v="0"/>
    <n v="0"/>
    <x v="1"/>
    <n v="0"/>
    <n v="3"/>
    <n v="11"/>
    <n v="0"/>
    <n v="34"/>
    <n v="2201"/>
    <n v="6.0301369863013701"/>
    <n v="0"/>
    <n v="0"/>
    <n v="0"/>
    <n v="1"/>
    <n v="0"/>
    <n v="0"/>
    <n v="0"/>
    <n v="1"/>
    <n v="0"/>
    <n v="0"/>
    <n v="1728"/>
    <n v="1695"/>
    <n v="33"/>
    <n v="1"/>
    <x v="0"/>
    <x v="0"/>
    <x v="2"/>
    <x v="0"/>
    <x v="1"/>
    <x v="3"/>
    <n v="1"/>
    <n v="0"/>
    <n v="31"/>
    <n v="1.9999999999999996"/>
    <n v="9"/>
    <n v="9"/>
    <n v="20"/>
    <n v="7"/>
    <x v="2"/>
  </r>
  <r>
    <x v="260"/>
    <n v="80573"/>
    <n v="0"/>
    <n v="0"/>
    <n v="85"/>
    <n v="829"/>
    <n v="138"/>
    <n v="430"/>
    <n v="60"/>
    <n v="92"/>
    <n v="15"/>
    <n v="1"/>
    <n v="4"/>
    <n v="6"/>
    <n v="13"/>
    <n v="2"/>
    <n v="0"/>
    <n v="0"/>
    <n v="0"/>
    <n v="0"/>
    <n v="0"/>
    <x v="0"/>
    <n v="0"/>
    <n v="3"/>
    <n v="11"/>
    <n v="0"/>
    <n v="49"/>
    <n v="2782"/>
    <n v="7.6219178082191785"/>
    <n v="0"/>
    <n v="0"/>
    <n v="0"/>
    <n v="1"/>
    <n v="0"/>
    <n v="0"/>
    <n v="0"/>
    <n v="0"/>
    <n v="1"/>
    <n v="0"/>
    <n v="1549"/>
    <n v="1534"/>
    <n v="15"/>
    <n v="0"/>
    <x v="1"/>
    <x v="1"/>
    <x v="2"/>
    <x v="1"/>
    <x v="1"/>
    <x v="0"/>
    <n v="1"/>
    <n v="0"/>
    <n v="26"/>
    <n v="1.9999999999999996"/>
    <n v="7"/>
    <n v="9"/>
    <n v="18"/>
    <n v="6"/>
    <x v="1"/>
  </r>
  <r>
    <x v="261"/>
    <n v="83829"/>
    <n v="0"/>
    <n v="0"/>
    <n v="78"/>
    <n v="897"/>
    <n v="161"/>
    <n v="430"/>
    <n v="186"/>
    <n v="161"/>
    <n v="27"/>
    <n v="0"/>
    <n v="4"/>
    <n v="7"/>
    <n v="6"/>
    <n v="1"/>
    <n v="1"/>
    <n v="0"/>
    <n v="1"/>
    <n v="0"/>
    <n v="1"/>
    <x v="1"/>
    <n v="0"/>
    <n v="3"/>
    <n v="11"/>
    <n v="1"/>
    <n v="45"/>
    <n v="2423"/>
    <n v="6.6383561643835618"/>
    <n v="1"/>
    <n v="0"/>
    <n v="0"/>
    <n v="0"/>
    <n v="0"/>
    <n v="0"/>
    <n v="0"/>
    <n v="1"/>
    <n v="0"/>
    <n v="0"/>
    <n v="1835"/>
    <n v="1808"/>
    <n v="27"/>
    <n v="3"/>
    <x v="1"/>
    <x v="1"/>
    <x v="3"/>
    <x v="0"/>
    <x v="1"/>
    <x v="0"/>
    <n v="1"/>
    <n v="0"/>
    <n v="18"/>
    <n v="3.0000000000000004"/>
    <n v="4"/>
    <n v="9"/>
    <n v="16"/>
    <n v="5"/>
    <x v="1"/>
  </r>
  <r>
    <x v="262"/>
    <n v="90933"/>
    <n v="0"/>
    <n v="0"/>
    <n v="90"/>
    <n v="1020"/>
    <n v="31"/>
    <n v="430"/>
    <n v="62"/>
    <n v="63"/>
    <n v="79"/>
    <n v="1"/>
    <n v="4"/>
    <n v="6"/>
    <n v="4"/>
    <n v="1"/>
    <n v="0"/>
    <n v="0"/>
    <n v="0"/>
    <n v="0"/>
    <n v="1"/>
    <x v="1"/>
    <n v="0"/>
    <n v="3"/>
    <n v="11"/>
    <n v="0"/>
    <n v="66"/>
    <n v="2249"/>
    <n v="6.161643835616438"/>
    <n v="0"/>
    <n v="0"/>
    <n v="1"/>
    <n v="0"/>
    <n v="0"/>
    <n v="0"/>
    <n v="0"/>
    <n v="0"/>
    <n v="0"/>
    <n v="1"/>
    <n v="1606"/>
    <n v="1527"/>
    <n v="79"/>
    <n v="1"/>
    <x v="1"/>
    <x v="1"/>
    <x v="1"/>
    <x v="1"/>
    <x v="1"/>
    <x v="2"/>
    <n v="1"/>
    <n v="0"/>
    <n v="16"/>
    <n v="0.99999999999999978"/>
    <n v="3"/>
    <n v="9"/>
    <n v="13"/>
    <n v="3"/>
    <x v="3"/>
  </r>
  <r>
    <x v="263"/>
    <n v="59304"/>
    <n v="0"/>
    <n v="1"/>
    <n v="81"/>
    <n v="418"/>
    <n v="61"/>
    <n v="428"/>
    <n v="80"/>
    <n v="51"/>
    <n v="10"/>
    <n v="3"/>
    <n v="7"/>
    <n v="8"/>
    <n v="10"/>
    <n v="5"/>
    <n v="0"/>
    <n v="0"/>
    <n v="0"/>
    <n v="0"/>
    <n v="0"/>
    <x v="0"/>
    <n v="0"/>
    <n v="3"/>
    <n v="11"/>
    <n v="0"/>
    <n v="56"/>
    <n v="2494"/>
    <n v="6.8328767123287673"/>
    <n v="0"/>
    <n v="1"/>
    <n v="0"/>
    <n v="0"/>
    <n v="0"/>
    <n v="0"/>
    <n v="0"/>
    <n v="0"/>
    <n v="0"/>
    <n v="1"/>
    <n v="1038"/>
    <n v="1028"/>
    <n v="10"/>
    <n v="0"/>
    <x v="0"/>
    <x v="0"/>
    <x v="0"/>
    <x v="1"/>
    <x v="2"/>
    <x v="1"/>
    <n v="1"/>
    <n v="0"/>
    <n v="33"/>
    <n v="1.9999999999999996"/>
    <n v="9"/>
    <n v="7"/>
    <n v="18"/>
    <n v="6"/>
    <x v="1"/>
  </r>
  <r>
    <x v="264"/>
    <n v="63684"/>
    <n v="0"/>
    <n v="1"/>
    <n v="61"/>
    <n v="575"/>
    <n v="80"/>
    <n v="428"/>
    <n v="208"/>
    <n v="93"/>
    <n v="80"/>
    <n v="3"/>
    <n v="8"/>
    <n v="4"/>
    <n v="8"/>
    <n v="5"/>
    <n v="0"/>
    <n v="0"/>
    <n v="0"/>
    <n v="0"/>
    <n v="0"/>
    <x v="0"/>
    <n v="0"/>
    <n v="3"/>
    <n v="11"/>
    <n v="0"/>
    <n v="50"/>
    <n v="2739"/>
    <n v="7.5041095890410956"/>
    <n v="0"/>
    <n v="1"/>
    <n v="0"/>
    <n v="0"/>
    <n v="0"/>
    <n v="0"/>
    <n v="0"/>
    <n v="1"/>
    <n v="0"/>
    <n v="0"/>
    <n v="1384"/>
    <n v="1304"/>
    <n v="80"/>
    <n v="0"/>
    <x v="0"/>
    <x v="0"/>
    <x v="0"/>
    <x v="0"/>
    <x v="2"/>
    <x v="0"/>
    <n v="1"/>
    <n v="0"/>
    <n v="28"/>
    <n v="4"/>
    <n v="8"/>
    <n v="8"/>
    <n v="20"/>
    <n v="7"/>
    <x v="2"/>
  </r>
  <r>
    <x v="265"/>
    <n v="73538"/>
    <n v="0"/>
    <n v="1"/>
    <n v="92"/>
    <n v="811"/>
    <n v="76"/>
    <n v="428"/>
    <n v="99"/>
    <n v="137"/>
    <n v="107"/>
    <n v="3"/>
    <n v="10"/>
    <n v="4"/>
    <n v="9"/>
    <n v="7"/>
    <n v="0"/>
    <n v="0"/>
    <n v="0"/>
    <n v="0"/>
    <n v="0"/>
    <x v="0"/>
    <n v="0"/>
    <n v="3"/>
    <n v="11"/>
    <n v="0"/>
    <n v="55"/>
    <n v="2740"/>
    <n v="7.506849315068493"/>
    <n v="0"/>
    <n v="1"/>
    <n v="0"/>
    <n v="0"/>
    <n v="0"/>
    <n v="0"/>
    <n v="0"/>
    <n v="1"/>
    <n v="0"/>
    <n v="0"/>
    <n v="1551"/>
    <n v="1444"/>
    <n v="107"/>
    <n v="0"/>
    <x v="0"/>
    <x v="0"/>
    <x v="0"/>
    <x v="0"/>
    <x v="2"/>
    <x v="1"/>
    <n v="1"/>
    <n v="1"/>
    <n v="33"/>
    <n v="0.99999999999999978"/>
    <n v="9"/>
    <n v="9"/>
    <n v="19"/>
    <n v="7"/>
    <x v="2"/>
  </r>
  <r>
    <x v="266"/>
    <n v="76467"/>
    <n v="1"/>
    <n v="0"/>
    <n v="44"/>
    <n v="676"/>
    <n v="161"/>
    <n v="426"/>
    <n v="210"/>
    <n v="44"/>
    <n v="58"/>
    <n v="2"/>
    <n v="2"/>
    <n v="5"/>
    <n v="5"/>
    <n v="6"/>
    <n v="0"/>
    <n v="0"/>
    <n v="0"/>
    <n v="0"/>
    <n v="0"/>
    <x v="0"/>
    <n v="0"/>
    <n v="3"/>
    <n v="11"/>
    <n v="1"/>
    <n v="50"/>
    <n v="2840"/>
    <n v="7.7808219178082192"/>
    <n v="0"/>
    <n v="0"/>
    <n v="1"/>
    <n v="0"/>
    <n v="0"/>
    <n v="0"/>
    <n v="0"/>
    <n v="1"/>
    <n v="0"/>
    <n v="0"/>
    <n v="1517"/>
    <n v="1459"/>
    <n v="58"/>
    <n v="0"/>
    <x v="0"/>
    <x v="0"/>
    <x v="1"/>
    <x v="0"/>
    <x v="1"/>
    <x v="0"/>
    <n v="1"/>
    <n v="0"/>
    <n v="20"/>
    <n v="6"/>
    <n v="4"/>
    <n v="9"/>
    <n v="19"/>
    <n v="7"/>
    <x v="2"/>
  </r>
  <r>
    <x v="267"/>
    <n v="81657"/>
    <n v="0"/>
    <n v="0"/>
    <n v="69"/>
    <n v="364"/>
    <n v="40"/>
    <n v="425"/>
    <n v="158"/>
    <n v="60"/>
    <n v="50"/>
    <n v="1"/>
    <n v="3"/>
    <n v="4"/>
    <n v="8"/>
    <n v="1"/>
    <n v="0"/>
    <n v="0"/>
    <n v="0"/>
    <n v="0"/>
    <n v="0"/>
    <x v="0"/>
    <n v="0"/>
    <n v="3"/>
    <n v="11"/>
    <n v="0"/>
    <n v="51"/>
    <n v="2317"/>
    <n v="6.3479452054794523"/>
    <n v="0"/>
    <n v="0"/>
    <n v="1"/>
    <n v="0"/>
    <n v="0"/>
    <n v="0"/>
    <n v="0"/>
    <n v="1"/>
    <n v="0"/>
    <n v="0"/>
    <n v="1047"/>
    <n v="997"/>
    <n v="50"/>
    <n v="0"/>
    <x v="1"/>
    <x v="1"/>
    <x v="1"/>
    <x v="0"/>
    <x v="1"/>
    <x v="1"/>
    <n v="1"/>
    <n v="0"/>
    <n v="17"/>
    <n v="4"/>
    <n v="3"/>
    <n v="7"/>
    <n v="14"/>
    <n v="4"/>
    <x v="3"/>
  </r>
  <r>
    <x v="268"/>
    <n v="81361"/>
    <n v="0"/>
    <n v="0"/>
    <n v="18"/>
    <n v="163"/>
    <n v="23"/>
    <n v="424"/>
    <n v="27"/>
    <n v="65"/>
    <n v="76"/>
    <n v="1"/>
    <n v="3"/>
    <n v="10"/>
    <n v="13"/>
    <n v="1"/>
    <n v="0"/>
    <n v="0"/>
    <n v="0"/>
    <n v="0"/>
    <n v="0"/>
    <x v="0"/>
    <n v="0"/>
    <n v="3"/>
    <n v="11"/>
    <n v="0"/>
    <n v="33"/>
    <n v="2283"/>
    <n v="6.2547945205479456"/>
    <n v="1"/>
    <n v="0"/>
    <n v="0"/>
    <n v="0"/>
    <n v="0"/>
    <n v="0"/>
    <n v="0"/>
    <n v="1"/>
    <n v="0"/>
    <n v="0"/>
    <n v="702"/>
    <n v="626"/>
    <n v="76"/>
    <n v="0"/>
    <x v="1"/>
    <x v="1"/>
    <x v="3"/>
    <x v="0"/>
    <x v="1"/>
    <x v="3"/>
    <n v="0"/>
    <n v="0"/>
    <n v="28"/>
    <n v="9"/>
    <n v="8"/>
    <n v="6"/>
    <n v="23"/>
    <n v="8"/>
    <x v="2"/>
  </r>
  <r>
    <x v="269"/>
    <n v="81361"/>
    <n v="0"/>
    <n v="0"/>
    <n v="18"/>
    <n v="163"/>
    <n v="23"/>
    <n v="424"/>
    <n v="27"/>
    <n v="65"/>
    <n v="76"/>
    <n v="1"/>
    <n v="3"/>
    <n v="10"/>
    <n v="13"/>
    <n v="1"/>
    <n v="0"/>
    <n v="0"/>
    <n v="0"/>
    <n v="0"/>
    <n v="0"/>
    <x v="0"/>
    <n v="0"/>
    <n v="3"/>
    <n v="11"/>
    <n v="1"/>
    <n v="33"/>
    <n v="2283"/>
    <n v="6.2547945205479456"/>
    <n v="1"/>
    <n v="0"/>
    <n v="0"/>
    <n v="0"/>
    <n v="0"/>
    <n v="0"/>
    <n v="0"/>
    <n v="1"/>
    <n v="0"/>
    <n v="0"/>
    <n v="702"/>
    <n v="626"/>
    <n v="76"/>
    <n v="0"/>
    <x v="1"/>
    <x v="1"/>
    <x v="3"/>
    <x v="0"/>
    <x v="1"/>
    <x v="3"/>
    <n v="0"/>
    <n v="0"/>
    <n v="28"/>
    <n v="9"/>
    <n v="8"/>
    <n v="6"/>
    <n v="23"/>
    <n v="8"/>
    <x v="2"/>
  </r>
  <r>
    <x v="270"/>
    <n v="65148"/>
    <n v="0"/>
    <n v="1"/>
    <n v="9"/>
    <n v="460"/>
    <n v="35"/>
    <n v="422"/>
    <n v="33"/>
    <n v="12"/>
    <n v="153"/>
    <n v="2"/>
    <n v="6"/>
    <n v="6"/>
    <n v="7"/>
    <n v="4"/>
    <n v="0"/>
    <n v="0"/>
    <n v="0"/>
    <n v="0"/>
    <n v="0"/>
    <x v="0"/>
    <n v="0"/>
    <n v="3"/>
    <n v="11"/>
    <n v="0"/>
    <n v="62"/>
    <n v="2749"/>
    <n v="7.5315068493150683"/>
    <n v="0"/>
    <n v="1"/>
    <n v="0"/>
    <n v="0"/>
    <n v="0"/>
    <n v="0"/>
    <n v="0"/>
    <n v="1"/>
    <n v="0"/>
    <n v="0"/>
    <n v="962"/>
    <n v="809"/>
    <n v="153"/>
    <n v="0"/>
    <x v="0"/>
    <x v="0"/>
    <x v="0"/>
    <x v="0"/>
    <x v="2"/>
    <x v="2"/>
    <n v="0"/>
    <n v="0"/>
    <n v="25"/>
    <n v="10"/>
    <n v="7"/>
    <n v="7"/>
    <n v="24"/>
    <n v="9"/>
    <x v="0"/>
  </r>
  <r>
    <x v="271"/>
    <n v="71855"/>
    <n v="0"/>
    <n v="1"/>
    <n v="59"/>
    <n v="548"/>
    <n v="31"/>
    <n v="422"/>
    <n v="0"/>
    <n v="112"/>
    <n v="28"/>
    <n v="4"/>
    <n v="5"/>
    <n v="5"/>
    <n v="11"/>
    <n v="3"/>
    <n v="0"/>
    <n v="0"/>
    <n v="0"/>
    <n v="0"/>
    <n v="0"/>
    <x v="0"/>
    <n v="0"/>
    <n v="3"/>
    <n v="11"/>
    <n v="0"/>
    <n v="43"/>
    <n v="2688"/>
    <n v="7.3643835616438356"/>
    <n v="0"/>
    <n v="1"/>
    <n v="0"/>
    <n v="0"/>
    <n v="0"/>
    <n v="0"/>
    <n v="0"/>
    <n v="1"/>
    <n v="0"/>
    <n v="0"/>
    <n v="1113"/>
    <n v="1085"/>
    <n v="28"/>
    <n v="0"/>
    <x v="0"/>
    <x v="0"/>
    <x v="0"/>
    <x v="0"/>
    <x v="2"/>
    <x v="0"/>
    <n v="1"/>
    <n v="0"/>
    <n v="28"/>
    <n v="4"/>
    <n v="8"/>
    <n v="8"/>
    <n v="20"/>
    <n v="7"/>
    <x v="2"/>
  </r>
  <r>
    <x v="272"/>
    <n v="74716"/>
    <n v="0"/>
    <n v="1"/>
    <n v="92"/>
    <n v="133"/>
    <n v="27"/>
    <n v="421"/>
    <n v="13"/>
    <n v="195"/>
    <n v="71"/>
    <n v="2"/>
    <n v="7"/>
    <n v="3"/>
    <n v="5"/>
    <n v="4"/>
    <n v="0"/>
    <n v="0"/>
    <n v="0"/>
    <n v="0"/>
    <n v="0"/>
    <x v="0"/>
    <n v="0"/>
    <n v="3"/>
    <n v="11"/>
    <n v="0"/>
    <n v="48"/>
    <n v="2449"/>
    <n v="6.7095890410958905"/>
    <n v="0"/>
    <n v="1"/>
    <n v="0"/>
    <n v="0"/>
    <n v="0"/>
    <n v="0"/>
    <n v="0"/>
    <n v="1"/>
    <n v="0"/>
    <n v="0"/>
    <n v="789"/>
    <n v="718"/>
    <n v="71"/>
    <n v="0"/>
    <x v="0"/>
    <x v="0"/>
    <x v="0"/>
    <x v="0"/>
    <x v="2"/>
    <x v="0"/>
    <n v="1"/>
    <n v="1"/>
    <n v="21"/>
    <n v="0.99999999999999978"/>
    <n v="5"/>
    <n v="6"/>
    <n v="12"/>
    <n v="3"/>
    <x v="3"/>
  </r>
  <r>
    <x v="273"/>
    <n v="66582"/>
    <n v="0"/>
    <n v="0"/>
    <n v="83"/>
    <n v="789"/>
    <n v="25"/>
    <n v="420"/>
    <n v="16"/>
    <n v="38"/>
    <n v="0"/>
    <n v="1"/>
    <n v="2"/>
    <n v="8"/>
    <n v="9"/>
    <n v="1"/>
    <n v="0"/>
    <n v="0"/>
    <n v="0"/>
    <n v="0"/>
    <n v="0"/>
    <x v="0"/>
    <n v="0"/>
    <n v="3"/>
    <n v="11"/>
    <n v="0"/>
    <n v="51"/>
    <n v="2277"/>
    <n v="6.2383561643835614"/>
    <n v="0"/>
    <n v="0"/>
    <n v="1"/>
    <n v="0"/>
    <n v="0"/>
    <n v="0"/>
    <n v="0"/>
    <n v="0"/>
    <n v="0"/>
    <n v="1"/>
    <n v="1288"/>
    <n v="1288"/>
    <n v="0"/>
    <n v="0"/>
    <x v="1"/>
    <x v="1"/>
    <x v="1"/>
    <x v="1"/>
    <x v="2"/>
    <x v="1"/>
    <n v="1"/>
    <n v="0"/>
    <n v="21"/>
    <n v="1.9999999999999996"/>
    <n v="5"/>
    <n v="8"/>
    <n v="15"/>
    <n v="4"/>
    <x v="3"/>
  </r>
  <r>
    <x v="274"/>
    <n v="73059"/>
    <n v="0"/>
    <n v="1"/>
    <n v="36"/>
    <n v="410"/>
    <n v="112"/>
    <n v="420"/>
    <n v="0"/>
    <n v="82"/>
    <n v="71"/>
    <n v="1"/>
    <n v="9"/>
    <n v="3"/>
    <n v="13"/>
    <n v="4"/>
    <n v="0"/>
    <n v="0"/>
    <n v="0"/>
    <n v="0"/>
    <n v="0"/>
    <x v="0"/>
    <n v="0"/>
    <n v="3"/>
    <n v="11"/>
    <n v="0"/>
    <n v="73"/>
    <n v="2461"/>
    <n v="6.7424657534246579"/>
    <n v="0"/>
    <n v="0"/>
    <n v="0"/>
    <n v="1"/>
    <n v="0"/>
    <n v="0"/>
    <n v="0"/>
    <n v="0"/>
    <n v="0"/>
    <n v="1"/>
    <n v="1024"/>
    <n v="953"/>
    <n v="71"/>
    <n v="0"/>
    <x v="0"/>
    <x v="0"/>
    <x v="2"/>
    <x v="1"/>
    <x v="2"/>
    <x v="2"/>
    <n v="1"/>
    <n v="0"/>
    <n v="30"/>
    <n v="7"/>
    <n v="8"/>
    <n v="7"/>
    <n v="22"/>
    <n v="8"/>
    <x v="2"/>
  </r>
  <r>
    <x v="275"/>
    <n v="82733"/>
    <n v="0"/>
    <n v="0"/>
    <n v="28"/>
    <n v="712"/>
    <n v="50"/>
    <n v="420"/>
    <n v="65"/>
    <n v="38"/>
    <n v="38"/>
    <n v="1"/>
    <n v="8"/>
    <n v="4"/>
    <n v="7"/>
    <n v="4"/>
    <n v="0"/>
    <n v="0"/>
    <n v="0"/>
    <n v="0"/>
    <n v="0"/>
    <x v="0"/>
    <n v="0"/>
    <n v="3"/>
    <n v="11"/>
    <n v="1"/>
    <n v="36"/>
    <n v="2451"/>
    <n v="6.7150684931506852"/>
    <n v="0"/>
    <n v="0"/>
    <n v="1"/>
    <n v="0"/>
    <n v="0"/>
    <n v="0"/>
    <n v="0"/>
    <n v="0"/>
    <n v="0"/>
    <n v="1"/>
    <n v="1285"/>
    <n v="1247"/>
    <n v="38"/>
    <n v="0"/>
    <x v="1"/>
    <x v="1"/>
    <x v="1"/>
    <x v="1"/>
    <x v="1"/>
    <x v="3"/>
    <n v="0"/>
    <n v="0"/>
    <n v="24"/>
    <n v="8"/>
    <n v="6"/>
    <n v="8"/>
    <n v="22"/>
    <n v="8"/>
    <x v="2"/>
  </r>
  <r>
    <x v="276"/>
    <n v="72282"/>
    <n v="0"/>
    <n v="0"/>
    <n v="70"/>
    <n v="503"/>
    <n v="27"/>
    <n v="419"/>
    <n v="90"/>
    <n v="139"/>
    <n v="153"/>
    <n v="1"/>
    <n v="5"/>
    <n v="7"/>
    <n v="9"/>
    <n v="7"/>
    <n v="0"/>
    <n v="0"/>
    <n v="0"/>
    <n v="0"/>
    <n v="0"/>
    <x v="0"/>
    <n v="0"/>
    <n v="3"/>
    <n v="11"/>
    <n v="1"/>
    <n v="69"/>
    <n v="2504"/>
    <n v="6.86027397260274"/>
    <n v="0"/>
    <n v="0"/>
    <n v="1"/>
    <n v="0"/>
    <n v="0"/>
    <n v="0"/>
    <n v="0"/>
    <n v="1"/>
    <n v="0"/>
    <n v="0"/>
    <n v="1178"/>
    <n v="1025"/>
    <n v="153"/>
    <n v="0"/>
    <x v="1"/>
    <x v="1"/>
    <x v="1"/>
    <x v="0"/>
    <x v="2"/>
    <x v="2"/>
    <n v="1"/>
    <n v="0"/>
    <n v="29"/>
    <n v="3.0000000000000004"/>
    <n v="8"/>
    <n v="8"/>
    <n v="19"/>
    <n v="7"/>
    <x v="2"/>
  </r>
  <r>
    <x v="277"/>
    <n v="68281"/>
    <n v="0"/>
    <n v="0"/>
    <n v="31"/>
    <n v="995"/>
    <n v="112"/>
    <n v="417"/>
    <n v="42"/>
    <n v="48"/>
    <n v="41"/>
    <n v="1"/>
    <n v="2"/>
    <n v="9"/>
    <n v="13"/>
    <n v="5"/>
    <n v="0"/>
    <n v="0"/>
    <n v="0"/>
    <n v="0"/>
    <n v="0"/>
    <x v="0"/>
    <n v="0"/>
    <n v="3"/>
    <n v="11"/>
    <n v="1"/>
    <n v="62"/>
    <n v="2850"/>
    <n v="7.8082191780821919"/>
    <n v="0"/>
    <n v="0"/>
    <n v="1"/>
    <n v="0"/>
    <n v="0"/>
    <n v="0"/>
    <n v="0"/>
    <n v="1"/>
    <n v="0"/>
    <n v="0"/>
    <n v="1614"/>
    <n v="1573"/>
    <n v="41"/>
    <n v="0"/>
    <x v="1"/>
    <x v="1"/>
    <x v="1"/>
    <x v="0"/>
    <x v="2"/>
    <x v="2"/>
    <n v="1"/>
    <n v="0"/>
    <n v="30"/>
    <n v="7"/>
    <n v="8"/>
    <n v="9"/>
    <n v="24"/>
    <n v="9"/>
    <x v="0"/>
  </r>
  <r>
    <x v="278"/>
    <n v="83790"/>
    <n v="0"/>
    <n v="0"/>
    <n v="81"/>
    <n v="1076"/>
    <n v="16"/>
    <n v="417"/>
    <n v="42"/>
    <n v="48"/>
    <n v="16"/>
    <n v="1"/>
    <n v="8"/>
    <n v="10"/>
    <n v="6"/>
    <n v="3"/>
    <n v="0"/>
    <n v="0"/>
    <n v="0"/>
    <n v="1"/>
    <n v="1"/>
    <x v="1"/>
    <n v="0"/>
    <n v="3"/>
    <n v="11"/>
    <n v="0"/>
    <n v="72"/>
    <n v="2385"/>
    <n v="6.5342465753424657"/>
    <n v="0"/>
    <n v="1"/>
    <n v="0"/>
    <n v="0"/>
    <n v="0"/>
    <n v="0"/>
    <n v="0"/>
    <n v="0"/>
    <n v="1"/>
    <n v="0"/>
    <n v="1599"/>
    <n v="1583"/>
    <n v="16"/>
    <n v="2"/>
    <x v="1"/>
    <x v="1"/>
    <x v="0"/>
    <x v="1"/>
    <x v="1"/>
    <x v="2"/>
    <n v="1"/>
    <n v="0"/>
    <n v="28"/>
    <n v="1.9999999999999996"/>
    <n v="8"/>
    <n v="9"/>
    <n v="19"/>
    <n v="7"/>
    <x v="2"/>
  </r>
  <r>
    <x v="279"/>
    <n v="94472"/>
    <n v="0"/>
    <n v="1"/>
    <n v="75"/>
    <n v="1017"/>
    <n v="33"/>
    <n v="417"/>
    <n v="108"/>
    <n v="100"/>
    <n v="16"/>
    <n v="1"/>
    <n v="5"/>
    <n v="5"/>
    <n v="5"/>
    <n v="5"/>
    <n v="0"/>
    <n v="0"/>
    <n v="0"/>
    <n v="1"/>
    <n v="1"/>
    <x v="1"/>
    <n v="0"/>
    <n v="3"/>
    <n v="11"/>
    <n v="0"/>
    <n v="62"/>
    <n v="2246"/>
    <n v="6.1534246575342468"/>
    <n v="0"/>
    <n v="0"/>
    <n v="1"/>
    <n v="0"/>
    <n v="0"/>
    <n v="0"/>
    <n v="0"/>
    <n v="1"/>
    <n v="0"/>
    <n v="0"/>
    <n v="1675"/>
    <n v="1659"/>
    <n v="16"/>
    <n v="2"/>
    <x v="0"/>
    <x v="0"/>
    <x v="1"/>
    <x v="0"/>
    <x v="1"/>
    <x v="2"/>
    <n v="1"/>
    <n v="0"/>
    <n v="21"/>
    <n v="3.0000000000000004"/>
    <n v="5"/>
    <n v="9"/>
    <n v="17"/>
    <n v="6"/>
    <x v="1"/>
  </r>
  <r>
    <x v="280"/>
    <n v="73450"/>
    <n v="0"/>
    <n v="0"/>
    <n v="85"/>
    <n v="1142"/>
    <n v="51"/>
    <n v="415"/>
    <n v="90"/>
    <n v="69"/>
    <n v="37"/>
    <n v="1"/>
    <n v="7"/>
    <n v="8"/>
    <n v="11"/>
    <n v="3"/>
    <n v="1"/>
    <n v="0"/>
    <n v="1"/>
    <n v="0"/>
    <n v="0"/>
    <x v="1"/>
    <n v="0"/>
    <n v="3"/>
    <n v="11"/>
    <n v="0"/>
    <n v="38"/>
    <n v="2365"/>
    <n v="6.4794520547945202"/>
    <n v="0"/>
    <n v="0"/>
    <n v="0"/>
    <n v="1"/>
    <n v="0"/>
    <n v="0"/>
    <n v="0"/>
    <n v="0"/>
    <n v="1"/>
    <n v="0"/>
    <n v="1767"/>
    <n v="1730"/>
    <n v="37"/>
    <n v="2"/>
    <x v="1"/>
    <x v="1"/>
    <x v="2"/>
    <x v="1"/>
    <x v="2"/>
    <x v="3"/>
    <n v="1"/>
    <n v="0"/>
    <n v="30"/>
    <n v="1.9999999999999996"/>
    <n v="8"/>
    <n v="9"/>
    <n v="19"/>
    <n v="7"/>
    <x v="2"/>
  </r>
  <r>
    <x v="281"/>
    <n v="76081"/>
    <n v="0"/>
    <n v="0"/>
    <n v="85"/>
    <n v="292"/>
    <n v="30"/>
    <n v="415"/>
    <n v="63"/>
    <n v="33"/>
    <n v="200"/>
    <n v="1"/>
    <n v="4"/>
    <n v="5"/>
    <n v="4"/>
    <n v="2"/>
    <n v="1"/>
    <n v="0"/>
    <n v="0"/>
    <n v="0"/>
    <n v="0"/>
    <x v="1"/>
    <n v="0"/>
    <n v="3"/>
    <n v="11"/>
    <n v="0"/>
    <n v="58"/>
    <n v="2196"/>
    <n v="6.0164383561643833"/>
    <n v="0"/>
    <n v="0"/>
    <n v="0"/>
    <n v="1"/>
    <n v="0"/>
    <n v="0"/>
    <n v="0"/>
    <n v="1"/>
    <n v="0"/>
    <n v="0"/>
    <n v="833"/>
    <n v="633"/>
    <n v="200"/>
    <n v="1"/>
    <x v="1"/>
    <x v="1"/>
    <x v="2"/>
    <x v="0"/>
    <x v="1"/>
    <x v="1"/>
    <n v="1"/>
    <n v="0"/>
    <n v="16"/>
    <n v="1.9999999999999996"/>
    <n v="3"/>
    <n v="6"/>
    <n v="11"/>
    <n v="2"/>
    <x v="3"/>
  </r>
  <r>
    <x v="282"/>
    <n v="61787"/>
    <n v="0"/>
    <n v="0"/>
    <n v="71"/>
    <n v="621"/>
    <n v="73"/>
    <n v="414"/>
    <n v="78"/>
    <n v="48"/>
    <n v="85"/>
    <n v="1"/>
    <n v="8"/>
    <n v="4"/>
    <n v="6"/>
    <n v="5"/>
    <n v="0"/>
    <n v="0"/>
    <n v="0"/>
    <n v="0"/>
    <n v="0"/>
    <x v="0"/>
    <n v="0"/>
    <n v="3"/>
    <n v="11"/>
    <n v="0"/>
    <n v="33"/>
    <n v="2517"/>
    <n v="6.8958904109589039"/>
    <n v="1"/>
    <n v="0"/>
    <n v="0"/>
    <n v="0"/>
    <n v="0"/>
    <n v="0"/>
    <n v="0"/>
    <n v="0"/>
    <n v="1"/>
    <n v="0"/>
    <n v="1234"/>
    <n v="1149"/>
    <n v="85"/>
    <n v="0"/>
    <x v="1"/>
    <x v="1"/>
    <x v="3"/>
    <x v="1"/>
    <x v="2"/>
    <x v="3"/>
    <n v="1"/>
    <n v="0"/>
    <n v="24"/>
    <n v="3.0000000000000004"/>
    <n v="6"/>
    <n v="8"/>
    <n v="17"/>
    <n v="6"/>
    <x v="1"/>
  </r>
  <r>
    <x v="283"/>
    <n v="69520"/>
    <n v="0"/>
    <n v="0"/>
    <n v="95"/>
    <n v="627"/>
    <n v="120"/>
    <n v="414"/>
    <n v="121"/>
    <n v="80"/>
    <n v="93"/>
    <n v="1"/>
    <n v="9"/>
    <n v="6"/>
    <n v="5"/>
    <n v="5"/>
    <n v="0"/>
    <n v="0"/>
    <n v="0"/>
    <n v="0"/>
    <n v="0"/>
    <x v="0"/>
    <n v="0"/>
    <n v="3"/>
    <n v="11"/>
    <n v="0"/>
    <n v="37"/>
    <n v="2516"/>
    <n v="6.8931506849315065"/>
    <n v="0"/>
    <n v="1"/>
    <n v="0"/>
    <n v="0"/>
    <n v="0"/>
    <n v="0"/>
    <n v="0"/>
    <n v="1"/>
    <n v="0"/>
    <n v="0"/>
    <n v="1362"/>
    <n v="1269"/>
    <n v="93"/>
    <n v="0"/>
    <x v="1"/>
    <x v="1"/>
    <x v="0"/>
    <x v="0"/>
    <x v="2"/>
    <x v="3"/>
    <n v="1"/>
    <n v="1"/>
    <n v="26"/>
    <n v="0.99999999999999978"/>
    <n v="7"/>
    <n v="8"/>
    <n v="16"/>
    <n v="5"/>
    <x v="1"/>
  </r>
  <r>
    <x v="284"/>
    <n v="84906"/>
    <n v="0"/>
    <n v="0"/>
    <n v="98"/>
    <n v="997"/>
    <n v="15"/>
    <n v="414"/>
    <n v="99"/>
    <n v="30"/>
    <n v="76"/>
    <n v="1"/>
    <n v="5"/>
    <n v="6"/>
    <n v="12"/>
    <n v="2"/>
    <n v="0"/>
    <n v="1"/>
    <n v="0"/>
    <n v="1"/>
    <n v="1"/>
    <x v="1"/>
    <n v="0"/>
    <n v="3"/>
    <n v="11"/>
    <n v="0"/>
    <n v="48"/>
    <n v="2427"/>
    <n v="6.6493150684931503"/>
    <n v="0"/>
    <n v="0"/>
    <n v="0"/>
    <n v="1"/>
    <n v="0"/>
    <n v="0"/>
    <n v="0"/>
    <n v="1"/>
    <n v="0"/>
    <n v="0"/>
    <n v="1555"/>
    <n v="1479"/>
    <n v="76"/>
    <n v="3"/>
    <x v="1"/>
    <x v="1"/>
    <x v="2"/>
    <x v="0"/>
    <x v="1"/>
    <x v="0"/>
    <n v="1"/>
    <n v="1"/>
    <n v="26"/>
    <n v="0.99999999999999978"/>
    <n v="7"/>
    <n v="9"/>
    <n v="17"/>
    <n v="6"/>
    <x v="1"/>
  </r>
  <r>
    <x v="285"/>
    <n v="71853"/>
    <n v="0"/>
    <n v="0"/>
    <n v="29"/>
    <n v="358"/>
    <n v="108"/>
    <n v="413"/>
    <n v="141"/>
    <n v="97"/>
    <n v="32"/>
    <n v="1"/>
    <n v="2"/>
    <n v="8"/>
    <n v="6"/>
    <n v="1"/>
    <n v="0"/>
    <n v="0"/>
    <n v="0"/>
    <n v="0"/>
    <n v="0"/>
    <x v="0"/>
    <n v="0"/>
    <n v="3"/>
    <n v="11"/>
    <n v="0"/>
    <n v="38"/>
    <n v="2576"/>
    <n v="7.0575342465753428"/>
    <n v="0"/>
    <n v="0"/>
    <n v="0"/>
    <n v="1"/>
    <n v="0"/>
    <n v="0"/>
    <n v="0"/>
    <n v="1"/>
    <n v="0"/>
    <n v="0"/>
    <n v="1117"/>
    <n v="1085"/>
    <n v="32"/>
    <n v="0"/>
    <x v="1"/>
    <x v="1"/>
    <x v="2"/>
    <x v="0"/>
    <x v="2"/>
    <x v="3"/>
    <n v="0"/>
    <n v="0"/>
    <n v="18"/>
    <n v="8"/>
    <n v="4"/>
    <n v="8"/>
    <n v="20"/>
    <n v="7"/>
    <x v="2"/>
  </r>
  <r>
    <x v="286"/>
    <n v="75261"/>
    <n v="0"/>
    <n v="0"/>
    <n v="17"/>
    <n v="1239"/>
    <n v="17"/>
    <n v="413"/>
    <n v="23"/>
    <n v="34"/>
    <n v="17"/>
    <n v="1"/>
    <n v="5"/>
    <n v="6"/>
    <n v="5"/>
    <n v="2"/>
    <n v="0"/>
    <n v="0"/>
    <n v="0"/>
    <n v="1"/>
    <n v="1"/>
    <x v="1"/>
    <n v="0"/>
    <n v="3"/>
    <n v="11"/>
    <n v="1"/>
    <n v="65"/>
    <n v="2591"/>
    <n v="7.0986301369863014"/>
    <n v="0"/>
    <n v="0"/>
    <n v="0"/>
    <n v="1"/>
    <n v="0"/>
    <n v="0"/>
    <n v="0"/>
    <n v="0"/>
    <n v="0"/>
    <n v="1"/>
    <n v="1726"/>
    <n v="1709"/>
    <n v="17"/>
    <n v="2"/>
    <x v="1"/>
    <x v="1"/>
    <x v="2"/>
    <x v="1"/>
    <x v="1"/>
    <x v="2"/>
    <n v="0"/>
    <n v="0"/>
    <n v="19"/>
    <n v="9"/>
    <n v="4"/>
    <n v="9"/>
    <n v="22"/>
    <n v="8"/>
    <x v="2"/>
  </r>
  <r>
    <x v="287"/>
    <n v="71691"/>
    <n v="0"/>
    <n v="0"/>
    <n v="0"/>
    <n v="336"/>
    <n v="130"/>
    <n v="411"/>
    <n v="240"/>
    <n v="32"/>
    <n v="43"/>
    <n v="1"/>
    <n v="4"/>
    <n v="7"/>
    <n v="5"/>
    <n v="2"/>
    <n v="0"/>
    <n v="0"/>
    <n v="0"/>
    <n v="0"/>
    <n v="0"/>
    <x v="0"/>
    <n v="0"/>
    <n v="3"/>
    <n v="11"/>
    <n v="1"/>
    <n v="62"/>
    <n v="2263"/>
    <n v="6.2"/>
    <n v="0"/>
    <n v="0"/>
    <n v="1"/>
    <n v="0"/>
    <n v="0"/>
    <n v="0"/>
    <n v="0"/>
    <n v="0"/>
    <n v="0"/>
    <n v="1"/>
    <n v="1149"/>
    <n v="1106"/>
    <n v="43"/>
    <n v="0"/>
    <x v="1"/>
    <x v="1"/>
    <x v="1"/>
    <x v="1"/>
    <x v="2"/>
    <x v="2"/>
    <n v="0"/>
    <n v="0"/>
    <n v="19"/>
    <n v="10"/>
    <n v="4"/>
    <n v="8"/>
    <n v="22"/>
    <n v="8"/>
    <x v="2"/>
  </r>
  <r>
    <x v="288"/>
    <n v="72099"/>
    <n v="0"/>
    <n v="0"/>
    <n v="18"/>
    <n v="546"/>
    <n v="91"/>
    <n v="410"/>
    <n v="119"/>
    <n v="0"/>
    <n v="22"/>
    <n v="1"/>
    <n v="3"/>
    <n v="4"/>
    <n v="10"/>
    <n v="1"/>
    <n v="0"/>
    <n v="0"/>
    <n v="0"/>
    <n v="0"/>
    <n v="0"/>
    <x v="0"/>
    <n v="0"/>
    <n v="3"/>
    <n v="11"/>
    <n v="0"/>
    <n v="46"/>
    <n v="2769"/>
    <n v="7.5863013698630137"/>
    <n v="0"/>
    <n v="1"/>
    <n v="0"/>
    <n v="0"/>
    <n v="0"/>
    <n v="0"/>
    <n v="0"/>
    <n v="1"/>
    <n v="0"/>
    <n v="0"/>
    <n v="1166"/>
    <n v="1144"/>
    <n v="22"/>
    <n v="0"/>
    <x v="1"/>
    <x v="1"/>
    <x v="0"/>
    <x v="0"/>
    <x v="2"/>
    <x v="0"/>
    <n v="0"/>
    <n v="0"/>
    <n v="19"/>
    <n v="9"/>
    <n v="4"/>
    <n v="8"/>
    <n v="21"/>
    <n v="8"/>
    <x v="2"/>
  </r>
  <r>
    <x v="289"/>
    <n v="80995"/>
    <n v="0"/>
    <n v="1"/>
    <n v="83"/>
    <n v="860"/>
    <n v="28"/>
    <n v="409"/>
    <n v="73"/>
    <n v="56"/>
    <n v="56"/>
    <n v="1"/>
    <n v="8"/>
    <n v="9"/>
    <n v="4"/>
    <n v="4"/>
    <n v="0"/>
    <n v="0"/>
    <n v="0"/>
    <n v="0"/>
    <n v="0"/>
    <x v="0"/>
    <n v="0"/>
    <n v="3"/>
    <n v="11"/>
    <n v="0"/>
    <n v="62"/>
    <n v="2573"/>
    <n v="7.0493150684931507"/>
    <n v="0"/>
    <n v="0"/>
    <n v="0"/>
    <n v="0"/>
    <n v="1"/>
    <n v="0"/>
    <n v="0"/>
    <n v="0"/>
    <n v="0"/>
    <n v="1"/>
    <n v="1426"/>
    <n v="1370"/>
    <n v="56"/>
    <n v="0"/>
    <x v="0"/>
    <x v="0"/>
    <x v="4"/>
    <x v="1"/>
    <x v="1"/>
    <x v="2"/>
    <n v="1"/>
    <n v="0"/>
    <n v="26"/>
    <n v="1.9999999999999996"/>
    <n v="7"/>
    <n v="8"/>
    <n v="17"/>
    <n v="6"/>
    <x v="1"/>
  </r>
  <r>
    <x v="290"/>
    <n v="68148"/>
    <n v="0"/>
    <n v="0"/>
    <n v="86"/>
    <n v="389"/>
    <n v="66"/>
    <n v="408"/>
    <n v="37"/>
    <n v="57"/>
    <n v="85"/>
    <n v="1"/>
    <n v="4"/>
    <n v="4"/>
    <n v="6"/>
    <n v="2"/>
    <n v="0"/>
    <n v="0"/>
    <n v="0"/>
    <n v="0"/>
    <n v="0"/>
    <x v="0"/>
    <n v="0"/>
    <n v="3"/>
    <n v="11"/>
    <n v="0"/>
    <n v="63"/>
    <n v="2461"/>
    <n v="6.7424657534246579"/>
    <n v="0"/>
    <n v="0"/>
    <n v="0"/>
    <n v="1"/>
    <n v="0"/>
    <n v="0"/>
    <n v="0"/>
    <n v="0"/>
    <n v="1"/>
    <n v="0"/>
    <n v="957"/>
    <n v="872"/>
    <n v="85"/>
    <n v="0"/>
    <x v="1"/>
    <x v="1"/>
    <x v="2"/>
    <x v="1"/>
    <x v="2"/>
    <x v="2"/>
    <n v="1"/>
    <n v="0"/>
    <n v="17"/>
    <n v="1.9999999999999996"/>
    <n v="3"/>
    <n v="7"/>
    <n v="12"/>
    <n v="3"/>
    <x v="3"/>
  </r>
  <r>
    <x v="291"/>
    <n v="89120"/>
    <n v="0"/>
    <n v="0"/>
    <n v="78"/>
    <n v="1168"/>
    <n v="92"/>
    <n v="408"/>
    <n v="72"/>
    <n v="129"/>
    <n v="55"/>
    <n v="1"/>
    <n v="5"/>
    <n v="6"/>
    <n v="7"/>
    <n v="1"/>
    <n v="0"/>
    <n v="0"/>
    <n v="0"/>
    <n v="0"/>
    <n v="1"/>
    <x v="1"/>
    <n v="0"/>
    <n v="3"/>
    <n v="11"/>
    <n v="0"/>
    <n v="61"/>
    <n v="2263"/>
    <n v="6.2"/>
    <n v="0"/>
    <n v="0"/>
    <n v="0"/>
    <n v="1"/>
    <n v="0"/>
    <n v="0"/>
    <n v="0"/>
    <n v="0"/>
    <n v="1"/>
    <n v="0"/>
    <n v="1869"/>
    <n v="1814"/>
    <n v="55"/>
    <n v="1"/>
    <x v="1"/>
    <x v="1"/>
    <x v="2"/>
    <x v="1"/>
    <x v="1"/>
    <x v="2"/>
    <n v="1"/>
    <n v="0"/>
    <n v="20"/>
    <n v="3.0000000000000004"/>
    <n v="4"/>
    <n v="9"/>
    <n v="16"/>
    <n v="5"/>
    <x v="1"/>
  </r>
  <r>
    <x v="292"/>
    <n v="83715"/>
    <n v="0"/>
    <n v="0"/>
    <n v="2"/>
    <n v="318"/>
    <n v="8"/>
    <n v="407"/>
    <n v="150"/>
    <n v="35"/>
    <n v="8"/>
    <n v="1"/>
    <n v="2"/>
    <n v="8"/>
    <n v="13"/>
    <n v="0"/>
    <n v="0"/>
    <n v="0"/>
    <n v="0"/>
    <n v="0"/>
    <n v="0"/>
    <x v="0"/>
    <n v="0"/>
    <n v="3"/>
    <n v="11"/>
    <n v="0"/>
    <n v="58"/>
    <n v="2305"/>
    <n v="6.3150684931506849"/>
    <n v="0"/>
    <n v="1"/>
    <n v="0"/>
    <n v="0"/>
    <n v="0"/>
    <n v="0"/>
    <n v="0"/>
    <n v="1"/>
    <n v="0"/>
    <n v="0"/>
    <n v="918"/>
    <n v="910"/>
    <n v="8"/>
    <n v="0"/>
    <x v="1"/>
    <x v="1"/>
    <x v="0"/>
    <x v="0"/>
    <x v="1"/>
    <x v="1"/>
    <n v="0"/>
    <n v="0"/>
    <n v="24"/>
    <n v="10"/>
    <n v="6"/>
    <n v="7"/>
    <n v="23"/>
    <n v="8"/>
    <x v="2"/>
  </r>
  <r>
    <x v="293"/>
    <n v="66825"/>
    <n v="0"/>
    <n v="0"/>
    <n v="73"/>
    <n v="243"/>
    <n v="101"/>
    <n v="405"/>
    <n v="29"/>
    <n v="40"/>
    <n v="40"/>
    <n v="1"/>
    <n v="4"/>
    <n v="5"/>
    <n v="6"/>
    <n v="2"/>
    <n v="0"/>
    <n v="0"/>
    <n v="0"/>
    <n v="0"/>
    <n v="0"/>
    <x v="0"/>
    <n v="0"/>
    <n v="3"/>
    <n v="11"/>
    <n v="0"/>
    <n v="53"/>
    <n v="2509"/>
    <n v="6.8739726027397259"/>
    <n v="0"/>
    <n v="0"/>
    <n v="0"/>
    <n v="1"/>
    <n v="0"/>
    <n v="0"/>
    <n v="0"/>
    <n v="1"/>
    <n v="0"/>
    <n v="0"/>
    <n v="818"/>
    <n v="778"/>
    <n v="40"/>
    <n v="0"/>
    <x v="1"/>
    <x v="1"/>
    <x v="2"/>
    <x v="0"/>
    <x v="2"/>
    <x v="1"/>
    <n v="1"/>
    <n v="0"/>
    <n v="18"/>
    <n v="3.0000000000000004"/>
    <n v="4"/>
    <n v="6"/>
    <n v="13"/>
    <n v="3"/>
    <x v="3"/>
  </r>
  <r>
    <x v="294"/>
    <n v="84169"/>
    <n v="0"/>
    <n v="0"/>
    <n v="9"/>
    <n v="1478"/>
    <n v="19"/>
    <n v="403"/>
    <n v="0"/>
    <n v="19"/>
    <n v="0"/>
    <n v="1"/>
    <n v="7"/>
    <n v="6"/>
    <n v="6"/>
    <n v="3"/>
    <n v="0"/>
    <n v="0"/>
    <n v="0"/>
    <n v="1"/>
    <n v="1"/>
    <x v="1"/>
    <n v="0"/>
    <n v="3"/>
    <n v="11"/>
    <n v="1"/>
    <n v="38"/>
    <n v="2485"/>
    <n v="6.8082191780821919"/>
    <n v="0"/>
    <n v="1"/>
    <n v="0"/>
    <n v="0"/>
    <n v="0"/>
    <n v="0"/>
    <n v="0"/>
    <n v="0"/>
    <n v="0"/>
    <n v="1"/>
    <n v="1919"/>
    <n v="1919"/>
    <n v="0"/>
    <n v="2"/>
    <x v="1"/>
    <x v="1"/>
    <x v="0"/>
    <x v="1"/>
    <x v="1"/>
    <x v="3"/>
    <n v="0"/>
    <n v="0"/>
    <n v="23"/>
    <n v="10"/>
    <n v="6"/>
    <n v="9"/>
    <n v="25"/>
    <n v="9"/>
    <x v="0"/>
  </r>
  <r>
    <x v="295"/>
    <n v="80982"/>
    <n v="1"/>
    <n v="1"/>
    <n v="48"/>
    <n v="505"/>
    <n v="137"/>
    <n v="401"/>
    <n v="104"/>
    <n v="22"/>
    <n v="22"/>
    <n v="3"/>
    <n v="11"/>
    <n v="5"/>
    <n v="11"/>
    <n v="5"/>
    <n v="0"/>
    <n v="0"/>
    <n v="0"/>
    <n v="0"/>
    <n v="0"/>
    <x v="0"/>
    <n v="1"/>
    <n v="3"/>
    <n v="11"/>
    <n v="0"/>
    <n v="61"/>
    <n v="2696"/>
    <n v="7.3863013698630136"/>
    <n v="0"/>
    <n v="0"/>
    <n v="1"/>
    <n v="0"/>
    <n v="0"/>
    <n v="0"/>
    <n v="0"/>
    <n v="1"/>
    <n v="0"/>
    <n v="0"/>
    <n v="1169"/>
    <n v="1147"/>
    <n v="22"/>
    <n v="0"/>
    <x v="0"/>
    <x v="0"/>
    <x v="1"/>
    <x v="0"/>
    <x v="1"/>
    <x v="2"/>
    <n v="1"/>
    <n v="0"/>
    <n v="35"/>
    <n v="6"/>
    <n v="9"/>
    <n v="8"/>
    <n v="23"/>
    <n v="8"/>
    <x v="2"/>
  </r>
  <r>
    <x v="296"/>
    <n v="75236"/>
    <n v="0"/>
    <n v="1"/>
    <n v="27"/>
    <n v="438"/>
    <n v="66"/>
    <n v="400"/>
    <n v="12"/>
    <n v="38"/>
    <n v="114"/>
    <n v="1"/>
    <n v="8"/>
    <n v="3"/>
    <n v="13"/>
    <n v="4"/>
    <n v="0"/>
    <n v="0"/>
    <n v="0"/>
    <n v="0"/>
    <n v="0"/>
    <x v="0"/>
    <n v="0"/>
    <n v="3"/>
    <n v="11"/>
    <n v="0"/>
    <n v="56"/>
    <n v="2375"/>
    <n v="6.506849315068493"/>
    <n v="0"/>
    <n v="1"/>
    <n v="0"/>
    <n v="0"/>
    <n v="0"/>
    <n v="0"/>
    <n v="0"/>
    <n v="1"/>
    <n v="0"/>
    <n v="0"/>
    <n v="954"/>
    <n v="840"/>
    <n v="114"/>
    <n v="0"/>
    <x v="0"/>
    <x v="0"/>
    <x v="0"/>
    <x v="0"/>
    <x v="1"/>
    <x v="1"/>
    <n v="0"/>
    <n v="0"/>
    <n v="29"/>
    <n v="8"/>
    <n v="8"/>
    <n v="7"/>
    <n v="23"/>
    <n v="8"/>
    <x v="2"/>
  </r>
  <r>
    <x v="297"/>
    <n v="76045"/>
    <n v="0"/>
    <n v="0"/>
    <n v="78"/>
    <n v="760"/>
    <n v="53"/>
    <n v="400"/>
    <n v="17"/>
    <n v="93"/>
    <n v="0"/>
    <n v="1"/>
    <n v="4"/>
    <n v="5"/>
    <n v="11"/>
    <n v="2"/>
    <n v="1"/>
    <n v="0"/>
    <n v="0"/>
    <n v="0"/>
    <n v="0"/>
    <x v="1"/>
    <n v="0"/>
    <n v="3"/>
    <n v="11"/>
    <n v="0"/>
    <n v="60"/>
    <n v="2385"/>
    <n v="6.5342465753424657"/>
    <n v="0"/>
    <n v="0"/>
    <n v="1"/>
    <n v="0"/>
    <n v="0"/>
    <n v="0"/>
    <n v="0"/>
    <n v="0"/>
    <n v="0"/>
    <n v="1"/>
    <n v="1323"/>
    <n v="1323"/>
    <n v="0"/>
    <n v="1"/>
    <x v="1"/>
    <x v="1"/>
    <x v="1"/>
    <x v="1"/>
    <x v="1"/>
    <x v="1"/>
    <n v="1"/>
    <n v="0"/>
    <n v="23"/>
    <n v="3.0000000000000004"/>
    <n v="6"/>
    <n v="8"/>
    <n v="17"/>
    <n v="6"/>
    <x v="1"/>
  </r>
  <r>
    <x v="298"/>
    <n v="77457"/>
    <n v="0"/>
    <n v="0"/>
    <n v="85"/>
    <n v="675"/>
    <n v="11"/>
    <n v="400"/>
    <n v="15"/>
    <n v="45"/>
    <n v="11"/>
    <n v="1"/>
    <n v="2"/>
    <n v="5"/>
    <n v="10"/>
    <n v="1"/>
    <n v="0"/>
    <n v="0"/>
    <n v="0"/>
    <n v="0"/>
    <n v="1"/>
    <x v="1"/>
    <n v="0"/>
    <n v="3"/>
    <n v="11"/>
    <n v="0"/>
    <n v="73"/>
    <n v="2275"/>
    <n v="6.2328767123287667"/>
    <n v="0"/>
    <n v="0"/>
    <n v="1"/>
    <n v="0"/>
    <n v="0"/>
    <n v="0"/>
    <n v="0"/>
    <n v="1"/>
    <n v="0"/>
    <n v="0"/>
    <n v="1146"/>
    <n v="1135"/>
    <n v="11"/>
    <n v="1"/>
    <x v="1"/>
    <x v="1"/>
    <x v="1"/>
    <x v="0"/>
    <x v="1"/>
    <x v="2"/>
    <n v="1"/>
    <n v="0"/>
    <n v="19"/>
    <n v="1.9999999999999996"/>
    <n v="4"/>
    <n v="8"/>
    <n v="14"/>
    <n v="4"/>
    <x v="3"/>
  </r>
  <r>
    <x v="299"/>
    <n v="84219"/>
    <n v="0"/>
    <n v="0"/>
    <n v="27"/>
    <n v="434"/>
    <n v="137"/>
    <n v="400"/>
    <n v="45"/>
    <n v="137"/>
    <n v="45"/>
    <n v="1"/>
    <n v="3"/>
    <n v="4"/>
    <n v="10"/>
    <n v="1"/>
    <n v="0"/>
    <n v="0"/>
    <n v="0"/>
    <n v="0"/>
    <n v="0"/>
    <x v="0"/>
    <n v="0"/>
    <n v="3"/>
    <n v="11"/>
    <n v="0"/>
    <n v="32"/>
    <n v="2306"/>
    <n v="6.3178082191780822"/>
    <n v="0"/>
    <n v="1"/>
    <n v="0"/>
    <n v="0"/>
    <n v="0"/>
    <n v="0"/>
    <n v="0"/>
    <n v="1"/>
    <n v="0"/>
    <n v="0"/>
    <n v="1153"/>
    <n v="1108"/>
    <n v="45"/>
    <n v="0"/>
    <x v="1"/>
    <x v="1"/>
    <x v="0"/>
    <x v="0"/>
    <x v="1"/>
    <x v="3"/>
    <n v="0"/>
    <n v="0"/>
    <n v="19"/>
    <n v="8"/>
    <n v="4"/>
    <n v="8"/>
    <n v="20"/>
    <n v="7"/>
    <x v="2"/>
  </r>
  <r>
    <x v="300"/>
    <n v="60896"/>
    <n v="0"/>
    <n v="1"/>
    <n v="90"/>
    <n v="1013"/>
    <n v="30"/>
    <n v="399"/>
    <n v="60"/>
    <n v="46"/>
    <n v="153"/>
    <n v="3"/>
    <n v="9"/>
    <n v="10"/>
    <n v="4"/>
    <n v="6"/>
    <n v="0"/>
    <n v="0"/>
    <n v="0"/>
    <n v="0"/>
    <n v="0"/>
    <x v="0"/>
    <n v="0"/>
    <n v="3"/>
    <n v="11"/>
    <n v="1"/>
    <n v="56"/>
    <n v="2785"/>
    <n v="7.6301369863013697"/>
    <n v="0"/>
    <n v="1"/>
    <n v="0"/>
    <n v="0"/>
    <n v="0"/>
    <n v="0"/>
    <n v="0"/>
    <n v="0"/>
    <n v="0"/>
    <n v="1"/>
    <n v="1548"/>
    <n v="1395"/>
    <n v="153"/>
    <n v="0"/>
    <x v="0"/>
    <x v="0"/>
    <x v="0"/>
    <x v="1"/>
    <x v="2"/>
    <x v="1"/>
    <n v="1"/>
    <n v="0"/>
    <n v="32"/>
    <n v="0.99999999999999978"/>
    <n v="9"/>
    <n v="9"/>
    <n v="19"/>
    <n v="7"/>
    <x v="2"/>
  </r>
  <r>
    <x v="301"/>
    <n v="61618"/>
    <n v="0"/>
    <n v="0"/>
    <n v="27"/>
    <n v="605"/>
    <n v="91"/>
    <n v="399"/>
    <n v="0"/>
    <n v="45"/>
    <n v="205"/>
    <n v="2"/>
    <n v="3"/>
    <n v="6"/>
    <n v="8"/>
    <n v="3"/>
    <n v="0"/>
    <n v="0"/>
    <n v="0"/>
    <n v="0"/>
    <n v="0"/>
    <x v="0"/>
    <n v="0"/>
    <n v="3"/>
    <n v="11"/>
    <n v="0"/>
    <n v="29"/>
    <n v="2797"/>
    <n v="7.6630136986301371"/>
    <n v="0"/>
    <n v="0"/>
    <n v="1"/>
    <n v="0"/>
    <n v="0"/>
    <n v="1"/>
    <n v="0"/>
    <n v="0"/>
    <n v="0"/>
    <n v="0"/>
    <n v="1140"/>
    <n v="935"/>
    <n v="205"/>
    <n v="0"/>
    <x v="1"/>
    <x v="1"/>
    <x v="1"/>
    <x v="1"/>
    <x v="2"/>
    <x v="4"/>
    <n v="0"/>
    <n v="0"/>
    <n v="22"/>
    <n v="8"/>
    <n v="5"/>
    <n v="8"/>
    <n v="21"/>
    <n v="8"/>
    <x v="2"/>
  </r>
  <r>
    <x v="302"/>
    <n v="62568"/>
    <n v="0"/>
    <n v="1"/>
    <n v="99"/>
    <n v="362"/>
    <n v="17"/>
    <n v="398"/>
    <n v="80"/>
    <n v="35"/>
    <n v="61"/>
    <n v="3"/>
    <n v="5"/>
    <n v="3"/>
    <n v="5"/>
    <n v="4"/>
    <n v="1"/>
    <n v="0"/>
    <n v="0"/>
    <n v="0"/>
    <n v="0"/>
    <x v="1"/>
    <n v="0"/>
    <n v="3"/>
    <n v="11"/>
    <n v="0"/>
    <n v="58"/>
    <n v="2242"/>
    <n v="6.1424657534246574"/>
    <n v="0"/>
    <n v="0"/>
    <n v="0"/>
    <n v="1"/>
    <n v="0"/>
    <n v="0"/>
    <n v="0"/>
    <n v="1"/>
    <n v="0"/>
    <n v="0"/>
    <n v="892"/>
    <n v="831"/>
    <n v="61"/>
    <n v="1"/>
    <x v="0"/>
    <x v="0"/>
    <x v="2"/>
    <x v="0"/>
    <x v="2"/>
    <x v="1"/>
    <n v="1"/>
    <n v="1"/>
    <n v="20"/>
    <n v="0.99999999999999978"/>
    <n v="4"/>
    <n v="7"/>
    <n v="12"/>
    <n v="3"/>
    <x v="3"/>
  </r>
  <r>
    <x v="303"/>
    <n v="80124"/>
    <n v="0"/>
    <n v="0"/>
    <n v="47"/>
    <n v="483"/>
    <n v="84"/>
    <n v="398"/>
    <n v="205"/>
    <n v="84"/>
    <n v="241"/>
    <n v="1"/>
    <n v="3"/>
    <n v="7"/>
    <n v="8"/>
    <n v="1"/>
    <n v="0"/>
    <n v="0"/>
    <n v="1"/>
    <n v="0"/>
    <n v="0"/>
    <x v="1"/>
    <n v="0"/>
    <n v="3"/>
    <n v="11"/>
    <n v="0"/>
    <n v="57"/>
    <n v="2162"/>
    <n v="5.9232876712328766"/>
    <n v="0"/>
    <n v="1"/>
    <n v="0"/>
    <n v="0"/>
    <n v="0"/>
    <n v="0"/>
    <n v="0"/>
    <n v="1"/>
    <n v="0"/>
    <n v="0"/>
    <n v="1254"/>
    <n v="1013"/>
    <n v="241"/>
    <n v="1"/>
    <x v="1"/>
    <x v="1"/>
    <x v="0"/>
    <x v="0"/>
    <x v="1"/>
    <x v="1"/>
    <n v="1"/>
    <n v="0"/>
    <n v="20"/>
    <n v="6"/>
    <n v="4"/>
    <n v="8"/>
    <n v="18"/>
    <n v="6"/>
    <x v="1"/>
  </r>
  <r>
    <x v="304"/>
    <n v="57333"/>
    <n v="0"/>
    <n v="1"/>
    <n v="55"/>
    <n v="941"/>
    <n v="14"/>
    <n v="397"/>
    <n v="76"/>
    <n v="58"/>
    <n v="176"/>
    <n v="11"/>
    <n v="8"/>
    <n v="5"/>
    <n v="9"/>
    <n v="6"/>
    <n v="0"/>
    <n v="0"/>
    <n v="0"/>
    <n v="0"/>
    <n v="0"/>
    <x v="0"/>
    <n v="0"/>
    <n v="3"/>
    <n v="11"/>
    <n v="1"/>
    <n v="66"/>
    <n v="2804"/>
    <n v="7.6821917808219178"/>
    <n v="1"/>
    <n v="0"/>
    <n v="0"/>
    <n v="0"/>
    <n v="0"/>
    <n v="0"/>
    <n v="0"/>
    <n v="0"/>
    <n v="0"/>
    <n v="1"/>
    <n v="1486"/>
    <n v="1310"/>
    <n v="176"/>
    <n v="0"/>
    <x v="0"/>
    <x v="0"/>
    <x v="3"/>
    <x v="1"/>
    <x v="2"/>
    <x v="2"/>
    <n v="1"/>
    <n v="0"/>
    <n v="39"/>
    <n v="5"/>
    <n v="9"/>
    <n v="9"/>
    <n v="23"/>
    <n v="8"/>
    <x v="2"/>
  </r>
  <r>
    <x v="305"/>
    <n v="70123"/>
    <n v="0"/>
    <n v="0"/>
    <n v="27"/>
    <n v="1308"/>
    <n v="0"/>
    <n v="396"/>
    <n v="23"/>
    <n v="0"/>
    <n v="0"/>
    <n v="1"/>
    <n v="5"/>
    <n v="7"/>
    <n v="4"/>
    <n v="3"/>
    <n v="0"/>
    <n v="1"/>
    <n v="0"/>
    <n v="1"/>
    <n v="0"/>
    <x v="1"/>
    <n v="0"/>
    <n v="3"/>
    <n v="11"/>
    <n v="0"/>
    <n v="37"/>
    <n v="2433"/>
    <n v="6.6657534246575345"/>
    <n v="0"/>
    <n v="0"/>
    <n v="0"/>
    <n v="1"/>
    <n v="0"/>
    <n v="0"/>
    <n v="0"/>
    <n v="0"/>
    <n v="0"/>
    <n v="1"/>
    <n v="1727"/>
    <n v="1727"/>
    <n v="0"/>
    <n v="2"/>
    <x v="1"/>
    <x v="1"/>
    <x v="2"/>
    <x v="1"/>
    <x v="2"/>
    <x v="3"/>
    <n v="0"/>
    <n v="0"/>
    <n v="20"/>
    <n v="8"/>
    <n v="4"/>
    <n v="9"/>
    <n v="21"/>
    <n v="8"/>
    <x v="2"/>
  </r>
  <r>
    <x v="306"/>
    <n v="77520"/>
    <n v="0"/>
    <n v="1"/>
    <n v="30"/>
    <n v="940"/>
    <n v="44"/>
    <n v="396"/>
    <n v="0"/>
    <n v="88"/>
    <n v="58"/>
    <n v="1"/>
    <n v="8"/>
    <n v="7"/>
    <n v="7"/>
    <n v="4"/>
    <n v="1"/>
    <n v="0"/>
    <n v="1"/>
    <n v="0"/>
    <n v="1"/>
    <x v="1"/>
    <n v="0"/>
    <n v="3"/>
    <n v="11"/>
    <n v="1"/>
    <n v="61"/>
    <n v="2464"/>
    <n v="6.7506849315068491"/>
    <n v="0"/>
    <n v="1"/>
    <n v="0"/>
    <n v="0"/>
    <n v="0"/>
    <n v="0"/>
    <n v="0"/>
    <n v="0"/>
    <n v="1"/>
    <n v="0"/>
    <n v="1468"/>
    <n v="1410"/>
    <n v="58"/>
    <n v="3"/>
    <x v="0"/>
    <x v="0"/>
    <x v="0"/>
    <x v="1"/>
    <x v="1"/>
    <x v="2"/>
    <n v="0"/>
    <n v="0"/>
    <n v="27"/>
    <n v="7"/>
    <n v="7"/>
    <n v="8"/>
    <n v="22"/>
    <n v="8"/>
    <x v="2"/>
  </r>
  <r>
    <x v="307"/>
    <n v="77568"/>
    <n v="0"/>
    <n v="1"/>
    <n v="30"/>
    <n v="1230"/>
    <n v="0"/>
    <n v="396"/>
    <n v="232"/>
    <n v="178"/>
    <n v="158"/>
    <n v="1"/>
    <n v="10"/>
    <n v="2"/>
    <n v="8"/>
    <n v="5"/>
    <n v="1"/>
    <n v="0"/>
    <n v="0"/>
    <n v="1"/>
    <n v="1"/>
    <x v="1"/>
    <n v="0"/>
    <n v="3"/>
    <n v="11"/>
    <n v="0"/>
    <n v="41"/>
    <n v="2832"/>
    <n v="7.7589041095890412"/>
    <n v="0"/>
    <n v="0"/>
    <n v="0"/>
    <n v="1"/>
    <n v="0"/>
    <n v="0"/>
    <n v="0"/>
    <n v="1"/>
    <n v="0"/>
    <n v="0"/>
    <n v="2036"/>
    <n v="1878"/>
    <n v="158"/>
    <n v="3"/>
    <x v="0"/>
    <x v="0"/>
    <x v="2"/>
    <x v="0"/>
    <x v="1"/>
    <x v="0"/>
    <n v="0"/>
    <n v="0"/>
    <n v="26"/>
    <n v="7"/>
    <n v="7"/>
    <n v="9"/>
    <n v="23"/>
    <n v="8"/>
    <x v="2"/>
  </r>
  <r>
    <x v="308"/>
    <n v="77882"/>
    <n v="0"/>
    <n v="0"/>
    <n v="29"/>
    <n v="68"/>
    <n v="129"/>
    <n v="396"/>
    <n v="188"/>
    <n v="22"/>
    <n v="15"/>
    <n v="1"/>
    <n v="3"/>
    <n v="3"/>
    <n v="5"/>
    <n v="1"/>
    <n v="0"/>
    <n v="0"/>
    <n v="0"/>
    <n v="0"/>
    <n v="0"/>
    <x v="0"/>
    <n v="0"/>
    <n v="3"/>
    <n v="11"/>
    <n v="0"/>
    <n v="39"/>
    <n v="2219"/>
    <n v="6.0794520547945208"/>
    <n v="0"/>
    <n v="0"/>
    <n v="0"/>
    <n v="1"/>
    <n v="0"/>
    <n v="0"/>
    <n v="0"/>
    <n v="0"/>
    <n v="1"/>
    <n v="0"/>
    <n v="803"/>
    <n v="788"/>
    <n v="15"/>
    <n v="0"/>
    <x v="1"/>
    <x v="1"/>
    <x v="2"/>
    <x v="1"/>
    <x v="1"/>
    <x v="3"/>
    <n v="0"/>
    <n v="0"/>
    <n v="13"/>
    <n v="8"/>
    <n v="1"/>
    <n v="6"/>
    <n v="15"/>
    <n v="4"/>
    <x v="3"/>
  </r>
  <r>
    <x v="309"/>
    <n v="85696"/>
    <n v="0"/>
    <n v="0"/>
    <n v="88"/>
    <n v="714"/>
    <n v="76"/>
    <n v="395"/>
    <n v="116"/>
    <n v="0"/>
    <n v="12"/>
    <n v="1"/>
    <n v="4"/>
    <n v="6"/>
    <n v="9"/>
    <n v="1"/>
    <n v="0"/>
    <n v="0"/>
    <n v="0"/>
    <n v="0"/>
    <n v="0"/>
    <x v="0"/>
    <n v="0"/>
    <n v="3"/>
    <n v="11"/>
    <n v="1"/>
    <n v="58"/>
    <n v="2581"/>
    <n v="7.0712328767123287"/>
    <n v="1"/>
    <n v="0"/>
    <n v="0"/>
    <n v="0"/>
    <n v="0"/>
    <n v="0"/>
    <n v="0"/>
    <n v="0"/>
    <n v="0"/>
    <n v="1"/>
    <n v="1301"/>
    <n v="1289"/>
    <n v="12"/>
    <n v="0"/>
    <x v="1"/>
    <x v="1"/>
    <x v="3"/>
    <x v="1"/>
    <x v="1"/>
    <x v="1"/>
    <n v="1"/>
    <n v="0"/>
    <n v="21"/>
    <n v="1.9999999999999996"/>
    <n v="5"/>
    <n v="8"/>
    <n v="15"/>
    <n v="4"/>
    <x v="3"/>
  </r>
  <r>
    <x v="310"/>
    <n v="74250"/>
    <n v="0"/>
    <n v="0"/>
    <n v="90"/>
    <n v="680"/>
    <n v="11"/>
    <n v="392"/>
    <n v="75"/>
    <n v="0"/>
    <n v="0"/>
    <n v="1"/>
    <n v="2"/>
    <n v="11"/>
    <n v="4"/>
    <n v="1"/>
    <n v="0"/>
    <n v="0"/>
    <n v="0"/>
    <n v="0"/>
    <n v="0"/>
    <x v="0"/>
    <n v="0"/>
    <n v="3"/>
    <n v="11"/>
    <n v="0"/>
    <n v="62"/>
    <n v="2313"/>
    <n v="6.3369863013698629"/>
    <n v="0"/>
    <n v="0"/>
    <n v="0"/>
    <n v="1"/>
    <n v="0"/>
    <n v="0"/>
    <n v="0"/>
    <n v="0"/>
    <n v="0"/>
    <n v="1"/>
    <n v="1158"/>
    <n v="1158"/>
    <n v="0"/>
    <n v="0"/>
    <x v="1"/>
    <x v="1"/>
    <x v="2"/>
    <x v="1"/>
    <x v="2"/>
    <x v="2"/>
    <n v="1"/>
    <n v="0"/>
    <n v="19"/>
    <n v="0.99999999999999978"/>
    <n v="4"/>
    <n v="8"/>
    <n v="13"/>
    <n v="3"/>
    <x v="3"/>
  </r>
  <r>
    <x v="311"/>
    <n v="78285"/>
    <n v="0"/>
    <n v="0"/>
    <n v="13"/>
    <n v="647"/>
    <n v="107"/>
    <n v="391"/>
    <n v="175"/>
    <n v="67"/>
    <n v="40"/>
    <n v="1"/>
    <n v="6"/>
    <n v="4"/>
    <n v="10"/>
    <n v="3"/>
    <n v="0"/>
    <n v="0"/>
    <n v="0"/>
    <n v="0"/>
    <n v="0"/>
    <x v="0"/>
    <n v="0"/>
    <n v="3"/>
    <n v="11"/>
    <n v="0"/>
    <n v="32"/>
    <n v="2403"/>
    <n v="6.5835616438356164"/>
    <n v="0"/>
    <n v="1"/>
    <n v="0"/>
    <n v="0"/>
    <n v="0"/>
    <n v="0"/>
    <n v="0"/>
    <n v="0"/>
    <n v="1"/>
    <n v="0"/>
    <n v="1387"/>
    <n v="1347"/>
    <n v="40"/>
    <n v="0"/>
    <x v="1"/>
    <x v="1"/>
    <x v="0"/>
    <x v="1"/>
    <x v="1"/>
    <x v="3"/>
    <n v="0"/>
    <n v="0"/>
    <n v="24"/>
    <n v="9"/>
    <n v="6"/>
    <n v="8"/>
    <n v="23"/>
    <n v="8"/>
    <x v="2"/>
  </r>
  <r>
    <x v="312"/>
    <n v="85072"/>
    <n v="0"/>
    <n v="0"/>
    <n v="94"/>
    <n v="494"/>
    <n v="92"/>
    <n v="391"/>
    <n v="194"/>
    <n v="11"/>
    <n v="241"/>
    <n v="1"/>
    <n v="3"/>
    <n v="4"/>
    <n v="10"/>
    <n v="0"/>
    <n v="0"/>
    <n v="0"/>
    <n v="0"/>
    <n v="0"/>
    <n v="0"/>
    <x v="0"/>
    <n v="0"/>
    <n v="3"/>
    <n v="11"/>
    <n v="0"/>
    <n v="43"/>
    <n v="2240"/>
    <n v="6.1369863013698627"/>
    <n v="0"/>
    <n v="0"/>
    <n v="1"/>
    <n v="0"/>
    <n v="0"/>
    <n v="0"/>
    <n v="0"/>
    <n v="1"/>
    <n v="0"/>
    <n v="0"/>
    <n v="1182"/>
    <n v="941"/>
    <n v="241"/>
    <n v="0"/>
    <x v="1"/>
    <x v="1"/>
    <x v="1"/>
    <x v="0"/>
    <x v="1"/>
    <x v="0"/>
    <n v="1"/>
    <n v="1"/>
    <n v="18"/>
    <n v="0.99999999999999978"/>
    <n v="4"/>
    <n v="8"/>
    <n v="13"/>
    <n v="3"/>
    <x v="3"/>
  </r>
  <r>
    <x v="313"/>
    <n v="71367"/>
    <n v="0"/>
    <n v="0"/>
    <n v="24"/>
    <n v="227"/>
    <n v="23"/>
    <n v="389"/>
    <n v="42"/>
    <n v="21"/>
    <n v="75"/>
    <n v="1"/>
    <n v="4"/>
    <n v="5"/>
    <n v="7"/>
    <n v="2"/>
    <n v="0"/>
    <n v="0"/>
    <n v="0"/>
    <n v="0"/>
    <n v="0"/>
    <x v="0"/>
    <n v="0"/>
    <n v="3"/>
    <n v="11"/>
    <n v="0"/>
    <n v="61"/>
    <n v="2469"/>
    <n v="6.7643835616438359"/>
    <n v="0"/>
    <n v="0"/>
    <n v="0"/>
    <n v="1"/>
    <n v="0"/>
    <n v="0"/>
    <n v="0"/>
    <n v="1"/>
    <n v="0"/>
    <n v="0"/>
    <n v="702"/>
    <n v="627"/>
    <n v="75"/>
    <n v="0"/>
    <x v="1"/>
    <x v="1"/>
    <x v="2"/>
    <x v="0"/>
    <x v="2"/>
    <x v="2"/>
    <n v="0"/>
    <n v="0"/>
    <n v="19"/>
    <n v="8"/>
    <n v="4"/>
    <n v="6"/>
    <n v="18"/>
    <n v="6"/>
    <x v="1"/>
  </r>
  <r>
    <x v="314"/>
    <n v="76005"/>
    <n v="0"/>
    <n v="0"/>
    <n v="72"/>
    <n v="983"/>
    <n v="20"/>
    <n v="389"/>
    <n v="240"/>
    <n v="50"/>
    <n v="40"/>
    <n v="1"/>
    <n v="3"/>
    <n v="5"/>
    <n v="13"/>
    <n v="6"/>
    <n v="1"/>
    <n v="0"/>
    <n v="0"/>
    <n v="0"/>
    <n v="0"/>
    <x v="1"/>
    <n v="0"/>
    <n v="3"/>
    <n v="11"/>
    <n v="0"/>
    <n v="65"/>
    <n v="2651"/>
    <n v="7.2630136986301368"/>
    <n v="0"/>
    <n v="0"/>
    <n v="0"/>
    <n v="1"/>
    <n v="0"/>
    <n v="0"/>
    <n v="0"/>
    <n v="1"/>
    <n v="0"/>
    <n v="0"/>
    <n v="1682"/>
    <n v="1642"/>
    <n v="40"/>
    <n v="1"/>
    <x v="1"/>
    <x v="1"/>
    <x v="2"/>
    <x v="0"/>
    <x v="1"/>
    <x v="2"/>
    <n v="1"/>
    <n v="0"/>
    <n v="28"/>
    <n v="3.0000000000000004"/>
    <n v="8"/>
    <n v="9"/>
    <n v="20"/>
    <n v="7"/>
    <x v="2"/>
  </r>
  <r>
    <x v="315"/>
    <n v="78468"/>
    <n v="0"/>
    <n v="0"/>
    <n v="29"/>
    <n v="434"/>
    <n v="22"/>
    <n v="388"/>
    <n v="104"/>
    <n v="22"/>
    <n v="34"/>
    <n v="1"/>
    <n v="10"/>
    <n v="7"/>
    <n v="10"/>
    <n v="4"/>
    <n v="1"/>
    <n v="0"/>
    <n v="0"/>
    <n v="0"/>
    <n v="0"/>
    <x v="1"/>
    <n v="0"/>
    <n v="3"/>
    <n v="11"/>
    <n v="0"/>
    <n v="60"/>
    <n v="2240"/>
    <n v="6.1369863013698627"/>
    <n v="0"/>
    <n v="0"/>
    <n v="0"/>
    <n v="1"/>
    <n v="0"/>
    <n v="0"/>
    <n v="0"/>
    <n v="1"/>
    <n v="0"/>
    <n v="0"/>
    <n v="970"/>
    <n v="936"/>
    <n v="34"/>
    <n v="1"/>
    <x v="1"/>
    <x v="1"/>
    <x v="2"/>
    <x v="0"/>
    <x v="1"/>
    <x v="1"/>
    <n v="0"/>
    <n v="0"/>
    <n v="32"/>
    <n v="8"/>
    <n v="9"/>
    <n v="7"/>
    <n v="24"/>
    <n v="9"/>
    <x v="0"/>
  </r>
  <r>
    <x v="316"/>
    <n v="65665"/>
    <n v="0"/>
    <n v="1"/>
    <n v="77"/>
    <n v="225"/>
    <n v="162"/>
    <n v="387"/>
    <n v="106"/>
    <n v="36"/>
    <n v="29"/>
    <n v="1"/>
    <n v="5"/>
    <n v="10"/>
    <n v="8"/>
    <n v="3"/>
    <n v="0"/>
    <n v="0"/>
    <n v="0"/>
    <n v="0"/>
    <n v="0"/>
    <x v="0"/>
    <n v="0"/>
    <n v="3"/>
    <n v="11"/>
    <n v="0"/>
    <n v="44"/>
    <n v="2368"/>
    <n v="6.4876712328767123"/>
    <n v="0"/>
    <n v="1"/>
    <n v="0"/>
    <n v="0"/>
    <n v="0"/>
    <n v="0"/>
    <n v="0"/>
    <n v="1"/>
    <n v="0"/>
    <n v="0"/>
    <n v="916"/>
    <n v="887"/>
    <n v="29"/>
    <n v="0"/>
    <x v="0"/>
    <x v="0"/>
    <x v="0"/>
    <x v="0"/>
    <x v="2"/>
    <x v="0"/>
    <n v="1"/>
    <n v="0"/>
    <n v="27"/>
    <n v="3.0000000000000004"/>
    <n v="7"/>
    <n v="7"/>
    <n v="17"/>
    <n v="6"/>
    <x v="1"/>
  </r>
  <r>
    <x v="317"/>
    <n v="80317"/>
    <n v="0"/>
    <n v="0"/>
    <n v="64"/>
    <n v="536"/>
    <n v="11"/>
    <n v="387"/>
    <n v="149"/>
    <n v="91"/>
    <n v="57"/>
    <n v="1"/>
    <n v="3"/>
    <n v="4"/>
    <n v="10"/>
    <n v="1"/>
    <n v="0"/>
    <n v="0"/>
    <n v="0"/>
    <n v="0"/>
    <n v="0"/>
    <x v="0"/>
    <n v="0"/>
    <n v="3"/>
    <n v="11"/>
    <n v="0"/>
    <n v="65"/>
    <n v="2472"/>
    <n v="6.7726027397260271"/>
    <n v="0"/>
    <n v="0"/>
    <n v="1"/>
    <n v="0"/>
    <n v="0"/>
    <n v="0"/>
    <n v="0"/>
    <n v="1"/>
    <n v="0"/>
    <n v="0"/>
    <n v="1174"/>
    <n v="1117"/>
    <n v="57"/>
    <n v="0"/>
    <x v="1"/>
    <x v="1"/>
    <x v="1"/>
    <x v="0"/>
    <x v="1"/>
    <x v="2"/>
    <n v="1"/>
    <n v="0"/>
    <n v="19"/>
    <n v="4"/>
    <n v="4"/>
    <n v="8"/>
    <n v="16"/>
    <n v="5"/>
    <x v="1"/>
  </r>
  <r>
    <x v="318"/>
    <n v="68487"/>
    <n v="0"/>
    <n v="0"/>
    <n v="48"/>
    <n v="758"/>
    <n v="12"/>
    <n v="385"/>
    <n v="33"/>
    <n v="89"/>
    <n v="89"/>
    <n v="1"/>
    <n v="9"/>
    <n v="7"/>
    <n v="13"/>
    <n v="4"/>
    <n v="0"/>
    <n v="0"/>
    <n v="0"/>
    <n v="0"/>
    <n v="0"/>
    <x v="0"/>
    <n v="0"/>
    <n v="3"/>
    <n v="11"/>
    <n v="0"/>
    <n v="32"/>
    <n v="2691"/>
    <n v="7.3726027397260276"/>
    <n v="0"/>
    <n v="1"/>
    <n v="0"/>
    <n v="0"/>
    <n v="0"/>
    <n v="0"/>
    <n v="0"/>
    <n v="1"/>
    <n v="0"/>
    <n v="0"/>
    <n v="1277"/>
    <n v="1188"/>
    <n v="89"/>
    <n v="0"/>
    <x v="1"/>
    <x v="1"/>
    <x v="0"/>
    <x v="0"/>
    <x v="2"/>
    <x v="3"/>
    <n v="1"/>
    <n v="0"/>
    <n v="34"/>
    <n v="6"/>
    <n v="9"/>
    <n v="8"/>
    <n v="23"/>
    <n v="8"/>
    <x v="2"/>
  </r>
  <r>
    <x v="319"/>
    <n v="61456"/>
    <n v="0"/>
    <n v="1"/>
    <n v="47"/>
    <n v="563"/>
    <n v="76"/>
    <n v="384"/>
    <n v="84"/>
    <n v="192"/>
    <n v="89"/>
    <n v="4"/>
    <n v="6"/>
    <n v="10"/>
    <n v="13"/>
    <n v="4"/>
    <n v="0"/>
    <n v="0"/>
    <n v="0"/>
    <n v="0"/>
    <n v="0"/>
    <x v="0"/>
    <n v="0"/>
    <n v="3"/>
    <n v="11"/>
    <n v="0"/>
    <n v="45"/>
    <n v="2618"/>
    <n v="7.1726027397260275"/>
    <n v="0"/>
    <n v="1"/>
    <n v="0"/>
    <n v="0"/>
    <n v="0"/>
    <n v="0"/>
    <n v="0"/>
    <n v="1"/>
    <n v="0"/>
    <n v="0"/>
    <n v="1299"/>
    <n v="1210"/>
    <n v="89"/>
    <n v="0"/>
    <x v="0"/>
    <x v="0"/>
    <x v="0"/>
    <x v="0"/>
    <x v="2"/>
    <x v="0"/>
    <n v="1"/>
    <n v="0"/>
    <n v="37"/>
    <n v="6"/>
    <n v="9"/>
    <n v="8"/>
    <n v="23"/>
    <n v="8"/>
    <x v="2"/>
  </r>
  <r>
    <x v="320"/>
    <n v="68743"/>
    <n v="0"/>
    <n v="0"/>
    <n v="81"/>
    <n v="1132"/>
    <n v="134"/>
    <n v="384"/>
    <n v="175"/>
    <n v="134"/>
    <n v="115"/>
    <n v="1"/>
    <n v="11"/>
    <n v="5"/>
    <n v="13"/>
    <n v="7"/>
    <n v="0"/>
    <n v="0"/>
    <n v="0"/>
    <n v="0"/>
    <n v="0"/>
    <x v="0"/>
    <n v="0"/>
    <n v="3"/>
    <n v="11"/>
    <n v="0"/>
    <n v="53"/>
    <n v="2827"/>
    <n v="7.7452054794520544"/>
    <n v="1"/>
    <n v="0"/>
    <n v="0"/>
    <n v="0"/>
    <n v="0"/>
    <n v="0"/>
    <n v="0"/>
    <n v="1"/>
    <n v="0"/>
    <n v="0"/>
    <n v="1959"/>
    <n v="1844"/>
    <n v="115"/>
    <n v="0"/>
    <x v="1"/>
    <x v="1"/>
    <x v="3"/>
    <x v="0"/>
    <x v="2"/>
    <x v="1"/>
    <n v="1"/>
    <n v="0"/>
    <n v="37"/>
    <n v="1.9999999999999996"/>
    <n v="9"/>
    <n v="9"/>
    <n v="20"/>
    <n v="7"/>
    <x v="2"/>
  </r>
  <r>
    <x v="321"/>
    <n v="77583"/>
    <n v="0"/>
    <n v="0"/>
    <n v="93"/>
    <n v="372"/>
    <n v="23"/>
    <n v="384"/>
    <n v="250"/>
    <n v="12"/>
    <n v="108"/>
    <n v="1"/>
    <n v="4"/>
    <n v="5"/>
    <n v="9"/>
    <n v="2"/>
    <n v="1"/>
    <n v="0"/>
    <n v="0"/>
    <n v="0"/>
    <n v="0"/>
    <x v="1"/>
    <n v="0"/>
    <n v="3"/>
    <n v="11"/>
    <n v="0"/>
    <n v="42"/>
    <n v="2298"/>
    <n v="6.2958904109589042"/>
    <n v="0"/>
    <n v="1"/>
    <n v="0"/>
    <n v="0"/>
    <n v="0"/>
    <n v="0"/>
    <n v="0"/>
    <n v="1"/>
    <n v="0"/>
    <n v="0"/>
    <n v="1041"/>
    <n v="933"/>
    <n v="108"/>
    <n v="1"/>
    <x v="1"/>
    <x v="1"/>
    <x v="0"/>
    <x v="0"/>
    <x v="1"/>
    <x v="0"/>
    <n v="1"/>
    <n v="1"/>
    <n v="21"/>
    <n v="0.99999999999999978"/>
    <n v="5"/>
    <n v="7"/>
    <n v="13"/>
    <n v="3"/>
    <x v="3"/>
  </r>
  <r>
    <x v="322"/>
    <n v="67023"/>
    <n v="0"/>
    <n v="0"/>
    <n v="93"/>
    <n v="444"/>
    <n v="44"/>
    <n v="382"/>
    <n v="11"/>
    <n v="8"/>
    <n v="17"/>
    <n v="1"/>
    <n v="3"/>
    <n v="7"/>
    <n v="13"/>
    <n v="2"/>
    <n v="0"/>
    <n v="0"/>
    <n v="0"/>
    <n v="0"/>
    <n v="0"/>
    <x v="0"/>
    <n v="1"/>
    <n v="3"/>
    <n v="11"/>
    <n v="0"/>
    <n v="42"/>
    <n v="2276"/>
    <n v="6.2356164383561641"/>
    <n v="0"/>
    <n v="1"/>
    <n v="0"/>
    <n v="0"/>
    <n v="0"/>
    <n v="0"/>
    <n v="0"/>
    <n v="1"/>
    <n v="0"/>
    <n v="0"/>
    <n v="889"/>
    <n v="872"/>
    <n v="17"/>
    <n v="0"/>
    <x v="1"/>
    <x v="1"/>
    <x v="0"/>
    <x v="0"/>
    <x v="2"/>
    <x v="0"/>
    <n v="1"/>
    <n v="1"/>
    <n v="26"/>
    <n v="0.99999999999999978"/>
    <n v="7"/>
    <n v="7"/>
    <n v="15"/>
    <n v="4"/>
    <x v="3"/>
  </r>
  <r>
    <x v="323"/>
    <n v="79823"/>
    <n v="0"/>
    <n v="1"/>
    <n v="6"/>
    <n v="835"/>
    <n v="73"/>
    <n v="380"/>
    <n v="114"/>
    <n v="73"/>
    <n v="43"/>
    <n v="1"/>
    <n v="6"/>
    <n v="9"/>
    <n v="7"/>
    <n v="2"/>
    <n v="0"/>
    <n v="0"/>
    <n v="0"/>
    <n v="1"/>
    <n v="0"/>
    <x v="1"/>
    <n v="0"/>
    <n v="3"/>
    <n v="11"/>
    <n v="0"/>
    <n v="61"/>
    <n v="2249"/>
    <n v="6.161643835616438"/>
    <n v="0"/>
    <n v="1"/>
    <n v="0"/>
    <n v="0"/>
    <n v="0"/>
    <n v="0"/>
    <n v="0"/>
    <n v="1"/>
    <n v="0"/>
    <n v="0"/>
    <n v="1475"/>
    <n v="1432"/>
    <n v="43"/>
    <n v="1"/>
    <x v="0"/>
    <x v="0"/>
    <x v="0"/>
    <x v="0"/>
    <x v="1"/>
    <x v="2"/>
    <n v="0"/>
    <n v="0"/>
    <n v="25"/>
    <n v="10"/>
    <n v="7"/>
    <n v="9"/>
    <n v="26"/>
    <n v="9"/>
    <x v="0"/>
  </r>
  <r>
    <x v="324"/>
    <n v="61839"/>
    <n v="0"/>
    <n v="0"/>
    <n v="20"/>
    <n v="1000"/>
    <n v="155"/>
    <n v="379"/>
    <n v="224"/>
    <n v="17"/>
    <n v="120"/>
    <n v="1"/>
    <n v="4"/>
    <n v="8"/>
    <n v="4"/>
    <n v="8"/>
    <n v="0"/>
    <n v="0"/>
    <n v="0"/>
    <n v="0"/>
    <n v="0"/>
    <x v="0"/>
    <n v="0"/>
    <n v="3"/>
    <n v="11"/>
    <n v="0"/>
    <n v="56"/>
    <n v="2845"/>
    <n v="7.7945205479452051"/>
    <n v="0"/>
    <n v="0"/>
    <n v="1"/>
    <n v="0"/>
    <n v="0"/>
    <n v="0"/>
    <n v="0"/>
    <n v="1"/>
    <n v="0"/>
    <n v="0"/>
    <n v="1775"/>
    <n v="1655"/>
    <n v="120"/>
    <n v="0"/>
    <x v="1"/>
    <x v="1"/>
    <x v="1"/>
    <x v="0"/>
    <x v="2"/>
    <x v="1"/>
    <n v="0"/>
    <n v="0"/>
    <n v="25"/>
    <n v="8"/>
    <n v="7"/>
    <n v="9"/>
    <n v="24"/>
    <n v="9"/>
    <x v="0"/>
  </r>
  <r>
    <x v="325"/>
    <n v="84835"/>
    <n v="0"/>
    <n v="0"/>
    <n v="0"/>
    <n v="189"/>
    <n v="104"/>
    <n v="379"/>
    <n v="111"/>
    <n v="189"/>
    <n v="218"/>
    <n v="1"/>
    <n v="4"/>
    <n v="4"/>
    <n v="6"/>
    <n v="1"/>
    <n v="0"/>
    <n v="0"/>
    <n v="0"/>
    <n v="0"/>
    <n v="0"/>
    <x v="0"/>
    <n v="0"/>
    <n v="3"/>
    <n v="11"/>
    <n v="1"/>
    <n v="50"/>
    <n v="2172"/>
    <n v="5.9506849315068493"/>
    <n v="1"/>
    <n v="0"/>
    <n v="0"/>
    <n v="0"/>
    <n v="0"/>
    <n v="0"/>
    <n v="0"/>
    <n v="1"/>
    <n v="0"/>
    <n v="0"/>
    <n v="972"/>
    <n v="754"/>
    <n v="218"/>
    <n v="0"/>
    <x v="1"/>
    <x v="1"/>
    <x v="3"/>
    <x v="0"/>
    <x v="1"/>
    <x v="0"/>
    <n v="0"/>
    <n v="0"/>
    <n v="16"/>
    <n v="10"/>
    <n v="3"/>
    <n v="7"/>
    <n v="20"/>
    <n v="7"/>
    <x v="2"/>
  </r>
  <r>
    <x v="326"/>
    <n v="82032"/>
    <n v="0"/>
    <n v="0"/>
    <n v="54"/>
    <n v="332"/>
    <n v="194"/>
    <n v="377"/>
    <n v="149"/>
    <n v="125"/>
    <n v="57"/>
    <n v="0"/>
    <n v="4"/>
    <n v="6"/>
    <n v="7"/>
    <n v="1"/>
    <n v="0"/>
    <n v="0"/>
    <n v="0"/>
    <n v="0"/>
    <n v="0"/>
    <x v="0"/>
    <n v="0"/>
    <n v="3"/>
    <n v="11"/>
    <n v="0"/>
    <n v="72"/>
    <n v="2244"/>
    <n v="6.1479452054794521"/>
    <n v="0"/>
    <n v="0"/>
    <n v="0"/>
    <n v="0"/>
    <n v="1"/>
    <n v="0"/>
    <n v="0"/>
    <n v="0"/>
    <n v="0"/>
    <n v="1"/>
    <n v="1177"/>
    <n v="1120"/>
    <n v="57"/>
    <n v="0"/>
    <x v="1"/>
    <x v="1"/>
    <x v="4"/>
    <x v="1"/>
    <x v="1"/>
    <x v="2"/>
    <n v="1"/>
    <n v="0"/>
    <n v="18"/>
    <n v="5"/>
    <n v="4"/>
    <n v="8"/>
    <n v="17"/>
    <n v="6"/>
    <x v="1"/>
  </r>
  <r>
    <x v="327"/>
    <n v="71626"/>
    <n v="0"/>
    <n v="0"/>
    <n v="94"/>
    <n v="546"/>
    <n v="72"/>
    <n v="376"/>
    <n v="94"/>
    <n v="145"/>
    <n v="72"/>
    <n v="1"/>
    <n v="5"/>
    <n v="5"/>
    <n v="8"/>
    <n v="3"/>
    <n v="0"/>
    <n v="0"/>
    <n v="0"/>
    <n v="1"/>
    <n v="0"/>
    <x v="1"/>
    <n v="0"/>
    <n v="3"/>
    <n v="11"/>
    <n v="0"/>
    <n v="41"/>
    <n v="2764"/>
    <n v="7.5726027397260278"/>
    <n v="0"/>
    <n v="1"/>
    <n v="0"/>
    <n v="0"/>
    <n v="0"/>
    <n v="0"/>
    <n v="0"/>
    <n v="1"/>
    <n v="0"/>
    <n v="0"/>
    <n v="1233"/>
    <n v="1161"/>
    <n v="72"/>
    <n v="1"/>
    <x v="1"/>
    <x v="1"/>
    <x v="0"/>
    <x v="0"/>
    <x v="2"/>
    <x v="0"/>
    <n v="1"/>
    <n v="1"/>
    <n v="22"/>
    <n v="0.99999999999999978"/>
    <n v="5"/>
    <n v="8"/>
    <n v="14"/>
    <n v="4"/>
    <x v="3"/>
  </r>
  <r>
    <x v="328"/>
    <n v="85738"/>
    <n v="0"/>
    <n v="0"/>
    <n v="41"/>
    <n v="913"/>
    <n v="26"/>
    <n v="376"/>
    <n v="17"/>
    <n v="26"/>
    <n v="13"/>
    <n v="1"/>
    <n v="3"/>
    <n v="6"/>
    <n v="11"/>
    <n v="1"/>
    <n v="0"/>
    <n v="0"/>
    <n v="0"/>
    <n v="1"/>
    <n v="1"/>
    <x v="1"/>
    <n v="0"/>
    <n v="3"/>
    <n v="11"/>
    <n v="0"/>
    <n v="42"/>
    <n v="2316"/>
    <n v="6.3452054794520549"/>
    <n v="0"/>
    <n v="0"/>
    <n v="0"/>
    <n v="1"/>
    <n v="0"/>
    <n v="0"/>
    <n v="0"/>
    <n v="0"/>
    <n v="1"/>
    <n v="0"/>
    <n v="1358"/>
    <n v="1345"/>
    <n v="13"/>
    <n v="2"/>
    <x v="1"/>
    <x v="1"/>
    <x v="2"/>
    <x v="1"/>
    <x v="1"/>
    <x v="0"/>
    <n v="1"/>
    <n v="0"/>
    <n v="22"/>
    <n v="6"/>
    <n v="5"/>
    <n v="8"/>
    <n v="19"/>
    <n v="7"/>
    <x v="2"/>
  </r>
  <r>
    <x v="329"/>
    <n v="62220"/>
    <n v="0"/>
    <n v="1"/>
    <n v="55"/>
    <n v="799"/>
    <n v="12"/>
    <n v="375"/>
    <n v="16"/>
    <n v="12"/>
    <n v="12"/>
    <n v="5"/>
    <n v="7"/>
    <n v="6"/>
    <n v="5"/>
    <n v="6"/>
    <n v="0"/>
    <n v="0"/>
    <n v="0"/>
    <n v="0"/>
    <n v="0"/>
    <x v="0"/>
    <n v="0"/>
    <n v="3"/>
    <n v="11"/>
    <n v="1"/>
    <n v="48"/>
    <n v="2846"/>
    <n v="7.7972602739726025"/>
    <n v="0"/>
    <n v="0"/>
    <n v="0"/>
    <n v="1"/>
    <n v="0"/>
    <n v="0"/>
    <n v="0"/>
    <n v="0"/>
    <n v="0"/>
    <n v="1"/>
    <n v="1214"/>
    <n v="1202"/>
    <n v="12"/>
    <n v="0"/>
    <x v="0"/>
    <x v="0"/>
    <x v="2"/>
    <x v="1"/>
    <x v="2"/>
    <x v="0"/>
    <n v="1"/>
    <n v="0"/>
    <n v="29"/>
    <n v="5"/>
    <n v="8"/>
    <n v="8"/>
    <n v="21"/>
    <n v="8"/>
    <x v="2"/>
  </r>
  <r>
    <x v="330"/>
    <n v="75507"/>
    <n v="0"/>
    <n v="0"/>
    <n v="56"/>
    <n v="709"/>
    <n v="93"/>
    <n v="374"/>
    <n v="104"/>
    <n v="80"/>
    <n v="80"/>
    <n v="1"/>
    <n v="8"/>
    <n v="6"/>
    <n v="6"/>
    <n v="3"/>
    <n v="0"/>
    <n v="0"/>
    <n v="0"/>
    <n v="0"/>
    <n v="0"/>
    <x v="0"/>
    <n v="0"/>
    <n v="3"/>
    <n v="11"/>
    <n v="0"/>
    <n v="41"/>
    <n v="2217"/>
    <n v="6.0739726027397261"/>
    <n v="0"/>
    <n v="0"/>
    <n v="0"/>
    <n v="1"/>
    <n v="0"/>
    <n v="0"/>
    <n v="0"/>
    <n v="1"/>
    <n v="0"/>
    <n v="0"/>
    <n v="1360"/>
    <n v="1280"/>
    <n v="80"/>
    <n v="0"/>
    <x v="1"/>
    <x v="1"/>
    <x v="2"/>
    <x v="0"/>
    <x v="1"/>
    <x v="0"/>
    <n v="1"/>
    <n v="0"/>
    <n v="24"/>
    <n v="5"/>
    <n v="6"/>
    <n v="8"/>
    <n v="19"/>
    <n v="7"/>
    <x v="2"/>
  </r>
  <r>
    <x v="331"/>
    <n v="69755"/>
    <n v="0"/>
    <n v="0"/>
    <n v="23"/>
    <n v="217"/>
    <n v="77"/>
    <n v="373"/>
    <n v="111"/>
    <n v="23"/>
    <n v="93"/>
    <n v="1"/>
    <n v="3"/>
    <n v="6"/>
    <n v="12"/>
    <n v="1"/>
    <n v="0"/>
    <n v="0"/>
    <n v="0"/>
    <n v="0"/>
    <n v="0"/>
    <x v="0"/>
    <n v="0"/>
    <n v="3"/>
    <n v="11"/>
    <n v="0"/>
    <n v="75"/>
    <n v="2429"/>
    <n v="6.6547945205479451"/>
    <n v="0"/>
    <n v="1"/>
    <n v="0"/>
    <n v="0"/>
    <n v="0"/>
    <n v="0"/>
    <n v="0"/>
    <n v="1"/>
    <n v="0"/>
    <n v="0"/>
    <n v="801"/>
    <n v="708"/>
    <n v="93"/>
    <n v="0"/>
    <x v="1"/>
    <x v="1"/>
    <x v="0"/>
    <x v="0"/>
    <x v="2"/>
    <x v="2"/>
    <n v="0"/>
    <n v="0"/>
    <n v="23"/>
    <n v="8"/>
    <n v="6"/>
    <n v="6"/>
    <n v="20"/>
    <n v="7"/>
    <x v="2"/>
  </r>
  <r>
    <x v="332"/>
    <n v="71163"/>
    <n v="0"/>
    <n v="0"/>
    <n v="30"/>
    <n v="283"/>
    <n v="17"/>
    <n v="372"/>
    <n v="138"/>
    <n v="106"/>
    <n v="44"/>
    <n v="1"/>
    <n v="3"/>
    <n v="8"/>
    <n v="12"/>
    <n v="1"/>
    <n v="0"/>
    <n v="0"/>
    <n v="0"/>
    <n v="0"/>
    <n v="0"/>
    <x v="0"/>
    <n v="0"/>
    <n v="3"/>
    <n v="11"/>
    <n v="0"/>
    <n v="25"/>
    <n v="2271"/>
    <n v="6.2219178082191782"/>
    <n v="0"/>
    <n v="0"/>
    <n v="1"/>
    <n v="0"/>
    <n v="0"/>
    <n v="0"/>
    <n v="0"/>
    <n v="1"/>
    <n v="0"/>
    <n v="0"/>
    <n v="916"/>
    <n v="872"/>
    <n v="44"/>
    <n v="0"/>
    <x v="1"/>
    <x v="1"/>
    <x v="1"/>
    <x v="0"/>
    <x v="2"/>
    <x v="4"/>
    <n v="0"/>
    <n v="0"/>
    <n v="25"/>
    <n v="7"/>
    <n v="7"/>
    <n v="7"/>
    <n v="21"/>
    <n v="8"/>
    <x v="2"/>
  </r>
  <r>
    <x v="333"/>
    <n v="80910"/>
    <n v="0"/>
    <n v="0"/>
    <n v="71"/>
    <n v="160"/>
    <n v="80"/>
    <n v="369"/>
    <n v="67"/>
    <n v="39"/>
    <n v="41"/>
    <n v="1"/>
    <n v="3"/>
    <n v="3"/>
    <n v="8"/>
    <n v="1"/>
    <n v="0"/>
    <n v="0"/>
    <n v="0"/>
    <n v="0"/>
    <n v="0"/>
    <x v="0"/>
    <n v="0"/>
    <n v="3"/>
    <n v="11"/>
    <n v="0"/>
    <n v="34"/>
    <n v="2765"/>
    <n v="7.5753424657534243"/>
    <n v="0"/>
    <n v="0"/>
    <n v="1"/>
    <n v="0"/>
    <n v="0"/>
    <n v="1"/>
    <n v="0"/>
    <n v="0"/>
    <n v="0"/>
    <n v="0"/>
    <n v="715"/>
    <n v="674"/>
    <n v="41"/>
    <n v="0"/>
    <x v="1"/>
    <x v="1"/>
    <x v="1"/>
    <x v="1"/>
    <x v="1"/>
    <x v="3"/>
    <n v="1"/>
    <n v="0"/>
    <n v="16"/>
    <n v="3.0000000000000004"/>
    <n v="3"/>
    <n v="6"/>
    <n v="12"/>
    <n v="3"/>
    <x v="3"/>
  </r>
  <r>
    <x v="334"/>
    <n v="58710"/>
    <n v="0"/>
    <n v="1"/>
    <n v="77"/>
    <n v="440"/>
    <n v="81"/>
    <n v="368"/>
    <n v="0"/>
    <n v="122"/>
    <n v="174"/>
    <n v="6"/>
    <n v="11"/>
    <n v="5"/>
    <n v="9"/>
    <n v="6"/>
    <n v="0"/>
    <n v="0"/>
    <n v="0"/>
    <n v="0"/>
    <n v="0"/>
    <x v="0"/>
    <n v="0"/>
    <n v="3"/>
    <n v="11"/>
    <n v="0"/>
    <n v="50"/>
    <n v="2614"/>
    <n v="7.161643835616438"/>
    <n v="1"/>
    <n v="0"/>
    <n v="0"/>
    <n v="0"/>
    <n v="0"/>
    <n v="0"/>
    <n v="0"/>
    <n v="1"/>
    <n v="0"/>
    <n v="0"/>
    <n v="1011"/>
    <n v="837"/>
    <n v="174"/>
    <n v="0"/>
    <x v="0"/>
    <x v="0"/>
    <x v="3"/>
    <x v="0"/>
    <x v="2"/>
    <x v="0"/>
    <n v="1"/>
    <n v="0"/>
    <n v="37"/>
    <n v="3.0000000000000004"/>
    <n v="9"/>
    <n v="7"/>
    <n v="19"/>
    <n v="7"/>
    <x v="2"/>
  </r>
  <r>
    <x v="335"/>
    <n v="63943"/>
    <n v="0"/>
    <n v="1"/>
    <n v="50"/>
    <n v="423"/>
    <n v="184"/>
    <n v="368"/>
    <n v="13"/>
    <n v="97"/>
    <n v="21"/>
    <n v="1"/>
    <n v="6"/>
    <n v="4"/>
    <n v="6"/>
    <n v="5"/>
    <n v="0"/>
    <n v="0"/>
    <n v="0"/>
    <n v="0"/>
    <n v="0"/>
    <x v="0"/>
    <n v="0"/>
    <n v="3"/>
    <n v="11"/>
    <n v="0"/>
    <n v="64"/>
    <n v="2824"/>
    <n v="7.7369863013698632"/>
    <n v="0"/>
    <n v="1"/>
    <n v="0"/>
    <n v="0"/>
    <n v="0"/>
    <n v="0"/>
    <n v="0"/>
    <n v="1"/>
    <n v="0"/>
    <n v="0"/>
    <n v="1085"/>
    <n v="1064"/>
    <n v="21"/>
    <n v="0"/>
    <x v="0"/>
    <x v="0"/>
    <x v="0"/>
    <x v="0"/>
    <x v="2"/>
    <x v="2"/>
    <n v="1"/>
    <n v="0"/>
    <n v="22"/>
    <n v="5"/>
    <n v="5"/>
    <n v="7"/>
    <n v="17"/>
    <n v="6"/>
    <x v="1"/>
  </r>
  <r>
    <x v="336"/>
    <n v="60230"/>
    <n v="0"/>
    <n v="1"/>
    <n v="78"/>
    <n v="520"/>
    <n v="20"/>
    <n v="367"/>
    <n v="39"/>
    <n v="81"/>
    <n v="40"/>
    <n v="2"/>
    <n v="6"/>
    <n v="3"/>
    <n v="6"/>
    <n v="5"/>
    <n v="0"/>
    <n v="0"/>
    <n v="0"/>
    <n v="0"/>
    <n v="0"/>
    <x v="0"/>
    <n v="0"/>
    <n v="3"/>
    <n v="11"/>
    <n v="0"/>
    <n v="64"/>
    <n v="2564"/>
    <n v="7.0246575342465754"/>
    <n v="0"/>
    <n v="0"/>
    <n v="1"/>
    <n v="0"/>
    <n v="0"/>
    <n v="0"/>
    <n v="0"/>
    <n v="1"/>
    <n v="0"/>
    <n v="0"/>
    <n v="1027"/>
    <n v="987"/>
    <n v="40"/>
    <n v="0"/>
    <x v="0"/>
    <x v="0"/>
    <x v="1"/>
    <x v="0"/>
    <x v="2"/>
    <x v="2"/>
    <n v="1"/>
    <n v="0"/>
    <n v="22"/>
    <n v="3.0000000000000004"/>
    <n v="5"/>
    <n v="7"/>
    <n v="15"/>
    <n v="4"/>
    <x v="3"/>
  </r>
  <r>
    <x v="337"/>
    <n v="70666"/>
    <n v="0"/>
    <n v="0"/>
    <n v="29"/>
    <n v="398"/>
    <n v="40"/>
    <n v="367"/>
    <n v="119"/>
    <n v="122"/>
    <n v="30"/>
    <n v="1"/>
    <n v="7"/>
    <n v="4"/>
    <n v="4"/>
    <n v="4"/>
    <n v="0"/>
    <n v="0"/>
    <n v="0"/>
    <n v="0"/>
    <n v="0"/>
    <x v="0"/>
    <n v="0"/>
    <n v="3"/>
    <n v="11"/>
    <n v="0"/>
    <n v="72"/>
    <n v="2364"/>
    <n v="6.4767123287671229"/>
    <n v="0"/>
    <n v="0"/>
    <n v="0"/>
    <n v="1"/>
    <n v="0"/>
    <n v="0"/>
    <n v="0"/>
    <n v="1"/>
    <n v="0"/>
    <n v="0"/>
    <n v="1046"/>
    <n v="1016"/>
    <n v="30"/>
    <n v="0"/>
    <x v="1"/>
    <x v="1"/>
    <x v="2"/>
    <x v="0"/>
    <x v="2"/>
    <x v="2"/>
    <n v="0"/>
    <n v="0"/>
    <n v="20"/>
    <n v="8"/>
    <n v="4"/>
    <n v="7"/>
    <n v="19"/>
    <n v="7"/>
    <x v="2"/>
  </r>
  <r>
    <x v="338"/>
    <n v="55914"/>
    <n v="0"/>
    <n v="1"/>
    <n v="32"/>
    <n v="384"/>
    <n v="60"/>
    <n v="364"/>
    <n v="119"/>
    <n v="101"/>
    <n v="232"/>
    <n v="4"/>
    <n v="11"/>
    <n v="6"/>
    <n v="8"/>
    <n v="7"/>
    <n v="0"/>
    <n v="0"/>
    <n v="0"/>
    <n v="0"/>
    <n v="0"/>
    <x v="0"/>
    <n v="0"/>
    <n v="3"/>
    <n v="11"/>
    <n v="0"/>
    <n v="45"/>
    <n v="2585"/>
    <n v="7.0821917808219181"/>
    <n v="0"/>
    <n v="0"/>
    <n v="0"/>
    <n v="1"/>
    <n v="0"/>
    <n v="0"/>
    <n v="0"/>
    <n v="1"/>
    <n v="0"/>
    <n v="0"/>
    <n v="1028"/>
    <n v="796"/>
    <n v="232"/>
    <n v="0"/>
    <x v="0"/>
    <x v="0"/>
    <x v="2"/>
    <x v="0"/>
    <x v="2"/>
    <x v="0"/>
    <n v="1"/>
    <n v="0"/>
    <n v="36"/>
    <n v="7"/>
    <n v="9"/>
    <n v="7"/>
    <n v="23"/>
    <n v="8"/>
    <x v="2"/>
  </r>
  <r>
    <x v="339"/>
    <n v="65991"/>
    <n v="0"/>
    <n v="1"/>
    <n v="21"/>
    <n v="507"/>
    <n v="19"/>
    <n v="364"/>
    <n v="25"/>
    <n v="47"/>
    <n v="9"/>
    <n v="3"/>
    <n v="9"/>
    <n v="5"/>
    <n v="10"/>
    <n v="7"/>
    <n v="0"/>
    <n v="0"/>
    <n v="0"/>
    <n v="0"/>
    <n v="0"/>
    <x v="0"/>
    <n v="0"/>
    <n v="3"/>
    <n v="11"/>
    <n v="0"/>
    <n v="44"/>
    <n v="2819"/>
    <n v="7.7232876712328764"/>
    <n v="0"/>
    <n v="1"/>
    <n v="0"/>
    <n v="0"/>
    <n v="0"/>
    <n v="0"/>
    <n v="0"/>
    <n v="1"/>
    <n v="0"/>
    <n v="0"/>
    <n v="962"/>
    <n v="953"/>
    <n v="9"/>
    <n v="0"/>
    <x v="0"/>
    <x v="0"/>
    <x v="0"/>
    <x v="0"/>
    <x v="2"/>
    <x v="0"/>
    <n v="0"/>
    <n v="0"/>
    <n v="34"/>
    <n v="8"/>
    <n v="9"/>
    <n v="7"/>
    <n v="24"/>
    <n v="9"/>
    <x v="0"/>
  </r>
  <r>
    <x v="340"/>
    <n v="69016"/>
    <n v="0"/>
    <n v="1"/>
    <n v="61"/>
    <n v="726"/>
    <n v="53"/>
    <n v="363"/>
    <n v="123"/>
    <n v="107"/>
    <n v="161"/>
    <n v="4"/>
    <n v="8"/>
    <n v="9"/>
    <n v="13"/>
    <n v="5"/>
    <n v="0"/>
    <n v="0"/>
    <n v="0"/>
    <n v="0"/>
    <n v="0"/>
    <x v="0"/>
    <n v="0"/>
    <n v="3"/>
    <n v="11"/>
    <n v="0"/>
    <n v="50"/>
    <n v="2743"/>
    <n v="7.515068493150685"/>
    <n v="0"/>
    <n v="1"/>
    <n v="0"/>
    <n v="0"/>
    <n v="0"/>
    <n v="0"/>
    <n v="0"/>
    <n v="1"/>
    <n v="0"/>
    <n v="0"/>
    <n v="1372"/>
    <n v="1211"/>
    <n v="161"/>
    <n v="0"/>
    <x v="0"/>
    <x v="0"/>
    <x v="0"/>
    <x v="0"/>
    <x v="2"/>
    <x v="0"/>
    <n v="1"/>
    <n v="0"/>
    <n v="39"/>
    <n v="4"/>
    <n v="9"/>
    <n v="8"/>
    <n v="21"/>
    <n v="8"/>
    <x v="2"/>
  </r>
  <r>
    <x v="341"/>
    <n v="73803"/>
    <n v="0"/>
    <n v="1"/>
    <n v="61"/>
    <n v="833"/>
    <n v="80"/>
    <n v="363"/>
    <n v="52"/>
    <n v="26"/>
    <n v="174"/>
    <n v="2"/>
    <n v="9"/>
    <n v="5"/>
    <n v="6"/>
    <n v="6"/>
    <n v="0"/>
    <n v="0"/>
    <n v="1"/>
    <n v="0"/>
    <n v="0"/>
    <x v="1"/>
    <n v="0"/>
    <n v="3"/>
    <n v="11"/>
    <n v="1"/>
    <n v="63"/>
    <n v="2856"/>
    <n v="7.8246575342465752"/>
    <n v="0"/>
    <n v="1"/>
    <n v="0"/>
    <n v="0"/>
    <n v="0"/>
    <n v="0"/>
    <n v="0"/>
    <n v="1"/>
    <n v="0"/>
    <n v="0"/>
    <n v="1354"/>
    <n v="1180"/>
    <n v="174"/>
    <n v="1"/>
    <x v="0"/>
    <x v="0"/>
    <x v="0"/>
    <x v="0"/>
    <x v="2"/>
    <x v="2"/>
    <n v="1"/>
    <n v="0"/>
    <n v="28"/>
    <n v="4"/>
    <n v="8"/>
    <n v="8"/>
    <n v="20"/>
    <n v="7"/>
    <x v="2"/>
  </r>
  <r>
    <x v="342"/>
    <n v="82224"/>
    <n v="0"/>
    <n v="0"/>
    <n v="83"/>
    <n v="307"/>
    <n v="26"/>
    <n v="360"/>
    <n v="138"/>
    <n v="31"/>
    <n v="40"/>
    <n v="1"/>
    <n v="6"/>
    <n v="9"/>
    <n v="5"/>
    <n v="3"/>
    <n v="1"/>
    <n v="0"/>
    <n v="0"/>
    <n v="0"/>
    <n v="0"/>
    <x v="1"/>
    <n v="0"/>
    <n v="3"/>
    <n v="11"/>
    <n v="0"/>
    <n v="56"/>
    <n v="2314"/>
    <n v="6.3397260273972602"/>
    <n v="0"/>
    <n v="1"/>
    <n v="0"/>
    <n v="0"/>
    <n v="0"/>
    <n v="0"/>
    <n v="0"/>
    <n v="1"/>
    <n v="0"/>
    <n v="0"/>
    <n v="862"/>
    <n v="822"/>
    <n v="40"/>
    <n v="1"/>
    <x v="1"/>
    <x v="1"/>
    <x v="0"/>
    <x v="0"/>
    <x v="1"/>
    <x v="1"/>
    <n v="1"/>
    <n v="0"/>
    <n v="24"/>
    <n v="1.9999999999999996"/>
    <n v="6"/>
    <n v="7"/>
    <n v="15"/>
    <n v="4"/>
    <x v="3"/>
  </r>
  <r>
    <x v="343"/>
    <n v="82333"/>
    <n v="0"/>
    <n v="0"/>
    <n v="60"/>
    <n v="1311"/>
    <n v="0"/>
    <n v="359"/>
    <n v="46"/>
    <n v="89"/>
    <n v="17"/>
    <n v="1"/>
    <n v="4"/>
    <n v="3"/>
    <n v="10"/>
    <n v="2"/>
    <n v="0"/>
    <n v="0"/>
    <n v="0"/>
    <n v="0"/>
    <n v="1"/>
    <x v="1"/>
    <n v="0"/>
    <n v="3"/>
    <n v="11"/>
    <n v="1"/>
    <n v="34"/>
    <n v="2615"/>
    <n v="7.1643835616438354"/>
    <n v="0"/>
    <n v="1"/>
    <n v="0"/>
    <n v="0"/>
    <n v="0"/>
    <n v="0"/>
    <n v="0"/>
    <n v="0"/>
    <n v="0"/>
    <n v="1"/>
    <n v="1805"/>
    <n v="1788"/>
    <n v="17"/>
    <n v="1"/>
    <x v="1"/>
    <x v="1"/>
    <x v="0"/>
    <x v="1"/>
    <x v="1"/>
    <x v="3"/>
    <n v="1"/>
    <n v="0"/>
    <n v="20"/>
    <n v="4"/>
    <n v="4"/>
    <n v="9"/>
    <n v="17"/>
    <n v="6"/>
    <x v="1"/>
  </r>
  <r>
    <x v="344"/>
    <n v="67911"/>
    <n v="0"/>
    <n v="1"/>
    <n v="63"/>
    <n v="529"/>
    <n v="0"/>
    <n v="356"/>
    <n v="63"/>
    <n v="28"/>
    <n v="0"/>
    <n v="3"/>
    <n v="6"/>
    <n v="7"/>
    <n v="11"/>
    <n v="3"/>
    <n v="0"/>
    <n v="0"/>
    <n v="0"/>
    <n v="0"/>
    <n v="0"/>
    <x v="0"/>
    <n v="0"/>
    <n v="3"/>
    <n v="11"/>
    <n v="0"/>
    <n v="71"/>
    <n v="2197"/>
    <n v="6.0191780821917806"/>
    <n v="0"/>
    <n v="0"/>
    <n v="0"/>
    <n v="1"/>
    <n v="0"/>
    <n v="0"/>
    <n v="0"/>
    <n v="0"/>
    <n v="0"/>
    <n v="1"/>
    <n v="976"/>
    <n v="976"/>
    <n v="0"/>
    <n v="0"/>
    <x v="0"/>
    <x v="0"/>
    <x v="2"/>
    <x v="1"/>
    <x v="2"/>
    <x v="2"/>
    <n v="1"/>
    <n v="0"/>
    <n v="30"/>
    <n v="4"/>
    <n v="8"/>
    <n v="7"/>
    <n v="19"/>
    <n v="7"/>
    <x v="2"/>
  </r>
  <r>
    <x v="345"/>
    <n v="68695"/>
    <n v="0"/>
    <n v="0"/>
    <n v="3"/>
    <n v="458"/>
    <n v="81"/>
    <n v="356"/>
    <n v="106"/>
    <n v="50"/>
    <n v="40"/>
    <n v="1"/>
    <n v="4"/>
    <n v="4"/>
    <n v="7"/>
    <n v="2"/>
    <n v="0"/>
    <n v="0"/>
    <n v="0"/>
    <n v="0"/>
    <n v="0"/>
    <x v="0"/>
    <n v="0"/>
    <n v="3"/>
    <n v="11"/>
    <n v="0"/>
    <n v="51"/>
    <n v="2163"/>
    <n v="5.9260273972602739"/>
    <n v="0"/>
    <n v="0"/>
    <n v="0"/>
    <n v="1"/>
    <n v="0"/>
    <n v="0"/>
    <n v="0"/>
    <n v="1"/>
    <n v="0"/>
    <n v="0"/>
    <n v="1051"/>
    <n v="1011"/>
    <n v="40"/>
    <n v="0"/>
    <x v="1"/>
    <x v="1"/>
    <x v="2"/>
    <x v="0"/>
    <x v="2"/>
    <x v="1"/>
    <n v="0"/>
    <n v="0"/>
    <n v="18"/>
    <n v="10"/>
    <n v="4"/>
    <n v="7"/>
    <n v="21"/>
    <n v="8"/>
    <x v="2"/>
  </r>
  <r>
    <x v="346"/>
    <n v="78331"/>
    <n v="0"/>
    <n v="1"/>
    <n v="97"/>
    <n v="756"/>
    <n v="138"/>
    <n v="354"/>
    <n v="160"/>
    <n v="169"/>
    <n v="61"/>
    <n v="2"/>
    <n v="10"/>
    <n v="6"/>
    <n v="7"/>
    <n v="4"/>
    <n v="0"/>
    <n v="0"/>
    <n v="0"/>
    <n v="0"/>
    <n v="0"/>
    <x v="0"/>
    <n v="0"/>
    <n v="3"/>
    <n v="11"/>
    <n v="0"/>
    <n v="62"/>
    <n v="2316"/>
    <n v="6.3452054794520549"/>
    <n v="1"/>
    <n v="0"/>
    <n v="0"/>
    <n v="0"/>
    <n v="0"/>
    <n v="0"/>
    <n v="0"/>
    <n v="1"/>
    <n v="0"/>
    <n v="0"/>
    <n v="1577"/>
    <n v="1516"/>
    <n v="61"/>
    <n v="0"/>
    <x v="0"/>
    <x v="0"/>
    <x v="3"/>
    <x v="0"/>
    <x v="1"/>
    <x v="2"/>
    <n v="1"/>
    <n v="1"/>
    <n v="29"/>
    <n v="0.99999999999999978"/>
    <n v="8"/>
    <n v="9"/>
    <n v="18"/>
    <n v="6"/>
    <x v="1"/>
  </r>
  <r>
    <x v="347"/>
    <n v="64325"/>
    <n v="0"/>
    <n v="1"/>
    <n v="41"/>
    <n v="731"/>
    <n v="60"/>
    <n v="353"/>
    <n v="78"/>
    <n v="12"/>
    <n v="73"/>
    <n v="5"/>
    <n v="10"/>
    <n v="3"/>
    <n v="5"/>
    <n v="7"/>
    <n v="0"/>
    <n v="0"/>
    <n v="0"/>
    <n v="0"/>
    <n v="0"/>
    <x v="0"/>
    <n v="0"/>
    <n v="3"/>
    <n v="11"/>
    <n v="0"/>
    <n v="59"/>
    <n v="2666"/>
    <n v="7.3041095890410963"/>
    <n v="1"/>
    <n v="0"/>
    <n v="0"/>
    <n v="0"/>
    <n v="0"/>
    <n v="0"/>
    <n v="0"/>
    <n v="0"/>
    <n v="0"/>
    <n v="1"/>
    <n v="1234"/>
    <n v="1161"/>
    <n v="73"/>
    <n v="0"/>
    <x v="0"/>
    <x v="0"/>
    <x v="3"/>
    <x v="1"/>
    <x v="2"/>
    <x v="1"/>
    <n v="1"/>
    <n v="0"/>
    <n v="30"/>
    <n v="6"/>
    <n v="8"/>
    <n v="8"/>
    <n v="22"/>
    <n v="8"/>
    <x v="2"/>
  </r>
  <r>
    <x v="348"/>
    <n v="75702"/>
    <n v="1"/>
    <n v="1"/>
    <n v="77"/>
    <n v="650"/>
    <n v="28"/>
    <n v="353"/>
    <n v="45"/>
    <n v="42"/>
    <n v="30"/>
    <n v="5"/>
    <n v="4"/>
    <n v="6"/>
    <n v="11"/>
    <n v="8"/>
    <n v="0"/>
    <n v="0"/>
    <n v="0"/>
    <n v="0"/>
    <n v="0"/>
    <x v="0"/>
    <n v="0"/>
    <n v="3"/>
    <n v="11"/>
    <n v="0"/>
    <n v="53"/>
    <n v="2828"/>
    <n v="7.7479452054794518"/>
    <n v="0"/>
    <n v="0"/>
    <n v="0"/>
    <n v="1"/>
    <n v="0"/>
    <n v="0"/>
    <n v="0"/>
    <n v="1"/>
    <n v="0"/>
    <n v="0"/>
    <n v="1118"/>
    <n v="1088"/>
    <n v="30"/>
    <n v="0"/>
    <x v="0"/>
    <x v="0"/>
    <x v="2"/>
    <x v="0"/>
    <x v="1"/>
    <x v="1"/>
    <n v="1"/>
    <n v="0"/>
    <n v="34"/>
    <n v="3.0000000000000004"/>
    <n v="9"/>
    <n v="8"/>
    <n v="20"/>
    <n v="7"/>
    <x v="2"/>
  </r>
  <r>
    <x v="349"/>
    <n v="67419"/>
    <n v="0"/>
    <n v="1"/>
    <n v="29"/>
    <n v="846"/>
    <n v="84"/>
    <n v="352"/>
    <n v="91"/>
    <n v="56"/>
    <n v="42"/>
    <n v="4"/>
    <n v="9"/>
    <n v="4"/>
    <n v="8"/>
    <n v="5"/>
    <n v="0"/>
    <n v="0"/>
    <n v="0"/>
    <n v="0"/>
    <n v="0"/>
    <x v="0"/>
    <n v="0"/>
    <n v="3"/>
    <n v="11"/>
    <n v="0"/>
    <n v="50"/>
    <n v="2688"/>
    <n v="7.3643835616438356"/>
    <n v="0"/>
    <n v="0"/>
    <n v="0"/>
    <n v="1"/>
    <n v="0"/>
    <n v="0"/>
    <n v="0"/>
    <n v="1"/>
    <n v="0"/>
    <n v="0"/>
    <n v="1429"/>
    <n v="1387"/>
    <n v="42"/>
    <n v="0"/>
    <x v="0"/>
    <x v="0"/>
    <x v="2"/>
    <x v="0"/>
    <x v="2"/>
    <x v="0"/>
    <n v="0"/>
    <n v="0"/>
    <n v="30"/>
    <n v="8"/>
    <n v="8"/>
    <n v="8"/>
    <n v="24"/>
    <n v="9"/>
    <x v="0"/>
  </r>
  <r>
    <x v="350"/>
    <n v="90247"/>
    <n v="0"/>
    <n v="0"/>
    <n v="27"/>
    <n v="1184"/>
    <n v="32"/>
    <n v="352"/>
    <n v="21"/>
    <n v="16"/>
    <n v="16"/>
    <n v="1"/>
    <n v="3"/>
    <n v="4"/>
    <n v="7"/>
    <n v="1"/>
    <n v="1"/>
    <n v="0"/>
    <n v="0"/>
    <n v="1"/>
    <n v="1"/>
    <x v="1"/>
    <n v="0"/>
    <n v="3"/>
    <n v="11"/>
    <n v="1"/>
    <n v="32"/>
    <n v="2220"/>
    <n v="6.0821917808219181"/>
    <n v="0"/>
    <n v="0"/>
    <n v="1"/>
    <n v="0"/>
    <n v="0"/>
    <n v="0"/>
    <n v="0"/>
    <n v="0"/>
    <n v="1"/>
    <n v="0"/>
    <n v="1605"/>
    <n v="1589"/>
    <n v="16"/>
    <n v="3"/>
    <x v="1"/>
    <x v="1"/>
    <x v="1"/>
    <x v="1"/>
    <x v="1"/>
    <x v="3"/>
    <n v="0"/>
    <n v="0"/>
    <n v="16"/>
    <n v="8"/>
    <n v="3"/>
    <n v="9"/>
    <n v="20"/>
    <n v="7"/>
    <x v="2"/>
  </r>
  <r>
    <x v="351"/>
    <n v="92556"/>
    <n v="0"/>
    <n v="0"/>
    <n v="32"/>
    <n v="493"/>
    <n v="183"/>
    <n v="352"/>
    <n v="184"/>
    <n v="23"/>
    <n v="28"/>
    <n v="0"/>
    <n v="3"/>
    <n v="5"/>
    <n v="13"/>
    <n v="0"/>
    <n v="0"/>
    <n v="0"/>
    <n v="0"/>
    <n v="0"/>
    <n v="0"/>
    <x v="0"/>
    <n v="0"/>
    <n v="3"/>
    <n v="11"/>
    <n v="0"/>
    <n v="60"/>
    <n v="2229"/>
    <n v="6.1068493150684935"/>
    <n v="0"/>
    <n v="0"/>
    <n v="0"/>
    <n v="1"/>
    <n v="0"/>
    <n v="1"/>
    <n v="0"/>
    <n v="0"/>
    <n v="0"/>
    <n v="0"/>
    <n v="1235"/>
    <n v="1207"/>
    <n v="28"/>
    <n v="0"/>
    <x v="1"/>
    <x v="1"/>
    <x v="2"/>
    <x v="1"/>
    <x v="1"/>
    <x v="1"/>
    <n v="1"/>
    <n v="0"/>
    <n v="21"/>
    <n v="7"/>
    <n v="5"/>
    <n v="8"/>
    <n v="20"/>
    <n v="7"/>
    <x v="2"/>
  </r>
  <r>
    <x v="352"/>
    <n v="73454"/>
    <n v="0"/>
    <n v="0"/>
    <n v="95"/>
    <n v="982"/>
    <n v="73"/>
    <n v="351"/>
    <n v="56"/>
    <n v="14"/>
    <n v="175"/>
    <n v="1"/>
    <n v="2"/>
    <n v="4"/>
    <n v="6"/>
    <n v="5"/>
    <n v="0"/>
    <n v="0"/>
    <n v="1"/>
    <n v="0"/>
    <n v="0"/>
    <x v="1"/>
    <n v="0"/>
    <n v="3"/>
    <n v="11"/>
    <n v="0"/>
    <n v="33"/>
    <n v="2279"/>
    <n v="6.2438356164383562"/>
    <n v="0"/>
    <n v="0"/>
    <n v="1"/>
    <n v="0"/>
    <n v="0"/>
    <n v="0"/>
    <n v="0"/>
    <n v="0"/>
    <n v="1"/>
    <n v="0"/>
    <n v="1476"/>
    <n v="1301"/>
    <n v="175"/>
    <n v="1"/>
    <x v="1"/>
    <x v="1"/>
    <x v="1"/>
    <x v="1"/>
    <x v="2"/>
    <x v="3"/>
    <n v="1"/>
    <n v="1"/>
    <n v="18"/>
    <n v="0.99999999999999978"/>
    <n v="4"/>
    <n v="9"/>
    <n v="14"/>
    <n v="4"/>
    <x v="3"/>
  </r>
  <r>
    <x v="353"/>
    <n v="64849"/>
    <n v="0"/>
    <n v="0"/>
    <n v="42"/>
    <n v="652"/>
    <n v="48"/>
    <n v="350"/>
    <n v="94"/>
    <n v="84"/>
    <n v="108"/>
    <n v="1"/>
    <n v="9"/>
    <n v="3"/>
    <n v="6"/>
    <n v="5"/>
    <n v="0"/>
    <n v="0"/>
    <n v="0"/>
    <n v="0"/>
    <n v="0"/>
    <x v="0"/>
    <n v="0"/>
    <n v="3"/>
    <n v="11"/>
    <n v="1"/>
    <n v="63"/>
    <n v="2752"/>
    <n v="7.5397260273972604"/>
    <n v="0"/>
    <n v="0"/>
    <n v="1"/>
    <n v="0"/>
    <n v="0"/>
    <n v="0"/>
    <n v="0"/>
    <n v="1"/>
    <n v="0"/>
    <n v="0"/>
    <n v="1228"/>
    <n v="1120"/>
    <n v="108"/>
    <n v="0"/>
    <x v="1"/>
    <x v="1"/>
    <x v="1"/>
    <x v="0"/>
    <x v="2"/>
    <x v="2"/>
    <n v="1"/>
    <n v="0"/>
    <n v="24"/>
    <n v="6"/>
    <n v="6"/>
    <n v="8"/>
    <n v="20"/>
    <n v="7"/>
    <x v="2"/>
  </r>
  <r>
    <x v="354"/>
    <n v="82122"/>
    <n v="0"/>
    <n v="0"/>
    <n v="89"/>
    <n v="734"/>
    <n v="22"/>
    <n v="350"/>
    <n v="151"/>
    <n v="25"/>
    <n v="100"/>
    <n v="1"/>
    <n v="3"/>
    <n v="9"/>
    <n v="13"/>
    <n v="1"/>
    <n v="0"/>
    <n v="0"/>
    <n v="0"/>
    <n v="0"/>
    <n v="1"/>
    <x v="1"/>
    <n v="0"/>
    <n v="3"/>
    <n v="11"/>
    <n v="0"/>
    <n v="58"/>
    <n v="2477"/>
    <n v="6.7863013698630139"/>
    <n v="0"/>
    <n v="0"/>
    <n v="0"/>
    <n v="1"/>
    <n v="0"/>
    <n v="1"/>
    <n v="0"/>
    <n v="0"/>
    <n v="0"/>
    <n v="0"/>
    <n v="1282"/>
    <n v="1182"/>
    <n v="100"/>
    <n v="1"/>
    <x v="1"/>
    <x v="1"/>
    <x v="2"/>
    <x v="1"/>
    <x v="1"/>
    <x v="1"/>
    <n v="1"/>
    <n v="0"/>
    <n v="27"/>
    <n v="1.9999999999999996"/>
    <n v="7"/>
    <n v="8"/>
    <n v="17"/>
    <n v="6"/>
    <x v="1"/>
  </r>
  <r>
    <x v="355"/>
    <n v="83891"/>
    <n v="0"/>
    <n v="1"/>
    <n v="24"/>
    <n v="217"/>
    <n v="38"/>
    <n v="350"/>
    <n v="111"/>
    <n v="85"/>
    <n v="15"/>
    <n v="1"/>
    <n v="4"/>
    <n v="7"/>
    <n v="10"/>
    <n v="1"/>
    <n v="0"/>
    <n v="0"/>
    <n v="0"/>
    <n v="0"/>
    <n v="0"/>
    <x v="0"/>
    <n v="0"/>
    <n v="3"/>
    <n v="11"/>
    <n v="0"/>
    <n v="46"/>
    <n v="2168"/>
    <n v="5.9397260273972599"/>
    <n v="0"/>
    <n v="1"/>
    <n v="0"/>
    <n v="0"/>
    <n v="0"/>
    <n v="0"/>
    <n v="0"/>
    <n v="0"/>
    <n v="1"/>
    <n v="0"/>
    <n v="801"/>
    <n v="786"/>
    <n v="15"/>
    <n v="0"/>
    <x v="0"/>
    <x v="0"/>
    <x v="0"/>
    <x v="1"/>
    <x v="1"/>
    <x v="0"/>
    <n v="0"/>
    <n v="0"/>
    <n v="23"/>
    <n v="8"/>
    <n v="6"/>
    <n v="6"/>
    <n v="20"/>
    <n v="7"/>
    <x v="2"/>
  </r>
  <r>
    <x v="356"/>
    <n v="85710"/>
    <n v="0"/>
    <n v="0"/>
    <n v="5"/>
    <n v="600"/>
    <n v="20"/>
    <n v="350"/>
    <n v="29"/>
    <n v="30"/>
    <n v="33"/>
    <n v="1"/>
    <n v="6"/>
    <n v="9"/>
    <n v="10"/>
    <n v="2"/>
    <n v="0"/>
    <n v="0"/>
    <n v="0"/>
    <n v="0"/>
    <n v="1"/>
    <x v="1"/>
    <n v="0"/>
    <n v="3"/>
    <n v="11"/>
    <n v="0"/>
    <n v="31"/>
    <n v="2579"/>
    <n v="7.065753424657534"/>
    <n v="0"/>
    <n v="1"/>
    <n v="0"/>
    <n v="0"/>
    <n v="0"/>
    <n v="1"/>
    <n v="0"/>
    <n v="0"/>
    <n v="0"/>
    <n v="0"/>
    <n v="1029"/>
    <n v="996"/>
    <n v="33"/>
    <n v="1"/>
    <x v="1"/>
    <x v="1"/>
    <x v="0"/>
    <x v="1"/>
    <x v="1"/>
    <x v="3"/>
    <n v="0"/>
    <n v="0"/>
    <n v="28"/>
    <n v="10"/>
    <n v="8"/>
    <n v="7"/>
    <n v="25"/>
    <n v="9"/>
    <x v="0"/>
  </r>
  <r>
    <x v="357"/>
    <n v="84865"/>
    <n v="0"/>
    <n v="0"/>
    <n v="1"/>
    <n v="1248"/>
    <n v="16"/>
    <n v="349"/>
    <n v="43"/>
    <n v="16"/>
    <n v="16"/>
    <n v="1"/>
    <n v="2"/>
    <n v="4"/>
    <n v="9"/>
    <n v="4"/>
    <n v="1"/>
    <n v="1"/>
    <n v="0"/>
    <n v="1"/>
    <n v="1"/>
    <x v="1"/>
    <n v="0"/>
    <n v="3"/>
    <n v="11"/>
    <n v="1"/>
    <n v="59"/>
    <n v="2575"/>
    <n v="7.0547945205479454"/>
    <n v="0"/>
    <n v="0"/>
    <n v="1"/>
    <n v="0"/>
    <n v="0"/>
    <n v="0"/>
    <n v="0"/>
    <n v="0"/>
    <n v="0"/>
    <n v="1"/>
    <n v="1672"/>
    <n v="1656"/>
    <n v="16"/>
    <n v="4"/>
    <x v="1"/>
    <x v="1"/>
    <x v="1"/>
    <x v="1"/>
    <x v="1"/>
    <x v="1"/>
    <n v="0"/>
    <n v="0"/>
    <n v="20"/>
    <n v="10"/>
    <n v="4"/>
    <n v="9"/>
    <n v="23"/>
    <n v="8"/>
    <x v="2"/>
  </r>
  <r>
    <x v="358"/>
    <n v="70038"/>
    <n v="0"/>
    <n v="0"/>
    <n v="54"/>
    <n v="587"/>
    <n v="54"/>
    <n v="348"/>
    <n v="71"/>
    <n v="54"/>
    <n v="130"/>
    <n v="1"/>
    <n v="4"/>
    <n v="4"/>
    <n v="8"/>
    <n v="2"/>
    <n v="0"/>
    <n v="0"/>
    <n v="0"/>
    <n v="0"/>
    <n v="0"/>
    <x v="0"/>
    <n v="0"/>
    <n v="3"/>
    <n v="11"/>
    <n v="0"/>
    <n v="38"/>
    <n v="2406"/>
    <n v="6.5917808219178085"/>
    <n v="0"/>
    <n v="0"/>
    <n v="0"/>
    <n v="1"/>
    <n v="0"/>
    <n v="0"/>
    <n v="0"/>
    <n v="0"/>
    <n v="0"/>
    <n v="1"/>
    <n v="1114"/>
    <n v="984"/>
    <n v="130"/>
    <n v="0"/>
    <x v="1"/>
    <x v="1"/>
    <x v="2"/>
    <x v="1"/>
    <x v="2"/>
    <x v="3"/>
    <n v="1"/>
    <n v="0"/>
    <n v="19"/>
    <n v="5"/>
    <n v="4"/>
    <n v="8"/>
    <n v="17"/>
    <n v="6"/>
    <x v="1"/>
  </r>
  <r>
    <x v="359"/>
    <n v="72063"/>
    <n v="0"/>
    <n v="1"/>
    <n v="3"/>
    <n v="180"/>
    <n v="32"/>
    <n v="348"/>
    <n v="76"/>
    <n v="32"/>
    <n v="90"/>
    <n v="2"/>
    <n v="5"/>
    <n v="2"/>
    <n v="12"/>
    <n v="2"/>
    <n v="0"/>
    <n v="0"/>
    <n v="0"/>
    <n v="0"/>
    <n v="0"/>
    <x v="0"/>
    <n v="0"/>
    <n v="3"/>
    <n v="11"/>
    <n v="0"/>
    <n v="41"/>
    <n v="2520"/>
    <n v="6.904109589041096"/>
    <n v="0"/>
    <n v="1"/>
    <n v="0"/>
    <n v="0"/>
    <n v="0"/>
    <n v="0"/>
    <n v="0"/>
    <n v="1"/>
    <n v="0"/>
    <n v="0"/>
    <n v="668"/>
    <n v="578"/>
    <n v="90"/>
    <n v="0"/>
    <x v="0"/>
    <x v="0"/>
    <x v="0"/>
    <x v="0"/>
    <x v="2"/>
    <x v="0"/>
    <n v="0"/>
    <n v="0"/>
    <n v="23"/>
    <n v="10"/>
    <n v="6"/>
    <n v="6"/>
    <n v="22"/>
    <n v="8"/>
    <x v="2"/>
  </r>
  <r>
    <x v="360"/>
    <n v="76842"/>
    <n v="0"/>
    <n v="0"/>
    <n v="37"/>
    <n v="605"/>
    <n v="10"/>
    <n v="345"/>
    <n v="84"/>
    <n v="54"/>
    <n v="32"/>
    <n v="1"/>
    <n v="1"/>
    <n v="8"/>
    <n v="7"/>
    <n v="0"/>
    <n v="0"/>
    <n v="0"/>
    <n v="0"/>
    <n v="0"/>
    <n v="0"/>
    <x v="0"/>
    <n v="0"/>
    <n v="3"/>
    <n v="11"/>
    <n v="0"/>
    <n v="70"/>
    <n v="2216"/>
    <n v="6.0712328767123287"/>
    <n v="0"/>
    <n v="0"/>
    <n v="0"/>
    <n v="0"/>
    <n v="1"/>
    <n v="0"/>
    <n v="0"/>
    <n v="0"/>
    <n v="0"/>
    <n v="1"/>
    <n v="1098"/>
    <n v="1066"/>
    <n v="32"/>
    <n v="0"/>
    <x v="1"/>
    <x v="1"/>
    <x v="4"/>
    <x v="1"/>
    <x v="1"/>
    <x v="2"/>
    <n v="1"/>
    <n v="0"/>
    <n v="17"/>
    <n v="7"/>
    <n v="3"/>
    <n v="8"/>
    <n v="18"/>
    <n v="6"/>
    <x v="1"/>
  </r>
  <r>
    <x v="361"/>
    <n v="83844"/>
    <n v="0"/>
    <n v="0"/>
    <n v="57"/>
    <n v="901"/>
    <n v="31"/>
    <n v="345"/>
    <n v="75"/>
    <n v="31"/>
    <n v="191"/>
    <n v="1"/>
    <n v="4"/>
    <n v="4"/>
    <n v="11"/>
    <n v="1"/>
    <n v="0"/>
    <n v="0"/>
    <n v="0"/>
    <n v="0"/>
    <n v="1"/>
    <x v="1"/>
    <n v="0"/>
    <n v="3"/>
    <n v="11"/>
    <n v="0"/>
    <n v="68"/>
    <n v="2572"/>
    <n v="7.0465753424657533"/>
    <n v="0"/>
    <n v="0"/>
    <n v="0"/>
    <n v="1"/>
    <n v="0"/>
    <n v="0"/>
    <n v="0"/>
    <n v="1"/>
    <n v="0"/>
    <n v="0"/>
    <n v="1383"/>
    <n v="1192"/>
    <n v="191"/>
    <n v="1"/>
    <x v="1"/>
    <x v="1"/>
    <x v="2"/>
    <x v="0"/>
    <x v="1"/>
    <x v="2"/>
    <n v="1"/>
    <n v="0"/>
    <n v="21"/>
    <n v="5"/>
    <n v="5"/>
    <n v="8"/>
    <n v="18"/>
    <n v="6"/>
    <x v="1"/>
  </r>
  <r>
    <x v="362"/>
    <n v="61064"/>
    <n v="0"/>
    <n v="1"/>
    <n v="80"/>
    <n v="387"/>
    <n v="126"/>
    <n v="342"/>
    <n v="0"/>
    <n v="45"/>
    <n v="180"/>
    <n v="5"/>
    <n v="8"/>
    <n v="4"/>
    <n v="11"/>
    <n v="6"/>
    <n v="0"/>
    <n v="0"/>
    <n v="0"/>
    <n v="0"/>
    <n v="0"/>
    <x v="0"/>
    <n v="0"/>
    <n v="3"/>
    <n v="11"/>
    <n v="0"/>
    <n v="44"/>
    <n v="2826"/>
    <n v="7.7424657534246579"/>
    <n v="0"/>
    <n v="1"/>
    <n v="0"/>
    <n v="0"/>
    <n v="0"/>
    <n v="0"/>
    <n v="0"/>
    <n v="1"/>
    <n v="0"/>
    <n v="0"/>
    <n v="900"/>
    <n v="720"/>
    <n v="180"/>
    <n v="0"/>
    <x v="0"/>
    <x v="0"/>
    <x v="0"/>
    <x v="0"/>
    <x v="2"/>
    <x v="0"/>
    <n v="1"/>
    <n v="0"/>
    <n v="34"/>
    <n v="1.9999999999999996"/>
    <n v="9"/>
    <n v="7"/>
    <n v="18"/>
    <n v="6"/>
    <x v="1"/>
  </r>
  <r>
    <x v="363"/>
    <n v="67432"/>
    <n v="0"/>
    <n v="1"/>
    <n v="69"/>
    <n v="432"/>
    <n v="79"/>
    <n v="341"/>
    <n v="177"/>
    <n v="136"/>
    <n v="170"/>
    <n v="2"/>
    <n v="8"/>
    <n v="5"/>
    <n v="4"/>
    <n v="4"/>
    <n v="0"/>
    <n v="0"/>
    <n v="0"/>
    <n v="0"/>
    <n v="0"/>
    <x v="0"/>
    <n v="0"/>
    <n v="3"/>
    <n v="11"/>
    <n v="0"/>
    <n v="47"/>
    <n v="2616"/>
    <n v="7.1671232876712327"/>
    <n v="0"/>
    <n v="1"/>
    <n v="0"/>
    <n v="0"/>
    <n v="0"/>
    <n v="0"/>
    <n v="0"/>
    <n v="1"/>
    <n v="0"/>
    <n v="0"/>
    <n v="1165"/>
    <n v="995"/>
    <n v="170"/>
    <n v="0"/>
    <x v="0"/>
    <x v="0"/>
    <x v="0"/>
    <x v="0"/>
    <x v="2"/>
    <x v="0"/>
    <n v="1"/>
    <n v="0"/>
    <n v="23"/>
    <n v="4"/>
    <n v="6"/>
    <n v="8"/>
    <n v="18"/>
    <n v="6"/>
    <x v="1"/>
  </r>
  <r>
    <x v="364"/>
    <n v="70300"/>
    <n v="1"/>
    <n v="0"/>
    <n v="89"/>
    <n v="1045"/>
    <n v="61"/>
    <n v="338"/>
    <n v="60"/>
    <n v="46"/>
    <n v="46"/>
    <n v="3"/>
    <n v="5"/>
    <n v="5"/>
    <n v="13"/>
    <n v="8"/>
    <n v="0"/>
    <n v="0"/>
    <n v="0"/>
    <n v="0"/>
    <n v="0"/>
    <x v="0"/>
    <n v="0"/>
    <n v="3"/>
    <n v="11"/>
    <n v="0"/>
    <n v="45"/>
    <n v="2508"/>
    <n v="6.8712328767123285"/>
    <n v="1"/>
    <n v="0"/>
    <n v="0"/>
    <n v="0"/>
    <n v="0"/>
    <n v="0"/>
    <n v="0"/>
    <n v="1"/>
    <n v="0"/>
    <n v="0"/>
    <n v="1550"/>
    <n v="1504"/>
    <n v="46"/>
    <n v="0"/>
    <x v="0"/>
    <x v="0"/>
    <x v="3"/>
    <x v="0"/>
    <x v="2"/>
    <x v="0"/>
    <n v="1"/>
    <n v="0"/>
    <n v="34"/>
    <n v="1.9999999999999996"/>
    <n v="9"/>
    <n v="9"/>
    <n v="20"/>
    <n v="7"/>
    <x v="2"/>
  </r>
  <r>
    <x v="365"/>
    <n v="63693"/>
    <n v="0"/>
    <n v="1"/>
    <n v="63"/>
    <n v="587"/>
    <n v="43"/>
    <n v="337"/>
    <n v="42"/>
    <n v="87"/>
    <n v="54"/>
    <n v="3"/>
    <n v="11"/>
    <n v="6"/>
    <n v="9"/>
    <n v="6"/>
    <n v="0"/>
    <n v="0"/>
    <n v="0"/>
    <n v="0"/>
    <n v="0"/>
    <x v="0"/>
    <n v="0"/>
    <n v="3"/>
    <n v="11"/>
    <n v="0"/>
    <n v="42"/>
    <n v="2417"/>
    <n v="6.6219178082191785"/>
    <n v="1"/>
    <n v="0"/>
    <n v="0"/>
    <n v="0"/>
    <n v="0"/>
    <n v="0"/>
    <n v="0"/>
    <n v="1"/>
    <n v="0"/>
    <n v="0"/>
    <n v="1096"/>
    <n v="1042"/>
    <n v="54"/>
    <n v="0"/>
    <x v="0"/>
    <x v="0"/>
    <x v="3"/>
    <x v="0"/>
    <x v="2"/>
    <x v="0"/>
    <n v="1"/>
    <n v="0"/>
    <n v="35"/>
    <n v="4"/>
    <n v="9"/>
    <n v="7"/>
    <n v="20"/>
    <n v="7"/>
    <x v="2"/>
  </r>
  <r>
    <x v="366"/>
    <n v="74293"/>
    <n v="0"/>
    <n v="0"/>
    <n v="66"/>
    <n v="375"/>
    <n v="152"/>
    <n v="335"/>
    <n v="93"/>
    <n v="91"/>
    <n v="81"/>
    <n v="1"/>
    <n v="5"/>
    <n v="4"/>
    <n v="6"/>
    <n v="2"/>
    <n v="0"/>
    <n v="0"/>
    <n v="0"/>
    <n v="0"/>
    <n v="0"/>
    <x v="0"/>
    <n v="0"/>
    <n v="3"/>
    <n v="11"/>
    <n v="0"/>
    <n v="27"/>
    <n v="2215"/>
    <n v="6.0684931506849313"/>
    <n v="0"/>
    <n v="0"/>
    <n v="1"/>
    <n v="0"/>
    <n v="0"/>
    <n v="0"/>
    <n v="0"/>
    <n v="1"/>
    <n v="0"/>
    <n v="0"/>
    <n v="1046"/>
    <n v="965"/>
    <n v="81"/>
    <n v="0"/>
    <x v="1"/>
    <x v="1"/>
    <x v="1"/>
    <x v="0"/>
    <x v="2"/>
    <x v="4"/>
    <n v="1"/>
    <n v="0"/>
    <n v="18"/>
    <n v="4"/>
    <n v="4"/>
    <n v="7"/>
    <n v="15"/>
    <n v="4"/>
    <x v="3"/>
  </r>
  <r>
    <x v="367"/>
    <n v="66294"/>
    <n v="0"/>
    <n v="0"/>
    <n v="68"/>
    <n v="251"/>
    <n v="108"/>
    <n v="334"/>
    <n v="65"/>
    <n v="92"/>
    <n v="117"/>
    <n v="1"/>
    <n v="4"/>
    <n v="3"/>
    <n v="5"/>
    <n v="2"/>
    <n v="0"/>
    <n v="0"/>
    <n v="0"/>
    <n v="0"/>
    <n v="0"/>
    <x v="0"/>
    <n v="0"/>
    <n v="3"/>
    <n v="11"/>
    <n v="0"/>
    <n v="55"/>
    <n v="2263"/>
    <n v="6.2"/>
    <n v="0"/>
    <n v="0"/>
    <n v="1"/>
    <n v="0"/>
    <n v="0"/>
    <n v="0"/>
    <n v="0"/>
    <n v="1"/>
    <n v="0"/>
    <n v="0"/>
    <n v="850"/>
    <n v="733"/>
    <n v="117"/>
    <n v="0"/>
    <x v="1"/>
    <x v="1"/>
    <x v="1"/>
    <x v="0"/>
    <x v="2"/>
    <x v="1"/>
    <n v="1"/>
    <n v="0"/>
    <n v="15"/>
    <n v="4"/>
    <n v="2"/>
    <n v="6"/>
    <n v="12"/>
    <n v="3"/>
    <x v="3"/>
  </r>
  <r>
    <x v="368"/>
    <n v="77037"/>
    <n v="0"/>
    <n v="1"/>
    <n v="3"/>
    <n v="463"/>
    <n v="96"/>
    <n v="333"/>
    <n v="168"/>
    <n v="53"/>
    <n v="10"/>
    <n v="1"/>
    <n v="7"/>
    <n v="7"/>
    <n v="12"/>
    <n v="3"/>
    <n v="0"/>
    <n v="0"/>
    <n v="0"/>
    <n v="0"/>
    <n v="0"/>
    <x v="0"/>
    <n v="0"/>
    <n v="3"/>
    <n v="11"/>
    <n v="0"/>
    <n v="60"/>
    <n v="2418"/>
    <n v="6.624657534246575"/>
    <n v="0"/>
    <n v="1"/>
    <n v="0"/>
    <n v="0"/>
    <n v="0"/>
    <n v="0"/>
    <n v="0"/>
    <n v="0"/>
    <n v="0"/>
    <n v="1"/>
    <n v="1113"/>
    <n v="1103"/>
    <n v="10"/>
    <n v="0"/>
    <x v="0"/>
    <x v="0"/>
    <x v="0"/>
    <x v="1"/>
    <x v="1"/>
    <x v="1"/>
    <n v="0"/>
    <n v="0"/>
    <n v="30"/>
    <n v="10"/>
    <n v="8"/>
    <n v="8"/>
    <n v="26"/>
    <n v="9"/>
    <x v="0"/>
  </r>
  <r>
    <x v="369"/>
    <n v="77610"/>
    <n v="0"/>
    <n v="1"/>
    <n v="70"/>
    <n v="1245"/>
    <n v="33"/>
    <n v="332"/>
    <n v="21"/>
    <n v="33"/>
    <n v="16"/>
    <n v="2"/>
    <n v="4"/>
    <n v="7"/>
    <n v="4"/>
    <n v="7"/>
    <n v="0"/>
    <n v="0"/>
    <n v="0"/>
    <n v="0"/>
    <n v="0"/>
    <x v="0"/>
    <n v="0"/>
    <n v="3"/>
    <n v="11"/>
    <n v="0"/>
    <n v="68"/>
    <n v="2767"/>
    <n v="7.580821917808219"/>
    <n v="0"/>
    <n v="1"/>
    <n v="0"/>
    <n v="0"/>
    <n v="0"/>
    <n v="0"/>
    <n v="0"/>
    <n v="0"/>
    <n v="0"/>
    <n v="1"/>
    <n v="1664"/>
    <n v="1648"/>
    <n v="16"/>
    <n v="0"/>
    <x v="0"/>
    <x v="0"/>
    <x v="0"/>
    <x v="1"/>
    <x v="1"/>
    <x v="2"/>
    <n v="1"/>
    <n v="0"/>
    <n v="24"/>
    <n v="3.0000000000000004"/>
    <n v="6"/>
    <n v="9"/>
    <n v="18"/>
    <n v="6"/>
    <x v="1"/>
  </r>
  <r>
    <x v="370"/>
    <n v="57304"/>
    <n v="0"/>
    <n v="1"/>
    <n v="61"/>
    <n v="356"/>
    <n v="80"/>
    <n v="329"/>
    <n v="138"/>
    <n v="17"/>
    <n v="106"/>
    <n v="2"/>
    <n v="7"/>
    <n v="6"/>
    <n v="10"/>
    <n v="5"/>
    <n v="0"/>
    <n v="0"/>
    <n v="0"/>
    <n v="0"/>
    <n v="0"/>
    <x v="0"/>
    <n v="0"/>
    <n v="3"/>
    <n v="11"/>
    <n v="0"/>
    <n v="69"/>
    <n v="2634"/>
    <n v="7.2164383561643834"/>
    <n v="0"/>
    <n v="1"/>
    <n v="0"/>
    <n v="0"/>
    <n v="0"/>
    <n v="0"/>
    <n v="0"/>
    <n v="1"/>
    <n v="0"/>
    <n v="0"/>
    <n v="920"/>
    <n v="814"/>
    <n v="106"/>
    <n v="0"/>
    <x v="0"/>
    <x v="0"/>
    <x v="0"/>
    <x v="0"/>
    <x v="2"/>
    <x v="2"/>
    <n v="1"/>
    <n v="0"/>
    <n v="30"/>
    <n v="4"/>
    <n v="8"/>
    <n v="7"/>
    <n v="19"/>
    <n v="7"/>
    <x v="2"/>
  </r>
  <r>
    <x v="371"/>
    <n v="81217"/>
    <n v="0"/>
    <n v="0"/>
    <n v="77"/>
    <n v="493"/>
    <n v="70"/>
    <n v="324"/>
    <n v="146"/>
    <n v="40"/>
    <n v="84"/>
    <n v="1"/>
    <n v="3"/>
    <n v="7"/>
    <n v="11"/>
    <n v="1"/>
    <n v="0"/>
    <n v="0"/>
    <n v="0"/>
    <n v="0"/>
    <n v="0"/>
    <x v="0"/>
    <n v="0"/>
    <n v="3"/>
    <n v="11"/>
    <n v="0"/>
    <n v="31"/>
    <n v="2504"/>
    <n v="6.86027397260274"/>
    <n v="0"/>
    <n v="0"/>
    <n v="1"/>
    <n v="0"/>
    <n v="0"/>
    <n v="0"/>
    <n v="0"/>
    <n v="1"/>
    <n v="0"/>
    <n v="0"/>
    <n v="1073"/>
    <n v="989"/>
    <n v="84"/>
    <n v="0"/>
    <x v="1"/>
    <x v="1"/>
    <x v="1"/>
    <x v="0"/>
    <x v="1"/>
    <x v="3"/>
    <n v="1"/>
    <n v="0"/>
    <n v="23"/>
    <n v="3.0000000000000004"/>
    <n v="6"/>
    <n v="7"/>
    <n v="16"/>
    <n v="5"/>
    <x v="1"/>
  </r>
  <r>
    <x v="372"/>
    <n v="61416"/>
    <n v="0"/>
    <n v="0"/>
    <n v="25"/>
    <n v="848"/>
    <n v="154"/>
    <n v="323"/>
    <n v="201"/>
    <n v="61"/>
    <n v="78"/>
    <n v="1"/>
    <n v="10"/>
    <n v="3"/>
    <n v="10"/>
    <n v="6"/>
    <n v="0"/>
    <n v="0"/>
    <n v="1"/>
    <n v="0"/>
    <n v="0"/>
    <x v="1"/>
    <n v="0"/>
    <n v="3"/>
    <n v="11"/>
    <n v="0"/>
    <n v="38"/>
    <n v="2665"/>
    <n v="7.3013698630136989"/>
    <n v="0"/>
    <n v="0"/>
    <n v="0"/>
    <n v="1"/>
    <n v="0"/>
    <n v="0"/>
    <n v="0"/>
    <n v="1"/>
    <n v="0"/>
    <n v="0"/>
    <n v="1587"/>
    <n v="1509"/>
    <n v="78"/>
    <n v="1"/>
    <x v="1"/>
    <x v="1"/>
    <x v="2"/>
    <x v="0"/>
    <x v="2"/>
    <x v="3"/>
    <n v="0"/>
    <n v="0"/>
    <n v="30"/>
    <n v="8"/>
    <n v="8"/>
    <n v="9"/>
    <n v="25"/>
    <n v="9"/>
    <x v="0"/>
  </r>
  <r>
    <x v="373"/>
    <n v="72635"/>
    <n v="0"/>
    <n v="0"/>
    <n v="54"/>
    <n v="390"/>
    <n v="22"/>
    <n v="323"/>
    <n v="104"/>
    <n v="35"/>
    <n v="107"/>
    <n v="1"/>
    <n v="6"/>
    <n v="8"/>
    <n v="6"/>
    <n v="3"/>
    <n v="1"/>
    <n v="0"/>
    <n v="0"/>
    <n v="0"/>
    <n v="0"/>
    <x v="1"/>
    <n v="0"/>
    <n v="3"/>
    <n v="11"/>
    <n v="0"/>
    <n v="65"/>
    <n v="2550"/>
    <n v="6.9863013698630141"/>
    <n v="0"/>
    <n v="1"/>
    <n v="0"/>
    <n v="0"/>
    <n v="0"/>
    <n v="1"/>
    <n v="0"/>
    <n v="0"/>
    <n v="0"/>
    <n v="0"/>
    <n v="874"/>
    <n v="767"/>
    <n v="107"/>
    <n v="1"/>
    <x v="1"/>
    <x v="1"/>
    <x v="0"/>
    <x v="1"/>
    <x v="2"/>
    <x v="2"/>
    <n v="1"/>
    <n v="0"/>
    <n v="24"/>
    <n v="5"/>
    <n v="6"/>
    <n v="7"/>
    <n v="18"/>
    <n v="6"/>
    <x v="1"/>
  </r>
  <r>
    <x v="374"/>
    <n v="57959"/>
    <n v="0"/>
    <n v="1"/>
    <n v="71"/>
    <n v="430"/>
    <n v="16"/>
    <n v="322"/>
    <n v="43"/>
    <n v="24"/>
    <n v="33"/>
    <n v="5"/>
    <n v="4"/>
    <n v="7"/>
    <n v="11"/>
    <n v="3"/>
    <n v="0"/>
    <n v="0"/>
    <n v="0"/>
    <n v="0"/>
    <n v="0"/>
    <x v="0"/>
    <n v="0"/>
    <n v="3"/>
    <n v="11"/>
    <n v="0"/>
    <n v="65"/>
    <n v="2582"/>
    <n v="7.0739726027397261"/>
    <n v="0"/>
    <n v="0"/>
    <n v="1"/>
    <n v="0"/>
    <n v="0"/>
    <n v="0"/>
    <n v="0"/>
    <n v="1"/>
    <n v="0"/>
    <n v="0"/>
    <n v="835"/>
    <n v="802"/>
    <n v="33"/>
    <n v="0"/>
    <x v="0"/>
    <x v="0"/>
    <x v="1"/>
    <x v="0"/>
    <x v="2"/>
    <x v="2"/>
    <n v="1"/>
    <n v="0"/>
    <n v="30"/>
    <n v="3.0000000000000004"/>
    <n v="8"/>
    <n v="6"/>
    <n v="17"/>
    <n v="6"/>
    <x v="1"/>
  </r>
  <r>
    <x v="375"/>
    <n v="67225"/>
    <n v="0"/>
    <n v="1"/>
    <n v="4"/>
    <n v="315"/>
    <n v="35"/>
    <n v="322"/>
    <n v="46"/>
    <n v="7"/>
    <n v="143"/>
    <n v="3"/>
    <n v="7"/>
    <n v="2"/>
    <n v="11"/>
    <n v="5"/>
    <n v="0"/>
    <n v="0"/>
    <n v="0"/>
    <n v="0"/>
    <n v="0"/>
    <x v="0"/>
    <n v="0"/>
    <n v="3"/>
    <n v="11"/>
    <n v="0"/>
    <n v="65"/>
    <n v="2374"/>
    <n v="6.5041095890410956"/>
    <n v="0"/>
    <n v="1"/>
    <n v="0"/>
    <n v="0"/>
    <n v="0"/>
    <n v="0"/>
    <n v="0"/>
    <n v="1"/>
    <n v="0"/>
    <n v="0"/>
    <n v="725"/>
    <n v="582"/>
    <n v="143"/>
    <n v="0"/>
    <x v="0"/>
    <x v="0"/>
    <x v="0"/>
    <x v="0"/>
    <x v="2"/>
    <x v="2"/>
    <n v="0"/>
    <n v="0"/>
    <n v="28"/>
    <n v="10"/>
    <n v="8"/>
    <n v="6"/>
    <n v="24"/>
    <n v="9"/>
    <x v="0"/>
  </r>
  <r>
    <x v="376"/>
    <n v="73356"/>
    <n v="0"/>
    <n v="0"/>
    <n v="56"/>
    <n v="1050"/>
    <n v="14"/>
    <n v="322"/>
    <n v="0"/>
    <n v="14"/>
    <n v="112"/>
    <n v="1"/>
    <n v="5"/>
    <n v="11"/>
    <n v="5"/>
    <n v="2"/>
    <n v="1"/>
    <n v="0"/>
    <n v="1"/>
    <n v="0"/>
    <n v="1"/>
    <x v="1"/>
    <n v="0"/>
    <n v="3"/>
    <n v="11"/>
    <n v="1"/>
    <n v="36"/>
    <n v="2302"/>
    <n v="6.3068493150684928"/>
    <n v="0"/>
    <n v="1"/>
    <n v="0"/>
    <n v="0"/>
    <n v="0"/>
    <n v="0"/>
    <n v="0"/>
    <n v="0"/>
    <n v="0"/>
    <n v="1"/>
    <n v="1400"/>
    <n v="1288"/>
    <n v="112"/>
    <n v="3"/>
    <x v="1"/>
    <x v="1"/>
    <x v="0"/>
    <x v="1"/>
    <x v="2"/>
    <x v="3"/>
    <n v="1"/>
    <n v="0"/>
    <n v="24"/>
    <n v="5"/>
    <n v="6"/>
    <n v="8"/>
    <n v="19"/>
    <n v="7"/>
    <x v="2"/>
  </r>
  <r>
    <x v="377"/>
    <n v="78642"/>
    <n v="0"/>
    <n v="1"/>
    <n v="83"/>
    <n v="1396"/>
    <n v="0"/>
    <n v="322"/>
    <n v="46"/>
    <n v="35"/>
    <n v="17"/>
    <n v="1"/>
    <n v="4"/>
    <n v="9"/>
    <n v="4"/>
    <n v="6"/>
    <n v="0"/>
    <n v="0"/>
    <n v="0"/>
    <n v="0"/>
    <n v="0"/>
    <x v="0"/>
    <n v="0"/>
    <n v="3"/>
    <n v="11"/>
    <n v="0"/>
    <n v="49"/>
    <n v="2593"/>
    <n v="7.1041095890410961"/>
    <n v="0"/>
    <n v="0"/>
    <n v="0"/>
    <n v="1"/>
    <n v="0"/>
    <n v="0"/>
    <n v="0"/>
    <n v="0"/>
    <n v="0"/>
    <n v="1"/>
    <n v="1799"/>
    <n v="1782"/>
    <n v="17"/>
    <n v="0"/>
    <x v="0"/>
    <x v="0"/>
    <x v="2"/>
    <x v="1"/>
    <x v="1"/>
    <x v="0"/>
    <n v="1"/>
    <n v="0"/>
    <n v="24"/>
    <n v="1.9999999999999996"/>
    <n v="6"/>
    <n v="9"/>
    <n v="17"/>
    <n v="6"/>
    <x v="1"/>
  </r>
  <r>
    <x v="378"/>
    <n v="64497"/>
    <n v="0"/>
    <n v="1"/>
    <n v="17"/>
    <n v="1170"/>
    <n v="48"/>
    <n v="320"/>
    <n v="42"/>
    <n v="32"/>
    <n v="192"/>
    <n v="5"/>
    <n v="11"/>
    <n v="4"/>
    <n v="9"/>
    <n v="8"/>
    <n v="0"/>
    <n v="0"/>
    <n v="1"/>
    <n v="0"/>
    <n v="0"/>
    <x v="1"/>
    <n v="0"/>
    <n v="3"/>
    <n v="11"/>
    <n v="1"/>
    <n v="66"/>
    <n v="2816"/>
    <n v="7.7150684931506852"/>
    <n v="1"/>
    <n v="0"/>
    <n v="0"/>
    <n v="0"/>
    <n v="0"/>
    <n v="0"/>
    <n v="0"/>
    <n v="1"/>
    <n v="0"/>
    <n v="0"/>
    <n v="1612"/>
    <n v="1420"/>
    <n v="192"/>
    <n v="1"/>
    <x v="0"/>
    <x v="0"/>
    <x v="3"/>
    <x v="0"/>
    <x v="2"/>
    <x v="2"/>
    <n v="0"/>
    <n v="0"/>
    <n v="37"/>
    <n v="9"/>
    <n v="9"/>
    <n v="9"/>
    <n v="27"/>
    <n v="9"/>
    <x v="0"/>
  </r>
  <r>
    <x v="379"/>
    <n v="77863"/>
    <n v="0"/>
    <n v="0"/>
    <n v="20"/>
    <n v="881"/>
    <n v="38"/>
    <n v="319"/>
    <n v="16"/>
    <n v="25"/>
    <n v="12"/>
    <n v="1"/>
    <n v="4"/>
    <n v="5"/>
    <n v="10"/>
    <n v="2"/>
    <n v="0"/>
    <n v="0"/>
    <n v="0"/>
    <n v="0"/>
    <n v="0"/>
    <x v="0"/>
    <n v="0"/>
    <n v="3"/>
    <n v="11"/>
    <n v="0"/>
    <n v="62"/>
    <n v="2373"/>
    <n v="6.5013698630136982"/>
    <n v="0"/>
    <n v="0"/>
    <n v="0"/>
    <n v="1"/>
    <n v="0"/>
    <n v="0"/>
    <n v="0"/>
    <n v="0"/>
    <n v="0"/>
    <n v="1"/>
    <n v="1279"/>
    <n v="1267"/>
    <n v="12"/>
    <n v="0"/>
    <x v="1"/>
    <x v="1"/>
    <x v="2"/>
    <x v="1"/>
    <x v="1"/>
    <x v="2"/>
    <n v="0"/>
    <n v="0"/>
    <n v="22"/>
    <n v="8"/>
    <n v="5"/>
    <n v="8"/>
    <n v="21"/>
    <n v="8"/>
    <x v="2"/>
  </r>
  <r>
    <x v="380"/>
    <n v="77972"/>
    <n v="0"/>
    <n v="0"/>
    <n v="18"/>
    <n v="613"/>
    <n v="22"/>
    <n v="319"/>
    <n v="33"/>
    <n v="102"/>
    <n v="12"/>
    <n v="1"/>
    <n v="4"/>
    <n v="6"/>
    <n v="9"/>
    <n v="1"/>
    <n v="0"/>
    <n v="0"/>
    <n v="0"/>
    <n v="0"/>
    <n v="0"/>
    <x v="0"/>
    <n v="0"/>
    <n v="3"/>
    <n v="11"/>
    <n v="0"/>
    <n v="66"/>
    <n v="2262"/>
    <n v="6.1972602739726028"/>
    <n v="0"/>
    <n v="0"/>
    <n v="0"/>
    <n v="1"/>
    <n v="0"/>
    <n v="0"/>
    <n v="0"/>
    <n v="1"/>
    <n v="0"/>
    <n v="0"/>
    <n v="1089"/>
    <n v="1077"/>
    <n v="12"/>
    <n v="0"/>
    <x v="1"/>
    <x v="1"/>
    <x v="2"/>
    <x v="0"/>
    <x v="1"/>
    <x v="2"/>
    <n v="0"/>
    <n v="0"/>
    <n v="21"/>
    <n v="9"/>
    <n v="5"/>
    <n v="7"/>
    <n v="21"/>
    <n v="8"/>
    <x v="2"/>
  </r>
  <r>
    <x v="381"/>
    <n v="72550"/>
    <n v="1"/>
    <n v="1"/>
    <n v="39"/>
    <n v="826"/>
    <n v="50"/>
    <n v="317"/>
    <n v="50"/>
    <n v="38"/>
    <n v="38"/>
    <n v="9"/>
    <n v="5"/>
    <n v="2"/>
    <n v="12"/>
    <n v="8"/>
    <n v="0"/>
    <n v="0"/>
    <n v="0"/>
    <n v="0"/>
    <n v="0"/>
    <x v="0"/>
    <n v="0"/>
    <n v="3"/>
    <n v="11"/>
    <n v="0"/>
    <n v="66"/>
    <n v="2757"/>
    <n v="7.5534246575342463"/>
    <n v="0"/>
    <n v="1"/>
    <n v="0"/>
    <n v="0"/>
    <n v="0"/>
    <n v="0"/>
    <n v="0"/>
    <n v="0"/>
    <n v="0"/>
    <n v="1"/>
    <n v="1281"/>
    <n v="1243"/>
    <n v="38"/>
    <n v="0"/>
    <x v="0"/>
    <x v="0"/>
    <x v="0"/>
    <x v="1"/>
    <x v="2"/>
    <x v="2"/>
    <n v="1"/>
    <n v="0"/>
    <n v="36"/>
    <n v="7"/>
    <n v="9"/>
    <n v="8"/>
    <n v="24"/>
    <n v="9"/>
    <x v="0"/>
  </r>
  <r>
    <x v="382"/>
    <n v="74268"/>
    <n v="0"/>
    <n v="0"/>
    <n v="83"/>
    <n v="199"/>
    <n v="66"/>
    <n v="315"/>
    <n v="97"/>
    <n v="174"/>
    <n v="41"/>
    <n v="1"/>
    <n v="4"/>
    <n v="3"/>
    <n v="5"/>
    <n v="2"/>
    <n v="0"/>
    <n v="0"/>
    <n v="0"/>
    <n v="0"/>
    <n v="0"/>
    <x v="0"/>
    <n v="0"/>
    <n v="3"/>
    <n v="11"/>
    <n v="0"/>
    <n v="65"/>
    <n v="2659"/>
    <n v="7.2849315068493148"/>
    <n v="0"/>
    <n v="1"/>
    <n v="0"/>
    <n v="0"/>
    <n v="0"/>
    <n v="0"/>
    <n v="0"/>
    <n v="1"/>
    <n v="0"/>
    <n v="0"/>
    <n v="851"/>
    <n v="810"/>
    <n v="41"/>
    <n v="0"/>
    <x v="1"/>
    <x v="1"/>
    <x v="0"/>
    <x v="0"/>
    <x v="2"/>
    <x v="2"/>
    <n v="1"/>
    <n v="0"/>
    <n v="15"/>
    <n v="1.9999999999999996"/>
    <n v="2"/>
    <n v="7"/>
    <n v="11"/>
    <n v="2"/>
    <x v="3"/>
  </r>
  <r>
    <x v="383"/>
    <n v="63855"/>
    <n v="0"/>
    <n v="0"/>
    <n v="28"/>
    <n v="359"/>
    <n v="35"/>
    <n v="314"/>
    <n v="93"/>
    <n v="116"/>
    <n v="89"/>
    <n v="1"/>
    <n v="7"/>
    <n v="3"/>
    <n v="13"/>
    <n v="4"/>
    <n v="0"/>
    <n v="0"/>
    <n v="0"/>
    <n v="0"/>
    <n v="0"/>
    <x v="0"/>
    <n v="0"/>
    <n v="3"/>
    <n v="11"/>
    <n v="0"/>
    <n v="42"/>
    <n v="2664"/>
    <n v="7.2986301369863016"/>
    <n v="0"/>
    <n v="0"/>
    <n v="0"/>
    <n v="1"/>
    <n v="0"/>
    <n v="1"/>
    <n v="0"/>
    <n v="0"/>
    <n v="0"/>
    <n v="0"/>
    <n v="917"/>
    <n v="828"/>
    <n v="89"/>
    <n v="0"/>
    <x v="1"/>
    <x v="1"/>
    <x v="2"/>
    <x v="1"/>
    <x v="2"/>
    <x v="0"/>
    <n v="0"/>
    <n v="0"/>
    <n v="28"/>
    <n v="8"/>
    <n v="8"/>
    <n v="7"/>
    <n v="23"/>
    <n v="8"/>
    <x v="2"/>
  </r>
  <r>
    <x v="384"/>
    <n v="68126"/>
    <n v="0"/>
    <n v="0"/>
    <n v="40"/>
    <n v="1332"/>
    <n v="17"/>
    <n v="311"/>
    <n v="23"/>
    <n v="51"/>
    <n v="86"/>
    <n v="1"/>
    <n v="7"/>
    <n v="4"/>
    <n v="5"/>
    <n v="9"/>
    <n v="0"/>
    <n v="0"/>
    <n v="0"/>
    <n v="1"/>
    <n v="0"/>
    <x v="1"/>
    <n v="0"/>
    <n v="3"/>
    <n v="11"/>
    <n v="1"/>
    <n v="29"/>
    <n v="2755"/>
    <n v="7.5479452054794525"/>
    <n v="0"/>
    <n v="0"/>
    <n v="1"/>
    <n v="0"/>
    <n v="0"/>
    <n v="0"/>
    <n v="0"/>
    <n v="0"/>
    <n v="0"/>
    <n v="1"/>
    <n v="1734"/>
    <n v="1648"/>
    <n v="86"/>
    <n v="1"/>
    <x v="1"/>
    <x v="1"/>
    <x v="1"/>
    <x v="1"/>
    <x v="2"/>
    <x v="4"/>
    <n v="1"/>
    <n v="0"/>
    <n v="26"/>
    <n v="6"/>
    <n v="7"/>
    <n v="9"/>
    <n v="22"/>
    <n v="8"/>
    <x v="2"/>
  </r>
  <r>
    <x v="385"/>
    <n v="71796"/>
    <n v="0"/>
    <n v="0"/>
    <n v="54"/>
    <n v="354"/>
    <n v="21"/>
    <n v="311"/>
    <n v="167"/>
    <n v="75"/>
    <n v="32"/>
    <n v="1"/>
    <n v="9"/>
    <n v="3"/>
    <n v="4"/>
    <n v="4"/>
    <n v="0"/>
    <n v="0"/>
    <n v="0"/>
    <n v="0"/>
    <n v="0"/>
    <x v="0"/>
    <n v="0"/>
    <n v="3"/>
    <n v="11"/>
    <n v="0"/>
    <n v="49"/>
    <n v="2407"/>
    <n v="6.5945205479452058"/>
    <n v="0"/>
    <n v="0"/>
    <n v="0"/>
    <n v="1"/>
    <n v="0"/>
    <n v="0"/>
    <n v="0"/>
    <n v="1"/>
    <n v="0"/>
    <n v="0"/>
    <n v="928"/>
    <n v="896"/>
    <n v="32"/>
    <n v="0"/>
    <x v="1"/>
    <x v="1"/>
    <x v="2"/>
    <x v="0"/>
    <x v="2"/>
    <x v="0"/>
    <n v="1"/>
    <n v="0"/>
    <n v="21"/>
    <n v="5"/>
    <n v="5"/>
    <n v="7"/>
    <n v="17"/>
    <n v="6"/>
    <x v="1"/>
  </r>
  <r>
    <x v="386"/>
    <n v="85683"/>
    <n v="0"/>
    <n v="0"/>
    <n v="6"/>
    <n v="1296"/>
    <n v="17"/>
    <n v="311"/>
    <n v="45"/>
    <n v="69"/>
    <n v="51"/>
    <n v="1"/>
    <n v="2"/>
    <n v="4"/>
    <n v="10"/>
    <n v="1"/>
    <n v="1"/>
    <n v="1"/>
    <n v="0"/>
    <n v="1"/>
    <n v="1"/>
    <x v="1"/>
    <n v="0"/>
    <n v="3"/>
    <n v="11"/>
    <n v="1"/>
    <n v="66"/>
    <n v="2259"/>
    <n v="6.1890410958904107"/>
    <n v="1"/>
    <n v="0"/>
    <n v="0"/>
    <n v="0"/>
    <n v="0"/>
    <n v="0"/>
    <n v="0"/>
    <n v="1"/>
    <n v="0"/>
    <n v="0"/>
    <n v="1738"/>
    <n v="1687"/>
    <n v="51"/>
    <n v="4"/>
    <x v="1"/>
    <x v="1"/>
    <x v="3"/>
    <x v="0"/>
    <x v="1"/>
    <x v="2"/>
    <n v="0"/>
    <n v="0"/>
    <n v="18"/>
    <n v="10"/>
    <n v="4"/>
    <n v="9"/>
    <n v="23"/>
    <n v="8"/>
    <x v="2"/>
  </r>
  <r>
    <x v="387"/>
    <n v="60585"/>
    <n v="1"/>
    <n v="1"/>
    <n v="17"/>
    <n v="267"/>
    <n v="42"/>
    <n v="309"/>
    <n v="55"/>
    <n v="42"/>
    <n v="21"/>
    <n v="10"/>
    <n v="7"/>
    <n v="4"/>
    <n v="9"/>
    <n v="5"/>
    <n v="0"/>
    <n v="0"/>
    <n v="0"/>
    <n v="0"/>
    <n v="0"/>
    <x v="0"/>
    <n v="0"/>
    <n v="3"/>
    <n v="11"/>
    <n v="1"/>
    <n v="49"/>
    <n v="2529"/>
    <n v="6.9287671232876713"/>
    <n v="0"/>
    <n v="1"/>
    <n v="0"/>
    <n v="0"/>
    <n v="0"/>
    <n v="0"/>
    <n v="0"/>
    <n v="0"/>
    <n v="0"/>
    <n v="1"/>
    <n v="715"/>
    <n v="694"/>
    <n v="21"/>
    <n v="0"/>
    <x v="0"/>
    <x v="0"/>
    <x v="0"/>
    <x v="1"/>
    <x v="2"/>
    <x v="0"/>
    <n v="0"/>
    <n v="0"/>
    <n v="35"/>
    <n v="9"/>
    <n v="9"/>
    <n v="6"/>
    <n v="24"/>
    <n v="9"/>
    <x v="0"/>
  </r>
  <r>
    <x v="388"/>
    <n v="75072"/>
    <n v="0"/>
    <n v="1"/>
    <n v="83"/>
    <n v="583"/>
    <n v="34"/>
    <n v="309"/>
    <n v="0"/>
    <n v="22"/>
    <n v="125"/>
    <n v="2"/>
    <n v="5"/>
    <n v="4"/>
    <n v="8"/>
    <n v="3"/>
    <n v="0"/>
    <n v="0"/>
    <n v="0"/>
    <n v="0"/>
    <n v="0"/>
    <x v="0"/>
    <n v="0"/>
    <n v="3"/>
    <n v="11"/>
    <n v="0"/>
    <n v="58"/>
    <n v="2681"/>
    <n v="7.3452054794520549"/>
    <n v="0"/>
    <n v="0"/>
    <n v="0"/>
    <n v="1"/>
    <n v="0"/>
    <n v="0"/>
    <n v="0"/>
    <n v="1"/>
    <n v="0"/>
    <n v="0"/>
    <n v="948"/>
    <n v="823"/>
    <n v="125"/>
    <n v="0"/>
    <x v="0"/>
    <x v="0"/>
    <x v="2"/>
    <x v="0"/>
    <x v="1"/>
    <x v="1"/>
    <n v="1"/>
    <n v="0"/>
    <n v="22"/>
    <n v="1.9999999999999996"/>
    <n v="5"/>
    <n v="7"/>
    <n v="14"/>
    <n v="4"/>
    <x v="3"/>
  </r>
  <r>
    <x v="389"/>
    <n v="76445"/>
    <n v="1"/>
    <n v="0"/>
    <n v="2"/>
    <n v="739"/>
    <n v="107"/>
    <n v="309"/>
    <n v="140"/>
    <n v="80"/>
    <n v="35"/>
    <n v="1"/>
    <n v="2"/>
    <n v="5"/>
    <n v="13"/>
    <n v="6"/>
    <n v="0"/>
    <n v="0"/>
    <n v="0"/>
    <n v="0"/>
    <n v="0"/>
    <x v="0"/>
    <n v="0"/>
    <n v="3"/>
    <n v="11"/>
    <n v="0"/>
    <n v="49"/>
    <n v="2798"/>
    <n v="7.6657534246575345"/>
    <n v="0"/>
    <n v="1"/>
    <n v="0"/>
    <n v="0"/>
    <n v="0"/>
    <n v="0"/>
    <n v="0"/>
    <n v="1"/>
    <n v="0"/>
    <n v="0"/>
    <n v="1375"/>
    <n v="1340"/>
    <n v="35"/>
    <n v="0"/>
    <x v="0"/>
    <x v="0"/>
    <x v="0"/>
    <x v="0"/>
    <x v="1"/>
    <x v="0"/>
    <n v="0"/>
    <n v="0"/>
    <n v="27"/>
    <n v="10"/>
    <n v="7"/>
    <n v="8"/>
    <n v="25"/>
    <n v="9"/>
    <x v="0"/>
  </r>
  <r>
    <x v="390"/>
    <n v="78901"/>
    <n v="0"/>
    <n v="1"/>
    <n v="99"/>
    <n v="321"/>
    <n v="11"/>
    <n v="309"/>
    <n v="33"/>
    <n v="26"/>
    <n v="34"/>
    <n v="3"/>
    <n v="9"/>
    <n v="3"/>
    <n v="5"/>
    <n v="4"/>
    <n v="0"/>
    <n v="0"/>
    <n v="0"/>
    <n v="0"/>
    <n v="0"/>
    <x v="0"/>
    <n v="0"/>
    <n v="3"/>
    <n v="11"/>
    <n v="0"/>
    <n v="47"/>
    <n v="2444"/>
    <n v="6.6958904109589037"/>
    <n v="1"/>
    <n v="0"/>
    <n v="0"/>
    <n v="0"/>
    <n v="0"/>
    <n v="0"/>
    <n v="0"/>
    <n v="1"/>
    <n v="0"/>
    <n v="0"/>
    <n v="700"/>
    <n v="666"/>
    <n v="34"/>
    <n v="0"/>
    <x v="0"/>
    <x v="0"/>
    <x v="3"/>
    <x v="0"/>
    <x v="1"/>
    <x v="0"/>
    <n v="1"/>
    <n v="1"/>
    <n v="24"/>
    <n v="0.99999999999999978"/>
    <n v="6"/>
    <n v="6"/>
    <n v="13"/>
    <n v="3"/>
    <x v="3"/>
  </r>
  <r>
    <x v="391"/>
    <n v="88194"/>
    <n v="0"/>
    <n v="1"/>
    <n v="19"/>
    <n v="688"/>
    <n v="14"/>
    <n v="309"/>
    <n v="201"/>
    <n v="24"/>
    <n v="38"/>
    <n v="1"/>
    <n v="11"/>
    <n v="10"/>
    <n v="10"/>
    <n v="5"/>
    <n v="1"/>
    <n v="0"/>
    <n v="1"/>
    <n v="0"/>
    <n v="0"/>
    <x v="1"/>
    <n v="0"/>
    <n v="3"/>
    <n v="11"/>
    <n v="1"/>
    <n v="41"/>
    <n v="2261"/>
    <n v="6.1945205479452055"/>
    <n v="0"/>
    <n v="0"/>
    <n v="1"/>
    <n v="0"/>
    <n v="0"/>
    <n v="1"/>
    <n v="0"/>
    <n v="0"/>
    <n v="0"/>
    <n v="0"/>
    <n v="1236"/>
    <n v="1198"/>
    <n v="38"/>
    <n v="2"/>
    <x v="0"/>
    <x v="0"/>
    <x v="1"/>
    <x v="1"/>
    <x v="1"/>
    <x v="0"/>
    <n v="0"/>
    <n v="0"/>
    <n v="37"/>
    <n v="9"/>
    <n v="9"/>
    <n v="8"/>
    <n v="26"/>
    <n v="9"/>
    <x v="0"/>
  </r>
  <r>
    <x v="392"/>
    <n v="66951"/>
    <n v="0"/>
    <n v="0"/>
    <n v="46"/>
    <n v="277"/>
    <n v="162"/>
    <n v="305"/>
    <n v="173"/>
    <n v="76"/>
    <n v="124"/>
    <n v="1"/>
    <n v="3"/>
    <n v="4"/>
    <n v="7"/>
    <n v="1"/>
    <n v="0"/>
    <n v="0"/>
    <n v="0"/>
    <n v="0"/>
    <n v="0"/>
    <x v="0"/>
    <n v="0"/>
    <n v="3"/>
    <n v="11"/>
    <n v="0"/>
    <n v="32"/>
    <n v="2398"/>
    <n v="6.5698630136986305"/>
    <n v="0"/>
    <n v="0"/>
    <n v="1"/>
    <n v="0"/>
    <n v="0"/>
    <n v="0"/>
    <n v="0"/>
    <n v="1"/>
    <n v="0"/>
    <n v="0"/>
    <n v="993"/>
    <n v="869"/>
    <n v="124"/>
    <n v="0"/>
    <x v="1"/>
    <x v="1"/>
    <x v="1"/>
    <x v="0"/>
    <x v="2"/>
    <x v="3"/>
    <n v="1"/>
    <n v="0"/>
    <n v="16"/>
    <n v="6"/>
    <n v="3"/>
    <n v="7"/>
    <n v="16"/>
    <n v="5"/>
    <x v="1"/>
  </r>
  <r>
    <x v="393"/>
    <n v="75127"/>
    <n v="0"/>
    <n v="0"/>
    <n v="92"/>
    <n v="203"/>
    <n v="35"/>
    <n v="305"/>
    <n v="46"/>
    <n v="17"/>
    <n v="227"/>
    <n v="1"/>
    <n v="2"/>
    <n v="11"/>
    <n v="5"/>
    <n v="1"/>
    <n v="0"/>
    <n v="0"/>
    <n v="0"/>
    <n v="0"/>
    <n v="0"/>
    <x v="0"/>
    <n v="0"/>
    <n v="3"/>
    <n v="11"/>
    <n v="0"/>
    <n v="68"/>
    <n v="2197"/>
    <n v="6.0191780821917806"/>
    <n v="0"/>
    <n v="0"/>
    <n v="1"/>
    <n v="0"/>
    <n v="0"/>
    <n v="0"/>
    <n v="0"/>
    <n v="1"/>
    <n v="0"/>
    <n v="0"/>
    <n v="606"/>
    <n v="379"/>
    <n v="227"/>
    <n v="0"/>
    <x v="1"/>
    <x v="1"/>
    <x v="1"/>
    <x v="0"/>
    <x v="1"/>
    <x v="2"/>
    <n v="1"/>
    <n v="1"/>
    <n v="20"/>
    <n v="0.99999999999999978"/>
    <n v="4"/>
    <n v="6"/>
    <n v="11"/>
    <n v="2"/>
    <x v="3"/>
  </r>
  <r>
    <x v="394"/>
    <n v="70643"/>
    <n v="0"/>
    <n v="0"/>
    <n v="66"/>
    <n v="1218"/>
    <n v="107"/>
    <n v="304"/>
    <n v="23"/>
    <n v="143"/>
    <n v="33"/>
    <n v="1"/>
    <n v="5"/>
    <n v="8"/>
    <n v="4"/>
    <n v="6"/>
    <n v="0"/>
    <n v="0"/>
    <n v="0"/>
    <n v="0"/>
    <n v="0"/>
    <x v="0"/>
    <n v="0"/>
    <n v="3"/>
    <n v="11"/>
    <n v="1"/>
    <n v="36"/>
    <n v="2781"/>
    <n v="7.6191780821917812"/>
    <n v="0"/>
    <n v="1"/>
    <n v="0"/>
    <n v="0"/>
    <n v="0"/>
    <n v="0"/>
    <n v="0"/>
    <n v="0"/>
    <n v="0"/>
    <n v="1"/>
    <n v="1795"/>
    <n v="1762"/>
    <n v="33"/>
    <n v="0"/>
    <x v="1"/>
    <x v="1"/>
    <x v="0"/>
    <x v="1"/>
    <x v="2"/>
    <x v="3"/>
    <n v="1"/>
    <n v="0"/>
    <n v="24"/>
    <n v="4"/>
    <n v="6"/>
    <n v="9"/>
    <n v="19"/>
    <n v="7"/>
    <x v="2"/>
  </r>
  <r>
    <x v="395"/>
    <n v="60474"/>
    <n v="0"/>
    <n v="1"/>
    <n v="25"/>
    <n v="265"/>
    <n v="199"/>
    <n v="303"/>
    <n v="234"/>
    <n v="9"/>
    <n v="170"/>
    <n v="7"/>
    <n v="10"/>
    <n v="2"/>
    <n v="12"/>
    <n v="7"/>
    <n v="0"/>
    <n v="0"/>
    <n v="0"/>
    <n v="0"/>
    <n v="0"/>
    <x v="0"/>
    <n v="0"/>
    <n v="3"/>
    <n v="11"/>
    <n v="0"/>
    <n v="41"/>
    <n v="2613"/>
    <n v="7.1589041095890407"/>
    <n v="0"/>
    <n v="0"/>
    <n v="1"/>
    <n v="0"/>
    <n v="0"/>
    <n v="0"/>
    <n v="0"/>
    <n v="1"/>
    <n v="0"/>
    <n v="0"/>
    <n v="1010"/>
    <n v="840"/>
    <n v="170"/>
    <n v="0"/>
    <x v="0"/>
    <x v="0"/>
    <x v="1"/>
    <x v="0"/>
    <x v="2"/>
    <x v="0"/>
    <n v="0"/>
    <n v="0"/>
    <n v="38"/>
    <n v="8"/>
    <n v="9"/>
    <n v="7"/>
    <n v="24"/>
    <n v="9"/>
    <x v="0"/>
  </r>
  <r>
    <x v="396"/>
    <n v="57731"/>
    <n v="0"/>
    <n v="1"/>
    <n v="0"/>
    <n v="266"/>
    <n v="21"/>
    <n v="300"/>
    <n v="65"/>
    <n v="8"/>
    <n v="44"/>
    <n v="4"/>
    <n v="8"/>
    <n v="8"/>
    <n v="6"/>
    <n v="6"/>
    <n v="0"/>
    <n v="0"/>
    <n v="0"/>
    <n v="0"/>
    <n v="0"/>
    <x v="0"/>
    <n v="0"/>
    <n v="3"/>
    <n v="11"/>
    <n v="0"/>
    <n v="51"/>
    <n v="2742"/>
    <n v="7.5123287671232877"/>
    <n v="0"/>
    <n v="0"/>
    <n v="1"/>
    <n v="0"/>
    <n v="0"/>
    <n v="0"/>
    <n v="0"/>
    <n v="1"/>
    <n v="0"/>
    <n v="0"/>
    <n v="660"/>
    <n v="616"/>
    <n v="44"/>
    <n v="0"/>
    <x v="0"/>
    <x v="0"/>
    <x v="1"/>
    <x v="0"/>
    <x v="2"/>
    <x v="1"/>
    <n v="0"/>
    <n v="0"/>
    <n v="32"/>
    <n v="10"/>
    <n v="9"/>
    <n v="6"/>
    <n v="25"/>
    <n v="9"/>
    <x v="0"/>
  </r>
  <r>
    <x v="397"/>
    <n v="60152"/>
    <n v="0"/>
    <n v="1"/>
    <n v="6"/>
    <n v="325"/>
    <n v="83"/>
    <n v="300"/>
    <n v="86"/>
    <n v="58"/>
    <n v="91"/>
    <n v="1"/>
    <n v="6"/>
    <n v="4"/>
    <n v="12"/>
    <n v="3"/>
    <n v="0"/>
    <n v="0"/>
    <n v="0"/>
    <n v="0"/>
    <n v="0"/>
    <x v="0"/>
    <n v="0"/>
    <n v="3"/>
    <n v="11"/>
    <n v="0"/>
    <n v="41"/>
    <n v="2617"/>
    <n v="7.1698630136986301"/>
    <n v="0"/>
    <n v="0"/>
    <n v="1"/>
    <n v="0"/>
    <n v="0"/>
    <n v="0"/>
    <n v="0"/>
    <n v="1"/>
    <n v="0"/>
    <n v="0"/>
    <n v="852"/>
    <n v="761"/>
    <n v="91"/>
    <n v="0"/>
    <x v="0"/>
    <x v="0"/>
    <x v="1"/>
    <x v="0"/>
    <x v="2"/>
    <x v="0"/>
    <n v="0"/>
    <n v="0"/>
    <n v="26"/>
    <n v="10"/>
    <n v="7"/>
    <n v="7"/>
    <n v="24"/>
    <n v="9"/>
    <x v="0"/>
  </r>
  <r>
    <x v="398"/>
    <n v="72071"/>
    <n v="0"/>
    <n v="1"/>
    <n v="4"/>
    <n v="531"/>
    <n v="69"/>
    <n v="300"/>
    <n v="150"/>
    <n v="138"/>
    <n v="150"/>
    <n v="3"/>
    <n v="5"/>
    <n v="4"/>
    <n v="8"/>
    <n v="2"/>
    <n v="0"/>
    <n v="0"/>
    <n v="0"/>
    <n v="0"/>
    <n v="0"/>
    <x v="0"/>
    <n v="0"/>
    <n v="3"/>
    <n v="11"/>
    <n v="0"/>
    <n v="66"/>
    <n v="2659"/>
    <n v="7.2849315068493148"/>
    <n v="1"/>
    <n v="0"/>
    <n v="0"/>
    <n v="0"/>
    <n v="0"/>
    <n v="0"/>
    <n v="0"/>
    <n v="1"/>
    <n v="0"/>
    <n v="0"/>
    <n v="1188"/>
    <n v="1038"/>
    <n v="150"/>
    <n v="0"/>
    <x v="0"/>
    <x v="0"/>
    <x v="3"/>
    <x v="0"/>
    <x v="2"/>
    <x v="2"/>
    <n v="0"/>
    <n v="0"/>
    <n v="22"/>
    <n v="10"/>
    <n v="5"/>
    <n v="8"/>
    <n v="23"/>
    <n v="8"/>
    <x v="2"/>
  </r>
  <r>
    <x v="399"/>
    <n v="72940"/>
    <n v="0"/>
    <n v="0"/>
    <n v="13"/>
    <n v="182"/>
    <n v="74"/>
    <n v="298"/>
    <n v="162"/>
    <n v="149"/>
    <n v="116"/>
    <n v="1"/>
    <n v="3"/>
    <n v="3"/>
    <n v="6"/>
    <n v="1"/>
    <n v="0"/>
    <n v="0"/>
    <n v="0"/>
    <n v="0"/>
    <n v="0"/>
    <x v="0"/>
    <n v="0"/>
    <n v="3"/>
    <n v="11"/>
    <n v="0"/>
    <n v="50"/>
    <n v="2534"/>
    <n v="6.9424657534246572"/>
    <n v="0"/>
    <n v="1"/>
    <n v="0"/>
    <n v="0"/>
    <n v="0"/>
    <n v="0"/>
    <n v="0"/>
    <n v="1"/>
    <n v="0"/>
    <n v="0"/>
    <n v="865"/>
    <n v="749"/>
    <n v="116"/>
    <n v="0"/>
    <x v="1"/>
    <x v="1"/>
    <x v="0"/>
    <x v="0"/>
    <x v="2"/>
    <x v="0"/>
    <n v="0"/>
    <n v="0"/>
    <n v="14"/>
    <n v="9"/>
    <n v="2"/>
    <n v="7"/>
    <n v="18"/>
    <n v="6"/>
    <x v="1"/>
  </r>
  <r>
    <x v="400"/>
    <n v="75433"/>
    <n v="1"/>
    <n v="0"/>
    <n v="28"/>
    <n v="800"/>
    <n v="0"/>
    <n v="297"/>
    <n v="0"/>
    <n v="34"/>
    <n v="57"/>
    <n v="2"/>
    <n v="2"/>
    <n v="5"/>
    <n v="10"/>
    <n v="6"/>
    <n v="1"/>
    <n v="0"/>
    <n v="0"/>
    <n v="1"/>
    <n v="0"/>
    <x v="1"/>
    <n v="0"/>
    <n v="3"/>
    <n v="11"/>
    <n v="0"/>
    <n v="31"/>
    <n v="2244"/>
    <n v="6.1479452054794521"/>
    <n v="0"/>
    <n v="1"/>
    <n v="0"/>
    <n v="0"/>
    <n v="0"/>
    <n v="0"/>
    <n v="0"/>
    <n v="1"/>
    <n v="0"/>
    <n v="0"/>
    <n v="1131"/>
    <n v="1074"/>
    <n v="57"/>
    <n v="2"/>
    <x v="0"/>
    <x v="0"/>
    <x v="0"/>
    <x v="0"/>
    <x v="1"/>
    <x v="3"/>
    <n v="0"/>
    <n v="0"/>
    <n v="25"/>
    <n v="8"/>
    <n v="7"/>
    <n v="8"/>
    <n v="23"/>
    <n v="8"/>
    <x v="2"/>
  </r>
  <r>
    <x v="401"/>
    <n v="65492"/>
    <n v="0"/>
    <n v="0"/>
    <n v="73"/>
    <n v="247"/>
    <n v="161"/>
    <n v="295"/>
    <n v="210"/>
    <n v="85"/>
    <n v="47"/>
    <n v="2"/>
    <n v="4"/>
    <n v="7"/>
    <n v="13"/>
    <n v="2"/>
    <n v="0"/>
    <n v="0"/>
    <n v="0"/>
    <n v="0"/>
    <n v="0"/>
    <x v="0"/>
    <n v="0"/>
    <n v="3"/>
    <n v="11"/>
    <n v="0"/>
    <n v="61"/>
    <n v="2313"/>
    <n v="6.3369863013698629"/>
    <n v="0"/>
    <n v="1"/>
    <n v="0"/>
    <n v="0"/>
    <n v="0"/>
    <n v="0"/>
    <n v="0"/>
    <n v="1"/>
    <n v="0"/>
    <n v="0"/>
    <n v="998"/>
    <n v="951"/>
    <n v="47"/>
    <n v="0"/>
    <x v="1"/>
    <x v="1"/>
    <x v="0"/>
    <x v="0"/>
    <x v="2"/>
    <x v="2"/>
    <n v="1"/>
    <n v="0"/>
    <n v="28"/>
    <n v="3.0000000000000004"/>
    <n v="8"/>
    <n v="7"/>
    <n v="18"/>
    <n v="6"/>
    <x v="1"/>
  </r>
  <r>
    <x v="402"/>
    <n v="76618"/>
    <n v="0"/>
    <n v="0"/>
    <n v="64"/>
    <n v="749"/>
    <n v="40"/>
    <n v="294"/>
    <n v="121"/>
    <n v="160"/>
    <n v="147"/>
    <n v="1"/>
    <n v="3"/>
    <n v="2"/>
    <n v="5"/>
    <n v="1"/>
    <n v="0"/>
    <n v="0"/>
    <n v="0"/>
    <n v="0"/>
    <n v="0"/>
    <x v="0"/>
    <n v="0"/>
    <n v="3"/>
    <n v="11"/>
    <n v="0"/>
    <n v="45"/>
    <n v="2728"/>
    <n v="7.4739726027397264"/>
    <n v="0"/>
    <n v="1"/>
    <n v="0"/>
    <n v="0"/>
    <n v="0"/>
    <n v="0"/>
    <n v="0"/>
    <n v="0"/>
    <n v="0"/>
    <n v="1"/>
    <n v="1364"/>
    <n v="1217"/>
    <n v="147"/>
    <n v="0"/>
    <x v="1"/>
    <x v="1"/>
    <x v="0"/>
    <x v="1"/>
    <x v="1"/>
    <x v="0"/>
    <n v="1"/>
    <n v="0"/>
    <n v="12"/>
    <n v="4"/>
    <n v="1"/>
    <n v="8"/>
    <n v="13"/>
    <n v="3"/>
    <x v="3"/>
  </r>
  <r>
    <x v="403"/>
    <n v="75693"/>
    <n v="0"/>
    <n v="0"/>
    <n v="10"/>
    <n v="797"/>
    <n v="153"/>
    <n v="293"/>
    <n v="72"/>
    <n v="97"/>
    <n v="30"/>
    <n v="1"/>
    <n v="11"/>
    <n v="4"/>
    <n v="6"/>
    <n v="4"/>
    <n v="1"/>
    <n v="0"/>
    <n v="0"/>
    <n v="1"/>
    <n v="1"/>
    <x v="1"/>
    <n v="0"/>
    <n v="3"/>
    <n v="11"/>
    <n v="1"/>
    <n v="52"/>
    <n v="2729"/>
    <n v="7.4767123287671229"/>
    <n v="1"/>
    <n v="0"/>
    <n v="0"/>
    <n v="0"/>
    <n v="0"/>
    <n v="0"/>
    <n v="0"/>
    <n v="1"/>
    <n v="0"/>
    <n v="0"/>
    <n v="1412"/>
    <n v="1382"/>
    <n v="30"/>
    <n v="3"/>
    <x v="1"/>
    <x v="1"/>
    <x v="3"/>
    <x v="0"/>
    <x v="1"/>
    <x v="1"/>
    <n v="0"/>
    <n v="0"/>
    <n v="26"/>
    <n v="9"/>
    <n v="7"/>
    <n v="8"/>
    <n v="24"/>
    <n v="9"/>
    <x v="0"/>
  </r>
  <r>
    <x v="404"/>
    <n v="52845"/>
    <n v="1"/>
    <n v="0"/>
    <n v="7"/>
    <n v="384"/>
    <n v="25"/>
    <n v="292"/>
    <n v="130"/>
    <n v="41"/>
    <n v="64"/>
    <n v="3"/>
    <n v="8"/>
    <n v="8"/>
    <n v="6"/>
    <n v="6"/>
    <n v="0"/>
    <n v="0"/>
    <n v="1"/>
    <n v="0"/>
    <n v="0"/>
    <x v="1"/>
    <n v="0"/>
    <n v="3"/>
    <n v="11"/>
    <n v="0"/>
    <n v="47"/>
    <n v="2479"/>
    <n v="6.7917808219178086"/>
    <n v="0"/>
    <n v="1"/>
    <n v="0"/>
    <n v="0"/>
    <n v="0"/>
    <n v="0"/>
    <n v="0"/>
    <n v="1"/>
    <n v="0"/>
    <n v="0"/>
    <n v="872"/>
    <n v="808"/>
    <n v="64"/>
    <n v="1"/>
    <x v="0"/>
    <x v="0"/>
    <x v="0"/>
    <x v="0"/>
    <x v="2"/>
    <x v="0"/>
    <n v="0"/>
    <n v="0"/>
    <n v="31"/>
    <n v="10"/>
    <n v="9"/>
    <n v="7"/>
    <n v="26"/>
    <n v="9"/>
    <x v="0"/>
  </r>
  <r>
    <x v="405"/>
    <n v="65220"/>
    <n v="0"/>
    <n v="0"/>
    <n v="3"/>
    <n v="890"/>
    <n v="63"/>
    <n v="292"/>
    <n v="0"/>
    <n v="25"/>
    <n v="12"/>
    <n v="4"/>
    <n v="8"/>
    <n v="4"/>
    <n v="7"/>
    <n v="6"/>
    <n v="0"/>
    <n v="0"/>
    <n v="0"/>
    <n v="0"/>
    <n v="0"/>
    <x v="0"/>
    <n v="0"/>
    <n v="3"/>
    <n v="11"/>
    <n v="1"/>
    <n v="55"/>
    <n v="2823"/>
    <n v="7.7342465753424658"/>
    <n v="0"/>
    <n v="0"/>
    <n v="0"/>
    <n v="1"/>
    <n v="0"/>
    <n v="0"/>
    <n v="0"/>
    <n v="0"/>
    <n v="0"/>
    <n v="1"/>
    <n v="1270"/>
    <n v="1258"/>
    <n v="12"/>
    <n v="0"/>
    <x v="1"/>
    <x v="1"/>
    <x v="2"/>
    <x v="1"/>
    <x v="2"/>
    <x v="1"/>
    <n v="0"/>
    <n v="0"/>
    <n v="29"/>
    <n v="10"/>
    <n v="8"/>
    <n v="8"/>
    <n v="26"/>
    <n v="9"/>
    <x v="0"/>
  </r>
  <r>
    <x v="406"/>
    <n v="76982"/>
    <n v="0"/>
    <n v="0"/>
    <n v="19"/>
    <n v="464"/>
    <n v="151"/>
    <n v="292"/>
    <n v="65"/>
    <n v="60"/>
    <n v="30"/>
    <n v="1"/>
    <n v="8"/>
    <n v="3"/>
    <n v="4"/>
    <n v="4"/>
    <n v="0"/>
    <n v="0"/>
    <n v="0"/>
    <n v="0"/>
    <n v="1"/>
    <x v="1"/>
    <n v="0"/>
    <n v="3"/>
    <n v="11"/>
    <n v="1"/>
    <n v="53"/>
    <n v="2293"/>
    <n v="6.2821917808219174"/>
    <n v="1"/>
    <n v="0"/>
    <n v="0"/>
    <n v="0"/>
    <n v="0"/>
    <n v="0"/>
    <n v="0"/>
    <n v="1"/>
    <n v="0"/>
    <n v="0"/>
    <n v="1032"/>
    <n v="1002"/>
    <n v="30"/>
    <n v="1"/>
    <x v="1"/>
    <x v="1"/>
    <x v="3"/>
    <x v="0"/>
    <x v="1"/>
    <x v="1"/>
    <n v="0"/>
    <n v="0"/>
    <n v="20"/>
    <n v="9"/>
    <n v="4"/>
    <n v="7"/>
    <n v="20"/>
    <n v="7"/>
    <x v="2"/>
  </r>
  <r>
    <x v="407"/>
    <n v="77298"/>
    <n v="0"/>
    <n v="1"/>
    <n v="46"/>
    <n v="425"/>
    <n v="115"/>
    <n v="292"/>
    <n v="23"/>
    <n v="35"/>
    <n v="79"/>
    <n v="1"/>
    <n v="6"/>
    <n v="6"/>
    <n v="11"/>
    <n v="3"/>
    <n v="0"/>
    <n v="0"/>
    <n v="0"/>
    <n v="0"/>
    <n v="0"/>
    <x v="0"/>
    <n v="0"/>
    <n v="3"/>
    <n v="11"/>
    <n v="0"/>
    <n v="41"/>
    <n v="2398"/>
    <n v="6.5698630136986305"/>
    <n v="0"/>
    <n v="0"/>
    <n v="0"/>
    <n v="1"/>
    <n v="0"/>
    <n v="0"/>
    <n v="0"/>
    <n v="1"/>
    <n v="0"/>
    <n v="0"/>
    <n v="890"/>
    <n v="811"/>
    <n v="79"/>
    <n v="0"/>
    <x v="0"/>
    <x v="0"/>
    <x v="2"/>
    <x v="0"/>
    <x v="1"/>
    <x v="0"/>
    <n v="1"/>
    <n v="0"/>
    <n v="27"/>
    <n v="6"/>
    <n v="7"/>
    <n v="7"/>
    <n v="20"/>
    <n v="7"/>
    <x v="2"/>
  </r>
  <r>
    <x v="408"/>
    <n v="65031"/>
    <n v="0"/>
    <n v="1"/>
    <n v="29"/>
    <n v="258"/>
    <n v="107"/>
    <n v="291"/>
    <n v="84"/>
    <n v="37"/>
    <n v="86"/>
    <n v="4"/>
    <n v="10"/>
    <n v="3"/>
    <n v="13"/>
    <n v="7"/>
    <n v="0"/>
    <n v="0"/>
    <n v="0"/>
    <n v="0"/>
    <n v="0"/>
    <x v="0"/>
    <n v="0"/>
    <n v="3"/>
    <n v="11"/>
    <n v="0"/>
    <n v="61"/>
    <n v="2628"/>
    <n v="7.2"/>
    <n v="0"/>
    <n v="1"/>
    <n v="0"/>
    <n v="0"/>
    <n v="0"/>
    <n v="0"/>
    <n v="0"/>
    <n v="1"/>
    <n v="0"/>
    <n v="0"/>
    <n v="777"/>
    <n v="691"/>
    <n v="86"/>
    <n v="0"/>
    <x v="0"/>
    <x v="0"/>
    <x v="0"/>
    <x v="0"/>
    <x v="2"/>
    <x v="2"/>
    <n v="0"/>
    <n v="0"/>
    <n v="37"/>
    <n v="8"/>
    <n v="9"/>
    <n v="6"/>
    <n v="23"/>
    <n v="8"/>
    <x v="2"/>
  </r>
  <r>
    <x v="409"/>
    <n v="67430"/>
    <n v="0"/>
    <n v="0"/>
    <n v="6"/>
    <n v="595"/>
    <n v="97"/>
    <n v="291"/>
    <n v="127"/>
    <n v="133"/>
    <n v="121"/>
    <n v="1"/>
    <n v="11"/>
    <n v="5"/>
    <n v="12"/>
    <n v="6"/>
    <n v="0"/>
    <n v="0"/>
    <n v="0"/>
    <n v="0"/>
    <n v="0"/>
    <x v="0"/>
    <n v="0"/>
    <n v="3"/>
    <n v="11"/>
    <n v="0"/>
    <n v="33"/>
    <n v="2821"/>
    <n v="7.7287671232876711"/>
    <n v="0"/>
    <n v="0"/>
    <n v="0"/>
    <n v="1"/>
    <n v="0"/>
    <n v="0"/>
    <n v="0"/>
    <n v="1"/>
    <n v="0"/>
    <n v="0"/>
    <n v="1243"/>
    <n v="1122"/>
    <n v="121"/>
    <n v="0"/>
    <x v="1"/>
    <x v="1"/>
    <x v="2"/>
    <x v="0"/>
    <x v="2"/>
    <x v="3"/>
    <n v="0"/>
    <n v="0"/>
    <n v="35"/>
    <n v="10"/>
    <n v="9"/>
    <n v="8"/>
    <n v="27"/>
    <n v="9"/>
    <x v="0"/>
  </r>
  <r>
    <x v="410"/>
    <n v="65569"/>
    <n v="0"/>
    <n v="1"/>
    <n v="96"/>
    <n v="397"/>
    <n v="46"/>
    <n v="288"/>
    <n v="20"/>
    <n v="38"/>
    <n v="70"/>
    <n v="2"/>
    <n v="6"/>
    <n v="5"/>
    <n v="10"/>
    <n v="3"/>
    <n v="0"/>
    <n v="0"/>
    <n v="0"/>
    <n v="0"/>
    <n v="0"/>
    <x v="0"/>
    <n v="0"/>
    <n v="3"/>
    <n v="11"/>
    <n v="0"/>
    <n v="67"/>
    <n v="2760"/>
    <n v="7.5616438356164384"/>
    <n v="0"/>
    <n v="1"/>
    <n v="0"/>
    <n v="0"/>
    <n v="0"/>
    <n v="0"/>
    <n v="0"/>
    <n v="0"/>
    <n v="1"/>
    <n v="0"/>
    <n v="789"/>
    <n v="719"/>
    <n v="70"/>
    <n v="0"/>
    <x v="0"/>
    <x v="0"/>
    <x v="0"/>
    <x v="1"/>
    <x v="2"/>
    <x v="2"/>
    <n v="1"/>
    <n v="1"/>
    <n v="26"/>
    <n v="0.99999999999999978"/>
    <n v="7"/>
    <n v="6"/>
    <n v="14"/>
    <n v="4"/>
    <x v="3"/>
  </r>
  <r>
    <x v="411"/>
    <n v="78028"/>
    <n v="0"/>
    <n v="1"/>
    <n v="38"/>
    <n v="158"/>
    <n v="19"/>
    <n v="288"/>
    <n v="25"/>
    <n v="0"/>
    <n v="38"/>
    <n v="1"/>
    <n v="6"/>
    <n v="4"/>
    <n v="9"/>
    <n v="7"/>
    <n v="0"/>
    <n v="0"/>
    <n v="0"/>
    <n v="1"/>
    <n v="1"/>
    <x v="1"/>
    <n v="0"/>
    <n v="3"/>
    <n v="11"/>
    <n v="1"/>
    <n v="64"/>
    <n v="2816"/>
    <n v="7.7150684931506852"/>
    <n v="0"/>
    <n v="0"/>
    <n v="0"/>
    <n v="0"/>
    <n v="1"/>
    <n v="0"/>
    <n v="0"/>
    <n v="0"/>
    <n v="0"/>
    <n v="1"/>
    <n v="490"/>
    <n v="452"/>
    <n v="38"/>
    <n v="2"/>
    <x v="0"/>
    <x v="0"/>
    <x v="4"/>
    <x v="1"/>
    <x v="1"/>
    <x v="2"/>
    <n v="1"/>
    <n v="0"/>
    <n v="27"/>
    <n v="7"/>
    <n v="7"/>
    <n v="5"/>
    <n v="19"/>
    <n v="7"/>
    <x v="2"/>
  </r>
  <r>
    <x v="412"/>
    <n v="87771"/>
    <n v="0"/>
    <n v="1"/>
    <n v="61"/>
    <n v="1492"/>
    <n v="38"/>
    <n v="287"/>
    <n v="50"/>
    <n v="57"/>
    <n v="33"/>
    <n v="1"/>
    <n v="5"/>
    <n v="10"/>
    <n v="4"/>
    <n v="6"/>
    <n v="1"/>
    <n v="1"/>
    <n v="0"/>
    <n v="1"/>
    <n v="1"/>
    <x v="1"/>
    <n v="0"/>
    <n v="3"/>
    <n v="11"/>
    <n v="1"/>
    <n v="61"/>
    <n v="2562"/>
    <n v="7.0191780821917806"/>
    <n v="0"/>
    <n v="0"/>
    <n v="0"/>
    <n v="1"/>
    <n v="0"/>
    <n v="0"/>
    <n v="0"/>
    <n v="1"/>
    <n v="0"/>
    <n v="0"/>
    <n v="1924"/>
    <n v="1891"/>
    <n v="33"/>
    <n v="4"/>
    <x v="0"/>
    <x v="0"/>
    <x v="2"/>
    <x v="0"/>
    <x v="1"/>
    <x v="2"/>
    <n v="1"/>
    <n v="0"/>
    <n v="26"/>
    <n v="4"/>
    <n v="7"/>
    <n v="9"/>
    <n v="20"/>
    <n v="7"/>
    <x v="2"/>
  </r>
  <r>
    <x v="413"/>
    <n v="93404"/>
    <n v="1"/>
    <n v="2"/>
    <n v="97"/>
    <n v="1279"/>
    <n v="15"/>
    <n v="287"/>
    <n v="20"/>
    <n v="0"/>
    <n v="15"/>
    <n v="3"/>
    <n v="3"/>
    <n v="4"/>
    <n v="7"/>
    <n v="5"/>
    <n v="0"/>
    <n v="0"/>
    <n v="0"/>
    <n v="1"/>
    <n v="1"/>
    <x v="1"/>
    <n v="0"/>
    <n v="3"/>
    <n v="11"/>
    <n v="0"/>
    <n v="66"/>
    <n v="2577"/>
    <n v="7.0602739726027401"/>
    <n v="0"/>
    <n v="1"/>
    <n v="0"/>
    <n v="0"/>
    <n v="0"/>
    <n v="0"/>
    <n v="0"/>
    <n v="1"/>
    <n v="0"/>
    <n v="0"/>
    <n v="1601"/>
    <n v="1586"/>
    <n v="15"/>
    <n v="2"/>
    <x v="0"/>
    <x v="0"/>
    <x v="0"/>
    <x v="0"/>
    <x v="1"/>
    <x v="2"/>
    <n v="1"/>
    <n v="1"/>
    <n v="22"/>
    <n v="0.99999999999999978"/>
    <n v="5"/>
    <n v="9"/>
    <n v="15"/>
    <n v="4"/>
    <x v="3"/>
  </r>
  <r>
    <x v="414"/>
    <n v="71965"/>
    <n v="0"/>
    <n v="1"/>
    <n v="21"/>
    <n v="572"/>
    <n v="19"/>
    <n v="286"/>
    <n v="50"/>
    <n v="38"/>
    <n v="248"/>
    <n v="3"/>
    <n v="6"/>
    <n v="3"/>
    <n v="5"/>
    <n v="3"/>
    <n v="0"/>
    <n v="0"/>
    <n v="0"/>
    <n v="0"/>
    <n v="0"/>
    <x v="0"/>
    <n v="0"/>
    <n v="3"/>
    <n v="11"/>
    <n v="0"/>
    <n v="69"/>
    <n v="2494"/>
    <n v="6.8328767123287673"/>
    <n v="0"/>
    <n v="1"/>
    <n v="0"/>
    <n v="0"/>
    <n v="0"/>
    <n v="0"/>
    <n v="0"/>
    <n v="1"/>
    <n v="0"/>
    <n v="0"/>
    <n v="965"/>
    <n v="717"/>
    <n v="248"/>
    <n v="0"/>
    <x v="0"/>
    <x v="0"/>
    <x v="0"/>
    <x v="0"/>
    <x v="2"/>
    <x v="2"/>
    <n v="0"/>
    <n v="0"/>
    <n v="20"/>
    <n v="8"/>
    <n v="4"/>
    <n v="7"/>
    <n v="19"/>
    <n v="7"/>
    <x v="2"/>
  </r>
  <r>
    <x v="415"/>
    <n v="64449"/>
    <n v="1"/>
    <n v="0"/>
    <n v="70"/>
    <n v="218"/>
    <n v="63"/>
    <n v="282"/>
    <n v="137"/>
    <n v="35"/>
    <n v="70"/>
    <n v="4"/>
    <n v="5"/>
    <n v="3"/>
    <n v="12"/>
    <n v="4"/>
    <n v="0"/>
    <n v="0"/>
    <n v="0"/>
    <n v="0"/>
    <n v="0"/>
    <x v="0"/>
    <n v="0"/>
    <n v="3"/>
    <n v="11"/>
    <n v="0"/>
    <n v="31"/>
    <n v="2290"/>
    <n v="6.2739726027397262"/>
    <n v="0"/>
    <n v="0"/>
    <n v="1"/>
    <n v="0"/>
    <n v="0"/>
    <n v="0"/>
    <n v="0"/>
    <n v="1"/>
    <n v="0"/>
    <n v="0"/>
    <n v="735"/>
    <n v="665"/>
    <n v="70"/>
    <n v="0"/>
    <x v="0"/>
    <x v="0"/>
    <x v="1"/>
    <x v="0"/>
    <x v="2"/>
    <x v="3"/>
    <n v="1"/>
    <n v="0"/>
    <n v="28"/>
    <n v="3.0000000000000004"/>
    <n v="8"/>
    <n v="6"/>
    <n v="17"/>
    <n v="6"/>
    <x v="1"/>
  </r>
  <r>
    <x v="416"/>
    <n v="67605"/>
    <n v="0"/>
    <n v="0"/>
    <n v="84"/>
    <n v="336"/>
    <n v="28"/>
    <n v="282"/>
    <n v="184"/>
    <n v="54"/>
    <n v="54"/>
    <n v="1"/>
    <n v="2"/>
    <n v="8"/>
    <n v="6"/>
    <n v="1"/>
    <n v="0"/>
    <n v="0"/>
    <n v="0"/>
    <n v="0"/>
    <n v="0"/>
    <x v="0"/>
    <n v="0"/>
    <n v="3"/>
    <n v="11"/>
    <n v="0"/>
    <n v="33"/>
    <n v="2614"/>
    <n v="7.161643835616438"/>
    <n v="0"/>
    <n v="0"/>
    <n v="0"/>
    <n v="1"/>
    <n v="0"/>
    <n v="0"/>
    <n v="0"/>
    <n v="1"/>
    <n v="0"/>
    <n v="0"/>
    <n v="884"/>
    <n v="830"/>
    <n v="54"/>
    <n v="0"/>
    <x v="1"/>
    <x v="1"/>
    <x v="2"/>
    <x v="0"/>
    <x v="2"/>
    <x v="3"/>
    <n v="1"/>
    <n v="0"/>
    <n v="18"/>
    <n v="1.9999999999999996"/>
    <n v="4"/>
    <n v="7"/>
    <n v="13"/>
    <n v="3"/>
    <x v="3"/>
  </r>
  <r>
    <x v="417"/>
    <n v="80134"/>
    <n v="0"/>
    <n v="0"/>
    <n v="11"/>
    <n v="966"/>
    <n v="26"/>
    <n v="282"/>
    <n v="52"/>
    <n v="26"/>
    <n v="26"/>
    <n v="1"/>
    <n v="2"/>
    <n v="7"/>
    <n v="11"/>
    <n v="5"/>
    <n v="1"/>
    <n v="1"/>
    <n v="0"/>
    <n v="1"/>
    <n v="1"/>
    <x v="1"/>
    <n v="0"/>
    <n v="3"/>
    <n v="11"/>
    <n v="0"/>
    <n v="26"/>
    <n v="2294"/>
    <n v="6.2849315068493148"/>
    <n v="0"/>
    <n v="0"/>
    <n v="0"/>
    <n v="1"/>
    <n v="0"/>
    <n v="0"/>
    <n v="0"/>
    <n v="1"/>
    <n v="0"/>
    <n v="0"/>
    <n v="1352"/>
    <n v="1326"/>
    <n v="26"/>
    <n v="4"/>
    <x v="1"/>
    <x v="1"/>
    <x v="2"/>
    <x v="0"/>
    <x v="1"/>
    <x v="4"/>
    <n v="0"/>
    <n v="0"/>
    <n v="26"/>
    <n v="9"/>
    <n v="7"/>
    <n v="8"/>
    <n v="24"/>
    <n v="9"/>
    <x v="0"/>
  </r>
  <r>
    <x v="418"/>
    <n v="77598"/>
    <n v="0"/>
    <n v="0"/>
    <n v="53"/>
    <n v="1193"/>
    <n v="33"/>
    <n v="281"/>
    <n v="129"/>
    <n v="66"/>
    <n v="33"/>
    <n v="1"/>
    <n v="7"/>
    <n v="5"/>
    <n v="13"/>
    <n v="3"/>
    <n v="0"/>
    <n v="0"/>
    <n v="0"/>
    <n v="0"/>
    <n v="1"/>
    <x v="1"/>
    <n v="0"/>
    <n v="3"/>
    <n v="11"/>
    <n v="0"/>
    <n v="77"/>
    <n v="2430"/>
    <n v="6.6575342465753424"/>
    <n v="0"/>
    <n v="0"/>
    <n v="1"/>
    <n v="0"/>
    <n v="0"/>
    <n v="0"/>
    <n v="0"/>
    <n v="0"/>
    <n v="1"/>
    <n v="0"/>
    <n v="1702"/>
    <n v="1669"/>
    <n v="33"/>
    <n v="1"/>
    <x v="1"/>
    <x v="1"/>
    <x v="1"/>
    <x v="1"/>
    <x v="1"/>
    <x v="2"/>
    <n v="1"/>
    <n v="0"/>
    <n v="29"/>
    <n v="5"/>
    <n v="8"/>
    <n v="9"/>
    <n v="22"/>
    <n v="8"/>
    <x v="2"/>
  </r>
  <r>
    <x v="419"/>
    <n v="64722"/>
    <n v="1"/>
    <n v="0"/>
    <n v="47"/>
    <n v="303"/>
    <n v="0"/>
    <n v="280"/>
    <n v="60"/>
    <n v="147"/>
    <n v="15"/>
    <n v="4"/>
    <n v="8"/>
    <n v="2"/>
    <n v="11"/>
    <n v="6"/>
    <n v="0"/>
    <n v="0"/>
    <n v="0"/>
    <n v="0"/>
    <n v="0"/>
    <x v="0"/>
    <n v="0"/>
    <n v="3"/>
    <n v="11"/>
    <n v="0"/>
    <n v="49"/>
    <n v="2193"/>
    <n v="6.0082191780821921"/>
    <n v="0"/>
    <n v="1"/>
    <n v="0"/>
    <n v="0"/>
    <n v="0"/>
    <n v="0"/>
    <n v="0"/>
    <n v="1"/>
    <n v="0"/>
    <n v="0"/>
    <n v="790"/>
    <n v="775"/>
    <n v="15"/>
    <n v="0"/>
    <x v="0"/>
    <x v="0"/>
    <x v="0"/>
    <x v="0"/>
    <x v="2"/>
    <x v="0"/>
    <n v="1"/>
    <n v="0"/>
    <n v="31"/>
    <n v="6"/>
    <n v="9"/>
    <n v="6"/>
    <n v="21"/>
    <n v="8"/>
    <x v="2"/>
  </r>
  <r>
    <x v="420"/>
    <n v="63120"/>
    <n v="0"/>
    <n v="1"/>
    <n v="53"/>
    <n v="965"/>
    <n v="69"/>
    <n v="279"/>
    <n v="54"/>
    <n v="41"/>
    <n v="69"/>
    <n v="5"/>
    <n v="8"/>
    <n v="4"/>
    <n v="9"/>
    <n v="7"/>
    <n v="0"/>
    <n v="0"/>
    <n v="0"/>
    <n v="0"/>
    <n v="0"/>
    <x v="0"/>
    <n v="0"/>
    <n v="3"/>
    <n v="11"/>
    <n v="1"/>
    <n v="70"/>
    <n v="2798"/>
    <n v="7.6657534246575345"/>
    <n v="1"/>
    <n v="0"/>
    <n v="0"/>
    <n v="0"/>
    <n v="0"/>
    <n v="0"/>
    <n v="0"/>
    <n v="0"/>
    <n v="1"/>
    <n v="0"/>
    <n v="1408"/>
    <n v="1339"/>
    <n v="69"/>
    <n v="0"/>
    <x v="0"/>
    <x v="0"/>
    <x v="3"/>
    <x v="1"/>
    <x v="2"/>
    <x v="2"/>
    <n v="1"/>
    <n v="0"/>
    <n v="33"/>
    <n v="5"/>
    <n v="9"/>
    <n v="8"/>
    <n v="22"/>
    <n v="8"/>
    <x v="2"/>
  </r>
  <r>
    <x v="421"/>
    <n v="70713"/>
    <n v="0"/>
    <n v="1"/>
    <n v="23"/>
    <n v="736"/>
    <n v="114"/>
    <n v="279"/>
    <n v="82"/>
    <n v="76"/>
    <n v="190"/>
    <n v="6"/>
    <n v="5"/>
    <n v="6"/>
    <n v="8"/>
    <n v="3"/>
    <n v="0"/>
    <n v="0"/>
    <n v="0"/>
    <n v="0"/>
    <n v="0"/>
    <x v="0"/>
    <n v="0"/>
    <n v="3"/>
    <n v="11"/>
    <n v="0"/>
    <n v="54"/>
    <n v="2732"/>
    <n v="7.484931506849315"/>
    <n v="0"/>
    <n v="0"/>
    <n v="0"/>
    <n v="1"/>
    <n v="0"/>
    <n v="0"/>
    <n v="0"/>
    <n v="1"/>
    <n v="0"/>
    <n v="0"/>
    <n v="1287"/>
    <n v="1097"/>
    <n v="190"/>
    <n v="0"/>
    <x v="0"/>
    <x v="0"/>
    <x v="2"/>
    <x v="0"/>
    <x v="2"/>
    <x v="1"/>
    <n v="0"/>
    <n v="0"/>
    <n v="28"/>
    <n v="8"/>
    <n v="8"/>
    <n v="8"/>
    <n v="24"/>
    <n v="9"/>
    <x v="0"/>
  </r>
  <r>
    <x v="422"/>
    <n v="78416"/>
    <n v="0"/>
    <n v="1"/>
    <n v="99"/>
    <n v="453"/>
    <n v="38"/>
    <n v="279"/>
    <n v="188"/>
    <n v="38"/>
    <n v="183"/>
    <n v="2"/>
    <n v="7"/>
    <n v="7"/>
    <n v="10"/>
    <n v="3"/>
    <n v="0"/>
    <n v="0"/>
    <n v="0"/>
    <n v="0"/>
    <n v="0"/>
    <x v="0"/>
    <n v="0"/>
    <n v="3"/>
    <n v="11"/>
    <n v="0"/>
    <n v="44"/>
    <n v="2161"/>
    <n v="5.9205479452054792"/>
    <n v="0"/>
    <n v="0"/>
    <n v="0"/>
    <n v="1"/>
    <n v="0"/>
    <n v="0"/>
    <n v="0"/>
    <n v="1"/>
    <n v="0"/>
    <n v="0"/>
    <n v="996"/>
    <n v="813"/>
    <n v="183"/>
    <n v="0"/>
    <x v="0"/>
    <x v="0"/>
    <x v="2"/>
    <x v="0"/>
    <x v="1"/>
    <x v="0"/>
    <n v="1"/>
    <n v="1"/>
    <n v="29"/>
    <n v="0.99999999999999978"/>
    <n v="8"/>
    <n v="7"/>
    <n v="16"/>
    <n v="5"/>
    <x v="1"/>
  </r>
  <r>
    <x v="423"/>
    <n v="71022"/>
    <n v="0"/>
    <n v="1"/>
    <n v="30"/>
    <n v="909"/>
    <n v="12"/>
    <n v="278"/>
    <n v="0"/>
    <n v="12"/>
    <n v="242"/>
    <n v="3"/>
    <n v="5"/>
    <n v="2"/>
    <n v="11"/>
    <n v="8"/>
    <n v="0"/>
    <n v="0"/>
    <n v="1"/>
    <n v="0"/>
    <n v="0"/>
    <x v="1"/>
    <n v="0"/>
    <n v="3"/>
    <n v="11"/>
    <n v="0"/>
    <n v="42"/>
    <n v="2297"/>
    <n v="6.2931506849315069"/>
    <n v="1"/>
    <n v="0"/>
    <n v="0"/>
    <n v="0"/>
    <n v="0"/>
    <n v="0"/>
    <n v="0"/>
    <n v="1"/>
    <n v="0"/>
    <n v="0"/>
    <n v="1211"/>
    <n v="969"/>
    <n v="242"/>
    <n v="1"/>
    <x v="0"/>
    <x v="0"/>
    <x v="3"/>
    <x v="0"/>
    <x v="2"/>
    <x v="0"/>
    <n v="0"/>
    <n v="0"/>
    <n v="29"/>
    <n v="7"/>
    <n v="8"/>
    <n v="8"/>
    <n v="23"/>
    <n v="8"/>
    <x v="2"/>
  </r>
  <r>
    <x v="424"/>
    <n v="79865"/>
    <n v="0"/>
    <n v="1"/>
    <n v="12"/>
    <n v="71"/>
    <n v="99"/>
    <n v="278"/>
    <n v="185"/>
    <n v="121"/>
    <n v="38"/>
    <n v="1"/>
    <n v="5"/>
    <n v="10"/>
    <n v="5"/>
    <n v="1"/>
    <n v="0"/>
    <n v="0"/>
    <n v="0"/>
    <n v="0"/>
    <n v="0"/>
    <x v="0"/>
    <n v="0"/>
    <n v="3"/>
    <n v="11"/>
    <n v="0"/>
    <n v="66"/>
    <n v="2170"/>
    <n v="5.9452054794520546"/>
    <n v="1"/>
    <n v="0"/>
    <n v="0"/>
    <n v="0"/>
    <n v="0"/>
    <n v="0"/>
    <n v="0"/>
    <n v="1"/>
    <n v="0"/>
    <n v="0"/>
    <n v="754"/>
    <n v="716"/>
    <n v="38"/>
    <n v="0"/>
    <x v="0"/>
    <x v="0"/>
    <x v="3"/>
    <x v="0"/>
    <x v="1"/>
    <x v="2"/>
    <n v="0"/>
    <n v="0"/>
    <n v="22"/>
    <n v="9"/>
    <n v="5"/>
    <n v="6"/>
    <n v="20"/>
    <n v="7"/>
    <x v="2"/>
  </r>
  <r>
    <x v="425"/>
    <n v="81929"/>
    <n v="1"/>
    <n v="0"/>
    <n v="60"/>
    <n v="1486"/>
    <n v="55"/>
    <n v="278"/>
    <n v="49"/>
    <n v="0"/>
    <n v="185"/>
    <n v="2"/>
    <n v="4"/>
    <n v="4"/>
    <n v="10"/>
    <n v="6"/>
    <n v="0"/>
    <n v="0"/>
    <n v="1"/>
    <n v="0"/>
    <n v="1"/>
    <x v="1"/>
    <n v="0"/>
    <n v="3"/>
    <n v="11"/>
    <n v="1"/>
    <n v="44"/>
    <n v="2797"/>
    <n v="7.6630136986301371"/>
    <n v="0"/>
    <n v="1"/>
    <n v="0"/>
    <n v="0"/>
    <n v="0"/>
    <n v="0"/>
    <n v="0"/>
    <n v="0"/>
    <n v="1"/>
    <n v="0"/>
    <n v="1868"/>
    <n v="1683"/>
    <n v="185"/>
    <n v="2"/>
    <x v="0"/>
    <x v="0"/>
    <x v="0"/>
    <x v="1"/>
    <x v="1"/>
    <x v="0"/>
    <n v="1"/>
    <n v="0"/>
    <n v="26"/>
    <n v="4"/>
    <n v="7"/>
    <n v="9"/>
    <n v="20"/>
    <n v="7"/>
    <x v="2"/>
  </r>
  <r>
    <x v="426"/>
    <n v="64961"/>
    <n v="0"/>
    <n v="1"/>
    <n v="97"/>
    <n v="382"/>
    <n v="114"/>
    <n v="276"/>
    <n v="75"/>
    <n v="124"/>
    <n v="38"/>
    <n v="2"/>
    <n v="6"/>
    <n v="4"/>
    <n v="4"/>
    <n v="3"/>
    <n v="0"/>
    <n v="0"/>
    <n v="0"/>
    <n v="0"/>
    <n v="0"/>
    <x v="0"/>
    <n v="0"/>
    <n v="3"/>
    <n v="11"/>
    <n v="0"/>
    <n v="62"/>
    <n v="2712"/>
    <n v="7.4301369863013695"/>
    <n v="0"/>
    <n v="0"/>
    <n v="0"/>
    <n v="1"/>
    <n v="0"/>
    <n v="0"/>
    <n v="0"/>
    <n v="1"/>
    <n v="0"/>
    <n v="0"/>
    <n v="971"/>
    <n v="933"/>
    <n v="38"/>
    <n v="0"/>
    <x v="0"/>
    <x v="0"/>
    <x v="2"/>
    <x v="0"/>
    <x v="2"/>
    <x v="2"/>
    <n v="1"/>
    <n v="1"/>
    <n v="19"/>
    <n v="0.99999999999999978"/>
    <n v="4"/>
    <n v="7"/>
    <n v="12"/>
    <n v="3"/>
    <x v="3"/>
  </r>
  <r>
    <x v="427"/>
    <n v="65846"/>
    <n v="0"/>
    <n v="0"/>
    <n v="68"/>
    <n v="562"/>
    <n v="81"/>
    <n v="276"/>
    <n v="80"/>
    <n v="40"/>
    <n v="81"/>
    <n v="1"/>
    <n v="6"/>
    <n v="3"/>
    <n v="6"/>
    <n v="4"/>
    <n v="0"/>
    <n v="0"/>
    <n v="0"/>
    <n v="0"/>
    <n v="0"/>
    <x v="0"/>
    <n v="0"/>
    <n v="3"/>
    <n v="11"/>
    <n v="0"/>
    <n v="75"/>
    <n v="2567"/>
    <n v="7.0328767123287674"/>
    <n v="0"/>
    <n v="1"/>
    <n v="0"/>
    <n v="0"/>
    <n v="0"/>
    <n v="0"/>
    <n v="0"/>
    <n v="0"/>
    <n v="0"/>
    <n v="1"/>
    <n v="1039"/>
    <n v="958"/>
    <n v="81"/>
    <n v="0"/>
    <x v="1"/>
    <x v="1"/>
    <x v="0"/>
    <x v="1"/>
    <x v="2"/>
    <x v="2"/>
    <n v="1"/>
    <n v="0"/>
    <n v="20"/>
    <n v="4"/>
    <n v="4"/>
    <n v="7"/>
    <n v="15"/>
    <n v="4"/>
    <x v="3"/>
  </r>
  <r>
    <x v="428"/>
    <n v="62187"/>
    <n v="0"/>
    <n v="0"/>
    <n v="49"/>
    <n v="792"/>
    <n v="0"/>
    <n v="275"/>
    <n v="45"/>
    <n v="45"/>
    <n v="126"/>
    <n v="1"/>
    <n v="4"/>
    <n v="8"/>
    <n v="5"/>
    <n v="3"/>
    <n v="0"/>
    <n v="0"/>
    <n v="0"/>
    <n v="0"/>
    <n v="0"/>
    <x v="0"/>
    <n v="0"/>
    <n v="3"/>
    <n v="11"/>
    <n v="0"/>
    <n v="63"/>
    <n v="2518"/>
    <n v="6.8986301369863012"/>
    <n v="0"/>
    <n v="1"/>
    <n v="0"/>
    <n v="0"/>
    <n v="0"/>
    <n v="0"/>
    <n v="0"/>
    <n v="1"/>
    <n v="0"/>
    <n v="0"/>
    <n v="1157"/>
    <n v="1031"/>
    <n v="126"/>
    <n v="0"/>
    <x v="1"/>
    <x v="1"/>
    <x v="0"/>
    <x v="0"/>
    <x v="2"/>
    <x v="2"/>
    <n v="1"/>
    <n v="0"/>
    <n v="21"/>
    <n v="6"/>
    <n v="5"/>
    <n v="8"/>
    <n v="19"/>
    <n v="7"/>
    <x v="2"/>
  </r>
  <r>
    <x v="429"/>
    <n v="71391"/>
    <n v="0"/>
    <n v="1"/>
    <n v="50"/>
    <n v="336"/>
    <n v="123"/>
    <n v="274"/>
    <n v="46"/>
    <n v="123"/>
    <n v="141"/>
    <n v="5"/>
    <n v="6"/>
    <n v="5"/>
    <n v="12"/>
    <n v="3"/>
    <n v="0"/>
    <n v="0"/>
    <n v="0"/>
    <n v="0"/>
    <n v="0"/>
    <x v="0"/>
    <n v="0"/>
    <n v="3"/>
    <n v="11"/>
    <n v="0"/>
    <n v="64"/>
    <n v="2616"/>
    <n v="7.1671232876712327"/>
    <n v="0"/>
    <n v="1"/>
    <n v="0"/>
    <n v="0"/>
    <n v="0"/>
    <n v="0"/>
    <n v="0"/>
    <n v="1"/>
    <n v="0"/>
    <n v="0"/>
    <n v="902"/>
    <n v="761"/>
    <n v="141"/>
    <n v="0"/>
    <x v="0"/>
    <x v="0"/>
    <x v="0"/>
    <x v="0"/>
    <x v="2"/>
    <x v="2"/>
    <n v="1"/>
    <n v="0"/>
    <n v="31"/>
    <n v="5"/>
    <n v="9"/>
    <n v="7"/>
    <n v="21"/>
    <n v="8"/>
    <x v="2"/>
  </r>
  <r>
    <x v="430"/>
    <n v="86836"/>
    <n v="0"/>
    <n v="0"/>
    <n v="7"/>
    <n v="179"/>
    <n v="21"/>
    <n v="273"/>
    <n v="0"/>
    <n v="21"/>
    <n v="63"/>
    <n v="1"/>
    <n v="6"/>
    <n v="10"/>
    <n v="6"/>
    <n v="5"/>
    <n v="1"/>
    <n v="0"/>
    <n v="1"/>
    <n v="0"/>
    <n v="1"/>
    <x v="1"/>
    <n v="0"/>
    <n v="3"/>
    <n v="11"/>
    <n v="1"/>
    <n v="45"/>
    <n v="2814"/>
    <n v="7.7095890410958905"/>
    <n v="0"/>
    <n v="1"/>
    <n v="0"/>
    <n v="0"/>
    <n v="0"/>
    <n v="0"/>
    <n v="0"/>
    <n v="0"/>
    <n v="0"/>
    <n v="1"/>
    <n v="494"/>
    <n v="431"/>
    <n v="63"/>
    <n v="3"/>
    <x v="1"/>
    <x v="1"/>
    <x v="0"/>
    <x v="1"/>
    <x v="1"/>
    <x v="0"/>
    <n v="0"/>
    <n v="0"/>
    <n v="28"/>
    <n v="10"/>
    <n v="8"/>
    <n v="5"/>
    <n v="23"/>
    <n v="8"/>
    <x v="2"/>
  </r>
  <r>
    <x v="431"/>
    <n v="80134"/>
    <n v="1"/>
    <n v="0"/>
    <n v="40"/>
    <n v="1218"/>
    <n v="16"/>
    <n v="272"/>
    <n v="104"/>
    <n v="0"/>
    <n v="80"/>
    <n v="2"/>
    <n v="5"/>
    <n v="3"/>
    <n v="6"/>
    <n v="6"/>
    <n v="1"/>
    <n v="0"/>
    <n v="0"/>
    <n v="1"/>
    <n v="1"/>
    <x v="1"/>
    <n v="0"/>
    <n v="3"/>
    <n v="11"/>
    <n v="1"/>
    <n v="48"/>
    <n v="2564"/>
    <n v="7.0246575342465754"/>
    <n v="0"/>
    <n v="1"/>
    <n v="0"/>
    <n v="0"/>
    <n v="0"/>
    <n v="0"/>
    <n v="0"/>
    <n v="1"/>
    <n v="0"/>
    <n v="0"/>
    <n v="1610"/>
    <n v="1530"/>
    <n v="80"/>
    <n v="3"/>
    <x v="0"/>
    <x v="0"/>
    <x v="0"/>
    <x v="0"/>
    <x v="1"/>
    <x v="0"/>
    <n v="1"/>
    <n v="0"/>
    <n v="22"/>
    <n v="6"/>
    <n v="5"/>
    <n v="9"/>
    <n v="20"/>
    <n v="7"/>
    <x v="2"/>
  </r>
  <r>
    <x v="432"/>
    <n v="52413"/>
    <n v="0"/>
    <n v="2"/>
    <n v="56"/>
    <n v="295"/>
    <n v="106"/>
    <n v="271"/>
    <n v="75"/>
    <n v="98"/>
    <n v="65"/>
    <n v="4"/>
    <n v="6"/>
    <n v="4"/>
    <n v="12"/>
    <n v="6"/>
    <n v="0"/>
    <n v="0"/>
    <n v="0"/>
    <n v="0"/>
    <n v="0"/>
    <x v="0"/>
    <n v="0"/>
    <n v="3"/>
    <n v="11"/>
    <n v="0"/>
    <n v="51"/>
    <n v="2671"/>
    <n v="7.3178082191780822"/>
    <n v="0"/>
    <n v="1"/>
    <n v="0"/>
    <n v="0"/>
    <n v="0"/>
    <n v="0"/>
    <n v="0"/>
    <n v="1"/>
    <n v="0"/>
    <n v="0"/>
    <n v="845"/>
    <n v="780"/>
    <n v="65"/>
    <n v="0"/>
    <x v="0"/>
    <x v="0"/>
    <x v="0"/>
    <x v="0"/>
    <x v="2"/>
    <x v="1"/>
    <n v="1"/>
    <n v="0"/>
    <n v="32"/>
    <n v="5"/>
    <n v="9"/>
    <n v="6"/>
    <n v="20"/>
    <n v="7"/>
    <x v="2"/>
  </r>
  <r>
    <x v="433"/>
    <n v="67272"/>
    <n v="0"/>
    <n v="1"/>
    <n v="12"/>
    <n v="357"/>
    <n v="35"/>
    <n v="271"/>
    <n v="28"/>
    <n v="28"/>
    <n v="14"/>
    <n v="3"/>
    <n v="6"/>
    <n v="2"/>
    <n v="12"/>
    <n v="5"/>
    <n v="0"/>
    <n v="0"/>
    <n v="0"/>
    <n v="0"/>
    <n v="0"/>
    <x v="0"/>
    <n v="0"/>
    <n v="3"/>
    <n v="11"/>
    <n v="0"/>
    <n v="54"/>
    <n v="2349"/>
    <n v="6.4356164383561643"/>
    <n v="1"/>
    <n v="0"/>
    <n v="0"/>
    <n v="0"/>
    <n v="0"/>
    <n v="0"/>
    <n v="0"/>
    <n v="1"/>
    <n v="0"/>
    <n v="0"/>
    <n v="719"/>
    <n v="705"/>
    <n v="14"/>
    <n v="0"/>
    <x v="0"/>
    <x v="0"/>
    <x v="3"/>
    <x v="0"/>
    <x v="2"/>
    <x v="1"/>
    <n v="0"/>
    <n v="0"/>
    <n v="28"/>
    <n v="9"/>
    <n v="8"/>
    <n v="6"/>
    <n v="23"/>
    <n v="8"/>
    <x v="2"/>
  </r>
  <r>
    <x v="434"/>
    <n v="66000"/>
    <n v="0"/>
    <n v="0"/>
    <n v="36"/>
    <n v="244"/>
    <n v="51"/>
    <n v="270"/>
    <n v="101"/>
    <n v="0"/>
    <n v="45"/>
    <n v="1"/>
    <n v="1"/>
    <n v="3"/>
    <n v="5"/>
    <n v="1"/>
    <n v="0"/>
    <n v="0"/>
    <n v="0"/>
    <n v="0"/>
    <n v="0"/>
    <x v="0"/>
    <n v="0"/>
    <n v="3"/>
    <n v="11"/>
    <n v="0"/>
    <n v="73"/>
    <n v="2229"/>
    <n v="6.1068493150684935"/>
    <n v="0"/>
    <n v="0"/>
    <n v="0"/>
    <n v="1"/>
    <n v="0"/>
    <n v="0"/>
    <n v="0"/>
    <n v="0"/>
    <n v="1"/>
    <n v="0"/>
    <n v="666"/>
    <n v="621"/>
    <n v="45"/>
    <n v="0"/>
    <x v="1"/>
    <x v="1"/>
    <x v="2"/>
    <x v="1"/>
    <x v="2"/>
    <x v="2"/>
    <n v="1"/>
    <n v="0"/>
    <n v="11"/>
    <n v="7"/>
    <n v="0"/>
    <n v="6"/>
    <n v="13"/>
    <n v="3"/>
    <x v="3"/>
  </r>
  <r>
    <x v="435"/>
    <n v="74881"/>
    <n v="1"/>
    <n v="1"/>
    <n v="48"/>
    <n v="505"/>
    <n v="72"/>
    <n v="270"/>
    <n v="36"/>
    <n v="27"/>
    <n v="54"/>
    <n v="4"/>
    <n v="9"/>
    <n v="2"/>
    <n v="12"/>
    <n v="5"/>
    <n v="0"/>
    <n v="0"/>
    <n v="0"/>
    <n v="0"/>
    <n v="0"/>
    <x v="0"/>
    <n v="0"/>
    <n v="3"/>
    <n v="11"/>
    <n v="0"/>
    <n v="59"/>
    <n v="2637"/>
    <n v="7.2246575342465755"/>
    <n v="0"/>
    <n v="0"/>
    <n v="0"/>
    <n v="1"/>
    <n v="0"/>
    <n v="0"/>
    <n v="0"/>
    <n v="0"/>
    <n v="1"/>
    <n v="0"/>
    <n v="910"/>
    <n v="856"/>
    <n v="54"/>
    <n v="0"/>
    <x v="0"/>
    <x v="0"/>
    <x v="2"/>
    <x v="1"/>
    <x v="2"/>
    <x v="1"/>
    <n v="1"/>
    <n v="0"/>
    <n v="32"/>
    <n v="6"/>
    <n v="9"/>
    <n v="7"/>
    <n v="22"/>
    <n v="8"/>
    <x v="2"/>
  </r>
  <r>
    <x v="436"/>
    <n v="69372"/>
    <n v="0"/>
    <n v="0"/>
    <n v="10"/>
    <n v="997"/>
    <n v="26"/>
    <n v="269"/>
    <n v="34"/>
    <n v="13"/>
    <n v="42"/>
    <n v="1"/>
    <n v="10"/>
    <n v="4"/>
    <n v="6"/>
    <n v="4"/>
    <n v="0"/>
    <n v="0"/>
    <n v="0"/>
    <n v="1"/>
    <n v="1"/>
    <x v="1"/>
    <n v="0"/>
    <n v="3"/>
    <n v="11"/>
    <n v="1"/>
    <n v="71"/>
    <n v="2654"/>
    <n v="7.2712328767123289"/>
    <n v="0"/>
    <n v="0"/>
    <n v="0"/>
    <n v="1"/>
    <n v="0"/>
    <n v="0"/>
    <n v="0"/>
    <n v="1"/>
    <n v="0"/>
    <n v="0"/>
    <n v="1339"/>
    <n v="1297"/>
    <n v="42"/>
    <n v="2"/>
    <x v="1"/>
    <x v="1"/>
    <x v="2"/>
    <x v="0"/>
    <x v="2"/>
    <x v="2"/>
    <n v="0"/>
    <n v="0"/>
    <n v="25"/>
    <n v="9"/>
    <n v="7"/>
    <n v="8"/>
    <n v="24"/>
    <n v="9"/>
    <x v="0"/>
  </r>
  <r>
    <x v="437"/>
    <n v="42000"/>
    <n v="0"/>
    <n v="0"/>
    <n v="23"/>
    <n v="124"/>
    <n v="83"/>
    <n v="267"/>
    <n v="85"/>
    <n v="59"/>
    <n v="35"/>
    <n v="2"/>
    <n v="5"/>
    <n v="2"/>
    <n v="11"/>
    <n v="5"/>
    <n v="0"/>
    <n v="0"/>
    <n v="0"/>
    <n v="0"/>
    <n v="0"/>
    <x v="0"/>
    <n v="0"/>
    <n v="3"/>
    <n v="11"/>
    <n v="1"/>
    <n v="33"/>
    <n v="2694"/>
    <n v="7.3808219178082188"/>
    <n v="0"/>
    <n v="0"/>
    <n v="1"/>
    <n v="0"/>
    <n v="0"/>
    <n v="0"/>
    <n v="0"/>
    <n v="0"/>
    <n v="0"/>
    <n v="1"/>
    <n v="618"/>
    <n v="583"/>
    <n v="35"/>
    <n v="0"/>
    <x v="1"/>
    <x v="1"/>
    <x v="1"/>
    <x v="1"/>
    <x v="3"/>
    <x v="3"/>
    <n v="0"/>
    <n v="0"/>
    <n v="25"/>
    <n v="8"/>
    <n v="7"/>
    <n v="6"/>
    <n v="21"/>
    <n v="8"/>
    <x v="2"/>
  </r>
  <r>
    <x v="438"/>
    <n v="62450"/>
    <n v="0"/>
    <n v="1"/>
    <n v="61"/>
    <n v="515"/>
    <n v="47"/>
    <n v="267"/>
    <n v="62"/>
    <n v="66"/>
    <n v="38"/>
    <n v="2"/>
    <n v="5"/>
    <n v="5"/>
    <n v="4"/>
    <n v="3"/>
    <n v="0"/>
    <n v="0"/>
    <n v="0"/>
    <n v="1"/>
    <n v="0"/>
    <x v="1"/>
    <n v="0"/>
    <n v="3"/>
    <n v="11"/>
    <n v="0"/>
    <n v="61"/>
    <n v="2333"/>
    <n v="6.3917808219178083"/>
    <n v="0"/>
    <n v="0"/>
    <n v="1"/>
    <n v="0"/>
    <n v="0"/>
    <n v="0"/>
    <n v="0"/>
    <n v="1"/>
    <n v="0"/>
    <n v="0"/>
    <n v="957"/>
    <n v="919"/>
    <n v="38"/>
    <n v="1"/>
    <x v="0"/>
    <x v="0"/>
    <x v="1"/>
    <x v="0"/>
    <x v="2"/>
    <x v="2"/>
    <n v="1"/>
    <n v="0"/>
    <n v="19"/>
    <n v="4"/>
    <n v="4"/>
    <n v="7"/>
    <n v="15"/>
    <n v="4"/>
    <x v="3"/>
  </r>
  <r>
    <x v="439"/>
    <n v="79941"/>
    <n v="0"/>
    <n v="0"/>
    <n v="72"/>
    <n v="123"/>
    <n v="164"/>
    <n v="266"/>
    <n v="227"/>
    <n v="30"/>
    <n v="174"/>
    <n v="1"/>
    <n v="2"/>
    <n v="4"/>
    <n v="9"/>
    <n v="1"/>
    <n v="0"/>
    <n v="0"/>
    <n v="0"/>
    <n v="0"/>
    <n v="0"/>
    <x v="0"/>
    <n v="0"/>
    <n v="3"/>
    <n v="11"/>
    <n v="0"/>
    <n v="44"/>
    <n v="2160"/>
    <n v="5.9178082191780819"/>
    <n v="0"/>
    <n v="0"/>
    <n v="1"/>
    <n v="0"/>
    <n v="0"/>
    <n v="0"/>
    <n v="0"/>
    <n v="1"/>
    <n v="0"/>
    <n v="0"/>
    <n v="810"/>
    <n v="636"/>
    <n v="174"/>
    <n v="0"/>
    <x v="1"/>
    <x v="1"/>
    <x v="1"/>
    <x v="0"/>
    <x v="1"/>
    <x v="0"/>
    <n v="1"/>
    <n v="0"/>
    <n v="17"/>
    <n v="3.0000000000000004"/>
    <n v="3"/>
    <n v="6"/>
    <n v="12"/>
    <n v="3"/>
    <x v="3"/>
  </r>
  <r>
    <x v="440"/>
    <n v="59432"/>
    <n v="0"/>
    <n v="1"/>
    <n v="88"/>
    <n v="317"/>
    <n v="25"/>
    <n v="265"/>
    <n v="25"/>
    <n v="19"/>
    <n v="12"/>
    <n v="3"/>
    <n v="5"/>
    <n v="3"/>
    <n v="11"/>
    <n v="5"/>
    <n v="0"/>
    <n v="0"/>
    <n v="0"/>
    <n v="0"/>
    <n v="0"/>
    <x v="0"/>
    <n v="0"/>
    <n v="3"/>
    <n v="11"/>
    <n v="0"/>
    <n v="58"/>
    <n v="2601"/>
    <n v="7.1260273972602741"/>
    <n v="1"/>
    <n v="0"/>
    <n v="0"/>
    <n v="0"/>
    <n v="0"/>
    <n v="0"/>
    <n v="0"/>
    <n v="0"/>
    <n v="1"/>
    <n v="0"/>
    <n v="651"/>
    <n v="639"/>
    <n v="12"/>
    <n v="0"/>
    <x v="0"/>
    <x v="0"/>
    <x v="3"/>
    <x v="1"/>
    <x v="2"/>
    <x v="1"/>
    <n v="1"/>
    <n v="0"/>
    <n v="27"/>
    <n v="1.9999999999999996"/>
    <n v="7"/>
    <n v="6"/>
    <n v="15"/>
    <n v="4"/>
    <x v="3"/>
  </r>
  <r>
    <x v="441"/>
    <n v="62820"/>
    <n v="0"/>
    <n v="0"/>
    <n v="51"/>
    <n v="398"/>
    <n v="61"/>
    <n v="265"/>
    <n v="138"/>
    <n v="61"/>
    <n v="53"/>
    <n v="1"/>
    <n v="3"/>
    <n v="4"/>
    <n v="6"/>
    <n v="1"/>
    <n v="0"/>
    <n v="0"/>
    <n v="0"/>
    <n v="0"/>
    <n v="0"/>
    <x v="0"/>
    <n v="0"/>
    <n v="3"/>
    <n v="11"/>
    <n v="0"/>
    <n v="66"/>
    <n v="2573"/>
    <n v="7.0493150684931507"/>
    <n v="0"/>
    <n v="1"/>
    <n v="0"/>
    <n v="0"/>
    <n v="0"/>
    <n v="0"/>
    <n v="0"/>
    <n v="1"/>
    <n v="0"/>
    <n v="0"/>
    <n v="923"/>
    <n v="870"/>
    <n v="53"/>
    <n v="0"/>
    <x v="1"/>
    <x v="1"/>
    <x v="0"/>
    <x v="0"/>
    <x v="2"/>
    <x v="2"/>
    <n v="1"/>
    <n v="0"/>
    <n v="15"/>
    <n v="5"/>
    <n v="2"/>
    <n v="7"/>
    <n v="14"/>
    <n v="4"/>
    <x v="3"/>
  </r>
  <r>
    <x v="442"/>
    <n v="77766"/>
    <n v="0"/>
    <n v="1"/>
    <n v="97"/>
    <n v="1004"/>
    <n v="59"/>
    <n v="265"/>
    <n v="115"/>
    <n v="59"/>
    <n v="27"/>
    <n v="2"/>
    <n v="11"/>
    <n v="10"/>
    <n v="11"/>
    <n v="6"/>
    <n v="0"/>
    <n v="0"/>
    <n v="1"/>
    <n v="0"/>
    <n v="0"/>
    <x v="1"/>
    <n v="0"/>
    <n v="3"/>
    <n v="11"/>
    <n v="1"/>
    <n v="53"/>
    <n v="2651"/>
    <n v="7.2630136986301368"/>
    <n v="0"/>
    <n v="1"/>
    <n v="0"/>
    <n v="0"/>
    <n v="0"/>
    <n v="0"/>
    <n v="0"/>
    <n v="0"/>
    <n v="0"/>
    <n v="1"/>
    <n v="1502"/>
    <n v="1475"/>
    <n v="27"/>
    <n v="1"/>
    <x v="0"/>
    <x v="0"/>
    <x v="0"/>
    <x v="1"/>
    <x v="1"/>
    <x v="1"/>
    <n v="1"/>
    <n v="1"/>
    <n v="40"/>
    <n v="0.99999999999999978"/>
    <n v="9"/>
    <n v="9"/>
    <n v="19"/>
    <n v="7"/>
    <x v="2"/>
  </r>
  <r>
    <x v="443"/>
    <n v="82014"/>
    <n v="0"/>
    <n v="0"/>
    <n v="48"/>
    <n v="980"/>
    <n v="37"/>
    <n v="265"/>
    <n v="35"/>
    <n v="163"/>
    <n v="31"/>
    <n v="1"/>
    <n v="3"/>
    <n v="6"/>
    <n v="12"/>
    <n v="6"/>
    <n v="0"/>
    <n v="0"/>
    <n v="0"/>
    <n v="0"/>
    <n v="0"/>
    <x v="0"/>
    <n v="0"/>
    <n v="3"/>
    <n v="11"/>
    <n v="1"/>
    <n v="59"/>
    <n v="2837"/>
    <n v="7.7726027397260271"/>
    <n v="0"/>
    <n v="0"/>
    <n v="1"/>
    <n v="0"/>
    <n v="0"/>
    <n v="0"/>
    <n v="0"/>
    <n v="1"/>
    <n v="0"/>
    <n v="0"/>
    <n v="1480"/>
    <n v="1449"/>
    <n v="31"/>
    <n v="0"/>
    <x v="1"/>
    <x v="1"/>
    <x v="1"/>
    <x v="0"/>
    <x v="1"/>
    <x v="1"/>
    <n v="1"/>
    <n v="0"/>
    <n v="28"/>
    <n v="6"/>
    <n v="8"/>
    <n v="9"/>
    <n v="23"/>
    <n v="8"/>
    <x v="2"/>
  </r>
  <r>
    <x v="444"/>
    <n v="65308"/>
    <n v="0"/>
    <n v="0"/>
    <n v="60"/>
    <n v="713"/>
    <n v="0"/>
    <n v="264"/>
    <n v="120"/>
    <n v="80"/>
    <n v="34"/>
    <n v="1"/>
    <n v="7"/>
    <n v="8"/>
    <n v="12"/>
    <n v="4"/>
    <n v="1"/>
    <n v="0"/>
    <n v="0"/>
    <n v="0"/>
    <n v="1"/>
    <x v="1"/>
    <n v="0"/>
    <n v="3"/>
    <n v="11"/>
    <n v="0"/>
    <n v="47"/>
    <n v="2450"/>
    <n v="6.7123287671232879"/>
    <n v="0"/>
    <n v="1"/>
    <n v="0"/>
    <n v="0"/>
    <n v="0"/>
    <n v="0"/>
    <n v="0"/>
    <n v="1"/>
    <n v="0"/>
    <n v="0"/>
    <n v="1177"/>
    <n v="1143"/>
    <n v="34"/>
    <n v="2"/>
    <x v="1"/>
    <x v="1"/>
    <x v="0"/>
    <x v="0"/>
    <x v="2"/>
    <x v="0"/>
    <n v="1"/>
    <n v="0"/>
    <n v="32"/>
    <n v="4"/>
    <n v="9"/>
    <n v="8"/>
    <n v="21"/>
    <n v="8"/>
    <x v="2"/>
  </r>
  <r>
    <x v="445"/>
    <n v="68627"/>
    <n v="0"/>
    <n v="0"/>
    <n v="45"/>
    <n v="395"/>
    <n v="15"/>
    <n v="263"/>
    <n v="60"/>
    <n v="54"/>
    <n v="38"/>
    <n v="1"/>
    <n v="2"/>
    <n v="3"/>
    <n v="6"/>
    <n v="1"/>
    <n v="0"/>
    <n v="0"/>
    <n v="0"/>
    <n v="0"/>
    <n v="0"/>
    <x v="0"/>
    <n v="0"/>
    <n v="3"/>
    <n v="11"/>
    <n v="0"/>
    <n v="38"/>
    <n v="2692"/>
    <n v="7.375342465753425"/>
    <n v="0"/>
    <n v="0"/>
    <n v="1"/>
    <n v="0"/>
    <n v="0"/>
    <n v="0"/>
    <n v="0"/>
    <n v="1"/>
    <n v="0"/>
    <n v="0"/>
    <n v="787"/>
    <n v="749"/>
    <n v="38"/>
    <n v="0"/>
    <x v="1"/>
    <x v="1"/>
    <x v="1"/>
    <x v="0"/>
    <x v="2"/>
    <x v="3"/>
    <n v="1"/>
    <n v="0"/>
    <n v="13"/>
    <n v="6"/>
    <n v="1"/>
    <n v="6"/>
    <n v="13"/>
    <n v="3"/>
    <x v="3"/>
  </r>
  <r>
    <x v="446"/>
    <n v="72679"/>
    <n v="0"/>
    <n v="1"/>
    <n v="65"/>
    <n v="619"/>
    <n v="54"/>
    <n v="260"/>
    <n v="127"/>
    <n v="54"/>
    <n v="54"/>
    <n v="1"/>
    <n v="4"/>
    <n v="7"/>
    <n v="5"/>
    <n v="1"/>
    <n v="0"/>
    <n v="0"/>
    <n v="0"/>
    <n v="0"/>
    <n v="0"/>
    <x v="0"/>
    <n v="0"/>
    <n v="3"/>
    <n v="11"/>
    <n v="0"/>
    <n v="51"/>
    <n v="2443"/>
    <n v="6.6931506849315072"/>
    <n v="0"/>
    <n v="0"/>
    <n v="1"/>
    <n v="0"/>
    <n v="0"/>
    <n v="0"/>
    <n v="0"/>
    <n v="1"/>
    <n v="0"/>
    <n v="0"/>
    <n v="1114"/>
    <n v="1060"/>
    <n v="54"/>
    <n v="0"/>
    <x v="0"/>
    <x v="0"/>
    <x v="1"/>
    <x v="0"/>
    <x v="2"/>
    <x v="1"/>
    <n v="1"/>
    <n v="0"/>
    <n v="18"/>
    <n v="4"/>
    <n v="4"/>
    <n v="8"/>
    <n v="16"/>
    <n v="5"/>
    <x v="1"/>
  </r>
  <r>
    <x v="447"/>
    <n v="62159"/>
    <n v="0"/>
    <n v="0"/>
    <n v="68"/>
    <n v="182"/>
    <n v="17"/>
    <n v="259"/>
    <n v="77"/>
    <n v="70"/>
    <n v="29"/>
    <n v="1"/>
    <n v="6"/>
    <n v="2"/>
    <n v="10"/>
    <n v="4"/>
    <n v="0"/>
    <n v="0"/>
    <n v="0"/>
    <n v="0"/>
    <n v="0"/>
    <x v="0"/>
    <n v="0"/>
    <n v="3"/>
    <n v="11"/>
    <n v="0"/>
    <n v="74"/>
    <n v="2221"/>
    <n v="6.0849315068493155"/>
    <n v="0"/>
    <n v="0"/>
    <n v="1"/>
    <n v="0"/>
    <n v="0"/>
    <n v="0"/>
    <n v="0"/>
    <n v="0"/>
    <n v="0"/>
    <n v="1"/>
    <n v="605"/>
    <n v="576"/>
    <n v="29"/>
    <n v="0"/>
    <x v="1"/>
    <x v="1"/>
    <x v="1"/>
    <x v="1"/>
    <x v="2"/>
    <x v="2"/>
    <n v="1"/>
    <n v="0"/>
    <n v="23"/>
    <n v="4"/>
    <n v="6"/>
    <n v="6"/>
    <n v="16"/>
    <n v="5"/>
    <x v="1"/>
  </r>
  <r>
    <x v="448"/>
    <n v="62466"/>
    <n v="0"/>
    <n v="1"/>
    <n v="13"/>
    <n v="129"/>
    <n v="129"/>
    <n v="259"/>
    <n v="168"/>
    <n v="121"/>
    <n v="83"/>
    <n v="5"/>
    <n v="6"/>
    <n v="3"/>
    <n v="12"/>
    <n v="4"/>
    <n v="0"/>
    <n v="0"/>
    <n v="0"/>
    <n v="0"/>
    <n v="0"/>
    <x v="0"/>
    <n v="0"/>
    <n v="3"/>
    <n v="11"/>
    <n v="0"/>
    <n v="50"/>
    <n v="2324"/>
    <n v="6.3671232876712329"/>
    <n v="0"/>
    <n v="1"/>
    <n v="0"/>
    <n v="0"/>
    <n v="0"/>
    <n v="1"/>
    <n v="0"/>
    <n v="0"/>
    <n v="0"/>
    <n v="0"/>
    <n v="806"/>
    <n v="723"/>
    <n v="83"/>
    <n v="0"/>
    <x v="0"/>
    <x v="0"/>
    <x v="0"/>
    <x v="1"/>
    <x v="2"/>
    <x v="0"/>
    <n v="0"/>
    <n v="0"/>
    <n v="30"/>
    <n v="9"/>
    <n v="8"/>
    <n v="6"/>
    <n v="23"/>
    <n v="8"/>
    <x v="2"/>
  </r>
  <r>
    <x v="449"/>
    <n v="67433"/>
    <n v="0"/>
    <n v="2"/>
    <n v="51"/>
    <n v="615"/>
    <n v="28"/>
    <n v="259"/>
    <n v="12"/>
    <n v="48"/>
    <n v="30"/>
    <n v="4"/>
    <n v="6"/>
    <n v="5"/>
    <n v="13"/>
    <n v="4"/>
    <n v="0"/>
    <n v="0"/>
    <n v="0"/>
    <n v="1"/>
    <n v="0"/>
    <x v="1"/>
    <n v="0"/>
    <n v="3"/>
    <n v="11"/>
    <n v="0"/>
    <n v="68"/>
    <n v="2507"/>
    <n v="6.8684931506849312"/>
    <n v="0"/>
    <n v="1"/>
    <n v="0"/>
    <n v="0"/>
    <n v="0"/>
    <n v="0"/>
    <n v="0"/>
    <n v="1"/>
    <n v="0"/>
    <n v="0"/>
    <n v="962"/>
    <n v="932"/>
    <n v="30"/>
    <n v="1"/>
    <x v="0"/>
    <x v="0"/>
    <x v="0"/>
    <x v="0"/>
    <x v="2"/>
    <x v="2"/>
    <n v="1"/>
    <n v="0"/>
    <n v="32"/>
    <n v="5"/>
    <n v="9"/>
    <n v="7"/>
    <n v="21"/>
    <n v="8"/>
    <x v="2"/>
  </r>
  <r>
    <x v="450"/>
    <n v="75484"/>
    <n v="0"/>
    <n v="1"/>
    <n v="50"/>
    <n v="378"/>
    <n v="97"/>
    <n v="259"/>
    <n v="197"/>
    <n v="194"/>
    <n v="34"/>
    <n v="2"/>
    <n v="7"/>
    <n v="3"/>
    <n v="6"/>
    <n v="4"/>
    <n v="0"/>
    <n v="0"/>
    <n v="0"/>
    <n v="0"/>
    <n v="0"/>
    <x v="0"/>
    <n v="0"/>
    <n v="3"/>
    <n v="11"/>
    <n v="0"/>
    <n v="44"/>
    <n v="2855"/>
    <n v="7.8219178082191778"/>
    <n v="0"/>
    <n v="0"/>
    <n v="0"/>
    <n v="1"/>
    <n v="0"/>
    <n v="1"/>
    <n v="0"/>
    <n v="0"/>
    <n v="0"/>
    <n v="0"/>
    <n v="1125"/>
    <n v="1091"/>
    <n v="34"/>
    <n v="0"/>
    <x v="0"/>
    <x v="0"/>
    <x v="2"/>
    <x v="1"/>
    <x v="1"/>
    <x v="0"/>
    <n v="1"/>
    <n v="0"/>
    <n v="22"/>
    <n v="5"/>
    <n v="5"/>
    <n v="8"/>
    <n v="18"/>
    <n v="6"/>
    <x v="1"/>
  </r>
  <r>
    <x v="451"/>
    <n v="78075"/>
    <n v="0"/>
    <n v="0"/>
    <n v="72"/>
    <n v="572"/>
    <n v="8"/>
    <n v="259"/>
    <n v="34"/>
    <n v="35"/>
    <n v="80"/>
    <n v="1"/>
    <n v="3"/>
    <n v="5"/>
    <n v="5"/>
    <n v="1"/>
    <n v="0"/>
    <n v="0"/>
    <n v="0"/>
    <n v="0"/>
    <n v="0"/>
    <x v="0"/>
    <n v="0"/>
    <n v="3"/>
    <n v="11"/>
    <n v="0"/>
    <n v="48"/>
    <n v="2244"/>
    <n v="6.1479452054794521"/>
    <n v="0"/>
    <n v="1"/>
    <n v="0"/>
    <n v="0"/>
    <n v="0"/>
    <n v="0"/>
    <n v="0"/>
    <n v="0"/>
    <n v="0"/>
    <n v="1"/>
    <n v="908"/>
    <n v="828"/>
    <n v="80"/>
    <n v="0"/>
    <x v="1"/>
    <x v="1"/>
    <x v="0"/>
    <x v="1"/>
    <x v="1"/>
    <x v="0"/>
    <n v="1"/>
    <n v="0"/>
    <n v="15"/>
    <n v="3.0000000000000004"/>
    <n v="2"/>
    <n v="7"/>
    <n v="12"/>
    <n v="3"/>
    <x v="3"/>
  </r>
  <r>
    <x v="452"/>
    <n v="60597"/>
    <n v="0"/>
    <n v="1"/>
    <n v="2"/>
    <n v="522"/>
    <n v="0"/>
    <n v="257"/>
    <n v="32"/>
    <n v="16"/>
    <n v="66"/>
    <n v="4"/>
    <n v="2"/>
    <n v="2"/>
    <n v="8"/>
    <n v="7"/>
    <n v="1"/>
    <n v="0"/>
    <n v="0"/>
    <n v="0"/>
    <n v="0"/>
    <x v="1"/>
    <n v="0"/>
    <n v="3"/>
    <n v="11"/>
    <n v="1"/>
    <n v="56"/>
    <n v="2338"/>
    <n v="6.4054794520547942"/>
    <n v="0"/>
    <n v="1"/>
    <n v="0"/>
    <n v="0"/>
    <n v="0"/>
    <n v="0"/>
    <n v="0"/>
    <n v="1"/>
    <n v="0"/>
    <n v="0"/>
    <n v="827"/>
    <n v="761"/>
    <n v="66"/>
    <n v="1"/>
    <x v="0"/>
    <x v="0"/>
    <x v="0"/>
    <x v="0"/>
    <x v="2"/>
    <x v="1"/>
    <n v="0"/>
    <n v="0"/>
    <n v="23"/>
    <n v="10"/>
    <n v="6"/>
    <n v="6"/>
    <n v="22"/>
    <n v="8"/>
    <x v="2"/>
  </r>
  <r>
    <x v="453"/>
    <n v="75330"/>
    <n v="1"/>
    <n v="1"/>
    <n v="94"/>
    <n v="555"/>
    <n v="82"/>
    <n v="257"/>
    <n v="93"/>
    <n v="61"/>
    <n v="61"/>
    <n v="4"/>
    <n v="10"/>
    <n v="3"/>
    <n v="12"/>
    <n v="6"/>
    <n v="0"/>
    <n v="0"/>
    <n v="0"/>
    <n v="0"/>
    <n v="0"/>
    <x v="0"/>
    <n v="0"/>
    <n v="3"/>
    <n v="11"/>
    <n v="0"/>
    <n v="43"/>
    <n v="2792"/>
    <n v="7.6493150684931503"/>
    <n v="0"/>
    <n v="1"/>
    <n v="0"/>
    <n v="0"/>
    <n v="0"/>
    <n v="0"/>
    <n v="0"/>
    <n v="1"/>
    <n v="0"/>
    <n v="0"/>
    <n v="1048"/>
    <n v="987"/>
    <n v="61"/>
    <n v="0"/>
    <x v="0"/>
    <x v="0"/>
    <x v="0"/>
    <x v="0"/>
    <x v="1"/>
    <x v="0"/>
    <n v="1"/>
    <n v="1"/>
    <n v="35"/>
    <n v="0.99999999999999978"/>
    <n v="9"/>
    <n v="7"/>
    <n v="17"/>
    <n v="6"/>
    <x v="1"/>
  </r>
  <r>
    <x v="454"/>
    <n v="73170"/>
    <n v="0"/>
    <n v="0"/>
    <n v="1"/>
    <n v="184"/>
    <n v="174"/>
    <n v="256"/>
    <n v="50"/>
    <n v="30"/>
    <n v="32"/>
    <n v="1"/>
    <n v="5"/>
    <n v="4"/>
    <n v="6"/>
    <n v="2"/>
    <n v="0"/>
    <n v="0"/>
    <n v="0"/>
    <n v="0"/>
    <n v="0"/>
    <x v="0"/>
    <n v="0"/>
    <n v="3"/>
    <n v="11"/>
    <n v="0"/>
    <n v="45"/>
    <n v="2188"/>
    <n v="5.9945205479452053"/>
    <n v="0"/>
    <n v="0"/>
    <n v="1"/>
    <n v="0"/>
    <n v="0"/>
    <n v="0"/>
    <n v="0"/>
    <n v="1"/>
    <n v="0"/>
    <n v="0"/>
    <n v="694"/>
    <n v="662"/>
    <n v="32"/>
    <n v="0"/>
    <x v="1"/>
    <x v="1"/>
    <x v="1"/>
    <x v="0"/>
    <x v="2"/>
    <x v="0"/>
    <n v="0"/>
    <n v="0"/>
    <n v="18"/>
    <n v="10"/>
    <n v="4"/>
    <n v="6"/>
    <n v="20"/>
    <n v="7"/>
    <x v="2"/>
  </r>
  <r>
    <x v="455"/>
    <n v="71113"/>
    <n v="0"/>
    <n v="1"/>
    <n v="95"/>
    <n v="495"/>
    <n v="33"/>
    <n v="255"/>
    <n v="11"/>
    <n v="33"/>
    <n v="8"/>
    <n v="4"/>
    <n v="6"/>
    <n v="7"/>
    <n v="9"/>
    <n v="4"/>
    <n v="0"/>
    <n v="0"/>
    <n v="0"/>
    <n v="0"/>
    <n v="0"/>
    <x v="0"/>
    <n v="0"/>
    <n v="3"/>
    <n v="11"/>
    <n v="0"/>
    <n v="63"/>
    <n v="2353"/>
    <n v="6.4465753424657537"/>
    <n v="0"/>
    <n v="1"/>
    <n v="0"/>
    <n v="0"/>
    <n v="0"/>
    <n v="0"/>
    <n v="0"/>
    <n v="1"/>
    <n v="0"/>
    <n v="0"/>
    <n v="827"/>
    <n v="819"/>
    <n v="8"/>
    <n v="0"/>
    <x v="0"/>
    <x v="0"/>
    <x v="0"/>
    <x v="0"/>
    <x v="2"/>
    <x v="2"/>
    <n v="1"/>
    <n v="1"/>
    <n v="30"/>
    <n v="0.99999999999999978"/>
    <n v="8"/>
    <n v="6"/>
    <n v="15"/>
    <n v="4"/>
    <x v="3"/>
  </r>
  <r>
    <x v="456"/>
    <n v="76800"/>
    <n v="0"/>
    <n v="0"/>
    <n v="33"/>
    <n v="173"/>
    <n v="26"/>
    <n v="255"/>
    <n v="35"/>
    <n v="71"/>
    <n v="81"/>
    <n v="1"/>
    <n v="4"/>
    <n v="4"/>
    <n v="7"/>
    <n v="1"/>
    <n v="0"/>
    <n v="0"/>
    <n v="0"/>
    <n v="0"/>
    <n v="0"/>
    <x v="0"/>
    <n v="0"/>
    <n v="3"/>
    <n v="11"/>
    <n v="0"/>
    <n v="55"/>
    <n v="2272"/>
    <n v="6.2246575342465755"/>
    <n v="0"/>
    <n v="1"/>
    <n v="0"/>
    <n v="0"/>
    <n v="0"/>
    <n v="1"/>
    <n v="0"/>
    <n v="0"/>
    <n v="0"/>
    <n v="0"/>
    <n v="560"/>
    <n v="479"/>
    <n v="81"/>
    <n v="0"/>
    <x v="1"/>
    <x v="1"/>
    <x v="0"/>
    <x v="1"/>
    <x v="1"/>
    <x v="1"/>
    <n v="1"/>
    <n v="0"/>
    <n v="17"/>
    <n v="7"/>
    <n v="3"/>
    <n v="5"/>
    <n v="15"/>
    <n v="4"/>
    <x v="3"/>
  </r>
  <r>
    <x v="457"/>
    <n v="63972"/>
    <n v="0"/>
    <n v="1"/>
    <n v="93"/>
    <n v="928"/>
    <n v="63"/>
    <n v="254"/>
    <n v="0"/>
    <n v="12"/>
    <n v="12"/>
    <n v="4"/>
    <n v="5"/>
    <n v="4"/>
    <n v="10"/>
    <n v="4"/>
    <n v="0"/>
    <n v="0"/>
    <n v="0"/>
    <n v="1"/>
    <n v="0"/>
    <x v="1"/>
    <n v="0"/>
    <n v="3"/>
    <n v="11"/>
    <n v="0"/>
    <n v="56"/>
    <n v="2733"/>
    <n v="7.4876712328767123"/>
    <n v="0"/>
    <n v="0"/>
    <n v="1"/>
    <n v="0"/>
    <n v="0"/>
    <n v="0"/>
    <n v="0"/>
    <n v="0"/>
    <n v="1"/>
    <n v="0"/>
    <n v="1257"/>
    <n v="1245"/>
    <n v="12"/>
    <n v="1"/>
    <x v="0"/>
    <x v="0"/>
    <x v="1"/>
    <x v="1"/>
    <x v="2"/>
    <x v="1"/>
    <n v="1"/>
    <n v="1"/>
    <n v="27"/>
    <n v="0.99999999999999978"/>
    <n v="7"/>
    <n v="8"/>
    <n v="16"/>
    <n v="5"/>
    <x v="1"/>
  </r>
  <r>
    <x v="458"/>
    <n v="70924"/>
    <n v="0"/>
    <n v="0"/>
    <n v="41"/>
    <n v="635"/>
    <n v="114"/>
    <n v="254"/>
    <n v="132"/>
    <n v="152"/>
    <n v="76"/>
    <n v="1"/>
    <n v="6"/>
    <n v="6"/>
    <n v="7"/>
    <n v="3"/>
    <n v="0"/>
    <n v="0"/>
    <n v="0"/>
    <n v="0"/>
    <n v="1"/>
    <x v="1"/>
    <n v="0"/>
    <n v="3"/>
    <n v="11"/>
    <n v="0"/>
    <n v="55"/>
    <n v="2242"/>
    <n v="6.1424657534246574"/>
    <n v="0"/>
    <n v="1"/>
    <n v="0"/>
    <n v="0"/>
    <n v="0"/>
    <n v="1"/>
    <n v="0"/>
    <n v="0"/>
    <n v="0"/>
    <n v="0"/>
    <n v="1287"/>
    <n v="1211"/>
    <n v="76"/>
    <n v="1"/>
    <x v="1"/>
    <x v="1"/>
    <x v="0"/>
    <x v="1"/>
    <x v="2"/>
    <x v="1"/>
    <n v="1"/>
    <n v="0"/>
    <n v="23"/>
    <n v="6"/>
    <n v="6"/>
    <n v="8"/>
    <n v="20"/>
    <n v="7"/>
    <x v="2"/>
  </r>
  <r>
    <x v="459"/>
    <n v="58275"/>
    <n v="1"/>
    <n v="1"/>
    <n v="48"/>
    <n v="189"/>
    <n v="10"/>
    <n v="253"/>
    <n v="56"/>
    <n v="43"/>
    <n v="64"/>
    <n v="6"/>
    <n v="8"/>
    <n v="2"/>
    <n v="7"/>
    <n v="7"/>
    <n v="0"/>
    <n v="0"/>
    <n v="0"/>
    <n v="0"/>
    <n v="0"/>
    <x v="0"/>
    <n v="0"/>
    <n v="3"/>
    <n v="11"/>
    <n v="0"/>
    <n v="65"/>
    <n v="2551"/>
    <n v="6.9890410958904106"/>
    <n v="0"/>
    <n v="0"/>
    <n v="0"/>
    <n v="0"/>
    <n v="1"/>
    <n v="0"/>
    <n v="0"/>
    <n v="1"/>
    <n v="0"/>
    <n v="0"/>
    <n v="551"/>
    <n v="487"/>
    <n v="64"/>
    <n v="0"/>
    <x v="0"/>
    <x v="0"/>
    <x v="4"/>
    <x v="0"/>
    <x v="2"/>
    <x v="2"/>
    <n v="1"/>
    <n v="0"/>
    <n v="30"/>
    <n v="6"/>
    <n v="8"/>
    <n v="5"/>
    <n v="19"/>
    <n v="7"/>
    <x v="2"/>
  </r>
  <r>
    <x v="460"/>
    <n v="63810"/>
    <n v="0"/>
    <n v="1"/>
    <n v="45"/>
    <n v="977"/>
    <n v="12"/>
    <n v="253"/>
    <n v="16"/>
    <n v="12"/>
    <n v="101"/>
    <n v="4"/>
    <n v="4"/>
    <n v="3"/>
    <n v="12"/>
    <n v="8"/>
    <n v="0"/>
    <n v="0"/>
    <n v="0"/>
    <n v="1"/>
    <n v="0"/>
    <x v="1"/>
    <n v="0"/>
    <n v="3"/>
    <n v="11"/>
    <n v="0"/>
    <n v="54"/>
    <n v="2754"/>
    <n v="7.5452054794520551"/>
    <n v="0"/>
    <n v="0"/>
    <n v="1"/>
    <n v="0"/>
    <n v="0"/>
    <n v="0"/>
    <n v="0"/>
    <n v="1"/>
    <n v="0"/>
    <n v="0"/>
    <n v="1270"/>
    <n v="1169"/>
    <n v="101"/>
    <n v="1"/>
    <x v="0"/>
    <x v="0"/>
    <x v="1"/>
    <x v="0"/>
    <x v="2"/>
    <x v="1"/>
    <n v="1"/>
    <n v="0"/>
    <n v="31"/>
    <n v="6"/>
    <n v="9"/>
    <n v="8"/>
    <n v="23"/>
    <n v="8"/>
    <x v="2"/>
  </r>
  <r>
    <x v="461"/>
    <n v="70165"/>
    <n v="0"/>
    <n v="0"/>
    <n v="60"/>
    <n v="161"/>
    <n v="0"/>
    <n v="253"/>
    <n v="199"/>
    <n v="191"/>
    <n v="122"/>
    <n v="1"/>
    <n v="3"/>
    <n v="7"/>
    <n v="11"/>
    <n v="1"/>
    <n v="0"/>
    <n v="0"/>
    <n v="0"/>
    <n v="0"/>
    <n v="0"/>
    <x v="0"/>
    <n v="0"/>
    <n v="3"/>
    <n v="11"/>
    <n v="0"/>
    <n v="71"/>
    <n v="2439"/>
    <n v="6.6821917808219178"/>
    <n v="0"/>
    <n v="0"/>
    <n v="0"/>
    <n v="0"/>
    <n v="1"/>
    <n v="0"/>
    <n v="0"/>
    <n v="1"/>
    <n v="0"/>
    <n v="0"/>
    <n v="804"/>
    <n v="682"/>
    <n v="122"/>
    <n v="0"/>
    <x v="1"/>
    <x v="1"/>
    <x v="4"/>
    <x v="0"/>
    <x v="2"/>
    <x v="2"/>
    <n v="1"/>
    <n v="0"/>
    <n v="23"/>
    <n v="4"/>
    <n v="6"/>
    <n v="6"/>
    <n v="16"/>
    <n v="5"/>
    <x v="1"/>
  </r>
  <r>
    <x v="462"/>
    <n v="71706"/>
    <n v="0"/>
    <n v="1"/>
    <n v="16"/>
    <n v="931"/>
    <n v="56"/>
    <n v="253"/>
    <n v="91"/>
    <n v="98"/>
    <n v="14"/>
    <n v="4"/>
    <n v="9"/>
    <n v="5"/>
    <n v="7"/>
    <n v="5"/>
    <n v="0"/>
    <n v="0"/>
    <n v="0"/>
    <n v="0"/>
    <n v="0"/>
    <x v="0"/>
    <n v="0"/>
    <n v="3"/>
    <n v="11"/>
    <n v="0"/>
    <n v="61"/>
    <n v="2752"/>
    <n v="7.5397260273972604"/>
    <n v="0"/>
    <n v="0"/>
    <n v="0"/>
    <n v="1"/>
    <n v="0"/>
    <n v="0"/>
    <n v="0"/>
    <n v="1"/>
    <n v="0"/>
    <n v="0"/>
    <n v="1429"/>
    <n v="1415"/>
    <n v="14"/>
    <n v="0"/>
    <x v="0"/>
    <x v="0"/>
    <x v="2"/>
    <x v="0"/>
    <x v="2"/>
    <x v="2"/>
    <n v="0"/>
    <n v="0"/>
    <n v="30"/>
    <n v="9"/>
    <n v="8"/>
    <n v="8"/>
    <n v="25"/>
    <n v="9"/>
    <x v="0"/>
  </r>
  <r>
    <x v="463"/>
    <n v="54058"/>
    <n v="0"/>
    <n v="1"/>
    <n v="56"/>
    <n v="198"/>
    <n v="18"/>
    <n v="252"/>
    <n v="32"/>
    <n v="108"/>
    <n v="54"/>
    <n v="2"/>
    <n v="4"/>
    <n v="6"/>
    <n v="8"/>
    <n v="3"/>
    <n v="0"/>
    <n v="0"/>
    <n v="0"/>
    <n v="0"/>
    <n v="0"/>
    <x v="0"/>
    <n v="0"/>
    <n v="3"/>
    <n v="11"/>
    <n v="0"/>
    <n v="44"/>
    <n v="2549"/>
    <n v="6.9835616438356167"/>
    <n v="0"/>
    <n v="0"/>
    <n v="0"/>
    <n v="1"/>
    <n v="0"/>
    <n v="0"/>
    <n v="0"/>
    <n v="1"/>
    <n v="0"/>
    <n v="0"/>
    <n v="608"/>
    <n v="554"/>
    <n v="54"/>
    <n v="0"/>
    <x v="0"/>
    <x v="0"/>
    <x v="2"/>
    <x v="0"/>
    <x v="2"/>
    <x v="0"/>
    <n v="1"/>
    <n v="0"/>
    <n v="23"/>
    <n v="5"/>
    <n v="6"/>
    <n v="6"/>
    <n v="17"/>
    <n v="6"/>
    <x v="1"/>
  </r>
  <r>
    <x v="464"/>
    <n v="63564"/>
    <n v="0"/>
    <n v="0"/>
    <n v="0"/>
    <n v="769"/>
    <n v="80"/>
    <n v="252"/>
    <n v="15"/>
    <n v="34"/>
    <n v="65"/>
    <n v="1"/>
    <n v="10"/>
    <n v="10"/>
    <n v="7"/>
    <n v="6"/>
    <n v="0"/>
    <n v="0"/>
    <n v="1"/>
    <n v="0"/>
    <n v="0"/>
    <x v="1"/>
    <n v="0"/>
    <n v="3"/>
    <n v="11"/>
    <n v="1"/>
    <n v="66"/>
    <n v="2310"/>
    <n v="6.3287671232876717"/>
    <n v="0"/>
    <n v="1"/>
    <n v="0"/>
    <n v="0"/>
    <n v="0"/>
    <n v="1"/>
    <n v="0"/>
    <n v="0"/>
    <n v="0"/>
    <n v="0"/>
    <n v="1150"/>
    <n v="1085"/>
    <n v="65"/>
    <n v="1"/>
    <x v="1"/>
    <x v="1"/>
    <x v="0"/>
    <x v="1"/>
    <x v="2"/>
    <x v="2"/>
    <n v="0"/>
    <n v="0"/>
    <n v="34"/>
    <n v="10"/>
    <n v="9"/>
    <n v="8"/>
    <n v="27"/>
    <n v="9"/>
    <x v="0"/>
  </r>
  <r>
    <x v="465"/>
    <n v="67131"/>
    <n v="0"/>
    <n v="1"/>
    <n v="72"/>
    <n v="465"/>
    <n v="71"/>
    <n v="250"/>
    <n v="93"/>
    <n v="35"/>
    <n v="62"/>
    <n v="3"/>
    <n v="9"/>
    <n v="2"/>
    <n v="12"/>
    <n v="6"/>
    <n v="0"/>
    <n v="0"/>
    <n v="0"/>
    <n v="0"/>
    <n v="0"/>
    <x v="0"/>
    <n v="0"/>
    <n v="3"/>
    <n v="11"/>
    <n v="0"/>
    <n v="64"/>
    <n v="2619"/>
    <n v="7.1753424657534248"/>
    <n v="0"/>
    <n v="1"/>
    <n v="0"/>
    <n v="0"/>
    <n v="0"/>
    <n v="0"/>
    <n v="0"/>
    <n v="1"/>
    <n v="0"/>
    <n v="0"/>
    <n v="914"/>
    <n v="852"/>
    <n v="62"/>
    <n v="0"/>
    <x v="0"/>
    <x v="0"/>
    <x v="0"/>
    <x v="0"/>
    <x v="2"/>
    <x v="2"/>
    <n v="1"/>
    <n v="0"/>
    <n v="32"/>
    <n v="3.0000000000000004"/>
    <n v="9"/>
    <n v="7"/>
    <n v="19"/>
    <n v="7"/>
    <x v="2"/>
  </r>
  <r>
    <x v="466"/>
    <n v="70044"/>
    <n v="0"/>
    <n v="1"/>
    <n v="46"/>
    <n v="1073"/>
    <n v="0"/>
    <n v="250"/>
    <n v="153"/>
    <n v="14"/>
    <n v="14"/>
    <n v="4"/>
    <n v="7"/>
    <n v="10"/>
    <n v="5"/>
    <n v="5"/>
    <n v="0"/>
    <n v="0"/>
    <n v="0"/>
    <n v="0"/>
    <n v="0"/>
    <x v="0"/>
    <n v="0"/>
    <n v="3"/>
    <n v="11"/>
    <n v="0"/>
    <n v="66"/>
    <n v="2655"/>
    <n v="7.2739726027397262"/>
    <n v="1"/>
    <n v="0"/>
    <n v="0"/>
    <n v="0"/>
    <n v="0"/>
    <n v="0"/>
    <n v="0"/>
    <n v="1"/>
    <n v="0"/>
    <n v="0"/>
    <n v="1490"/>
    <n v="1476"/>
    <n v="14"/>
    <n v="0"/>
    <x v="0"/>
    <x v="0"/>
    <x v="3"/>
    <x v="0"/>
    <x v="2"/>
    <x v="2"/>
    <n v="1"/>
    <n v="0"/>
    <n v="31"/>
    <n v="6"/>
    <n v="9"/>
    <n v="9"/>
    <n v="24"/>
    <n v="9"/>
    <x v="0"/>
  </r>
  <r>
    <x v="467"/>
    <n v="73691"/>
    <n v="0"/>
    <n v="1"/>
    <n v="58"/>
    <n v="707"/>
    <n v="21"/>
    <n v="250"/>
    <n v="85"/>
    <n v="43"/>
    <n v="73"/>
    <n v="2"/>
    <n v="6"/>
    <n v="2"/>
    <n v="8"/>
    <n v="2"/>
    <n v="0"/>
    <n v="0"/>
    <n v="1"/>
    <n v="0"/>
    <n v="0"/>
    <x v="1"/>
    <n v="0"/>
    <n v="3"/>
    <n v="11"/>
    <n v="0"/>
    <n v="49"/>
    <n v="2394"/>
    <n v="6.558904109589041"/>
    <n v="0"/>
    <n v="1"/>
    <n v="0"/>
    <n v="0"/>
    <n v="0"/>
    <n v="0"/>
    <n v="0"/>
    <n v="1"/>
    <n v="0"/>
    <n v="0"/>
    <n v="1106"/>
    <n v="1033"/>
    <n v="73"/>
    <n v="1"/>
    <x v="0"/>
    <x v="0"/>
    <x v="0"/>
    <x v="0"/>
    <x v="2"/>
    <x v="0"/>
    <n v="1"/>
    <n v="0"/>
    <n v="20"/>
    <n v="5"/>
    <n v="4"/>
    <n v="8"/>
    <n v="17"/>
    <n v="6"/>
    <x v="1"/>
  </r>
  <r>
    <x v="468"/>
    <n v="63285"/>
    <n v="0"/>
    <n v="0"/>
    <n v="84"/>
    <n v="508"/>
    <n v="124"/>
    <n v="249"/>
    <n v="50"/>
    <n v="38"/>
    <n v="134"/>
    <n v="1"/>
    <n v="6"/>
    <n v="5"/>
    <n v="13"/>
    <n v="3"/>
    <n v="0"/>
    <n v="0"/>
    <n v="0"/>
    <n v="0"/>
    <n v="0"/>
    <x v="0"/>
    <n v="0"/>
    <n v="3"/>
    <n v="11"/>
    <n v="0"/>
    <n v="75"/>
    <n v="2395"/>
    <n v="6.5616438356164384"/>
    <n v="0"/>
    <n v="0"/>
    <n v="0"/>
    <n v="0"/>
    <n v="1"/>
    <n v="0"/>
    <n v="0"/>
    <n v="1"/>
    <n v="0"/>
    <n v="0"/>
    <n v="969"/>
    <n v="835"/>
    <n v="134"/>
    <n v="0"/>
    <x v="1"/>
    <x v="1"/>
    <x v="4"/>
    <x v="0"/>
    <x v="2"/>
    <x v="2"/>
    <n v="1"/>
    <n v="0"/>
    <n v="28"/>
    <n v="1.9999999999999996"/>
    <n v="8"/>
    <n v="7"/>
    <n v="17"/>
    <n v="6"/>
    <x v="1"/>
  </r>
  <r>
    <x v="469"/>
    <n v="64176"/>
    <n v="0"/>
    <n v="1"/>
    <n v="52"/>
    <n v="1215"/>
    <n v="33"/>
    <n v="249"/>
    <n v="64"/>
    <n v="116"/>
    <n v="149"/>
    <n v="8"/>
    <n v="8"/>
    <n v="9"/>
    <n v="8"/>
    <n v="6"/>
    <n v="0"/>
    <n v="0"/>
    <n v="0"/>
    <n v="0"/>
    <n v="0"/>
    <x v="0"/>
    <n v="0"/>
    <n v="3"/>
    <n v="11"/>
    <n v="0"/>
    <n v="55"/>
    <n v="2854"/>
    <n v="7.8191780821917805"/>
    <n v="1"/>
    <n v="0"/>
    <n v="0"/>
    <n v="0"/>
    <n v="0"/>
    <n v="1"/>
    <n v="0"/>
    <n v="0"/>
    <n v="0"/>
    <n v="0"/>
    <n v="1677"/>
    <n v="1528"/>
    <n v="149"/>
    <n v="0"/>
    <x v="0"/>
    <x v="0"/>
    <x v="3"/>
    <x v="1"/>
    <x v="2"/>
    <x v="1"/>
    <n v="1"/>
    <n v="0"/>
    <n v="39"/>
    <n v="5"/>
    <n v="9"/>
    <n v="9"/>
    <n v="23"/>
    <n v="8"/>
    <x v="2"/>
  </r>
  <r>
    <x v="470"/>
    <n v="64831"/>
    <n v="1"/>
    <n v="1"/>
    <n v="51"/>
    <n v="480"/>
    <n v="86"/>
    <n v="249"/>
    <n v="75"/>
    <n v="86"/>
    <n v="144"/>
    <n v="8"/>
    <n v="6"/>
    <n v="3"/>
    <n v="5"/>
    <n v="6"/>
    <n v="0"/>
    <n v="0"/>
    <n v="0"/>
    <n v="0"/>
    <n v="0"/>
    <x v="0"/>
    <n v="0"/>
    <n v="3"/>
    <n v="11"/>
    <n v="0"/>
    <n v="68"/>
    <n v="2543"/>
    <n v="6.9671232876712326"/>
    <n v="0"/>
    <n v="0"/>
    <n v="1"/>
    <n v="0"/>
    <n v="0"/>
    <n v="1"/>
    <n v="0"/>
    <n v="0"/>
    <n v="0"/>
    <n v="0"/>
    <n v="976"/>
    <n v="832"/>
    <n v="144"/>
    <n v="0"/>
    <x v="0"/>
    <x v="0"/>
    <x v="1"/>
    <x v="1"/>
    <x v="2"/>
    <x v="2"/>
    <n v="1"/>
    <n v="0"/>
    <n v="28"/>
    <n v="5"/>
    <n v="8"/>
    <n v="7"/>
    <n v="20"/>
    <n v="7"/>
    <x v="2"/>
  </r>
  <r>
    <x v="471"/>
    <n v="70356"/>
    <n v="0"/>
    <n v="0"/>
    <n v="20"/>
    <n v="1349"/>
    <n v="16"/>
    <n v="249"/>
    <n v="43"/>
    <n v="16"/>
    <n v="33"/>
    <n v="2"/>
    <n v="10"/>
    <n v="6"/>
    <n v="9"/>
    <n v="6"/>
    <n v="0"/>
    <n v="0"/>
    <n v="0"/>
    <n v="0"/>
    <n v="0"/>
    <x v="0"/>
    <n v="0"/>
    <n v="3"/>
    <n v="11"/>
    <n v="0"/>
    <n v="75"/>
    <n v="2760"/>
    <n v="7.5616438356164384"/>
    <n v="0"/>
    <n v="1"/>
    <n v="0"/>
    <n v="0"/>
    <n v="0"/>
    <n v="0"/>
    <n v="0"/>
    <n v="0"/>
    <n v="0"/>
    <n v="1"/>
    <n v="1673"/>
    <n v="1640"/>
    <n v="33"/>
    <n v="0"/>
    <x v="1"/>
    <x v="1"/>
    <x v="0"/>
    <x v="1"/>
    <x v="2"/>
    <x v="2"/>
    <n v="0"/>
    <n v="0"/>
    <n v="33"/>
    <n v="8"/>
    <n v="9"/>
    <n v="9"/>
    <n v="26"/>
    <n v="9"/>
    <x v="0"/>
  </r>
  <r>
    <x v="472"/>
    <n v="74806"/>
    <n v="0"/>
    <n v="1"/>
    <n v="1"/>
    <n v="670"/>
    <n v="9"/>
    <n v="249"/>
    <n v="0"/>
    <n v="28"/>
    <n v="9"/>
    <n v="2"/>
    <n v="5"/>
    <n v="4"/>
    <n v="5"/>
    <n v="4"/>
    <n v="0"/>
    <n v="0"/>
    <n v="0"/>
    <n v="0"/>
    <n v="0"/>
    <x v="0"/>
    <n v="0"/>
    <n v="3"/>
    <n v="11"/>
    <n v="0"/>
    <n v="55"/>
    <n v="2716"/>
    <n v="7.441095890410959"/>
    <n v="0"/>
    <n v="1"/>
    <n v="0"/>
    <n v="0"/>
    <n v="0"/>
    <n v="0"/>
    <n v="0"/>
    <n v="0"/>
    <n v="1"/>
    <n v="0"/>
    <n v="956"/>
    <n v="947"/>
    <n v="9"/>
    <n v="0"/>
    <x v="0"/>
    <x v="0"/>
    <x v="0"/>
    <x v="1"/>
    <x v="2"/>
    <x v="1"/>
    <n v="0"/>
    <n v="0"/>
    <n v="20"/>
    <n v="10"/>
    <n v="4"/>
    <n v="7"/>
    <n v="21"/>
    <n v="8"/>
    <x v="2"/>
  </r>
  <r>
    <x v="473"/>
    <n v="81051"/>
    <n v="0"/>
    <n v="0"/>
    <n v="43"/>
    <n v="1142"/>
    <n v="29"/>
    <n v="249"/>
    <n v="38"/>
    <n v="29"/>
    <n v="14"/>
    <n v="1"/>
    <n v="5"/>
    <n v="5"/>
    <n v="12"/>
    <n v="2"/>
    <n v="0"/>
    <n v="0"/>
    <n v="0"/>
    <n v="1"/>
    <n v="1"/>
    <x v="1"/>
    <n v="0"/>
    <n v="3"/>
    <n v="11"/>
    <n v="0"/>
    <n v="55"/>
    <n v="2196"/>
    <n v="6.0164383561643833"/>
    <n v="0"/>
    <n v="1"/>
    <n v="0"/>
    <n v="0"/>
    <n v="0"/>
    <n v="0"/>
    <n v="0"/>
    <n v="0"/>
    <n v="0"/>
    <n v="1"/>
    <n v="1487"/>
    <n v="1473"/>
    <n v="14"/>
    <n v="2"/>
    <x v="1"/>
    <x v="1"/>
    <x v="0"/>
    <x v="1"/>
    <x v="1"/>
    <x v="1"/>
    <n v="1"/>
    <n v="0"/>
    <n v="25"/>
    <n v="6"/>
    <n v="7"/>
    <n v="9"/>
    <n v="22"/>
    <n v="8"/>
    <x v="2"/>
  </r>
  <r>
    <x v="474"/>
    <n v="48240"/>
    <n v="0"/>
    <n v="0"/>
    <n v="73"/>
    <n v="389"/>
    <n v="91"/>
    <n v="248"/>
    <n v="64"/>
    <n v="49"/>
    <n v="41"/>
    <n v="3"/>
    <n v="6"/>
    <n v="3"/>
    <n v="13"/>
    <n v="5"/>
    <n v="0"/>
    <n v="0"/>
    <n v="0"/>
    <n v="0"/>
    <n v="0"/>
    <x v="0"/>
    <n v="0"/>
    <n v="3"/>
    <n v="11"/>
    <n v="1"/>
    <n v="51"/>
    <n v="2756"/>
    <n v="7.5506849315068489"/>
    <n v="0"/>
    <n v="0"/>
    <n v="1"/>
    <n v="0"/>
    <n v="0"/>
    <n v="0"/>
    <n v="0"/>
    <n v="0"/>
    <n v="0"/>
    <n v="1"/>
    <n v="841"/>
    <n v="800"/>
    <n v="41"/>
    <n v="0"/>
    <x v="1"/>
    <x v="1"/>
    <x v="1"/>
    <x v="1"/>
    <x v="3"/>
    <x v="1"/>
    <n v="1"/>
    <n v="0"/>
    <n v="30"/>
    <n v="3.0000000000000004"/>
    <n v="8"/>
    <n v="6"/>
    <n v="17"/>
    <n v="6"/>
    <x v="1"/>
  </r>
  <r>
    <x v="475"/>
    <n v="62204"/>
    <n v="0"/>
    <n v="2"/>
    <n v="38"/>
    <n v="317"/>
    <n v="46"/>
    <n v="247"/>
    <n v="151"/>
    <n v="46"/>
    <n v="139"/>
    <n v="1"/>
    <n v="4"/>
    <n v="5"/>
    <n v="12"/>
    <n v="3"/>
    <n v="0"/>
    <n v="0"/>
    <n v="0"/>
    <n v="0"/>
    <n v="0"/>
    <x v="0"/>
    <n v="0"/>
    <n v="3"/>
    <n v="11"/>
    <n v="0"/>
    <n v="60"/>
    <n v="2814"/>
    <n v="7.7095890410958905"/>
    <n v="1"/>
    <n v="0"/>
    <n v="0"/>
    <n v="0"/>
    <n v="0"/>
    <n v="0"/>
    <n v="0"/>
    <n v="1"/>
    <n v="0"/>
    <n v="0"/>
    <n v="807"/>
    <n v="668"/>
    <n v="139"/>
    <n v="0"/>
    <x v="0"/>
    <x v="0"/>
    <x v="3"/>
    <x v="0"/>
    <x v="2"/>
    <x v="1"/>
    <n v="1"/>
    <n v="0"/>
    <n v="25"/>
    <n v="7"/>
    <n v="7"/>
    <n v="6"/>
    <n v="20"/>
    <n v="7"/>
    <x v="2"/>
  </r>
  <r>
    <x v="476"/>
    <n v="33051"/>
    <n v="0"/>
    <n v="0"/>
    <n v="15"/>
    <n v="100"/>
    <n v="71"/>
    <n v="243"/>
    <n v="108"/>
    <n v="94"/>
    <n v="219"/>
    <n v="3"/>
    <n v="9"/>
    <n v="1"/>
    <n v="8"/>
    <n v="9"/>
    <n v="0"/>
    <n v="0"/>
    <n v="0"/>
    <n v="0"/>
    <n v="0"/>
    <x v="0"/>
    <n v="0"/>
    <n v="3"/>
    <n v="11"/>
    <n v="1"/>
    <n v="61"/>
    <n v="2841"/>
    <n v="7.7835616438356166"/>
    <n v="0"/>
    <n v="0"/>
    <n v="0"/>
    <n v="0"/>
    <n v="1"/>
    <n v="0"/>
    <n v="0"/>
    <n v="0"/>
    <n v="1"/>
    <n v="0"/>
    <n v="616"/>
    <n v="397"/>
    <n v="219"/>
    <n v="0"/>
    <x v="1"/>
    <x v="1"/>
    <x v="4"/>
    <x v="1"/>
    <x v="0"/>
    <x v="2"/>
    <n v="0"/>
    <n v="0"/>
    <n v="30"/>
    <n v="9"/>
    <n v="8"/>
    <n v="6"/>
    <n v="23"/>
    <n v="8"/>
    <x v="2"/>
  </r>
  <r>
    <x v="477"/>
    <n v="78939"/>
    <n v="0"/>
    <n v="0"/>
    <n v="57"/>
    <n v="794"/>
    <n v="115"/>
    <n v="243"/>
    <n v="150"/>
    <n v="0"/>
    <n v="205"/>
    <n v="1"/>
    <n v="8"/>
    <n v="5"/>
    <n v="6"/>
    <n v="3"/>
    <n v="0"/>
    <n v="0"/>
    <n v="0"/>
    <n v="0"/>
    <n v="0"/>
    <x v="0"/>
    <n v="0"/>
    <n v="3"/>
    <n v="11"/>
    <n v="0"/>
    <n v="69"/>
    <n v="2358"/>
    <n v="6.4602739726027396"/>
    <n v="0"/>
    <n v="1"/>
    <n v="0"/>
    <n v="0"/>
    <n v="0"/>
    <n v="0"/>
    <n v="0"/>
    <n v="0"/>
    <n v="0"/>
    <n v="1"/>
    <n v="1302"/>
    <n v="1097"/>
    <n v="205"/>
    <n v="0"/>
    <x v="1"/>
    <x v="1"/>
    <x v="0"/>
    <x v="1"/>
    <x v="1"/>
    <x v="2"/>
    <n v="1"/>
    <n v="0"/>
    <n v="23"/>
    <n v="5"/>
    <n v="6"/>
    <n v="8"/>
    <n v="19"/>
    <n v="7"/>
    <x v="2"/>
  </r>
  <r>
    <x v="478"/>
    <n v="50898"/>
    <n v="1"/>
    <n v="1"/>
    <n v="88"/>
    <n v="285"/>
    <n v="28"/>
    <n v="242"/>
    <n v="55"/>
    <n v="114"/>
    <n v="135"/>
    <n v="13"/>
    <n v="6"/>
    <n v="2"/>
    <n v="12"/>
    <n v="5"/>
    <n v="0"/>
    <n v="0"/>
    <n v="0"/>
    <n v="0"/>
    <n v="0"/>
    <x v="0"/>
    <n v="0"/>
    <n v="3"/>
    <n v="11"/>
    <n v="0"/>
    <n v="64"/>
    <n v="2696"/>
    <n v="7.3863013698630136"/>
    <n v="0"/>
    <n v="0"/>
    <n v="0"/>
    <n v="1"/>
    <n v="0"/>
    <n v="0"/>
    <n v="0"/>
    <n v="0"/>
    <n v="1"/>
    <n v="0"/>
    <n v="724"/>
    <n v="589"/>
    <n v="135"/>
    <n v="0"/>
    <x v="0"/>
    <x v="0"/>
    <x v="2"/>
    <x v="1"/>
    <x v="2"/>
    <x v="2"/>
    <n v="1"/>
    <n v="0"/>
    <n v="38"/>
    <n v="1.9999999999999996"/>
    <n v="9"/>
    <n v="6"/>
    <n v="17"/>
    <n v="6"/>
    <x v="1"/>
  </r>
  <r>
    <x v="479"/>
    <n v="77027"/>
    <n v="0"/>
    <n v="1"/>
    <n v="23"/>
    <n v="820"/>
    <n v="57"/>
    <n v="242"/>
    <n v="45"/>
    <n v="0"/>
    <n v="11"/>
    <n v="2"/>
    <n v="8"/>
    <n v="3"/>
    <n v="6"/>
    <n v="4"/>
    <n v="0"/>
    <n v="0"/>
    <n v="0"/>
    <n v="0"/>
    <n v="0"/>
    <x v="0"/>
    <n v="0"/>
    <n v="3"/>
    <n v="11"/>
    <n v="0"/>
    <n v="68"/>
    <n v="2303"/>
    <n v="6.3095890410958901"/>
    <n v="0"/>
    <n v="1"/>
    <n v="0"/>
    <n v="0"/>
    <n v="0"/>
    <n v="0"/>
    <n v="0"/>
    <n v="0"/>
    <n v="1"/>
    <n v="0"/>
    <n v="1164"/>
    <n v="1153"/>
    <n v="11"/>
    <n v="0"/>
    <x v="0"/>
    <x v="0"/>
    <x v="0"/>
    <x v="1"/>
    <x v="1"/>
    <x v="2"/>
    <n v="0"/>
    <n v="0"/>
    <n v="23"/>
    <n v="8"/>
    <n v="6"/>
    <n v="8"/>
    <n v="22"/>
    <n v="8"/>
    <x v="2"/>
  </r>
  <r>
    <x v="480"/>
    <n v="77044"/>
    <n v="0"/>
    <n v="1"/>
    <n v="12"/>
    <n v="625"/>
    <n v="38"/>
    <n v="242"/>
    <n v="50"/>
    <n v="34"/>
    <n v="76"/>
    <n v="2"/>
    <n v="7"/>
    <n v="11"/>
    <n v="11"/>
    <n v="4"/>
    <n v="0"/>
    <n v="0"/>
    <n v="1"/>
    <n v="0"/>
    <n v="0"/>
    <x v="1"/>
    <n v="0"/>
    <n v="3"/>
    <n v="11"/>
    <n v="0"/>
    <n v="48"/>
    <n v="2404"/>
    <n v="6.5863013698630137"/>
    <n v="0"/>
    <n v="0"/>
    <n v="0"/>
    <n v="1"/>
    <n v="0"/>
    <n v="0"/>
    <n v="0"/>
    <n v="1"/>
    <n v="0"/>
    <n v="0"/>
    <n v="989"/>
    <n v="913"/>
    <n v="76"/>
    <n v="1"/>
    <x v="0"/>
    <x v="0"/>
    <x v="2"/>
    <x v="0"/>
    <x v="1"/>
    <x v="0"/>
    <n v="0"/>
    <n v="0"/>
    <n v="35"/>
    <n v="9"/>
    <n v="9"/>
    <n v="7"/>
    <n v="25"/>
    <n v="9"/>
    <x v="0"/>
  </r>
  <r>
    <x v="481"/>
    <n v="52513"/>
    <n v="0"/>
    <n v="0"/>
    <n v="84"/>
    <n v="367"/>
    <n v="17"/>
    <n v="241"/>
    <n v="104"/>
    <n v="188"/>
    <n v="232"/>
    <n v="2"/>
    <n v="9"/>
    <n v="5"/>
    <n v="9"/>
    <n v="7"/>
    <n v="0"/>
    <n v="0"/>
    <n v="0"/>
    <n v="0"/>
    <n v="0"/>
    <x v="0"/>
    <n v="0"/>
    <n v="3"/>
    <n v="11"/>
    <n v="0"/>
    <n v="42"/>
    <n v="2822"/>
    <n v="7.7315068493150685"/>
    <n v="0"/>
    <n v="0"/>
    <n v="0"/>
    <n v="1"/>
    <n v="0"/>
    <n v="1"/>
    <n v="0"/>
    <n v="0"/>
    <n v="0"/>
    <n v="0"/>
    <n v="917"/>
    <n v="685"/>
    <n v="232"/>
    <n v="0"/>
    <x v="1"/>
    <x v="1"/>
    <x v="2"/>
    <x v="1"/>
    <x v="2"/>
    <x v="0"/>
    <n v="1"/>
    <n v="0"/>
    <n v="32"/>
    <n v="1.9999999999999996"/>
    <n v="9"/>
    <n v="7"/>
    <n v="18"/>
    <n v="6"/>
    <x v="1"/>
  </r>
  <r>
    <x v="482"/>
    <n v="64713"/>
    <n v="1"/>
    <n v="0"/>
    <n v="11"/>
    <n v="180"/>
    <n v="60"/>
    <n v="241"/>
    <n v="13"/>
    <n v="54"/>
    <n v="54"/>
    <n v="2"/>
    <n v="5"/>
    <n v="5"/>
    <n v="7"/>
    <n v="4"/>
    <n v="0"/>
    <n v="0"/>
    <n v="0"/>
    <n v="0"/>
    <n v="0"/>
    <x v="0"/>
    <n v="0"/>
    <n v="3"/>
    <n v="11"/>
    <n v="1"/>
    <n v="50"/>
    <n v="2301"/>
    <n v="6.3041095890410963"/>
    <n v="1"/>
    <n v="0"/>
    <n v="0"/>
    <n v="0"/>
    <n v="0"/>
    <n v="0"/>
    <n v="0"/>
    <n v="1"/>
    <n v="0"/>
    <n v="0"/>
    <n v="548"/>
    <n v="494"/>
    <n v="54"/>
    <n v="0"/>
    <x v="0"/>
    <x v="0"/>
    <x v="3"/>
    <x v="0"/>
    <x v="2"/>
    <x v="0"/>
    <n v="0"/>
    <n v="0"/>
    <n v="23"/>
    <n v="9"/>
    <n v="6"/>
    <n v="5"/>
    <n v="20"/>
    <n v="7"/>
    <x v="2"/>
  </r>
  <r>
    <x v="483"/>
    <n v="69702"/>
    <n v="0"/>
    <n v="1"/>
    <n v="8"/>
    <n v="664"/>
    <n v="9"/>
    <n v="240"/>
    <n v="50"/>
    <n v="19"/>
    <n v="57"/>
    <n v="2"/>
    <n v="7"/>
    <n v="7"/>
    <n v="10"/>
    <n v="4"/>
    <n v="0"/>
    <n v="0"/>
    <n v="0"/>
    <n v="0"/>
    <n v="0"/>
    <x v="0"/>
    <n v="0"/>
    <n v="3"/>
    <n v="11"/>
    <n v="0"/>
    <n v="69"/>
    <n v="2654"/>
    <n v="7.2712328767123289"/>
    <n v="0"/>
    <n v="0"/>
    <n v="0"/>
    <n v="1"/>
    <n v="0"/>
    <n v="0"/>
    <n v="0"/>
    <n v="0"/>
    <n v="0"/>
    <n v="1"/>
    <n v="982"/>
    <n v="925"/>
    <n v="57"/>
    <n v="0"/>
    <x v="0"/>
    <x v="0"/>
    <x v="2"/>
    <x v="1"/>
    <x v="2"/>
    <x v="2"/>
    <n v="0"/>
    <n v="0"/>
    <n v="30"/>
    <n v="10"/>
    <n v="8"/>
    <n v="7"/>
    <n v="25"/>
    <n v="9"/>
    <x v="0"/>
  </r>
  <r>
    <x v="484"/>
    <n v="74165"/>
    <n v="0"/>
    <n v="0"/>
    <n v="9"/>
    <n v="1001"/>
    <n v="12"/>
    <n v="240"/>
    <n v="16"/>
    <n v="12"/>
    <n v="12"/>
    <n v="1"/>
    <n v="5"/>
    <n v="4"/>
    <n v="10"/>
    <n v="2"/>
    <n v="0"/>
    <n v="0"/>
    <n v="0"/>
    <n v="0"/>
    <n v="0"/>
    <x v="0"/>
    <n v="0"/>
    <n v="3"/>
    <n v="11"/>
    <n v="0"/>
    <n v="45"/>
    <n v="2583"/>
    <n v="7.0767123287671234"/>
    <n v="1"/>
    <n v="0"/>
    <n v="0"/>
    <n v="0"/>
    <n v="0"/>
    <n v="0"/>
    <n v="0"/>
    <n v="0"/>
    <n v="0"/>
    <n v="1"/>
    <n v="1281"/>
    <n v="1269"/>
    <n v="12"/>
    <n v="0"/>
    <x v="1"/>
    <x v="1"/>
    <x v="3"/>
    <x v="1"/>
    <x v="2"/>
    <x v="0"/>
    <n v="0"/>
    <n v="0"/>
    <n v="22"/>
    <n v="10"/>
    <n v="5"/>
    <n v="8"/>
    <n v="23"/>
    <n v="8"/>
    <x v="2"/>
  </r>
  <r>
    <x v="485"/>
    <n v="49118"/>
    <n v="0"/>
    <n v="0"/>
    <n v="90"/>
    <n v="620"/>
    <n v="54"/>
    <n v="239"/>
    <n v="99"/>
    <n v="98"/>
    <n v="119"/>
    <n v="2"/>
    <n v="9"/>
    <n v="7"/>
    <n v="10"/>
    <n v="7"/>
    <n v="0"/>
    <n v="1"/>
    <n v="0"/>
    <n v="1"/>
    <n v="0"/>
    <x v="1"/>
    <n v="0"/>
    <n v="3"/>
    <n v="11"/>
    <n v="1"/>
    <n v="49"/>
    <n v="2839"/>
    <n v="7.7780821917808218"/>
    <n v="1"/>
    <n v="0"/>
    <n v="0"/>
    <n v="0"/>
    <n v="0"/>
    <n v="1"/>
    <n v="0"/>
    <n v="0"/>
    <n v="0"/>
    <n v="0"/>
    <n v="1110"/>
    <n v="991"/>
    <n v="119"/>
    <n v="2"/>
    <x v="1"/>
    <x v="1"/>
    <x v="3"/>
    <x v="1"/>
    <x v="3"/>
    <x v="0"/>
    <n v="1"/>
    <n v="0"/>
    <n v="35"/>
    <n v="0.99999999999999978"/>
    <n v="9"/>
    <n v="8"/>
    <n v="18"/>
    <n v="6"/>
    <x v="1"/>
  </r>
  <r>
    <x v="486"/>
    <n v="52750"/>
    <n v="0"/>
    <n v="1"/>
    <n v="72"/>
    <n v="393"/>
    <n v="0"/>
    <n v="239"/>
    <n v="90"/>
    <n v="69"/>
    <n v="69"/>
    <n v="6"/>
    <n v="5"/>
    <n v="7"/>
    <n v="9"/>
    <n v="4"/>
    <n v="0"/>
    <n v="0"/>
    <n v="0"/>
    <n v="0"/>
    <n v="0"/>
    <x v="0"/>
    <n v="0"/>
    <n v="3"/>
    <n v="11"/>
    <n v="0"/>
    <n v="65"/>
    <n v="2669"/>
    <n v="7.3123287671232875"/>
    <n v="0"/>
    <n v="1"/>
    <n v="0"/>
    <n v="0"/>
    <n v="0"/>
    <n v="0"/>
    <n v="0"/>
    <n v="0"/>
    <n v="1"/>
    <n v="0"/>
    <n v="791"/>
    <n v="722"/>
    <n v="69"/>
    <n v="0"/>
    <x v="0"/>
    <x v="0"/>
    <x v="0"/>
    <x v="1"/>
    <x v="2"/>
    <x v="2"/>
    <n v="1"/>
    <n v="0"/>
    <n v="31"/>
    <n v="3.0000000000000004"/>
    <n v="9"/>
    <n v="6"/>
    <n v="18"/>
    <n v="6"/>
    <x v="1"/>
  </r>
  <r>
    <x v="487"/>
    <n v="53653"/>
    <n v="0"/>
    <n v="0"/>
    <n v="29"/>
    <n v="815"/>
    <n v="10"/>
    <n v="239"/>
    <n v="28"/>
    <n v="10"/>
    <n v="108"/>
    <n v="2"/>
    <n v="10"/>
    <n v="4"/>
    <n v="12"/>
    <n v="6"/>
    <n v="0"/>
    <n v="0"/>
    <n v="0"/>
    <n v="0"/>
    <n v="0"/>
    <x v="0"/>
    <n v="0"/>
    <n v="3"/>
    <n v="11"/>
    <n v="0"/>
    <n v="67"/>
    <n v="2758"/>
    <n v="7.5561643835616437"/>
    <n v="0"/>
    <n v="0"/>
    <n v="0"/>
    <n v="0"/>
    <n v="1"/>
    <n v="0"/>
    <n v="0"/>
    <n v="1"/>
    <n v="0"/>
    <n v="0"/>
    <n v="1102"/>
    <n v="994"/>
    <n v="108"/>
    <n v="0"/>
    <x v="1"/>
    <x v="1"/>
    <x v="4"/>
    <x v="0"/>
    <x v="2"/>
    <x v="2"/>
    <n v="0"/>
    <n v="0"/>
    <n v="34"/>
    <n v="8"/>
    <n v="9"/>
    <n v="8"/>
    <n v="25"/>
    <n v="9"/>
    <x v="0"/>
  </r>
  <r>
    <x v="488"/>
    <n v="56715"/>
    <n v="0"/>
    <n v="0"/>
    <n v="52"/>
    <n v="258"/>
    <n v="105"/>
    <n v="239"/>
    <n v="237"/>
    <n v="172"/>
    <n v="9"/>
    <n v="1"/>
    <n v="7"/>
    <n v="3"/>
    <n v="4"/>
    <n v="4"/>
    <n v="0"/>
    <n v="0"/>
    <n v="0"/>
    <n v="0"/>
    <n v="0"/>
    <x v="0"/>
    <n v="0"/>
    <n v="3"/>
    <n v="11"/>
    <n v="0"/>
    <n v="46"/>
    <n v="2730"/>
    <n v="7.4794520547945202"/>
    <n v="0"/>
    <n v="0"/>
    <n v="0"/>
    <n v="1"/>
    <n v="0"/>
    <n v="0"/>
    <n v="0"/>
    <n v="1"/>
    <n v="0"/>
    <n v="0"/>
    <n v="1011"/>
    <n v="1002"/>
    <n v="9"/>
    <n v="0"/>
    <x v="1"/>
    <x v="1"/>
    <x v="2"/>
    <x v="0"/>
    <x v="2"/>
    <x v="0"/>
    <n v="1"/>
    <n v="0"/>
    <n v="19"/>
    <n v="5"/>
    <n v="4"/>
    <n v="7"/>
    <n v="16"/>
    <n v="5"/>
    <x v="1"/>
  </r>
  <r>
    <x v="489"/>
    <n v="70886"/>
    <n v="1"/>
    <n v="0"/>
    <n v="65"/>
    <n v="407"/>
    <n v="70"/>
    <n v="239"/>
    <n v="103"/>
    <n v="88"/>
    <n v="53"/>
    <n v="1"/>
    <n v="5"/>
    <n v="4"/>
    <n v="4"/>
    <n v="2"/>
    <n v="0"/>
    <n v="0"/>
    <n v="0"/>
    <n v="0"/>
    <n v="0"/>
    <x v="0"/>
    <n v="0"/>
    <n v="3"/>
    <n v="11"/>
    <n v="0"/>
    <n v="49"/>
    <n v="2417"/>
    <n v="6.6219178082191785"/>
    <n v="0"/>
    <n v="1"/>
    <n v="0"/>
    <n v="0"/>
    <n v="0"/>
    <n v="0"/>
    <n v="0"/>
    <n v="1"/>
    <n v="0"/>
    <n v="0"/>
    <n v="907"/>
    <n v="854"/>
    <n v="53"/>
    <n v="0"/>
    <x v="0"/>
    <x v="0"/>
    <x v="0"/>
    <x v="0"/>
    <x v="2"/>
    <x v="0"/>
    <n v="1"/>
    <n v="0"/>
    <n v="16"/>
    <n v="4"/>
    <n v="3"/>
    <n v="7"/>
    <n v="14"/>
    <n v="4"/>
    <x v="3"/>
  </r>
  <r>
    <x v="490"/>
    <n v="77226"/>
    <n v="0"/>
    <n v="1"/>
    <n v="29"/>
    <n v="631"/>
    <n v="43"/>
    <n v="239"/>
    <n v="128"/>
    <n v="76"/>
    <n v="21"/>
    <n v="2"/>
    <n v="6"/>
    <n v="8"/>
    <n v="12"/>
    <n v="3"/>
    <n v="0"/>
    <n v="0"/>
    <n v="0"/>
    <n v="0"/>
    <n v="0"/>
    <x v="0"/>
    <n v="0"/>
    <n v="3"/>
    <n v="11"/>
    <n v="0"/>
    <n v="57"/>
    <n v="2280"/>
    <n v="6.2465753424657535"/>
    <n v="0"/>
    <n v="0"/>
    <n v="0"/>
    <n v="1"/>
    <n v="0"/>
    <n v="0"/>
    <n v="0"/>
    <n v="1"/>
    <n v="0"/>
    <n v="0"/>
    <n v="1117"/>
    <n v="1096"/>
    <n v="21"/>
    <n v="0"/>
    <x v="0"/>
    <x v="0"/>
    <x v="2"/>
    <x v="0"/>
    <x v="1"/>
    <x v="1"/>
    <n v="0"/>
    <n v="0"/>
    <n v="31"/>
    <n v="8"/>
    <n v="9"/>
    <n v="8"/>
    <n v="25"/>
    <n v="9"/>
    <x v="0"/>
  </r>
  <r>
    <x v="491"/>
    <n v="52203"/>
    <n v="0"/>
    <n v="0"/>
    <n v="36"/>
    <n v="488"/>
    <n v="21"/>
    <n v="238"/>
    <n v="56"/>
    <n v="108"/>
    <n v="28"/>
    <n v="1"/>
    <n v="8"/>
    <n v="7"/>
    <n v="11"/>
    <n v="6"/>
    <n v="0"/>
    <n v="0"/>
    <n v="0"/>
    <n v="0"/>
    <n v="0"/>
    <x v="0"/>
    <n v="0"/>
    <n v="3"/>
    <n v="11"/>
    <n v="0"/>
    <n v="70"/>
    <n v="2857"/>
    <n v="7.8273972602739725"/>
    <n v="0"/>
    <n v="0"/>
    <n v="0"/>
    <n v="1"/>
    <n v="0"/>
    <n v="1"/>
    <n v="0"/>
    <n v="0"/>
    <n v="0"/>
    <n v="0"/>
    <n v="911"/>
    <n v="883"/>
    <n v="28"/>
    <n v="0"/>
    <x v="1"/>
    <x v="1"/>
    <x v="2"/>
    <x v="1"/>
    <x v="2"/>
    <x v="2"/>
    <n v="1"/>
    <n v="0"/>
    <n v="33"/>
    <n v="7"/>
    <n v="9"/>
    <n v="7"/>
    <n v="23"/>
    <n v="8"/>
    <x v="2"/>
  </r>
  <r>
    <x v="492"/>
    <n v="55239"/>
    <n v="0"/>
    <n v="1"/>
    <n v="59"/>
    <n v="371"/>
    <n v="17"/>
    <n v="238"/>
    <n v="23"/>
    <n v="24"/>
    <n v="106"/>
    <n v="3"/>
    <n v="7"/>
    <n v="5"/>
    <n v="11"/>
    <n v="5"/>
    <n v="0"/>
    <n v="0"/>
    <n v="0"/>
    <n v="0"/>
    <n v="0"/>
    <x v="0"/>
    <n v="0"/>
    <n v="3"/>
    <n v="11"/>
    <n v="0"/>
    <n v="49"/>
    <n v="2509"/>
    <n v="6.8739726027397259"/>
    <n v="0"/>
    <n v="0"/>
    <n v="1"/>
    <n v="0"/>
    <n v="0"/>
    <n v="0"/>
    <n v="0"/>
    <n v="1"/>
    <n v="0"/>
    <n v="0"/>
    <n v="673"/>
    <n v="567"/>
    <n v="106"/>
    <n v="0"/>
    <x v="0"/>
    <x v="0"/>
    <x v="1"/>
    <x v="0"/>
    <x v="2"/>
    <x v="0"/>
    <n v="1"/>
    <n v="0"/>
    <n v="31"/>
    <n v="4"/>
    <n v="9"/>
    <n v="6"/>
    <n v="19"/>
    <n v="7"/>
    <x v="2"/>
  </r>
  <r>
    <x v="493"/>
    <n v="69389"/>
    <n v="0"/>
    <n v="1"/>
    <n v="17"/>
    <n v="422"/>
    <n v="7"/>
    <n v="238"/>
    <n v="69"/>
    <n v="46"/>
    <n v="15"/>
    <n v="1"/>
    <n v="7"/>
    <n v="2"/>
    <n v="12"/>
    <n v="4"/>
    <n v="0"/>
    <n v="0"/>
    <n v="0"/>
    <n v="0"/>
    <n v="0"/>
    <x v="0"/>
    <n v="0"/>
    <n v="3"/>
    <n v="11"/>
    <n v="0"/>
    <n v="43"/>
    <n v="2798"/>
    <n v="7.6657534246575345"/>
    <n v="0"/>
    <n v="1"/>
    <n v="0"/>
    <n v="0"/>
    <n v="0"/>
    <n v="0"/>
    <n v="0"/>
    <n v="0"/>
    <n v="0"/>
    <n v="1"/>
    <n v="782"/>
    <n v="767"/>
    <n v="15"/>
    <n v="0"/>
    <x v="0"/>
    <x v="0"/>
    <x v="0"/>
    <x v="1"/>
    <x v="2"/>
    <x v="0"/>
    <n v="0"/>
    <n v="0"/>
    <n v="26"/>
    <n v="9"/>
    <n v="7"/>
    <n v="6"/>
    <n v="22"/>
    <n v="8"/>
    <x v="2"/>
  </r>
  <r>
    <x v="494"/>
    <n v="60491"/>
    <n v="0"/>
    <n v="1"/>
    <n v="81"/>
    <n v="637"/>
    <n v="47"/>
    <n v="237"/>
    <n v="12"/>
    <n v="19"/>
    <n v="76"/>
    <n v="4"/>
    <n v="6"/>
    <n v="11"/>
    <n v="7"/>
    <n v="5"/>
    <n v="0"/>
    <n v="0"/>
    <n v="0"/>
    <n v="0"/>
    <n v="0"/>
    <x v="0"/>
    <n v="0"/>
    <n v="3"/>
    <n v="11"/>
    <n v="0"/>
    <n v="49"/>
    <n v="2455"/>
    <n v="6.7260273972602738"/>
    <n v="0"/>
    <n v="1"/>
    <n v="0"/>
    <n v="0"/>
    <n v="0"/>
    <n v="0"/>
    <n v="0"/>
    <n v="0"/>
    <n v="0"/>
    <n v="1"/>
    <n v="952"/>
    <n v="876"/>
    <n v="76"/>
    <n v="0"/>
    <x v="0"/>
    <x v="0"/>
    <x v="0"/>
    <x v="1"/>
    <x v="2"/>
    <x v="0"/>
    <n v="1"/>
    <n v="0"/>
    <n v="33"/>
    <n v="1.9999999999999996"/>
    <n v="9"/>
    <n v="7"/>
    <n v="18"/>
    <n v="6"/>
    <x v="1"/>
  </r>
  <r>
    <x v="495"/>
    <n v="42387"/>
    <n v="1"/>
    <n v="0"/>
    <n v="42"/>
    <n v="235"/>
    <n v="0"/>
    <n v="235"/>
    <n v="19"/>
    <n v="4"/>
    <n v="191"/>
    <n v="5"/>
    <n v="8"/>
    <n v="1"/>
    <n v="7"/>
    <n v="8"/>
    <n v="0"/>
    <n v="0"/>
    <n v="0"/>
    <n v="0"/>
    <n v="0"/>
    <x v="0"/>
    <n v="0"/>
    <n v="3"/>
    <n v="11"/>
    <n v="0"/>
    <n v="31"/>
    <n v="2767"/>
    <n v="7.580821917808219"/>
    <n v="0"/>
    <n v="1"/>
    <n v="0"/>
    <n v="0"/>
    <n v="0"/>
    <n v="0"/>
    <n v="0"/>
    <n v="1"/>
    <n v="0"/>
    <n v="0"/>
    <n v="493"/>
    <n v="302"/>
    <n v="191"/>
    <n v="0"/>
    <x v="0"/>
    <x v="0"/>
    <x v="0"/>
    <x v="0"/>
    <x v="3"/>
    <x v="3"/>
    <n v="1"/>
    <n v="0"/>
    <n v="29"/>
    <n v="6"/>
    <n v="8"/>
    <n v="5"/>
    <n v="19"/>
    <n v="7"/>
    <x v="2"/>
  </r>
  <r>
    <x v="496"/>
    <n v="72828"/>
    <n v="0"/>
    <n v="1"/>
    <n v="17"/>
    <n v="1205"/>
    <n v="0"/>
    <n v="235"/>
    <n v="19"/>
    <n v="14"/>
    <n v="205"/>
    <n v="6"/>
    <n v="6"/>
    <n v="3"/>
    <n v="13"/>
    <n v="7"/>
    <n v="0"/>
    <n v="0"/>
    <n v="0"/>
    <n v="0"/>
    <n v="0"/>
    <x v="0"/>
    <n v="0"/>
    <n v="3"/>
    <n v="11"/>
    <n v="0"/>
    <n v="58"/>
    <n v="2659"/>
    <n v="7.2849315068493148"/>
    <n v="0"/>
    <n v="1"/>
    <n v="0"/>
    <n v="0"/>
    <n v="0"/>
    <n v="0"/>
    <n v="0"/>
    <n v="0"/>
    <n v="1"/>
    <n v="0"/>
    <n v="1473"/>
    <n v="1268"/>
    <n v="205"/>
    <n v="0"/>
    <x v="0"/>
    <x v="0"/>
    <x v="0"/>
    <x v="1"/>
    <x v="2"/>
    <x v="1"/>
    <n v="0"/>
    <n v="0"/>
    <n v="35"/>
    <n v="9"/>
    <n v="9"/>
    <n v="9"/>
    <n v="27"/>
    <n v="9"/>
    <x v="0"/>
  </r>
  <r>
    <x v="497"/>
    <n v="44010"/>
    <n v="1"/>
    <n v="0"/>
    <n v="46"/>
    <n v="186"/>
    <n v="36"/>
    <n v="234"/>
    <n v="86"/>
    <n v="72"/>
    <n v="48"/>
    <n v="6"/>
    <n v="10"/>
    <n v="2"/>
    <n v="6"/>
    <n v="9"/>
    <n v="0"/>
    <n v="0"/>
    <n v="0"/>
    <n v="0"/>
    <n v="0"/>
    <x v="0"/>
    <n v="0"/>
    <n v="3"/>
    <n v="11"/>
    <n v="0"/>
    <n v="40"/>
    <n v="2783"/>
    <n v="7.624657534246575"/>
    <n v="0"/>
    <n v="0"/>
    <n v="0"/>
    <n v="1"/>
    <n v="0"/>
    <n v="0"/>
    <n v="0"/>
    <n v="1"/>
    <n v="0"/>
    <n v="0"/>
    <n v="614"/>
    <n v="566"/>
    <n v="48"/>
    <n v="0"/>
    <x v="0"/>
    <x v="0"/>
    <x v="2"/>
    <x v="0"/>
    <x v="3"/>
    <x v="3"/>
    <n v="1"/>
    <n v="0"/>
    <n v="33"/>
    <n v="6"/>
    <n v="9"/>
    <n v="6"/>
    <n v="21"/>
    <n v="8"/>
    <x v="2"/>
  </r>
  <r>
    <x v="498"/>
    <n v="53700"/>
    <n v="0"/>
    <n v="1"/>
    <n v="94"/>
    <n v="263"/>
    <n v="5"/>
    <n v="233"/>
    <n v="69"/>
    <n v="41"/>
    <n v="83"/>
    <n v="4"/>
    <n v="5"/>
    <n v="5"/>
    <n v="8"/>
    <n v="5"/>
    <n v="0"/>
    <n v="0"/>
    <n v="0"/>
    <n v="0"/>
    <n v="0"/>
    <x v="0"/>
    <n v="0"/>
    <n v="3"/>
    <n v="11"/>
    <n v="0"/>
    <n v="68"/>
    <n v="2840"/>
    <n v="7.7808219178082192"/>
    <n v="0"/>
    <n v="0"/>
    <n v="1"/>
    <n v="0"/>
    <n v="0"/>
    <n v="0"/>
    <n v="0"/>
    <n v="1"/>
    <n v="0"/>
    <n v="0"/>
    <n v="611"/>
    <n v="528"/>
    <n v="83"/>
    <n v="0"/>
    <x v="0"/>
    <x v="0"/>
    <x v="1"/>
    <x v="0"/>
    <x v="2"/>
    <x v="2"/>
    <n v="1"/>
    <n v="1"/>
    <n v="27"/>
    <n v="0.99999999999999978"/>
    <n v="7"/>
    <n v="6"/>
    <n v="14"/>
    <n v="4"/>
    <x v="3"/>
  </r>
  <r>
    <x v="499"/>
    <n v="65104"/>
    <n v="0"/>
    <n v="1"/>
    <n v="4"/>
    <n v="738"/>
    <n v="0"/>
    <n v="232"/>
    <n v="13"/>
    <n v="20"/>
    <n v="50"/>
    <n v="2"/>
    <n v="3"/>
    <n v="5"/>
    <n v="7"/>
    <n v="7"/>
    <n v="0"/>
    <n v="0"/>
    <n v="0"/>
    <n v="0"/>
    <n v="0"/>
    <x v="0"/>
    <n v="0"/>
    <n v="3"/>
    <n v="11"/>
    <n v="1"/>
    <n v="44"/>
    <n v="2386"/>
    <n v="6.536986301369863"/>
    <n v="0"/>
    <n v="0"/>
    <n v="0"/>
    <n v="1"/>
    <n v="0"/>
    <n v="0"/>
    <n v="0"/>
    <n v="0"/>
    <n v="1"/>
    <n v="0"/>
    <n v="1003"/>
    <n v="953"/>
    <n v="50"/>
    <n v="0"/>
    <x v="0"/>
    <x v="0"/>
    <x v="2"/>
    <x v="1"/>
    <x v="2"/>
    <x v="0"/>
    <n v="0"/>
    <n v="0"/>
    <n v="24"/>
    <n v="10"/>
    <n v="6"/>
    <n v="7"/>
    <n v="23"/>
    <n v="8"/>
    <x v="2"/>
  </r>
  <r>
    <x v="500"/>
    <n v="65104"/>
    <n v="0"/>
    <n v="1"/>
    <n v="4"/>
    <n v="738"/>
    <n v="0"/>
    <n v="232"/>
    <n v="13"/>
    <n v="20"/>
    <n v="50"/>
    <n v="2"/>
    <n v="3"/>
    <n v="5"/>
    <n v="7"/>
    <n v="7"/>
    <n v="0"/>
    <n v="0"/>
    <n v="0"/>
    <n v="0"/>
    <n v="0"/>
    <x v="0"/>
    <n v="0"/>
    <n v="3"/>
    <n v="11"/>
    <n v="0"/>
    <n v="44"/>
    <n v="2386"/>
    <n v="6.536986301369863"/>
    <n v="0"/>
    <n v="0"/>
    <n v="0"/>
    <n v="1"/>
    <n v="0"/>
    <n v="0"/>
    <n v="0"/>
    <n v="0"/>
    <n v="1"/>
    <n v="0"/>
    <n v="1003"/>
    <n v="953"/>
    <n v="50"/>
    <n v="0"/>
    <x v="0"/>
    <x v="0"/>
    <x v="2"/>
    <x v="1"/>
    <x v="2"/>
    <x v="0"/>
    <n v="0"/>
    <n v="0"/>
    <n v="24"/>
    <n v="10"/>
    <n v="6"/>
    <n v="7"/>
    <n v="23"/>
    <n v="8"/>
    <x v="2"/>
  </r>
  <r>
    <x v="501"/>
    <n v="79734"/>
    <n v="0"/>
    <n v="0"/>
    <n v="72"/>
    <n v="572"/>
    <n v="8"/>
    <n v="232"/>
    <n v="23"/>
    <n v="62"/>
    <n v="17"/>
    <n v="1"/>
    <n v="4"/>
    <n v="3"/>
    <n v="6"/>
    <n v="1"/>
    <n v="1"/>
    <n v="0"/>
    <n v="0"/>
    <n v="0"/>
    <n v="0"/>
    <x v="1"/>
    <n v="0"/>
    <n v="3"/>
    <n v="11"/>
    <n v="0"/>
    <n v="51"/>
    <n v="2160"/>
    <n v="5.9178082191780819"/>
    <n v="0"/>
    <n v="1"/>
    <n v="0"/>
    <n v="0"/>
    <n v="0"/>
    <n v="0"/>
    <n v="0"/>
    <n v="0"/>
    <n v="1"/>
    <n v="0"/>
    <n v="897"/>
    <n v="880"/>
    <n v="17"/>
    <n v="1"/>
    <x v="1"/>
    <x v="1"/>
    <x v="0"/>
    <x v="1"/>
    <x v="1"/>
    <x v="1"/>
    <n v="1"/>
    <n v="0"/>
    <n v="15"/>
    <n v="3.0000000000000004"/>
    <n v="2"/>
    <n v="7"/>
    <n v="12"/>
    <n v="3"/>
    <x v="3"/>
  </r>
  <r>
    <x v="502"/>
    <n v="77382"/>
    <n v="0"/>
    <n v="1"/>
    <n v="36"/>
    <n v="491"/>
    <n v="48"/>
    <n v="231"/>
    <n v="112"/>
    <n v="105"/>
    <n v="134"/>
    <n v="2"/>
    <n v="5"/>
    <n v="7"/>
    <n v="12"/>
    <n v="1"/>
    <n v="0"/>
    <n v="0"/>
    <n v="0"/>
    <n v="0"/>
    <n v="1"/>
    <x v="1"/>
    <n v="0"/>
    <n v="3"/>
    <n v="11"/>
    <n v="0"/>
    <n v="52"/>
    <n v="2332"/>
    <n v="6.3890410958904109"/>
    <n v="0"/>
    <n v="0"/>
    <n v="0"/>
    <n v="1"/>
    <n v="0"/>
    <n v="0"/>
    <n v="0"/>
    <n v="1"/>
    <n v="0"/>
    <n v="0"/>
    <n v="987"/>
    <n v="853"/>
    <n v="134"/>
    <n v="1"/>
    <x v="0"/>
    <x v="0"/>
    <x v="2"/>
    <x v="0"/>
    <x v="1"/>
    <x v="1"/>
    <n v="1"/>
    <n v="0"/>
    <n v="27"/>
    <n v="7"/>
    <n v="7"/>
    <n v="7"/>
    <n v="21"/>
    <n v="8"/>
    <x v="2"/>
  </r>
  <r>
    <x v="503"/>
    <n v="51250"/>
    <n v="1"/>
    <n v="0"/>
    <n v="28"/>
    <n v="342"/>
    <n v="32"/>
    <n v="230"/>
    <n v="34"/>
    <n v="32"/>
    <n v="40"/>
    <n v="5"/>
    <n v="10"/>
    <n v="5"/>
    <n v="4"/>
    <n v="9"/>
    <n v="0"/>
    <n v="0"/>
    <n v="1"/>
    <n v="0"/>
    <n v="0"/>
    <x v="1"/>
    <n v="0"/>
    <n v="3"/>
    <n v="11"/>
    <n v="0"/>
    <n v="30"/>
    <n v="2615"/>
    <n v="7.1643835616438354"/>
    <n v="0"/>
    <n v="0"/>
    <n v="1"/>
    <n v="0"/>
    <n v="0"/>
    <n v="1"/>
    <n v="0"/>
    <n v="0"/>
    <n v="0"/>
    <n v="0"/>
    <n v="670"/>
    <n v="630"/>
    <n v="40"/>
    <n v="1"/>
    <x v="0"/>
    <x v="0"/>
    <x v="1"/>
    <x v="1"/>
    <x v="2"/>
    <x v="4"/>
    <n v="0"/>
    <n v="0"/>
    <n v="33"/>
    <n v="8"/>
    <n v="9"/>
    <n v="6"/>
    <n v="23"/>
    <n v="8"/>
    <x v="2"/>
  </r>
  <r>
    <x v="504"/>
    <n v="64892"/>
    <n v="0"/>
    <n v="1"/>
    <n v="77"/>
    <n v="527"/>
    <n v="24"/>
    <n v="230"/>
    <n v="32"/>
    <n v="24"/>
    <n v="65"/>
    <n v="2"/>
    <n v="6"/>
    <n v="4"/>
    <n v="12"/>
    <n v="4"/>
    <n v="0"/>
    <n v="0"/>
    <n v="0"/>
    <n v="0"/>
    <n v="0"/>
    <x v="0"/>
    <n v="0"/>
    <n v="3"/>
    <n v="11"/>
    <n v="0"/>
    <n v="44"/>
    <n v="2190"/>
    <n v="6"/>
    <n v="1"/>
    <n v="0"/>
    <n v="0"/>
    <n v="0"/>
    <n v="0"/>
    <n v="0"/>
    <n v="0"/>
    <n v="1"/>
    <n v="0"/>
    <n v="0"/>
    <n v="837"/>
    <n v="772"/>
    <n v="65"/>
    <n v="0"/>
    <x v="0"/>
    <x v="0"/>
    <x v="3"/>
    <x v="0"/>
    <x v="2"/>
    <x v="0"/>
    <n v="1"/>
    <n v="0"/>
    <n v="28"/>
    <n v="3.0000000000000004"/>
    <n v="8"/>
    <n v="6"/>
    <n v="17"/>
    <n v="6"/>
    <x v="1"/>
  </r>
  <r>
    <x v="505"/>
    <n v="75278"/>
    <n v="0"/>
    <n v="0"/>
    <n v="17"/>
    <n v="304"/>
    <n v="98"/>
    <n v="230"/>
    <n v="150"/>
    <n v="74"/>
    <n v="74"/>
    <n v="1"/>
    <n v="6"/>
    <n v="3"/>
    <n v="13"/>
    <n v="3"/>
    <n v="0"/>
    <n v="0"/>
    <n v="0"/>
    <n v="0"/>
    <n v="0"/>
    <x v="0"/>
    <n v="0"/>
    <n v="3"/>
    <n v="11"/>
    <n v="0"/>
    <n v="68"/>
    <n v="2675"/>
    <n v="7.3287671232876717"/>
    <n v="0"/>
    <n v="0"/>
    <n v="0"/>
    <n v="1"/>
    <n v="0"/>
    <n v="0"/>
    <n v="0"/>
    <n v="1"/>
    <n v="0"/>
    <n v="0"/>
    <n v="856"/>
    <n v="782"/>
    <n v="74"/>
    <n v="0"/>
    <x v="1"/>
    <x v="1"/>
    <x v="2"/>
    <x v="0"/>
    <x v="1"/>
    <x v="2"/>
    <n v="0"/>
    <n v="0"/>
    <n v="26"/>
    <n v="9"/>
    <n v="7"/>
    <n v="7"/>
    <n v="23"/>
    <n v="8"/>
    <x v="2"/>
  </r>
  <r>
    <x v="506"/>
    <n v="78128"/>
    <n v="0"/>
    <n v="1"/>
    <n v="89"/>
    <n v="934"/>
    <n v="24"/>
    <n v="230"/>
    <n v="16"/>
    <n v="24"/>
    <n v="36"/>
    <n v="2"/>
    <n v="8"/>
    <n v="4"/>
    <n v="6"/>
    <n v="3"/>
    <n v="0"/>
    <n v="0"/>
    <n v="0"/>
    <n v="1"/>
    <n v="1"/>
    <x v="1"/>
    <n v="0"/>
    <n v="3"/>
    <n v="11"/>
    <n v="0"/>
    <n v="46"/>
    <n v="2289"/>
    <n v="6.2712328767123289"/>
    <n v="0"/>
    <n v="1"/>
    <n v="0"/>
    <n v="0"/>
    <n v="0"/>
    <n v="0"/>
    <n v="0"/>
    <n v="0"/>
    <n v="0"/>
    <n v="1"/>
    <n v="1228"/>
    <n v="1192"/>
    <n v="36"/>
    <n v="2"/>
    <x v="0"/>
    <x v="0"/>
    <x v="0"/>
    <x v="1"/>
    <x v="1"/>
    <x v="0"/>
    <n v="1"/>
    <n v="0"/>
    <n v="23"/>
    <n v="1.9999999999999996"/>
    <n v="6"/>
    <n v="8"/>
    <n v="16"/>
    <n v="5"/>
    <x v="1"/>
  </r>
  <r>
    <x v="507"/>
    <n v="82716"/>
    <n v="0"/>
    <n v="0"/>
    <n v="8"/>
    <n v="606"/>
    <n v="148"/>
    <n v="228"/>
    <n v="15"/>
    <n v="148"/>
    <n v="22"/>
    <n v="1"/>
    <n v="6"/>
    <n v="8"/>
    <n v="13"/>
    <n v="2"/>
    <n v="0"/>
    <n v="0"/>
    <n v="0"/>
    <n v="0"/>
    <n v="0"/>
    <x v="0"/>
    <n v="0"/>
    <n v="3"/>
    <n v="11"/>
    <n v="0"/>
    <n v="76"/>
    <n v="2395"/>
    <n v="6.5616438356164384"/>
    <n v="0"/>
    <n v="0"/>
    <n v="1"/>
    <n v="0"/>
    <n v="0"/>
    <n v="0"/>
    <n v="0"/>
    <n v="0"/>
    <n v="0"/>
    <n v="1"/>
    <n v="1145"/>
    <n v="1123"/>
    <n v="22"/>
    <n v="0"/>
    <x v="1"/>
    <x v="1"/>
    <x v="1"/>
    <x v="1"/>
    <x v="1"/>
    <x v="2"/>
    <n v="0"/>
    <n v="0"/>
    <n v="30"/>
    <n v="10"/>
    <n v="8"/>
    <n v="8"/>
    <n v="26"/>
    <n v="9"/>
    <x v="0"/>
  </r>
  <r>
    <x v="508"/>
    <n v="54753"/>
    <n v="0"/>
    <n v="1"/>
    <n v="87"/>
    <n v="197"/>
    <n v="107"/>
    <n v="227"/>
    <n v="7"/>
    <n v="59"/>
    <n v="131"/>
    <n v="3"/>
    <n v="5"/>
    <n v="2"/>
    <n v="11"/>
    <n v="4"/>
    <n v="0"/>
    <n v="0"/>
    <n v="0"/>
    <n v="0"/>
    <n v="0"/>
    <x v="0"/>
    <n v="0"/>
    <n v="3"/>
    <n v="11"/>
    <n v="0"/>
    <n v="61"/>
    <n v="2449"/>
    <n v="6.7095890410958905"/>
    <n v="0"/>
    <n v="0"/>
    <n v="0"/>
    <n v="1"/>
    <n v="0"/>
    <n v="0"/>
    <n v="0"/>
    <n v="1"/>
    <n v="0"/>
    <n v="0"/>
    <n v="597"/>
    <n v="466"/>
    <n v="131"/>
    <n v="0"/>
    <x v="0"/>
    <x v="0"/>
    <x v="2"/>
    <x v="0"/>
    <x v="2"/>
    <x v="2"/>
    <n v="1"/>
    <n v="0"/>
    <n v="25"/>
    <n v="1.9999999999999996"/>
    <n v="7"/>
    <n v="6"/>
    <n v="15"/>
    <n v="4"/>
    <x v="3"/>
  </r>
  <r>
    <x v="509"/>
    <n v="22507"/>
    <n v="0"/>
    <n v="0"/>
    <n v="67"/>
    <n v="68"/>
    <n v="0"/>
    <n v="226"/>
    <n v="51"/>
    <n v="157"/>
    <n v="68"/>
    <n v="3"/>
    <n v="10"/>
    <n v="2"/>
    <n v="4"/>
    <n v="9"/>
    <n v="0"/>
    <n v="0"/>
    <n v="0"/>
    <n v="0"/>
    <n v="0"/>
    <x v="0"/>
    <n v="0"/>
    <n v="3"/>
    <n v="11"/>
    <n v="0"/>
    <n v="66"/>
    <n v="2741"/>
    <n v="7.5095890410958903"/>
    <n v="0"/>
    <n v="0"/>
    <n v="1"/>
    <n v="0"/>
    <n v="0"/>
    <n v="0"/>
    <n v="0"/>
    <n v="1"/>
    <n v="0"/>
    <n v="0"/>
    <n v="502"/>
    <n v="434"/>
    <n v="68"/>
    <n v="0"/>
    <x v="1"/>
    <x v="1"/>
    <x v="1"/>
    <x v="0"/>
    <x v="0"/>
    <x v="2"/>
    <n v="1"/>
    <n v="0"/>
    <n v="28"/>
    <n v="4"/>
    <n v="8"/>
    <n v="5"/>
    <n v="17"/>
    <n v="6"/>
    <x v="1"/>
  </r>
  <r>
    <x v="510"/>
    <n v="71322"/>
    <n v="0"/>
    <n v="1"/>
    <n v="57"/>
    <n v="753"/>
    <n v="43"/>
    <n v="226"/>
    <n v="69"/>
    <n v="10"/>
    <n v="204"/>
    <n v="2"/>
    <n v="8"/>
    <n v="5"/>
    <n v="13"/>
    <n v="4"/>
    <n v="0"/>
    <n v="0"/>
    <n v="0"/>
    <n v="0"/>
    <n v="0"/>
    <x v="0"/>
    <n v="0"/>
    <n v="3"/>
    <n v="11"/>
    <n v="0"/>
    <n v="55"/>
    <n v="2657"/>
    <n v="7.279452054794521"/>
    <n v="0"/>
    <n v="1"/>
    <n v="0"/>
    <n v="0"/>
    <n v="0"/>
    <n v="0"/>
    <n v="0"/>
    <n v="0"/>
    <n v="0"/>
    <n v="1"/>
    <n v="1101"/>
    <n v="897"/>
    <n v="204"/>
    <n v="0"/>
    <x v="0"/>
    <x v="0"/>
    <x v="0"/>
    <x v="1"/>
    <x v="2"/>
    <x v="1"/>
    <n v="1"/>
    <n v="0"/>
    <n v="32"/>
    <n v="5"/>
    <n v="9"/>
    <n v="8"/>
    <n v="22"/>
    <n v="8"/>
    <x v="2"/>
  </r>
  <r>
    <x v="511"/>
    <n v="60714"/>
    <n v="0"/>
    <n v="0"/>
    <n v="56"/>
    <n v="216"/>
    <n v="162"/>
    <n v="224"/>
    <n v="101"/>
    <n v="92"/>
    <n v="162"/>
    <n v="2"/>
    <n v="7"/>
    <n v="4"/>
    <n v="10"/>
    <n v="5"/>
    <n v="0"/>
    <n v="0"/>
    <n v="0"/>
    <n v="0"/>
    <n v="0"/>
    <x v="0"/>
    <n v="0"/>
    <n v="3"/>
    <n v="11"/>
    <n v="1"/>
    <n v="64"/>
    <n v="2687"/>
    <n v="7.3616438356164382"/>
    <n v="0"/>
    <n v="0"/>
    <n v="1"/>
    <n v="0"/>
    <n v="0"/>
    <n v="0"/>
    <n v="0"/>
    <n v="1"/>
    <n v="0"/>
    <n v="0"/>
    <n v="795"/>
    <n v="633"/>
    <n v="162"/>
    <n v="0"/>
    <x v="1"/>
    <x v="1"/>
    <x v="1"/>
    <x v="0"/>
    <x v="2"/>
    <x v="2"/>
    <n v="1"/>
    <n v="0"/>
    <n v="28"/>
    <n v="5"/>
    <n v="8"/>
    <n v="6"/>
    <n v="19"/>
    <n v="7"/>
    <x v="2"/>
  </r>
  <r>
    <x v="512"/>
    <n v="61209"/>
    <n v="0"/>
    <n v="0"/>
    <n v="73"/>
    <n v="466"/>
    <n v="0"/>
    <n v="224"/>
    <n v="119"/>
    <n v="49"/>
    <n v="99"/>
    <n v="1"/>
    <n v="5"/>
    <n v="3"/>
    <n v="4"/>
    <n v="2"/>
    <n v="0"/>
    <n v="0"/>
    <n v="0"/>
    <n v="0"/>
    <n v="0"/>
    <x v="0"/>
    <n v="0"/>
    <n v="3"/>
    <n v="11"/>
    <n v="0"/>
    <n v="50"/>
    <n v="2467"/>
    <n v="6.7589041095890412"/>
    <n v="0"/>
    <n v="0"/>
    <n v="1"/>
    <n v="0"/>
    <n v="0"/>
    <n v="0"/>
    <n v="0"/>
    <n v="1"/>
    <n v="0"/>
    <n v="0"/>
    <n v="858"/>
    <n v="759"/>
    <n v="99"/>
    <n v="0"/>
    <x v="1"/>
    <x v="1"/>
    <x v="1"/>
    <x v="0"/>
    <x v="2"/>
    <x v="0"/>
    <n v="1"/>
    <n v="0"/>
    <n v="15"/>
    <n v="3.0000000000000004"/>
    <n v="2"/>
    <n v="7"/>
    <n v="12"/>
    <n v="3"/>
    <x v="3"/>
  </r>
  <r>
    <x v="513"/>
    <n v="49912"/>
    <n v="0"/>
    <n v="1"/>
    <n v="5"/>
    <n v="520"/>
    <n v="8"/>
    <n v="223"/>
    <n v="32"/>
    <n v="49"/>
    <n v="42"/>
    <n v="4"/>
    <n v="10"/>
    <n v="5"/>
    <n v="7"/>
    <n v="8"/>
    <n v="0"/>
    <n v="0"/>
    <n v="1"/>
    <n v="0"/>
    <n v="0"/>
    <x v="1"/>
    <n v="0"/>
    <n v="3"/>
    <n v="11"/>
    <n v="1"/>
    <n v="71"/>
    <n v="2819"/>
    <n v="7.7232876712328764"/>
    <n v="0"/>
    <n v="0"/>
    <n v="0"/>
    <n v="1"/>
    <n v="0"/>
    <n v="0"/>
    <n v="0"/>
    <n v="0"/>
    <n v="1"/>
    <n v="0"/>
    <n v="832"/>
    <n v="790"/>
    <n v="42"/>
    <n v="1"/>
    <x v="0"/>
    <x v="0"/>
    <x v="2"/>
    <x v="1"/>
    <x v="3"/>
    <x v="2"/>
    <n v="0"/>
    <n v="0"/>
    <n v="34"/>
    <n v="10"/>
    <n v="9"/>
    <n v="6"/>
    <n v="25"/>
    <n v="9"/>
    <x v="0"/>
  </r>
  <r>
    <x v="514"/>
    <n v="79146"/>
    <n v="1"/>
    <n v="1"/>
    <n v="33"/>
    <n v="245"/>
    <n v="16"/>
    <n v="223"/>
    <n v="21"/>
    <n v="43"/>
    <n v="16"/>
    <n v="2"/>
    <n v="8"/>
    <n v="1"/>
    <n v="8"/>
    <n v="6"/>
    <n v="0"/>
    <n v="0"/>
    <n v="0"/>
    <n v="0"/>
    <n v="0"/>
    <x v="0"/>
    <n v="0"/>
    <n v="3"/>
    <n v="11"/>
    <n v="0"/>
    <n v="53"/>
    <n v="2225"/>
    <n v="6.095890410958904"/>
    <n v="0"/>
    <n v="0"/>
    <n v="1"/>
    <n v="0"/>
    <n v="0"/>
    <n v="0"/>
    <n v="0"/>
    <n v="1"/>
    <n v="0"/>
    <n v="0"/>
    <n v="548"/>
    <n v="532"/>
    <n v="16"/>
    <n v="0"/>
    <x v="0"/>
    <x v="0"/>
    <x v="1"/>
    <x v="0"/>
    <x v="1"/>
    <x v="1"/>
    <n v="1"/>
    <n v="0"/>
    <n v="25"/>
    <n v="7"/>
    <n v="7"/>
    <n v="5"/>
    <n v="19"/>
    <n v="7"/>
    <x v="2"/>
  </r>
  <r>
    <x v="515"/>
    <n v="67087"/>
    <n v="0"/>
    <n v="1"/>
    <n v="40"/>
    <n v="329"/>
    <n v="35"/>
    <n v="222"/>
    <n v="130"/>
    <n v="35"/>
    <n v="43"/>
    <n v="2"/>
    <n v="7"/>
    <n v="5"/>
    <n v="8"/>
    <n v="4"/>
    <n v="0"/>
    <n v="0"/>
    <n v="0"/>
    <n v="0"/>
    <n v="0"/>
    <x v="0"/>
    <n v="0"/>
    <n v="3"/>
    <n v="11"/>
    <n v="0"/>
    <n v="67"/>
    <n v="2353"/>
    <n v="6.4465753424657537"/>
    <n v="0"/>
    <n v="1"/>
    <n v="0"/>
    <n v="0"/>
    <n v="0"/>
    <n v="0"/>
    <n v="0"/>
    <n v="0"/>
    <n v="1"/>
    <n v="0"/>
    <n v="751"/>
    <n v="708"/>
    <n v="43"/>
    <n v="0"/>
    <x v="0"/>
    <x v="0"/>
    <x v="0"/>
    <x v="1"/>
    <x v="2"/>
    <x v="2"/>
    <n v="1"/>
    <n v="0"/>
    <n v="26"/>
    <n v="6"/>
    <n v="7"/>
    <n v="6"/>
    <n v="19"/>
    <n v="7"/>
    <x v="2"/>
  </r>
  <r>
    <x v="516"/>
    <n v="53858"/>
    <n v="0"/>
    <n v="1"/>
    <n v="50"/>
    <n v="407"/>
    <n v="53"/>
    <n v="221"/>
    <n v="58"/>
    <n v="150"/>
    <n v="26"/>
    <n v="4"/>
    <n v="4"/>
    <n v="3"/>
    <n v="6"/>
    <n v="4"/>
    <n v="0"/>
    <n v="0"/>
    <n v="0"/>
    <n v="0"/>
    <n v="0"/>
    <x v="0"/>
    <n v="0"/>
    <n v="3"/>
    <n v="11"/>
    <n v="0"/>
    <n v="44"/>
    <n v="2756"/>
    <n v="7.5506849315068489"/>
    <n v="0"/>
    <n v="1"/>
    <n v="0"/>
    <n v="0"/>
    <n v="0"/>
    <n v="0"/>
    <n v="0"/>
    <n v="1"/>
    <n v="0"/>
    <n v="0"/>
    <n v="889"/>
    <n v="863"/>
    <n v="26"/>
    <n v="0"/>
    <x v="0"/>
    <x v="0"/>
    <x v="0"/>
    <x v="0"/>
    <x v="2"/>
    <x v="0"/>
    <n v="1"/>
    <n v="0"/>
    <n v="21"/>
    <n v="5"/>
    <n v="5"/>
    <n v="7"/>
    <n v="17"/>
    <n v="6"/>
    <x v="1"/>
  </r>
  <r>
    <x v="517"/>
    <n v="57036"/>
    <n v="0"/>
    <n v="1"/>
    <n v="33"/>
    <n v="1171"/>
    <n v="43"/>
    <n v="219"/>
    <n v="19"/>
    <n v="14"/>
    <n v="47"/>
    <n v="4"/>
    <n v="6"/>
    <n v="3"/>
    <n v="13"/>
    <n v="9"/>
    <n v="0"/>
    <n v="0"/>
    <n v="1"/>
    <n v="0"/>
    <n v="0"/>
    <x v="1"/>
    <n v="0"/>
    <n v="3"/>
    <n v="11"/>
    <n v="0"/>
    <n v="45"/>
    <n v="2724"/>
    <n v="7.463013698630137"/>
    <n v="0"/>
    <n v="1"/>
    <n v="0"/>
    <n v="0"/>
    <n v="0"/>
    <n v="1"/>
    <n v="0"/>
    <n v="0"/>
    <n v="0"/>
    <n v="0"/>
    <n v="1466"/>
    <n v="1419"/>
    <n v="47"/>
    <n v="1"/>
    <x v="0"/>
    <x v="0"/>
    <x v="0"/>
    <x v="1"/>
    <x v="2"/>
    <x v="0"/>
    <n v="1"/>
    <n v="0"/>
    <n v="35"/>
    <n v="7"/>
    <n v="9"/>
    <n v="8"/>
    <n v="24"/>
    <n v="9"/>
    <x v="0"/>
  </r>
  <r>
    <x v="518"/>
    <n v="65275"/>
    <n v="0"/>
    <n v="0"/>
    <n v="9"/>
    <n v="388"/>
    <n v="14"/>
    <n v="218"/>
    <n v="91"/>
    <n v="14"/>
    <n v="21"/>
    <n v="1"/>
    <n v="4"/>
    <n v="3"/>
    <n v="13"/>
    <n v="2"/>
    <n v="0"/>
    <n v="0"/>
    <n v="0"/>
    <n v="0"/>
    <n v="0"/>
    <x v="0"/>
    <n v="0"/>
    <n v="3"/>
    <n v="11"/>
    <n v="0"/>
    <n v="76"/>
    <n v="2611"/>
    <n v="7.1534246575342468"/>
    <n v="0"/>
    <n v="1"/>
    <n v="0"/>
    <n v="0"/>
    <n v="0"/>
    <n v="0"/>
    <n v="0"/>
    <n v="1"/>
    <n v="0"/>
    <n v="0"/>
    <n v="725"/>
    <n v="704"/>
    <n v="21"/>
    <n v="0"/>
    <x v="1"/>
    <x v="1"/>
    <x v="0"/>
    <x v="0"/>
    <x v="2"/>
    <x v="2"/>
    <n v="0"/>
    <n v="0"/>
    <n v="23"/>
    <n v="10"/>
    <n v="6"/>
    <n v="6"/>
    <n v="22"/>
    <n v="8"/>
    <x v="2"/>
  </r>
  <r>
    <x v="519"/>
    <n v="66334"/>
    <n v="0"/>
    <n v="1"/>
    <n v="82"/>
    <n v="909"/>
    <n v="11"/>
    <n v="218"/>
    <n v="0"/>
    <n v="0"/>
    <n v="23"/>
    <n v="2"/>
    <n v="9"/>
    <n v="3"/>
    <n v="5"/>
    <n v="5"/>
    <n v="0"/>
    <n v="0"/>
    <n v="0"/>
    <n v="0"/>
    <n v="0"/>
    <x v="0"/>
    <n v="0"/>
    <n v="3"/>
    <n v="11"/>
    <n v="1"/>
    <n v="64"/>
    <n v="2611"/>
    <n v="7.1534246575342468"/>
    <n v="0"/>
    <n v="1"/>
    <n v="0"/>
    <n v="0"/>
    <n v="0"/>
    <n v="0"/>
    <n v="0"/>
    <n v="0"/>
    <n v="0"/>
    <n v="1"/>
    <n v="1138"/>
    <n v="1115"/>
    <n v="23"/>
    <n v="0"/>
    <x v="0"/>
    <x v="0"/>
    <x v="0"/>
    <x v="1"/>
    <x v="2"/>
    <x v="2"/>
    <n v="1"/>
    <n v="0"/>
    <n v="24"/>
    <n v="1.9999999999999996"/>
    <n v="6"/>
    <n v="8"/>
    <n v="16"/>
    <n v="5"/>
    <x v="1"/>
  </r>
  <r>
    <x v="520"/>
    <n v="75012"/>
    <n v="0"/>
    <n v="0"/>
    <n v="41"/>
    <n v="294"/>
    <n v="142"/>
    <n v="218"/>
    <n v="164"/>
    <n v="58"/>
    <n v="151"/>
    <n v="1"/>
    <n v="3"/>
    <n v="8"/>
    <n v="11"/>
    <n v="1"/>
    <n v="0"/>
    <n v="0"/>
    <n v="0"/>
    <n v="0"/>
    <n v="0"/>
    <x v="0"/>
    <n v="0"/>
    <n v="3"/>
    <n v="11"/>
    <n v="0"/>
    <n v="44"/>
    <n v="2314"/>
    <n v="6.3397260273972602"/>
    <n v="1"/>
    <n v="0"/>
    <n v="0"/>
    <n v="0"/>
    <n v="0"/>
    <n v="0"/>
    <n v="0"/>
    <n v="0"/>
    <n v="1"/>
    <n v="0"/>
    <n v="876"/>
    <n v="725"/>
    <n v="151"/>
    <n v="0"/>
    <x v="1"/>
    <x v="1"/>
    <x v="3"/>
    <x v="1"/>
    <x v="1"/>
    <x v="0"/>
    <n v="1"/>
    <n v="0"/>
    <n v="24"/>
    <n v="6"/>
    <n v="6"/>
    <n v="7"/>
    <n v="19"/>
    <n v="7"/>
    <x v="2"/>
  </r>
  <r>
    <x v="521"/>
    <n v="24401"/>
    <n v="0"/>
    <n v="0"/>
    <n v="98"/>
    <n v="73"/>
    <n v="28"/>
    <n v="217"/>
    <n v="10"/>
    <n v="24"/>
    <n v="115"/>
    <n v="3"/>
    <n v="6"/>
    <n v="1"/>
    <n v="6"/>
    <n v="8"/>
    <n v="0"/>
    <n v="0"/>
    <n v="0"/>
    <n v="0"/>
    <n v="0"/>
    <x v="0"/>
    <n v="0"/>
    <n v="3"/>
    <n v="11"/>
    <n v="0"/>
    <n v="41"/>
    <n v="2826"/>
    <n v="7.7424657534246579"/>
    <n v="0"/>
    <n v="0"/>
    <n v="0"/>
    <n v="1"/>
    <n v="0"/>
    <n v="0"/>
    <n v="0"/>
    <n v="0"/>
    <n v="1"/>
    <n v="0"/>
    <n v="352"/>
    <n v="237"/>
    <n v="115"/>
    <n v="0"/>
    <x v="1"/>
    <x v="1"/>
    <x v="2"/>
    <x v="1"/>
    <x v="0"/>
    <x v="0"/>
    <n v="1"/>
    <n v="1"/>
    <n v="24"/>
    <n v="0.99999999999999978"/>
    <n v="6"/>
    <n v="5"/>
    <n v="12"/>
    <n v="3"/>
    <x v="3"/>
  </r>
  <r>
    <x v="522"/>
    <n v="56981"/>
    <n v="0"/>
    <n v="0"/>
    <n v="91"/>
    <n v="908"/>
    <n v="48"/>
    <n v="217"/>
    <n v="32"/>
    <n v="12"/>
    <n v="24"/>
    <n v="1"/>
    <n v="2"/>
    <n v="3"/>
    <n v="13"/>
    <n v="6"/>
    <n v="0"/>
    <n v="0"/>
    <n v="0"/>
    <n v="1"/>
    <n v="0"/>
    <x v="1"/>
    <n v="0"/>
    <n v="3"/>
    <n v="11"/>
    <n v="0"/>
    <n v="39"/>
    <n v="2314"/>
    <n v="6.3397260273972602"/>
    <n v="1"/>
    <n v="0"/>
    <n v="0"/>
    <n v="0"/>
    <n v="0"/>
    <n v="0"/>
    <n v="0"/>
    <n v="1"/>
    <n v="0"/>
    <n v="0"/>
    <n v="1217"/>
    <n v="1193"/>
    <n v="24"/>
    <n v="1"/>
    <x v="1"/>
    <x v="1"/>
    <x v="3"/>
    <x v="0"/>
    <x v="2"/>
    <x v="3"/>
    <n v="1"/>
    <n v="1"/>
    <n v="25"/>
    <n v="0.99999999999999978"/>
    <n v="7"/>
    <n v="8"/>
    <n v="16"/>
    <n v="5"/>
    <x v="1"/>
  </r>
  <r>
    <x v="523"/>
    <n v="60000"/>
    <n v="0"/>
    <n v="1"/>
    <n v="57"/>
    <n v="1048"/>
    <n v="0"/>
    <n v="217"/>
    <n v="0"/>
    <n v="0"/>
    <n v="12"/>
    <n v="5"/>
    <n v="11"/>
    <n v="3"/>
    <n v="5"/>
    <n v="6"/>
    <n v="0"/>
    <n v="0"/>
    <n v="0"/>
    <n v="0"/>
    <n v="0"/>
    <x v="0"/>
    <n v="0"/>
    <n v="3"/>
    <n v="11"/>
    <n v="0"/>
    <n v="44"/>
    <n v="2713"/>
    <n v="7.4328767123287669"/>
    <n v="0"/>
    <n v="0"/>
    <n v="1"/>
    <n v="0"/>
    <n v="0"/>
    <n v="0"/>
    <n v="0"/>
    <n v="0"/>
    <n v="0"/>
    <n v="1"/>
    <n v="1265"/>
    <n v="1253"/>
    <n v="12"/>
    <n v="0"/>
    <x v="0"/>
    <x v="0"/>
    <x v="1"/>
    <x v="1"/>
    <x v="2"/>
    <x v="0"/>
    <n v="1"/>
    <n v="0"/>
    <n v="30"/>
    <n v="5"/>
    <n v="8"/>
    <n v="8"/>
    <n v="21"/>
    <n v="8"/>
    <x v="2"/>
  </r>
  <r>
    <x v="524"/>
    <n v="62335"/>
    <n v="0"/>
    <n v="1"/>
    <n v="87"/>
    <n v="243"/>
    <n v="131"/>
    <n v="217"/>
    <n v="85"/>
    <n v="6"/>
    <n v="26"/>
    <n v="2"/>
    <n v="3"/>
    <n v="3"/>
    <n v="13"/>
    <n v="2"/>
    <n v="0"/>
    <n v="0"/>
    <n v="0"/>
    <n v="0"/>
    <n v="0"/>
    <x v="0"/>
    <n v="0"/>
    <n v="3"/>
    <n v="11"/>
    <n v="0"/>
    <n v="68"/>
    <n v="2561"/>
    <n v="7.0164383561643833"/>
    <n v="1"/>
    <n v="0"/>
    <n v="0"/>
    <n v="0"/>
    <n v="0"/>
    <n v="0"/>
    <n v="0"/>
    <n v="1"/>
    <n v="0"/>
    <n v="0"/>
    <n v="682"/>
    <n v="656"/>
    <n v="26"/>
    <n v="0"/>
    <x v="0"/>
    <x v="0"/>
    <x v="3"/>
    <x v="0"/>
    <x v="2"/>
    <x v="2"/>
    <n v="1"/>
    <n v="0"/>
    <n v="23"/>
    <n v="1.9999999999999996"/>
    <n v="6"/>
    <n v="6"/>
    <n v="14"/>
    <n v="4"/>
    <x v="3"/>
  </r>
  <r>
    <x v="525"/>
    <n v="67445"/>
    <n v="0"/>
    <n v="1"/>
    <n v="63"/>
    <n v="757"/>
    <n v="80"/>
    <n v="217"/>
    <n v="29"/>
    <n v="80"/>
    <n v="11"/>
    <n v="5"/>
    <n v="9"/>
    <n v="6"/>
    <n v="12"/>
    <n v="6"/>
    <n v="0"/>
    <n v="0"/>
    <n v="0"/>
    <n v="0"/>
    <n v="0"/>
    <x v="0"/>
    <n v="0"/>
    <n v="3"/>
    <n v="11"/>
    <n v="0"/>
    <n v="46"/>
    <n v="2845"/>
    <n v="7.7945205479452051"/>
    <n v="0"/>
    <n v="1"/>
    <n v="0"/>
    <n v="0"/>
    <n v="0"/>
    <n v="0"/>
    <n v="0"/>
    <n v="1"/>
    <n v="0"/>
    <n v="0"/>
    <n v="1163"/>
    <n v="1152"/>
    <n v="11"/>
    <n v="0"/>
    <x v="0"/>
    <x v="0"/>
    <x v="0"/>
    <x v="0"/>
    <x v="2"/>
    <x v="0"/>
    <n v="1"/>
    <n v="0"/>
    <n v="38"/>
    <n v="4"/>
    <n v="9"/>
    <n v="8"/>
    <n v="21"/>
    <n v="8"/>
    <x v="2"/>
  </r>
  <r>
    <x v="526"/>
    <n v="67716"/>
    <n v="0"/>
    <n v="1"/>
    <n v="8"/>
    <n v="530"/>
    <n v="142"/>
    <n v="217"/>
    <n v="62"/>
    <n v="9"/>
    <n v="56"/>
    <n v="4"/>
    <n v="7"/>
    <n v="4"/>
    <n v="13"/>
    <n v="5"/>
    <n v="0"/>
    <n v="0"/>
    <n v="0"/>
    <n v="1"/>
    <n v="0"/>
    <x v="1"/>
    <n v="0"/>
    <n v="3"/>
    <n v="11"/>
    <n v="0"/>
    <n v="60"/>
    <n v="2694"/>
    <n v="7.3808219178082188"/>
    <n v="0"/>
    <n v="1"/>
    <n v="0"/>
    <n v="0"/>
    <n v="0"/>
    <n v="0"/>
    <n v="0"/>
    <n v="1"/>
    <n v="0"/>
    <n v="0"/>
    <n v="960"/>
    <n v="904"/>
    <n v="56"/>
    <n v="1"/>
    <x v="0"/>
    <x v="0"/>
    <x v="0"/>
    <x v="0"/>
    <x v="2"/>
    <x v="1"/>
    <n v="0"/>
    <n v="0"/>
    <n v="33"/>
    <n v="10"/>
    <n v="9"/>
    <n v="7"/>
    <n v="26"/>
    <n v="9"/>
    <x v="0"/>
  </r>
  <r>
    <x v="527"/>
    <n v="71107"/>
    <n v="0"/>
    <n v="1"/>
    <n v="61"/>
    <n v="533"/>
    <n v="10"/>
    <n v="217"/>
    <n v="198"/>
    <n v="174"/>
    <n v="195"/>
    <n v="2"/>
    <n v="7"/>
    <n v="6"/>
    <n v="13"/>
    <n v="4"/>
    <n v="0"/>
    <n v="0"/>
    <n v="0"/>
    <n v="0"/>
    <n v="0"/>
    <x v="0"/>
    <n v="0"/>
    <n v="3"/>
    <n v="11"/>
    <n v="0"/>
    <n v="69"/>
    <n v="2656"/>
    <n v="7.2767123287671236"/>
    <n v="0"/>
    <n v="1"/>
    <n v="0"/>
    <n v="0"/>
    <n v="0"/>
    <n v="0"/>
    <n v="0"/>
    <n v="1"/>
    <n v="0"/>
    <n v="0"/>
    <n v="1132"/>
    <n v="937"/>
    <n v="195"/>
    <n v="0"/>
    <x v="0"/>
    <x v="0"/>
    <x v="0"/>
    <x v="0"/>
    <x v="2"/>
    <x v="2"/>
    <n v="1"/>
    <n v="0"/>
    <n v="32"/>
    <n v="4"/>
    <n v="9"/>
    <n v="8"/>
    <n v="21"/>
    <n v="8"/>
    <x v="2"/>
  </r>
  <r>
    <x v="528"/>
    <n v="71434"/>
    <n v="0"/>
    <n v="1"/>
    <n v="4"/>
    <n v="711"/>
    <n v="36"/>
    <n v="217"/>
    <n v="172"/>
    <n v="96"/>
    <n v="168"/>
    <n v="3"/>
    <n v="7"/>
    <n v="4"/>
    <n v="7"/>
    <n v="4"/>
    <n v="1"/>
    <n v="0"/>
    <n v="0"/>
    <n v="1"/>
    <n v="0"/>
    <x v="1"/>
    <n v="0"/>
    <n v="3"/>
    <n v="11"/>
    <n v="0"/>
    <n v="58"/>
    <n v="2443"/>
    <n v="6.6931506849315072"/>
    <n v="0"/>
    <n v="1"/>
    <n v="0"/>
    <n v="0"/>
    <n v="0"/>
    <n v="0"/>
    <n v="0"/>
    <n v="1"/>
    <n v="0"/>
    <n v="0"/>
    <n v="1232"/>
    <n v="1064"/>
    <n v="168"/>
    <n v="2"/>
    <x v="0"/>
    <x v="0"/>
    <x v="0"/>
    <x v="0"/>
    <x v="2"/>
    <x v="1"/>
    <n v="0"/>
    <n v="0"/>
    <n v="25"/>
    <n v="10"/>
    <n v="7"/>
    <n v="8"/>
    <n v="25"/>
    <n v="9"/>
    <x v="0"/>
  </r>
  <r>
    <x v="529"/>
    <n v="60689"/>
    <n v="0"/>
    <n v="1"/>
    <n v="23"/>
    <n v="240"/>
    <n v="90"/>
    <n v="216"/>
    <n v="63"/>
    <n v="6"/>
    <n v="24"/>
    <n v="4"/>
    <n v="4"/>
    <n v="4"/>
    <n v="10"/>
    <n v="3"/>
    <n v="0"/>
    <n v="0"/>
    <n v="0"/>
    <n v="0"/>
    <n v="0"/>
    <x v="0"/>
    <n v="0"/>
    <n v="3"/>
    <n v="11"/>
    <n v="0"/>
    <n v="69"/>
    <n v="2552"/>
    <n v="6.9917808219178079"/>
    <n v="0"/>
    <n v="0"/>
    <n v="1"/>
    <n v="0"/>
    <n v="0"/>
    <n v="0"/>
    <n v="0"/>
    <n v="1"/>
    <n v="0"/>
    <n v="0"/>
    <n v="615"/>
    <n v="591"/>
    <n v="24"/>
    <n v="0"/>
    <x v="0"/>
    <x v="0"/>
    <x v="1"/>
    <x v="0"/>
    <x v="2"/>
    <x v="2"/>
    <n v="0"/>
    <n v="0"/>
    <n v="25"/>
    <n v="8"/>
    <n v="7"/>
    <n v="6"/>
    <n v="21"/>
    <n v="8"/>
    <x v="2"/>
  </r>
  <r>
    <x v="530"/>
    <n v="70503"/>
    <n v="0"/>
    <n v="0"/>
    <n v="73"/>
    <n v="1379"/>
    <n v="33"/>
    <n v="216"/>
    <n v="0"/>
    <n v="33"/>
    <n v="66"/>
    <n v="1"/>
    <n v="2"/>
    <n v="4"/>
    <n v="9"/>
    <n v="6"/>
    <n v="0"/>
    <n v="0"/>
    <n v="0"/>
    <n v="1"/>
    <n v="1"/>
    <x v="1"/>
    <n v="0"/>
    <n v="3"/>
    <n v="11"/>
    <n v="0"/>
    <n v="67"/>
    <n v="2796"/>
    <n v="7.6602739726027398"/>
    <n v="0"/>
    <n v="1"/>
    <n v="0"/>
    <n v="0"/>
    <n v="0"/>
    <n v="0"/>
    <n v="0"/>
    <n v="1"/>
    <n v="0"/>
    <n v="0"/>
    <n v="1661"/>
    <n v="1595"/>
    <n v="66"/>
    <n v="2"/>
    <x v="1"/>
    <x v="1"/>
    <x v="0"/>
    <x v="0"/>
    <x v="2"/>
    <x v="2"/>
    <n v="1"/>
    <n v="0"/>
    <n v="22"/>
    <n v="3.0000000000000004"/>
    <n v="5"/>
    <n v="9"/>
    <n v="17"/>
    <n v="6"/>
    <x v="1"/>
  </r>
  <r>
    <x v="531"/>
    <n v="72570"/>
    <n v="0"/>
    <n v="0"/>
    <n v="67"/>
    <n v="274"/>
    <n v="83"/>
    <n v="216"/>
    <n v="151"/>
    <n v="141"/>
    <n v="224"/>
    <n v="1"/>
    <n v="4"/>
    <n v="6"/>
    <n v="12"/>
    <n v="1"/>
    <n v="0"/>
    <n v="0"/>
    <n v="0"/>
    <n v="0"/>
    <n v="0"/>
    <x v="0"/>
    <n v="0"/>
    <n v="3"/>
    <n v="11"/>
    <n v="0"/>
    <n v="36"/>
    <n v="2224"/>
    <n v="6.0931506849315067"/>
    <n v="0"/>
    <n v="1"/>
    <n v="0"/>
    <n v="0"/>
    <n v="0"/>
    <n v="0"/>
    <n v="0"/>
    <n v="1"/>
    <n v="0"/>
    <n v="0"/>
    <n v="865"/>
    <n v="641"/>
    <n v="224"/>
    <n v="0"/>
    <x v="1"/>
    <x v="1"/>
    <x v="0"/>
    <x v="0"/>
    <x v="2"/>
    <x v="3"/>
    <n v="1"/>
    <n v="0"/>
    <n v="24"/>
    <n v="4"/>
    <n v="6"/>
    <n v="7"/>
    <n v="17"/>
    <n v="6"/>
    <x v="1"/>
  </r>
  <r>
    <x v="532"/>
    <n v="79803"/>
    <n v="0"/>
    <n v="1"/>
    <n v="54"/>
    <n v="574"/>
    <n v="8"/>
    <n v="216"/>
    <n v="21"/>
    <n v="16"/>
    <n v="33"/>
    <n v="1"/>
    <n v="4"/>
    <n v="3"/>
    <n v="5"/>
    <n v="1"/>
    <n v="0"/>
    <n v="0"/>
    <n v="0"/>
    <n v="0"/>
    <n v="0"/>
    <x v="0"/>
    <n v="0"/>
    <n v="3"/>
    <n v="11"/>
    <n v="0"/>
    <n v="62"/>
    <n v="2186"/>
    <n v="5.9890410958904106"/>
    <n v="1"/>
    <n v="0"/>
    <n v="0"/>
    <n v="0"/>
    <n v="0"/>
    <n v="0"/>
    <n v="0"/>
    <n v="1"/>
    <n v="0"/>
    <n v="0"/>
    <n v="835"/>
    <n v="802"/>
    <n v="33"/>
    <n v="0"/>
    <x v="0"/>
    <x v="0"/>
    <x v="3"/>
    <x v="0"/>
    <x v="1"/>
    <x v="2"/>
    <n v="1"/>
    <n v="0"/>
    <n v="14"/>
    <n v="5"/>
    <n v="2"/>
    <n v="6"/>
    <n v="13"/>
    <n v="3"/>
    <x v="3"/>
  </r>
  <r>
    <x v="533"/>
    <n v="55434"/>
    <n v="1"/>
    <n v="0"/>
    <n v="21"/>
    <n v="238"/>
    <n v="115"/>
    <n v="215"/>
    <n v="169"/>
    <n v="69"/>
    <n v="76"/>
    <n v="3"/>
    <n v="5"/>
    <n v="3"/>
    <n v="13"/>
    <n v="4"/>
    <n v="0"/>
    <n v="0"/>
    <n v="0"/>
    <n v="0"/>
    <n v="0"/>
    <x v="0"/>
    <n v="0"/>
    <n v="3"/>
    <n v="11"/>
    <n v="0"/>
    <n v="36"/>
    <n v="2426"/>
    <n v="6.646575342465753"/>
    <n v="0"/>
    <n v="1"/>
    <n v="0"/>
    <n v="0"/>
    <n v="0"/>
    <n v="0"/>
    <n v="0"/>
    <n v="1"/>
    <n v="0"/>
    <n v="0"/>
    <n v="806"/>
    <n v="730"/>
    <n v="76"/>
    <n v="0"/>
    <x v="0"/>
    <x v="0"/>
    <x v="0"/>
    <x v="0"/>
    <x v="2"/>
    <x v="3"/>
    <n v="0"/>
    <n v="0"/>
    <n v="28"/>
    <n v="8"/>
    <n v="8"/>
    <n v="6"/>
    <n v="22"/>
    <n v="8"/>
    <x v="2"/>
  </r>
  <r>
    <x v="534"/>
    <n v="68117"/>
    <n v="0"/>
    <n v="1"/>
    <n v="80"/>
    <n v="618"/>
    <n v="44"/>
    <n v="215"/>
    <n v="0"/>
    <n v="17"/>
    <n v="36"/>
    <n v="2"/>
    <n v="11"/>
    <n v="8"/>
    <n v="4"/>
    <n v="6"/>
    <n v="0"/>
    <n v="0"/>
    <n v="1"/>
    <n v="0"/>
    <n v="0"/>
    <x v="1"/>
    <n v="0"/>
    <n v="3"/>
    <n v="11"/>
    <n v="1"/>
    <n v="73"/>
    <n v="2635"/>
    <n v="7.2191780821917808"/>
    <n v="0"/>
    <n v="0"/>
    <n v="0"/>
    <n v="0"/>
    <n v="1"/>
    <n v="0"/>
    <n v="0"/>
    <n v="0"/>
    <n v="0"/>
    <n v="1"/>
    <n v="894"/>
    <n v="858"/>
    <n v="36"/>
    <n v="1"/>
    <x v="0"/>
    <x v="0"/>
    <x v="4"/>
    <x v="1"/>
    <x v="2"/>
    <x v="2"/>
    <n v="1"/>
    <n v="0"/>
    <n v="31"/>
    <n v="1.9999999999999996"/>
    <n v="9"/>
    <n v="7"/>
    <n v="18"/>
    <n v="6"/>
    <x v="1"/>
  </r>
  <r>
    <x v="535"/>
    <n v="69627"/>
    <n v="0"/>
    <n v="1"/>
    <n v="35"/>
    <n v="231"/>
    <n v="161"/>
    <n v="215"/>
    <n v="171"/>
    <n v="30"/>
    <n v="53"/>
    <n v="2"/>
    <n v="8"/>
    <n v="2"/>
    <n v="11"/>
    <n v="5"/>
    <n v="0"/>
    <n v="0"/>
    <n v="0"/>
    <n v="0"/>
    <n v="0"/>
    <x v="0"/>
    <n v="0"/>
    <n v="3"/>
    <n v="11"/>
    <n v="0"/>
    <n v="58"/>
    <n v="2628"/>
    <n v="7.2"/>
    <n v="0"/>
    <n v="0"/>
    <n v="1"/>
    <n v="0"/>
    <n v="0"/>
    <n v="0"/>
    <n v="0"/>
    <n v="1"/>
    <n v="0"/>
    <n v="0"/>
    <n v="808"/>
    <n v="755"/>
    <n v="53"/>
    <n v="0"/>
    <x v="0"/>
    <x v="0"/>
    <x v="1"/>
    <x v="0"/>
    <x v="2"/>
    <x v="1"/>
    <n v="1"/>
    <n v="0"/>
    <n v="28"/>
    <n v="7"/>
    <n v="8"/>
    <n v="6"/>
    <n v="21"/>
    <n v="8"/>
    <x v="2"/>
  </r>
  <r>
    <x v="536"/>
    <n v="69674"/>
    <n v="0"/>
    <n v="2"/>
    <n v="46"/>
    <n v="554"/>
    <n v="41"/>
    <n v="215"/>
    <n v="11"/>
    <n v="0"/>
    <n v="24"/>
    <n v="3"/>
    <n v="10"/>
    <n v="2"/>
    <n v="10"/>
    <n v="5"/>
    <n v="0"/>
    <n v="0"/>
    <n v="0"/>
    <n v="0"/>
    <n v="0"/>
    <x v="0"/>
    <n v="0"/>
    <n v="3"/>
    <n v="11"/>
    <n v="0"/>
    <n v="52"/>
    <n v="2562"/>
    <n v="7.0191780821917806"/>
    <n v="1"/>
    <n v="0"/>
    <n v="0"/>
    <n v="0"/>
    <n v="0"/>
    <n v="0"/>
    <n v="0"/>
    <n v="0"/>
    <n v="0"/>
    <n v="1"/>
    <n v="821"/>
    <n v="797"/>
    <n v="24"/>
    <n v="0"/>
    <x v="0"/>
    <x v="0"/>
    <x v="3"/>
    <x v="1"/>
    <x v="2"/>
    <x v="1"/>
    <n v="1"/>
    <n v="0"/>
    <n v="30"/>
    <n v="6"/>
    <n v="8"/>
    <n v="6"/>
    <n v="20"/>
    <n v="7"/>
    <x v="2"/>
  </r>
  <r>
    <x v="537"/>
    <n v="70566"/>
    <n v="0"/>
    <n v="1"/>
    <n v="4"/>
    <n v="381"/>
    <n v="28"/>
    <n v="215"/>
    <n v="84"/>
    <n v="28"/>
    <n v="21"/>
    <n v="2"/>
    <n v="6"/>
    <n v="5"/>
    <n v="9"/>
    <n v="3"/>
    <n v="0"/>
    <n v="0"/>
    <n v="0"/>
    <n v="0"/>
    <n v="0"/>
    <x v="0"/>
    <n v="0"/>
    <n v="3"/>
    <n v="11"/>
    <n v="0"/>
    <n v="52"/>
    <n v="2425"/>
    <n v="6.6438356164383565"/>
    <n v="0"/>
    <n v="0"/>
    <n v="1"/>
    <n v="0"/>
    <n v="0"/>
    <n v="0"/>
    <n v="0"/>
    <n v="1"/>
    <n v="0"/>
    <n v="0"/>
    <n v="736"/>
    <n v="715"/>
    <n v="21"/>
    <n v="0"/>
    <x v="0"/>
    <x v="0"/>
    <x v="1"/>
    <x v="0"/>
    <x v="2"/>
    <x v="1"/>
    <n v="0"/>
    <n v="0"/>
    <n v="25"/>
    <n v="10"/>
    <n v="7"/>
    <n v="6"/>
    <n v="23"/>
    <n v="8"/>
    <x v="2"/>
  </r>
  <r>
    <x v="538"/>
    <n v="70638"/>
    <n v="0"/>
    <n v="0"/>
    <n v="69"/>
    <n v="1016"/>
    <n v="12"/>
    <n v="215"/>
    <n v="16"/>
    <n v="12"/>
    <n v="63"/>
    <n v="1"/>
    <n v="4"/>
    <n v="5"/>
    <n v="10"/>
    <n v="3"/>
    <n v="0"/>
    <n v="0"/>
    <n v="0"/>
    <n v="1"/>
    <n v="0"/>
    <x v="1"/>
    <n v="0"/>
    <n v="3"/>
    <n v="11"/>
    <n v="0"/>
    <n v="65"/>
    <n v="2552"/>
    <n v="6.9917808219178079"/>
    <n v="1"/>
    <n v="0"/>
    <n v="0"/>
    <n v="0"/>
    <n v="0"/>
    <n v="0"/>
    <n v="0"/>
    <n v="0"/>
    <n v="1"/>
    <n v="0"/>
    <n v="1271"/>
    <n v="1208"/>
    <n v="63"/>
    <n v="1"/>
    <x v="1"/>
    <x v="1"/>
    <x v="3"/>
    <x v="1"/>
    <x v="2"/>
    <x v="2"/>
    <n v="1"/>
    <n v="0"/>
    <n v="23"/>
    <n v="4"/>
    <n v="6"/>
    <n v="8"/>
    <n v="18"/>
    <n v="6"/>
    <x v="1"/>
  </r>
  <r>
    <x v="539"/>
    <n v="56386"/>
    <n v="1"/>
    <n v="1"/>
    <n v="51"/>
    <n v="230"/>
    <n v="48"/>
    <n v="214"/>
    <n v="13"/>
    <n v="32"/>
    <n v="75"/>
    <n v="8"/>
    <n v="9"/>
    <n v="1"/>
    <n v="7"/>
    <n v="9"/>
    <n v="0"/>
    <n v="0"/>
    <n v="0"/>
    <n v="0"/>
    <n v="0"/>
    <x v="0"/>
    <n v="0"/>
    <n v="3"/>
    <n v="11"/>
    <n v="0"/>
    <n v="39"/>
    <n v="2769"/>
    <n v="7.5863013698630137"/>
    <n v="0"/>
    <n v="0"/>
    <n v="0"/>
    <n v="1"/>
    <n v="0"/>
    <n v="0"/>
    <n v="0"/>
    <n v="1"/>
    <n v="0"/>
    <n v="0"/>
    <n v="537"/>
    <n v="462"/>
    <n v="75"/>
    <n v="0"/>
    <x v="0"/>
    <x v="0"/>
    <x v="2"/>
    <x v="0"/>
    <x v="2"/>
    <x v="3"/>
    <n v="1"/>
    <n v="0"/>
    <n v="34"/>
    <n v="5"/>
    <n v="9"/>
    <n v="5"/>
    <n v="19"/>
    <n v="7"/>
    <x v="2"/>
  </r>
  <r>
    <x v="540"/>
    <n v="69245"/>
    <n v="0"/>
    <n v="1"/>
    <n v="8"/>
    <n v="428"/>
    <n v="30"/>
    <n v="214"/>
    <n v="80"/>
    <n v="30"/>
    <n v="61"/>
    <n v="2"/>
    <n v="6"/>
    <n v="5"/>
    <n v="10"/>
    <n v="3"/>
    <n v="0"/>
    <n v="0"/>
    <n v="0"/>
    <n v="0"/>
    <n v="0"/>
    <x v="0"/>
    <n v="0"/>
    <n v="3"/>
    <n v="11"/>
    <n v="0"/>
    <n v="64"/>
    <n v="2315"/>
    <n v="6.3424657534246576"/>
    <n v="0"/>
    <n v="0"/>
    <n v="0"/>
    <n v="1"/>
    <n v="0"/>
    <n v="0"/>
    <n v="0"/>
    <n v="0"/>
    <n v="1"/>
    <n v="0"/>
    <n v="782"/>
    <n v="721"/>
    <n v="61"/>
    <n v="0"/>
    <x v="0"/>
    <x v="0"/>
    <x v="2"/>
    <x v="1"/>
    <x v="2"/>
    <x v="2"/>
    <n v="0"/>
    <n v="0"/>
    <n v="26"/>
    <n v="10"/>
    <n v="7"/>
    <n v="6"/>
    <n v="23"/>
    <n v="8"/>
    <x v="2"/>
  </r>
  <r>
    <x v="541"/>
    <n v="76320"/>
    <n v="0"/>
    <n v="1"/>
    <n v="49"/>
    <n v="526"/>
    <n v="35"/>
    <n v="214"/>
    <n v="69"/>
    <n v="53"/>
    <n v="35"/>
    <n v="2"/>
    <n v="6"/>
    <n v="3"/>
    <n v="4"/>
    <n v="2"/>
    <n v="0"/>
    <n v="0"/>
    <n v="0"/>
    <n v="0"/>
    <n v="0"/>
    <x v="0"/>
    <n v="0"/>
    <n v="3"/>
    <n v="11"/>
    <n v="0"/>
    <n v="61"/>
    <n v="2166"/>
    <n v="5.934246575342466"/>
    <n v="0"/>
    <n v="0"/>
    <n v="0"/>
    <n v="0"/>
    <n v="1"/>
    <n v="0"/>
    <n v="0"/>
    <n v="1"/>
    <n v="0"/>
    <n v="0"/>
    <n v="897"/>
    <n v="862"/>
    <n v="35"/>
    <n v="0"/>
    <x v="0"/>
    <x v="0"/>
    <x v="4"/>
    <x v="0"/>
    <x v="1"/>
    <x v="2"/>
    <n v="1"/>
    <n v="0"/>
    <n v="17"/>
    <n v="6"/>
    <n v="3"/>
    <n v="7"/>
    <n v="16"/>
    <n v="5"/>
    <x v="1"/>
  </r>
  <r>
    <x v="542"/>
    <n v="58330"/>
    <n v="0"/>
    <n v="1"/>
    <n v="87"/>
    <n v="445"/>
    <n v="53"/>
    <n v="213"/>
    <n v="104"/>
    <n v="98"/>
    <n v="151"/>
    <n v="1"/>
    <n v="6"/>
    <n v="4"/>
    <n v="13"/>
    <n v="4"/>
    <n v="0"/>
    <n v="0"/>
    <n v="0"/>
    <n v="0"/>
    <n v="0"/>
    <x v="0"/>
    <n v="0"/>
    <n v="3"/>
    <n v="11"/>
    <n v="0"/>
    <n v="45"/>
    <n v="2345"/>
    <n v="6.4246575342465757"/>
    <n v="0"/>
    <n v="0"/>
    <n v="0"/>
    <n v="0"/>
    <n v="1"/>
    <n v="0"/>
    <n v="0"/>
    <n v="1"/>
    <n v="0"/>
    <n v="0"/>
    <n v="913"/>
    <n v="762"/>
    <n v="151"/>
    <n v="0"/>
    <x v="0"/>
    <x v="0"/>
    <x v="4"/>
    <x v="0"/>
    <x v="2"/>
    <x v="0"/>
    <n v="1"/>
    <n v="0"/>
    <n v="28"/>
    <n v="1.9999999999999996"/>
    <n v="8"/>
    <n v="7"/>
    <n v="17"/>
    <n v="6"/>
    <x v="1"/>
  </r>
  <r>
    <x v="543"/>
    <n v="60161"/>
    <n v="0"/>
    <n v="1"/>
    <n v="17"/>
    <n v="584"/>
    <n v="44"/>
    <n v="212"/>
    <n v="46"/>
    <n v="8"/>
    <n v="177"/>
    <n v="3"/>
    <n v="11"/>
    <n v="4"/>
    <n v="8"/>
    <n v="8"/>
    <n v="0"/>
    <n v="0"/>
    <n v="0"/>
    <n v="0"/>
    <n v="0"/>
    <x v="0"/>
    <n v="0"/>
    <n v="3"/>
    <n v="11"/>
    <n v="0"/>
    <n v="55"/>
    <n v="2773"/>
    <n v="7.5972602739726032"/>
    <n v="1"/>
    <n v="0"/>
    <n v="0"/>
    <n v="0"/>
    <n v="0"/>
    <n v="1"/>
    <n v="0"/>
    <n v="0"/>
    <n v="0"/>
    <n v="0"/>
    <n v="894"/>
    <n v="717"/>
    <n v="177"/>
    <n v="0"/>
    <x v="0"/>
    <x v="0"/>
    <x v="3"/>
    <x v="1"/>
    <x v="2"/>
    <x v="1"/>
    <n v="0"/>
    <n v="0"/>
    <n v="34"/>
    <n v="9"/>
    <n v="9"/>
    <n v="7"/>
    <n v="25"/>
    <n v="9"/>
    <x v="0"/>
  </r>
  <r>
    <x v="544"/>
    <n v="89694"/>
    <n v="1"/>
    <n v="1"/>
    <n v="22"/>
    <n v="1126"/>
    <n v="28"/>
    <n v="211"/>
    <n v="37"/>
    <n v="28"/>
    <n v="42"/>
    <n v="3"/>
    <n v="4"/>
    <n v="3"/>
    <n v="4"/>
    <n v="5"/>
    <n v="1"/>
    <n v="0"/>
    <n v="0"/>
    <n v="1"/>
    <n v="1"/>
    <x v="1"/>
    <n v="0"/>
    <n v="3"/>
    <n v="11"/>
    <n v="0"/>
    <n v="47"/>
    <n v="2422"/>
    <n v="6.6356164383561644"/>
    <n v="1"/>
    <n v="0"/>
    <n v="0"/>
    <n v="0"/>
    <n v="0"/>
    <n v="0"/>
    <n v="0"/>
    <n v="1"/>
    <n v="0"/>
    <n v="0"/>
    <n v="1430"/>
    <n v="1388"/>
    <n v="42"/>
    <n v="3"/>
    <x v="0"/>
    <x v="0"/>
    <x v="3"/>
    <x v="0"/>
    <x v="1"/>
    <x v="0"/>
    <n v="0"/>
    <n v="0"/>
    <n v="19"/>
    <n v="8"/>
    <n v="4"/>
    <n v="8"/>
    <n v="20"/>
    <n v="7"/>
    <x v="2"/>
  </r>
  <r>
    <x v="545"/>
    <n v="74805"/>
    <n v="0"/>
    <n v="1"/>
    <n v="14"/>
    <n v="209"/>
    <n v="162"/>
    <n v="209"/>
    <n v="41"/>
    <n v="162"/>
    <n v="37"/>
    <n v="5"/>
    <n v="4"/>
    <n v="7"/>
    <n v="10"/>
    <n v="2"/>
    <n v="0"/>
    <n v="0"/>
    <n v="0"/>
    <n v="0"/>
    <n v="0"/>
    <x v="0"/>
    <n v="0"/>
    <n v="3"/>
    <n v="11"/>
    <n v="0"/>
    <n v="65"/>
    <n v="2394"/>
    <n v="6.558904109589041"/>
    <n v="0"/>
    <n v="0"/>
    <n v="0"/>
    <n v="1"/>
    <n v="0"/>
    <n v="1"/>
    <n v="0"/>
    <n v="0"/>
    <n v="0"/>
    <n v="0"/>
    <n v="783"/>
    <n v="746"/>
    <n v="37"/>
    <n v="0"/>
    <x v="0"/>
    <x v="0"/>
    <x v="2"/>
    <x v="1"/>
    <x v="2"/>
    <x v="2"/>
    <n v="0"/>
    <n v="0"/>
    <n v="28"/>
    <n v="9"/>
    <n v="8"/>
    <n v="6"/>
    <n v="23"/>
    <n v="8"/>
    <x v="2"/>
  </r>
  <r>
    <x v="546"/>
    <n v="69719"/>
    <n v="0"/>
    <n v="0"/>
    <n v="99"/>
    <n v="273"/>
    <n v="86"/>
    <n v="208"/>
    <n v="177"/>
    <n v="14"/>
    <n v="43"/>
    <n v="1"/>
    <n v="2"/>
    <n v="3"/>
    <n v="5"/>
    <n v="1"/>
    <n v="0"/>
    <n v="0"/>
    <n v="0"/>
    <n v="0"/>
    <n v="0"/>
    <x v="0"/>
    <n v="0"/>
    <n v="3"/>
    <n v="11"/>
    <n v="0"/>
    <n v="46"/>
    <n v="2193"/>
    <n v="6.0082191780821921"/>
    <n v="0"/>
    <n v="0"/>
    <n v="1"/>
    <n v="0"/>
    <n v="0"/>
    <n v="0"/>
    <n v="0"/>
    <n v="1"/>
    <n v="0"/>
    <n v="0"/>
    <n v="758"/>
    <n v="715"/>
    <n v="43"/>
    <n v="0"/>
    <x v="1"/>
    <x v="1"/>
    <x v="1"/>
    <x v="0"/>
    <x v="2"/>
    <x v="0"/>
    <n v="1"/>
    <n v="1"/>
    <n v="12"/>
    <n v="0.99999999999999978"/>
    <n v="1"/>
    <n v="6"/>
    <n v="8"/>
    <n v="1"/>
    <x v="3"/>
  </r>
  <r>
    <x v="547"/>
    <n v="63887"/>
    <n v="0"/>
    <n v="1"/>
    <n v="38"/>
    <n v="897"/>
    <n v="23"/>
    <n v="207"/>
    <n v="15"/>
    <n v="11"/>
    <n v="92"/>
    <n v="5"/>
    <n v="9"/>
    <n v="6"/>
    <n v="12"/>
    <n v="6"/>
    <n v="0"/>
    <n v="0"/>
    <n v="0"/>
    <n v="0"/>
    <n v="0"/>
    <x v="0"/>
    <n v="0"/>
    <n v="3"/>
    <n v="11"/>
    <n v="0"/>
    <n v="58"/>
    <n v="2818"/>
    <n v="7.720547945205479"/>
    <n v="1"/>
    <n v="0"/>
    <n v="0"/>
    <n v="0"/>
    <n v="0"/>
    <n v="0"/>
    <n v="0"/>
    <n v="1"/>
    <n v="0"/>
    <n v="0"/>
    <n v="1153"/>
    <n v="1061"/>
    <n v="92"/>
    <n v="0"/>
    <x v="0"/>
    <x v="0"/>
    <x v="3"/>
    <x v="0"/>
    <x v="2"/>
    <x v="1"/>
    <n v="1"/>
    <n v="0"/>
    <n v="38"/>
    <n v="7"/>
    <n v="9"/>
    <n v="8"/>
    <n v="24"/>
    <n v="9"/>
    <x v="0"/>
  </r>
  <r>
    <x v="548"/>
    <n v="65488"/>
    <n v="0"/>
    <n v="0"/>
    <n v="46"/>
    <n v="603"/>
    <n v="45"/>
    <n v="207"/>
    <n v="36"/>
    <n v="18"/>
    <n v="54"/>
    <n v="1"/>
    <n v="3"/>
    <n v="4"/>
    <n v="6"/>
    <n v="1"/>
    <n v="0"/>
    <n v="0"/>
    <n v="0"/>
    <n v="0"/>
    <n v="0"/>
    <x v="0"/>
    <n v="0"/>
    <n v="3"/>
    <n v="11"/>
    <n v="0"/>
    <n v="62"/>
    <n v="2175"/>
    <n v="5.9589041095890414"/>
    <n v="0"/>
    <n v="0"/>
    <n v="0"/>
    <n v="1"/>
    <n v="0"/>
    <n v="0"/>
    <n v="0"/>
    <n v="0"/>
    <n v="0"/>
    <n v="1"/>
    <n v="909"/>
    <n v="855"/>
    <n v="54"/>
    <n v="0"/>
    <x v="1"/>
    <x v="1"/>
    <x v="2"/>
    <x v="1"/>
    <x v="2"/>
    <x v="2"/>
    <n v="1"/>
    <n v="0"/>
    <n v="15"/>
    <n v="6"/>
    <n v="2"/>
    <n v="7"/>
    <n v="15"/>
    <n v="4"/>
    <x v="3"/>
  </r>
  <r>
    <x v="549"/>
    <n v="68092"/>
    <n v="0"/>
    <n v="0"/>
    <n v="7"/>
    <n v="852"/>
    <n v="60"/>
    <n v="207"/>
    <n v="78"/>
    <n v="36"/>
    <n v="48"/>
    <n v="2"/>
    <n v="2"/>
    <n v="6"/>
    <n v="10"/>
    <n v="5"/>
    <n v="0"/>
    <n v="0"/>
    <n v="0"/>
    <n v="0"/>
    <n v="0"/>
    <x v="0"/>
    <n v="0"/>
    <n v="3"/>
    <n v="11"/>
    <n v="0"/>
    <n v="42"/>
    <n v="2354"/>
    <n v="6.4493150684931511"/>
    <n v="0"/>
    <n v="0"/>
    <n v="1"/>
    <n v="0"/>
    <n v="0"/>
    <n v="0"/>
    <n v="0"/>
    <n v="0"/>
    <n v="1"/>
    <n v="0"/>
    <n v="1233"/>
    <n v="1185"/>
    <n v="48"/>
    <n v="0"/>
    <x v="1"/>
    <x v="1"/>
    <x v="1"/>
    <x v="1"/>
    <x v="2"/>
    <x v="0"/>
    <n v="0"/>
    <n v="0"/>
    <n v="25"/>
    <n v="10"/>
    <n v="7"/>
    <n v="8"/>
    <n v="25"/>
    <n v="9"/>
    <x v="0"/>
  </r>
  <r>
    <x v="550"/>
    <n v="38508"/>
    <n v="1"/>
    <n v="0"/>
    <n v="95"/>
    <n v="120"/>
    <n v="19"/>
    <n v="206"/>
    <n v="25"/>
    <n v="19"/>
    <n v="54"/>
    <n v="6"/>
    <n v="7"/>
    <n v="2"/>
    <n v="5"/>
    <n v="8"/>
    <n v="0"/>
    <n v="0"/>
    <n v="0"/>
    <n v="0"/>
    <n v="0"/>
    <x v="0"/>
    <n v="0"/>
    <n v="3"/>
    <n v="11"/>
    <n v="0"/>
    <n v="34"/>
    <n v="2490"/>
    <n v="6.8219178082191778"/>
    <n v="0"/>
    <n v="1"/>
    <n v="0"/>
    <n v="0"/>
    <n v="0"/>
    <n v="0"/>
    <n v="0"/>
    <n v="1"/>
    <n v="0"/>
    <n v="0"/>
    <n v="389"/>
    <n v="335"/>
    <n v="54"/>
    <n v="0"/>
    <x v="0"/>
    <x v="0"/>
    <x v="0"/>
    <x v="0"/>
    <x v="3"/>
    <x v="3"/>
    <n v="1"/>
    <n v="1"/>
    <n v="28"/>
    <n v="0.99999999999999978"/>
    <n v="8"/>
    <n v="5"/>
    <n v="14"/>
    <n v="4"/>
    <x v="3"/>
  </r>
  <r>
    <x v="551"/>
    <n v="48948"/>
    <n v="0"/>
    <n v="0"/>
    <n v="53"/>
    <n v="437"/>
    <n v="8"/>
    <n v="206"/>
    <n v="160"/>
    <n v="49"/>
    <n v="42"/>
    <n v="2"/>
    <n v="7"/>
    <n v="10"/>
    <n v="5"/>
    <n v="6"/>
    <n v="0"/>
    <n v="0"/>
    <n v="1"/>
    <n v="0"/>
    <n v="0"/>
    <x v="1"/>
    <n v="0"/>
    <n v="3"/>
    <n v="11"/>
    <n v="1"/>
    <n v="77"/>
    <n v="2672"/>
    <n v="7.3205479452054796"/>
    <n v="1"/>
    <n v="0"/>
    <n v="0"/>
    <n v="0"/>
    <n v="0"/>
    <n v="0"/>
    <n v="0"/>
    <n v="0"/>
    <n v="0"/>
    <n v="1"/>
    <n v="860"/>
    <n v="818"/>
    <n v="42"/>
    <n v="1"/>
    <x v="1"/>
    <x v="1"/>
    <x v="3"/>
    <x v="1"/>
    <x v="3"/>
    <x v="2"/>
    <n v="1"/>
    <n v="0"/>
    <n v="30"/>
    <n v="5"/>
    <n v="8"/>
    <n v="7"/>
    <n v="20"/>
    <n v="7"/>
    <x v="2"/>
  </r>
  <r>
    <x v="552"/>
    <n v="58350"/>
    <n v="0"/>
    <n v="1"/>
    <n v="5"/>
    <n v="493"/>
    <n v="26"/>
    <n v="206"/>
    <n v="116"/>
    <n v="80"/>
    <n v="80"/>
    <n v="4"/>
    <n v="8"/>
    <n v="3"/>
    <n v="12"/>
    <n v="6"/>
    <n v="0"/>
    <n v="0"/>
    <n v="0"/>
    <n v="0"/>
    <n v="0"/>
    <x v="0"/>
    <n v="0"/>
    <n v="3"/>
    <n v="11"/>
    <n v="0"/>
    <n v="49"/>
    <n v="2700"/>
    <n v="7.397260273972603"/>
    <n v="0"/>
    <n v="0"/>
    <n v="1"/>
    <n v="0"/>
    <n v="0"/>
    <n v="0"/>
    <n v="0"/>
    <n v="1"/>
    <n v="0"/>
    <n v="0"/>
    <n v="921"/>
    <n v="841"/>
    <n v="80"/>
    <n v="0"/>
    <x v="0"/>
    <x v="0"/>
    <x v="1"/>
    <x v="0"/>
    <x v="2"/>
    <x v="0"/>
    <n v="0"/>
    <n v="0"/>
    <n v="33"/>
    <n v="10"/>
    <n v="9"/>
    <n v="7"/>
    <n v="26"/>
    <n v="9"/>
    <x v="0"/>
  </r>
  <r>
    <x v="553"/>
    <n v="69901"/>
    <n v="0"/>
    <n v="1"/>
    <n v="95"/>
    <n v="312"/>
    <n v="21"/>
    <n v="206"/>
    <n v="102"/>
    <n v="92"/>
    <n v="149"/>
    <n v="3"/>
    <n v="7"/>
    <n v="3"/>
    <n v="10"/>
    <n v="5"/>
    <n v="0"/>
    <n v="0"/>
    <n v="0"/>
    <n v="0"/>
    <n v="0"/>
    <x v="0"/>
    <n v="0"/>
    <n v="3"/>
    <n v="11"/>
    <n v="0"/>
    <n v="51"/>
    <n v="2555"/>
    <n v="7"/>
    <n v="1"/>
    <n v="0"/>
    <n v="0"/>
    <n v="0"/>
    <n v="0"/>
    <n v="0"/>
    <n v="0"/>
    <n v="1"/>
    <n v="0"/>
    <n v="0"/>
    <n v="733"/>
    <n v="584"/>
    <n v="149"/>
    <n v="0"/>
    <x v="0"/>
    <x v="0"/>
    <x v="3"/>
    <x v="0"/>
    <x v="2"/>
    <x v="1"/>
    <n v="1"/>
    <n v="1"/>
    <n v="28"/>
    <n v="0.99999999999999978"/>
    <n v="8"/>
    <n v="6"/>
    <n v="15"/>
    <n v="4"/>
    <x v="3"/>
  </r>
  <r>
    <x v="554"/>
    <n v="75154"/>
    <n v="0"/>
    <n v="1"/>
    <n v="79"/>
    <n v="543"/>
    <n v="10"/>
    <n v="205"/>
    <n v="160"/>
    <n v="143"/>
    <n v="82"/>
    <n v="1"/>
    <n v="6"/>
    <n v="3"/>
    <n v="6"/>
    <n v="3"/>
    <n v="0"/>
    <n v="0"/>
    <n v="0"/>
    <n v="0"/>
    <n v="0"/>
    <x v="0"/>
    <n v="0"/>
    <n v="3"/>
    <n v="11"/>
    <n v="1"/>
    <n v="62"/>
    <n v="2822"/>
    <n v="7.7315068493150685"/>
    <n v="0"/>
    <n v="0"/>
    <n v="1"/>
    <n v="0"/>
    <n v="0"/>
    <n v="0"/>
    <n v="0"/>
    <n v="0"/>
    <n v="1"/>
    <n v="0"/>
    <n v="1061"/>
    <n v="979"/>
    <n v="82"/>
    <n v="0"/>
    <x v="0"/>
    <x v="0"/>
    <x v="1"/>
    <x v="1"/>
    <x v="1"/>
    <x v="2"/>
    <n v="1"/>
    <n v="0"/>
    <n v="19"/>
    <n v="3.0000000000000004"/>
    <n v="4"/>
    <n v="7"/>
    <n v="14"/>
    <n v="4"/>
    <x v="3"/>
  </r>
  <r>
    <x v="555"/>
    <n v="39767"/>
    <n v="0"/>
    <n v="0"/>
    <n v="18"/>
    <n v="113"/>
    <n v="61"/>
    <n v="204"/>
    <n v="34"/>
    <n v="26"/>
    <n v="47"/>
    <n v="2"/>
    <n v="7"/>
    <n v="1"/>
    <n v="7"/>
    <n v="8"/>
    <n v="0"/>
    <n v="0"/>
    <n v="0"/>
    <n v="0"/>
    <n v="0"/>
    <x v="0"/>
    <n v="0"/>
    <n v="3"/>
    <n v="11"/>
    <n v="0"/>
    <n v="69"/>
    <n v="2502"/>
    <n v="6.8547945205479452"/>
    <n v="0"/>
    <n v="0"/>
    <n v="0"/>
    <n v="1"/>
    <n v="0"/>
    <n v="0"/>
    <n v="0"/>
    <n v="0"/>
    <n v="1"/>
    <n v="0"/>
    <n v="438"/>
    <n v="391"/>
    <n v="47"/>
    <n v="0"/>
    <x v="1"/>
    <x v="1"/>
    <x v="2"/>
    <x v="1"/>
    <x v="3"/>
    <x v="2"/>
    <n v="0"/>
    <n v="0"/>
    <n v="25"/>
    <n v="9"/>
    <n v="7"/>
    <n v="5"/>
    <n v="21"/>
    <n v="8"/>
    <x v="2"/>
  </r>
  <r>
    <x v="556"/>
    <n v="48192"/>
    <n v="0"/>
    <n v="0"/>
    <n v="76"/>
    <n v="1039"/>
    <n v="43"/>
    <n v="204"/>
    <n v="153"/>
    <n v="58"/>
    <n v="29"/>
    <n v="3"/>
    <n v="2"/>
    <n v="8"/>
    <n v="12"/>
    <n v="8"/>
    <n v="1"/>
    <n v="1"/>
    <n v="0"/>
    <n v="1"/>
    <n v="0"/>
    <x v="1"/>
    <n v="0"/>
    <n v="3"/>
    <n v="11"/>
    <n v="1"/>
    <n v="62"/>
    <n v="2608"/>
    <n v="7.1452054794520548"/>
    <n v="0"/>
    <n v="1"/>
    <n v="0"/>
    <n v="0"/>
    <n v="0"/>
    <n v="0"/>
    <n v="0"/>
    <n v="1"/>
    <n v="0"/>
    <n v="0"/>
    <n v="1497"/>
    <n v="1468"/>
    <n v="29"/>
    <n v="3"/>
    <x v="1"/>
    <x v="1"/>
    <x v="0"/>
    <x v="0"/>
    <x v="3"/>
    <x v="2"/>
    <n v="1"/>
    <n v="0"/>
    <n v="33"/>
    <n v="3.0000000000000004"/>
    <n v="9"/>
    <n v="9"/>
    <n v="21"/>
    <n v="8"/>
    <x v="2"/>
  </r>
  <r>
    <x v="557"/>
    <n v="51537"/>
    <n v="0"/>
    <n v="1"/>
    <n v="27"/>
    <n v="787"/>
    <n v="20"/>
    <n v="204"/>
    <n v="0"/>
    <n v="0"/>
    <n v="92"/>
    <n v="3"/>
    <n v="2"/>
    <n v="2"/>
    <n v="11"/>
    <n v="8"/>
    <n v="0"/>
    <n v="0"/>
    <n v="0"/>
    <n v="0"/>
    <n v="0"/>
    <x v="0"/>
    <n v="0"/>
    <n v="3"/>
    <n v="11"/>
    <n v="0"/>
    <n v="68"/>
    <n v="2726"/>
    <n v="7.4684931506849317"/>
    <n v="1"/>
    <n v="0"/>
    <n v="0"/>
    <n v="0"/>
    <n v="0"/>
    <n v="0"/>
    <n v="0"/>
    <n v="1"/>
    <n v="0"/>
    <n v="0"/>
    <n v="1011"/>
    <n v="919"/>
    <n v="92"/>
    <n v="0"/>
    <x v="0"/>
    <x v="0"/>
    <x v="3"/>
    <x v="0"/>
    <x v="2"/>
    <x v="2"/>
    <n v="0"/>
    <n v="0"/>
    <n v="26"/>
    <n v="8"/>
    <n v="7"/>
    <n v="7"/>
    <n v="22"/>
    <n v="8"/>
    <x v="2"/>
  </r>
  <r>
    <x v="558"/>
    <n v="66465"/>
    <n v="0"/>
    <n v="1"/>
    <n v="1"/>
    <n v="1200"/>
    <n v="0"/>
    <n v="204"/>
    <n v="38"/>
    <n v="29"/>
    <n v="14"/>
    <n v="3"/>
    <n v="11"/>
    <n v="9"/>
    <n v="12"/>
    <n v="6"/>
    <n v="1"/>
    <n v="0"/>
    <n v="0"/>
    <n v="0"/>
    <n v="0"/>
    <x v="1"/>
    <n v="0"/>
    <n v="3"/>
    <n v="11"/>
    <n v="0"/>
    <n v="65"/>
    <n v="2615"/>
    <n v="7.1643835616438354"/>
    <n v="0"/>
    <n v="1"/>
    <n v="0"/>
    <n v="0"/>
    <n v="0"/>
    <n v="0"/>
    <n v="0"/>
    <n v="0"/>
    <n v="0"/>
    <n v="1"/>
    <n v="1471"/>
    <n v="1457"/>
    <n v="14"/>
    <n v="1"/>
    <x v="0"/>
    <x v="0"/>
    <x v="0"/>
    <x v="1"/>
    <x v="2"/>
    <x v="2"/>
    <n v="0"/>
    <n v="0"/>
    <n v="41"/>
    <n v="10"/>
    <n v="9"/>
    <n v="9"/>
    <n v="28"/>
    <n v="9"/>
    <x v="0"/>
  </r>
  <r>
    <x v="559"/>
    <n v="77981"/>
    <n v="1"/>
    <n v="0"/>
    <n v="78"/>
    <n v="138"/>
    <n v="120"/>
    <n v="204"/>
    <n v="16"/>
    <n v="126"/>
    <n v="60"/>
    <n v="3"/>
    <n v="7"/>
    <n v="4"/>
    <n v="7"/>
    <n v="5"/>
    <n v="0"/>
    <n v="0"/>
    <n v="0"/>
    <n v="0"/>
    <n v="0"/>
    <x v="0"/>
    <n v="0"/>
    <n v="3"/>
    <n v="11"/>
    <n v="0"/>
    <n v="48"/>
    <n v="2558"/>
    <n v="7.0082191780821921"/>
    <n v="0"/>
    <n v="1"/>
    <n v="0"/>
    <n v="0"/>
    <n v="0"/>
    <n v="0"/>
    <n v="0"/>
    <n v="1"/>
    <n v="0"/>
    <n v="0"/>
    <n v="604"/>
    <n v="544"/>
    <n v="60"/>
    <n v="0"/>
    <x v="0"/>
    <x v="0"/>
    <x v="0"/>
    <x v="0"/>
    <x v="1"/>
    <x v="0"/>
    <n v="1"/>
    <n v="0"/>
    <n v="26"/>
    <n v="3.0000000000000004"/>
    <n v="7"/>
    <n v="6"/>
    <n v="16"/>
    <n v="5"/>
    <x v="1"/>
  </r>
  <r>
    <x v="560"/>
    <n v="82623"/>
    <n v="0"/>
    <n v="0"/>
    <n v="58"/>
    <n v="204"/>
    <n v="34"/>
    <n v="204"/>
    <n v="172"/>
    <n v="153"/>
    <n v="173"/>
    <n v="1"/>
    <n v="2"/>
    <n v="9"/>
    <n v="4"/>
    <n v="1"/>
    <n v="0"/>
    <n v="0"/>
    <n v="0"/>
    <n v="0"/>
    <n v="0"/>
    <x v="0"/>
    <n v="0"/>
    <n v="3"/>
    <n v="11"/>
    <n v="0"/>
    <n v="68"/>
    <n v="2390"/>
    <n v="6.5479452054794525"/>
    <n v="1"/>
    <n v="0"/>
    <n v="0"/>
    <n v="0"/>
    <n v="0"/>
    <n v="0"/>
    <n v="0"/>
    <n v="1"/>
    <n v="0"/>
    <n v="0"/>
    <n v="767"/>
    <n v="594"/>
    <n v="173"/>
    <n v="0"/>
    <x v="1"/>
    <x v="1"/>
    <x v="3"/>
    <x v="0"/>
    <x v="1"/>
    <x v="2"/>
    <n v="1"/>
    <n v="0"/>
    <n v="17"/>
    <n v="5"/>
    <n v="3"/>
    <n v="6"/>
    <n v="14"/>
    <n v="4"/>
    <x v="3"/>
  </r>
  <r>
    <x v="561"/>
    <n v="54006"/>
    <n v="1"/>
    <n v="0"/>
    <n v="42"/>
    <n v="174"/>
    <n v="77"/>
    <n v="203"/>
    <n v="6"/>
    <n v="24"/>
    <n v="97"/>
    <n v="2"/>
    <n v="8"/>
    <n v="1"/>
    <n v="7"/>
    <n v="7"/>
    <n v="0"/>
    <n v="0"/>
    <n v="0"/>
    <n v="0"/>
    <n v="0"/>
    <x v="0"/>
    <n v="0"/>
    <n v="3"/>
    <n v="11"/>
    <n v="0"/>
    <n v="35"/>
    <n v="2808"/>
    <n v="7.6931506849315072"/>
    <n v="0"/>
    <n v="0"/>
    <n v="0"/>
    <n v="1"/>
    <n v="0"/>
    <n v="0"/>
    <n v="0"/>
    <n v="1"/>
    <n v="0"/>
    <n v="0"/>
    <n v="484"/>
    <n v="387"/>
    <n v="97"/>
    <n v="0"/>
    <x v="0"/>
    <x v="0"/>
    <x v="2"/>
    <x v="0"/>
    <x v="2"/>
    <x v="3"/>
    <n v="1"/>
    <n v="0"/>
    <n v="25"/>
    <n v="6"/>
    <n v="7"/>
    <n v="5"/>
    <n v="18"/>
    <n v="6"/>
    <x v="1"/>
  </r>
  <r>
    <x v="562"/>
    <n v="54998"/>
    <n v="0"/>
    <n v="1"/>
    <n v="3"/>
    <n v="154"/>
    <n v="22"/>
    <n v="202"/>
    <n v="39"/>
    <n v="30"/>
    <n v="8"/>
    <n v="5"/>
    <n v="4"/>
    <n v="2"/>
    <n v="9"/>
    <n v="4"/>
    <n v="0"/>
    <n v="0"/>
    <n v="0"/>
    <n v="0"/>
    <n v="0"/>
    <x v="0"/>
    <n v="0"/>
    <n v="3"/>
    <n v="11"/>
    <n v="1"/>
    <n v="64"/>
    <n v="2635"/>
    <n v="7.2191780821917808"/>
    <n v="0"/>
    <n v="0"/>
    <n v="1"/>
    <n v="0"/>
    <n v="0"/>
    <n v="0"/>
    <n v="0"/>
    <n v="0"/>
    <n v="0"/>
    <n v="1"/>
    <n v="447"/>
    <n v="439"/>
    <n v="8"/>
    <n v="0"/>
    <x v="0"/>
    <x v="0"/>
    <x v="1"/>
    <x v="1"/>
    <x v="2"/>
    <x v="2"/>
    <n v="0"/>
    <n v="0"/>
    <n v="24"/>
    <n v="10"/>
    <n v="6"/>
    <n v="5"/>
    <n v="21"/>
    <n v="8"/>
    <x v="2"/>
  </r>
  <r>
    <x v="563"/>
    <n v="58398"/>
    <n v="0"/>
    <n v="0"/>
    <n v="44"/>
    <n v="299"/>
    <n v="5"/>
    <n v="201"/>
    <n v="21"/>
    <n v="21"/>
    <n v="49"/>
    <n v="3"/>
    <n v="5"/>
    <n v="4"/>
    <n v="8"/>
    <n v="4"/>
    <n v="0"/>
    <n v="0"/>
    <n v="0"/>
    <n v="0"/>
    <n v="0"/>
    <x v="0"/>
    <n v="0"/>
    <n v="3"/>
    <n v="11"/>
    <n v="0"/>
    <n v="67"/>
    <n v="2570"/>
    <n v="7.0410958904109586"/>
    <n v="0"/>
    <n v="0"/>
    <n v="0"/>
    <n v="1"/>
    <n v="0"/>
    <n v="0"/>
    <n v="0"/>
    <n v="1"/>
    <n v="0"/>
    <n v="0"/>
    <n v="547"/>
    <n v="498"/>
    <n v="49"/>
    <n v="0"/>
    <x v="1"/>
    <x v="1"/>
    <x v="2"/>
    <x v="0"/>
    <x v="2"/>
    <x v="2"/>
    <n v="1"/>
    <n v="0"/>
    <n v="24"/>
    <n v="6"/>
    <n v="6"/>
    <n v="5"/>
    <n v="17"/>
    <n v="6"/>
    <x v="1"/>
  </r>
  <r>
    <x v="564"/>
    <n v="55686"/>
    <n v="0"/>
    <n v="1"/>
    <n v="27"/>
    <n v="673"/>
    <n v="0"/>
    <n v="199"/>
    <n v="37"/>
    <n v="47"/>
    <n v="26"/>
    <n v="2"/>
    <n v="6"/>
    <n v="3"/>
    <n v="5"/>
    <n v="4"/>
    <n v="0"/>
    <n v="0"/>
    <n v="1"/>
    <n v="0"/>
    <n v="0"/>
    <x v="1"/>
    <n v="0"/>
    <n v="3"/>
    <n v="11"/>
    <n v="0"/>
    <n v="54"/>
    <n v="2659"/>
    <n v="7.2849315068493148"/>
    <n v="1"/>
    <n v="0"/>
    <n v="0"/>
    <n v="0"/>
    <n v="0"/>
    <n v="0"/>
    <n v="0"/>
    <n v="1"/>
    <n v="0"/>
    <n v="0"/>
    <n v="956"/>
    <n v="930"/>
    <n v="26"/>
    <n v="1"/>
    <x v="0"/>
    <x v="0"/>
    <x v="3"/>
    <x v="0"/>
    <x v="2"/>
    <x v="1"/>
    <n v="0"/>
    <n v="0"/>
    <n v="20"/>
    <n v="8"/>
    <n v="4"/>
    <n v="7"/>
    <n v="19"/>
    <n v="7"/>
    <x v="2"/>
  </r>
  <r>
    <x v="565"/>
    <n v="69084"/>
    <n v="1"/>
    <n v="0"/>
    <n v="43"/>
    <n v="1181"/>
    <n v="107"/>
    <n v="199"/>
    <n v="39"/>
    <n v="30"/>
    <n v="30"/>
    <n v="2"/>
    <n v="7"/>
    <n v="3"/>
    <n v="13"/>
    <n v="8"/>
    <n v="0"/>
    <n v="0"/>
    <n v="0"/>
    <n v="0"/>
    <n v="0"/>
    <x v="0"/>
    <n v="0"/>
    <n v="3"/>
    <n v="11"/>
    <n v="0"/>
    <n v="50"/>
    <n v="2381"/>
    <n v="6.5232876712328771"/>
    <n v="0"/>
    <n v="1"/>
    <n v="0"/>
    <n v="0"/>
    <n v="0"/>
    <n v="0"/>
    <n v="0"/>
    <n v="0"/>
    <n v="0"/>
    <n v="1"/>
    <n v="1556"/>
    <n v="1526"/>
    <n v="30"/>
    <n v="0"/>
    <x v="0"/>
    <x v="0"/>
    <x v="0"/>
    <x v="1"/>
    <x v="2"/>
    <x v="0"/>
    <n v="1"/>
    <n v="0"/>
    <n v="33"/>
    <n v="6"/>
    <n v="9"/>
    <n v="9"/>
    <n v="24"/>
    <n v="9"/>
    <x v="0"/>
  </r>
  <r>
    <x v="566"/>
    <n v="49767"/>
    <n v="0"/>
    <n v="0"/>
    <n v="92"/>
    <n v="202"/>
    <n v="47"/>
    <n v="197"/>
    <n v="55"/>
    <n v="42"/>
    <n v="149"/>
    <n v="1"/>
    <n v="5"/>
    <n v="4"/>
    <n v="8"/>
    <n v="4"/>
    <n v="0"/>
    <n v="0"/>
    <n v="0"/>
    <n v="0"/>
    <n v="0"/>
    <x v="0"/>
    <n v="0"/>
    <n v="3"/>
    <n v="11"/>
    <n v="0"/>
    <n v="29"/>
    <n v="2582"/>
    <n v="7.0739726027397261"/>
    <n v="0"/>
    <n v="0"/>
    <n v="1"/>
    <n v="0"/>
    <n v="0"/>
    <n v="0"/>
    <n v="0"/>
    <n v="1"/>
    <n v="0"/>
    <n v="0"/>
    <n v="543"/>
    <n v="394"/>
    <n v="149"/>
    <n v="0"/>
    <x v="1"/>
    <x v="1"/>
    <x v="1"/>
    <x v="0"/>
    <x v="3"/>
    <x v="4"/>
    <n v="1"/>
    <n v="1"/>
    <n v="22"/>
    <n v="0.99999999999999978"/>
    <n v="5"/>
    <n v="5"/>
    <n v="11"/>
    <n v="2"/>
    <x v="3"/>
  </r>
  <r>
    <x v="567"/>
    <n v="53034"/>
    <n v="1"/>
    <n v="1"/>
    <n v="30"/>
    <n v="160"/>
    <n v="15"/>
    <n v="196"/>
    <n v="15"/>
    <n v="11"/>
    <n v="50"/>
    <n v="8"/>
    <n v="6"/>
    <n v="1"/>
    <n v="7"/>
    <n v="8"/>
    <n v="0"/>
    <n v="0"/>
    <n v="0"/>
    <n v="0"/>
    <n v="0"/>
    <x v="0"/>
    <n v="0"/>
    <n v="3"/>
    <n v="11"/>
    <n v="0"/>
    <n v="46"/>
    <n v="2554"/>
    <n v="6.9972602739726026"/>
    <n v="1"/>
    <n v="0"/>
    <n v="0"/>
    <n v="0"/>
    <n v="0"/>
    <n v="0"/>
    <n v="0"/>
    <n v="1"/>
    <n v="0"/>
    <n v="0"/>
    <n v="397"/>
    <n v="347"/>
    <n v="50"/>
    <n v="0"/>
    <x v="0"/>
    <x v="0"/>
    <x v="3"/>
    <x v="0"/>
    <x v="2"/>
    <x v="0"/>
    <n v="0"/>
    <n v="0"/>
    <n v="30"/>
    <n v="7"/>
    <n v="8"/>
    <n v="5"/>
    <n v="20"/>
    <n v="7"/>
    <x v="2"/>
  </r>
  <r>
    <x v="568"/>
    <n v="68142"/>
    <n v="0"/>
    <n v="1"/>
    <n v="96"/>
    <n v="897"/>
    <n v="126"/>
    <n v="196"/>
    <n v="91"/>
    <n v="112"/>
    <n v="37"/>
    <n v="3"/>
    <n v="10"/>
    <n v="4"/>
    <n v="7"/>
    <n v="6"/>
    <n v="0"/>
    <n v="0"/>
    <n v="0"/>
    <n v="0"/>
    <n v="0"/>
    <x v="0"/>
    <n v="0"/>
    <n v="3"/>
    <n v="11"/>
    <n v="0"/>
    <n v="56"/>
    <n v="2828"/>
    <n v="7.7479452054794518"/>
    <n v="0"/>
    <n v="0"/>
    <n v="0"/>
    <n v="1"/>
    <n v="0"/>
    <n v="0"/>
    <n v="0"/>
    <n v="1"/>
    <n v="0"/>
    <n v="0"/>
    <n v="1422"/>
    <n v="1385"/>
    <n v="37"/>
    <n v="0"/>
    <x v="0"/>
    <x v="0"/>
    <x v="2"/>
    <x v="0"/>
    <x v="2"/>
    <x v="1"/>
    <n v="1"/>
    <n v="1"/>
    <n v="30"/>
    <n v="0.99999999999999978"/>
    <n v="8"/>
    <n v="8"/>
    <n v="17"/>
    <n v="6"/>
    <x v="1"/>
  </r>
  <r>
    <x v="569"/>
    <n v="66835"/>
    <n v="0"/>
    <n v="0"/>
    <n v="21"/>
    <n v="620"/>
    <n v="26"/>
    <n v="195"/>
    <n v="34"/>
    <n v="17"/>
    <n v="141"/>
    <n v="1"/>
    <n v="6"/>
    <n v="4"/>
    <n v="13"/>
    <n v="2"/>
    <n v="0"/>
    <n v="0"/>
    <n v="0"/>
    <n v="0"/>
    <n v="0"/>
    <x v="0"/>
    <n v="0"/>
    <n v="3"/>
    <n v="11"/>
    <n v="0"/>
    <n v="74"/>
    <n v="2433"/>
    <n v="6.6657534246575345"/>
    <n v="0"/>
    <n v="1"/>
    <n v="0"/>
    <n v="0"/>
    <n v="0"/>
    <n v="0"/>
    <n v="0"/>
    <n v="0"/>
    <n v="1"/>
    <n v="0"/>
    <n v="892"/>
    <n v="751"/>
    <n v="141"/>
    <n v="0"/>
    <x v="1"/>
    <x v="1"/>
    <x v="0"/>
    <x v="1"/>
    <x v="2"/>
    <x v="2"/>
    <n v="0"/>
    <n v="0"/>
    <n v="26"/>
    <n v="8"/>
    <n v="7"/>
    <n v="7"/>
    <n v="22"/>
    <n v="8"/>
    <x v="2"/>
  </r>
  <r>
    <x v="570"/>
    <n v="58656"/>
    <n v="0"/>
    <n v="1"/>
    <n v="25"/>
    <n v="962"/>
    <n v="12"/>
    <n v="194"/>
    <n v="16"/>
    <n v="24"/>
    <n v="12"/>
    <n v="4"/>
    <n v="7"/>
    <n v="8"/>
    <n v="13"/>
    <n v="6"/>
    <n v="0"/>
    <n v="0"/>
    <n v="0"/>
    <n v="0"/>
    <n v="1"/>
    <x v="1"/>
    <n v="0"/>
    <n v="3"/>
    <n v="11"/>
    <n v="0"/>
    <n v="64"/>
    <n v="2806"/>
    <n v="7.6876712328767125"/>
    <n v="0"/>
    <n v="0"/>
    <n v="0"/>
    <n v="1"/>
    <n v="0"/>
    <n v="0"/>
    <n v="0"/>
    <n v="0"/>
    <n v="1"/>
    <n v="0"/>
    <n v="1208"/>
    <n v="1196"/>
    <n v="12"/>
    <n v="1"/>
    <x v="0"/>
    <x v="0"/>
    <x v="2"/>
    <x v="1"/>
    <x v="2"/>
    <x v="2"/>
    <n v="0"/>
    <n v="0"/>
    <n v="38"/>
    <n v="8"/>
    <n v="9"/>
    <n v="8"/>
    <n v="25"/>
    <n v="9"/>
    <x v="0"/>
  </r>
  <r>
    <x v="571"/>
    <n v="66731"/>
    <n v="0"/>
    <n v="1"/>
    <n v="33"/>
    <n v="371"/>
    <n v="159"/>
    <n v="194"/>
    <n v="58"/>
    <n v="106"/>
    <n v="141"/>
    <n v="4"/>
    <n v="4"/>
    <n v="3"/>
    <n v="6"/>
    <n v="3"/>
    <n v="0"/>
    <n v="0"/>
    <n v="0"/>
    <n v="0"/>
    <n v="0"/>
    <x v="0"/>
    <n v="0"/>
    <n v="3"/>
    <n v="11"/>
    <n v="0"/>
    <n v="50"/>
    <n v="2814"/>
    <n v="7.7095890410958905"/>
    <n v="0"/>
    <n v="0"/>
    <n v="0"/>
    <n v="0"/>
    <n v="1"/>
    <n v="0"/>
    <n v="0"/>
    <n v="1"/>
    <n v="0"/>
    <n v="0"/>
    <n v="888"/>
    <n v="747"/>
    <n v="141"/>
    <n v="0"/>
    <x v="0"/>
    <x v="0"/>
    <x v="4"/>
    <x v="0"/>
    <x v="2"/>
    <x v="0"/>
    <n v="1"/>
    <n v="0"/>
    <n v="20"/>
    <n v="7"/>
    <n v="4"/>
    <n v="7"/>
    <n v="18"/>
    <n v="6"/>
    <x v="1"/>
  </r>
  <r>
    <x v="572"/>
    <n v="62503"/>
    <n v="0"/>
    <n v="1"/>
    <n v="40"/>
    <n v="478"/>
    <n v="0"/>
    <n v="193"/>
    <n v="110"/>
    <n v="75"/>
    <n v="117"/>
    <n v="4"/>
    <n v="8"/>
    <n v="3"/>
    <n v="11"/>
    <n v="5"/>
    <n v="0"/>
    <n v="0"/>
    <n v="0"/>
    <n v="0"/>
    <n v="0"/>
    <x v="0"/>
    <n v="0"/>
    <n v="3"/>
    <n v="11"/>
    <n v="0"/>
    <n v="64"/>
    <n v="2655"/>
    <n v="7.2739726027397262"/>
    <n v="0"/>
    <n v="1"/>
    <n v="0"/>
    <n v="0"/>
    <n v="0"/>
    <n v="0"/>
    <n v="0"/>
    <n v="1"/>
    <n v="0"/>
    <n v="0"/>
    <n v="856"/>
    <n v="739"/>
    <n v="117"/>
    <n v="0"/>
    <x v="0"/>
    <x v="0"/>
    <x v="0"/>
    <x v="0"/>
    <x v="2"/>
    <x v="2"/>
    <n v="1"/>
    <n v="0"/>
    <n v="31"/>
    <n v="6"/>
    <n v="9"/>
    <n v="7"/>
    <n v="22"/>
    <n v="8"/>
    <x v="2"/>
  </r>
  <r>
    <x v="573"/>
    <n v="46772"/>
    <n v="0"/>
    <n v="1"/>
    <n v="88"/>
    <n v="350"/>
    <n v="104"/>
    <n v="189"/>
    <n v="197"/>
    <n v="151"/>
    <n v="57"/>
    <n v="6"/>
    <n v="11"/>
    <n v="8"/>
    <n v="5"/>
    <n v="8"/>
    <n v="0"/>
    <n v="0"/>
    <n v="1"/>
    <n v="0"/>
    <n v="0"/>
    <x v="1"/>
    <n v="0"/>
    <n v="3"/>
    <n v="11"/>
    <n v="0"/>
    <n v="45"/>
    <n v="2758"/>
    <n v="7.5561643835616437"/>
    <n v="0"/>
    <n v="0"/>
    <n v="0"/>
    <n v="1"/>
    <n v="0"/>
    <n v="1"/>
    <n v="0"/>
    <n v="0"/>
    <n v="0"/>
    <n v="0"/>
    <n v="991"/>
    <n v="934"/>
    <n v="57"/>
    <n v="1"/>
    <x v="0"/>
    <x v="0"/>
    <x v="2"/>
    <x v="1"/>
    <x v="3"/>
    <x v="0"/>
    <n v="1"/>
    <n v="0"/>
    <n v="38"/>
    <n v="1.9999999999999996"/>
    <n v="9"/>
    <n v="7"/>
    <n v="18"/>
    <n v="6"/>
    <x v="1"/>
  </r>
  <r>
    <x v="574"/>
    <n v="61314"/>
    <n v="0"/>
    <n v="1"/>
    <n v="1"/>
    <n v="378"/>
    <n v="0"/>
    <n v="189"/>
    <n v="97"/>
    <n v="172"/>
    <n v="172"/>
    <n v="2"/>
    <n v="5"/>
    <n v="5"/>
    <n v="12"/>
    <n v="3"/>
    <n v="0"/>
    <n v="0"/>
    <n v="0"/>
    <n v="0"/>
    <n v="0"/>
    <x v="0"/>
    <n v="0"/>
    <n v="3"/>
    <n v="11"/>
    <n v="0"/>
    <n v="52"/>
    <n v="2589"/>
    <n v="7.0931506849315067"/>
    <n v="0"/>
    <n v="1"/>
    <n v="0"/>
    <n v="0"/>
    <n v="0"/>
    <n v="0"/>
    <n v="0"/>
    <n v="1"/>
    <n v="0"/>
    <n v="0"/>
    <n v="836"/>
    <n v="664"/>
    <n v="172"/>
    <n v="0"/>
    <x v="0"/>
    <x v="0"/>
    <x v="0"/>
    <x v="0"/>
    <x v="2"/>
    <x v="1"/>
    <n v="0"/>
    <n v="0"/>
    <n v="27"/>
    <n v="10"/>
    <n v="7"/>
    <n v="6"/>
    <n v="23"/>
    <n v="8"/>
    <x v="2"/>
  </r>
  <r>
    <x v="575"/>
    <n v="65695"/>
    <n v="0"/>
    <n v="1"/>
    <n v="50"/>
    <n v="371"/>
    <n v="32"/>
    <n v="189"/>
    <n v="0"/>
    <n v="58"/>
    <n v="6"/>
    <n v="2"/>
    <n v="5"/>
    <n v="4"/>
    <n v="10"/>
    <n v="4"/>
    <n v="0"/>
    <n v="0"/>
    <n v="0"/>
    <n v="0"/>
    <n v="0"/>
    <x v="0"/>
    <n v="0"/>
    <n v="3"/>
    <n v="11"/>
    <n v="0"/>
    <n v="60"/>
    <n v="2308"/>
    <n v="6.3232876712328769"/>
    <n v="0"/>
    <n v="1"/>
    <n v="0"/>
    <n v="0"/>
    <n v="0"/>
    <n v="0"/>
    <n v="0"/>
    <n v="0"/>
    <n v="0"/>
    <n v="1"/>
    <n v="650"/>
    <n v="644"/>
    <n v="6"/>
    <n v="0"/>
    <x v="0"/>
    <x v="0"/>
    <x v="0"/>
    <x v="1"/>
    <x v="2"/>
    <x v="1"/>
    <n v="1"/>
    <n v="0"/>
    <n v="25"/>
    <n v="5"/>
    <n v="7"/>
    <n v="6"/>
    <n v="18"/>
    <n v="6"/>
    <x v="1"/>
  </r>
  <r>
    <x v="576"/>
    <n v="73448"/>
    <n v="0"/>
    <n v="0"/>
    <n v="10"/>
    <n v="236"/>
    <n v="106"/>
    <n v="189"/>
    <n v="23"/>
    <n v="41"/>
    <n v="130"/>
    <n v="1"/>
    <n v="7"/>
    <n v="2"/>
    <n v="9"/>
    <n v="4"/>
    <n v="0"/>
    <n v="0"/>
    <n v="0"/>
    <n v="0"/>
    <n v="0"/>
    <x v="0"/>
    <n v="0"/>
    <n v="3"/>
    <n v="11"/>
    <n v="0"/>
    <n v="51"/>
    <n v="2298"/>
    <n v="6.2958904109589042"/>
    <n v="0"/>
    <n v="1"/>
    <n v="0"/>
    <n v="0"/>
    <n v="0"/>
    <n v="0"/>
    <n v="0"/>
    <n v="1"/>
    <n v="0"/>
    <n v="0"/>
    <n v="595"/>
    <n v="465"/>
    <n v="130"/>
    <n v="0"/>
    <x v="1"/>
    <x v="1"/>
    <x v="0"/>
    <x v="0"/>
    <x v="2"/>
    <x v="1"/>
    <n v="0"/>
    <n v="0"/>
    <n v="23"/>
    <n v="9"/>
    <n v="6"/>
    <n v="6"/>
    <n v="21"/>
    <n v="8"/>
    <x v="2"/>
  </r>
  <r>
    <x v="577"/>
    <n v="61794"/>
    <n v="0"/>
    <n v="1"/>
    <n v="74"/>
    <n v="264"/>
    <n v="47"/>
    <n v="188"/>
    <n v="54"/>
    <n v="47"/>
    <n v="11"/>
    <n v="2"/>
    <n v="4"/>
    <n v="4"/>
    <n v="10"/>
    <n v="2"/>
    <n v="0"/>
    <n v="0"/>
    <n v="0"/>
    <n v="0"/>
    <n v="0"/>
    <x v="0"/>
    <n v="0"/>
    <n v="3"/>
    <n v="11"/>
    <n v="0"/>
    <n v="59"/>
    <n v="2447"/>
    <n v="6.7041095890410958"/>
    <n v="0"/>
    <n v="1"/>
    <n v="0"/>
    <n v="0"/>
    <n v="0"/>
    <n v="0"/>
    <n v="0"/>
    <n v="0"/>
    <n v="1"/>
    <n v="0"/>
    <n v="600"/>
    <n v="589"/>
    <n v="11"/>
    <n v="0"/>
    <x v="0"/>
    <x v="0"/>
    <x v="0"/>
    <x v="1"/>
    <x v="2"/>
    <x v="1"/>
    <n v="1"/>
    <n v="0"/>
    <n v="22"/>
    <n v="3.0000000000000004"/>
    <n v="5"/>
    <n v="6"/>
    <n v="14"/>
    <n v="4"/>
    <x v="3"/>
  </r>
  <r>
    <x v="578"/>
    <n v="42564"/>
    <n v="0"/>
    <n v="1"/>
    <n v="28"/>
    <n v="324"/>
    <n v="48"/>
    <n v="186"/>
    <n v="39"/>
    <n v="18"/>
    <n v="198"/>
    <n v="6"/>
    <n v="6"/>
    <n v="8"/>
    <n v="4"/>
    <n v="7"/>
    <n v="0"/>
    <n v="0"/>
    <n v="1"/>
    <n v="0"/>
    <n v="0"/>
    <x v="1"/>
    <n v="0"/>
    <n v="3"/>
    <n v="11"/>
    <n v="1"/>
    <n v="52"/>
    <n v="2702"/>
    <n v="7.4027397260273968"/>
    <n v="1"/>
    <n v="0"/>
    <n v="0"/>
    <n v="0"/>
    <n v="0"/>
    <n v="0"/>
    <n v="0"/>
    <n v="0"/>
    <n v="0"/>
    <n v="1"/>
    <n v="615"/>
    <n v="417"/>
    <n v="198"/>
    <n v="1"/>
    <x v="0"/>
    <x v="0"/>
    <x v="3"/>
    <x v="1"/>
    <x v="3"/>
    <x v="1"/>
    <n v="0"/>
    <n v="0"/>
    <n v="31"/>
    <n v="8"/>
    <n v="9"/>
    <n v="6"/>
    <n v="23"/>
    <n v="8"/>
    <x v="2"/>
  </r>
  <r>
    <x v="579"/>
    <n v="64191"/>
    <n v="0"/>
    <n v="1"/>
    <n v="30"/>
    <n v="420"/>
    <n v="15"/>
    <n v="186"/>
    <n v="151"/>
    <n v="38"/>
    <n v="15"/>
    <n v="3"/>
    <n v="5"/>
    <n v="3"/>
    <n v="13"/>
    <n v="3"/>
    <n v="0"/>
    <n v="0"/>
    <n v="0"/>
    <n v="0"/>
    <n v="0"/>
    <x v="0"/>
    <n v="0"/>
    <n v="3"/>
    <n v="11"/>
    <n v="0"/>
    <n v="57"/>
    <n v="2682"/>
    <n v="7.3479452054794523"/>
    <n v="0"/>
    <n v="0"/>
    <n v="1"/>
    <n v="0"/>
    <n v="0"/>
    <n v="0"/>
    <n v="0"/>
    <n v="0"/>
    <n v="1"/>
    <n v="0"/>
    <n v="810"/>
    <n v="795"/>
    <n v="15"/>
    <n v="0"/>
    <x v="0"/>
    <x v="0"/>
    <x v="1"/>
    <x v="1"/>
    <x v="2"/>
    <x v="1"/>
    <n v="0"/>
    <n v="0"/>
    <n v="27"/>
    <n v="7"/>
    <n v="7"/>
    <n v="6"/>
    <n v="20"/>
    <n v="7"/>
    <x v="2"/>
  </r>
  <r>
    <x v="580"/>
    <n v="75903"/>
    <n v="0"/>
    <n v="1"/>
    <n v="50"/>
    <n v="340"/>
    <n v="108"/>
    <n v="185"/>
    <n v="130"/>
    <n v="38"/>
    <n v="100"/>
    <n v="2"/>
    <n v="6"/>
    <n v="6"/>
    <n v="9"/>
    <n v="3"/>
    <n v="0"/>
    <n v="0"/>
    <n v="0"/>
    <n v="0"/>
    <n v="0"/>
    <x v="0"/>
    <n v="0"/>
    <n v="3"/>
    <n v="11"/>
    <n v="0"/>
    <n v="69"/>
    <n v="2606"/>
    <n v="7.13972602739726"/>
    <n v="0"/>
    <n v="1"/>
    <n v="0"/>
    <n v="0"/>
    <n v="0"/>
    <n v="0"/>
    <n v="0"/>
    <n v="1"/>
    <n v="0"/>
    <n v="0"/>
    <n v="801"/>
    <n v="701"/>
    <n v="100"/>
    <n v="0"/>
    <x v="0"/>
    <x v="0"/>
    <x v="0"/>
    <x v="0"/>
    <x v="1"/>
    <x v="2"/>
    <n v="1"/>
    <n v="0"/>
    <n v="26"/>
    <n v="5"/>
    <n v="7"/>
    <n v="6"/>
    <n v="18"/>
    <n v="6"/>
    <x v="1"/>
  </r>
  <r>
    <x v="581"/>
    <n v="55424"/>
    <n v="0"/>
    <n v="1"/>
    <n v="6"/>
    <n v="462"/>
    <n v="61"/>
    <n v="184"/>
    <n v="10"/>
    <n v="53"/>
    <n v="107"/>
    <n v="4"/>
    <n v="7"/>
    <n v="5"/>
    <n v="9"/>
    <n v="6"/>
    <n v="0"/>
    <n v="0"/>
    <n v="1"/>
    <n v="0"/>
    <n v="0"/>
    <x v="1"/>
    <n v="0"/>
    <n v="3"/>
    <n v="11"/>
    <n v="1"/>
    <n v="44"/>
    <n v="2740"/>
    <n v="7.506849315068493"/>
    <n v="0"/>
    <n v="1"/>
    <n v="0"/>
    <n v="0"/>
    <n v="0"/>
    <n v="0"/>
    <n v="0"/>
    <n v="0"/>
    <n v="0"/>
    <n v="1"/>
    <n v="770"/>
    <n v="663"/>
    <n v="107"/>
    <n v="1"/>
    <x v="0"/>
    <x v="0"/>
    <x v="0"/>
    <x v="1"/>
    <x v="2"/>
    <x v="0"/>
    <n v="0"/>
    <n v="0"/>
    <n v="31"/>
    <n v="10"/>
    <n v="9"/>
    <n v="6"/>
    <n v="25"/>
    <n v="9"/>
    <x v="0"/>
  </r>
  <r>
    <x v="582"/>
    <n v="58597"/>
    <n v="1"/>
    <n v="1"/>
    <n v="20"/>
    <n v="490"/>
    <n v="0"/>
    <n v="184"/>
    <n v="10"/>
    <n v="28"/>
    <n v="21"/>
    <n v="12"/>
    <n v="7"/>
    <n v="4"/>
    <n v="9"/>
    <n v="7"/>
    <n v="0"/>
    <n v="0"/>
    <n v="0"/>
    <n v="0"/>
    <n v="0"/>
    <x v="0"/>
    <n v="0"/>
    <n v="3"/>
    <n v="11"/>
    <n v="0"/>
    <n v="44"/>
    <n v="2745"/>
    <n v="7.5205479452054798"/>
    <n v="0"/>
    <n v="1"/>
    <n v="0"/>
    <n v="0"/>
    <n v="0"/>
    <n v="0"/>
    <n v="0"/>
    <n v="1"/>
    <n v="0"/>
    <n v="0"/>
    <n v="712"/>
    <n v="691"/>
    <n v="21"/>
    <n v="0"/>
    <x v="0"/>
    <x v="0"/>
    <x v="0"/>
    <x v="0"/>
    <x v="2"/>
    <x v="0"/>
    <n v="0"/>
    <n v="0"/>
    <n v="39"/>
    <n v="8"/>
    <n v="9"/>
    <n v="6"/>
    <n v="23"/>
    <n v="8"/>
    <x v="2"/>
  </r>
  <r>
    <x v="583"/>
    <n v="81975"/>
    <n v="0"/>
    <n v="1"/>
    <n v="2"/>
    <n v="983"/>
    <n v="76"/>
    <n v="184"/>
    <n v="180"/>
    <n v="138"/>
    <n v="27"/>
    <n v="1"/>
    <n v="6"/>
    <n v="3"/>
    <n v="4"/>
    <n v="7"/>
    <n v="0"/>
    <n v="0"/>
    <n v="0"/>
    <n v="0"/>
    <n v="1"/>
    <x v="1"/>
    <n v="0"/>
    <n v="3"/>
    <n v="11"/>
    <n v="0"/>
    <n v="58"/>
    <n v="2699"/>
    <n v="7.3945205479452056"/>
    <n v="1"/>
    <n v="0"/>
    <n v="0"/>
    <n v="0"/>
    <n v="0"/>
    <n v="1"/>
    <n v="0"/>
    <n v="0"/>
    <n v="0"/>
    <n v="0"/>
    <n v="1561"/>
    <n v="1534"/>
    <n v="27"/>
    <n v="1"/>
    <x v="0"/>
    <x v="0"/>
    <x v="3"/>
    <x v="1"/>
    <x v="1"/>
    <x v="1"/>
    <n v="0"/>
    <n v="0"/>
    <n v="21"/>
    <n v="10"/>
    <n v="5"/>
    <n v="9"/>
    <n v="24"/>
    <n v="9"/>
    <x v="0"/>
  </r>
  <r>
    <x v="584"/>
    <n v="57513"/>
    <n v="0"/>
    <n v="0"/>
    <n v="59"/>
    <n v="735"/>
    <n v="40"/>
    <n v="183"/>
    <n v="52"/>
    <n v="20"/>
    <n v="30"/>
    <n v="2"/>
    <n v="9"/>
    <n v="3"/>
    <n v="13"/>
    <n v="6"/>
    <n v="0"/>
    <n v="0"/>
    <n v="0"/>
    <n v="0"/>
    <n v="0"/>
    <x v="0"/>
    <n v="0"/>
    <n v="3"/>
    <n v="11"/>
    <n v="0"/>
    <n v="77"/>
    <n v="2517"/>
    <n v="6.8958904109589039"/>
    <n v="0"/>
    <n v="0"/>
    <n v="0"/>
    <n v="0"/>
    <n v="1"/>
    <n v="0"/>
    <n v="0"/>
    <n v="0"/>
    <n v="0"/>
    <n v="1"/>
    <n v="1030"/>
    <n v="1000"/>
    <n v="30"/>
    <n v="0"/>
    <x v="1"/>
    <x v="1"/>
    <x v="4"/>
    <x v="1"/>
    <x v="2"/>
    <x v="2"/>
    <n v="1"/>
    <n v="0"/>
    <n v="33"/>
    <n v="4"/>
    <n v="9"/>
    <n v="7"/>
    <n v="20"/>
    <n v="7"/>
    <x v="2"/>
  </r>
  <r>
    <x v="585"/>
    <n v="65176"/>
    <n v="0"/>
    <n v="1"/>
    <n v="57"/>
    <n v="960"/>
    <n v="28"/>
    <n v="183"/>
    <n v="220"/>
    <n v="70"/>
    <n v="70"/>
    <n v="4"/>
    <n v="9"/>
    <n v="6"/>
    <n v="6"/>
    <n v="6"/>
    <n v="0"/>
    <n v="0"/>
    <n v="0"/>
    <n v="0"/>
    <n v="0"/>
    <x v="0"/>
    <n v="0"/>
    <n v="3"/>
    <n v="11"/>
    <n v="0"/>
    <n v="51"/>
    <n v="2767"/>
    <n v="7.580821917808219"/>
    <n v="0"/>
    <n v="0"/>
    <n v="0"/>
    <n v="1"/>
    <n v="0"/>
    <n v="0"/>
    <n v="0"/>
    <n v="0"/>
    <n v="1"/>
    <n v="0"/>
    <n v="1461"/>
    <n v="1391"/>
    <n v="70"/>
    <n v="0"/>
    <x v="0"/>
    <x v="0"/>
    <x v="2"/>
    <x v="1"/>
    <x v="2"/>
    <x v="1"/>
    <n v="1"/>
    <n v="0"/>
    <n v="31"/>
    <n v="5"/>
    <n v="9"/>
    <n v="8"/>
    <n v="22"/>
    <n v="8"/>
    <x v="2"/>
  </r>
  <r>
    <x v="586"/>
    <n v="85693"/>
    <n v="0"/>
    <n v="1"/>
    <n v="59"/>
    <n v="386"/>
    <n v="172"/>
    <n v="183"/>
    <n v="185"/>
    <n v="132"/>
    <n v="111"/>
    <n v="2"/>
    <n v="9"/>
    <n v="5"/>
    <n v="11"/>
    <n v="5"/>
    <n v="0"/>
    <n v="0"/>
    <n v="0"/>
    <n v="0"/>
    <n v="0"/>
    <x v="0"/>
    <n v="0"/>
    <n v="3"/>
    <n v="11"/>
    <n v="0"/>
    <n v="41"/>
    <n v="2594"/>
    <n v="7.1068493150684935"/>
    <n v="0"/>
    <n v="0"/>
    <n v="0"/>
    <n v="1"/>
    <n v="0"/>
    <n v="0"/>
    <n v="0"/>
    <n v="1"/>
    <n v="0"/>
    <n v="0"/>
    <n v="1058"/>
    <n v="947"/>
    <n v="111"/>
    <n v="0"/>
    <x v="0"/>
    <x v="0"/>
    <x v="2"/>
    <x v="0"/>
    <x v="1"/>
    <x v="0"/>
    <n v="1"/>
    <n v="0"/>
    <n v="32"/>
    <n v="4"/>
    <n v="9"/>
    <n v="7"/>
    <n v="20"/>
    <n v="7"/>
    <x v="2"/>
  </r>
  <r>
    <x v="587"/>
    <n v="61223"/>
    <n v="0"/>
    <n v="1"/>
    <n v="46"/>
    <n v="709"/>
    <n v="43"/>
    <n v="182"/>
    <n v="42"/>
    <n v="118"/>
    <n v="247"/>
    <n v="2"/>
    <n v="9"/>
    <n v="3"/>
    <n v="4"/>
    <n v="5"/>
    <n v="0"/>
    <n v="0"/>
    <n v="0"/>
    <n v="0"/>
    <n v="0"/>
    <x v="0"/>
    <n v="0"/>
    <n v="3"/>
    <n v="11"/>
    <n v="0"/>
    <n v="53"/>
    <n v="2540"/>
    <n v="6.9589041095890414"/>
    <n v="0"/>
    <n v="1"/>
    <n v="0"/>
    <n v="0"/>
    <n v="0"/>
    <n v="0"/>
    <n v="0"/>
    <n v="1"/>
    <n v="0"/>
    <n v="0"/>
    <n v="1094"/>
    <n v="847"/>
    <n v="247"/>
    <n v="0"/>
    <x v="0"/>
    <x v="0"/>
    <x v="0"/>
    <x v="0"/>
    <x v="2"/>
    <x v="1"/>
    <n v="1"/>
    <n v="0"/>
    <n v="23"/>
    <n v="6"/>
    <n v="6"/>
    <n v="7"/>
    <n v="19"/>
    <n v="7"/>
    <x v="2"/>
  </r>
  <r>
    <x v="588"/>
    <n v="65196"/>
    <n v="0"/>
    <n v="2"/>
    <n v="34"/>
    <n v="743"/>
    <n v="19"/>
    <n v="181"/>
    <n v="12"/>
    <n v="0"/>
    <n v="200"/>
    <n v="2"/>
    <n v="7"/>
    <n v="6"/>
    <n v="11"/>
    <n v="5"/>
    <n v="0"/>
    <n v="0"/>
    <n v="1"/>
    <n v="0"/>
    <n v="0"/>
    <x v="1"/>
    <n v="0"/>
    <n v="3"/>
    <n v="11"/>
    <n v="0"/>
    <n v="62"/>
    <n v="2498"/>
    <n v="6.8438356164383558"/>
    <n v="0"/>
    <n v="0"/>
    <n v="0"/>
    <n v="1"/>
    <n v="0"/>
    <n v="0"/>
    <n v="0"/>
    <n v="1"/>
    <n v="0"/>
    <n v="0"/>
    <n v="955"/>
    <n v="755"/>
    <n v="200"/>
    <n v="1"/>
    <x v="0"/>
    <x v="0"/>
    <x v="2"/>
    <x v="0"/>
    <x v="2"/>
    <x v="2"/>
    <n v="1"/>
    <n v="0"/>
    <n v="31"/>
    <n v="7"/>
    <n v="9"/>
    <n v="7"/>
    <n v="23"/>
    <n v="8"/>
    <x v="2"/>
  </r>
  <r>
    <x v="589"/>
    <n v="67309"/>
    <n v="1"/>
    <n v="1"/>
    <n v="76"/>
    <n v="515"/>
    <n v="47"/>
    <n v="181"/>
    <n v="149"/>
    <n v="95"/>
    <n v="95"/>
    <n v="15"/>
    <n v="9"/>
    <n v="6"/>
    <n v="9"/>
    <n v="7"/>
    <n v="0"/>
    <n v="0"/>
    <n v="0"/>
    <n v="0"/>
    <n v="0"/>
    <x v="0"/>
    <n v="0"/>
    <n v="3"/>
    <n v="11"/>
    <n v="0"/>
    <n v="53"/>
    <n v="2681"/>
    <n v="7.3452054794520549"/>
    <n v="0"/>
    <n v="0"/>
    <n v="0"/>
    <n v="1"/>
    <n v="0"/>
    <n v="1"/>
    <n v="0"/>
    <n v="0"/>
    <n v="0"/>
    <n v="0"/>
    <n v="987"/>
    <n v="892"/>
    <n v="95"/>
    <n v="0"/>
    <x v="0"/>
    <x v="0"/>
    <x v="2"/>
    <x v="1"/>
    <x v="2"/>
    <x v="1"/>
    <n v="1"/>
    <n v="0"/>
    <n v="46"/>
    <n v="3.0000000000000004"/>
    <n v="10"/>
    <n v="7"/>
    <n v="20"/>
    <n v="7"/>
    <x v="2"/>
  </r>
  <r>
    <x v="590"/>
    <n v="32727"/>
    <n v="0"/>
    <n v="0"/>
    <n v="38"/>
    <n v="167"/>
    <n v="13"/>
    <n v="180"/>
    <n v="86"/>
    <n v="13"/>
    <n v="70"/>
    <n v="2"/>
    <n v="7"/>
    <n v="3"/>
    <n v="5"/>
    <n v="8"/>
    <n v="0"/>
    <n v="0"/>
    <n v="0"/>
    <n v="0"/>
    <n v="0"/>
    <x v="0"/>
    <n v="0"/>
    <n v="3"/>
    <n v="11"/>
    <n v="0"/>
    <n v="55"/>
    <n v="2829"/>
    <n v="7.7506849315068491"/>
    <n v="0"/>
    <n v="0"/>
    <n v="0"/>
    <n v="1"/>
    <n v="0"/>
    <n v="0"/>
    <n v="0"/>
    <n v="0"/>
    <n v="0"/>
    <n v="1"/>
    <n v="459"/>
    <n v="389"/>
    <n v="70"/>
    <n v="0"/>
    <x v="1"/>
    <x v="1"/>
    <x v="2"/>
    <x v="1"/>
    <x v="0"/>
    <x v="1"/>
    <n v="1"/>
    <n v="0"/>
    <n v="25"/>
    <n v="7"/>
    <n v="7"/>
    <n v="5"/>
    <n v="19"/>
    <n v="7"/>
    <x v="2"/>
  </r>
  <r>
    <x v="591"/>
    <n v="45736"/>
    <n v="0"/>
    <n v="1"/>
    <n v="92"/>
    <n v="188"/>
    <n v="3"/>
    <n v="180"/>
    <n v="20"/>
    <n v="3"/>
    <n v="43"/>
    <n v="5"/>
    <n v="7"/>
    <n v="1"/>
    <n v="6"/>
    <n v="7"/>
    <n v="0"/>
    <n v="0"/>
    <n v="0"/>
    <n v="0"/>
    <n v="0"/>
    <x v="0"/>
    <n v="0"/>
    <n v="3"/>
    <n v="11"/>
    <n v="0"/>
    <n v="66"/>
    <n v="2499"/>
    <n v="6.8465753424657532"/>
    <n v="0"/>
    <n v="1"/>
    <n v="0"/>
    <n v="0"/>
    <n v="0"/>
    <n v="0"/>
    <n v="0"/>
    <n v="0"/>
    <n v="1"/>
    <n v="0"/>
    <n v="394"/>
    <n v="351"/>
    <n v="43"/>
    <n v="0"/>
    <x v="0"/>
    <x v="0"/>
    <x v="0"/>
    <x v="1"/>
    <x v="3"/>
    <x v="2"/>
    <n v="1"/>
    <n v="1"/>
    <n v="26"/>
    <n v="0.99999999999999978"/>
    <n v="7"/>
    <n v="5"/>
    <n v="13"/>
    <n v="3"/>
    <x v="3"/>
  </r>
  <r>
    <x v="592"/>
    <n v="75032"/>
    <n v="0"/>
    <n v="1"/>
    <n v="74"/>
    <n v="952"/>
    <n v="12"/>
    <n v="180"/>
    <n v="47"/>
    <n v="12"/>
    <n v="12"/>
    <n v="2"/>
    <n v="5"/>
    <n v="4"/>
    <n v="9"/>
    <n v="3"/>
    <n v="0"/>
    <n v="0"/>
    <n v="0"/>
    <n v="0"/>
    <n v="0"/>
    <x v="0"/>
    <n v="0"/>
    <n v="3"/>
    <n v="11"/>
    <n v="0"/>
    <n v="61"/>
    <n v="2586"/>
    <n v="7.0849315068493155"/>
    <n v="0"/>
    <n v="1"/>
    <n v="0"/>
    <n v="0"/>
    <n v="0"/>
    <n v="0"/>
    <n v="0"/>
    <n v="0"/>
    <n v="0"/>
    <n v="1"/>
    <n v="1203"/>
    <n v="1191"/>
    <n v="12"/>
    <n v="0"/>
    <x v="0"/>
    <x v="0"/>
    <x v="0"/>
    <x v="1"/>
    <x v="1"/>
    <x v="2"/>
    <n v="1"/>
    <n v="0"/>
    <n v="23"/>
    <n v="3.0000000000000004"/>
    <n v="6"/>
    <n v="8"/>
    <n v="17"/>
    <n v="6"/>
    <x v="1"/>
  </r>
  <r>
    <x v="593"/>
    <n v="75283"/>
    <n v="1"/>
    <n v="2"/>
    <n v="26"/>
    <n v="733"/>
    <n v="9"/>
    <n v="180"/>
    <n v="12"/>
    <n v="19"/>
    <n v="66"/>
    <n v="11"/>
    <n v="6"/>
    <n v="3"/>
    <n v="5"/>
    <n v="4"/>
    <n v="0"/>
    <n v="0"/>
    <n v="0"/>
    <n v="0"/>
    <n v="0"/>
    <x v="0"/>
    <n v="0"/>
    <n v="3"/>
    <n v="11"/>
    <n v="0"/>
    <n v="63"/>
    <n v="2618"/>
    <n v="7.1726027397260275"/>
    <n v="0"/>
    <n v="1"/>
    <n v="0"/>
    <n v="0"/>
    <n v="0"/>
    <n v="0"/>
    <n v="0"/>
    <n v="0"/>
    <n v="0"/>
    <n v="1"/>
    <n v="953"/>
    <n v="887"/>
    <n v="66"/>
    <n v="0"/>
    <x v="0"/>
    <x v="0"/>
    <x v="0"/>
    <x v="1"/>
    <x v="1"/>
    <x v="2"/>
    <n v="0"/>
    <n v="0"/>
    <n v="29"/>
    <n v="8"/>
    <n v="8"/>
    <n v="7"/>
    <n v="23"/>
    <n v="8"/>
    <x v="2"/>
  </r>
  <r>
    <x v="594"/>
    <n v="58684"/>
    <n v="0"/>
    <n v="0"/>
    <n v="71"/>
    <n v="479"/>
    <n v="35"/>
    <n v="179"/>
    <n v="28"/>
    <n v="7"/>
    <n v="85"/>
    <n v="1"/>
    <n v="5"/>
    <n v="3"/>
    <n v="12"/>
    <n v="2"/>
    <n v="0"/>
    <n v="0"/>
    <n v="0"/>
    <n v="1"/>
    <n v="0"/>
    <x v="1"/>
    <n v="0"/>
    <n v="3"/>
    <n v="11"/>
    <n v="0"/>
    <n v="39"/>
    <n v="2172"/>
    <n v="5.9506849315068493"/>
    <n v="0"/>
    <n v="0"/>
    <n v="1"/>
    <n v="0"/>
    <n v="0"/>
    <n v="0"/>
    <n v="0"/>
    <n v="1"/>
    <n v="0"/>
    <n v="0"/>
    <n v="728"/>
    <n v="643"/>
    <n v="85"/>
    <n v="1"/>
    <x v="1"/>
    <x v="1"/>
    <x v="1"/>
    <x v="0"/>
    <x v="2"/>
    <x v="3"/>
    <n v="1"/>
    <n v="0"/>
    <n v="23"/>
    <n v="3.0000000000000004"/>
    <n v="6"/>
    <n v="6"/>
    <n v="15"/>
    <n v="4"/>
    <x v="3"/>
  </r>
  <r>
    <x v="595"/>
    <n v="66033"/>
    <n v="0"/>
    <n v="1"/>
    <n v="76"/>
    <n v="293"/>
    <n v="35"/>
    <n v="179"/>
    <n v="46"/>
    <n v="59"/>
    <n v="65"/>
    <n v="2"/>
    <n v="8"/>
    <n v="3"/>
    <n v="7"/>
    <n v="7"/>
    <n v="0"/>
    <n v="0"/>
    <n v="0"/>
    <n v="0"/>
    <n v="0"/>
    <x v="0"/>
    <n v="0"/>
    <n v="3"/>
    <n v="11"/>
    <n v="0"/>
    <n v="63"/>
    <n v="2684"/>
    <n v="7.353424657534247"/>
    <n v="0"/>
    <n v="0"/>
    <n v="0"/>
    <n v="0"/>
    <n v="1"/>
    <n v="0"/>
    <n v="0"/>
    <n v="1"/>
    <n v="0"/>
    <n v="0"/>
    <n v="612"/>
    <n v="547"/>
    <n v="65"/>
    <n v="0"/>
    <x v="0"/>
    <x v="0"/>
    <x v="4"/>
    <x v="0"/>
    <x v="2"/>
    <x v="2"/>
    <n v="1"/>
    <n v="0"/>
    <n v="27"/>
    <n v="3.0000000000000004"/>
    <n v="7"/>
    <n v="6"/>
    <n v="16"/>
    <n v="5"/>
    <x v="1"/>
  </r>
  <r>
    <x v="596"/>
    <n v="72967"/>
    <n v="0"/>
    <n v="1"/>
    <n v="1"/>
    <n v="158"/>
    <n v="35"/>
    <n v="179"/>
    <n v="0"/>
    <n v="0"/>
    <n v="125"/>
    <n v="2"/>
    <n v="7"/>
    <n v="2"/>
    <n v="8"/>
    <n v="5"/>
    <n v="0"/>
    <n v="0"/>
    <n v="1"/>
    <n v="0"/>
    <n v="0"/>
    <x v="1"/>
    <n v="0"/>
    <n v="3"/>
    <n v="11"/>
    <n v="1"/>
    <n v="50"/>
    <n v="2720"/>
    <n v="7.4520547945205475"/>
    <n v="1"/>
    <n v="0"/>
    <n v="0"/>
    <n v="0"/>
    <n v="0"/>
    <n v="0"/>
    <n v="0"/>
    <n v="1"/>
    <n v="0"/>
    <n v="0"/>
    <n v="372"/>
    <n v="247"/>
    <n v="125"/>
    <n v="1"/>
    <x v="0"/>
    <x v="0"/>
    <x v="3"/>
    <x v="0"/>
    <x v="2"/>
    <x v="0"/>
    <n v="0"/>
    <n v="0"/>
    <n v="24"/>
    <n v="10"/>
    <n v="6"/>
    <n v="5"/>
    <n v="21"/>
    <n v="8"/>
    <x v="2"/>
  </r>
  <r>
    <x v="597"/>
    <n v="75027"/>
    <n v="0"/>
    <n v="1"/>
    <n v="74"/>
    <n v="925"/>
    <n v="64"/>
    <n v="179"/>
    <n v="133"/>
    <n v="12"/>
    <n v="77"/>
    <n v="2"/>
    <n v="9"/>
    <n v="4"/>
    <n v="6"/>
    <n v="5"/>
    <n v="0"/>
    <n v="0"/>
    <n v="0"/>
    <n v="0"/>
    <n v="0"/>
    <x v="0"/>
    <n v="0"/>
    <n v="3"/>
    <n v="11"/>
    <n v="0"/>
    <n v="67"/>
    <n v="2695"/>
    <n v="7.3835616438356162"/>
    <n v="0"/>
    <n v="1"/>
    <n v="0"/>
    <n v="0"/>
    <n v="0"/>
    <n v="0"/>
    <n v="0"/>
    <n v="1"/>
    <n v="0"/>
    <n v="0"/>
    <n v="1313"/>
    <n v="1236"/>
    <n v="77"/>
    <n v="0"/>
    <x v="0"/>
    <x v="0"/>
    <x v="0"/>
    <x v="0"/>
    <x v="1"/>
    <x v="2"/>
    <n v="1"/>
    <n v="0"/>
    <n v="26"/>
    <n v="3.0000000000000004"/>
    <n v="7"/>
    <n v="8"/>
    <n v="18"/>
    <n v="6"/>
    <x v="1"/>
  </r>
  <r>
    <x v="598"/>
    <n v="45938"/>
    <n v="0"/>
    <n v="0"/>
    <n v="46"/>
    <n v="273"/>
    <n v="11"/>
    <n v="178"/>
    <n v="62"/>
    <n v="83"/>
    <n v="29"/>
    <n v="2"/>
    <n v="8"/>
    <n v="4"/>
    <n v="6"/>
    <n v="6"/>
    <n v="0"/>
    <n v="0"/>
    <n v="0"/>
    <n v="0"/>
    <n v="0"/>
    <x v="0"/>
    <n v="0"/>
    <n v="3"/>
    <n v="11"/>
    <n v="0"/>
    <n v="59"/>
    <n v="2397"/>
    <n v="6.5671232876712331"/>
    <n v="0"/>
    <n v="0"/>
    <n v="1"/>
    <n v="0"/>
    <n v="0"/>
    <n v="0"/>
    <n v="0"/>
    <n v="1"/>
    <n v="0"/>
    <n v="0"/>
    <n v="607"/>
    <n v="578"/>
    <n v="29"/>
    <n v="0"/>
    <x v="1"/>
    <x v="1"/>
    <x v="1"/>
    <x v="0"/>
    <x v="3"/>
    <x v="1"/>
    <n v="1"/>
    <n v="0"/>
    <n v="26"/>
    <n v="6"/>
    <n v="7"/>
    <n v="6"/>
    <n v="19"/>
    <n v="7"/>
    <x v="2"/>
  </r>
  <r>
    <x v="599"/>
    <n v="57867"/>
    <n v="1"/>
    <n v="0"/>
    <n v="48"/>
    <n v="344"/>
    <n v="35"/>
    <n v="178"/>
    <n v="15"/>
    <n v="23"/>
    <n v="17"/>
    <n v="7"/>
    <n v="7"/>
    <n v="2"/>
    <n v="9"/>
    <n v="6"/>
    <n v="0"/>
    <n v="0"/>
    <n v="0"/>
    <n v="0"/>
    <n v="0"/>
    <x v="0"/>
    <n v="0"/>
    <n v="3"/>
    <n v="11"/>
    <n v="0"/>
    <n v="42"/>
    <n v="2430"/>
    <n v="6.6575342465753424"/>
    <n v="0"/>
    <n v="0"/>
    <n v="0"/>
    <n v="1"/>
    <n v="0"/>
    <n v="0"/>
    <n v="0"/>
    <n v="1"/>
    <n v="0"/>
    <n v="0"/>
    <n v="595"/>
    <n v="578"/>
    <n v="17"/>
    <n v="0"/>
    <x v="0"/>
    <x v="0"/>
    <x v="2"/>
    <x v="0"/>
    <x v="2"/>
    <x v="0"/>
    <n v="1"/>
    <n v="0"/>
    <n v="31"/>
    <n v="6"/>
    <n v="9"/>
    <n v="6"/>
    <n v="21"/>
    <n v="8"/>
    <x v="2"/>
  </r>
  <r>
    <x v="600"/>
    <n v="59666"/>
    <n v="1"/>
    <n v="1"/>
    <n v="87"/>
    <n v="623"/>
    <n v="53"/>
    <n v="178"/>
    <n v="23"/>
    <n v="17"/>
    <n v="133"/>
    <n v="7"/>
    <n v="3"/>
    <n v="2"/>
    <n v="8"/>
    <n v="8"/>
    <n v="0"/>
    <n v="0"/>
    <n v="0"/>
    <n v="1"/>
    <n v="0"/>
    <x v="1"/>
    <n v="0"/>
    <n v="3"/>
    <n v="11"/>
    <n v="0"/>
    <n v="48"/>
    <n v="2623"/>
    <n v="7.1863013698630134"/>
    <n v="0"/>
    <n v="1"/>
    <n v="0"/>
    <n v="0"/>
    <n v="0"/>
    <n v="0"/>
    <n v="0"/>
    <n v="1"/>
    <n v="0"/>
    <n v="0"/>
    <n v="894"/>
    <n v="761"/>
    <n v="133"/>
    <n v="1"/>
    <x v="0"/>
    <x v="0"/>
    <x v="0"/>
    <x v="0"/>
    <x v="2"/>
    <x v="0"/>
    <n v="1"/>
    <n v="0"/>
    <n v="28"/>
    <n v="1.9999999999999996"/>
    <n v="8"/>
    <n v="7"/>
    <n v="17"/>
    <n v="6"/>
    <x v="1"/>
  </r>
  <r>
    <x v="601"/>
    <n v="71866"/>
    <n v="0"/>
    <n v="1"/>
    <n v="85"/>
    <n v="184"/>
    <n v="178"/>
    <n v="178"/>
    <n v="103"/>
    <n v="39"/>
    <n v="33"/>
    <n v="1"/>
    <n v="6"/>
    <n v="3"/>
    <n v="10"/>
    <n v="3"/>
    <n v="0"/>
    <n v="0"/>
    <n v="0"/>
    <n v="0"/>
    <n v="0"/>
    <x v="0"/>
    <n v="0"/>
    <n v="3"/>
    <n v="11"/>
    <n v="0"/>
    <n v="64"/>
    <n v="2345"/>
    <n v="6.4246575342465757"/>
    <n v="0"/>
    <n v="1"/>
    <n v="0"/>
    <n v="0"/>
    <n v="0"/>
    <n v="0"/>
    <n v="0"/>
    <n v="1"/>
    <n v="0"/>
    <n v="0"/>
    <n v="682"/>
    <n v="649"/>
    <n v="33"/>
    <n v="0"/>
    <x v="0"/>
    <x v="0"/>
    <x v="0"/>
    <x v="0"/>
    <x v="2"/>
    <x v="2"/>
    <n v="1"/>
    <n v="0"/>
    <n v="23"/>
    <n v="1.9999999999999996"/>
    <n v="6"/>
    <n v="6"/>
    <n v="14"/>
    <n v="4"/>
    <x v="3"/>
  </r>
  <r>
    <x v="602"/>
    <n v="57957"/>
    <n v="0"/>
    <n v="1"/>
    <n v="24"/>
    <n v="290"/>
    <n v="59"/>
    <n v="177"/>
    <n v="77"/>
    <n v="5"/>
    <n v="29"/>
    <n v="7"/>
    <n v="4"/>
    <n v="6"/>
    <n v="8"/>
    <n v="3"/>
    <n v="0"/>
    <n v="0"/>
    <n v="0"/>
    <n v="0"/>
    <n v="0"/>
    <x v="0"/>
    <n v="1"/>
    <n v="3"/>
    <n v="11"/>
    <n v="0"/>
    <n v="61"/>
    <n v="2473"/>
    <n v="6.7753424657534245"/>
    <n v="0"/>
    <n v="0"/>
    <n v="0"/>
    <n v="1"/>
    <n v="0"/>
    <n v="0"/>
    <n v="0"/>
    <n v="1"/>
    <n v="0"/>
    <n v="0"/>
    <n v="608"/>
    <n v="579"/>
    <n v="29"/>
    <n v="0"/>
    <x v="0"/>
    <x v="0"/>
    <x v="2"/>
    <x v="0"/>
    <x v="2"/>
    <x v="2"/>
    <n v="0"/>
    <n v="0"/>
    <n v="28"/>
    <n v="8"/>
    <n v="8"/>
    <n v="6"/>
    <n v="22"/>
    <n v="8"/>
    <x v="2"/>
  </r>
  <r>
    <x v="603"/>
    <n v="65073"/>
    <n v="0"/>
    <n v="0"/>
    <n v="65"/>
    <n v="629"/>
    <n v="17"/>
    <n v="177"/>
    <n v="69"/>
    <n v="0"/>
    <n v="8"/>
    <n v="1"/>
    <n v="5"/>
    <n v="3"/>
    <n v="5"/>
    <n v="2"/>
    <n v="0"/>
    <n v="0"/>
    <n v="0"/>
    <n v="0"/>
    <n v="0"/>
    <x v="0"/>
    <n v="1"/>
    <n v="3"/>
    <n v="11"/>
    <n v="0"/>
    <n v="77"/>
    <n v="2472"/>
    <n v="6.7726027397260271"/>
    <n v="0"/>
    <n v="1"/>
    <n v="0"/>
    <n v="0"/>
    <n v="0"/>
    <n v="0"/>
    <n v="0"/>
    <n v="0"/>
    <n v="1"/>
    <n v="0"/>
    <n v="892"/>
    <n v="884"/>
    <n v="8"/>
    <n v="0"/>
    <x v="1"/>
    <x v="1"/>
    <x v="0"/>
    <x v="1"/>
    <x v="2"/>
    <x v="2"/>
    <n v="1"/>
    <n v="0"/>
    <n v="16"/>
    <n v="4"/>
    <n v="3"/>
    <n v="7"/>
    <n v="14"/>
    <n v="4"/>
    <x v="3"/>
  </r>
  <r>
    <x v="604"/>
    <n v="71427"/>
    <n v="2"/>
    <n v="0"/>
    <n v="26"/>
    <n v="212"/>
    <n v="123"/>
    <n v="177"/>
    <n v="15"/>
    <n v="64"/>
    <n v="23"/>
    <n v="2"/>
    <n v="8"/>
    <n v="2"/>
    <n v="8"/>
    <n v="4"/>
    <n v="0"/>
    <n v="0"/>
    <n v="0"/>
    <n v="0"/>
    <n v="0"/>
    <x v="0"/>
    <n v="0"/>
    <n v="3"/>
    <n v="11"/>
    <n v="0"/>
    <n v="42"/>
    <n v="2268"/>
    <n v="6.2136986301369861"/>
    <n v="0"/>
    <n v="1"/>
    <n v="0"/>
    <n v="0"/>
    <n v="0"/>
    <n v="0"/>
    <n v="0"/>
    <n v="1"/>
    <n v="0"/>
    <n v="0"/>
    <n v="591"/>
    <n v="568"/>
    <n v="23"/>
    <n v="0"/>
    <x v="0"/>
    <x v="0"/>
    <x v="0"/>
    <x v="0"/>
    <x v="2"/>
    <x v="0"/>
    <n v="0"/>
    <n v="0"/>
    <n v="24"/>
    <n v="8"/>
    <n v="6"/>
    <n v="6"/>
    <n v="20"/>
    <n v="7"/>
    <x v="2"/>
  </r>
  <r>
    <x v="605"/>
    <n v="76532"/>
    <n v="1"/>
    <n v="1"/>
    <n v="38"/>
    <n v="355"/>
    <n v="30"/>
    <n v="177"/>
    <n v="90"/>
    <n v="138"/>
    <n v="30"/>
    <n v="4"/>
    <n v="9"/>
    <n v="5"/>
    <n v="7"/>
    <n v="5"/>
    <n v="0"/>
    <n v="0"/>
    <n v="0"/>
    <n v="0"/>
    <n v="0"/>
    <x v="0"/>
    <n v="0"/>
    <n v="3"/>
    <n v="11"/>
    <n v="0"/>
    <n v="45"/>
    <n v="2452"/>
    <n v="6.7178082191780826"/>
    <n v="0"/>
    <n v="0"/>
    <n v="0"/>
    <n v="1"/>
    <n v="0"/>
    <n v="0"/>
    <n v="0"/>
    <n v="1"/>
    <n v="0"/>
    <n v="0"/>
    <n v="790"/>
    <n v="760"/>
    <n v="30"/>
    <n v="0"/>
    <x v="0"/>
    <x v="0"/>
    <x v="2"/>
    <x v="0"/>
    <x v="1"/>
    <x v="0"/>
    <n v="1"/>
    <n v="0"/>
    <n v="30"/>
    <n v="7"/>
    <n v="8"/>
    <n v="6"/>
    <n v="21"/>
    <n v="8"/>
    <x v="2"/>
  </r>
  <r>
    <x v="606"/>
    <n v="59925"/>
    <n v="0"/>
    <n v="1"/>
    <n v="83"/>
    <n v="473"/>
    <n v="21"/>
    <n v="176"/>
    <n v="19"/>
    <n v="21"/>
    <n v="56"/>
    <n v="3"/>
    <n v="9"/>
    <n v="2"/>
    <n v="9"/>
    <n v="6"/>
    <n v="0"/>
    <n v="0"/>
    <n v="0"/>
    <n v="0"/>
    <n v="0"/>
    <x v="0"/>
    <n v="0"/>
    <n v="3"/>
    <n v="11"/>
    <n v="0"/>
    <n v="65"/>
    <n v="2735"/>
    <n v="7.493150684931507"/>
    <n v="0"/>
    <n v="0"/>
    <n v="0"/>
    <n v="1"/>
    <n v="0"/>
    <n v="0"/>
    <n v="0"/>
    <n v="1"/>
    <n v="0"/>
    <n v="0"/>
    <n v="710"/>
    <n v="654"/>
    <n v="56"/>
    <n v="0"/>
    <x v="0"/>
    <x v="0"/>
    <x v="2"/>
    <x v="0"/>
    <x v="2"/>
    <x v="2"/>
    <n v="1"/>
    <n v="0"/>
    <n v="29"/>
    <n v="1.9999999999999996"/>
    <n v="8"/>
    <n v="6"/>
    <n v="16"/>
    <n v="5"/>
    <x v="1"/>
  </r>
  <r>
    <x v="607"/>
    <n v="67384"/>
    <n v="0"/>
    <n v="1"/>
    <n v="32"/>
    <n v="957"/>
    <n v="40"/>
    <n v="175"/>
    <n v="158"/>
    <n v="53"/>
    <n v="107"/>
    <n v="2"/>
    <n v="7"/>
    <n v="8"/>
    <n v="5"/>
    <n v="5"/>
    <n v="0"/>
    <n v="0"/>
    <n v="0"/>
    <n v="1"/>
    <n v="0"/>
    <x v="1"/>
    <n v="0"/>
    <n v="3"/>
    <n v="11"/>
    <n v="0"/>
    <n v="50"/>
    <n v="2755"/>
    <n v="7.5479452054794525"/>
    <n v="0"/>
    <n v="0"/>
    <n v="1"/>
    <n v="0"/>
    <n v="0"/>
    <n v="0"/>
    <n v="0"/>
    <n v="1"/>
    <n v="0"/>
    <n v="0"/>
    <n v="1383"/>
    <n v="1276"/>
    <n v="107"/>
    <n v="1"/>
    <x v="0"/>
    <x v="0"/>
    <x v="1"/>
    <x v="0"/>
    <x v="2"/>
    <x v="0"/>
    <n v="1"/>
    <n v="0"/>
    <n v="27"/>
    <n v="7"/>
    <n v="7"/>
    <n v="8"/>
    <n v="22"/>
    <n v="8"/>
    <x v="2"/>
  </r>
  <r>
    <x v="608"/>
    <n v="69805"/>
    <n v="0"/>
    <n v="1"/>
    <n v="50"/>
    <n v="750"/>
    <n v="71"/>
    <n v="174"/>
    <n v="13"/>
    <n v="10"/>
    <n v="20"/>
    <n v="2"/>
    <n v="6"/>
    <n v="8"/>
    <n v="11"/>
    <n v="2"/>
    <n v="0"/>
    <n v="0"/>
    <n v="0"/>
    <n v="0"/>
    <n v="0"/>
    <x v="0"/>
    <n v="0"/>
    <n v="3"/>
    <n v="11"/>
    <n v="0"/>
    <n v="68"/>
    <n v="2318"/>
    <n v="6.3506849315068497"/>
    <n v="0"/>
    <n v="0"/>
    <n v="0"/>
    <n v="1"/>
    <n v="0"/>
    <n v="0"/>
    <n v="0"/>
    <n v="0"/>
    <n v="0"/>
    <n v="1"/>
    <n v="1018"/>
    <n v="998"/>
    <n v="20"/>
    <n v="0"/>
    <x v="0"/>
    <x v="0"/>
    <x v="2"/>
    <x v="1"/>
    <x v="2"/>
    <x v="2"/>
    <n v="1"/>
    <n v="0"/>
    <n v="29"/>
    <n v="5"/>
    <n v="8"/>
    <n v="7"/>
    <n v="20"/>
    <n v="7"/>
    <x v="2"/>
  </r>
  <r>
    <x v="609"/>
    <n v="56320"/>
    <n v="0"/>
    <n v="1"/>
    <n v="11"/>
    <n v="201"/>
    <n v="53"/>
    <n v="172"/>
    <n v="116"/>
    <n v="77"/>
    <n v="83"/>
    <n v="3"/>
    <n v="5"/>
    <n v="4"/>
    <n v="9"/>
    <n v="4"/>
    <n v="0"/>
    <n v="0"/>
    <n v="0"/>
    <n v="0"/>
    <n v="0"/>
    <x v="0"/>
    <n v="0"/>
    <n v="3"/>
    <n v="11"/>
    <n v="0"/>
    <n v="53"/>
    <n v="2606"/>
    <n v="7.13972602739726"/>
    <n v="0"/>
    <n v="1"/>
    <n v="0"/>
    <n v="0"/>
    <n v="0"/>
    <n v="0"/>
    <n v="0"/>
    <n v="0"/>
    <n v="0"/>
    <n v="1"/>
    <n v="619"/>
    <n v="536"/>
    <n v="83"/>
    <n v="0"/>
    <x v="0"/>
    <x v="0"/>
    <x v="0"/>
    <x v="1"/>
    <x v="2"/>
    <x v="1"/>
    <n v="0"/>
    <n v="0"/>
    <n v="25"/>
    <n v="9"/>
    <n v="7"/>
    <n v="6"/>
    <n v="22"/>
    <n v="8"/>
    <x v="2"/>
  </r>
  <r>
    <x v="610"/>
    <n v="64474"/>
    <n v="0"/>
    <n v="1"/>
    <n v="59"/>
    <n v="381"/>
    <n v="35"/>
    <n v="172"/>
    <n v="56"/>
    <n v="86"/>
    <n v="93"/>
    <n v="2"/>
    <n v="8"/>
    <n v="2"/>
    <n v="10"/>
    <n v="5"/>
    <n v="0"/>
    <n v="0"/>
    <n v="0"/>
    <n v="0"/>
    <n v="0"/>
    <x v="0"/>
    <n v="0"/>
    <n v="3"/>
    <n v="11"/>
    <n v="0"/>
    <n v="48"/>
    <n v="2409"/>
    <n v="6.6"/>
    <n v="0"/>
    <n v="0"/>
    <n v="0"/>
    <n v="1"/>
    <n v="0"/>
    <n v="0"/>
    <n v="0"/>
    <n v="1"/>
    <n v="0"/>
    <n v="0"/>
    <n v="730"/>
    <n v="637"/>
    <n v="93"/>
    <n v="0"/>
    <x v="0"/>
    <x v="0"/>
    <x v="2"/>
    <x v="0"/>
    <x v="2"/>
    <x v="0"/>
    <n v="1"/>
    <n v="0"/>
    <n v="27"/>
    <n v="4"/>
    <n v="7"/>
    <n v="6"/>
    <n v="17"/>
    <n v="6"/>
    <x v="1"/>
  </r>
  <r>
    <x v="611"/>
    <n v="41443"/>
    <n v="1"/>
    <n v="0"/>
    <n v="79"/>
    <n v="171"/>
    <n v="7"/>
    <n v="171"/>
    <n v="25"/>
    <n v="19"/>
    <n v="89"/>
    <n v="6"/>
    <n v="8"/>
    <n v="1"/>
    <n v="5"/>
    <n v="8"/>
    <n v="0"/>
    <n v="0"/>
    <n v="0"/>
    <n v="0"/>
    <n v="0"/>
    <x v="0"/>
    <n v="0"/>
    <n v="3"/>
    <n v="11"/>
    <n v="0"/>
    <n v="43"/>
    <n v="2248"/>
    <n v="6.1589041095890407"/>
    <n v="0"/>
    <n v="1"/>
    <n v="0"/>
    <n v="0"/>
    <n v="0"/>
    <n v="0"/>
    <n v="0"/>
    <n v="1"/>
    <n v="0"/>
    <n v="0"/>
    <n v="393"/>
    <n v="304"/>
    <n v="89"/>
    <n v="0"/>
    <x v="0"/>
    <x v="0"/>
    <x v="0"/>
    <x v="0"/>
    <x v="3"/>
    <x v="0"/>
    <n v="1"/>
    <n v="0"/>
    <n v="28"/>
    <n v="3.0000000000000004"/>
    <n v="8"/>
    <n v="5"/>
    <n v="16"/>
    <n v="5"/>
    <x v="1"/>
  </r>
  <r>
    <x v="612"/>
    <n v="49854"/>
    <n v="1"/>
    <n v="0"/>
    <n v="63"/>
    <n v="123"/>
    <n v="17"/>
    <n v="171"/>
    <n v="39"/>
    <n v="0"/>
    <n v="30"/>
    <n v="5"/>
    <n v="6"/>
    <n v="2"/>
    <n v="5"/>
    <n v="6"/>
    <n v="0"/>
    <n v="0"/>
    <n v="0"/>
    <n v="0"/>
    <n v="0"/>
    <x v="0"/>
    <n v="0"/>
    <n v="3"/>
    <n v="11"/>
    <n v="0"/>
    <n v="48"/>
    <n v="2390"/>
    <n v="6.5479452054794525"/>
    <n v="0"/>
    <n v="0"/>
    <n v="0"/>
    <n v="1"/>
    <n v="0"/>
    <n v="0"/>
    <n v="0"/>
    <n v="0"/>
    <n v="1"/>
    <n v="0"/>
    <n v="350"/>
    <n v="320"/>
    <n v="30"/>
    <n v="0"/>
    <x v="0"/>
    <x v="0"/>
    <x v="2"/>
    <x v="1"/>
    <x v="3"/>
    <x v="0"/>
    <n v="1"/>
    <n v="0"/>
    <n v="24"/>
    <n v="4"/>
    <n v="6"/>
    <n v="5"/>
    <n v="15"/>
    <n v="4"/>
    <x v="3"/>
  </r>
  <r>
    <x v="613"/>
    <n v="54450"/>
    <n v="1"/>
    <n v="1"/>
    <n v="0"/>
    <n v="454"/>
    <n v="0"/>
    <n v="171"/>
    <n v="8"/>
    <n v="19"/>
    <n v="32"/>
    <n v="12"/>
    <n v="9"/>
    <n v="2"/>
    <n v="8"/>
    <n v="8"/>
    <n v="0"/>
    <n v="0"/>
    <n v="0"/>
    <n v="0"/>
    <n v="0"/>
    <x v="0"/>
    <n v="0"/>
    <n v="3"/>
    <n v="11"/>
    <n v="0"/>
    <n v="64"/>
    <n v="2812"/>
    <n v="7.7041095890410958"/>
    <n v="0"/>
    <n v="0"/>
    <n v="0"/>
    <n v="1"/>
    <n v="0"/>
    <n v="0"/>
    <n v="0"/>
    <n v="1"/>
    <n v="0"/>
    <n v="0"/>
    <n v="652"/>
    <n v="620"/>
    <n v="32"/>
    <n v="0"/>
    <x v="0"/>
    <x v="0"/>
    <x v="2"/>
    <x v="0"/>
    <x v="2"/>
    <x v="2"/>
    <n v="0"/>
    <n v="0"/>
    <n v="39"/>
    <n v="10"/>
    <n v="9"/>
    <n v="6"/>
    <n v="25"/>
    <n v="9"/>
    <x v="0"/>
  </r>
  <r>
    <x v="614"/>
    <n v="70647"/>
    <n v="0"/>
    <n v="1"/>
    <n v="65"/>
    <n v="561"/>
    <n v="85"/>
    <n v="171"/>
    <n v="25"/>
    <n v="123"/>
    <n v="114"/>
    <n v="2"/>
    <n v="4"/>
    <n v="7"/>
    <n v="13"/>
    <n v="2"/>
    <n v="0"/>
    <n v="0"/>
    <n v="0"/>
    <n v="0"/>
    <n v="0"/>
    <x v="0"/>
    <n v="0"/>
    <n v="3"/>
    <n v="11"/>
    <n v="0"/>
    <n v="53"/>
    <n v="2805"/>
    <n v="7.6849315068493151"/>
    <n v="1"/>
    <n v="0"/>
    <n v="0"/>
    <n v="0"/>
    <n v="0"/>
    <n v="0"/>
    <n v="0"/>
    <n v="1"/>
    <n v="0"/>
    <n v="0"/>
    <n v="965"/>
    <n v="851"/>
    <n v="114"/>
    <n v="0"/>
    <x v="0"/>
    <x v="0"/>
    <x v="3"/>
    <x v="0"/>
    <x v="2"/>
    <x v="1"/>
    <n v="1"/>
    <n v="0"/>
    <n v="28"/>
    <n v="4"/>
    <n v="8"/>
    <n v="7"/>
    <n v="19"/>
    <n v="7"/>
    <x v="2"/>
  </r>
  <r>
    <x v="615"/>
    <n v="72117"/>
    <n v="0"/>
    <n v="1"/>
    <n v="34"/>
    <n v="707"/>
    <n v="20"/>
    <n v="171"/>
    <n v="65"/>
    <n v="60"/>
    <n v="50"/>
    <n v="1"/>
    <n v="9"/>
    <n v="7"/>
    <n v="9"/>
    <n v="5"/>
    <n v="0"/>
    <n v="0"/>
    <n v="0"/>
    <n v="0"/>
    <n v="0"/>
    <x v="0"/>
    <n v="0"/>
    <n v="3"/>
    <n v="11"/>
    <n v="0"/>
    <n v="43"/>
    <n v="2472"/>
    <n v="6.7726027397260271"/>
    <n v="0"/>
    <n v="1"/>
    <n v="0"/>
    <n v="0"/>
    <n v="0"/>
    <n v="0"/>
    <n v="0"/>
    <n v="1"/>
    <n v="0"/>
    <n v="0"/>
    <n v="1023"/>
    <n v="973"/>
    <n v="50"/>
    <n v="0"/>
    <x v="0"/>
    <x v="0"/>
    <x v="0"/>
    <x v="0"/>
    <x v="2"/>
    <x v="0"/>
    <n v="1"/>
    <n v="0"/>
    <n v="31"/>
    <n v="7"/>
    <n v="9"/>
    <n v="7"/>
    <n v="23"/>
    <n v="8"/>
    <x v="2"/>
  </r>
  <r>
    <x v="616"/>
    <n v="75315"/>
    <n v="0"/>
    <n v="1"/>
    <n v="14"/>
    <n v="459"/>
    <n v="15"/>
    <n v="171"/>
    <n v="142"/>
    <n v="23"/>
    <n v="31"/>
    <n v="2"/>
    <n v="5"/>
    <n v="4"/>
    <n v="12"/>
    <n v="2"/>
    <n v="0"/>
    <n v="0"/>
    <n v="0"/>
    <n v="0"/>
    <n v="0"/>
    <x v="0"/>
    <n v="0"/>
    <n v="3"/>
    <n v="11"/>
    <n v="0"/>
    <n v="66"/>
    <n v="2234"/>
    <n v="6.1205479452054794"/>
    <n v="0"/>
    <n v="0"/>
    <n v="0"/>
    <n v="1"/>
    <n v="0"/>
    <n v="0"/>
    <n v="0"/>
    <n v="1"/>
    <n v="0"/>
    <n v="0"/>
    <n v="810"/>
    <n v="779"/>
    <n v="31"/>
    <n v="0"/>
    <x v="0"/>
    <x v="0"/>
    <x v="2"/>
    <x v="0"/>
    <x v="1"/>
    <x v="2"/>
    <n v="0"/>
    <n v="0"/>
    <n v="25"/>
    <n v="9"/>
    <n v="7"/>
    <n v="6"/>
    <n v="22"/>
    <n v="8"/>
    <x v="2"/>
  </r>
  <r>
    <x v="617"/>
    <n v="71232"/>
    <n v="0"/>
    <n v="1"/>
    <n v="91"/>
    <n v="653"/>
    <n v="17"/>
    <n v="170"/>
    <n v="34"/>
    <n v="26"/>
    <n v="17"/>
    <n v="2"/>
    <n v="11"/>
    <n v="2"/>
    <n v="10"/>
    <n v="7"/>
    <n v="0"/>
    <n v="0"/>
    <n v="0"/>
    <n v="0"/>
    <n v="0"/>
    <x v="0"/>
    <n v="0"/>
    <n v="3"/>
    <n v="11"/>
    <n v="0"/>
    <n v="61"/>
    <n v="2372"/>
    <n v="6.4986301369863018"/>
    <n v="0"/>
    <n v="0"/>
    <n v="0"/>
    <n v="1"/>
    <n v="0"/>
    <n v="0"/>
    <n v="0"/>
    <n v="1"/>
    <n v="0"/>
    <n v="0"/>
    <n v="900"/>
    <n v="883"/>
    <n v="17"/>
    <n v="0"/>
    <x v="0"/>
    <x v="0"/>
    <x v="2"/>
    <x v="0"/>
    <x v="2"/>
    <x v="2"/>
    <n v="1"/>
    <n v="1"/>
    <n v="32"/>
    <n v="0.99999999999999978"/>
    <n v="9"/>
    <n v="7"/>
    <n v="17"/>
    <n v="6"/>
    <x v="1"/>
  </r>
  <r>
    <x v="618"/>
    <n v="78499"/>
    <n v="0"/>
    <n v="0"/>
    <n v="12"/>
    <n v="912"/>
    <n v="72"/>
    <n v="170"/>
    <n v="47"/>
    <n v="36"/>
    <n v="97"/>
    <n v="1"/>
    <n v="11"/>
    <n v="3"/>
    <n v="4"/>
    <n v="4"/>
    <n v="0"/>
    <n v="0"/>
    <n v="0"/>
    <n v="0"/>
    <n v="1"/>
    <x v="1"/>
    <n v="0"/>
    <n v="3"/>
    <n v="11"/>
    <n v="1"/>
    <n v="63"/>
    <n v="2377"/>
    <n v="6.5123287671232877"/>
    <n v="0"/>
    <n v="0"/>
    <n v="1"/>
    <n v="0"/>
    <n v="0"/>
    <n v="0"/>
    <n v="0"/>
    <n v="1"/>
    <n v="0"/>
    <n v="0"/>
    <n v="1237"/>
    <n v="1140"/>
    <n v="97"/>
    <n v="1"/>
    <x v="1"/>
    <x v="1"/>
    <x v="1"/>
    <x v="0"/>
    <x v="1"/>
    <x v="2"/>
    <n v="0"/>
    <n v="0"/>
    <n v="23"/>
    <n v="9"/>
    <n v="6"/>
    <n v="8"/>
    <n v="23"/>
    <n v="8"/>
    <x v="2"/>
  </r>
  <r>
    <x v="619"/>
    <n v="78931"/>
    <n v="0"/>
    <n v="0"/>
    <n v="19"/>
    <n v="331"/>
    <n v="197"/>
    <n v="170"/>
    <n v="58"/>
    <n v="152"/>
    <n v="35"/>
    <n v="1"/>
    <n v="2"/>
    <n v="8"/>
    <n v="13"/>
    <n v="1"/>
    <n v="0"/>
    <n v="0"/>
    <n v="0"/>
    <n v="0"/>
    <n v="0"/>
    <x v="0"/>
    <n v="0"/>
    <n v="3"/>
    <n v="11"/>
    <n v="0"/>
    <n v="49"/>
    <n v="2406"/>
    <n v="6.5917808219178085"/>
    <n v="0"/>
    <n v="1"/>
    <n v="0"/>
    <n v="0"/>
    <n v="0"/>
    <n v="0"/>
    <n v="0"/>
    <n v="0"/>
    <n v="0"/>
    <n v="1"/>
    <n v="908"/>
    <n v="873"/>
    <n v="35"/>
    <n v="0"/>
    <x v="1"/>
    <x v="1"/>
    <x v="0"/>
    <x v="1"/>
    <x v="1"/>
    <x v="0"/>
    <n v="0"/>
    <n v="0"/>
    <n v="25"/>
    <n v="9"/>
    <n v="7"/>
    <n v="7"/>
    <n v="23"/>
    <n v="8"/>
    <x v="2"/>
  </r>
  <r>
    <x v="620"/>
    <n v="58113"/>
    <n v="0"/>
    <n v="1"/>
    <n v="66"/>
    <n v="221"/>
    <n v="104"/>
    <n v="169"/>
    <n v="102"/>
    <n v="78"/>
    <n v="84"/>
    <n v="3"/>
    <n v="9"/>
    <n v="2"/>
    <n v="8"/>
    <n v="7"/>
    <n v="0"/>
    <n v="0"/>
    <n v="0"/>
    <n v="0"/>
    <n v="0"/>
    <x v="0"/>
    <n v="1"/>
    <n v="3"/>
    <n v="11"/>
    <n v="0"/>
    <n v="61"/>
    <n v="2679"/>
    <n v="7.3397260273972602"/>
    <n v="0"/>
    <n v="1"/>
    <n v="0"/>
    <n v="0"/>
    <n v="0"/>
    <n v="0"/>
    <n v="0"/>
    <n v="1"/>
    <n v="0"/>
    <n v="0"/>
    <n v="674"/>
    <n v="590"/>
    <n v="84"/>
    <n v="0"/>
    <x v="0"/>
    <x v="0"/>
    <x v="0"/>
    <x v="0"/>
    <x v="2"/>
    <x v="2"/>
    <n v="1"/>
    <n v="0"/>
    <n v="29"/>
    <n v="4"/>
    <n v="8"/>
    <n v="6"/>
    <n v="18"/>
    <n v="6"/>
    <x v="1"/>
  </r>
  <r>
    <x v="621"/>
    <n v="72298"/>
    <n v="0"/>
    <n v="0"/>
    <n v="52"/>
    <n v="625"/>
    <n v="35"/>
    <n v="169"/>
    <n v="58"/>
    <n v="17"/>
    <n v="35"/>
    <n v="1"/>
    <n v="4"/>
    <n v="3"/>
    <n v="6"/>
    <n v="1"/>
    <n v="0"/>
    <n v="0"/>
    <n v="0"/>
    <n v="1"/>
    <n v="1"/>
    <x v="1"/>
    <n v="0"/>
    <n v="3"/>
    <n v="11"/>
    <n v="0"/>
    <n v="71"/>
    <n v="2270"/>
    <n v="6.2191780821917808"/>
    <n v="0"/>
    <n v="0"/>
    <n v="0"/>
    <n v="0"/>
    <n v="1"/>
    <n v="0"/>
    <n v="0"/>
    <n v="1"/>
    <n v="0"/>
    <n v="0"/>
    <n v="904"/>
    <n v="869"/>
    <n v="35"/>
    <n v="2"/>
    <x v="1"/>
    <x v="1"/>
    <x v="4"/>
    <x v="0"/>
    <x v="2"/>
    <x v="2"/>
    <n v="1"/>
    <n v="0"/>
    <n v="15"/>
    <n v="5"/>
    <n v="2"/>
    <n v="7"/>
    <n v="14"/>
    <n v="4"/>
    <x v="3"/>
  </r>
  <r>
    <x v="622"/>
    <n v="59973"/>
    <n v="0"/>
    <n v="0"/>
    <n v="47"/>
    <n v="130"/>
    <n v="30"/>
    <n v="168"/>
    <n v="20"/>
    <n v="34"/>
    <n v="0"/>
    <n v="1"/>
    <n v="3"/>
    <n v="4"/>
    <n v="7"/>
    <n v="1"/>
    <n v="0"/>
    <n v="0"/>
    <n v="0"/>
    <n v="0"/>
    <n v="0"/>
    <x v="0"/>
    <n v="0"/>
    <n v="3"/>
    <n v="11"/>
    <n v="0"/>
    <n v="48"/>
    <n v="2450"/>
    <n v="6.7123287671232879"/>
    <n v="0"/>
    <n v="1"/>
    <n v="0"/>
    <n v="0"/>
    <n v="0"/>
    <n v="0"/>
    <n v="0"/>
    <n v="0"/>
    <n v="0"/>
    <n v="1"/>
    <n v="382"/>
    <n v="382"/>
    <n v="0"/>
    <n v="0"/>
    <x v="1"/>
    <x v="1"/>
    <x v="0"/>
    <x v="1"/>
    <x v="2"/>
    <x v="0"/>
    <n v="1"/>
    <n v="0"/>
    <n v="16"/>
    <n v="6"/>
    <n v="3"/>
    <n v="5"/>
    <n v="14"/>
    <n v="4"/>
    <x v="3"/>
  </r>
  <r>
    <x v="623"/>
    <n v="61346"/>
    <n v="1"/>
    <n v="0"/>
    <n v="34"/>
    <n v="562"/>
    <n v="58"/>
    <n v="168"/>
    <n v="43"/>
    <n v="16"/>
    <n v="142"/>
    <n v="1"/>
    <n v="5"/>
    <n v="7"/>
    <n v="10"/>
    <n v="3"/>
    <n v="0"/>
    <n v="0"/>
    <n v="0"/>
    <n v="0"/>
    <n v="0"/>
    <x v="0"/>
    <n v="0"/>
    <n v="3"/>
    <n v="11"/>
    <n v="0"/>
    <n v="42"/>
    <n v="2425"/>
    <n v="6.6438356164383565"/>
    <n v="0"/>
    <n v="0"/>
    <n v="0"/>
    <n v="1"/>
    <n v="0"/>
    <n v="0"/>
    <n v="0"/>
    <n v="0"/>
    <n v="1"/>
    <n v="0"/>
    <n v="847"/>
    <n v="705"/>
    <n v="142"/>
    <n v="0"/>
    <x v="0"/>
    <x v="0"/>
    <x v="2"/>
    <x v="1"/>
    <x v="2"/>
    <x v="0"/>
    <n v="1"/>
    <n v="0"/>
    <n v="26"/>
    <n v="7"/>
    <n v="7"/>
    <n v="6"/>
    <n v="20"/>
    <n v="7"/>
    <x v="2"/>
  </r>
  <r>
    <x v="624"/>
    <n v="64504"/>
    <n v="1"/>
    <n v="2"/>
    <n v="81"/>
    <n v="986"/>
    <n v="36"/>
    <n v="168"/>
    <n v="16"/>
    <n v="0"/>
    <n v="108"/>
    <n v="7"/>
    <n v="11"/>
    <n v="3"/>
    <n v="4"/>
    <n v="7"/>
    <n v="0"/>
    <n v="0"/>
    <n v="0"/>
    <n v="0"/>
    <n v="0"/>
    <x v="0"/>
    <n v="0"/>
    <n v="3"/>
    <n v="11"/>
    <n v="1"/>
    <n v="67"/>
    <n v="2641"/>
    <n v="7.2356164383561641"/>
    <n v="0"/>
    <n v="0"/>
    <n v="0"/>
    <n v="1"/>
    <n v="0"/>
    <n v="0"/>
    <n v="0"/>
    <n v="0"/>
    <n v="0"/>
    <n v="1"/>
    <n v="1206"/>
    <n v="1098"/>
    <n v="108"/>
    <n v="0"/>
    <x v="0"/>
    <x v="0"/>
    <x v="2"/>
    <x v="1"/>
    <x v="2"/>
    <x v="2"/>
    <n v="1"/>
    <n v="0"/>
    <n v="32"/>
    <n v="1.9999999999999996"/>
    <n v="9"/>
    <n v="8"/>
    <n v="19"/>
    <n v="7"/>
    <x v="2"/>
  </r>
  <r>
    <x v="625"/>
    <n v="64590"/>
    <n v="0"/>
    <n v="0"/>
    <n v="98"/>
    <n v="920"/>
    <n v="138"/>
    <n v="168"/>
    <n v="36"/>
    <n v="46"/>
    <n v="30"/>
    <n v="1"/>
    <n v="9"/>
    <n v="4"/>
    <n v="10"/>
    <n v="6"/>
    <n v="0"/>
    <n v="0"/>
    <n v="0"/>
    <n v="0"/>
    <n v="0"/>
    <x v="0"/>
    <n v="0"/>
    <n v="3"/>
    <n v="11"/>
    <n v="0"/>
    <n v="52"/>
    <n v="2782"/>
    <n v="7.6219178082191785"/>
    <n v="0"/>
    <n v="1"/>
    <n v="0"/>
    <n v="0"/>
    <n v="0"/>
    <n v="0"/>
    <n v="0"/>
    <n v="1"/>
    <n v="0"/>
    <n v="0"/>
    <n v="1308"/>
    <n v="1278"/>
    <n v="30"/>
    <n v="0"/>
    <x v="1"/>
    <x v="1"/>
    <x v="0"/>
    <x v="0"/>
    <x v="2"/>
    <x v="1"/>
    <n v="1"/>
    <n v="1"/>
    <n v="30"/>
    <n v="0.99999999999999978"/>
    <n v="8"/>
    <n v="8"/>
    <n v="17"/>
    <n v="6"/>
    <x v="1"/>
  </r>
  <r>
    <x v="626"/>
    <n v="70179"/>
    <n v="0"/>
    <n v="1"/>
    <n v="10"/>
    <n v="532"/>
    <n v="88"/>
    <n v="168"/>
    <n v="69"/>
    <n v="44"/>
    <n v="133"/>
    <n v="3"/>
    <n v="7"/>
    <n v="3"/>
    <n v="13"/>
    <n v="5"/>
    <n v="0"/>
    <n v="0"/>
    <n v="0"/>
    <n v="0"/>
    <n v="0"/>
    <x v="0"/>
    <n v="0"/>
    <n v="3"/>
    <n v="11"/>
    <n v="0"/>
    <n v="44"/>
    <n v="2502"/>
    <n v="6.8547945205479452"/>
    <n v="1"/>
    <n v="0"/>
    <n v="0"/>
    <n v="0"/>
    <n v="0"/>
    <n v="0"/>
    <n v="0"/>
    <n v="0"/>
    <n v="0"/>
    <n v="1"/>
    <n v="901"/>
    <n v="768"/>
    <n v="133"/>
    <n v="0"/>
    <x v="0"/>
    <x v="0"/>
    <x v="3"/>
    <x v="1"/>
    <x v="2"/>
    <x v="0"/>
    <n v="0"/>
    <n v="0"/>
    <n v="31"/>
    <n v="9"/>
    <n v="9"/>
    <n v="7"/>
    <n v="25"/>
    <n v="9"/>
    <x v="0"/>
  </r>
  <r>
    <x v="627"/>
    <n v="56242"/>
    <n v="0"/>
    <n v="1"/>
    <n v="72"/>
    <n v="689"/>
    <n v="8"/>
    <n v="167"/>
    <n v="11"/>
    <n v="8"/>
    <n v="88"/>
    <n v="5"/>
    <n v="8"/>
    <n v="4"/>
    <n v="11"/>
    <n v="6"/>
    <n v="0"/>
    <n v="0"/>
    <n v="0"/>
    <n v="0"/>
    <n v="0"/>
    <x v="0"/>
    <n v="0"/>
    <n v="3"/>
    <n v="11"/>
    <n v="0"/>
    <n v="51"/>
    <n v="2642"/>
    <n v="7.2383561643835614"/>
    <n v="0"/>
    <n v="1"/>
    <n v="0"/>
    <n v="0"/>
    <n v="0"/>
    <n v="0"/>
    <n v="0"/>
    <n v="0"/>
    <n v="0"/>
    <n v="1"/>
    <n v="883"/>
    <n v="795"/>
    <n v="88"/>
    <n v="0"/>
    <x v="0"/>
    <x v="0"/>
    <x v="0"/>
    <x v="1"/>
    <x v="2"/>
    <x v="1"/>
    <n v="1"/>
    <n v="0"/>
    <n v="34"/>
    <n v="3.0000000000000004"/>
    <n v="9"/>
    <n v="7"/>
    <n v="19"/>
    <n v="7"/>
    <x v="2"/>
  </r>
  <r>
    <x v="628"/>
    <n v="76234"/>
    <n v="0"/>
    <n v="1"/>
    <n v="21"/>
    <n v="519"/>
    <n v="50"/>
    <n v="167"/>
    <n v="130"/>
    <n v="0"/>
    <n v="41"/>
    <n v="1"/>
    <n v="8"/>
    <n v="3"/>
    <n v="11"/>
    <n v="3"/>
    <n v="0"/>
    <n v="0"/>
    <n v="0"/>
    <n v="1"/>
    <n v="0"/>
    <x v="1"/>
    <n v="0"/>
    <n v="3"/>
    <n v="11"/>
    <n v="0"/>
    <n v="48"/>
    <n v="2302"/>
    <n v="6.3068493150684928"/>
    <n v="0"/>
    <n v="1"/>
    <n v="0"/>
    <n v="0"/>
    <n v="0"/>
    <n v="0"/>
    <n v="0"/>
    <n v="0"/>
    <n v="1"/>
    <n v="0"/>
    <n v="866"/>
    <n v="825"/>
    <n v="41"/>
    <n v="1"/>
    <x v="0"/>
    <x v="0"/>
    <x v="0"/>
    <x v="1"/>
    <x v="1"/>
    <x v="0"/>
    <n v="0"/>
    <n v="0"/>
    <n v="26"/>
    <n v="8"/>
    <n v="7"/>
    <n v="7"/>
    <n v="22"/>
    <n v="8"/>
    <x v="2"/>
  </r>
  <r>
    <x v="629"/>
    <n v="49269"/>
    <n v="1"/>
    <n v="0"/>
    <n v="92"/>
    <n v="639"/>
    <n v="8"/>
    <n v="166"/>
    <n v="11"/>
    <n v="8"/>
    <n v="58"/>
    <n v="3"/>
    <n v="7"/>
    <n v="3"/>
    <n v="12"/>
    <n v="7"/>
    <n v="0"/>
    <n v="0"/>
    <n v="0"/>
    <n v="0"/>
    <n v="0"/>
    <x v="0"/>
    <n v="0"/>
    <n v="3"/>
    <n v="11"/>
    <n v="0"/>
    <n v="49"/>
    <n v="2842"/>
    <n v="7.7863013698630139"/>
    <n v="0"/>
    <n v="0"/>
    <n v="0"/>
    <n v="1"/>
    <n v="0"/>
    <n v="0"/>
    <n v="0"/>
    <n v="0"/>
    <n v="0"/>
    <n v="1"/>
    <n v="832"/>
    <n v="774"/>
    <n v="58"/>
    <n v="0"/>
    <x v="0"/>
    <x v="0"/>
    <x v="2"/>
    <x v="1"/>
    <x v="3"/>
    <x v="0"/>
    <n v="1"/>
    <n v="1"/>
    <n v="32"/>
    <n v="0.99999999999999978"/>
    <n v="9"/>
    <n v="6"/>
    <n v="16"/>
    <n v="5"/>
    <x v="1"/>
  </r>
  <r>
    <x v="630"/>
    <n v="53977"/>
    <n v="0"/>
    <n v="1"/>
    <n v="21"/>
    <n v="620"/>
    <n v="16"/>
    <n v="165"/>
    <n v="0"/>
    <n v="24"/>
    <n v="82"/>
    <n v="5"/>
    <n v="5"/>
    <n v="5"/>
    <n v="12"/>
    <n v="5"/>
    <n v="0"/>
    <n v="0"/>
    <n v="0"/>
    <n v="0"/>
    <n v="0"/>
    <x v="0"/>
    <n v="0"/>
    <n v="3"/>
    <n v="11"/>
    <n v="0"/>
    <n v="62"/>
    <n v="2545"/>
    <n v="6.9726027397260273"/>
    <n v="0"/>
    <n v="0"/>
    <n v="0"/>
    <n v="1"/>
    <n v="0"/>
    <n v="0"/>
    <n v="0"/>
    <n v="1"/>
    <n v="0"/>
    <n v="0"/>
    <n v="825"/>
    <n v="743"/>
    <n v="82"/>
    <n v="0"/>
    <x v="0"/>
    <x v="0"/>
    <x v="2"/>
    <x v="0"/>
    <x v="2"/>
    <x v="2"/>
    <n v="0"/>
    <n v="0"/>
    <n v="32"/>
    <n v="8"/>
    <n v="9"/>
    <n v="6"/>
    <n v="23"/>
    <n v="8"/>
    <x v="2"/>
  </r>
  <r>
    <x v="631"/>
    <n v="59412"/>
    <n v="0"/>
    <n v="0"/>
    <n v="56"/>
    <n v="90"/>
    <n v="67"/>
    <n v="165"/>
    <n v="30"/>
    <n v="43"/>
    <n v="11"/>
    <n v="1"/>
    <n v="4"/>
    <n v="2"/>
    <n v="8"/>
    <n v="3"/>
    <n v="0"/>
    <n v="0"/>
    <n v="0"/>
    <n v="0"/>
    <n v="0"/>
    <x v="0"/>
    <n v="0"/>
    <n v="3"/>
    <n v="11"/>
    <n v="0"/>
    <n v="69"/>
    <n v="2230"/>
    <n v="6.1095890410958908"/>
    <n v="0"/>
    <n v="1"/>
    <n v="0"/>
    <n v="0"/>
    <n v="0"/>
    <n v="0"/>
    <n v="0"/>
    <n v="0"/>
    <n v="1"/>
    <n v="0"/>
    <n v="395"/>
    <n v="384"/>
    <n v="11"/>
    <n v="0"/>
    <x v="1"/>
    <x v="1"/>
    <x v="0"/>
    <x v="1"/>
    <x v="2"/>
    <x v="2"/>
    <n v="1"/>
    <n v="0"/>
    <n v="18"/>
    <n v="5"/>
    <n v="4"/>
    <n v="5"/>
    <n v="14"/>
    <n v="4"/>
    <x v="3"/>
  </r>
  <r>
    <x v="632"/>
    <n v="55635"/>
    <n v="0"/>
    <n v="1"/>
    <n v="34"/>
    <n v="235"/>
    <n v="65"/>
    <n v="164"/>
    <n v="50"/>
    <n v="49"/>
    <n v="27"/>
    <n v="4"/>
    <n v="7"/>
    <n v="3"/>
    <n v="7"/>
    <n v="6"/>
    <n v="0"/>
    <n v="0"/>
    <n v="0"/>
    <n v="0"/>
    <n v="0"/>
    <x v="0"/>
    <n v="0"/>
    <n v="3"/>
    <n v="11"/>
    <n v="0"/>
    <n v="49"/>
    <n v="2752"/>
    <n v="7.5397260273972604"/>
    <n v="1"/>
    <n v="0"/>
    <n v="0"/>
    <n v="0"/>
    <n v="0"/>
    <n v="0"/>
    <n v="0"/>
    <n v="1"/>
    <n v="0"/>
    <n v="0"/>
    <n v="563"/>
    <n v="536"/>
    <n v="27"/>
    <n v="0"/>
    <x v="0"/>
    <x v="0"/>
    <x v="3"/>
    <x v="0"/>
    <x v="2"/>
    <x v="0"/>
    <n v="1"/>
    <n v="0"/>
    <n v="27"/>
    <n v="7"/>
    <n v="7"/>
    <n v="5"/>
    <n v="19"/>
    <n v="7"/>
    <x v="2"/>
  </r>
  <r>
    <x v="633"/>
    <n v="46757"/>
    <n v="0"/>
    <n v="1"/>
    <n v="71"/>
    <n v="777"/>
    <n v="30"/>
    <n v="163"/>
    <n v="0"/>
    <n v="51"/>
    <n v="122"/>
    <n v="6"/>
    <n v="4"/>
    <n v="4"/>
    <n v="7"/>
    <n v="9"/>
    <n v="0"/>
    <n v="0"/>
    <n v="0"/>
    <n v="0"/>
    <n v="0"/>
    <x v="0"/>
    <n v="0"/>
    <n v="3"/>
    <n v="11"/>
    <n v="0"/>
    <n v="57"/>
    <n v="2749"/>
    <n v="7.5315068493150683"/>
    <n v="0"/>
    <n v="0"/>
    <n v="1"/>
    <n v="0"/>
    <n v="0"/>
    <n v="0"/>
    <n v="0"/>
    <n v="0"/>
    <n v="0"/>
    <n v="1"/>
    <n v="1021"/>
    <n v="899"/>
    <n v="122"/>
    <n v="0"/>
    <x v="0"/>
    <x v="0"/>
    <x v="1"/>
    <x v="1"/>
    <x v="3"/>
    <x v="1"/>
    <n v="1"/>
    <n v="0"/>
    <n v="30"/>
    <n v="3.0000000000000004"/>
    <n v="8"/>
    <n v="7"/>
    <n v="18"/>
    <n v="6"/>
    <x v="1"/>
  </r>
  <r>
    <x v="634"/>
    <n v="69508"/>
    <n v="1"/>
    <n v="0"/>
    <n v="48"/>
    <n v="824"/>
    <n v="32"/>
    <n v="162"/>
    <n v="42"/>
    <n v="32"/>
    <n v="43"/>
    <n v="2"/>
    <n v="11"/>
    <n v="4"/>
    <n v="11"/>
    <n v="6"/>
    <n v="0"/>
    <n v="0"/>
    <n v="0"/>
    <n v="0"/>
    <n v="0"/>
    <x v="0"/>
    <n v="0"/>
    <n v="3"/>
    <n v="11"/>
    <n v="0"/>
    <n v="40"/>
    <n v="2751"/>
    <n v="7.536986301369863"/>
    <n v="0"/>
    <n v="0"/>
    <n v="0"/>
    <n v="1"/>
    <n v="0"/>
    <n v="0"/>
    <n v="0"/>
    <n v="1"/>
    <n v="0"/>
    <n v="0"/>
    <n v="1092"/>
    <n v="1049"/>
    <n v="43"/>
    <n v="0"/>
    <x v="0"/>
    <x v="0"/>
    <x v="2"/>
    <x v="0"/>
    <x v="2"/>
    <x v="3"/>
    <n v="1"/>
    <n v="0"/>
    <n v="34"/>
    <n v="6"/>
    <n v="9"/>
    <n v="7"/>
    <n v="22"/>
    <n v="8"/>
    <x v="2"/>
  </r>
  <r>
    <x v="635"/>
    <n v="77142"/>
    <n v="0"/>
    <n v="0"/>
    <n v="54"/>
    <n v="476"/>
    <n v="75"/>
    <n v="162"/>
    <n v="29"/>
    <n v="151"/>
    <n v="97"/>
    <n v="1"/>
    <n v="4"/>
    <n v="4"/>
    <n v="8"/>
    <n v="2"/>
    <n v="0"/>
    <n v="0"/>
    <n v="0"/>
    <n v="0"/>
    <n v="0"/>
    <x v="0"/>
    <n v="0"/>
    <n v="3"/>
    <n v="11"/>
    <n v="0"/>
    <n v="72"/>
    <n v="2555"/>
    <n v="7"/>
    <n v="0"/>
    <n v="1"/>
    <n v="0"/>
    <n v="0"/>
    <n v="0"/>
    <n v="0"/>
    <n v="0"/>
    <n v="1"/>
    <n v="0"/>
    <n v="0"/>
    <n v="893"/>
    <n v="796"/>
    <n v="97"/>
    <n v="0"/>
    <x v="1"/>
    <x v="1"/>
    <x v="0"/>
    <x v="0"/>
    <x v="1"/>
    <x v="2"/>
    <n v="1"/>
    <n v="0"/>
    <n v="19"/>
    <n v="5"/>
    <n v="4"/>
    <n v="7"/>
    <n v="16"/>
    <n v="5"/>
    <x v="1"/>
  </r>
  <r>
    <x v="636"/>
    <n v="56796"/>
    <n v="0"/>
    <n v="1"/>
    <n v="24"/>
    <n v="656"/>
    <n v="38"/>
    <n v="161"/>
    <n v="62"/>
    <n v="47"/>
    <n v="37"/>
    <n v="3"/>
    <n v="8"/>
    <n v="9"/>
    <n v="7"/>
    <n v="7"/>
    <n v="0"/>
    <n v="0"/>
    <n v="0"/>
    <n v="0"/>
    <n v="0"/>
    <x v="0"/>
    <n v="0"/>
    <n v="3"/>
    <n v="11"/>
    <n v="0"/>
    <n v="51"/>
    <n v="2657"/>
    <n v="7.279452054794521"/>
    <n v="0"/>
    <n v="1"/>
    <n v="0"/>
    <n v="0"/>
    <n v="0"/>
    <n v="0"/>
    <n v="0"/>
    <n v="1"/>
    <n v="0"/>
    <n v="0"/>
    <n v="964"/>
    <n v="927"/>
    <n v="37"/>
    <n v="0"/>
    <x v="0"/>
    <x v="0"/>
    <x v="0"/>
    <x v="0"/>
    <x v="2"/>
    <x v="1"/>
    <n v="0"/>
    <n v="0"/>
    <n v="34"/>
    <n v="8"/>
    <n v="9"/>
    <n v="7"/>
    <n v="24"/>
    <n v="9"/>
    <x v="0"/>
  </r>
  <r>
    <x v="637"/>
    <n v="64090"/>
    <n v="0"/>
    <n v="1"/>
    <n v="8"/>
    <n v="316"/>
    <n v="58"/>
    <n v="161"/>
    <n v="76"/>
    <n v="51"/>
    <n v="135"/>
    <n v="1"/>
    <n v="6"/>
    <n v="9"/>
    <n v="4"/>
    <n v="5"/>
    <n v="0"/>
    <n v="0"/>
    <n v="0"/>
    <n v="0"/>
    <n v="0"/>
    <x v="0"/>
    <n v="0"/>
    <n v="3"/>
    <n v="11"/>
    <n v="1"/>
    <n v="64"/>
    <n v="2485"/>
    <n v="6.8082191780821919"/>
    <n v="0"/>
    <n v="0"/>
    <n v="0"/>
    <n v="1"/>
    <n v="0"/>
    <n v="0"/>
    <n v="0"/>
    <n v="1"/>
    <n v="0"/>
    <n v="0"/>
    <n v="662"/>
    <n v="527"/>
    <n v="135"/>
    <n v="0"/>
    <x v="0"/>
    <x v="0"/>
    <x v="2"/>
    <x v="0"/>
    <x v="2"/>
    <x v="2"/>
    <n v="0"/>
    <n v="0"/>
    <n v="25"/>
    <n v="10"/>
    <n v="7"/>
    <n v="6"/>
    <n v="23"/>
    <n v="8"/>
    <x v="2"/>
  </r>
  <r>
    <x v="638"/>
    <n v="66565"/>
    <n v="0"/>
    <n v="1"/>
    <n v="80"/>
    <n v="747"/>
    <n v="10"/>
    <n v="161"/>
    <n v="65"/>
    <n v="40"/>
    <n v="42"/>
    <n v="4"/>
    <n v="4"/>
    <n v="2"/>
    <n v="9"/>
    <n v="8"/>
    <n v="0"/>
    <n v="0"/>
    <n v="0"/>
    <n v="0"/>
    <n v="0"/>
    <x v="0"/>
    <n v="0"/>
    <n v="3"/>
    <n v="11"/>
    <n v="0"/>
    <n v="58"/>
    <n v="2730"/>
    <n v="7.4794520547945202"/>
    <n v="0"/>
    <n v="0"/>
    <n v="1"/>
    <n v="0"/>
    <n v="0"/>
    <n v="0"/>
    <n v="0"/>
    <n v="1"/>
    <n v="0"/>
    <n v="0"/>
    <n v="1023"/>
    <n v="981"/>
    <n v="42"/>
    <n v="0"/>
    <x v="0"/>
    <x v="0"/>
    <x v="1"/>
    <x v="0"/>
    <x v="2"/>
    <x v="1"/>
    <n v="1"/>
    <n v="0"/>
    <n v="27"/>
    <n v="1.9999999999999996"/>
    <n v="7"/>
    <n v="7"/>
    <n v="16"/>
    <n v="5"/>
    <x v="1"/>
  </r>
  <r>
    <x v="639"/>
    <n v="68316"/>
    <n v="0"/>
    <n v="1"/>
    <n v="54"/>
    <n v="806"/>
    <n v="80"/>
    <n v="161"/>
    <n v="120"/>
    <n v="11"/>
    <n v="33"/>
    <n v="5"/>
    <n v="10"/>
    <n v="7"/>
    <n v="10"/>
    <n v="6"/>
    <n v="0"/>
    <n v="0"/>
    <n v="0"/>
    <n v="0"/>
    <n v="0"/>
    <x v="0"/>
    <n v="0"/>
    <n v="3"/>
    <n v="11"/>
    <n v="0"/>
    <n v="56"/>
    <n v="2761"/>
    <n v="7.5643835616438357"/>
    <n v="0"/>
    <n v="0"/>
    <n v="0"/>
    <n v="1"/>
    <n v="0"/>
    <n v="1"/>
    <n v="0"/>
    <n v="0"/>
    <n v="0"/>
    <n v="0"/>
    <n v="1178"/>
    <n v="1145"/>
    <n v="33"/>
    <n v="0"/>
    <x v="0"/>
    <x v="0"/>
    <x v="2"/>
    <x v="1"/>
    <x v="2"/>
    <x v="1"/>
    <n v="1"/>
    <n v="0"/>
    <n v="38"/>
    <n v="5"/>
    <n v="9"/>
    <n v="8"/>
    <n v="22"/>
    <n v="8"/>
    <x v="2"/>
  </r>
  <r>
    <x v="640"/>
    <n v="76998"/>
    <n v="0"/>
    <n v="1"/>
    <n v="85"/>
    <n v="1449"/>
    <n v="89"/>
    <n v="161"/>
    <n v="69"/>
    <n v="35"/>
    <n v="107"/>
    <n v="2"/>
    <n v="11"/>
    <n v="8"/>
    <n v="8"/>
    <n v="6"/>
    <n v="0"/>
    <n v="0"/>
    <n v="0"/>
    <n v="0"/>
    <n v="1"/>
    <x v="1"/>
    <n v="0"/>
    <n v="3"/>
    <n v="11"/>
    <n v="0"/>
    <n v="65"/>
    <n v="2693"/>
    <n v="7.3780821917808215"/>
    <n v="0"/>
    <n v="1"/>
    <n v="0"/>
    <n v="0"/>
    <n v="0"/>
    <n v="0"/>
    <n v="0"/>
    <n v="1"/>
    <n v="0"/>
    <n v="0"/>
    <n v="1803"/>
    <n v="1696"/>
    <n v="107"/>
    <n v="1"/>
    <x v="0"/>
    <x v="0"/>
    <x v="0"/>
    <x v="0"/>
    <x v="1"/>
    <x v="2"/>
    <n v="1"/>
    <n v="0"/>
    <n v="35"/>
    <n v="1.9999999999999996"/>
    <n v="9"/>
    <n v="9"/>
    <n v="20"/>
    <n v="7"/>
    <x v="2"/>
  </r>
  <r>
    <x v="641"/>
    <n v="50334"/>
    <n v="0"/>
    <n v="1"/>
    <n v="24"/>
    <n v="284"/>
    <n v="16"/>
    <n v="160"/>
    <n v="84"/>
    <n v="16"/>
    <n v="134"/>
    <n v="6"/>
    <n v="7"/>
    <n v="4"/>
    <n v="6"/>
    <n v="6"/>
    <n v="0"/>
    <n v="0"/>
    <n v="0"/>
    <n v="0"/>
    <n v="0"/>
    <x v="0"/>
    <n v="0"/>
    <n v="3"/>
    <n v="11"/>
    <n v="0"/>
    <n v="48"/>
    <n v="2499"/>
    <n v="6.8465753424657532"/>
    <n v="0"/>
    <n v="0"/>
    <n v="0"/>
    <n v="1"/>
    <n v="0"/>
    <n v="1"/>
    <n v="0"/>
    <n v="0"/>
    <n v="0"/>
    <n v="0"/>
    <n v="560"/>
    <n v="426"/>
    <n v="134"/>
    <n v="0"/>
    <x v="0"/>
    <x v="0"/>
    <x v="2"/>
    <x v="1"/>
    <x v="2"/>
    <x v="0"/>
    <n v="0"/>
    <n v="0"/>
    <n v="29"/>
    <n v="8"/>
    <n v="8"/>
    <n v="5"/>
    <n v="21"/>
    <n v="8"/>
    <x v="2"/>
  </r>
  <r>
    <x v="642"/>
    <n v="51479"/>
    <n v="1"/>
    <n v="1"/>
    <n v="67"/>
    <n v="247"/>
    <n v="8"/>
    <n v="160"/>
    <n v="6"/>
    <n v="8"/>
    <n v="65"/>
    <n v="7"/>
    <n v="6"/>
    <n v="3"/>
    <n v="6"/>
    <n v="7"/>
    <n v="0"/>
    <n v="0"/>
    <n v="0"/>
    <n v="0"/>
    <n v="0"/>
    <x v="0"/>
    <n v="0"/>
    <n v="3"/>
    <n v="11"/>
    <n v="0"/>
    <n v="53"/>
    <n v="2707"/>
    <n v="7.4164383561643836"/>
    <n v="0"/>
    <n v="1"/>
    <n v="0"/>
    <n v="0"/>
    <n v="0"/>
    <n v="0"/>
    <n v="0"/>
    <n v="1"/>
    <n v="0"/>
    <n v="0"/>
    <n v="429"/>
    <n v="364"/>
    <n v="65"/>
    <n v="0"/>
    <x v="0"/>
    <x v="0"/>
    <x v="0"/>
    <x v="0"/>
    <x v="2"/>
    <x v="1"/>
    <n v="1"/>
    <n v="0"/>
    <n v="29"/>
    <n v="4"/>
    <n v="8"/>
    <n v="5"/>
    <n v="17"/>
    <n v="6"/>
    <x v="1"/>
  </r>
  <r>
    <x v="643"/>
    <n v="56775"/>
    <n v="0"/>
    <n v="1"/>
    <n v="62"/>
    <n v="614"/>
    <n v="35"/>
    <n v="160"/>
    <n v="58"/>
    <n v="35"/>
    <n v="35"/>
    <n v="2"/>
    <n v="5"/>
    <n v="8"/>
    <n v="10"/>
    <n v="5"/>
    <n v="0"/>
    <n v="0"/>
    <n v="0"/>
    <n v="0"/>
    <n v="0"/>
    <x v="0"/>
    <n v="0"/>
    <n v="3"/>
    <n v="11"/>
    <n v="0"/>
    <n v="41"/>
    <n v="2702"/>
    <n v="7.4027397260273968"/>
    <n v="0"/>
    <n v="1"/>
    <n v="0"/>
    <n v="0"/>
    <n v="0"/>
    <n v="0"/>
    <n v="0"/>
    <n v="1"/>
    <n v="0"/>
    <n v="0"/>
    <n v="902"/>
    <n v="867"/>
    <n v="35"/>
    <n v="0"/>
    <x v="0"/>
    <x v="0"/>
    <x v="0"/>
    <x v="0"/>
    <x v="2"/>
    <x v="0"/>
    <n v="1"/>
    <n v="0"/>
    <n v="30"/>
    <n v="4"/>
    <n v="8"/>
    <n v="7"/>
    <n v="19"/>
    <n v="7"/>
    <x v="2"/>
  </r>
  <r>
    <x v="644"/>
    <n v="61872"/>
    <n v="0"/>
    <n v="1"/>
    <n v="81"/>
    <n v="330"/>
    <n v="5"/>
    <n v="159"/>
    <n v="36"/>
    <n v="27"/>
    <n v="16"/>
    <n v="4"/>
    <n v="4"/>
    <n v="4"/>
    <n v="9"/>
    <n v="4"/>
    <n v="0"/>
    <n v="0"/>
    <n v="0"/>
    <n v="0"/>
    <n v="0"/>
    <x v="0"/>
    <n v="0"/>
    <n v="3"/>
    <n v="11"/>
    <n v="0"/>
    <n v="50"/>
    <n v="2357"/>
    <n v="6.4575342465753423"/>
    <n v="0"/>
    <n v="1"/>
    <n v="0"/>
    <n v="0"/>
    <n v="0"/>
    <n v="0"/>
    <n v="0"/>
    <n v="0"/>
    <n v="1"/>
    <n v="0"/>
    <n v="557"/>
    <n v="541"/>
    <n v="16"/>
    <n v="0"/>
    <x v="0"/>
    <x v="0"/>
    <x v="0"/>
    <x v="1"/>
    <x v="2"/>
    <x v="0"/>
    <n v="1"/>
    <n v="0"/>
    <n v="25"/>
    <n v="1.9999999999999996"/>
    <n v="7"/>
    <n v="5"/>
    <n v="14"/>
    <n v="4"/>
    <x v="3"/>
  </r>
  <r>
    <x v="645"/>
    <n v="69096"/>
    <n v="0"/>
    <n v="1"/>
    <n v="4"/>
    <n v="247"/>
    <n v="49"/>
    <n v="159"/>
    <n v="7"/>
    <n v="82"/>
    <n v="109"/>
    <n v="1"/>
    <n v="5"/>
    <n v="2"/>
    <n v="10"/>
    <n v="4"/>
    <n v="0"/>
    <n v="0"/>
    <n v="0"/>
    <n v="0"/>
    <n v="0"/>
    <x v="0"/>
    <n v="0"/>
    <n v="3"/>
    <n v="11"/>
    <n v="0"/>
    <n v="62"/>
    <n v="2434"/>
    <n v="6.6684931506849319"/>
    <n v="0"/>
    <n v="0"/>
    <n v="0"/>
    <n v="1"/>
    <n v="0"/>
    <n v="0"/>
    <n v="0"/>
    <n v="1"/>
    <n v="0"/>
    <n v="0"/>
    <n v="544"/>
    <n v="435"/>
    <n v="109"/>
    <n v="0"/>
    <x v="0"/>
    <x v="0"/>
    <x v="2"/>
    <x v="0"/>
    <x v="2"/>
    <x v="2"/>
    <n v="0"/>
    <n v="0"/>
    <n v="22"/>
    <n v="10"/>
    <n v="5"/>
    <n v="5"/>
    <n v="20"/>
    <n v="7"/>
    <x v="2"/>
  </r>
  <r>
    <x v="646"/>
    <n v="69401"/>
    <n v="0"/>
    <n v="1"/>
    <n v="41"/>
    <n v="399"/>
    <n v="27"/>
    <n v="159"/>
    <n v="58"/>
    <n v="8"/>
    <n v="39"/>
    <n v="4"/>
    <n v="4"/>
    <n v="4"/>
    <n v="5"/>
    <n v="2"/>
    <n v="0"/>
    <n v="0"/>
    <n v="0"/>
    <n v="0"/>
    <n v="0"/>
    <x v="0"/>
    <n v="0"/>
    <n v="3"/>
    <n v="11"/>
    <n v="0"/>
    <n v="47"/>
    <n v="2257"/>
    <n v="6.183561643835616"/>
    <n v="0"/>
    <n v="0"/>
    <n v="0"/>
    <n v="1"/>
    <n v="0"/>
    <n v="1"/>
    <n v="0"/>
    <n v="0"/>
    <n v="0"/>
    <n v="0"/>
    <n v="651"/>
    <n v="612"/>
    <n v="39"/>
    <n v="0"/>
    <x v="0"/>
    <x v="0"/>
    <x v="2"/>
    <x v="1"/>
    <x v="2"/>
    <x v="0"/>
    <n v="1"/>
    <n v="0"/>
    <n v="19"/>
    <n v="6"/>
    <n v="4"/>
    <n v="6"/>
    <n v="16"/>
    <n v="5"/>
    <x v="1"/>
  </r>
  <r>
    <x v="647"/>
    <n v="54233"/>
    <n v="0"/>
    <n v="1"/>
    <n v="46"/>
    <n v="652"/>
    <n v="8"/>
    <n v="158"/>
    <n v="21"/>
    <n v="0"/>
    <n v="142"/>
    <n v="4"/>
    <n v="11"/>
    <n v="6"/>
    <n v="5"/>
    <n v="8"/>
    <n v="0"/>
    <n v="0"/>
    <n v="0"/>
    <n v="0"/>
    <n v="0"/>
    <x v="0"/>
    <n v="0"/>
    <n v="3"/>
    <n v="11"/>
    <n v="0"/>
    <n v="43"/>
    <n v="2669"/>
    <n v="7.3123287671232875"/>
    <n v="0"/>
    <n v="1"/>
    <n v="0"/>
    <n v="0"/>
    <n v="0"/>
    <n v="0"/>
    <n v="0"/>
    <n v="1"/>
    <n v="0"/>
    <n v="0"/>
    <n v="839"/>
    <n v="697"/>
    <n v="142"/>
    <n v="0"/>
    <x v="0"/>
    <x v="0"/>
    <x v="0"/>
    <x v="0"/>
    <x v="2"/>
    <x v="0"/>
    <n v="1"/>
    <n v="0"/>
    <n v="34"/>
    <n v="6"/>
    <n v="9"/>
    <n v="6"/>
    <n v="21"/>
    <n v="8"/>
    <x v="2"/>
  </r>
  <r>
    <x v="648"/>
    <n v="62694"/>
    <n v="1"/>
    <n v="1"/>
    <n v="29"/>
    <n v="379"/>
    <n v="6"/>
    <n v="157"/>
    <n v="25"/>
    <n v="91"/>
    <n v="91"/>
    <n v="5"/>
    <n v="9"/>
    <n v="3"/>
    <n v="7"/>
    <n v="7"/>
    <n v="0"/>
    <n v="0"/>
    <n v="0"/>
    <n v="0"/>
    <n v="0"/>
    <x v="0"/>
    <n v="0"/>
    <n v="3"/>
    <n v="11"/>
    <n v="0"/>
    <n v="55"/>
    <n v="2536"/>
    <n v="6.9479452054794519"/>
    <n v="0"/>
    <n v="1"/>
    <n v="0"/>
    <n v="0"/>
    <n v="0"/>
    <n v="0"/>
    <n v="0"/>
    <n v="0"/>
    <n v="1"/>
    <n v="0"/>
    <n v="658"/>
    <n v="567"/>
    <n v="91"/>
    <n v="0"/>
    <x v="0"/>
    <x v="0"/>
    <x v="0"/>
    <x v="1"/>
    <x v="2"/>
    <x v="1"/>
    <n v="0"/>
    <n v="0"/>
    <n v="31"/>
    <n v="8"/>
    <n v="9"/>
    <n v="6"/>
    <n v="23"/>
    <n v="8"/>
    <x v="2"/>
  </r>
  <r>
    <x v="649"/>
    <n v="62772"/>
    <n v="0"/>
    <n v="1"/>
    <n v="74"/>
    <n v="581"/>
    <n v="49"/>
    <n v="157"/>
    <n v="43"/>
    <n v="8"/>
    <n v="108"/>
    <n v="1"/>
    <n v="5"/>
    <n v="6"/>
    <n v="11"/>
    <n v="2"/>
    <n v="0"/>
    <n v="0"/>
    <n v="0"/>
    <n v="1"/>
    <n v="0"/>
    <x v="1"/>
    <n v="0"/>
    <n v="3"/>
    <n v="11"/>
    <n v="0"/>
    <n v="51"/>
    <n v="2565"/>
    <n v="7.0273972602739727"/>
    <n v="0"/>
    <n v="0"/>
    <n v="1"/>
    <n v="0"/>
    <n v="0"/>
    <n v="0"/>
    <n v="0"/>
    <n v="0"/>
    <n v="1"/>
    <n v="0"/>
    <n v="838"/>
    <n v="730"/>
    <n v="108"/>
    <n v="1"/>
    <x v="0"/>
    <x v="0"/>
    <x v="1"/>
    <x v="1"/>
    <x v="2"/>
    <x v="1"/>
    <n v="1"/>
    <n v="0"/>
    <n v="25"/>
    <n v="3.0000000000000004"/>
    <n v="7"/>
    <n v="6"/>
    <n v="16"/>
    <n v="5"/>
    <x v="1"/>
  </r>
  <r>
    <x v="650"/>
    <n v="48789"/>
    <n v="0"/>
    <n v="0"/>
    <n v="94"/>
    <n v="351"/>
    <n v="16"/>
    <n v="156"/>
    <n v="7"/>
    <n v="5"/>
    <n v="145"/>
    <n v="1"/>
    <n v="6"/>
    <n v="4"/>
    <n v="7"/>
    <n v="6"/>
    <n v="0"/>
    <n v="0"/>
    <n v="0"/>
    <n v="0"/>
    <n v="0"/>
    <x v="0"/>
    <n v="0"/>
    <n v="3"/>
    <n v="11"/>
    <n v="0"/>
    <n v="28"/>
    <n v="2816"/>
    <n v="7.7150684931506852"/>
    <n v="0"/>
    <n v="0"/>
    <n v="1"/>
    <n v="0"/>
    <n v="0"/>
    <n v="0"/>
    <n v="0"/>
    <n v="1"/>
    <n v="0"/>
    <n v="0"/>
    <n v="535"/>
    <n v="390"/>
    <n v="145"/>
    <n v="0"/>
    <x v="1"/>
    <x v="1"/>
    <x v="1"/>
    <x v="0"/>
    <x v="3"/>
    <x v="4"/>
    <n v="1"/>
    <n v="1"/>
    <n v="24"/>
    <n v="0.99999999999999978"/>
    <n v="6"/>
    <n v="5"/>
    <n v="12"/>
    <n v="3"/>
    <x v="3"/>
  </r>
  <r>
    <x v="651"/>
    <n v="51195"/>
    <n v="1"/>
    <n v="1"/>
    <n v="46"/>
    <n v="230"/>
    <n v="14"/>
    <n v="156"/>
    <n v="82"/>
    <n v="24"/>
    <n v="58"/>
    <n v="8"/>
    <n v="9"/>
    <n v="2"/>
    <n v="5"/>
    <n v="8"/>
    <n v="0"/>
    <n v="0"/>
    <n v="0"/>
    <n v="0"/>
    <n v="0"/>
    <x v="0"/>
    <n v="0"/>
    <n v="3"/>
    <n v="11"/>
    <n v="0"/>
    <n v="58"/>
    <n v="2613"/>
    <n v="7.1589041095890407"/>
    <n v="0"/>
    <n v="0"/>
    <n v="0"/>
    <n v="1"/>
    <n v="0"/>
    <n v="0"/>
    <n v="0"/>
    <n v="1"/>
    <n v="0"/>
    <n v="0"/>
    <n v="506"/>
    <n v="448"/>
    <n v="58"/>
    <n v="0"/>
    <x v="0"/>
    <x v="0"/>
    <x v="2"/>
    <x v="0"/>
    <x v="2"/>
    <x v="1"/>
    <n v="1"/>
    <n v="0"/>
    <n v="32"/>
    <n v="6"/>
    <n v="9"/>
    <n v="5"/>
    <n v="20"/>
    <n v="7"/>
    <x v="2"/>
  </r>
  <r>
    <x v="652"/>
    <n v="73807"/>
    <n v="0"/>
    <n v="1"/>
    <n v="88"/>
    <n v="366"/>
    <n v="124"/>
    <n v="156"/>
    <n v="71"/>
    <n v="78"/>
    <n v="54"/>
    <n v="2"/>
    <n v="5"/>
    <n v="5"/>
    <n v="11"/>
    <n v="2"/>
    <n v="0"/>
    <n v="0"/>
    <n v="0"/>
    <n v="0"/>
    <n v="0"/>
    <x v="0"/>
    <n v="0"/>
    <n v="3"/>
    <n v="11"/>
    <n v="0"/>
    <n v="42"/>
    <n v="2702"/>
    <n v="7.4027397260273968"/>
    <n v="0"/>
    <n v="1"/>
    <n v="0"/>
    <n v="0"/>
    <n v="0"/>
    <n v="0"/>
    <n v="0"/>
    <n v="1"/>
    <n v="0"/>
    <n v="0"/>
    <n v="795"/>
    <n v="741"/>
    <n v="54"/>
    <n v="0"/>
    <x v="0"/>
    <x v="0"/>
    <x v="0"/>
    <x v="0"/>
    <x v="2"/>
    <x v="0"/>
    <n v="1"/>
    <n v="0"/>
    <n v="25"/>
    <n v="1.9999999999999996"/>
    <n v="7"/>
    <n v="6"/>
    <n v="15"/>
    <n v="4"/>
    <x v="3"/>
  </r>
  <r>
    <x v="653"/>
    <n v="60894"/>
    <n v="0"/>
    <n v="1"/>
    <n v="61"/>
    <n v="606"/>
    <n v="7"/>
    <n v="155"/>
    <n v="10"/>
    <n v="0"/>
    <n v="54"/>
    <n v="5"/>
    <n v="10"/>
    <n v="3"/>
    <n v="8"/>
    <n v="7"/>
    <n v="0"/>
    <n v="0"/>
    <n v="0"/>
    <n v="0"/>
    <n v="0"/>
    <x v="0"/>
    <n v="0"/>
    <n v="3"/>
    <n v="11"/>
    <n v="0"/>
    <n v="54"/>
    <n v="2525"/>
    <n v="6.9178082191780819"/>
    <n v="0"/>
    <n v="0"/>
    <n v="0"/>
    <n v="1"/>
    <n v="0"/>
    <n v="0"/>
    <n v="0"/>
    <n v="1"/>
    <n v="0"/>
    <n v="0"/>
    <n v="778"/>
    <n v="724"/>
    <n v="54"/>
    <n v="0"/>
    <x v="0"/>
    <x v="0"/>
    <x v="2"/>
    <x v="0"/>
    <x v="2"/>
    <x v="1"/>
    <n v="1"/>
    <n v="0"/>
    <n v="33"/>
    <n v="4"/>
    <n v="9"/>
    <n v="6"/>
    <n v="19"/>
    <n v="7"/>
    <x v="2"/>
  </r>
  <r>
    <x v="654"/>
    <n v="60934"/>
    <n v="0"/>
    <n v="1"/>
    <n v="41"/>
    <n v="224"/>
    <n v="155"/>
    <n v="155"/>
    <n v="192"/>
    <n v="93"/>
    <n v="54"/>
    <n v="2"/>
    <n v="6"/>
    <n v="4"/>
    <n v="11"/>
    <n v="4"/>
    <n v="0"/>
    <n v="0"/>
    <n v="0"/>
    <n v="0"/>
    <n v="0"/>
    <x v="0"/>
    <n v="0"/>
    <n v="3"/>
    <n v="11"/>
    <n v="0"/>
    <n v="45"/>
    <n v="2322"/>
    <n v="6.3616438356164382"/>
    <n v="0"/>
    <n v="0"/>
    <n v="0"/>
    <n v="1"/>
    <n v="0"/>
    <n v="0"/>
    <n v="0"/>
    <n v="1"/>
    <n v="0"/>
    <n v="0"/>
    <n v="819"/>
    <n v="765"/>
    <n v="54"/>
    <n v="0"/>
    <x v="0"/>
    <x v="0"/>
    <x v="2"/>
    <x v="0"/>
    <x v="2"/>
    <x v="0"/>
    <n v="1"/>
    <n v="0"/>
    <n v="27"/>
    <n v="6"/>
    <n v="7"/>
    <n v="6"/>
    <n v="19"/>
    <n v="7"/>
    <x v="2"/>
  </r>
  <r>
    <x v="655"/>
    <n v="58821"/>
    <n v="0"/>
    <n v="1"/>
    <n v="44"/>
    <n v="513"/>
    <n v="14"/>
    <n v="154"/>
    <n v="19"/>
    <n v="0"/>
    <n v="28"/>
    <n v="1"/>
    <n v="9"/>
    <n v="2"/>
    <n v="9"/>
    <n v="6"/>
    <n v="0"/>
    <n v="0"/>
    <n v="0"/>
    <n v="0"/>
    <n v="0"/>
    <x v="0"/>
    <n v="0"/>
    <n v="3"/>
    <n v="11"/>
    <n v="0"/>
    <n v="64"/>
    <n v="2419"/>
    <n v="6.6273972602739724"/>
    <n v="0"/>
    <n v="0"/>
    <n v="0"/>
    <n v="1"/>
    <n v="0"/>
    <n v="1"/>
    <n v="0"/>
    <n v="0"/>
    <n v="0"/>
    <n v="0"/>
    <n v="700"/>
    <n v="672"/>
    <n v="28"/>
    <n v="0"/>
    <x v="0"/>
    <x v="0"/>
    <x v="2"/>
    <x v="1"/>
    <x v="2"/>
    <x v="2"/>
    <n v="1"/>
    <n v="0"/>
    <n v="27"/>
    <n v="6"/>
    <n v="7"/>
    <n v="6"/>
    <n v="19"/>
    <n v="7"/>
    <x v="2"/>
  </r>
  <r>
    <x v="656"/>
    <n v="59868"/>
    <n v="0"/>
    <n v="1"/>
    <n v="37"/>
    <n v="771"/>
    <n v="51"/>
    <n v="154"/>
    <n v="54"/>
    <n v="10"/>
    <n v="154"/>
    <n v="7"/>
    <n v="11"/>
    <n v="2"/>
    <n v="12"/>
    <n v="6"/>
    <n v="0"/>
    <n v="0"/>
    <n v="0"/>
    <n v="0"/>
    <n v="0"/>
    <x v="0"/>
    <n v="0"/>
    <n v="3"/>
    <n v="11"/>
    <n v="0"/>
    <n v="48"/>
    <n v="2501"/>
    <n v="6.8520547945205479"/>
    <n v="0"/>
    <n v="0"/>
    <n v="0"/>
    <n v="1"/>
    <n v="0"/>
    <n v="0"/>
    <n v="0"/>
    <n v="1"/>
    <n v="0"/>
    <n v="0"/>
    <n v="1040"/>
    <n v="886"/>
    <n v="154"/>
    <n v="0"/>
    <x v="0"/>
    <x v="0"/>
    <x v="2"/>
    <x v="0"/>
    <x v="2"/>
    <x v="0"/>
    <n v="1"/>
    <n v="0"/>
    <n v="38"/>
    <n v="7"/>
    <n v="9"/>
    <n v="7"/>
    <n v="23"/>
    <n v="8"/>
    <x v="2"/>
  </r>
  <r>
    <x v="657"/>
    <n v="73113"/>
    <n v="0"/>
    <n v="0"/>
    <n v="86"/>
    <n v="741"/>
    <n v="19"/>
    <n v="154"/>
    <n v="50"/>
    <n v="9"/>
    <n v="28"/>
    <n v="1"/>
    <n v="3"/>
    <n v="4"/>
    <n v="7"/>
    <n v="2"/>
    <n v="0"/>
    <n v="0"/>
    <n v="0"/>
    <n v="0"/>
    <n v="0"/>
    <x v="0"/>
    <n v="0"/>
    <n v="3"/>
    <n v="11"/>
    <n v="0"/>
    <n v="60"/>
    <n v="2344"/>
    <n v="6.4219178082191783"/>
    <n v="0"/>
    <n v="0"/>
    <n v="0"/>
    <n v="1"/>
    <n v="0"/>
    <n v="0"/>
    <n v="0"/>
    <n v="0"/>
    <n v="1"/>
    <n v="0"/>
    <n v="973"/>
    <n v="945"/>
    <n v="28"/>
    <n v="0"/>
    <x v="1"/>
    <x v="1"/>
    <x v="2"/>
    <x v="1"/>
    <x v="2"/>
    <x v="1"/>
    <n v="1"/>
    <n v="0"/>
    <n v="17"/>
    <n v="1.9999999999999996"/>
    <n v="3"/>
    <n v="7"/>
    <n v="12"/>
    <n v="3"/>
    <x v="3"/>
  </r>
  <r>
    <x v="658"/>
    <n v="77622"/>
    <n v="0"/>
    <n v="2"/>
    <n v="3"/>
    <n v="520"/>
    <n v="7"/>
    <n v="154"/>
    <n v="19"/>
    <n v="0"/>
    <n v="14"/>
    <n v="2"/>
    <n v="6"/>
    <n v="3"/>
    <n v="11"/>
    <n v="3"/>
    <n v="0"/>
    <n v="0"/>
    <n v="0"/>
    <n v="0"/>
    <n v="0"/>
    <x v="0"/>
    <n v="0"/>
    <n v="3"/>
    <n v="11"/>
    <n v="0"/>
    <n v="50"/>
    <n v="2235"/>
    <n v="6.1232876712328768"/>
    <n v="0"/>
    <n v="0"/>
    <n v="0"/>
    <n v="1"/>
    <n v="0"/>
    <n v="0"/>
    <n v="0"/>
    <n v="0"/>
    <n v="0"/>
    <n v="1"/>
    <n v="700"/>
    <n v="686"/>
    <n v="14"/>
    <n v="0"/>
    <x v="0"/>
    <x v="0"/>
    <x v="2"/>
    <x v="1"/>
    <x v="1"/>
    <x v="0"/>
    <n v="0"/>
    <n v="0"/>
    <n v="25"/>
    <n v="10"/>
    <n v="7"/>
    <n v="6"/>
    <n v="23"/>
    <n v="8"/>
    <x v="2"/>
  </r>
  <r>
    <x v="659"/>
    <n v="47111"/>
    <n v="0"/>
    <n v="1"/>
    <n v="35"/>
    <n v="595"/>
    <n v="71"/>
    <n v="153"/>
    <n v="120"/>
    <n v="112"/>
    <n v="41"/>
    <n v="6"/>
    <n v="3"/>
    <n v="2"/>
    <n v="10"/>
    <n v="9"/>
    <n v="0"/>
    <n v="0"/>
    <n v="0"/>
    <n v="0"/>
    <n v="0"/>
    <x v="0"/>
    <n v="0"/>
    <n v="3"/>
    <n v="11"/>
    <n v="0"/>
    <n v="49"/>
    <n v="2818"/>
    <n v="7.720547945205479"/>
    <n v="0"/>
    <n v="0"/>
    <n v="0"/>
    <n v="0"/>
    <n v="1"/>
    <n v="0"/>
    <n v="0"/>
    <n v="0"/>
    <n v="0"/>
    <n v="1"/>
    <n v="1051"/>
    <n v="1010"/>
    <n v="41"/>
    <n v="0"/>
    <x v="0"/>
    <x v="0"/>
    <x v="4"/>
    <x v="1"/>
    <x v="3"/>
    <x v="0"/>
    <n v="1"/>
    <n v="0"/>
    <n v="30"/>
    <n v="7"/>
    <n v="8"/>
    <n v="7"/>
    <n v="22"/>
    <n v="8"/>
    <x v="2"/>
  </r>
  <r>
    <x v="660"/>
    <n v="50353"/>
    <n v="0"/>
    <n v="0"/>
    <n v="72"/>
    <n v="141"/>
    <n v="15"/>
    <n v="153"/>
    <n v="67"/>
    <n v="31"/>
    <n v="35"/>
    <n v="1"/>
    <n v="4"/>
    <n v="4"/>
    <n v="6"/>
    <n v="3"/>
    <n v="0"/>
    <n v="0"/>
    <n v="0"/>
    <n v="0"/>
    <n v="0"/>
    <x v="0"/>
    <n v="0"/>
    <n v="3"/>
    <n v="11"/>
    <n v="0"/>
    <n v="43"/>
    <n v="2180"/>
    <n v="5.9726027397260273"/>
    <n v="0"/>
    <n v="1"/>
    <n v="0"/>
    <n v="0"/>
    <n v="0"/>
    <n v="0"/>
    <n v="0"/>
    <n v="0"/>
    <n v="1"/>
    <n v="0"/>
    <n v="407"/>
    <n v="372"/>
    <n v="35"/>
    <n v="0"/>
    <x v="1"/>
    <x v="1"/>
    <x v="0"/>
    <x v="1"/>
    <x v="2"/>
    <x v="0"/>
    <n v="1"/>
    <n v="0"/>
    <n v="18"/>
    <n v="3.0000000000000004"/>
    <n v="4"/>
    <n v="5"/>
    <n v="12"/>
    <n v="3"/>
    <x v="3"/>
  </r>
  <r>
    <x v="661"/>
    <n v="69932"/>
    <n v="0"/>
    <n v="1"/>
    <n v="97"/>
    <n v="412"/>
    <n v="172"/>
    <n v="153"/>
    <n v="150"/>
    <n v="105"/>
    <n v="57"/>
    <n v="2"/>
    <n v="7"/>
    <n v="6"/>
    <n v="11"/>
    <n v="4"/>
    <n v="0"/>
    <n v="0"/>
    <n v="0"/>
    <n v="0"/>
    <n v="0"/>
    <x v="0"/>
    <n v="0"/>
    <n v="3"/>
    <n v="11"/>
    <n v="0"/>
    <n v="56"/>
    <n v="2541"/>
    <n v="6.9616438356164387"/>
    <n v="1"/>
    <n v="0"/>
    <n v="0"/>
    <n v="0"/>
    <n v="0"/>
    <n v="0"/>
    <n v="0"/>
    <n v="1"/>
    <n v="0"/>
    <n v="0"/>
    <n v="992"/>
    <n v="935"/>
    <n v="57"/>
    <n v="0"/>
    <x v="0"/>
    <x v="0"/>
    <x v="3"/>
    <x v="0"/>
    <x v="2"/>
    <x v="1"/>
    <n v="1"/>
    <n v="1"/>
    <n v="30"/>
    <n v="0.99999999999999978"/>
    <n v="8"/>
    <n v="7"/>
    <n v="16"/>
    <n v="5"/>
    <x v="1"/>
  </r>
  <r>
    <x v="662"/>
    <n v="53378"/>
    <n v="1"/>
    <n v="1"/>
    <n v="41"/>
    <n v="489"/>
    <n v="6"/>
    <n v="152"/>
    <n v="8"/>
    <n v="6"/>
    <n v="132"/>
    <n v="10"/>
    <n v="9"/>
    <n v="4"/>
    <n v="6"/>
    <n v="8"/>
    <n v="0"/>
    <n v="0"/>
    <n v="0"/>
    <n v="0"/>
    <n v="0"/>
    <x v="0"/>
    <n v="0"/>
    <n v="3"/>
    <n v="11"/>
    <n v="1"/>
    <n v="57"/>
    <n v="2802"/>
    <n v="7.6767123287671231"/>
    <n v="0"/>
    <n v="1"/>
    <n v="0"/>
    <n v="0"/>
    <n v="0"/>
    <n v="0"/>
    <n v="0"/>
    <n v="0"/>
    <n v="0"/>
    <n v="1"/>
    <n v="661"/>
    <n v="529"/>
    <n v="132"/>
    <n v="0"/>
    <x v="0"/>
    <x v="0"/>
    <x v="0"/>
    <x v="1"/>
    <x v="2"/>
    <x v="1"/>
    <n v="1"/>
    <n v="0"/>
    <n v="37"/>
    <n v="6"/>
    <n v="9"/>
    <n v="6"/>
    <n v="21"/>
    <n v="8"/>
    <x v="2"/>
  </r>
  <r>
    <x v="663"/>
    <n v="66476"/>
    <n v="0"/>
    <n v="1"/>
    <n v="80"/>
    <n v="742"/>
    <n v="28"/>
    <n v="152"/>
    <n v="25"/>
    <n v="9"/>
    <n v="57"/>
    <n v="2"/>
    <n v="6"/>
    <n v="8"/>
    <n v="10"/>
    <n v="4"/>
    <n v="0"/>
    <n v="0"/>
    <n v="0"/>
    <n v="0"/>
    <n v="0"/>
    <x v="0"/>
    <n v="0"/>
    <n v="3"/>
    <n v="11"/>
    <n v="0"/>
    <n v="51"/>
    <n v="2366"/>
    <n v="6.4821917808219176"/>
    <n v="0"/>
    <n v="0"/>
    <n v="0"/>
    <n v="1"/>
    <n v="0"/>
    <n v="0"/>
    <n v="0"/>
    <n v="0"/>
    <n v="1"/>
    <n v="0"/>
    <n v="956"/>
    <n v="899"/>
    <n v="57"/>
    <n v="0"/>
    <x v="0"/>
    <x v="0"/>
    <x v="2"/>
    <x v="1"/>
    <x v="2"/>
    <x v="1"/>
    <n v="1"/>
    <n v="0"/>
    <n v="30"/>
    <n v="1.9999999999999996"/>
    <n v="8"/>
    <n v="7"/>
    <n v="17"/>
    <n v="6"/>
    <x v="1"/>
  </r>
  <r>
    <x v="664"/>
    <n v="78710"/>
    <n v="0"/>
    <n v="1"/>
    <n v="42"/>
    <n v="721"/>
    <n v="0"/>
    <n v="152"/>
    <n v="119"/>
    <n v="50"/>
    <n v="50"/>
    <n v="3"/>
    <n v="7"/>
    <n v="6"/>
    <n v="12"/>
    <n v="4"/>
    <n v="0"/>
    <n v="0"/>
    <n v="0"/>
    <n v="0"/>
    <n v="0"/>
    <x v="0"/>
    <n v="0"/>
    <n v="3"/>
    <n v="11"/>
    <n v="0"/>
    <n v="43"/>
    <n v="2196"/>
    <n v="6.0164383561643833"/>
    <n v="0"/>
    <n v="1"/>
    <n v="0"/>
    <n v="0"/>
    <n v="0"/>
    <n v="0"/>
    <n v="0"/>
    <n v="0"/>
    <n v="1"/>
    <n v="0"/>
    <n v="1042"/>
    <n v="992"/>
    <n v="50"/>
    <n v="0"/>
    <x v="0"/>
    <x v="0"/>
    <x v="0"/>
    <x v="1"/>
    <x v="1"/>
    <x v="0"/>
    <n v="1"/>
    <n v="0"/>
    <n v="32"/>
    <n v="6"/>
    <n v="9"/>
    <n v="7"/>
    <n v="22"/>
    <n v="8"/>
    <x v="2"/>
  </r>
  <r>
    <x v="665"/>
    <n v="52531"/>
    <n v="0"/>
    <n v="0"/>
    <n v="68"/>
    <n v="283"/>
    <n v="112"/>
    <n v="151"/>
    <n v="51"/>
    <n v="72"/>
    <n v="125"/>
    <n v="2"/>
    <n v="7"/>
    <n v="2"/>
    <n v="10"/>
    <n v="6"/>
    <n v="0"/>
    <n v="0"/>
    <n v="0"/>
    <n v="0"/>
    <n v="0"/>
    <x v="0"/>
    <n v="0"/>
    <n v="3"/>
    <n v="11"/>
    <n v="0"/>
    <n v="49"/>
    <n v="2705"/>
    <n v="7.4109589041095889"/>
    <n v="0"/>
    <n v="1"/>
    <n v="0"/>
    <n v="0"/>
    <n v="0"/>
    <n v="0"/>
    <n v="0"/>
    <n v="1"/>
    <n v="0"/>
    <n v="0"/>
    <n v="669"/>
    <n v="544"/>
    <n v="125"/>
    <n v="0"/>
    <x v="1"/>
    <x v="1"/>
    <x v="0"/>
    <x v="0"/>
    <x v="2"/>
    <x v="0"/>
    <n v="1"/>
    <n v="0"/>
    <n v="27"/>
    <n v="4"/>
    <n v="7"/>
    <n v="6"/>
    <n v="17"/>
    <n v="6"/>
    <x v="1"/>
  </r>
  <r>
    <x v="666"/>
    <n v="67353"/>
    <n v="0"/>
    <n v="1"/>
    <n v="37"/>
    <n v="702"/>
    <n v="17"/>
    <n v="151"/>
    <n v="0"/>
    <n v="8"/>
    <n v="35"/>
    <n v="5"/>
    <n v="5"/>
    <n v="6"/>
    <n v="12"/>
    <n v="2"/>
    <n v="0"/>
    <n v="0"/>
    <n v="0"/>
    <n v="0"/>
    <n v="0"/>
    <x v="0"/>
    <n v="0"/>
    <n v="3"/>
    <n v="11"/>
    <n v="0"/>
    <n v="50"/>
    <n v="2339"/>
    <n v="6.4082191780821915"/>
    <n v="0"/>
    <n v="1"/>
    <n v="0"/>
    <n v="0"/>
    <n v="0"/>
    <n v="0"/>
    <n v="0"/>
    <n v="0"/>
    <n v="0"/>
    <n v="1"/>
    <n v="878"/>
    <n v="843"/>
    <n v="35"/>
    <n v="0"/>
    <x v="0"/>
    <x v="0"/>
    <x v="0"/>
    <x v="1"/>
    <x v="2"/>
    <x v="0"/>
    <n v="1"/>
    <n v="0"/>
    <n v="30"/>
    <n v="7"/>
    <n v="8"/>
    <n v="7"/>
    <n v="22"/>
    <n v="8"/>
    <x v="2"/>
  </r>
  <r>
    <x v="667"/>
    <n v="83664"/>
    <n v="1"/>
    <n v="1"/>
    <n v="57"/>
    <n v="866"/>
    <n v="21"/>
    <n v="151"/>
    <n v="28"/>
    <n v="21"/>
    <n v="86"/>
    <n v="3"/>
    <n v="2"/>
    <n v="2"/>
    <n v="12"/>
    <n v="5"/>
    <n v="0"/>
    <n v="0"/>
    <n v="0"/>
    <n v="0"/>
    <n v="0"/>
    <x v="0"/>
    <n v="0"/>
    <n v="3"/>
    <n v="11"/>
    <n v="0"/>
    <n v="52"/>
    <n v="2576"/>
    <n v="7.0575342465753428"/>
    <n v="1"/>
    <n v="0"/>
    <n v="0"/>
    <n v="0"/>
    <n v="0"/>
    <n v="0"/>
    <n v="0"/>
    <n v="0"/>
    <n v="0"/>
    <n v="1"/>
    <n v="1087"/>
    <n v="1001"/>
    <n v="86"/>
    <n v="0"/>
    <x v="0"/>
    <x v="0"/>
    <x v="3"/>
    <x v="1"/>
    <x v="1"/>
    <x v="1"/>
    <n v="1"/>
    <n v="0"/>
    <n v="24"/>
    <n v="5"/>
    <n v="6"/>
    <n v="7"/>
    <n v="18"/>
    <n v="6"/>
    <x v="1"/>
  </r>
  <r>
    <x v="668"/>
    <n v="65640"/>
    <n v="0"/>
    <n v="1"/>
    <n v="74"/>
    <n v="204"/>
    <n v="7"/>
    <n v="149"/>
    <n v="20"/>
    <n v="15"/>
    <n v="66"/>
    <n v="1"/>
    <n v="5"/>
    <n v="1"/>
    <n v="8"/>
    <n v="2"/>
    <n v="0"/>
    <n v="0"/>
    <n v="0"/>
    <n v="0"/>
    <n v="0"/>
    <x v="0"/>
    <n v="0"/>
    <n v="3"/>
    <n v="11"/>
    <n v="0"/>
    <n v="46"/>
    <n v="2279"/>
    <n v="6.2438356164383562"/>
    <n v="0"/>
    <n v="0"/>
    <n v="0"/>
    <n v="1"/>
    <n v="0"/>
    <n v="0"/>
    <n v="0"/>
    <n v="0"/>
    <n v="0"/>
    <n v="1"/>
    <n v="395"/>
    <n v="329"/>
    <n v="66"/>
    <n v="0"/>
    <x v="0"/>
    <x v="0"/>
    <x v="2"/>
    <x v="1"/>
    <x v="2"/>
    <x v="0"/>
    <n v="1"/>
    <n v="0"/>
    <n v="17"/>
    <n v="3.0000000000000004"/>
    <n v="3"/>
    <n v="5"/>
    <n v="11"/>
    <n v="2"/>
    <x v="3"/>
  </r>
  <r>
    <x v="669"/>
    <n v="70337"/>
    <n v="0"/>
    <n v="0"/>
    <n v="75"/>
    <n v="187"/>
    <n v="81"/>
    <n v="149"/>
    <n v="25"/>
    <n v="43"/>
    <n v="91"/>
    <n v="1"/>
    <n v="2"/>
    <n v="2"/>
    <n v="12"/>
    <n v="1"/>
    <n v="0"/>
    <n v="0"/>
    <n v="0"/>
    <n v="0"/>
    <n v="0"/>
    <x v="0"/>
    <n v="0"/>
    <n v="3"/>
    <n v="11"/>
    <n v="0"/>
    <n v="41"/>
    <n v="2337"/>
    <n v="6.4027397260273968"/>
    <n v="0"/>
    <n v="0"/>
    <n v="1"/>
    <n v="0"/>
    <n v="0"/>
    <n v="0"/>
    <n v="0"/>
    <n v="1"/>
    <n v="0"/>
    <n v="0"/>
    <n v="485"/>
    <n v="394"/>
    <n v="91"/>
    <n v="0"/>
    <x v="1"/>
    <x v="1"/>
    <x v="1"/>
    <x v="0"/>
    <x v="2"/>
    <x v="0"/>
    <n v="1"/>
    <n v="0"/>
    <n v="18"/>
    <n v="3.0000000000000004"/>
    <n v="4"/>
    <n v="5"/>
    <n v="12"/>
    <n v="3"/>
    <x v="3"/>
  </r>
  <r>
    <x v="670"/>
    <n v="39552"/>
    <n v="1"/>
    <n v="1"/>
    <n v="54"/>
    <n v="165"/>
    <n v="3"/>
    <n v="147"/>
    <n v="4"/>
    <n v="24"/>
    <n v="41"/>
    <n v="7"/>
    <n v="6"/>
    <n v="2"/>
    <n v="5"/>
    <n v="8"/>
    <n v="0"/>
    <n v="0"/>
    <n v="0"/>
    <n v="0"/>
    <n v="0"/>
    <x v="0"/>
    <n v="0"/>
    <n v="3"/>
    <n v="11"/>
    <n v="1"/>
    <n v="58"/>
    <n v="2717"/>
    <n v="7.4438356164383563"/>
    <n v="1"/>
    <n v="0"/>
    <n v="0"/>
    <n v="0"/>
    <n v="0"/>
    <n v="0"/>
    <n v="0"/>
    <n v="1"/>
    <n v="0"/>
    <n v="0"/>
    <n v="343"/>
    <n v="302"/>
    <n v="41"/>
    <n v="0"/>
    <x v="0"/>
    <x v="0"/>
    <x v="3"/>
    <x v="0"/>
    <x v="3"/>
    <x v="1"/>
    <n v="1"/>
    <n v="0"/>
    <n v="28"/>
    <n v="5"/>
    <n v="8"/>
    <n v="4"/>
    <n v="17"/>
    <n v="6"/>
    <x v="1"/>
  </r>
  <r>
    <x v="671"/>
    <n v="76624"/>
    <n v="0"/>
    <n v="1"/>
    <n v="68"/>
    <n v="411"/>
    <n v="106"/>
    <n v="147"/>
    <n v="54"/>
    <n v="115"/>
    <n v="66"/>
    <n v="1"/>
    <n v="5"/>
    <n v="10"/>
    <n v="7"/>
    <n v="1"/>
    <n v="0"/>
    <n v="0"/>
    <n v="1"/>
    <n v="0"/>
    <n v="0"/>
    <x v="1"/>
    <n v="0"/>
    <n v="3"/>
    <n v="11"/>
    <n v="0"/>
    <n v="58"/>
    <n v="2195"/>
    <n v="6.0136986301369859"/>
    <n v="0"/>
    <n v="0"/>
    <n v="1"/>
    <n v="0"/>
    <n v="0"/>
    <n v="0"/>
    <n v="0"/>
    <n v="1"/>
    <n v="0"/>
    <n v="0"/>
    <n v="833"/>
    <n v="767"/>
    <n v="66"/>
    <n v="1"/>
    <x v="0"/>
    <x v="0"/>
    <x v="1"/>
    <x v="0"/>
    <x v="1"/>
    <x v="1"/>
    <n v="1"/>
    <n v="0"/>
    <n v="24"/>
    <n v="4"/>
    <n v="6"/>
    <n v="6"/>
    <n v="16"/>
    <n v="5"/>
    <x v="1"/>
  </r>
  <r>
    <x v="672"/>
    <n v="81300"/>
    <n v="0"/>
    <n v="1"/>
    <n v="17"/>
    <n v="1004"/>
    <n v="12"/>
    <n v="145"/>
    <n v="32"/>
    <n v="12"/>
    <n v="36"/>
    <n v="3"/>
    <n v="10"/>
    <n v="3"/>
    <n v="5"/>
    <n v="5"/>
    <n v="1"/>
    <n v="0"/>
    <n v="0"/>
    <n v="0"/>
    <n v="0"/>
    <x v="1"/>
    <n v="0"/>
    <n v="3"/>
    <n v="11"/>
    <n v="1"/>
    <n v="57"/>
    <n v="2766"/>
    <n v="7.5780821917808217"/>
    <n v="0"/>
    <n v="1"/>
    <n v="0"/>
    <n v="0"/>
    <n v="0"/>
    <n v="0"/>
    <n v="0"/>
    <n v="0"/>
    <n v="0"/>
    <n v="1"/>
    <n v="1205"/>
    <n v="1169"/>
    <n v="36"/>
    <n v="1"/>
    <x v="0"/>
    <x v="0"/>
    <x v="0"/>
    <x v="1"/>
    <x v="1"/>
    <x v="1"/>
    <n v="0"/>
    <n v="0"/>
    <n v="26"/>
    <n v="9"/>
    <n v="7"/>
    <n v="8"/>
    <n v="24"/>
    <n v="9"/>
    <x v="0"/>
  </r>
  <r>
    <x v="673"/>
    <n v="56337"/>
    <n v="1"/>
    <n v="1"/>
    <n v="25"/>
    <n v="349"/>
    <n v="16"/>
    <n v="144"/>
    <n v="28"/>
    <n v="5"/>
    <n v="182"/>
    <n v="5"/>
    <n v="8"/>
    <n v="5"/>
    <n v="4"/>
    <n v="8"/>
    <n v="1"/>
    <n v="0"/>
    <n v="1"/>
    <n v="0"/>
    <n v="0"/>
    <x v="1"/>
    <n v="0"/>
    <n v="3"/>
    <n v="11"/>
    <n v="1"/>
    <n v="39"/>
    <n v="2618"/>
    <n v="7.1726027397260275"/>
    <n v="0"/>
    <n v="1"/>
    <n v="0"/>
    <n v="0"/>
    <n v="0"/>
    <n v="1"/>
    <n v="0"/>
    <n v="0"/>
    <n v="0"/>
    <n v="0"/>
    <n v="542"/>
    <n v="360"/>
    <n v="182"/>
    <n v="2"/>
    <x v="0"/>
    <x v="0"/>
    <x v="0"/>
    <x v="1"/>
    <x v="2"/>
    <x v="3"/>
    <n v="0"/>
    <n v="0"/>
    <n v="30"/>
    <n v="8"/>
    <n v="8"/>
    <n v="5"/>
    <n v="21"/>
    <n v="8"/>
    <x v="2"/>
  </r>
  <r>
    <x v="674"/>
    <n v="57937"/>
    <n v="0"/>
    <n v="1"/>
    <n v="56"/>
    <n v="261"/>
    <n v="42"/>
    <n v="144"/>
    <n v="55"/>
    <n v="48"/>
    <n v="133"/>
    <n v="3"/>
    <n v="4"/>
    <n v="4"/>
    <n v="9"/>
    <n v="3"/>
    <n v="0"/>
    <n v="0"/>
    <n v="0"/>
    <n v="0"/>
    <n v="0"/>
    <x v="0"/>
    <n v="0"/>
    <n v="3"/>
    <n v="11"/>
    <n v="0"/>
    <n v="38"/>
    <n v="2292"/>
    <n v="6.279452054794521"/>
    <n v="0"/>
    <n v="1"/>
    <n v="0"/>
    <n v="0"/>
    <n v="0"/>
    <n v="1"/>
    <n v="0"/>
    <n v="0"/>
    <n v="0"/>
    <n v="0"/>
    <n v="550"/>
    <n v="417"/>
    <n v="133"/>
    <n v="0"/>
    <x v="0"/>
    <x v="0"/>
    <x v="0"/>
    <x v="1"/>
    <x v="2"/>
    <x v="3"/>
    <n v="1"/>
    <n v="0"/>
    <n v="23"/>
    <n v="5"/>
    <n v="6"/>
    <n v="5"/>
    <n v="16"/>
    <n v="5"/>
    <x v="1"/>
  </r>
  <r>
    <x v="675"/>
    <n v="61996"/>
    <n v="0"/>
    <n v="1"/>
    <n v="27"/>
    <n v="1050"/>
    <n v="12"/>
    <n v="144"/>
    <n v="0"/>
    <n v="0"/>
    <n v="24"/>
    <n v="3"/>
    <n v="6"/>
    <n v="4"/>
    <n v="8"/>
    <n v="5"/>
    <n v="1"/>
    <n v="1"/>
    <n v="0"/>
    <n v="1"/>
    <n v="0"/>
    <x v="1"/>
    <n v="0"/>
    <n v="3"/>
    <n v="11"/>
    <n v="1"/>
    <n v="43"/>
    <n v="2673"/>
    <n v="7.3232876712328769"/>
    <n v="0"/>
    <n v="1"/>
    <n v="0"/>
    <n v="0"/>
    <n v="0"/>
    <n v="0"/>
    <n v="0"/>
    <n v="0"/>
    <n v="0"/>
    <n v="1"/>
    <n v="1206"/>
    <n v="1182"/>
    <n v="24"/>
    <n v="3"/>
    <x v="0"/>
    <x v="0"/>
    <x v="0"/>
    <x v="1"/>
    <x v="2"/>
    <x v="0"/>
    <n v="0"/>
    <n v="0"/>
    <n v="26"/>
    <n v="8"/>
    <n v="7"/>
    <n v="8"/>
    <n v="23"/>
    <n v="8"/>
    <x v="2"/>
  </r>
  <r>
    <x v="676"/>
    <n v="44802"/>
    <n v="0"/>
    <n v="0"/>
    <n v="71"/>
    <n v="853"/>
    <n v="10"/>
    <n v="143"/>
    <n v="13"/>
    <n v="10"/>
    <n v="20"/>
    <n v="2"/>
    <n v="9"/>
    <n v="4"/>
    <n v="12"/>
    <n v="8"/>
    <n v="0"/>
    <n v="0"/>
    <n v="0"/>
    <n v="0"/>
    <n v="0"/>
    <x v="0"/>
    <n v="0"/>
    <n v="3"/>
    <n v="11"/>
    <n v="0"/>
    <n v="50"/>
    <n v="2836"/>
    <n v="7.7698630136986298"/>
    <n v="0"/>
    <n v="0"/>
    <n v="1"/>
    <n v="0"/>
    <n v="0"/>
    <n v="0"/>
    <n v="0"/>
    <n v="0"/>
    <n v="1"/>
    <n v="0"/>
    <n v="1029"/>
    <n v="1009"/>
    <n v="20"/>
    <n v="0"/>
    <x v="1"/>
    <x v="1"/>
    <x v="1"/>
    <x v="1"/>
    <x v="3"/>
    <x v="0"/>
    <n v="1"/>
    <n v="0"/>
    <n v="35"/>
    <n v="3.0000000000000004"/>
    <n v="9"/>
    <n v="7"/>
    <n v="19"/>
    <n v="7"/>
    <x v="2"/>
  </r>
  <r>
    <x v="677"/>
    <n v="50729"/>
    <n v="1"/>
    <n v="1"/>
    <n v="62"/>
    <n v="239"/>
    <n v="13"/>
    <n v="143"/>
    <n v="45"/>
    <n v="4"/>
    <n v="52"/>
    <n v="9"/>
    <n v="6"/>
    <n v="2"/>
    <n v="7"/>
    <n v="6"/>
    <n v="0"/>
    <n v="0"/>
    <n v="0"/>
    <n v="0"/>
    <n v="0"/>
    <x v="0"/>
    <n v="0"/>
    <n v="3"/>
    <n v="11"/>
    <n v="0"/>
    <n v="62"/>
    <n v="2582"/>
    <n v="7.0739726027397261"/>
    <n v="0"/>
    <n v="0"/>
    <n v="1"/>
    <n v="0"/>
    <n v="0"/>
    <n v="0"/>
    <n v="0"/>
    <n v="0"/>
    <n v="0"/>
    <n v="1"/>
    <n v="444"/>
    <n v="392"/>
    <n v="52"/>
    <n v="0"/>
    <x v="0"/>
    <x v="0"/>
    <x v="1"/>
    <x v="1"/>
    <x v="2"/>
    <x v="2"/>
    <n v="1"/>
    <n v="0"/>
    <n v="30"/>
    <n v="4"/>
    <n v="8"/>
    <n v="5"/>
    <n v="17"/>
    <n v="6"/>
    <x v="1"/>
  </r>
  <r>
    <x v="678"/>
    <n v="59462"/>
    <n v="0"/>
    <n v="1"/>
    <n v="29"/>
    <n v="724"/>
    <n v="17"/>
    <n v="143"/>
    <n v="0"/>
    <n v="8"/>
    <n v="196"/>
    <n v="2"/>
    <n v="9"/>
    <n v="2"/>
    <n v="12"/>
    <n v="7"/>
    <n v="0"/>
    <n v="0"/>
    <n v="0"/>
    <n v="0"/>
    <n v="0"/>
    <x v="0"/>
    <n v="0"/>
    <n v="3"/>
    <n v="11"/>
    <n v="0"/>
    <n v="70"/>
    <n v="2699"/>
    <n v="7.3945205479452056"/>
    <n v="0"/>
    <n v="1"/>
    <n v="0"/>
    <n v="0"/>
    <n v="0"/>
    <n v="0"/>
    <n v="0"/>
    <n v="1"/>
    <n v="0"/>
    <n v="0"/>
    <n v="892"/>
    <n v="696"/>
    <n v="196"/>
    <n v="0"/>
    <x v="0"/>
    <x v="0"/>
    <x v="0"/>
    <x v="0"/>
    <x v="2"/>
    <x v="2"/>
    <n v="0"/>
    <n v="0"/>
    <n v="32"/>
    <n v="8"/>
    <n v="9"/>
    <n v="7"/>
    <n v="24"/>
    <n v="9"/>
    <x v="0"/>
  </r>
  <r>
    <x v="679"/>
    <n v="41003"/>
    <n v="0"/>
    <n v="0"/>
    <n v="11"/>
    <n v="123"/>
    <n v="133"/>
    <n v="142"/>
    <n v="71"/>
    <n v="44"/>
    <n v="88"/>
    <n v="1"/>
    <n v="6"/>
    <n v="2"/>
    <n v="8"/>
    <n v="6"/>
    <n v="0"/>
    <n v="0"/>
    <n v="0"/>
    <n v="0"/>
    <n v="0"/>
    <x v="0"/>
    <n v="0"/>
    <n v="3"/>
    <n v="11"/>
    <n v="0"/>
    <n v="57"/>
    <n v="2628"/>
    <n v="7.2"/>
    <n v="1"/>
    <n v="0"/>
    <n v="0"/>
    <n v="0"/>
    <n v="0"/>
    <n v="0"/>
    <n v="0"/>
    <n v="0"/>
    <n v="0"/>
    <n v="1"/>
    <n v="513"/>
    <n v="425"/>
    <n v="88"/>
    <n v="0"/>
    <x v="1"/>
    <x v="1"/>
    <x v="3"/>
    <x v="1"/>
    <x v="3"/>
    <x v="1"/>
    <n v="0"/>
    <n v="0"/>
    <n v="23"/>
    <n v="9"/>
    <n v="6"/>
    <n v="5"/>
    <n v="20"/>
    <n v="7"/>
    <x v="2"/>
  </r>
  <r>
    <x v="680"/>
    <n v="52614"/>
    <n v="0"/>
    <n v="1"/>
    <n v="63"/>
    <n v="789"/>
    <n v="0"/>
    <n v="142"/>
    <n v="12"/>
    <n v="9"/>
    <n v="38"/>
    <n v="2"/>
    <n v="2"/>
    <n v="4"/>
    <n v="8"/>
    <n v="8"/>
    <n v="0"/>
    <n v="0"/>
    <n v="0"/>
    <n v="0"/>
    <n v="0"/>
    <x v="0"/>
    <n v="0"/>
    <n v="3"/>
    <n v="11"/>
    <n v="0"/>
    <n v="45"/>
    <n v="2734"/>
    <n v="7.4904109589041097"/>
    <n v="0"/>
    <n v="0"/>
    <n v="1"/>
    <n v="0"/>
    <n v="0"/>
    <n v="0"/>
    <n v="0"/>
    <n v="0"/>
    <n v="0"/>
    <n v="1"/>
    <n v="952"/>
    <n v="914"/>
    <n v="38"/>
    <n v="0"/>
    <x v="0"/>
    <x v="0"/>
    <x v="1"/>
    <x v="1"/>
    <x v="2"/>
    <x v="0"/>
    <n v="1"/>
    <n v="0"/>
    <n v="24"/>
    <n v="4"/>
    <n v="6"/>
    <n v="7"/>
    <n v="17"/>
    <n v="6"/>
    <x v="1"/>
  </r>
  <r>
    <x v="681"/>
    <n v="54693"/>
    <n v="0"/>
    <n v="1"/>
    <n v="72"/>
    <n v="686"/>
    <n v="17"/>
    <n v="142"/>
    <n v="23"/>
    <n v="26"/>
    <n v="35"/>
    <n v="8"/>
    <n v="6"/>
    <n v="4"/>
    <n v="13"/>
    <n v="6"/>
    <n v="0"/>
    <n v="0"/>
    <n v="0"/>
    <n v="0"/>
    <n v="0"/>
    <x v="0"/>
    <n v="0"/>
    <n v="3"/>
    <n v="11"/>
    <n v="0"/>
    <n v="58"/>
    <n v="2656"/>
    <n v="7.2767123287671236"/>
    <n v="0"/>
    <n v="1"/>
    <n v="0"/>
    <n v="0"/>
    <n v="0"/>
    <n v="0"/>
    <n v="0"/>
    <n v="0"/>
    <n v="0"/>
    <n v="1"/>
    <n v="894"/>
    <n v="859"/>
    <n v="35"/>
    <n v="0"/>
    <x v="0"/>
    <x v="0"/>
    <x v="0"/>
    <x v="1"/>
    <x v="2"/>
    <x v="1"/>
    <n v="1"/>
    <n v="0"/>
    <n v="37"/>
    <n v="3.0000000000000004"/>
    <n v="9"/>
    <n v="7"/>
    <n v="19"/>
    <n v="7"/>
    <x v="2"/>
  </r>
  <r>
    <x v="682"/>
    <n v="63381"/>
    <n v="0"/>
    <n v="1"/>
    <n v="78"/>
    <n v="571"/>
    <n v="50"/>
    <n v="142"/>
    <n v="33"/>
    <n v="50"/>
    <n v="159"/>
    <n v="4"/>
    <n v="4"/>
    <n v="5"/>
    <n v="13"/>
    <n v="2"/>
    <n v="0"/>
    <n v="0"/>
    <n v="0"/>
    <n v="0"/>
    <n v="0"/>
    <x v="0"/>
    <n v="0"/>
    <n v="3"/>
    <n v="11"/>
    <n v="0"/>
    <n v="60"/>
    <n v="2791"/>
    <n v="7.646575342465753"/>
    <n v="0"/>
    <n v="0"/>
    <n v="0"/>
    <n v="1"/>
    <n v="0"/>
    <n v="0"/>
    <n v="0"/>
    <n v="1"/>
    <n v="0"/>
    <n v="0"/>
    <n v="846"/>
    <n v="687"/>
    <n v="159"/>
    <n v="0"/>
    <x v="0"/>
    <x v="0"/>
    <x v="2"/>
    <x v="0"/>
    <x v="2"/>
    <x v="1"/>
    <n v="1"/>
    <n v="0"/>
    <n v="28"/>
    <n v="3.0000000000000004"/>
    <n v="8"/>
    <n v="6"/>
    <n v="17"/>
    <n v="6"/>
    <x v="1"/>
  </r>
  <r>
    <x v="683"/>
    <n v="67893"/>
    <n v="0"/>
    <n v="1"/>
    <n v="31"/>
    <n v="711"/>
    <n v="28"/>
    <n v="142"/>
    <n v="49"/>
    <n v="18"/>
    <n v="47"/>
    <n v="2"/>
    <n v="3"/>
    <n v="2"/>
    <n v="9"/>
    <n v="8"/>
    <n v="0"/>
    <n v="0"/>
    <n v="0"/>
    <n v="0"/>
    <n v="0"/>
    <x v="0"/>
    <n v="0"/>
    <n v="3"/>
    <n v="11"/>
    <n v="0"/>
    <n v="45"/>
    <n v="2795"/>
    <n v="7.6575342465753424"/>
    <n v="1"/>
    <n v="0"/>
    <n v="0"/>
    <n v="0"/>
    <n v="0"/>
    <n v="1"/>
    <n v="0"/>
    <n v="0"/>
    <n v="0"/>
    <n v="0"/>
    <n v="948"/>
    <n v="901"/>
    <n v="47"/>
    <n v="0"/>
    <x v="0"/>
    <x v="0"/>
    <x v="3"/>
    <x v="1"/>
    <x v="2"/>
    <x v="0"/>
    <n v="1"/>
    <n v="0"/>
    <n v="24"/>
    <n v="7"/>
    <n v="6"/>
    <n v="7"/>
    <n v="20"/>
    <n v="7"/>
    <x v="2"/>
  </r>
  <r>
    <x v="684"/>
    <n v="70379"/>
    <n v="0"/>
    <n v="1"/>
    <n v="84"/>
    <n v="553"/>
    <n v="25"/>
    <n v="142"/>
    <n v="65"/>
    <n v="67"/>
    <n v="8"/>
    <n v="3"/>
    <n v="6"/>
    <n v="3"/>
    <n v="13"/>
    <n v="4"/>
    <n v="0"/>
    <n v="0"/>
    <n v="0"/>
    <n v="0"/>
    <n v="0"/>
    <x v="0"/>
    <n v="0"/>
    <n v="3"/>
    <n v="11"/>
    <n v="0"/>
    <n v="44"/>
    <n v="2642"/>
    <n v="7.2383561643835614"/>
    <n v="0"/>
    <n v="0"/>
    <n v="1"/>
    <n v="0"/>
    <n v="0"/>
    <n v="0"/>
    <n v="0"/>
    <n v="0"/>
    <n v="1"/>
    <n v="0"/>
    <n v="852"/>
    <n v="844"/>
    <n v="8"/>
    <n v="0"/>
    <x v="0"/>
    <x v="0"/>
    <x v="1"/>
    <x v="1"/>
    <x v="2"/>
    <x v="0"/>
    <n v="1"/>
    <n v="0"/>
    <n v="29"/>
    <n v="1.9999999999999996"/>
    <n v="8"/>
    <n v="7"/>
    <n v="17"/>
    <n v="6"/>
    <x v="1"/>
  </r>
  <r>
    <x v="685"/>
    <n v="32644"/>
    <n v="1"/>
    <n v="0"/>
    <n v="38"/>
    <n v="239"/>
    <n v="3"/>
    <n v="141"/>
    <n v="0"/>
    <n v="7"/>
    <n v="23"/>
    <n v="4"/>
    <n v="7"/>
    <n v="1"/>
    <n v="6"/>
    <n v="8"/>
    <n v="0"/>
    <n v="0"/>
    <n v="1"/>
    <n v="0"/>
    <n v="0"/>
    <x v="1"/>
    <n v="0"/>
    <n v="3"/>
    <n v="11"/>
    <n v="0"/>
    <n v="47"/>
    <n v="2688"/>
    <n v="7.3643835616438356"/>
    <n v="0"/>
    <n v="1"/>
    <n v="0"/>
    <n v="0"/>
    <n v="0"/>
    <n v="0"/>
    <n v="0"/>
    <n v="0"/>
    <n v="0"/>
    <n v="1"/>
    <n v="390"/>
    <n v="367"/>
    <n v="23"/>
    <n v="1"/>
    <x v="0"/>
    <x v="0"/>
    <x v="0"/>
    <x v="1"/>
    <x v="0"/>
    <x v="0"/>
    <n v="1"/>
    <n v="0"/>
    <n v="26"/>
    <n v="7"/>
    <n v="7"/>
    <n v="5"/>
    <n v="19"/>
    <n v="7"/>
    <x v="2"/>
  </r>
  <r>
    <x v="686"/>
    <n v="35196"/>
    <n v="1"/>
    <n v="0"/>
    <n v="68"/>
    <n v="75"/>
    <n v="12"/>
    <n v="141"/>
    <n v="43"/>
    <n v="39"/>
    <n v="187"/>
    <n v="6"/>
    <n v="6"/>
    <n v="1"/>
    <n v="5"/>
    <n v="8"/>
    <n v="0"/>
    <n v="0"/>
    <n v="0"/>
    <n v="0"/>
    <n v="0"/>
    <x v="0"/>
    <n v="0"/>
    <n v="3"/>
    <n v="11"/>
    <n v="1"/>
    <n v="36"/>
    <n v="2752"/>
    <n v="7.5397260273972604"/>
    <n v="0"/>
    <n v="0"/>
    <n v="0"/>
    <n v="1"/>
    <n v="0"/>
    <n v="0"/>
    <n v="0"/>
    <n v="1"/>
    <n v="0"/>
    <n v="0"/>
    <n v="310"/>
    <n v="123"/>
    <n v="187"/>
    <n v="0"/>
    <x v="0"/>
    <x v="0"/>
    <x v="2"/>
    <x v="0"/>
    <x v="3"/>
    <x v="3"/>
    <n v="1"/>
    <n v="0"/>
    <n v="26"/>
    <n v="4"/>
    <n v="7"/>
    <n v="4"/>
    <n v="15"/>
    <n v="4"/>
    <x v="3"/>
  </r>
  <r>
    <x v="687"/>
    <n v="35196"/>
    <n v="1"/>
    <n v="0"/>
    <n v="68"/>
    <n v="75"/>
    <n v="12"/>
    <n v="141"/>
    <n v="43"/>
    <n v="39"/>
    <n v="187"/>
    <n v="6"/>
    <n v="6"/>
    <n v="1"/>
    <n v="5"/>
    <n v="8"/>
    <n v="0"/>
    <n v="0"/>
    <n v="0"/>
    <n v="0"/>
    <n v="0"/>
    <x v="0"/>
    <n v="0"/>
    <n v="3"/>
    <n v="11"/>
    <n v="0"/>
    <n v="36"/>
    <n v="2752"/>
    <n v="7.5397260273972604"/>
    <n v="0"/>
    <n v="0"/>
    <n v="0"/>
    <n v="1"/>
    <n v="0"/>
    <n v="0"/>
    <n v="0"/>
    <n v="1"/>
    <n v="0"/>
    <n v="0"/>
    <n v="310"/>
    <n v="123"/>
    <n v="187"/>
    <n v="0"/>
    <x v="0"/>
    <x v="0"/>
    <x v="2"/>
    <x v="0"/>
    <x v="3"/>
    <x v="3"/>
    <n v="1"/>
    <n v="0"/>
    <n v="26"/>
    <n v="4"/>
    <n v="7"/>
    <n v="4"/>
    <n v="15"/>
    <n v="4"/>
    <x v="3"/>
  </r>
  <r>
    <x v="688"/>
    <n v="59809"/>
    <n v="0"/>
    <n v="2"/>
    <n v="36"/>
    <n v="598"/>
    <n v="16"/>
    <n v="141"/>
    <n v="32"/>
    <n v="41"/>
    <n v="49"/>
    <n v="3"/>
    <n v="3"/>
    <n v="3"/>
    <n v="6"/>
    <n v="8"/>
    <n v="0"/>
    <n v="0"/>
    <n v="0"/>
    <n v="0"/>
    <n v="0"/>
    <x v="0"/>
    <n v="0"/>
    <n v="3"/>
    <n v="11"/>
    <n v="0"/>
    <n v="44"/>
    <n v="2778"/>
    <n v="7.6109589041095891"/>
    <n v="0"/>
    <n v="1"/>
    <n v="0"/>
    <n v="0"/>
    <n v="0"/>
    <n v="0"/>
    <n v="0"/>
    <n v="1"/>
    <n v="0"/>
    <n v="0"/>
    <n v="828"/>
    <n v="779"/>
    <n v="49"/>
    <n v="0"/>
    <x v="0"/>
    <x v="0"/>
    <x v="0"/>
    <x v="0"/>
    <x v="2"/>
    <x v="0"/>
    <n v="1"/>
    <n v="0"/>
    <n v="23"/>
    <n v="7"/>
    <n v="6"/>
    <n v="6"/>
    <n v="19"/>
    <n v="7"/>
    <x v="2"/>
  </r>
  <r>
    <x v="689"/>
    <n v="63967"/>
    <n v="0"/>
    <n v="1"/>
    <n v="57"/>
    <n v="387"/>
    <n v="84"/>
    <n v="141"/>
    <n v="73"/>
    <n v="35"/>
    <n v="162"/>
    <n v="3"/>
    <n v="4"/>
    <n v="4"/>
    <n v="12"/>
    <n v="2"/>
    <n v="0"/>
    <n v="0"/>
    <n v="0"/>
    <n v="0"/>
    <n v="0"/>
    <x v="0"/>
    <n v="0"/>
    <n v="3"/>
    <n v="11"/>
    <n v="0"/>
    <n v="52"/>
    <n v="2483"/>
    <n v="6.8027397260273972"/>
    <n v="0"/>
    <n v="1"/>
    <n v="0"/>
    <n v="0"/>
    <n v="0"/>
    <n v="0"/>
    <n v="0"/>
    <n v="1"/>
    <n v="0"/>
    <n v="0"/>
    <n v="720"/>
    <n v="558"/>
    <n v="162"/>
    <n v="0"/>
    <x v="0"/>
    <x v="0"/>
    <x v="0"/>
    <x v="0"/>
    <x v="2"/>
    <x v="1"/>
    <n v="1"/>
    <n v="0"/>
    <n v="25"/>
    <n v="5"/>
    <n v="7"/>
    <n v="6"/>
    <n v="18"/>
    <n v="6"/>
    <x v="1"/>
  </r>
  <r>
    <x v="690"/>
    <n v="53367"/>
    <n v="1"/>
    <n v="1"/>
    <n v="2"/>
    <n v="229"/>
    <n v="7"/>
    <n v="140"/>
    <n v="10"/>
    <n v="3"/>
    <n v="11"/>
    <n v="7"/>
    <n v="5"/>
    <n v="1"/>
    <n v="8"/>
    <n v="7"/>
    <n v="0"/>
    <n v="0"/>
    <n v="0"/>
    <n v="0"/>
    <n v="0"/>
    <x v="0"/>
    <n v="0"/>
    <n v="3"/>
    <n v="11"/>
    <n v="1"/>
    <n v="46"/>
    <n v="2461"/>
    <n v="6.7424657534246579"/>
    <n v="1"/>
    <n v="0"/>
    <n v="0"/>
    <n v="0"/>
    <n v="0"/>
    <n v="0"/>
    <n v="0"/>
    <n v="0"/>
    <n v="1"/>
    <n v="0"/>
    <n v="389"/>
    <n v="378"/>
    <n v="11"/>
    <n v="0"/>
    <x v="0"/>
    <x v="0"/>
    <x v="3"/>
    <x v="1"/>
    <x v="2"/>
    <x v="0"/>
    <n v="0"/>
    <n v="0"/>
    <n v="28"/>
    <n v="10"/>
    <n v="8"/>
    <n v="5"/>
    <n v="23"/>
    <n v="8"/>
    <x v="2"/>
  </r>
  <r>
    <x v="691"/>
    <n v="55284"/>
    <n v="0"/>
    <n v="1"/>
    <n v="60"/>
    <n v="547"/>
    <n v="7"/>
    <n v="140"/>
    <n v="0"/>
    <n v="7"/>
    <n v="63"/>
    <n v="3"/>
    <n v="7"/>
    <n v="5"/>
    <n v="8"/>
    <n v="5"/>
    <n v="0"/>
    <n v="0"/>
    <n v="0"/>
    <n v="0"/>
    <n v="0"/>
    <x v="0"/>
    <n v="0"/>
    <n v="3"/>
    <n v="11"/>
    <n v="0"/>
    <n v="64"/>
    <n v="2711"/>
    <n v="7.4273972602739722"/>
    <n v="0"/>
    <n v="0"/>
    <n v="1"/>
    <n v="0"/>
    <n v="0"/>
    <n v="0"/>
    <n v="0"/>
    <n v="0"/>
    <n v="1"/>
    <n v="0"/>
    <n v="701"/>
    <n v="638"/>
    <n v="63"/>
    <n v="0"/>
    <x v="0"/>
    <x v="0"/>
    <x v="1"/>
    <x v="1"/>
    <x v="2"/>
    <x v="2"/>
    <n v="1"/>
    <n v="0"/>
    <n v="28"/>
    <n v="4"/>
    <n v="8"/>
    <n v="6"/>
    <n v="18"/>
    <n v="6"/>
    <x v="1"/>
  </r>
  <r>
    <x v="692"/>
    <n v="64355"/>
    <n v="1"/>
    <n v="0"/>
    <n v="66"/>
    <n v="1047"/>
    <n v="0"/>
    <n v="140"/>
    <n v="67"/>
    <n v="38"/>
    <n v="153"/>
    <n v="2"/>
    <n v="4"/>
    <n v="3"/>
    <n v="12"/>
    <n v="8"/>
    <n v="0"/>
    <n v="0"/>
    <n v="0"/>
    <n v="0"/>
    <n v="0"/>
    <x v="0"/>
    <n v="0"/>
    <n v="3"/>
    <n v="11"/>
    <n v="0"/>
    <n v="35"/>
    <n v="2833"/>
    <n v="7.7616438356164386"/>
    <n v="0"/>
    <n v="1"/>
    <n v="0"/>
    <n v="0"/>
    <n v="0"/>
    <n v="0"/>
    <n v="0"/>
    <n v="0"/>
    <n v="0"/>
    <n v="1"/>
    <n v="1292"/>
    <n v="1139"/>
    <n v="153"/>
    <n v="0"/>
    <x v="0"/>
    <x v="0"/>
    <x v="0"/>
    <x v="1"/>
    <x v="2"/>
    <x v="3"/>
    <n v="1"/>
    <n v="0"/>
    <n v="29"/>
    <n v="4"/>
    <n v="8"/>
    <n v="8"/>
    <n v="20"/>
    <n v="7"/>
    <x v="2"/>
  </r>
  <r>
    <x v="693"/>
    <n v="71819"/>
    <n v="0"/>
    <n v="1"/>
    <n v="70"/>
    <n v="1224"/>
    <n v="28"/>
    <n v="140"/>
    <n v="0"/>
    <n v="14"/>
    <n v="168"/>
    <n v="3"/>
    <n v="3"/>
    <n v="3"/>
    <n v="5"/>
    <n v="6"/>
    <n v="0"/>
    <n v="0"/>
    <n v="0"/>
    <n v="1"/>
    <n v="1"/>
    <x v="1"/>
    <n v="0"/>
    <n v="3"/>
    <n v="11"/>
    <n v="0"/>
    <n v="49"/>
    <n v="2464"/>
    <n v="6.7506849315068491"/>
    <n v="0"/>
    <n v="0"/>
    <n v="0"/>
    <n v="1"/>
    <n v="0"/>
    <n v="0"/>
    <n v="0"/>
    <n v="1"/>
    <n v="0"/>
    <n v="0"/>
    <n v="1406"/>
    <n v="1238"/>
    <n v="168"/>
    <n v="2"/>
    <x v="0"/>
    <x v="0"/>
    <x v="2"/>
    <x v="0"/>
    <x v="2"/>
    <x v="0"/>
    <n v="1"/>
    <n v="0"/>
    <n v="20"/>
    <n v="3.0000000000000004"/>
    <n v="4"/>
    <n v="8"/>
    <n v="15"/>
    <n v="4"/>
    <x v="3"/>
  </r>
  <r>
    <x v="694"/>
    <n v="57537"/>
    <n v="1"/>
    <n v="0"/>
    <n v="83"/>
    <n v="191"/>
    <n v="56"/>
    <n v="139"/>
    <n v="51"/>
    <n v="8"/>
    <n v="100"/>
    <n v="4"/>
    <n v="4"/>
    <n v="3"/>
    <n v="8"/>
    <n v="4"/>
    <n v="0"/>
    <n v="0"/>
    <n v="0"/>
    <n v="0"/>
    <n v="0"/>
    <x v="0"/>
    <n v="0"/>
    <n v="3"/>
    <n v="11"/>
    <n v="0"/>
    <n v="41"/>
    <n v="2543"/>
    <n v="6.9671232876712326"/>
    <n v="0"/>
    <n v="0"/>
    <n v="1"/>
    <n v="0"/>
    <n v="0"/>
    <n v="0"/>
    <n v="0"/>
    <n v="1"/>
    <n v="0"/>
    <n v="0"/>
    <n v="445"/>
    <n v="345"/>
    <n v="100"/>
    <n v="0"/>
    <x v="0"/>
    <x v="0"/>
    <x v="1"/>
    <x v="0"/>
    <x v="2"/>
    <x v="0"/>
    <n v="1"/>
    <n v="0"/>
    <n v="23"/>
    <n v="1.9999999999999996"/>
    <n v="6"/>
    <n v="5"/>
    <n v="13"/>
    <n v="3"/>
    <x v="3"/>
  </r>
  <r>
    <x v="695"/>
    <n v="102160"/>
    <n v="0"/>
    <n v="0"/>
    <n v="54"/>
    <n v="763"/>
    <n v="29"/>
    <n v="138"/>
    <n v="76"/>
    <n v="176"/>
    <n v="58"/>
    <n v="0"/>
    <n v="7"/>
    <n v="9"/>
    <n v="10"/>
    <n v="4"/>
    <n v="1"/>
    <n v="0"/>
    <n v="0"/>
    <n v="1"/>
    <n v="1"/>
    <x v="1"/>
    <n v="0"/>
    <n v="3"/>
    <n v="11"/>
    <n v="1"/>
    <n v="43"/>
    <n v="2763"/>
    <n v="7.5698630136986305"/>
    <n v="0"/>
    <n v="0"/>
    <n v="0"/>
    <n v="1"/>
    <n v="0"/>
    <n v="0"/>
    <n v="0"/>
    <n v="0"/>
    <n v="0"/>
    <n v="1"/>
    <n v="1182"/>
    <n v="1124"/>
    <n v="58"/>
    <n v="3"/>
    <x v="1"/>
    <x v="1"/>
    <x v="2"/>
    <x v="1"/>
    <x v="1"/>
    <x v="0"/>
    <n v="1"/>
    <n v="0"/>
    <n v="30"/>
    <n v="5"/>
    <n v="8"/>
    <n v="8"/>
    <n v="21"/>
    <n v="8"/>
    <x v="2"/>
  </r>
  <r>
    <x v="696"/>
    <n v="32632"/>
    <n v="0"/>
    <n v="0"/>
    <n v="32"/>
    <n v="63"/>
    <n v="151"/>
    <n v="137"/>
    <n v="153"/>
    <n v="19"/>
    <n v="53"/>
    <n v="2"/>
    <n v="4"/>
    <n v="4"/>
    <n v="8"/>
    <n v="5"/>
    <n v="0"/>
    <n v="0"/>
    <n v="0"/>
    <n v="0"/>
    <n v="0"/>
    <x v="0"/>
    <n v="0"/>
    <n v="3"/>
    <n v="11"/>
    <n v="0"/>
    <n v="57"/>
    <n v="2855"/>
    <n v="7.8219178082191778"/>
    <n v="0"/>
    <n v="1"/>
    <n v="0"/>
    <n v="0"/>
    <n v="0"/>
    <n v="1"/>
    <n v="0"/>
    <n v="0"/>
    <n v="0"/>
    <n v="0"/>
    <n v="523"/>
    <n v="470"/>
    <n v="53"/>
    <n v="0"/>
    <x v="1"/>
    <x v="1"/>
    <x v="0"/>
    <x v="1"/>
    <x v="0"/>
    <x v="1"/>
    <n v="1"/>
    <n v="0"/>
    <n v="23"/>
    <n v="7"/>
    <n v="6"/>
    <n v="5"/>
    <n v="18"/>
    <n v="6"/>
    <x v="1"/>
  </r>
  <r>
    <x v="697"/>
    <n v="37070"/>
    <n v="1"/>
    <n v="1"/>
    <n v="30"/>
    <n v="231"/>
    <n v="7"/>
    <n v="137"/>
    <n v="4"/>
    <n v="15"/>
    <n v="39"/>
    <n v="9"/>
    <n v="5"/>
    <n v="1"/>
    <n v="8"/>
    <n v="7"/>
    <n v="0"/>
    <n v="0"/>
    <n v="0"/>
    <n v="0"/>
    <n v="0"/>
    <x v="0"/>
    <n v="0"/>
    <n v="3"/>
    <n v="11"/>
    <n v="1"/>
    <n v="54"/>
    <n v="2625"/>
    <n v="7.1917808219178081"/>
    <n v="0"/>
    <n v="0"/>
    <n v="1"/>
    <n v="0"/>
    <n v="0"/>
    <n v="0"/>
    <n v="0"/>
    <n v="1"/>
    <n v="0"/>
    <n v="0"/>
    <n v="394"/>
    <n v="355"/>
    <n v="39"/>
    <n v="0"/>
    <x v="0"/>
    <x v="0"/>
    <x v="1"/>
    <x v="0"/>
    <x v="3"/>
    <x v="1"/>
    <n v="0"/>
    <n v="0"/>
    <n v="30"/>
    <n v="7"/>
    <n v="8"/>
    <n v="5"/>
    <n v="20"/>
    <n v="7"/>
    <x v="2"/>
  </r>
  <r>
    <x v="698"/>
    <n v="41039"/>
    <n v="0"/>
    <n v="0"/>
    <n v="32"/>
    <n v="34"/>
    <n v="11"/>
    <n v="137"/>
    <n v="179"/>
    <n v="61"/>
    <n v="45"/>
    <n v="1"/>
    <n v="8"/>
    <n v="1"/>
    <n v="5"/>
    <n v="8"/>
    <n v="0"/>
    <n v="0"/>
    <n v="0"/>
    <n v="0"/>
    <n v="0"/>
    <x v="0"/>
    <n v="0"/>
    <n v="3"/>
    <n v="11"/>
    <n v="0"/>
    <n v="38"/>
    <n v="2498"/>
    <n v="6.8438356164383558"/>
    <n v="0"/>
    <n v="0"/>
    <n v="0"/>
    <n v="1"/>
    <n v="0"/>
    <n v="1"/>
    <n v="0"/>
    <n v="0"/>
    <n v="0"/>
    <n v="0"/>
    <n v="422"/>
    <n v="377"/>
    <n v="45"/>
    <n v="0"/>
    <x v="1"/>
    <x v="1"/>
    <x v="2"/>
    <x v="1"/>
    <x v="3"/>
    <x v="3"/>
    <n v="1"/>
    <n v="0"/>
    <n v="23"/>
    <n v="7"/>
    <n v="6"/>
    <n v="5"/>
    <n v="18"/>
    <n v="6"/>
    <x v="1"/>
  </r>
  <r>
    <x v="699"/>
    <n v="46734"/>
    <n v="0"/>
    <n v="1"/>
    <n v="40"/>
    <n v="110"/>
    <n v="5"/>
    <n v="137"/>
    <n v="26"/>
    <n v="23"/>
    <n v="29"/>
    <n v="2"/>
    <n v="6"/>
    <n v="1"/>
    <n v="5"/>
    <n v="7"/>
    <n v="0"/>
    <n v="0"/>
    <n v="0"/>
    <n v="0"/>
    <n v="0"/>
    <x v="0"/>
    <n v="0"/>
    <n v="3"/>
    <n v="11"/>
    <n v="0"/>
    <n v="66"/>
    <n v="2747"/>
    <n v="7.5260273972602736"/>
    <n v="0"/>
    <n v="1"/>
    <n v="0"/>
    <n v="0"/>
    <n v="0"/>
    <n v="0"/>
    <n v="0"/>
    <n v="1"/>
    <n v="0"/>
    <n v="0"/>
    <n v="301"/>
    <n v="272"/>
    <n v="29"/>
    <n v="0"/>
    <x v="0"/>
    <x v="0"/>
    <x v="0"/>
    <x v="0"/>
    <x v="3"/>
    <x v="2"/>
    <n v="1"/>
    <n v="0"/>
    <n v="21"/>
    <n v="6"/>
    <n v="5"/>
    <n v="4"/>
    <n v="15"/>
    <n v="4"/>
    <x v="3"/>
  </r>
  <r>
    <x v="700"/>
    <n v="54880"/>
    <n v="1"/>
    <n v="0"/>
    <n v="57"/>
    <n v="308"/>
    <n v="85"/>
    <n v="137"/>
    <n v="102"/>
    <n v="45"/>
    <n v="118"/>
    <n v="2"/>
    <n v="6"/>
    <n v="2"/>
    <n v="11"/>
    <n v="5"/>
    <n v="0"/>
    <n v="0"/>
    <n v="0"/>
    <n v="0"/>
    <n v="0"/>
    <x v="0"/>
    <n v="0"/>
    <n v="3"/>
    <n v="11"/>
    <n v="0"/>
    <n v="42"/>
    <n v="2644"/>
    <n v="7.2438356164383562"/>
    <n v="0"/>
    <n v="0"/>
    <n v="1"/>
    <n v="0"/>
    <n v="0"/>
    <n v="0"/>
    <n v="0"/>
    <n v="0"/>
    <n v="0"/>
    <n v="1"/>
    <n v="677"/>
    <n v="559"/>
    <n v="118"/>
    <n v="0"/>
    <x v="0"/>
    <x v="0"/>
    <x v="1"/>
    <x v="1"/>
    <x v="2"/>
    <x v="0"/>
    <n v="1"/>
    <n v="0"/>
    <n v="26"/>
    <n v="5"/>
    <n v="7"/>
    <n v="6"/>
    <n v="18"/>
    <n v="6"/>
    <x v="1"/>
  </r>
  <r>
    <x v="701"/>
    <n v="57967"/>
    <n v="0"/>
    <n v="1"/>
    <n v="39"/>
    <n v="229"/>
    <n v="7"/>
    <n v="137"/>
    <n v="4"/>
    <n v="0"/>
    <n v="91"/>
    <n v="5"/>
    <n v="4"/>
    <n v="2"/>
    <n v="8"/>
    <n v="5"/>
    <n v="0"/>
    <n v="0"/>
    <n v="0"/>
    <n v="0"/>
    <n v="0"/>
    <x v="0"/>
    <n v="0"/>
    <n v="3"/>
    <n v="11"/>
    <n v="0"/>
    <n v="58"/>
    <n v="2642"/>
    <n v="7.2383561643835614"/>
    <n v="0"/>
    <n v="0"/>
    <n v="1"/>
    <n v="0"/>
    <n v="0"/>
    <n v="0"/>
    <n v="0"/>
    <n v="1"/>
    <n v="0"/>
    <n v="0"/>
    <n v="377"/>
    <n v="286"/>
    <n v="91"/>
    <n v="0"/>
    <x v="0"/>
    <x v="0"/>
    <x v="1"/>
    <x v="0"/>
    <x v="2"/>
    <x v="1"/>
    <n v="1"/>
    <n v="0"/>
    <n v="24"/>
    <n v="7"/>
    <n v="6"/>
    <n v="5"/>
    <n v="18"/>
    <n v="6"/>
    <x v="1"/>
  </r>
  <r>
    <x v="702"/>
    <n v="70091"/>
    <n v="1"/>
    <n v="0"/>
    <n v="11"/>
    <n v="964"/>
    <n v="34"/>
    <n v="137"/>
    <n v="15"/>
    <n v="0"/>
    <n v="11"/>
    <n v="2"/>
    <n v="5"/>
    <n v="2"/>
    <n v="10"/>
    <n v="8"/>
    <n v="0"/>
    <n v="0"/>
    <n v="0"/>
    <n v="1"/>
    <n v="0"/>
    <x v="1"/>
    <n v="0"/>
    <n v="3"/>
    <n v="11"/>
    <n v="0"/>
    <n v="51"/>
    <n v="2614"/>
    <n v="7.161643835616438"/>
    <n v="0"/>
    <n v="1"/>
    <n v="0"/>
    <n v="0"/>
    <n v="0"/>
    <n v="0"/>
    <n v="0"/>
    <n v="0"/>
    <n v="1"/>
    <n v="0"/>
    <n v="1150"/>
    <n v="1139"/>
    <n v="11"/>
    <n v="1"/>
    <x v="0"/>
    <x v="0"/>
    <x v="0"/>
    <x v="1"/>
    <x v="2"/>
    <x v="1"/>
    <n v="0"/>
    <n v="0"/>
    <n v="27"/>
    <n v="9"/>
    <n v="7"/>
    <n v="8"/>
    <n v="24"/>
    <n v="9"/>
    <x v="0"/>
  </r>
  <r>
    <x v="703"/>
    <n v="42021"/>
    <n v="1"/>
    <n v="0"/>
    <n v="34"/>
    <n v="393"/>
    <n v="5"/>
    <n v="136"/>
    <n v="7"/>
    <n v="5"/>
    <n v="27"/>
    <n v="5"/>
    <n v="10"/>
    <n v="1"/>
    <n v="6"/>
    <n v="9"/>
    <n v="0"/>
    <n v="0"/>
    <n v="1"/>
    <n v="0"/>
    <n v="0"/>
    <x v="1"/>
    <n v="0"/>
    <n v="3"/>
    <n v="11"/>
    <n v="0"/>
    <n v="39"/>
    <n v="2826"/>
    <n v="7.7424657534246579"/>
    <n v="0"/>
    <n v="0"/>
    <n v="0"/>
    <n v="1"/>
    <n v="0"/>
    <n v="0"/>
    <n v="0"/>
    <n v="0"/>
    <n v="1"/>
    <n v="0"/>
    <n v="546"/>
    <n v="519"/>
    <n v="27"/>
    <n v="1"/>
    <x v="0"/>
    <x v="0"/>
    <x v="2"/>
    <x v="1"/>
    <x v="3"/>
    <x v="3"/>
    <n v="1"/>
    <n v="0"/>
    <n v="31"/>
    <n v="7"/>
    <n v="9"/>
    <n v="5"/>
    <n v="21"/>
    <n v="8"/>
    <x v="2"/>
  </r>
  <r>
    <x v="704"/>
    <n v="55267"/>
    <n v="0"/>
    <n v="1"/>
    <n v="28"/>
    <n v="161"/>
    <n v="28"/>
    <n v="136"/>
    <n v="32"/>
    <n v="3"/>
    <n v="45"/>
    <n v="4"/>
    <n v="3"/>
    <n v="4"/>
    <n v="6"/>
    <n v="3"/>
    <n v="0"/>
    <n v="0"/>
    <n v="0"/>
    <n v="0"/>
    <n v="0"/>
    <x v="0"/>
    <n v="0"/>
    <n v="3"/>
    <n v="11"/>
    <n v="0"/>
    <n v="63"/>
    <n v="2410"/>
    <n v="6.602739726027397"/>
    <n v="0"/>
    <n v="1"/>
    <n v="0"/>
    <n v="0"/>
    <n v="0"/>
    <n v="0"/>
    <n v="0"/>
    <n v="1"/>
    <n v="0"/>
    <n v="0"/>
    <n v="360"/>
    <n v="315"/>
    <n v="45"/>
    <n v="0"/>
    <x v="0"/>
    <x v="0"/>
    <x v="0"/>
    <x v="0"/>
    <x v="2"/>
    <x v="2"/>
    <n v="0"/>
    <n v="0"/>
    <n v="20"/>
    <n v="8"/>
    <n v="4"/>
    <n v="5"/>
    <n v="17"/>
    <n v="6"/>
    <x v="1"/>
  </r>
  <r>
    <x v="705"/>
    <n v="70421"/>
    <n v="0"/>
    <n v="1"/>
    <n v="98"/>
    <n v="479"/>
    <n v="28"/>
    <n v="136"/>
    <n v="75"/>
    <n v="14"/>
    <n v="35"/>
    <n v="3"/>
    <n v="10"/>
    <n v="3"/>
    <n v="7"/>
    <n v="6"/>
    <n v="0"/>
    <n v="0"/>
    <n v="0"/>
    <n v="0"/>
    <n v="0"/>
    <x v="0"/>
    <n v="0"/>
    <n v="3"/>
    <n v="11"/>
    <n v="0"/>
    <n v="66"/>
    <n v="2160"/>
    <n v="5.9178082191780819"/>
    <n v="0"/>
    <n v="1"/>
    <n v="0"/>
    <n v="0"/>
    <n v="0"/>
    <n v="0"/>
    <n v="0"/>
    <n v="0"/>
    <n v="0"/>
    <n v="1"/>
    <n v="732"/>
    <n v="697"/>
    <n v="35"/>
    <n v="0"/>
    <x v="0"/>
    <x v="0"/>
    <x v="0"/>
    <x v="1"/>
    <x v="2"/>
    <x v="2"/>
    <n v="1"/>
    <n v="1"/>
    <n v="29"/>
    <n v="0.99999999999999978"/>
    <n v="8"/>
    <n v="6"/>
    <n v="15"/>
    <n v="4"/>
    <x v="3"/>
  </r>
  <r>
    <x v="706"/>
    <n v="62807"/>
    <n v="0"/>
    <n v="1"/>
    <n v="83"/>
    <n v="526"/>
    <n v="28"/>
    <n v="135"/>
    <n v="10"/>
    <n v="21"/>
    <n v="99"/>
    <n v="3"/>
    <n v="5"/>
    <n v="3"/>
    <n v="12"/>
    <n v="5"/>
    <n v="0"/>
    <n v="0"/>
    <n v="0"/>
    <n v="0"/>
    <n v="0"/>
    <x v="0"/>
    <n v="0"/>
    <n v="3"/>
    <n v="11"/>
    <n v="0"/>
    <n v="60"/>
    <n v="2826"/>
    <n v="7.7424657534246579"/>
    <n v="0"/>
    <n v="0"/>
    <n v="0"/>
    <n v="1"/>
    <n v="0"/>
    <n v="0"/>
    <n v="0"/>
    <n v="1"/>
    <n v="0"/>
    <n v="0"/>
    <n v="720"/>
    <n v="621"/>
    <n v="99"/>
    <n v="0"/>
    <x v="0"/>
    <x v="0"/>
    <x v="2"/>
    <x v="0"/>
    <x v="2"/>
    <x v="1"/>
    <n v="1"/>
    <n v="0"/>
    <n v="28"/>
    <n v="1.9999999999999996"/>
    <n v="8"/>
    <n v="6"/>
    <n v="16"/>
    <n v="5"/>
    <x v="1"/>
  </r>
  <r>
    <x v="707"/>
    <n v="37087"/>
    <n v="1"/>
    <n v="0"/>
    <n v="50"/>
    <n v="194"/>
    <n v="55"/>
    <n v="134"/>
    <n v="15"/>
    <n v="0"/>
    <n v="3"/>
    <n v="3"/>
    <n v="4"/>
    <n v="2"/>
    <n v="8"/>
    <n v="6"/>
    <n v="0"/>
    <n v="0"/>
    <n v="0"/>
    <n v="0"/>
    <n v="0"/>
    <x v="0"/>
    <n v="0"/>
    <n v="3"/>
    <n v="11"/>
    <n v="0"/>
    <n v="46"/>
    <n v="2481"/>
    <n v="6.7972602739726025"/>
    <n v="0"/>
    <n v="1"/>
    <n v="0"/>
    <n v="0"/>
    <n v="0"/>
    <n v="0"/>
    <n v="0"/>
    <n v="0"/>
    <n v="0"/>
    <n v="1"/>
    <n v="398"/>
    <n v="395"/>
    <n v="3"/>
    <n v="0"/>
    <x v="0"/>
    <x v="0"/>
    <x v="0"/>
    <x v="1"/>
    <x v="3"/>
    <x v="0"/>
    <n v="1"/>
    <n v="0"/>
    <n v="23"/>
    <n v="5"/>
    <n v="6"/>
    <n v="5"/>
    <n v="16"/>
    <n v="5"/>
    <x v="1"/>
  </r>
  <r>
    <x v="708"/>
    <n v="47703"/>
    <n v="0"/>
    <n v="1"/>
    <n v="95"/>
    <n v="359"/>
    <n v="0"/>
    <n v="134"/>
    <n v="13"/>
    <n v="26"/>
    <n v="123"/>
    <n v="4"/>
    <n v="6"/>
    <n v="3"/>
    <n v="8"/>
    <n v="5"/>
    <n v="0"/>
    <n v="0"/>
    <n v="0"/>
    <n v="0"/>
    <n v="0"/>
    <x v="0"/>
    <n v="0"/>
    <n v="3"/>
    <n v="11"/>
    <n v="0"/>
    <n v="67"/>
    <n v="2555"/>
    <n v="7"/>
    <n v="0"/>
    <n v="1"/>
    <n v="0"/>
    <n v="0"/>
    <n v="0"/>
    <n v="0"/>
    <n v="0"/>
    <n v="1"/>
    <n v="0"/>
    <n v="0"/>
    <n v="532"/>
    <n v="409"/>
    <n v="123"/>
    <n v="0"/>
    <x v="0"/>
    <x v="0"/>
    <x v="0"/>
    <x v="0"/>
    <x v="3"/>
    <x v="2"/>
    <n v="1"/>
    <n v="1"/>
    <n v="26"/>
    <n v="0.99999999999999978"/>
    <n v="7"/>
    <n v="5"/>
    <n v="13"/>
    <n v="3"/>
    <x v="3"/>
  </r>
  <r>
    <x v="709"/>
    <n v="59111"/>
    <n v="0"/>
    <n v="0"/>
    <n v="90"/>
    <n v="524"/>
    <n v="0"/>
    <n v="134"/>
    <n v="28"/>
    <n v="28"/>
    <n v="155"/>
    <n v="1"/>
    <n v="11"/>
    <n v="1"/>
    <n v="8"/>
    <n v="7"/>
    <n v="0"/>
    <n v="0"/>
    <n v="0"/>
    <n v="0"/>
    <n v="0"/>
    <x v="0"/>
    <n v="0"/>
    <n v="3"/>
    <n v="11"/>
    <n v="0"/>
    <n v="66"/>
    <n v="2582"/>
    <n v="7.0739726027397261"/>
    <n v="0"/>
    <n v="1"/>
    <n v="0"/>
    <n v="0"/>
    <n v="0"/>
    <n v="0"/>
    <n v="0"/>
    <n v="1"/>
    <n v="0"/>
    <n v="0"/>
    <n v="714"/>
    <n v="559"/>
    <n v="155"/>
    <n v="0"/>
    <x v="1"/>
    <x v="1"/>
    <x v="0"/>
    <x v="0"/>
    <x v="2"/>
    <x v="2"/>
    <n v="1"/>
    <n v="0"/>
    <n v="28"/>
    <n v="0.99999999999999978"/>
    <n v="8"/>
    <n v="6"/>
    <n v="15"/>
    <n v="4"/>
    <x v="3"/>
  </r>
  <r>
    <x v="710"/>
    <n v="60482"/>
    <n v="0"/>
    <n v="1"/>
    <n v="81"/>
    <n v="255"/>
    <n v="43"/>
    <n v="134"/>
    <n v="37"/>
    <n v="14"/>
    <n v="24"/>
    <n v="1"/>
    <n v="7"/>
    <n v="2"/>
    <n v="7"/>
    <n v="7"/>
    <n v="0"/>
    <n v="0"/>
    <n v="0"/>
    <n v="0"/>
    <n v="0"/>
    <x v="0"/>
    <n v="0"/>
    <n v="3"/>
    <n v="11"/>
    <n v="0"/>
    <n v="44"/>
    <n v="2681"/>
    <n v="7.3452054794520549"/>
    <n v="0"/>
    <n v="0"/>
    <n v="1"/>
    <n v="0"/>
    <n v="0"/>
    <n v="0"/>
    <n v="0"/>
    <n v="0"/>
    <n v="1"/>
    <n v="0"/>
    <n v="483"/>
    <n v="459"/>
    <n v="24"/>
    <n v="0"/>
    <x v="0"/>
    <x v="0"/>
    <x v="1"/>
    <x v="1"/>
    <x v="2"/>
    <x v="0"/>
    <n v="1"/>
    <n v="0"/>
    <n v="24"/>
    <n v="1.9999999999999996"/>
    <n v="6"/>
    <n v="5"/>
    <n v="13"/>
    <n v="3"/>
    <x v="3"/>
  </r>
  <r>
    <x v="711"/>
    <n v="61823"/>
    <n v="0"/>
    <n v="1"/>
    <n v="26"/>
    <n v="523"/>
    <n v="7"/>
    <n v="134"/>
    <n v="37"/>
    <n v="14"/>
    <n v="169"/>
    <n v="4"/>
    <n v="8"/>
    <n v="2"/>
    <n v="10"/>
    <n v="7"/>
    <n v="0"/>
    <n v="0"/>
    <n v="0"/>
    <n v="0"/>
    <n v="0"/>
    <x v="0"/>
    <n v="0"/>
    <n v="3"/>
    <n v="11"/>
    <n v="0"/>
    <n v="68"/>
    <n v="2655"/>
    <n v="7.2739726027397262"/>
    <n v="0"/>
    <n v="0"/>
    <n v="1"/>
    <n v="0"/>
    <n v="0"/>
    <n v="0"/>
    <n v="0"/>
    <n v="1"/>
    <n v="0"/>
    <n v="0"/>
    <n v="715"/>
    <n v="546"/>
    <n v="169"/>
    <n v="0"/>
    <x v="0"/>
    <x v="0"/>
    <x v="1"/>
    <x v="0"/>
    <x v="2"/>
    <x v="2"/>
    <n v="0"/>
    <n v="0"/>
    <n v="31"/>
    <n v="8"/>
    <n v="9"/>
    <n v="6"/>
    <n v="23"/>
    <n v="8"/>
    <x v="2"/>
  </r>
  <r>
    <x v="712"/>
    <n v="69283"/>
    <n v="0"/>
    <n v="1"/>
    <n v="41"/>
    <n v="674"/>
    <n v="62"/>
    <n v="134"/>
    <n v="0"/>
    <n v="26"/>
    <n v="8"/>
    <n v="4"/>
    <n v="7"/>
    <n v="3"/>
    <n v="13"/>
    <n v="5"/>
    <n v="0"/>
    <n v="0"/>
    <n v="0"/>
    <n v="0"/>
    <n v="0"/>
    <x v="0"/>
    <n v="0"/>
    <n v="3"/>
    <n v="11"/>
    <n v="0"/>
    <n v="45"/>
    <n v="2174"/>
    <n v="5.956164383561644"/>
    <n v="0"/>
    <n v="1"/>
    <n v="0"/>
    <n v="0"/>
    <n v="0"/>
    <n v="0"/>
    <n v="0"/>
    <n v="0"/>
    <n v="0"/>
    <n v="1"/>
    <n v="896"/>
    <n v="888"/>
    <n v="8"/>
    <n v="0"/>
    <x v="0"/>
    <x v="0"/>
    <x v="0"/>
    <x v="1"/>
    <x v="2"/>
    <x v="0"/>
    <n v="1"/>
    <n v="0"/>
    <n v="32"/>
    <n v="6"/>
    <n v="9"/>
    <n v="7"/>
    <n v="22"/>
    <n v="8"/>
    <x v="2"/>
  </r>
  <r>
    <x v="713"/>
    <n v="75774"/>
    <n v="1"/>
    <n v="0"/>
    <n v="27"/>
    <n v="340"/>
    <n v="21"/>
    <n v="134"/>
    <n v="258"/>
    <n v="14"/>
    <n v="56"/>
    <n v="1"/>
    <n v="7"/>
    <n v="5"/>
    <n v="8"/>
    <n v="4"/>
    <n v="0"/>
    <n v="0"/>
    <n v="0"/>
    <n v="0"/>
    <n v="0"/>
    <x v="0"/>
    <n v="0"/>
    <n v="3"/>
    <n v="11"/>
    <n v="0"/>
    <n v="39"/>
    <n v="2217"/>
    <n v="6.0739726027397261"/>
    <n v="0"/>
    <n v="0"/>
    <n v="0"/>
    <n v="1"/>
    <n v="0"/>
    <n v="1"/>
    <n v="0"/>
    <n v="0"/>
    <n v="0"/>
    <n v="0"/>
    <n v="767"/>
    <n v="711"/>
    <n v="56"/>
    <n v="0"/>
    <x v="0"/>
    <x v="0"/>
    <x v="2"/>
    <x v="1"/>
    <x v="1"/>
    <x v="3"/>
    <n v="0"/>
    <n v="0"/>
    <n v="25"/>
    <n v="8"/>
    <n v="7"/>
    <n v="6"/>
    <n v="21"/>
    <n v="8"/>
    <x v="2"/>
  </r>
  <r>
    <x v="714"/>
    <n v="44511"/>
    <n v="1"/>
    <n v="0"/>
    <n v="39"/>
    <n v="513"/>
    <n v="7"/>
    <n v="133"/>
    <n v="46"/>
    <n v="14"/>
    <n v="14"/>
    <n v="6"/>
    <n v="8"/>
    <n v="4"/>
    <n v="8"/>
    <n v="8"/>
    <n v="0"/>
    <n v="0"/>
    <n v="0"/>
    <n v="0"/>
    <n v="0"/>
    <x v="0"/>
    <n v="0"/>
    <n v="3"/>
    <n v="11"/>
    <n v="0"/>
    <n v="50"/>
    <n v="2784"/>
    <n v="7.6273972602739724"/>
    <n v="0"/>
    <n v="1"/>
    <n v="0"/>
    <n v="0"/>
    <n v="0"/>
    <n v="0"/>
    <n v="0"/>
    <n v="0"/>
    <n v="1"/>
    <n v="0"/>
    <n v="713"/>
    <n v="699"/>
    <n v="14"/>
    <n v="0"/>
    <x v="0"/>
    <x v="0"/>
    <x v="0"/>
    <x v="1"/>
    <x v="3"/>
    <x v="0"/>
    <n v="1"/>
    <n v="0"/>
    <n v="34"/>
    <n v="7"/>
    <n v="9"/>
    <n v="6"/>
    <n v="22"/>
    <n v="8"/>
    <x v="2"/>
  </r>
  <r>
    <x v="715"/>
    <n v="44953"/>
    <n v="0"/>
    <n v="0"/>
    <n v="31"/>
    <n v="728"/>
    <n v="17"/>
    <n v="133"/>
    <n v="11"/>
    <n v="8"/>
    <n v="124"/>
    <n v="1"/>
    <n v="7"/>
    <n v="3"/>
    <n v="13"/>
    <n v="6"/>
    <n v="0"/>
    <n v="0"/>
    <n v="1"/>
    <n v="0"/>
    <n v="0"/>
    <x v="1"/>
    <n v="0"/>
    <n v="3"/>
    <n v="11"/>
    <n v="0"/>
    <n v="39"/>
    <n v="2714"/>
    <n v="7.4356164383561643"/>
    <n v="0"/>
    <n v="0"/>
    <n v="0"/>
    <n v="1"/>
    <n v="0"/>
    <n v="0"/>
    <n v="0"/>
    <n v="0"/>
    <n v="0"/>
    <n v="1"/>
    <n v="897"/>
    <n v="773"/>
    <n v="124"/>
    <n v="1"/>
    <x v="1"/>
    <x v="1"/>
    <x v="2"/>
    <x v="1"/>
    <x v="3"/>
    <x v="3"/>
    <n v="1"/>
    <n v="0"/>
    <n v="30"/>
    <n v="7"/>
    <n v="8"/>
    <n v="7"/>
    <n v="22"/>
    <n v="8"/>
    <x v="2"/>
  </r>
  <r>
    <x v="716"/>
    <n v="52413"/>
    <n v="1"/>
    <n v="0"/>
    <n v="67"/>
    <n v="185"/>
    <n v="8"/>
    <n v="133"/>
    <n v="56"/>
    <n v="56"/>
    <n v="12"/>
    <n v="2"/>
    <n v="7"/>
    <n v="1"/>
    <n v="7"/>
    <n v="7"/>
    <n v="0"/>
    <n v="0"/>
    <n v="0"/>
    <n v="0"/>
    <n v="0"/>
    <x v="0"/>
    <n v="0"/>
    <n v="3"/>
    <n v="11"/>
    <n v="0"/>
    <n v="36"/>
    <n v="2762"/>
    <n v="7.5671232876712331"/>
    <n v="0"/>
    <n v="0"/>
    <n v="1"/>
    <n v="0"/>
    <n v="0"/>
    <n v="0"/>
    <n v="0"/>
    <n v="1"/>
    <n v="0"/>
    <n v="0"/>
    <n v="438"/>
    <n v="426"/>
    <n v="12"/>
    <n v="0"/>
    <x v="0"/>
    <x v="0"/>
    <x v="1"/>
    <x v="0"/>
    <x v="2"/>
    <x v="3"/>
    <n v="1"/>
    <n v="0"/>
    <n v="24"/>
    <n v="4"/>
    <n v="6"/>
    <n v="5"/>
    <n v="15"/>
    <n v="4"/>
    <x v="3"/>
  </r>
  <r>
    <x v="717"/>
    <n v="53103"/>
    <n v="0"/>
    <n v="1"/>
    <n v="70"/>
    <n v="729"/>
    <n v="17"/>
    <n v="133"/>
    <n v="11"/>
    <n v="0"/>
    <n v="195"/>
    <n v="5"/>
    <n v="10"/>
    <n v="6"/>
    <n v="7"/>
    <n v="7"/>
    <n v="0"/>
    <n v="0"/>
    <n v="1"/>
    <n v="0"/>
    <n v="0"/>
    <x v="1"/>
    <n v="0"/>
    <n v="3"/>
    <n v="11"/>
    <n v="0"/>
    <n v="66"/>
    <n v="2449"/>
    <n v="6.7095890410958905"/>
    <n v="0"/>
    <n v="0"/>
    <n v="0"/>
    <n v="1"/>
    <n v="0"/>
    <n v="0"/>
    <n v="0"/>
    <n v="1"/>
    <n v="0"/>
    <n v="0"/>
    <n v="890"/>
    <n v="695"/>
    <n v="195"/>
    <n v="1"/>
    <x v="0"/>
    <x v="0"/>
    <x v="2"/>
    <x v="0"/>
    <x v="2"/>
    <x v="2"/>
    <n v="1"/>
    <n v="0"/>
    <n v="35"/>
    <n v="3.0000000000000004"/>
    <n v="9"/>
    <n v="7"/>
    <n v="19"/>
    <n v="7"/>
    <x v="2"/>
  </r>
  <r>
    <x v="718"/>
    <n v="56129"/>
    <n v="0"/>
    <n v="1"/>
    <n v="65"/>
    <n v="320"/>
    <n v="48"/>
    <n v="133"/>
    <n v="39"/>
    <n v="72"/>
    <n v="48"/>
    <n v="4"/>
    <n v="6"/>
    <n v="2"/>
    <n v="10"/>
    <n v="4"/>
    <n v="0"/>
    <n v="0"/>
    <n v="0"/>
    <n v="0"/>
    <n v="0"/>
    <x v="0"/>
    <n v="0"/>
    <n v="3"/>
    <n v="11"/>
    <n v="0"/>
    <n v="67"/>
    <n v="2533"/>
    <n v="6.9397260273972599"/>
    <n v="0"/>
    <n v="0"/>
    <n v="0"/>
    <n v="1"/>
    <n v="0"/>
    <n v="0"/>
    <n v="0"/>
    <n v="0"/>
    <n v="1"/>
    <n v="0"/>
    <n v="612"/>
    <n v="564"/>
    <n v="48"/>
    <n v="0"/>
    <x v="0"/>
    <x v="0"/>
    <x v="2"/>
    <x v="1"/>
    <x v="2"/>
    <x v="2"/>
    <n v="1"/>
    <n v="0"/>
    <n v="26"/>
    <n v="4"/>
    <n v="7"/>
    <n v="6"/>
    <n v="17"/>
    <n v="6"/>
    <x v="1"/>
  </r>
  <r>
    <x v="719"/>
    <n v="56559"/>
    <n v="0"/>
    <n v="1"/>
    <n v="46"/>
    <n v="226"/>
    <n v="22"/>
    <n v="133"/>
    <n v="41"/>
    <n v="31"/>
    <n v="31"/>
    <n v="3"/>
    <n v="4"/>
    <n v="3"/>
    <n v="8"/>
    <n v="4"/>
    <n v="0"/>
    <n v="0"/>
    <n v="0"/>
    <n v="0"/>
    <n v="0"/>
    <x v="0"/>
    <n v="0"/>
    <n v="3"/>
    <n v="11"/>
    <n v="0"/>
    <n v="45"/>
    <n v="2710"/>
    <n v="7.4246575342465757"/>
    <n v="0"/>
    <n v="0"/>
    <n v="0"/>
    <n v="1"/>
    <n v="0"/>
    <n v="0"/>
    <n v="0"/>
    <n v="0"/>
    <n v="0"/>
    <n v="1"/>
    <n v="453"/>
    <n v="422"/>
    <n v="31"/>
    <n v="0"/>
    <x v="0"/>
    <x v="0"/>
    <x v="2"/>
    <x v="1"/>
    <x v="2"/>
    <x v="0"/>
    <n v="1"/>
    <n v="0"/>
    <n v="22"/>
    <n v="6"/>
    <n v="5"/>
    <n v="5"/>
    <n v="16"/>
    <n v="5"/>
    <x v="1"/>
  </r>
  <r>
    <x v="720"/>
    <n v="61074"/>
    <n v="0"/>
    <n v="1"/>
    <n v="37"/>
    <n v="789"/>
    <n v="0"/>
    <n v="133"/>
    <n v="0"/>
    <n v="28"/>
    <n v="152"/>
    <n v="7"/>
    <n v="11"/>
    <n v="5"/>
    <n v="8"/>
    <n v="7"/>
    <n v="0"/>
    <n v="0"/>
    <n v="0"/>
    <n v="0"/>
    <n v="0"/>
    <x v="0"/>
    <n v="0"/>
    <n v="3"/>
    <n v="11"/>
    <n v="0"/>
    <n v="62"/>
    <n v="2840"/>
    <n v="7.7808219178082192"/>
    <n v="0"/>
    <n v="1"/>
    <n v="0"/>
    <n v="0"/>
    <n v="0"/>
    <n v="0"/>
    <n v="0"/>
    <n v="1"/>
    <n v="0"/>
    <n v="0"/>
    <n v="950"/>
    <n v="798"/>
    <n v="152"/>
    <n v="0"/>
    <x v="0"/>
    <x v="0"/>
    <x v="0"/>
    <x v="0"/>
    <x v="2"/>
    <x v="2"/>
    <n v="1"/>
    <n v="0"/>
    <n v="38"/>
    <n v="7"/>
    <n v="9"/>
    <n v="7"/>
    <n v="23"/>
    <n v="8"/>
    <x v="2"/>
  </r>
  <r>
    <x v="721"/>
    <n v="65106"/>
    <n v="0"/>
    <n v="1"/>
    <n v="55"/>
    <n v="790"/>
    <n v="19"/>
    <n v="133"/>
    <n v="12"/>
    <n v="0"/>
    <n v="19"/>
    <n v="3"/>
    <n v="8"/>
    <n v="3"/>
    <n v="13"/>
    <n v="6"/>
    <n v="0"/>
    <n v="0"/>
    <n v="0"/>
    <n v="1"/>
    <n v="0"/>
    <x v="1"/>
    <n v="0"/>
    <n v="3"/>
    <n v="11"/>
    <n v="0"/>
    <n v="45"/>
    <n v="2195"/>
    <n v="6.0136986301369859"/>
    <n v="0"/>
    <n v="1"/>
    <n v="0"/>
    <n v="0"/>
    <n v="0"/>
    <n v="0"/>
    <n v="0"/>
    <n v="1"/>
    <n v="0"/>
    <n v="0"/>
    <n v="954"/>
    <n v="935"/>
    <n v="19"/>
    <n v="1"/>
    <x v="0"/>
    <x v="0"/>
    <x v="0"/>
    <x v="0"/>
    <x v="2"/>
    <x v="0"/>
    <n v="1"/>
    <n v="0"/>
    <n v="33"/>
    <n v="5"/>
    <n v="9"/>
    <n v="7"/>
    <n v="21"/>
    <n v="8"/>
    <x v="2"/>
  </r>
  <r>
    <x v="722"/>
    <n v="67046"/>
    <n v="0"/>
    <n v="1"/>
    <n v="92"/>
    <n v="544"/>
    <n v="35"/>
    <n v="133"/>
    <n v="23"/>
    <n v="151"/>
    <n v="107"/>
    <n v="2"/>
    <n v="4"/>
    <n v="5"/>
    <n v="4"/>
    <n v="2"/>
    <n v="0"/>
    <n v="0"/>
    <n v="0"/>
    <n v="0"/>
    <n v="0"/>
    <x v="0"/>
    <n v="0"/>
    <n v="3"/>
    <n v="11"/>
    <n v="0"/>
    <n v="69"/>
    <n v="2698"/>
    <n v="7.3917808219178083"/>
    <n v="0"/>
    <n v="0"/>
    <n v="0"/>
    <n v="0"/>
    <n v="1"/>
    <n v="0"/>
    <n v="0"/>
    <n v="1"/>
    <n v="0"/>
    <n v="0"/>
    <n v="886"/>
    <n v="779"/>
    <n v="107"/>
    <n v="0"/>
    <x v="0"/>
    <x v="0"/>
    <x v="4"/>
    <x v="0"/>
    <x v="2"/>
    <x v="2"/>
    <n v="1"/>
    <n v="1"/>
    <n v="17"/>
    <n v="0.99999999999999978"/>
    <n v="3"/>
    <n v="7"/>
    <n v="11"/>
    <n v="2"/>
    <x v="3"/>
  </r>
  <r>
    <x v="723"/>
    <n v="90000"/>
    <n v="0"/>
    <n v="0"/>
    <n v="91"/>
    <n v="675"/>
    <n v="144"/>
    <n v="133"/>
    <n v="94"/>
    <n v="192"/>
    <n v="241"/>
    <n v="1"/>
    <n v="4"/>
    <n v="8"/>
    <n v="5"/>
    <n v="1"/>
    <n v="1"/>
    <n v="0"/>
    <n v="1"/>
    <n v="0"/>
    <n v="1"/>
    <x v="1"/>
    <n v="0"/>
    <n v="3"/>
    <n v="11"/>
    <n v="0"/>
    <n v="36"/>
    <n v="2347"/>
    <n v="6.4301369863013695"/>
    <n v="0"/>
    <n v="1"/>
    <n v="0"/>
    <n v="0"/>
    <n v="0"/>
    <n v="0"/>
    <n v="0"/>
    <n v="1"/>
    <n v="0"/>
    <n v="0"/>
    <n v="1238"/>
    <n v="997"/>
    <n v="241"/>
    <n v="3"/>
    <x v="1"/>
    <x v="1"/>
    <x v="0"/>
    <x v="0"/>
    <x v="1"/>
    <x v="3"/>
    <n v="1"/>
    <n v="1"/>
    <n v="19"/>
    <n v="0.99999999999999978"/>
    <n v="4"/>
    <n v="8"/>
    <n v="13"/>
    <n v="3"/>
    <x v="3"/>
  </r>
  <r>
    <x v="724"/>
    <n v="60200"/>
    <n v="0"/>
    <n v="1"/>
    <n v="3"/>
    <n v="502"/>
    <n v="19"/>
    <n v="132"/>
    <n v="0"/>
    <n v="6"/>
    <n v="26"/>
    <n v="6"/>
    <n v="6"/>
    <n v="2"/>
    <n v="11"/>
    <n v="6"/>
    <n v="0"/>
    <n v="0"/>
    <n v="0"/>
    <n v="0"/>
    <n v="0"/>
    <x v="0"/>
    <n v="0"/>
    <n v="3"/>
    <n v="11"/>
    <n v="0"/>
    <n v="72"/>
    <n v="2702"/>
    <n v="7.4027397260273968"/>
    <n v="0"/>
    <n v="0"/>
    <n v="1"/>
    <n v="0"/>
    <n v="0"/>
    <n v="0"/>
    <n v="0"/>
    <n v="0"/>
    <n v="0"/>
    <n v="1"/>
    <n v="659"/>
    <n v="633"/>
    <n v="26"/>
    <n v="0"/>
    <x v="0"/>
    <x v="0"/>
    <x v="1"/>
    <x v="1"/>
    <x v="2"/>
    <x v="2"/>
    <n v="0"/>
    <n v="0"/>
    <n v="31"/>
    <n v="10"/>
    <n v="9"/>
    <n v="6"/>
    <n v="25"/>
    <n v="9"/>
    <x v="0"/>
  </r>
  <r>
    <x v="725"/>
    <n v="68352"/>
    <n v="0"/>
    <n v="1"/>
    <n v="47"/>
    <n v="614"/>
    <n v="16"/>
    <n v="132"/>
    <n v="43"/>
    <n v="33"/>
    <n v="33"/>
    <n v="3"/>
    <n v="8"/>
    <n v="5"/>
    <n v="9"/>
    <n v="6"/>
    <n v="0"/>
    <n v="0"/>
    <n v="0"/>
    <n v="0"/>
    <n v="0"/>
    <x v="0"/>
    <n v="0"/>
    <n v="3"/>
    <n v="11"/>
    <n v="0"/>
    <n v="46"/>
    <n v="2464"/>
    <n v="6.7506849315068491"/>
    <n v="0"/>
    <n v="0"/>
    <n v="1"/>
    <n v="0"/>
    <n v="0"/>
    <n v="0"/>
    <n v="0"/>
    <n v="0"/>
    <n v="0"/>
    <n v="1"/>
    <n v="838"/>
    <n v="805"/>
    <n v="33"/>
    <n v="0"/>
    <x v="0"/>
    <x v="0"/>
    <x v="1"/>
    <x v="1"/>
    <x v="2"/>
    <x v="0"/>
    <n v="1"/>
    <n v="0"/>
    <n v="31"/>
    <n v="6"/>
    <n v="9"/>
    <n v="6"/>
    <n v="21"/>
    <n v="8"/>
    <x v="2"/>
  </r>
  <r>
    <x v="726"/>
    <n v="71499"/>
    <n v="0"/>
    <n v="1"/>
    <n v="12"/>
    <n v="465"/>
    <n v="25"/>
    <n v="132"/>
    <n v="136"/>
    <n v="0"/>
    <n v="37"/>
    <n v="2"/>
    <n v="8"/>
    <n v="3"/>
    <n v="13"/>
    <n v="4"/>
    <n v="0"/>
    <n v="0"/>
    <n v="0"/>
    <n v="0"/>
    <n v="0"/>
    <x v="0"/>
    <n v="0"/>
    <n v="3"/>
    <n v="11"/>
    <n v="0"/>
    <n v="49"/>
    <n v="2528"/>
    <n v="6.9260273972602739"/>
    <n v="0"/>
    <n v="0"/>
    <n v="0"/>
    <n v="1"/>
    <n v="0"/>
    <n v="0"/>
    <n v="0"/>
    <n v="0"/>
    <n v="1"/>
    <n v="0"/>
    <n v="758"/>
    <n v="721"/>
    <n v="37"/>
    <n v="0"/>
    <x v="0"/>
    <x v="0"/>
    <x v="2"/>
    <x v="1"/>
    <x v="2"/>
    <x v="0"/>
    <n v="0"/>
    <n v="0"/>
    <n v="30"/>
    <n v="9"/>
    <n v="8"/>
    <n v="6"/>
    <n v="23"/>
    <n v="8"/>
    <x v="2"/>
  </r>
  <r>
    <x v="727"/>
    <n v="89891"/>
    <n v="0"/>
    <n v="0"/>
    <n v="17"/>
    <n v="412"/>
    <n v="22"/>
    <n v="132"/>
    <n v="59"/>
    <n v="28"/>
    <n v="183"/>
    <n v="1"/>
    <n v="11"/>
    <n v="6"/>
    <n v="8"/>
    <n v="4"/>
    <n v="0"/>
    <n v="0"/>
    <n v="0"/>
    <n v="0"/>
    <n v="1"/>
    <x v="1"/>
    <n v="0"/>
    <n v="3"/>
    <n v="11"/>
    <n v="0"/>
    <n v="29"/>
    <n v="2599"/>
    <n v="7.1205479452054794"/>
    <n v="0"/>
    <n v="0"/>
    <n v="0"/>
    <n v="1"/>
    <n v="0"/>
    <n v="0"/>
    <n v="0"/>
    <n v="1"/>
    <n v="0"/>
    <n v="0"/>
    <n v="653"/>
    <n v="470"/>
    <n v="183"/>
    <n v="1"/>
    <x v="1"/>
    <x v="1"/>
    <x v="2"/>
    <x v="0"/>
    <x v="1"/>
    <x v="4"/>
    <n v="0"/>
    <n v="0"/>
    <n v="30"/>
    <n v="9"/>
    <n v="8"/>
    <n v="6"/>
    <n v="23"/>
    <n v="8"/>
    <x v="2"/>
  </r>
  <r>
    <x v="728"/>
    <n v="41769"/>
    <n v="0"/>
    <n v="1"/>
    <n v="31"/>
    <n v="302"/>
    <n v="29"/>
    <n v="131"/>
    <n v="32"/>
    <n v="0"/>
    <n v="27"/>
    <n v="6"/>
    <n v="8"/>
    <n v="1"/>
    <n v="7"/>
    <n v="8"/>
    <n v="0"/>
    <n v="0"/>
    <n v="0"/>
    <n v="0"/>
    <n v="0"/>
    <x v="0"/>
    <n v="0"/>
    <n v="3"/>
    <n v="11"/>
    <n v="0"/>
    <n v="65"/>
    <n v="2660"/>
    <n v="7.2876712328767121"/>
    <n v="1"/>
    <n v="0"/>
    <n v="0"/>
    <n v="0"/>
    <n v="0"/>
    <n v="1"/>
    <n v="0"/>
    <n v="0"/>
    <n v="0"/>
    <n v="0"/>
    <n v="494"/>
    <n v="467"/>
    <n v="27"/>
    <n v="0"/>
    <x v="0"/>
    <x v="0"/>
    <x v="3"/>
    <x v="1"/>
    <x v="3"/>
    <x v="2"/>
    <n v="1"/>
    <n v="0"/>
    <n v="30"/>
    <n v="7"/>
    <n v="8"/>
    <n v="5"/>
    <n v="20"/>
    <n v="7"/>
    <x v="2"/>
  </r>
  <r>
    <x v="729"/>
    <n v="54984"/>
    <n v="0"/>
    <n v="1"/>
    <n v="51"/>
    <n v="173"/>
    <n v="13"/>
    <n v="131"/>
    <n v="32"/>
    <n v="3"/>
    <n v="6"/>
    <n v="4"/>
    <n v="6"/>
    <n v="1"/>
    <n v="6"/>
    <n v="7"/>
    <n v="1"/>
    <n v="0"/>
    <n v="0"/>
    <n v="0"/>
    <n v="0"/>
    <x v="1"/>
    <n v="0"/>
    <n v="3"/>
    <n v="11"/>
    <n v="0"/>
    <n v="61"/>
    <n v="2195"/>
    <n v="6.0136986301369859"/>
    <n v="0"/>
    <n v="1"/>
    <n v="0"/>
    <n v="0"/>
    <n v="0"/>
    <n v="0"/>
    <n v="0"/>
    <n v="1"/>
    <n v="0"/>
    <n v="0"/>
    <n v="352"/>
    <n v="346"/>
    <n v="6"/>
    <n v="1"/>
    <x v="0"/>
    <x v="0"/>
    <x v="0"/>
    <x v="0"/>
    <x v="2"/>
    <x v="2"/>
    <n v="1"/>
    <n v="0"/>
    <n v="24"/>
    <n v="5"/>
    <n v="6"/>
    <n v="5"/>
    <n v="16"/>
    <n v="5"/>
    <x v="1"/>
  </r>
  <r>
    <x v="730"/>
    <n v="55614"/>
    <n v="0"/>
    <n v="0"/>
    <n v="85"/>
    <n v="504"/>
    <n v="13"/>
    <n v="131"/>
    <n v="8"/>
    <n v="0"/>
    <n v="26"/>
    <n v="1"/>
    <n v="9"/>
    <n v="4"/>
    <n v="6"/>
    <n v="7"/>
    <n v="0"/>
    <n v="0"/>
    <n v="0"/>
    <n v="1"/>
    <n v="0"/>
    <x v="1"/>
    <n v="0"/>
    <n v="3"/>
    <n v="11"/>
    <n v="0"/>
    <n v="76"/>
    <n v="2373"/>
    <n v="6.5013698630136982"/>
    <n v="1"/>
    <n v="0"/>
    <n v="0"/>
    <n v="0"/>
    <n v="0"/>
    <n v="0"/>
    <n v="0"/>
    <n v="0"/>
    <n v="0"/>
    <n v="1"/>
    <n v="656"/>
    <n v="630"/>
    <n v="26"/>
    <n v="1"/>
    <x v="1"/>
    <x v="1"/>
    <x v="3"/>
    <x v="1"/>
    <x v="2"/>
    <x v="2"/>
    <n v="1"/>
    <n v="0"/>
    <n v="27"/>
    <n v="1.9999999999999996"/>
    <n v="7"/>
    <n v="6"/>
    <n v="15"/>
    <n v="4"/>
    <x v="3"/>
  </r>
  <r>
    <x v="731"/>
    <n v="28071"/>
    <n v="0"/>
    <n v="0"/>
    <n v="65"/>
    <n v="39"/>
    <n v="33"/>
    <n v="130"/>
    <n v="41"/>
    <n v="26"/>
    <n v="44"/>
    <n v="2"/>
    <n v="5"/>
    <n v="1"/>
    <n v="5"/>
    <n v="8"/>
    <n v="0"/>
    <n v="0"/>
    <n v="0"/>
    <n v="0"/>
    <n v="0"/>
    <x v="0"/>
    <n v="0"/>
    <n v="3"/>
    <n v="11"/>
    <n v="0"/>
    <n v="40"/>
    <n v="2828"/>
    <n v="7.7479452054794518"/>
    <n v="0"/>
    <n v="0"/>
    <n v="1"/>
    <n v="0"/>
    <n v="0"/>
    <n v="0"/>
    <n v="0"/>
    <n v="1"/>
    <n v="0"/>
    <n v="0"/>
    <n v="269"/>
    <n v="225"/>
    <n v="44"/>
    <n v="0"/>
    <x v="1"/>
    <x v="1"/>
    <x v="1"/>
    <x v="0"/>
    <x v="0"/>
    <x v="3"/>
    <n v="1"/>
    <n v="0"/>
    <n v="21"/>
    <n v="4"/>
    <n v="5"/>
    <n v="4"/>
    <n v="13"/>
    <n v="3"/>
    <x v="3"/>
  </r>
  <r>
    <x v="732"/>
    <n v="58116"/>
    <n v="0"/>
    <n v="1"/>
    <n v="38"/>
    <n v="228"/>
    <n v="19"/>
    <n v="130"/>
    <n v="4"/>
    <n v="11"/>
    <n v="51"/>
    <n v="2"/>
    <n v="3"/>
    <n v="3"/>
    <n v="8"/>
    <n v="2"/>
    <n v="0"/>
    <n v="0"/>
    <n v="0"/>
    <n v="0"/>
    <n v="0"/>
    <x v="0"/>
    <n v="0"/>
    <n v="3"/>
    <n v="11"/>
    <n v="0"/>
    <n v="64"/>
    <n v="2236"/>
    <n v="6.1260273972602741"/>
    <n v="0"/>
    <n v="1"/>
    <n v="0"/>
    <n v="0"/>
    <n v="0"/>
    <n v="0"/>
    <n v="0"/>
    <n v="1"/>
    <n v="0"/>
    <n v="0"/>
    <n v="392"/>
    <n v="341"/>
    <n v="51"/>
    <n v="0"/>
    <x v="0"/>
    <x v="0"/>
    <x v="0"/>
    <x v="0"/>
    <x v="2"/>
    <x v="2"/>
    <n v="1"/>
    <n v="0"/>
    <n v="18"/>
    <n v="7"/>
    <n v="4"/>
    <n v="5"/>
    <n v="16"/>
    <n v="5"/>
    <x v="1"/>
  </r>
  <r>
    <x v="733"/>
    <n v="28769"/>
    <n v="1"/>
    <n v="0"/>
    <n v="76"/>
    <n v="41"/>
    <n v="5"/>
    <n v="129"/>
    <n v="10"/>
    <n v="3"/>
    <n v="3"/>
    <n v="3"/>
    <n v="4"/>
    <n v="1"/>
    <n v="4"/>
    <n v="9"/>
    <n v="0"/>
    <n v="0"/>
    <n v="0"/>
    <n v="0"/>
    <n v="0"/>
    <x v="0"/>
    <n v="0"/>
    <n v="3"/>
    <n v="11"/>
    <n v="0"/>
    <n v="43"/>
    <n v="2717"/>
    <n v="7.4438356164383563"/>
    <n v="0"/>
    <n v="0"/>
    <n v="1"/>
    <n v="0"/>
    <n v="0"/>
    <n v="0"/>
    <n v="0"/>
    <n v="1"/>
    <n v="0"/>
    <n v="0"/>
    <n v="188"/>
    <n v="185"/>
    <n v="3"/>
    <n v="0"/>
    <x v="0"/>
    <x v="0"/>
    <x v="1"/>
    <x v="0"/>
    <x v="0"/>
    <x v="0"/>
    <n v="1"/>
    <n v="0"/>
    <n v="21"/>
    <n v="3.0000000000000004"/>
    <n v="5"/>
    <n v="4"/>
    <n v="12"/>
    <n v="3"/>
    <x v="3"/>
  </r>
  <r>
    <x v="734"/>
    <n v="36108"/>
    <n v="1"/>
    <n v="0"/>
    <n v="68"/>
    <n v="141"/>
    <n v="8"/>
    <n v="129"/>
    <n v="3"/>
    <n v="11"/>
    <n v="47"/>
    <n v="3"/>
    <n v="7"/>
    <n v="1"/>
    <n v="4"/>
    <n v="9"/>
    <n v="0"/>
    <n v="0"/>
    <n v="1"/>
    <n v="0"/>
    <n v="0"/>
    <x v="1"/>
    <n v="0"/>
    <n v="3"/>
    <n v="11"/>
    <n v="0"/>
    <n v="36"/>
    <n v="2416"/>
    <n v="6.6191780821917812"/>
    <n v="0"/>
    <n v="0"/>
    <n v="1"/>
    <n v="0"/>
    <n v="0"/>
    <n v="0"/>
    <n v="0"/>
    <n v="1"/>
    <n v="0"/>
    <n v="0"/>
    <n v="292"/>
    <n v="245"/>
    <n v="47"/>
    <n v="1"/>
    <x v="0"/>
    <x v="0"/>
    <x v="1"/>
    <x v="0"/>
    <x v="3"/>
    <x v="3"/>
    <n v="1"/>
    <n v="0"/>
    <n v="24"/>
    <n v="4"/>
    <n v="6"/>
    <n v="4"/>
    <n v="14"/>
    <n v="4"/>
    <x v="3"/>
  </r>
  <r>
    <x v="735"/>
    <n v="40101"/>
    <n v="1"/>
    <n v="0"/>
    <n v="73"/>
    <n v="171"/>
    <n v="3"/>
    <n v="129"/>
    <n v="26"/>
    <n v="24"/>
    <n v="62"/>
    <n v="4"/>
    <n v="6"/>
    <n v="1"/>
    <n v="6"/>
    <n v="7"/>
    <n v="0"/>
    <n v="0"/>
    <n v="0"/>
    <n v="0"/>
    <n v="0"/>
    <x v="0"/>
    <n v="0"/>
    <n v="3"/>
    <n v="11"/>
    <n v="0"/>
    <n v="35"/>
    <n v="2782"/>
    <n v="7.6219178082191785"/>
    <n v="0"/>
    <n v="0"/>
    <n v="0"/>
    <n v="1"/>
    <n v="0"/>
    <n v="0"/>
    <n v="0"/>
    <n v="0"/>
    <n v="1"/>
    <n v="0"/>
    <n v="353"/>
    <n v="291"/>
    <n v="62"/>
    <n v="0"/>
    <x v="0"/>
    <x v="0"/>
    <x v="2"/>
    <x v="1"/>
    <x v="3"/>
    <x v="3"/>
    <n v="1"/>
    <n v="0"/>
    <n v="24"/>
    <n v="3.0000000000000004"/>
    <n v="6"/>
    <n v="5"/>
    <n v="14"/>
    <n v="4"/>
    <x v="3"/>
  </r>
  <r>
    <x v="736"/>
    <n v="65706"/>
    <n v="0"/>
    <n v="0"/>
    <n v="77"/>
    <n v="918"/>
    <n v="10"/>
    <n v="129"/>
    <n v="13"/>
    <n v="0"/>
    <n v="129"/>
    <n v="1"/>
    <n v="11"/>
    <n v="3"/>
    <n v="12"/>
    <n v="7"/>
    <n v="0"/>
    <n v="1"/>
    <n v="0"/>
    <n v="1"/>
    <n v="1"/>
    <x v="1"/>
    <n v="0"/>
    <n v="3"/>
    <n v="11"/>
    <n v="1"/>
    <n v="50"/>
    <n v="2525"/>
    <n v="6.9178082191780819"/>
    <n v="1"/>
    <n v="0"/>
    <n v="0"/>
    <n v="0"/>
    <n v="0"/>
    <n v="1"/>
    <n v="0"/>
    <n v="0"/>
    <n v="0"/>
    <n v="0"/>
    <n v="1070"/>
    <n v="941"/>
    <n v="129"/>
    <n v="3"/>
    <x v="1"/>
    <x v="1"/>
    <x v="3"/>
    <x v="1"/>
    <x v="2"/>
    <x v="0"/>
    <n v="1"/>
    <n v="0"/>
    <n v="34"/>
    <n v="3.0000000000000004"/>
    <n v="9"/>
    <n v="7"/>
    <n v="19"/>
    <n v="7"/>
    <x v="2"/>
  </r>
  <r>
    <x v="737"/>
    <n v="33955"/>
    <n v="1"/>
    <n v="0"/>
    <n v="92"/>
    <n v="100"/>
    <n v="2"/>
    <n v="128"/>
    <n v="23"/>
    <n v="7"/>
    <n v="10"/>
    <n v="4"/>
    <n v="5"/>
    <n v="1"/>
    <n v="5"/>
    <n v="8"/>
    <n v="0"/>
    <n v="0"/>
    <n v="0"/>
    <n v="0"/>
    <n v="0"/>
    <x v="0"/>
    <n v="0"/>
    <n v="3"/>
    <n v="11"/>
    <n v="0"/>
    <n v="45"/>
    <n v="2483"/>
    <n v="6.8027397260273972"/>
    <n v="0"/>
    <n v="0"/>
    <n v="1"/>
    <n v="0"/>
    <n v="0"/>
    <n v="0"/>
    <n v="0"/>
    <n v="1"/>
    <n v="0"/>
    <n v="0"/>
    <n v="260"/>
    <n v="250"/>
    <n v="10"/>
    <n v="0"/>
    <x v="0"/>
    <x v="0"/>
    <x v="1"/>
    <x v="0"/>
    <x v="0"/>
    <x v="0"/>
    <n v="1"/>
    <n v="1"/>
    <n v="23"/>
    <n v="0.99999999999999978"/>
    <n v="6"/>
    <n v="4"/>
    <n v="11"/>
    <n v="2"/>
    <x v="3"/>
  </r>
  <r>
    <x v="738"/>
    <n v="60839"/>
    <n v="1"/>
    <n v="1"/>
    <n v="72"/>
    <n v="600"/>
    <n v="21"/>
    <n v="128"/>
    <n v="223"/>
    <n v="150"/>
    <n v="128"/>
    <n v="13"/>
    <n v="2"/>
    <n v="2"/>
    <n v="12"/>
    <n v="8"/>
    <n v="0"/>
    <n v="0"/>
    <n v="0"/>
    <n v="0"/>
    <n v="0"/>
    <x v="0"/>
    <n v="0"/>
    <n v="3"/>
    <n v="11"/>
    <n v="0"/>
    <n v="41"/>
    <n v="2829"/>
    <n v="7.7506849315068491"/>
    <n v="0"/>
    <n v="0"/>
    <n v="0"/>
    <n v="1"/>
    <n v="0"/>
    <n v="1"/>
    <n v="0"/>
    <n v="0"/>
    <n v="0"/>
    <n v="0"/>
    <n v="1122"/>
    <n v="994"/>
    <n v="128"/>
    <n v="0"/>
    <x v="0"/>
    <x v="0"/>
    <x v="2"/>
    <x v="1"/>
    <x v="2"/>
    <x v="0"/>
    <n v="1"/>
    <n v="0"/>
    <n v="37"/>
    <n v="3.0000000000000004"/>
    <n v="9"/>
    <n v="8"/>
    <n v="20"/>
    <n v="7"/>
    <x v="2"/>
  </r>
  <r>
    <x v="739"/>
    <n v="66503"/>
    <n v="1"/>
    <n v="0"/>
    <n v="30"/>
    <n v="91"/>
    <n v="64"/>
    <n v="128"/>
    <n v="65"/>
    <n v="3"/>
    <n v="50"/>
    <n v="2"/>
    <n v="4"/>
    <n v="3"/>
    <n v="6"/>
    <n v="3"/>
    <n v="0"/>
    <n v="0"/>
    <n v="0"/>
    <n v="0"/>
    <n v="0"/>
    <x v="0"/>
    <n v="0"/>
    <n v="3"/>
    <n v="11"/>
    <n v="0"/>
    <n v="35"/>
    <n v="2843"/>
    <n v="7.7890410958904113"/>
    <n v="0"/>
    <n v="0"/>
    <n v="1"/>
    <n v="0"/>
    <n v="0"/>
    <n v="0"/>
    <n v="0"/>
    <n v="1"/>
    <n v="0"/>
    <n v="0"/>
    <n v="351"/>
    <n v="301"/>
    <n v="50"/>
    <n v="0"/>
    <x v="0"/>
    <x v="0"/>
    <x v="1"/>
    <x v="0"/>
    <x v="2"/>
    <x v="3"/>
    <n v="0"/>
    <n v="0"/>
    <n v="18"/>
    <n v="7"/>
    <n v="4"/>
    <n v="5"/>
    <n v="16"/>
    <n v="5"/>
    <x v="1"/>
  </r>
  <r>
    <x v="740"/>
    <n v="71670"/>
    <n v="0"/>
    <n v="0"/>
    <n v="8"/>
    <n v="1462"/>
    <n v="16"/>
    <n v="128"/>
    <n v="0"/>
    <n v="0"/>
    <n v="160"/>
    <n v="1"/>
    <n v="5"/>
    <n v="3"/>
    <n v="6"/>
    <n v="6"/>
    <n v="0"/>
    <n v="1"/>
    <n v="0"/>
    <n v="1"/>
    <n v="1"/>
    <x v="1"/>
    <n v="0"/>
    <n v="3"/>
    <n v="11"/>
    <n v="1"/>
    <n v="58"/>
    <n v="2514"/>
    <n v="6.8876712328767127"/>
    <n v="0"/>
    <n v="0"/>
    <n v="0"/>
    <n v="0"/>
    <n v="1"/>
    <n v="0"/>
    <n v="0"/>
    <n v="0"/>
    <n v="0"/>
    <n v="1"/>
    <n v="1606"/>
    <n v="1446"/>
    <n v="160"/>
    <n v="3"/>
    <x v="1"/>
    <x v="1"/>
    <x v="4"/>
    <x v="1"/>
    <x v="2"/>
    <x v="1"/>
    <n v="0"/>
    <n v="0"/>
    <n v="21"/>
    <n v="10"/>
    <n v="5"/>
    <n v="9"/>
    <n v="24"/>
    <n v="9"/>
    <x v="0"/>
  </r>
  <r>
    <x v="741"/>
    <n v="76068"/>
    <n v="0"/>
    <n v="1"/>
    <n v="67"/>
    <n v="1115"/>
    <n v="12"/>
    <n v="128"/>
    <n v="33"/>
    <n v="12"/>
    <n v="76"/>
    <n v="1"/>
    <n v="2"/>
    <n v="3"/>
    <n v="4"/>
    <n v="6"/>
    <n v="0"/>
    <n v="1"/>
    <n v="0"/>
    <n v="1"/>
    <n v="0"/>
    <x v="1"/>
    <n v="0"/>
    <n v="3"/>
    <n v="11"/>
    <n v="0"/>
    <n v="45"/>
    <n v="2736"/>
    <n v="7.4958904109589044"/>
    <n v="0"/>
    <n v="1"/>
    <n v="0"/>
    <n v="0"/>
    <n v="0"/>
    <n v="0"/>
    <n v="0"/>
    <n v="1"/>
    <n v="0"/>
    <n v="0"/>
    <n v="1300"/>
    <n v="1224"/>
    <n v="76"/>
    <n v="2"/>
    <x v="0"/>
    <x v="0"/>
    <x v="0"/>
    <x v="0"/>
    <x v="1"/>
    <x v="0"/>
    <n v="1"/>
    <n v="0"/>
    <n v="16"/>
    <n v="4"/>
    <n v="3"/>
    <n v="8"/>
    <n v="15"/>
    <n v="4"/>
    <x v="3"/>
  </r>
  <r>
    <x v="742"/>
    <n v="36130"/>
    <n v="0"/>
    <n v="1"/>
    <n v="46"/>
    <n v="157"/>
    <n v="43"/>
    <n v="127"/>
    <n v="68"/>
    <n v="56"/>
    <n v="37"/>
    <n v="6"/>
    <n v="3"/>
    <n v="8"/>
    <n v="4"/>
    <n v="4"/>
    <n v="0"/>
    <n v="0"/>
    <n v="1"/>
    <n v="0"/>
    <n v="0"/>
    <x v="1"/>
    <n v="0"/>
    <n v="3"/>
    <n v="11"/>
    <n v="1"/>
    <n v="66"/>
    <n v="2671"/>
    <n v="7.3178082191780822"/>
    <n v="0"/>
    <n v="0"/>
    <n v="1"/>
    <n v="0"/>
    <n v="0"/>
    <n v="0"/>
    <n v="0"/>
    <n v="1"/>
    <n v="0"/>
    <n v="0"/>
    <n v="451"/>
    <n v="414"/>
    <n v="37"/>
    <n v="1"/>
    <x v="0"/>
    <x v="0"/>
    <x v="1"/>
    <x v="0"/>
    <x v="3"/>
    <x v="2"/>
    <n v="1"/>
    <n v="0"/>
    <n v="25"/>
    <n v="6"/>
    <n v="7"/>
    <n v="5"/>
    <n v="18"/>
    <n v="6"/>
    <x v="1"/>
  </r>
  <r>
    <x v="743"/>
    <n v="53790"/>
    <n v="0"/>
    <n v="2"/>
    <n v="86"/>
    <n v="335"/>
    <n v="42"/>
    <n v="127"/>
    <n v="28"/>
    <n v="5"/>
    <n v="5"/>
    <n v="3"/>
    <n v="7"/>
    <n v="2"/>
    <n v="8"/>
    <n v="6"/>
    <n v="0"/>
    <n v="0"/>
    <n v="0"/>
    <n v="0"/>
    <n v="0"/>
    <x v="0"/>
    <n v="0"/>
    <n v="3"/>
    <n v="11"/>
    <n v="0"/>
    <n v="69"/>
    <n v="2274"/>
    <n v="6.2301369863013702"/>
    <n v="0"/>
    <n v="1"/>
    <n v="0"/>
    <n v="0"/>
    <n v="0"/>
    <n v="0"/>
    <n v="0"/>
    <n v="1"/>
    <n v="0"/>
    <n v="0"/>
    <n v="537"/>
    <n v="532"/>
    <n v="5"/>
    <n v="0"/>
    <x v="0"/>
    <x v="0"/>
    <x v="0"/>
    <x v="0"/>
    <x v="2"/>
    <x v="2"/>
    <n v="1"/>
    <n v="0"/>
    <n v="26"/>
    <n v="1.9999999999999996"/>
    <n v="7"/>
    <n v="5"/>
    <n v="14"/>
    <n v="4"/>
    <x v="3"/>
  </r>
  <r>
    <x v="744"/>
    <n v="67472"/>
    <n v="0"/>
    <n v="1"/>
    <n v="93"/>
    <n v="162"/>
    <n v="31"/>
    <n v="127"/>
    <n v="8"/>
    <n v="17"/>
    <n v="69"/>
    <n v="2"/>
    <n v="4"/>
    <n v="2"/>
    <n v="7"/>
    <n v="3"/>
    <n v="0"/>
    <n v="0"/>
    <n v="0"/>
    <n v="0"/>
    <n v="0"/>
    <x v="0"/>
    <n v="0"/>
    <n v="3"/>
    <n v="11"/>
    <n v="0"/>
    <n v="73"/>
    <n v="2433"/>
    <n v="6.6657534246575345"/>
    <n v="0"/>
    <n v="1"/>
    <n v="0"/>
    <n v="0"/>
    <n v="0"/>
    <n v="0"/>
    <n v="0"/>
    <n v="0"/>
    <n v="0"/>
    <n v="1"/>
    <n v="345"/>
    <n v="276"/>
    <n v="69"/>
    <n v="0"/>
    <x v="0"/>
    <x v="0"/>
    <x v="0"/>
    <x v="1"/>
    <x v="2"/>
    <x v="2"/>
    <n v="1"/>
    <n v="1"/>
    <n v="18"/>
    <n v="0.99999999999999978"/>
    <n v="4"/>
    <n v="5"/>
    <n v="10"/>
    <n v="2"/>
    <x v="3"/>
  </r>
  <r>
    <x v="745"/>
    <n v="71613"/>
    <n v="0"/>
    <n v="0"/>
    <n v="26"/>
    <n v="426"/>
    <n v="49"/>
    <n v="127"/>
    <n v="111"/>
    <n v="21"/>
    <n v="42"/>
    <n v="1"/>
    <n v="8"/>
    <n v="2"/>
    <n v="10"/>
    <n v="4"/>
    <n v="0"/>
    <n v="0"/>
    <n v="0"/>
    <n v="0"/>
    <n v="0"/>
    <x v="0"/>
    <n v="0"/>
    <n v="3"/>
    <n v="11"/>
    <n v="0"/>
    <n v="55"/>
    <n v="2471"/>
    <n v="6.7698630136986298"/>
    <n v="0"/>
    <n v="0"/>
    <n v="0"/>
    <n v="1"/>
    <n v="0"/>
    <n v="0"/>
    <n v="0"/>
    <n v="1"/>
    <n v="0"/>
    <n v="0"/>
    <n v="734"/>
    <n v="692"/>
    <n v="42"/>
    <n v="0"/>
    <x v="1"/>
    <x v="1"/>
    <x v="2"/>
    <x v="0"/>
    <x v="2"/>
    <x v="1"/>
    <n v="0"/>
    <n v="0"/>
    <n v="25"/>
    <n v="8"/>
    <n v="7"/>
    <n v="6"/>
    <n v="21"/>
    <n v="8"/>
    <x v="2"/>
  </r>
  <r>
    <x v="746"/>
    <n v="86580"/>
    <n v="0"/>
    <n v="0"/>
    <n v="72"/>
    <n v="532"/>
    <n v="21"/>
    <n v="127"/>
    <n v="26"/>
    <n v="20"/>
    <n v="20"/>
    <n v="0"/>
    <n v="4"/>
    <n v="2"/>
    <n v="5"/>
    <n v="1"/>
    <n v="0"/>
    <n v="0"/>
    <n v="0"/>
    <n v="0"/>
    <n v="1"/>
    <x v="1"/>
    <n v="0"/>
    <n v="3"/>
    <n v="11"/>
    <n v="0"/>
    <n v="37"/>
    <n v="2646"/>
    <n v="7.2493150684931509"/>
    <n v="0"/>
    <n v="1"/>
    <n v="0"/>
    <n v="0"/>
    <n v="0"/>
    <n v="0"/>
    <n v="0"/>
    <n v="0"/>
    <n v="0"/>
    <n v="1"/>
    <n v="726"/>
    <n v="706"/>
    <n v="20"/>
    <n v="1"/>
    <x v="1"/>
    <x v="1"/>
    <x v="0"/>
    <x v="1"/>
    <x v="1"/>
    <x v="3"/>
    <n v="1"/>
    <n v="0"/>
    <n v="12"/>
    <n v="3.0000000000000004"/>
    <n v="1"/>
    <n v="6"/>
    <n v="10"/>
    <n v="2"/>
    <x v="3"/>
  </r>
  <r>
    <x v="747"/>
    <n v="66476"/>
    <n v="0"/>
    <n v="1"/>
    <n v="99"/>
    <n v="372"/>
    <n v="18"/>
    <n v="126"/>
    <n v="47"/>
    <n v="48"/>
    <n v="78"/>
    <n v="2"/>
    <n v="5"/>
    <n v="2"/>
    <n v="11"/>
    <n v="4"/>
    <n v="0"/>
    <n v="0"/>
    <n v="0"/>
    <n v="0"/>
    <n v="0"/>
    <x v="0"/>
    <n v="0"/>
    <n v="3"/>
    <n v="11"/>
    <n v="0"/>
    <n v="44"/>
    <n v="2638"/>
    <n v="7.2273972602739729"/>
    <n v="1"/>
    <n v="0"/>
    <n v="0"/>
    <n v="0"/>
    <n v="0"/>
    <n v="0"/>
    <n v="0"/>
    <n v="0"/>
    <n v="0"/>
    <n v="1"/>
    <n v="611"/>
    <n v="533"/>
    <n v="78"/>
    <n v="0"/>
    <x v="0"/>
    <x v="0"/>
    <x v="3"/>
    <x v="1"/>
    <x v="2"/>
    <x v="0"/>
    <n v="1"/>
    <n v="1"/>
    <n v="24"/>
    <n v="0.99999999999999978"/>
    <n v="6"/>
    <n v="6"/>
    <n v="13"/>
    <n v="3"/>
    <x v="3"/>
  </r>
  <r>
    <x v="748"/>
    <n v="36715"/>
    <n v="1"/>
    <n v="0"/>
    <n v="16"/>
    <n v="172"/>
    <n v="10"/>
    <n v="125"/>
    <n v="21"/>
    <n v="13"/>
    <n v="16"/>
    <n v="6"/>
    <n v="7"/>
    <n v="2"/>
    <n v="4"/>
    <n v="9"/>
    <n v="0"/>
    <n v="0"/>
    <n v="0"/>
    <n v="0"/>
    <n v="0"/>
    <x v="0"/>
    <n v="0"/>
    <n v="3"/>
    <n v="11"/>
    <n v="1"/>
    <n v="49"/>
    <n v="2748"/>
    <n v="7.5287671232876709"/>
    <n v="0"/>
    <n v="1"/>
    <n v="0"/>
    <n v="0"/>
    <n v="0"/>
    <n v="0"/>
    <n v="0"/>
    <n v="1"/>
    <n v="0"/>
    <n v="0"/>
    <n v="341"/>
    <n v="325"/>
    <n v="16"/>
    <n v="0"/>
    <x v="0"/>
    <x v="0"/>
    <x v="0"/>
    <x v="0"/>
    <x v="3"/>
    <x v="0"/>
    <n v="0"/>
    <n v="0"/>
    <n v="28"/>
    <n v="9"/>
    <n v="8"/>
    <n v="4"/>
    <n v="21"/>
    <n v="8"/>
    <x v="2"/>
  </r>
  <r>
    <x v="749"/>
    <n v="43783"/>
    <n v="1"/>
    <n v="0"/>
    <n v="22"/>
    <n v="327"/>
    <n v="9"/>
    <n v="125"/>
    <n v="25"/>
    <n v="4"/>
    <n v="139"/>
    <n v="6"/>
    <n v="7"/>
    <n v="1"/>
    <n v="8"/>
    <n v="7"/>
    <n v="0"/>
    <n v="0"/>
    <n v="1"/>
    <n v="0"/>
    <n v="0"/>
    <x v="1"/>
    <n v="0"/>
    <n v="3"/>
    <n v="11"/>
    <n v="0"/>
    <n v="42"/>
    <n v="2190"/>
    <n v="6"/>
    <n v="0"/>
    <n v="1"/>
    <n v="0"/>
    <n v="0"/>
    <n v="0"/>
    <n v="0"/>
    <n v="0"/>
    <n v="0"/>
    <n v="1"/>
    <n v="0"/>
    <n v="490"/>
    <n v="351"/>
    <n v="139"/>
    <n v="1"/>
    <x v="0"/>
    <x v="0"/>
    <x v="0"/>
    <x v="1"/>
    <x v="3"/>
    <x v="0"/>
    <n v="0"/>
    <n v="0"/>
    <n v="29"/>
    <n v="8"/>
    <n v="8"/>
    <n v="5"/>
    <n v="21"/>
    <n v="8"/>
    <x v="2"/>
  </r>
  <r>
    <x v="750"/>
    <n v="56937"/>
    <n v="1"/>
    <n v="0"/>
    <n v="81"/>
    <n v="746"/>
    <n v="8"/>
    <n v="125"/>
    <n v="11"/>
    <n v="8"/>
    <n v="8"/>
    <n v="7"/>
    <n v="8"/>
    <n v="6"/>
    <n v="9"/>
    <n v="6"/>
    <n v="0"/>
    <n v="0"/>
    <n v="0"/>
    <n v="1"/>
    <n v="0"/>
    <x v="1"/>
    <n v="0"/>
    <n v="3"/>
    <n v="11"/>
    <n v="1"/>
    <n v="39"/>
    <n v="2853"/>
    <n v="7.816438356164384"/>
    <n v="0"/>
    <n v="0"/>
    <n v="0"/>
    <n v="1"/>
    <n v="0"/>
    <n v="0"/>
    <n v="0"/>
    <n v="0"/>
    <n v="0"/>
    <n v="1"/>
    <n v="898"/>
    <n v="890"/>
    <n v="8"/>
    <n v="1"/>
    <x v="0"/>
    <x v="0"/>
    <x v="2"/>
    <x v="1"/>
    <x v="2"/>
    <x v="3"/>
    <n v="1"/>
    <n v="0"/>
    <n v="36"/>
    <n v="1.9999999999999996"/>
    <n v="9"/>
    <n v="7"/>
    <n v="18"/>
    <n v="6"/>
    <x v="1"/>
  </r>
  <r>
    <x v="751"/>
    <n v="63206"/>
    <n v="0"/>
    <n v="0"/>
    <n v="65"/>
    <n v="750"/>
    <n v="8"/>
    <n v="125"/>
    <n v="11"/>
    <n v="8"/>
    <n v="26"/>
    <n v="1"/>
    <n v="4"/>
    <n v="3"/>
    <n v="6"/>
    <n v="2"/>
    <n v="0"/>
    <n v="0"/>
    <n v="0"/>
    <n v="0"/>
    <n v="1"/>
    <x v="1"/>
    <n v="0"/>
    <n v="3"/>
    <n v="11"/>
    <n v="0"/>
    <n v="46"/>
    <n v="2260"/>
    <n v="6.1917808219178081"/>
    <n v="0"/>
    <n v="1"/>
    <n v="0"/>
    <n v="0"/>
    <n v="0"/>
    <n v="0"/>
    <n v="0"/>
    <n v="0"/>
    <n v="1"/>
    <n v="0"/>
    <n v="902"/>
    <n v="876"/>
    <n v="26"/>
    <n v="1"/>
    <x v="1"/>
    <x v="1"/>
    <x v="0"/>
    <x v="1"/>
    <x v="2"/>
    <x v="0"/>
    <n v="1"/>
    <n v="0"/>
    <n v="16"/>
    <n v="4"/>
    <n v="3"/>
    <n v="7"/>
    <n v="14"/>
    <n v="4"/>
    <x v="3"/>
  </r>
  <r>
    <x v="752"/>
    <n v="65486"/>
    <n v="0"/>
    <n v="1"/>
    <n v="29"/>
    <n v="245"/>
    <n v="19"/>
    <n v="125"/>
    <n v="37"/>
    <n v="67"/>
    <n v="14"/>
    <n v="1"/>
    <n v="4"/>
    <n v="2"/>
    <n v="10"/>
    <n v="2"/>
    <n v="0"/>
    <n v="0"/>
    <n v="0"/>
    <n v="0"/>
    <n v="0"/>
    <x v="0"/>
    <n v="0"/>
    <n v="3"/>
    <n v="11"/>
    <n v="0"/>
    <n v="63"/>
    <n v="2207"/>
    <n v="6.0465753424657533"/>
    <n v="0"/>
    <n v="0"/>
    <n v="0"/>
    <n v="0"/>
    <n v="1"/>
    <n v="0"/>
    <n v="0"/>
    <n v="1"/>
    <n v="0"/>
    <n v="0"/>
    <n v="493"/>
    <n v="479"/>
    <n v="14"/>
    <n v="0"/>
    <x v="0"/>
    <x v="0"/>
    <x v="4"/>
    <x v="0"/>
    <x v="2"/>
    <x v="2"/>
    <n v="0"/>
    <n v="0"/>
    <n v="19"/>
    <n v="8"/>
    <n v="4"/>
    <n v="5"/>
    <n v="17"/>
    <n v="6"/>
    <x v="1"/>
  </r>
  <r>
    <x v="753"/>
    <n v="75276"/>
    <n v="0"/>
    <n v="0"/>
    <n v="2"/>
    <n v="610"/>
    <n v="105"/>
    <n v="125"/>
    <n v="137"/>
    <n v="42"/>
    <n v="21"/>
    <n v="1"/>
    <n v="9"/>
    <n v="4"/>
    <n v="9"/>
    <n v="5"/>
    <n v="0"/>
    <n v="0"/>
    <n v="0"/>
    <n v="0"/>
    <n v="0"/>
    <x v="0"/>
    <n v="0"/>
    <n v="3"/>
    <n v="11"/>
    <n v="0"/>
    <n v="55"/>
    <n v="2799"/>
    <n v="7.6684931506849319"/>
    <n v="0"/>
    <n v="0"/>
    <n v="0"/>
    <n v="1"/>
    <n v="0"/>
    <n v="0"/>
    <n v="0"/>
    <n v="1"/>
    <n v="0"/>
    <n v="0"/>
    <n v="1019"/>
    <n v="998"/>
    <n v="21"/>
    <n v="0"/>
    <x v="1"/>
    <x v="1"/>
    <x v="2"/>
    <x v="0"/>
    <x v="1"/>
    <x v="1"/>
    <n v="0"/>
    <n v="0"/>
    <n v="28"/>
    <n v="10"/>
    <n v="8"/>
    <n v="7"/>
    <n v="25"/>
    <n v="9"/>
    <x v="0"/>
  </r>
  <r>
    <x v="754"/>
    <n v="79244"/>
    <n v="0"/>
    <n v="0"/>
    <n v="58"/>
    <n v="471"/>
    <n v="102"/>
    <n v="125"/>
    <n v="212"/>
    <n v="61"/>
    <n v="245"/>
    <n v="1"/>
    <n v="4"/>
    <n v="10"/>
    <n v="7"/>
    <n v="1"/>
    <n v="1"/>
    <n v="0"/>
    <n v="0"/>
    <n v="0"/>
    <n v="1"/>
    <x v="1"/>
    <n v="0"/>
    <n v="3"/>
    <n v="11"/>
    <n v="1"/>
    <n v="27"/>
    <n v="2716"/>
    <n v="7.441095890410959"/>
    <n v="0"/>
    <n v="0"/>
    <n v="1"/>
    <n v="0"/>
    <n v="0"/>
    <n v="0"/>
    <n v="0"/>
    <n v="1"/>
    <n v="0"/>
    <n v="0"/>
    <n v="971"/>
    <n v="726"/>
    <n v="245"/>
    <n v="2"/>
    <x v="1"/>
    <x v="1"/>
    <x v="1"/>
    <x v="0"/>
    <x v="1"/>
    <x v="4"/>
    <n v="1"/>
    <n v="0"/>
    <n v="23"/>
    <n v="5"/>
    <n v="6"/>
    <n v="7"/>
    <n v="18"/>
    <n v="6"/>
    <x v="1"/>
  </r>
  <r>
    <x v="755"/>
    <n v="86037"/>
    <n v="0"/>
    <n v="0"/>
    <n v="95"/>
    <n v="490"/>
    <n v="44"/>
    <n v="125"/>
    <n v="29"/>
    <n v="20"/>
    <n v="22"/>
    <n v="1"/>
    <n v="6"/>
    <n v="7"/>
    <n v="11"/>
    <n v="3"/>
    <n v="0"/>
    <n v="0"/>
    <n v="0"/>
    <n v="1"/>
    <n v="1"/>
    <x v="1"/>
    <n v="0"/>
    <n v="3"/>
    <n v="11"/>
    <n v="1"/>
    <n v="29"/>
    <n v="2702"/>
    <n v="7.4027397260273968"/>
    <n v="0"/>
    <n v="0"/>
    <n v="1"/>
    <n v="0"/>
    <n v="0"/>
    <n v="0"/>
    <n v="0"/>
    <n v="1"/>
    <n v="0"/>
    <n v="0"/>
    <n v="708"/>
    <n v="686"/>
    <n v="22"/>
    <n v="2"/>
    <x v="1"/>
    <x v="1"/>
    <x v="1"/>
    <x v="0"/>
    <x v="1"/>
    <x v="4"/>
    <n v="1"/>
    <n v="1"/>
    <n v="28"/>
    <n v="0.99999999999999978"/>
    <n v="8"/>
    <n v="6"/>
    <n v="15"/>
    <n v="4"/>
    <x v="3"/>
  </r>
  <r>
    <x v="756"/>
    <n v="96547"/>
    <n v="0"/>
    <n v="0"/>
    <n v="4"/>
    <n v="448"/>
    <n v="21"/>
    <n v="125"/>
    <n v="52"/>
    <n v="101"/>
    <n v="62"/>
    <n v="0"/>
    <n v="7"/>
    <n v="6"/>
    <n v="8"/>
    <n v="2"/>
    <n v="1"/>
    <n v="0"/>
    <n v="1"/>
    <n v="0"/>
    <n v="1"/>
    <x v="1"/>
    <n v="0"/>
    <n v="3"/>
    <n v="11"/>
    <n v="1"/>
    <n v="40"/>
    <n v="2196"/>
    <n v="6.0164383561643833"/>
    <n v="0"/>
    <n v="1"/>
    <n v="0"/>
    <n v="0"/>
    <n v="0"/>
    <n v="1"/>
    <n v="0"/>
    <n v="0"/>
    <n v="0"/>
    <n v="0"/>
    <n v="747"/>
    <n v="685"/>
    <n v="62"/>
    <n v="3"/>
    <x v="1"/>
    <x v="1"/>
    <x v="0"/>
    <x v="1"/>
    <x v="1"/>
    <x v="3"/>
    <n v="0"/>
    <n v="0"/>
    <n v="23"/>
    <n v="10"/>
    <n v="6"/>
    <n v="6"/>
    <n v="22"/>
    <n v="8"/>
    <x v="2"/>
  </r>
  <r>
    <x v="757"/>
    <n v="55593"/>
    <n v="0"/>
    <n v="1"/>
    <n v="63"/>
    <n v="293"/>
    <n v="8"/>
    <n v="124"/>
    <n v="11"/>
    <n v="4"/>
    <n v="106"/>
    <n v="2"/>
    <n v="6"/>
    <n v="6"/>
    <n v="3"/>
    <n v="6"/>
    <n v="0"/>
    <n v="0"/>
    <n v="1"/>
    <n v="0"/>
    <n v="0"/>
    <x v="1"/>
    <n v="0"/>
    <n v="3"/>
    <n v="11"/>
    <n v="0"/>
    <n v="47"/>
    <n v="2471"/>
    <n v="6.7698630136986298"/>
    <n v="0"/>
    <n v="0"/>
    <n v="0"/>
    <n v="1"/>
    <n v="0"/>
    <n v="0"/>
    <n v="0"/>
    <n v="1"/>
    <n v="0"/>
    <n v="0"/>
    <n v="440"/>
    <n v="334"/>
    <n v="106"/>
    <n v="1"/>
    <x v="0"/>
    <x v="0"/>
    <x v="2"/>
    <x v="0"/>
    <x v="2"/>
    <x v="0"/>
    <n v="1"/>
    <n v="0"/>
    <n v="23"/>
    <n v="4"/>
    <n v="6"/>
    <n v="5"/>
    <n v="15"/>
    <n v="4"/>
    <x v="3"/>
  </r>
  <r>
    <x v="758"/>
    <n v="64813"/>
    <n v="1"/>
    <n v="0"/>
    <n v="81"/>
    <n v="293"/>
    <n v="0"/>
    <n v="124"/>
    <n v="179"/>
    <n v="97"/>
    <n v="52"/>
    <n v="1"/>
    <n v="7"/>
    <n v="2"/>
    <n v="10"/>
    <n v="5"/>
    <n v="0"/>
    <n v="0"/>
    <n v="0"/>
    <n v="0"/>
    <n v="0"/>
    <x v="0"/>
    <n v="0"/>
    <n v="3"/>
    <n v="11"/>
    <n v="0"/>
    <n v="42"/>
    <n v="2337"/>
    <n v="6.4027397260273968"/>
    <n v="0"/>
    <n v="1"/>
    <n v="0"/>
    <n v="0"/>
    <n v="0"/>
    <n v="0"/>
    <n v="0"/>
    <n v="1"/>
    <n v="0"/>
    <n v="0"/>
    <n v="693"/>
    <n v="641"/>
    <n v="52"/>
    <n v="0"/>
    <x v="0"/>
    <x v="0"/>
    <x v="0"/>
    <x v="0"/>
    <x v="2"/>
    <x v="0"/>
    <n v="1"/>
    <n v="0"/>
    <n v="25"/>
    <n v="1.9999999999999996"/>
    <n v="7"/>
    <n v="6"/>
    <n v="15"/>
    <n v="4"/>
    <x v="3"/>
  </r>
  <r>
    <x v="759"/>
    <n v="66373"/>
    <n v="1"/>
    <n v="1"/>
    <n v="57"/>
    <n v="328"/>
    <n v="9"/>
    <n v="124"/>
    <n v="12"/>
    <n v="24"/>
    <n v="109"/>
    <n v="7"/>
    <n v="4"/>
    <n v="2"/>
    <n v="10"/>
    <n v="3"/>
    <n v="0"/>
    <n v="0"/>
    <n v="0"/>
    <n v="0"/>
    <n v="0"/>
    <x v="0"/>
    <n v="0"/>
    <n v="3"/>
    <n v="11"/>
    <n v="0"/>
    <n v="42"/>
    <n v="2541"/>
    <n v="6.9616438356164387"/>
    <n v="0"/>
    <n v="1"/>
    <n v="0"/>
    <n v="0"/>
    <n v="0"/>
    <n v="0"/>
    <n v="0"/>
    <n v="1"/>
    <n v="0"/>
    <n v="0"/>
    <n v="497"/>
    <n v="388"/>
    <n v="109"/>
    <n v="0"/>
    <x v="0"/>
    <x v="0"/>
    <x v="0"/>
    <x v="0"/>
    <x v="2"/>
    <x v="0"/>
    <n v="1"/>
    <n v="0"/>
    <n v="26"/>
    <n v="5"/>
    <n v="7"/>
    <n v="5"/>
    <n v="17"/>
    <n v="6"/>
    <x v="1"/>
  </r>
  <r>
    <x v="760"/>
    <n v="69063"/>
    <n v="0"/>
    <n v="1"/>
    <n v="16"/>
    <n v="666"/>
    <n v="35"/>
    <n v="124"/>
    <n v="69"/>
    <n v="8"/>
    <n v="26"/>
    <n v="1"/>
    <n v="5"/>
    <n v="3"/>
    <n v="5"/>
    <n v="3"/>
    <n v="0"/>
    <n v="0"/>
    <n v="0"/>
    <n v="0"/>
    <n v="0"/>
    <x v="0"/>
    <n v="0"/>
    <n v="3"/>
    <n v="11"/>
    <n v="0"/>
    <n v="54"/>
    <n v="2758"/>
    <n v="7.5561643835616437"/>
    <n v="0"/>
    <n v="1"/>
    <n v="0"/>
    <n v="0"/>
    <n v="0"/>
    <n v="0"/>
    <n v="0"/>
    <n v="0"/>
    <n v="0"/>
    <n v="1"/>
    <n v="902"/>
    <n v="876"/>
    <n v="26"/>
    <n v="0"/>
    <x v="0"/>
    <x v="0"/>
    <x v="0"/>
    <x v="1"/>
    <x v="2"/>
    <x v="1"/>
    <n v="0"/>
    <n v="0"/>
    <n v="17"/>
    <n v="9"/>
    <n v="3"/>
    <n v="7"/>
    <n v="19"/>
    <n v="7"/>
    <x v="2"/>
  </r>
  <r>
    <x v="761"/>
    <n v="71322"/>
    <n v="0"/>
    <n v="1"/>
    <n v="31"/>
    <n v="121"/>
    <n v="24"/>
    <n v="124"/>
    <n v="24"/>
    <n v="15"/>
    <n v="42"/>
    <n v="1"/>
    <n v="4"/>
    <n v="1"/>
    <n v="7"/>
    <n v="2"/>
    <n v="0"/>
    <n v="0"/>
    <n v="0"/>
    <n v="0"/>
    <n v="0"/>
    <x v="0"/>
    <n v="0"/>
    <n v="3"/>
    <n v="11"/>
    <n v="0"/>
    <n v="44"/>
    <n v="2217"/>
    <n v="6.0739726027397261"/>
    <n v="0"/>
    <n v="0"/>
    <n v="0"/>
    <n v="1"/>
    <n v="0"/>
    <n v="0"/>
    <n v="0"/>
    <n v="1"/>
    <n v="0"/>
    <n v="0"/>
    <n v="308"/>
    <n v="266"/>
    <n v="42"/>
    <n v="0"/>
    <x v="0"/>
    <x v="0"/>
    <x v="2"/>
    <x v="0"/>
    <x v="2"/>
    <x v="0"/>
    <n v="1"/>
    <n v="0"/>
    <n v="15"/>
    <n v="7"/>
    <n v="2"/>
    <n v="4"/>
    <n v="13"/>
    <n v="3"/>
    <x v="3"/>
  </r>
  <r>
    <x v="762"/>
    <n v="71488"/>
    <n v="0"/>
    <n v="0"/>
    <n v="87"/>
    <n v="162"/>
    <n v="33"/>
    <n v="124"/>
    <n v="40"/>
    <n v="28"/>
    <n v="172"/>
    <n v="2"/>
    <n v="3"/>
    <n v="4"/>
    <n v="7"/>
    <n v="1"/>
    <n v="0"/>
    <n v="0"/>
    <n v="0"/>
    <n v="0"/>
    <n v="0"/>
    <x v="0"/>
    <n v="0"/>
    <n v="3"/>
    <n v="11"/>
    <n v="0"/>
    <n v="55"/>
    <n v="2655"/>
    <n v="7.2739726027397262"/>
    <n v="0"/>
    <n v="0"/>
    <n v="0"/>
    <n v="1"/>
    <n v="0"/>
    <n v="1"/>
    <n v="0"/>
    <n v="0"/>
    <n v="0"/>
    <n v="0"/>
    <n v="387"/>
    <n v="215"/>
    <n v="172"/>
    <n v="0"/>
    <x v="1"/>
    <x v="1"/>
    <x v="2"/>
    <x v="1"/>
    <x v="2"/>
    <x v="1"/>
    <n v="1"/>
    <n v="0"/>
    <n v="17"/>
    <n v="1.9999999999999996"/>
    <n v="3"/>
    <n v="5"/>
    <n v="10"/>
    <n v="2"/>
    <x v="3"/>
  </r>
  <r>
    <x v="763"/>
    <n v="79761"/>
    <n v="0"/>
    <n v="1"/>
    <n v="32"/>
    <n v="415"/>
    <n v="5"/>
    <n v="124"/>
    <n v="15"/>
    <n v="35"/>
    <n v="11"/>
    <n v="1"/>
    <n v="5"/>
    <n v="2"/>
    <n v="11"/>
    <n v="3"/>
    <n v="0"/>
    <n v="0"/>
    <n v="0"/>
    <n v="0"/>
    <n v="0"/>
    <x v="0"/>
    <n v="0"/>
    <n v="3"/>
    <n v="11"/>
    <n v="0"/>
    <n v="62"/>
    <n v="2427"/>
    <n v="6.6493150684931503"/>
    <n v="0"/>
    <n v="0"/>
    <n v="1"/>
    <n v="0"/>
    <n v="0"/>
    <n v="0"/>
    <n v="0"/>
    <n v="0"/>
    <n v="0"/>
    <n v="1"/>
    <n v="594"/>
    <n v="583"/>
    <n v="11"/>
    <n v="0"/>
    <x v="0"/>
    <x v="0"/>
    <x v="1"/>
    <x v="1"/>
    <x v="1"/>
    <x v="2"/>
    <n v="1"/>
    <n v="0"/>
    <n v="22"/>
    <n v="7"/>
    <n v="5"/>
    <n v="6"/>
    <n v="18"/>
    <n v="6"/>
    <x v="1"/>
  </r>
  <r>
    <x v="764"/>
    <n v="38410"/>
    <n v="0"/>
    <n v="0"/>
    <n v="65"/>
    <n v="153"/>
    <n v="64"/>
    <n v="123"/>
    <n v="116"/>
    <n v="64"/>
    <n v="14"/>
    <n v="2"/>
    <n v="5"/>
    <n v="2"/>
    <n v="9"/>
    <n v="6"/>
    <n v="0"/>
    <n v="0"/>
    <n v="0"/>
    <n v="0"/>
    <n v="0"/>
    <x v="0"/>
    <n v="0"/>
    <n v="3"/>
    <n v="11"/>
    <n v="1"/>
    <n v="46"/>
    <n v="2812"/>
    <n v="7.7041095890410958"/>
    <n v="0"/>
    <n v="1"/>
    <n v="0"/>
    <n v="0"/>
    <n v="0"/>
    <n v="0"/>
    <n v="0"/>
    <n v="0"/>
    <n v="0"/>
    <n v="1"/>
    <n v="520"/>
    <n v="506"/>
    <n v="14"/>
    <n v="0"/>
    <x v="1"/>
    <x v="1"/>
    <x v="0"/>
    <x v="1"/>
    <x v="3"/>
    <x v="0"/>
    <n v="1"/>
    <n v="0"/>
    <n v="24"/>
    <n v="4"/>
    <n v="6"/>
    <n v="5"/>
    <n v="15"/>
    <n v="4"/>
    <x v="3"/>
  </r>
  <r>
    <x v="765"/>
    <n v="68118"/>
    <n v="0"/>
    <n v="1"/>
    <n v="51"/>
    <n v="595"/>
    <n v="23"/>
    <n v="123"/>
    <n v="10"/>
    <n v="23"/>
    <n v="154"/>
    <n v="2"/>
    <n v="8"/>
    <n v="9"/>
    <n v="4"/>
    <n v="6"/>
    <n v="0"/>
    <n v="0"/>
    <n v="0"/>
    <n v="0"/>
    <n v="0"/>
    <x v="0"/>
    <n v="0"/>
    <n v="3"/>
    <n v="11"/>
    <n v="0"/>
    <n v="57"/>
    <n v="2413"/>
    <n v="6.6109589041095891"/>
    <n v="1"/>
    <n v="0"/>
    <n v="0"/>
    <n v="0"/>
    <n v="0"/>
    <n v="0"/>
    <n v="0"/>
    <n v="1"/>
    <n v="0"/>
    <n v="0"/>
    <n v="774"/>
    <n v="620"/>
    <n v="154"/>
    <n v="0"/>
    <x v="0"/>
    <x v="0"/>
    <x v="3"/>
    <x v="0"/>
    <x v="2"/>
    <x v="1"/>
    <n v="1"/>
    <n v="0"/>
    <n v="29"/>
    <n v="5"/>
    <n v="8"/>
    <n v="6"/>
    <n v="19"/>
    <n v="7"/>
    <x v="2"/>
  </r>
  <r>
    <x v="766"/>
    <n v="34445"/>
    <n v="0"/>
    <n v="0"/>
    <n v="92"/>
    <n v="228"/>
    <n v="122"/>
    <n v="122"/>
    <n v="208"/>
    <n v="129"/>
    <n v="30"/>
    <n v="6"/>
    <n v="11"/>
    <n v="2"/>
    <n v="8"/>
    <n v="9"/>
    <n v="0"/>
    <n v="0"/>
    <n v="0"/>
    <n v="0"/>
    <n v="0"/>
    <x v="0"/>
    <n v="0"/>
    <n v="3"/>
    <n v="11"/>
    <n v="0"/>
    <n v="39"/>
    <n v="2677"/>
    <n v="7.3342465753424655"/>
    <n v="0"/>
    <n v="1"/>
    <n v="0"/>
    <n v="0"/>
    <n v="0"/>
    <n v="0"/>
    <n v="1"/>
    <n v="0"/>
    <n v="0"/>
    <n v="0"/>
    <n v="809"/>
    <n v="779"/>
    <n v="30"/>
    <n v="0"/>
    <x v="1"/>
    <x v="1"/>
    <x v="0"/>
    <x v="2"/>
    <x v="0"/>
    <x v="3"/>
    <n v="1"/>
    <n v="1"/>
    <n v="36"/>
    <n v="0.99999999999999978"/>
    <n v="9"/>
    <n v="6"/>
    <n v="16"/>
    <n v="5"/>
    <x v="1"/>
  </r>
  <r>
    <x v="767"/>
    <n v="59247"/>
    <n v="0"/>
    <n v="2"/>
    <n v="87"/>
    <n v="327"/>
    <n v="9"/>
    <n v="122"/>
    <n v="19"/>
    <n v="14"/>
    <n v="83"/>
    <n v="5"/>
    <n v="5"/>
    <n v="2"/>
    <n v="9"/>
    <n v="6"/>
    <n v="0"/>
    <n v="0"/>
    <n v="0"/>
    <n v="0"/>
    <n v="0"/>
    <x v="0"/>
    <n v="0"/>
    <n v="3"/>
    <n v="11"/>
    <n v="0"/>
    <n v="58"/>
    <n v="2392"/>
    <n v="6.5534246575342463"/>
    <n v="0"/>
    <n v="0"/>
    <n v="1"/>
    <n v="0"/>
    <n v="0"/>
    <n v="0"/>
    <n v="0"/>
    <n v="0"/>
    <n v="1"/>
    <n v="0"/>
    <n v="491"/>
    <n v="408"/>
    <n v="83"/>
    <n v="0"/>
    <x v="0"/>
    <x v="0"/>
    <x v="1"/>
    <x v="1"/>
    <x v="2"/>
    <x v="1"/>
    <n v="1"/>
    <n v="0"/>
    <n v="27"/>
    <n v="1.9999999999999996"/>
    <n v="7"/>
    <n v="5"/>
    <n v="14"/>
    <n v="4"/>
    <x v="3"/>
  </r>
  <r>
    <x v="768"/>
    <n v="27683"/>
    <n v="1"/>
    <n v="0"/>
    <n v="90"/>
    <n v="152"/>
    <n v="9"/>
    <n v="121"/>
    <n v="12"/>
    <n v="12"/>
    <n v="45"/>
    <n v="4"/>
    <n v="6"/>
    <n v="2"/>
    <n v="4"/>
    <n v="8"/>
    <n v="0"/>
    <n v="0"/>
    <n v="0"/>
    <n v="0"/>
    <n v="0"/>
    <x v="0"/>
    <n v="0"/>
    <n v="3"/>
    <n v="11"/>
    <n v="0"/>
    <n v="42"/>
    <n v="2853"/>
    <n v="7.816438356164384"/>
    <n v="0"/>
    <n v="0"/>
    <n v="0"/>
    <n v="1"/>
    <n v="0"/>
    <n v="0"/>
    <n v="0"/>
    <n v="0"/>
    <n v="0"/>
    <n v="1"/>
    <n v="306"/>
    <n v="261"/>
    <n v="45"/>
    <n v="0"/>
    <x v="0"/>
    <x v="0"/>
    <x v="2"/>
    <x v="1"/>
    <x v="0"/>
    <x v="0"/>
    <n v="1"/>
    <n v="0"/>
    <n v="24"/>
    <n v="0.99999999999999978"/>
    <n v="6"/>
    <n v="4"/>
    <n v="11"/>
    <n v="2"/>
    <x v="3"/>
  </r>
  <r>
    <x v="769"/>
    <n v="49667"/>
    <n v="0"/>
    <n v="0"/>
    <n v="35"/>
    <n v="1181"/>
    <n v="26"/>
    <n v="120"/>
    <n v="17"/>
    <n v="13"/>
    <n v="39"/>
    <n v="2"/>
    <n v="5"/>
    <n v="10"/>
    <n v="5"/>
    <n v="8"/>
    <n v="0"/>
    <n v="0"/>
    <n v="1"/>
    <n v="0"/>
    <n v="0"/>
    <x v="1"/>
    <n v="0"/>
    <n v="3"/>
    <n v="11"/>
    <n v="1"/>
    <n v="65"/>
    <n v="2837"/>
    <n v="7.7726027397260271"/>
    <n v="0"/>
    <n v="0"/>
    <n v="1"/>
    <n v="0"/>
    <n v="0"/>
    <n v="0"/>
    <n v="0"/>
    <n v="0"/>
    <n v="0"/>
    <n v="1"/>
    <n v="1357"/>
    <n v="1318"/>
    <n v="39"/>
    <n v="1"/>
    <x v="1"/>
    <x v="1"/>
    <x v="1"/>
    <x v="1"/>
    <x v="3"/>
    <x v="2"/>
    <n v="1"/>
    <n v="0"/>
    <n v="30"/>
    <n v="7"/>
    <n v="8"/>
    <n v="8"/>
    <n v="23"/>
    <n v="8"/>
    <x v="2"/>
  </r>
  <r>
    <x v="770"/>
    <n v="57107"/>
    <n v="0"/>
    <n v="1"/>
    <n v="44"/>
    <n v="159"/>
    <n v="0"/>
    <n v="120"/>
    <n v="0"/>
    <n v="0"/>
    <n v="137"/>
    <n v="7"/>
    <n v="4"/>
    <n v="4"/>
    <n v="8"/>
    <n v="8"/>
    <n v="0"/>
    <n v="1"/>
    <n v="0"/>
    <n v="1"/>
    <n v="0"/>
    <x v="1"/>
    <n v="0"/>
    <n v="3"/>
    <n v="11"/>
    <n v="1"/>
    <n v="52"/>
    <n v="2833"/>
    <n v="7.7616438356164386"/>
    <n v="0"/>
    <n v="0"/>
    <n v="1"/>
    <n v="0"/>
    <n v="0"/>
    <n v="0"/>
    <n v="0"/>
    <n v="1"/>
    <n v="0"/>
    <n v="0"/>
    <n v="279"/>
    <n v="142"/>
    <n v="137"/>
    <n v="2"/>
    <x v="0"/>
    <x v="0"/>
    <x v="1"/>
    <x v="0"/>
    <x v="2"/>
    <x v="1"/>
    <n v="1"/>
    <n v="0"/>
    <n v="31"/>
    <n v="6"/>
    <n v="9"/>
    <n v="4"/>
    <n v="19"/>
    <n v="7"/>
    <x v="2"/>
  </r>
  <r>
    <x v="771"/>
    <n v="57906"/>
    <n v="0"/>
    <n v="1"/>
    <n v="29"/>
    <n v="243"/>
    <n v="11"/>
    <n v="119"/>
    <n v="10"/>
    <n v="3"/>
    <n v="15"/>
    <n v="3"/>
    <n v="4"/>
    <n v="2"/>
    <n v="8"/>
    <n v="4"/>
    <n v="0"/>
    <n v="0"/>
    <n v="0"/>
    <n v="0"/>
    <n v="0"/>
    <x v="0"/>
    <n v="0"/>
    <n v="3"/>
    <n v="11"/>
    <n v="0"/>
    <n v="47"/>
    <n v="2542"/>
    <n v="6.9643835616438352"/>
    <n v="0"/>
    <n v="0"/>
    <n v="0"/>
    <n v="1"/>
    <n v="0"/>
    <n v="0"/>
    <n v="0"/>
    <n v="0"/>
    <n v="0"/>
    <n v="1"/>
    <n v="386"/>
    <n v="371"/>
    <n v="15"/>
    <n v="0"/>
    <x v="0"/>
    <x v="0"/>
    <x v="2"/>
    <x v="1"/>
    <x v="2"/>
    <x v="0"/>
    <n v="0"/>
    <n v="0"/>
    <n v="21"/>
    <n v="8"/>
    <n v="5"/>
    <n v="5"/>
    <n v="18"/>
    <n v="6"/>
    <x v="1"/>
  </r>
  <r>
    <x v="772"/>
    <n v="64795"/>
    <n v="0"/>
    <n v="1"/>
    <n v="23"/>
    <n v="412"/>
    <n v="5"/>
    <n v="119"/>
    <n v="38"/>
    <n v="29"/>
    <n v="77"/>
    <n v="3"/>
    <n v="3"/>
    <n v="3"/>
    <n v="12"/>
    <n v="2"/>
    <n v="0"/>
    <n v="0"/>
    <n v="0"/>
    <n v="0"/>
    <n v="0"/>
    <x v="0"/>
    <n v="0"/>
    <n v="3"/>
    <n v="11"/>
    <n v="0"/>
    <n v="49"/>
    <n v="2687"/>
    <n v="7.3616438356164382"/>
    <n v="0"/>
    <n v="1"/>
    <n v="0"/>
    <n v="0"/>
    <n v="0"/>
    <n v="0"/>
    <n v="0"/>
    <n v="1"/>
    <n v="0"/>
    <n v="0"/>
    <n v="603"/>
    <n v="526"/>
    <n v="77"/>
    <n v="0"/>
    <x v="0"/>
    <x v="0"/>
    <x v="0"/>
    <x v="0"/>
    <x v="2"/>
    <x v="0"/>
    <n v="0"/>
    <n v="0"/>
    <n v="23"/>
    <n v="8"/>
    <n v="6"/>
    <n v="6"/>
    <n v="20"/>
    <n v="7"/>
    <x v="2"/>
  </r>
  <r>
    <x v="773"/>
    <n v="65735"/>
    <n v="1"/>
    <n v="1"/>
    <n v="37"/>
    <n v="239"/>
    <n v="7"/>
    <n v="119"/>
    <n v="4"/>
    <n v="15"/>
    <n v="11"/>
    <n v="5"/>
    <n v="6"/>
    <n v="2"/>
    <n v="6"/>
    <n v="7"/>
    <n v="0"/>
    <n v="0"/>
    <n v="0"/>
    <n v="0"/>
    <n v="0"/>
    <x v="0"/>
    <n v="0"/>
    <n v="3"/>
    <n v="11"/>
    <n v="0"/>
    <n v="55"/>
    <n v="2363"/>
    <n v="6.4739726027397264"/>
    <n v="0"/>
    <n v="0"/>
    <n v="0"/>
    <n v="1"/>
    <n v="0"/>
    <n v="0"/>
    <n v="0"/>
    <n v="0"/>
    <n v="1"/>
    <n v="0"/>
    <n v="384"/>
    <n v="373"/>
    <n v="11"/>
    <n v="0"/>
    <x v="0"/>
    <x v="0"/>
    <x v="2"/>
    <x v="1"/>
    <x v="2"/>
    <x v="1"/>
    <n v="1"/>
    <n v="0"/>
    <n v="26"/>
    <n v="7"/>
    <n v="7"/>
    <n v="5"/>
    <n v="19"/>
    <n v="7"/>
    <x v="2"/>
  </r>
  <r>
    <x v="774"/>
    <n v="83837"/>
    <n v="0"/>
    <n v="0"/>
    <n v="79"/>
    <n v="847"/>
    <n v="66"/>
    <n v="119"/>
    <n v="86"/>
    <n v="89"/>
    <n v="111"/>
    <n v="1"/>
    <n v="9"/>
    <n v="10"/>
    <n v="5"/>
    <n v="4"/>
    <n v="1"/>
    <n v="0"/>
    <n v="0"/>
    <n v="1"/>
    <n v="0"/>
    <x v="1"/>
    <n v="0"/>
    <n v="3"/>
    <n v="11"/>
    <n v="1"/>
    <n v="72"/>
    <n v="2719"/>
    <n v="7.4493150684931511"/>
    <n v="0"/>
    <n v="1"/>
    <n v="0"/>
    <n v="0"/>
    <n v="0"/>
    <n v="0"/>
    <n v="0"/>
    <n v="0"/>
    <n v="0"/>
    <n v="1"/>
    <n v="1207"/>
    <n v="1096"/>
    <n v="111"/>
    <n v="2"/>
    <x v="1"/>
    <x v="1"/>
    <x v="0"/>
    <x v="1"/>
    <x v="1"/>
    <x v="2"/>
    <n v="1"/>
    <n v="0"/>
    <n v="29"/>
    <n v="3.0000000000000004"/>
    <n v="8"/>
    <n v="8"/>
    <n v="19"/>
    <n v="7"/>
    <x v="2"/>
  </r>
  <r>
    <x v="775"/>
    <n v="91249"/>
    <n v="0"/>
    <n v="0"/>
    <n v="84"/>
    <n v="1324"/>
    <n v="27"/>
    <n v="119"/>
    <n v="71"/>
    <n v="108"/>
    <n v="27"/>
    <n v="0"/>
    <n v="7"/>
    <n v="9"/>
    <n v="6"/>
    <n v="4"/>
    <n v="1"/>
    <n v="1"/>
    <n v="0"/>
    <n v="1"/>
    <n v="1"/>
    <x v="1"/>
    <n v="0"/>
    <n v="3"/>
    <n v="11"/>
    <n v="1"/>
    <n v="64"/>
    <n v="2776"/>
    <n v="7.6054794520547944"/>
    <n v="0"/>
    <n v="0"/>
    <n v="1"/>
    <n v="0"/>
    <n v="0"/>
    <n v="0"/>
    <n v="0"/>
    <n v="1"/>
    <n v="0"/>
    <n v="0"/>
    <n v="1649"/>
    <n v="1622"/>
    <n v="27"/>
    <n v="4"/>
    <x v="1"/>
    <x v="1"/>
    <x v="1"/>
    <x v="0"/>
    <x v="1"/>
    <x v="2"/>
    <n v="1"/>
    <n v="0"/>
    <n v="26"/>
    <n v="1.9999999999999996"/>
    <n v="7"/>
    <n v="9"/>
    <n v="18"/>
    <n v="6"/>
    <x v="1"/>
  </r>
  <r>
    <x v="776"/>
    <n v="40464"/>
    <n v="0"/>
    <n v="1"/>
    <n v="78"/>
    <n v="424"/>
    <n v="17"/>
    <n v="118"/>
    <n v="7"/>
    <n v="23"/>
    <n v="41"/>
    <n v="6"/>
    <n v="8"/>
    <n v="2"/>
    <n v="8"/>
    <n v="8"/>
    <n v="0"/>
    <n v="0"/>
    <n v="0"/>
    <n v="0"/>
    <n v="0"/>
    <x v="0"/>
    <n v="0"/>
    <n v="3"/>
    <n v="11"/>
    <n v="0"/>
    <n v="67"/>
    <n v="2693"/>
    <n v="7.3780821917808215"/>
    <n v="0"/>
    <n v="0"/>
    <n v="1"/>
    <n v="0"/>
    <n v="0"/>
    <n v="0"/>
    <n v="0"/>
    <n v="1"/>
    <n v="0"/>
    <n v="0"/>
    <n v="589"/>
    <n v="548"/>
    <n v="41"/>
    <n v="0"/>
    <x v="0"/>
    <x v="0"/>
    <x v="1"/>
    <x v="0"/>
    <x v="3"/>
    <x v="2"/>
    <n v="1"/>
    <n v="0"/>
    <n v="32"/>
    <n v="3.0000000000000004"/>
    <n v="9"/>
    <n v="6"/>
    <n v="18"/>
    <n v="6"/>
    <x v="1"/>
  </r>
  <r>
    <x v="777"/>
    <n v="58293"/>
    <n v="1"/>
    <n v="0"/>
    <n v="94"/>
    <n v="173"/>
    <n v="43"/>
    <n v="118"/>
    <n v="46"/>
    <n v="27"/>
    <n v="15"/>
    <n v="5"/>
    <n v="5"/>
    <n v="3"/>
    <n v="6"/>
    <n v="5"/>
    <n v="0"/>
    <n v="0"/>
    <n v="0"/>
    <n v="0"/>
    <n v="0"/>
    <x v="0"/>
    <n v="0"/>
    <n v="3"/>
    <n v="11"/>
    <n v="0"/>
    <n v="39"/>
    <n v="2320"/>
    <n v="6.3561643835616435"/>
    <n v="0"/>
    <n v="1"/>
    <n v="0"/>
    <n v="0"/>
    <n v="0"/>
    <n v="0"/>
    <n v="0"/>
    <n v="0"/>
    <n v="0"/>
    <n v="1"/>
    <n v="407"/>
    <n v="392"/>
    <n v="15"/>
    <n v="0"/>
    <x v="0"/>
    <x v="0"/>
    <x v="0"/>
    <x v="1"/>
    <x v="2"/>
    <x v="3"/>
    <n v="1"/>
    <n v="1"/>
    <n v="24"/>
    <n v="0.99999999999999978"/>
    <n v="6"/>
    <n v="5"/>
    <n v="12"/>
    <n v="3"/>
    <x v="3"/>
  </r>
  <r>
    <x v="778"/>
    <n v="63342"/>
    <n v="0"/>
    <n v="1"/>
    <n v="48"/>
    <n v="918"/>
    <n v="21"/>
    <n v="118"/>
    <n v="13"/>
    <n v="10"/>
    <n v="21"/>
    <n v="3"/>
    <n v="8"/>
    <n v="3"/>
    <n v="5"/>
    <n v="6"/>
    <n v="0"/>
    <n v="0"/>
    <n v="0"/>
    <n v="1"/>
    <n v="0"/>
    <x v="1"/>
    <n v="0"/>
    <n v="3"/>
    <n v="11"/>
    <n v="0"/>
    <n v="59"/>
    <n v="2780"/>
    <n v="7.6164383561643838"/>
    <n v="0"/>
    <n v="0"/>
    <n v="0"/>
    <n v="1"/>
    <n v="0"/>
    <n v="0"/>
    <n v="0"/>
    <n v="0"/>
    <n v="0"/>
    <n v="1"/>
    <n v="1080"/>
    <n v="1059"/>
    <n v="21"/>
    <n v="1"/>
    <x v="0"/>
    <x v="0"/>
    <x v="2"/>
    <x v="1"/>
    <x v="2"/>
    <x v="1"/>
    <n v="1"/>
    <n v="0"/>
    <n v="25"/>
    <n v="6"/>
    <n v="7"/>
    <n v="7"/>
    <n v="20"/>
    <n v="7"/>
    <x v="2"/>
  </r>
  <r>
    <x v="779"/>
    <n v="63342"/>
    <n v="0"/>
    <n v="1"/>
    <n v="48"/>
    <n v="918"/>
    <n v="21"/>
    <n v="118"/>
    <n v="13"/>
    <n v="10"/>
    <n v="21"/>
    <n v="3"/>
    <n v="8"/>
    <n v="3"/>
    <n v="5"/>
    <n v="6"/>
    <n v="0"/>
    <n v="0"/>
    <n v="0"/>
    <n v="1"/>
    <n v="0"/>
    <x v="1"/>
    <n v="0"/>
    <n v="3"/>
    <n v="11"/>
    <n v="1"/>
    <n v="59"/>
    <n v="2780"/>
    <n v="7.6164383561643838"/>
    <n v="0"/>
    <n v="0"/>
    <n v="0"/>
    <n v="1"/>
    <n v="0"/>
    <n v="0"/>
    <n v="0"/>
    <n v="0"/>
    <n v="0"/>
    <n v="1"/>
    <n v="1080"/>
    <n v="1059"/>
    <n v="21"/>
    <n v="1"/>
    <x v="0"/>
    <x v="0"/>
    <x v="2"/>
    <x v="1"/>
    <x v="2"/>
    <x v="1"/>
    <n v="1"/>
    <n v="0"/>
    <n v="25"/>
    <n v="6"/>
    <n v="7"/>
    <n v="7"/>
    <n v="20"/>
    <n v="7"/>
    <x v="2"/>
  </r>
  <r>
    <x v="780"/>
    <n v="90842"/>
    <n v="0"/>
    <n v="0"/>
    <n v="57"/>
    <n v="774"/>
    <n v="70"/>
    <n v="118"/>
    <n v="182"/>
    <n v="187"/>
    <n v="93"/>
    <n v="1"/>
    <n v="4"/>
    <n v="9"/>
    <n v="13"/>
    <n v="1"/>
    <n v="0"/>
    <n v="0"/>
    <n v="0"/>
    <n v="0"/>
    <n v="0"/>
    <x v="0"/>
    <n v="0"/>
    <n v="3"/>
    <n v="11"/>
    <n v="0"/>
    <n v="72"/>
    <n v="2494"/>
    <n v="6.8328767123287673"/>
    <n v="0"/>
    <n v="0"/>
    <n v="1"/>
    <n v="0"/>
    <n v="0"/>
    <n v="0"/>
    <n v="0"/>
    <n v="1"/>
    <n v="0"/>
    <n v="0"/>
    <n v="1331"/>
    <n v="1238"/>
    <n v="93"/>
    <n v="0"/>
    <x v="1"/>
    <x v="1"/>
    <x v="1"/>
    <x v="0"/>
    <x v="1"/>
    <x v="2"/>
    <n v="1"/>
    <n v="0"/>
    <n v="28"/>
    <n v="5"/>
    <n v="8"/>
    <n v="8"/>
    <n v="21"/>
    <n v="8"/>
    <x v="2"/>
  </r>
  <r>
    <x v="781"/>
    <n v="92533"/>
    <n v="0"/>
    <n v="0"/>
    <n v="84"/>
    <n v="693"/>
    <n v="21"/>
    <n v="118"/>
    <n v="110"/>
    <n v="147"/>
    <n v="42"/>
    <n v="1"/>
    <n v="6"/>
    <n v="5"/>
    <n v="11"/>
    <n v="2"/>
    <n v="1"/>
    <n v="0"/>
    <n v="0"/>
    <n v="0"/>
    <n v="1"/>
    <x v="1"/>
    <n v="0"/>
    <n v="3"/>
    <n v="11"/>
    <n v="0"/>
    <n v="35"/>
    <n v="2351"/>
    <n v="6.441095890410959"/>
    <n v="0"/>
    <n v="1"/>
    <n v="0"/>
    <n v="0"/>
    <n v="0"/>
    <n v="0"/>
    <n v="0"/>
    <n v="1"/>
    <n v="0"/>
    <n v="0"/>
    <n v="1089"/>
    <n v="1047"/>
    <n v="42"/>
    <n v="2"/>
    <x v="1"/>
    <x v="1"/>
    <x v="0"/>
    <x v="0"/>
    <x v="1"/>
    <x v="3"/>
    <n v="1"/>
    <n v="0"/>
    <n v="25"/>
    <n v="1.9999999999999996"/>
    <n v="7"/>
    <n v="7"/>
    <n v="16"/>
    <n v="5"/>
    <x v="1"/>
  </r>
  <r>
    <x v="782"/>
    <n v="65295"/>
    <n v="0"/>
    <n v="0"/>
    <n v="19"/>
    <n v="365"/>
    <n v="32"/>
    <n v="117"/>
    <n v="34"/>
    <n v="110"/>
    <n v="6"/>
    <n v="1"/>
    <n v="3"/>
    <n v="3"/>
    <n v="13"/>
    <n v="2"/>
    <n v="0"/>
    <n v="0"/>
    <n v="0"/>
    <n v="0"/>
    <n v="0"/>
    <x v="0"/>
    <n v="0"/>
    <n v="3"/>
    <n v="11"/>
    <n v="0"/>
    <n v="40"/>
    <n v="2347"/>
    <n v="6.4301369863013695"/>
    <n v="0"/>
    <n v="0"/>
    <n v="1"/>
    <n v="0"/>
    <n v="0"/>
    <n v="0"/>
    <n v="0"/>
    <n v="0"/>
    <n v="0"/>
    <n v="1"/>
    <n v="658"/>
    <n v="652"/>
    <n v="6"/>
    <n v="0"/>
    <x v="1"/>
    <x v="1"/>
    <x v="1"/>
    <x v="1"/>
    <x v="2"/>
    <x v="3"/>
    <n v="0"/>
    <n v="0"/>
    <n v="22"/>
    <n v="9"/>
    <n v="5"/>
    <n v="6"/>
    <n v="20"/>
    <n v="7"/>
    <x v="2"/>
  </r>
  <r>
    <x v="783"/>
    <n v="79205"/>
    <n v="0"/>
    <n v="0"/>
    <n v="73"/>
    <n v="504"/>
    <n v="23"/>
    <n v="117"/>
    <n v="179"/>
    <n v="28"/>
    <n v="44"/>
    <n v="1"/>
    <n v="6"/>
    <n v="5"/>
    <n v="4"/>
    <n v="4"/>
    <n v="1"/>
    <n v="0"/>
    <n v="0"/>
    <n v="0"/>
    <n v="0"/>
    <x v="1"/>
    <n v="0"/>
    <n v="3"/>
    <n v="11"/>
    <n v="1"/>
    <n v="45"/>
    <n v="2828"/>
    <n v="7.7479452054794518"/>
    <n v="0"/>
    <n v="1"/>
    <n v="0"/>
    <n v="0"/>
    <n v="0"/>
    <n v="0"/>
    <n v="0"/>
    <n v="1"/>
    <n v="0"/>
    <n v="0"/>
    <n v="851"/>
    <n v="807"/>
    <n v="44"/>
    <n v="1"/>
    <x v="1"/>
    <x v="1"/>
    <x v="0"/>
    <x v="0"/>
    <x v="1"/>
    <x v="0"/>
    <n v="1"/>
    <n v="0"/>
    <n v="20"/>
    <n v="3.0000000000000004"/>
    <n v="4"/>
    <n v="7"/>
    <n v="14"/>
    <n v="4"/>
    <x v="3"/>
  </r>
  <r>
    <x v="784"/>
    <n v="55357"/>
    <n v="2"/>
    <n v="0"/>
    <n v="66"/>
    <n v="374"/>
    <n v="64"/>
    <n v="116"/>
    <n v="84"/>
    <n v="25"/>
    <n v="64"/>
    <n v="3"/>
    <n v="6"/>
    <n v="2"/>
    <n v="11"/>
    <n v="5"/>
    <n v="0"/>
    <n v="0"/>
    <n v="0"/>
    <n v="0"/>
    <n v="0"/>
    <x v="0"/>
    <n v="0"/>
    <n v="3"/>
    <n v="11"/>
    <n v="0"/>
    <n v="35"/>
    <n v="2654"/>
    <n v="7.2712328767123289"/>
    <n v="0"/>
    <n v="1"/>
    <n v="0"/>
    <n v="0"/>
    <n v="0"/>
    <n v="0"/>
    <n v="0"/>
    <n v="1"/>
    <n v="0"/>
    <n v="0"/>
    <n v="663"/>
    <n v="599"/>
    <n v="64"/>
    <n v="0"/>
    <x v="0"/>
    <x v="0"/>
    <x v="0"/>
    <x v="0"/>
    <x v="2"/>
    <x v="3"/>
    <n v="1"/>
    <n v="0"/>
    <n v="27"/>
    <n v="4"/>
    <n v="7"/>
    <n v="6"/>
    <n v="17"/>
    <n v="6"/>
    <x v="1"/>
  </r>
  <r>
    <x v="785"/>
    <n v="38513"/>
    <n v="1"/>
    <n v="0"/>
    <n v="20"/>
    <n v="172"/>
    <n v="3"/>
    <n v="115"/>
    <n v="16"/>
    <n v="0"/>
    <n v="18"/>
    <n v="5"/>
    <n v="6"/>
    <n v="1"/>
    <n v="5"/>
    <n v="8"/>
    <n v="0"/>
    <n v="0"/>
    <n v="0"/>
    <n v="0"/>
    <n v="0"/>
    <x v="0"/>
    <n v="0"/>
    <n v="3"/>
    <n v="11"/>
    <n v="1"/>
    <n v="38"/>
    <n v="2311"/>
    <n v="6.3315068493150681"/>
    <n v="0"/>
    <n v="0"/>
    <n v="1"/>
    <n v="0"/>
    <n v="0"/>
    <n v="0"/>
    <n v="0"/>
    <n v="0"/>
    <n v="0"/>
    <n v="1"/>
    <n v="306"/>
    <n v="288"/>
    <n v="18"/>
    <n v="0"/>
    <x v="0"/>
    <x v="0"/>
    <x v="1"/>
    <x v="1"/>
    <x v="3"/>
    <x v="3"/>
    <n v="0"/>
    <n v="0"/>
    <n v="25"/>
    <n v="8"/>
    <n v="7"/>
    <n v="4"/>
    <n v="19"/>
    <n v="7"/>
    <x v="2"/>
  </r>
  <r>
    <x v="786"/>
    <n v="51983"/>
    <n v="0"/>
    <n v="1"/>
    <n v="95"/>
    <n v="631"/>
    <n v="0"/>
    <n v="115"/>
    <n v="10"/>
    <n v="7"/>
    <n v="30"/>
    <n v="3"/>
    <n v="9"/>
    <n v="2"/>
    <n v="10"/>
    <n v="7"/>
    <n v="0"/>
    <n v="0"/>
    <n v="0"/>
    <n v="0"/>
    <n v="0"/>
    <x v="0"/>
    <n v="0"/>
    <n v="3"/>
    <n v="11"/>
    <n v="0"/>
    <n v="56"/>
    <n v="2826"/>
    <n v="7.7424657534246579"/>
    <n v="1"/>
    <n v="0"/>
    <n v="0"/>
    <n v="0"/>
    <n v="0"/>
    <n v="0"/>
    <n v="0"/>
    <n v="1"/>
    <n v="0"/>
    <n v="0"/>
    <n v="763"/>
    <n v="733"/>
    <n v="30"/>
    <n v="0"/>
    <x v="0"/>
    <x v="0"/>
    <x v="3"/>
    <x v="0"/>
    <x v="2"/>
    <x v="1"/>
    <n v="1"/>
    <n v="1"/>
    <n v="31"/>
    <n v="0.99999999999999978"/>
    <n v="9"/>
    <n v="6"/>
    <n v="16"/>
    <n v="5"/>
    <x v="1"/>
  </r>
  <r>
    <x v="787"/>
    <n v="58482"/>
    <n v="0"/>
    <n v="1"/>
    <n v="59"/>
    <n v="576"/>
    <n v="7"/>
    <n v="115"/>
    <n v="19"/>
    <n v="7"/>
    <n v="7"/>
    <n v="2"/>
    <n v="7"/>
    <n v="4"/>
    <n v="9"/>
    <n v="6"/>
    <n v="0"/>
    <n v="0"/>
    <n v="0"/>
    <n v="1"/>
    <n v="0"/>
    <x v="1"/>
    <n v="0"/>
    <n v="3"/>
    <n v="11"/>
    <n v="0"/>
    <n v="65"/>
    <n v="2268"/>
    <n v="6.2136986301369861"/>
    <n v="0"/>
    <n v="1"/>
    <n v="0"/>
    <n v="0"/>
    <n v="0"/>
    <n v="0"/>
    <n v="0"/>
    <n v="0"/>
    <n v="0"/>
    <n v="1"/>
    <n v="724"/>
    <n v="717"/>
    <n v="7"/>
    <n v="1"/>
    <x v="0"/>
    <x v="0"/>
    <x v="0"/>
    <x v="1"/>
    <x v="2"/>
    <x v="2"/>
    <n v="1"/>
    <n v="0"/>
    <n v="28"/>
    <n v="4"/>
    <n v="8"/>
    <n v="6"/>
    <n v="18"/>
    <n v="6"/>
    <x v="1"/>
  </r>
  <r>
    <x v="788"/>
    <n v="63915"/>
    <n v="0"/>
    <n v="2"/>
    <n v="2"/>
    <n v="622"/>
    <n v="7"/>
    <n v="115"/>
    <n v="30"/>
    <n v="0"/>
    <n v="15"/>
    <n v="2"/>
    <n v="6"/>
    <n v="3"/>
    <n v="12"/>
    <n v="5"/>
    <n v="0"/>
    <n v="0"/>
    <n v="0"/>
    <n v="0"/>
    <n v="0"/>
    <x v="0"/>
    <n v="0"/>
    <n v="3"/>
    <n v="11"/>
    <n v="0"/>
    <n v="64"/>
    <n v="2493"/>
    <n v="6.8301369863013699"/>
    <n v="0"/>
    <n v="1"/>
    <n v="0"/>
    <n v="0"/>
    <n v="0"/>
    <n v="0"/>
    <n v="0"/>
    <n v="0"/>
    <n v="1"/>
    <n v="0"/>
    <n v="774"/>
    <n v="759"/>
    <n v="15"/>
    <n v="0"/>
    <x v="0"/>
    <x v="0"/>
    <x v="0"/>
    <x v="1"/>
    <x v="2"/>
    <x v="2"/>
    <n v="0"/>
    <n v="0"/>
    <n v="28"/>
    <n v="10"/>
    <n v="8"/>
    <n v="6"/>
    <n v="24"/>
    <n v="9"/>
    <x v="0"/>
  </r>
  <r>
    <x v="789"/>
    <n v="81698"/>
    <n v="0"/>
    <n v="0"/>
    <n v="1"/>
    <n v="709"/>
    <n v="45"/>
    <n v="115"/>
    <n v="30"/>
    <n v="160"/>
    <n v="45"/>
    <n v="1"/>
    <n v="8"/>
    <n v="2"/>
    <n v="5"/>
    <n v="5"/>
    <n v="1"/>
    <n v="0"/>
    <n v="0"/>
    <n v="0"/>
    <n v="0"/>
    <x v="1"/>
    <n v="0"/>
    <n v="3"/>
    <n v="11"/>
    <n v="1"/>
    <n v="37"/>
    <n v="2644"/>
    <n v="7.2438356164383562"/>
    <n v="0"/>
    <n v="0"/>
    <n v="1"/>
    <n v="0"/>
    <n v="0"/>
    <n v="1"/>
    <n v="0"/>
    <n v="0"/>
    <n v="0"/>
    <n v="0"/>
    <n v="1059"/>
    <n v="1014"/>
    <n v="45"/>
    <n v="1"/>
    <x v="1"/>
    <x v="1"/>
    <x v="1"/>
    <x v="1"/>
    <x v="1"/>
    <x v="3"/>
    <n v="0"/>
    <n v="0"/>
    <n v="21"/>
    <n v="10"/>
    <n v="5"/>
    <n v="7"/>
    <n v="22"/>
    <n v="8"/>
    <x v="2"/>
  </r>
  <r>
    <x v="790"/>
    <n v="82800"/>
    <n v="0"/>
    <n v="0"/>
    <n v="23"/>
    <n v="1006"/>
    <n v="22"/>
    <n v="115"/>
    <n v="59"/>
    <n v="68"/>
    <n v="45"/>
    <n v="1"/>
    <n v="7"/>
    <n v="6"/>
    <n v="12"/>
    <n v="3"/>
    <n v="1"/>
    <n v="0"/>
    <n v="0"/>
    <n v="0"/>
    <n v="1"/>
    <x v="1"/>
    <n v="0"/>
    <n v="3"/>
    <n v="11"/>
    <n v="1"/>
    <n v="74"/>
    <n v="2741"/>
    <n v="7.5095890410958903"/>
    <n v="0"/>
    <n v="0"/>
    <n v="1"/>
    <n v="0"/>
    <n v="0"/>
    <n v="0"/>
    <n v="0"/>
    <n v="0"/>
    <n v="0"/>
    <n v="1"/>
    <n v="1270"/>
    <n v="1225"/>
    <n v="45"/>
    <n v="2"/>
    <x v="1"/>
    <x v="1"/>
    <x v="1"/>
    <x v="1"/>
    <x v="1"/>
    <x v="2"/>
    <n v="0"/>
    <n v="0"/>
    <n v="29"/>
    <n v="8"/>
    <n v="8"/>
    <n v="8"/>
    <n v="24"/>
    <n v="9"/>
    <x v="0"/>
  </r>
  <r>
    <x v="791"/>
    <n v="57811"/>
    <n v="0"/>
    <n v="1"/>
    <n v="49"/>
    <n v="545"/>
    <n v="7"/>
    <n v="114"/>
    <n v="37"/>
    <n v="21"/>
    <n v="78"/>
    <n v="5"/>
    <n v="7"/>
    <n v="2"/>
    <n v="11"/>
    <n v="5"/>
    <n v="0"/>
    <n v="0"/>
    <n v="0"/>
    <n v="1"/>
    <n v="0"/>
    <x v="1"/>
    <n v="0"/>
    <n v="3"/>
    <n v="11"/>
    <n v="0"/>
    <n v="54"/>
    <n v="2529"/>
    <n v="6.9287671232876713"/>
    <n v="0"/>
    <n v="0"/>
    <n v="0"/>
    <n v="1"/>
    <n v="0"/>
    <n v="0"/>
    <n v="0"/>
    <n v="1"/>
    <n v="0"/>
    <n v="0"/>
    <n v="724"/>
    <n v="646"/>
    <n v="78"/>
    <n v="1"/>
    <x v="0"/>
    <x v="0"/>
    <x v="2"/>
    <x v="0"/>
    <x v="2"/>
    <x v="1"/>
    <n v="1"/>
    <n v="0"/>
    <n v="30"/>
    <n v="6"/>
    <n v="8"/>
    <n v="6"/>
    <n v="20"/>
    <n v="7"/>
    <x v="2"/>
  </r>
  <r>
    <x v="792"/>
    <n v="61467"/>
    <n v="0"/>
    <n v="2"/>
    <n v="69"/>
    <n v="410"/>
    <n v="16"/>
    <n v="114"/>
    <n v="0"/>
    <n v="5"/>
    <n v="49"/>
    <n v="3"/>
    <n v="5"/>
    <n v="2"/>
    <n v="10"/>
    <n v="5"/>
    <n v="0"/>
    <n v="0"/>
    <n v="0"/>
    <n v="0"/>
    <n v="0"/>
    <x v="0"/>
    <n v="0"/>
    <n v="3"/>
    <n v="11"/>
    <n v="0"/>
    <n v="72"/>
    <n v="2726"/>
    <n v="7.4684931506849317"/>
    <n v="0"/>
    <n v="1"/>
    <n v="0"/>
    <n v="0"/>
    <n v="0"/>
    <n v="0"/>
    <n v="0"/>
    <n v="0"/>
    <n v="0"/>
    <n v="1"/>
    <n v="545"/>
    <n v="496"/>
    <n v="49"/>
    <n v="0"/>
    <x v="0"/>
    <x v="0"/>
    <x v="0"/>
    <x v="1"/>
    <x v="2"/>
    <x v="2"/>
    <n v="1"/>
    <n v="0"/>
    <n v="25"/>
    <n v="4"/>
    <n v="7"/>
    <n v="5"/>
    <n v="16"/>
    <n v="5"/>
    <x v="1"/>
  </r>
  <r>
    <x v="793"/>
    <n v="63516"/>
    <n v="1"/>
    <n v="1"/>
    <n v="30"/>
    <n v="141"/>
    <n v="11"/>
    <n v="114"/>
    <n v="15"/>
    <n v="14"/>
    <n v="5"/>
    <n v="4"/>
    <n v="4"/>
    <n v="1"/>
    <n v="7"/>
    <n v="5"/>
    <n v="0"/>
    <n v="0"/>
    <n v="0"/>
    <n v="0"/>
    <n v="0"/>
    <x v="0"/>
    <n v="0"/>
    <n v="3"/>
    <n v="11"/>
    <n v="0"/>
    <n v="47"/>
    <n v="2517"/>
    <n v="6.8958904109589039"/>
    <n v="0"/>
    <n v="0"/>
    <n v="0"/>
    <n v="1"/>
    <n v="0"/>
    <n v="0"/>
    <n v="0"/>
    <n v="0"/>
    <n v="0"/>
    <n v="1"/>
    <n v="295"/>
    <n v="290"/>
    <n v="5"/>
    <n v="0"/>
    <x v="0"/>
    <x v="0"/>
    <x v="2"/>
    <x v="1"/>
    <x v="2"/>
    <x v="0"/>
    <n v="0"/>
    <n v="0"/>
    <n v="21"/>
    <n v="7"/>
    <n v="5"/>
    <n v="4"/>
    <n v="16"/>
    <n v="5"/>
    <x v="1"/>
  </r>
  <r>
    <x v="794"/>
    <n v="78825"/>
    <n v="0"/>
    <n v="0"/>
    <n v="35"/>
    <n v="483"/>
    <n v="74"/>
    <n v="114"/>
    <n v="169"/>
    <n v="37"/>
    <n v="18"/>
    <n v="1"/>
    <n v="5"/>
    <n v="10"/>
    <n v="13"/>
    <n v="3"/>
    <n v="0"/>
    <n v="0"/>
    <n v="0"/>
    <n v="0"/>
    <n v="0"/>
    <x v="0"/>
    <n v="0"/>
    <n v="3"/>
    <n v="11"/>
    <n v="1"/>
    <n v="56"/>
    <n v="2812"/>
    <n v="7.7041095890410958"/>
    <n v="1"/>
    <n v="0"/>
    <n v="0"/>
    <n v="0"/>
    <n v="0"/>
    <n v="0"/>
    <n v="0"/>
    <n v="0"/>
    <n v="0"/>
    <n v="1"/>
    <n v="877"/>
    <n v="859"/>
    <n v="18"/>
    <n v="0"/>
    <x v="1"/>
    <x v="1"/>
    <x v="3"/>
    <x v="1"/>
    <x v="1"/>
    <x v="1"/>
    <n v="1"/>
    <n v="0"/>
    <n v="32"/>
    <n v="7"/>
    <n v="9"/>
    <n v="7"/>
    <n v="23"/>
    <n v="8"/>
    <x v="2"/>
  </r>
  <r>
    <x v="795"/>
    <n v="48721"/>
    <n v="1"/>
    <n v="1"/>
    <n v="50"/>
    <n v="81"/>
    <n v="18"/>
    <n v="113"/>
    <n v="47"/>
    <n v="13"/>
    <n v="21"/>
    <n v="6"/>
    <n v="4"/>
    <n v="2"/>
    <n v="5"/>
    <n v="6"/>
    <n v="0"/>
    <n v="0"/>
    <n v="0"/>
    <n v="0"/>
    <n v="0"/>
    <x v="0"/>
    <n v="0"/>
    <n v="3"/>
    <n v="11"/>
    <n v="0"/>
    <n v="57"/>
    <n v="2571"/>
    <n v="7.043835616438356"/>
    <n v="1"/>
    <n v="0"/>
    <n v="0"/>
    <n v="0"/>
    <n v="0"/>
    <n v="0"/>
    <n v="0"/>
    <n v="0"/>
    <n v="1"/>
    <n v="0"/>
    <n v="272"/>
    <n v="251"/>
    <n v="21"/>
    <n v="0"/>
    <x v="0"/>
    <x v="0"/>
    <x v="3"/>
    <x v="1"/>
    <x v="3"/>
    <x v="1"/>
    <n v="1"/>
    <n v="0"/>
    <n v="23"/>
    <n v="5"/>
    <n v="6"/>
    <n v="4"/>
    <n v="15"/>
    <n v="4"/>
    <x v="3"/>
  </r>
  <r>
    <x v="796"/>
    <n v="59184"/>
    <n v="0"/>
    <n v="1"/>
    <n v="6"/>
    <n v="341"/>
    <n v="142"/>
    <n v="113"/>
    <n v="259"/>
    <n v="151"/>
    <n v="66"/>
    <n v="3"/>
    <n v="6"/>
    <n v="6"/>
    <n v="12"/>
    <n v="5"/>
    <n v="0"/>
    <n v="0"/>
    <n v="0"/>
    <n v="0"/>
    <n v="0"/>
    <x v="0"/>
    <n v="0"/>
    <n v="3"/>
    <n v="11"/>
    <n v="0"/>
    <n v="59"/>
    <n v="2817"/>
    <n v="7.7178082191780826"/>
    <n v="0"/>
    <n v="0"/>
    <n v="0"/>
    <n v="0"/>
    <n v="1"/>
    <n v="1"/>
    <n v="0"/>
    <n v="0"/>
    <n v="0"/>
    <n v="0"/>
    <n v="1006"/>
    <n v="940"/>
    <n v="66"/>
    <n v="0"/>
    <x v="0"/>
    <x v="0"/>
    <x v="4"/>
    <x v="1"/>
    <x v="2"/>
    <x v="1"/>
    <n v="0"/>
    <n v="0"/>
    <n v="32"/>
    <n v="10"/>
    <n v="9"/>
    <n v="7"/>
    <n v="26"/>
    <n v="9"/>
    <x v="0"/>
  </r>
  <r>
    <x v="797"/>
    <n v="65814"/>
    <n v="0"/>
    <n v="1"/>
    <n v="90"/>
    <n v="561"/>
    <n v="14"/>
    <n v="113"/>
    <n v="10"/>
    <n v="14"/>
    <n v="35"/>
    <n v="3"/>
    <n v="8"/>
    <n v="2"/>
    <n v="10"/>
    <n v="5"/>
    <n v="0"/>
    <n v="0"/>
    <n v="0"/>
    <n v="0"/>
    <n v="0"/>
    <x v="0"/>
    <n v="0"/>
    <n v="3"/>
    <n v="11"/>
    <n v="0"/>
    <n v="54"/>
    <n v="2278"/>
    <n v="6.2410958904109588"/>
    <n v="0"/>
    <n v="0"/>
    <n v="0"/>
    <n v="1"/>
    <n v="0"/>
    <n v="0"/>
    <n v="0"/>
    <n v="0"/>
    <n v="0"/>
    <n v="1"/>
    <n v="712"/>
    <n v="677"/>
    <n v="35"/>
    <n v="0"/>
    <x v="0"/>
    <x v="0"/>
    <x v="2"/>
    <x v="1"/>
    <x v="2"/>
    <x v="1"/>
    <n v="1"/>
    <n v="0"/>
    <n v="28"/>
    <n v="0.99999999999999978"/>
    <n v="8"/>
    <n v="6"/>
    <n v="15"/>
    <n v="4"/>
    <x v="3"/>
  </r>
  <r>
    <x v="798"/>
    <n v="70777"/>
    <n v="0"/>
    <n v="1"/>
    <n v="80"/>
    <n v="554"/>
    <n v="35"/>
    <n v="113"/>
    <n v="0"/>
    <n v="7"/>
    <n v="78"/>
    <n v="3"/>
    <n v="5"/>
    <n v="3"/>
    <n v="12"/>
    <n v="3"/>
    <n v="0"/>
    <n v="0"/>
    <n v="0"/>
    <n v="0"/>
    <n v="0"/>
    <x v="0"/>
    <n v="0"/>
    <n v="3"/>
    <n v="11"/>
    <n v="0"/>
    <n v="52"/>
    <n v="2283"/>
    <n v="6.2547945205479456"/>
    <n v="0"/>
    <n v="1"/>
    <n v="0"/>
    <n v="0"/>
    <n v="0"/>
    <n v="0"/>
    <n v="0"/>
    <n v="0"/>
    <n v="1"/>
    <n v="0"/>
    <n v="709"/>
    <n v="631"/>
    <n v="78"/>
    <n v="0"/>
    <x v="0"/>
    <x v="0"/>
    <x v="0"/>
    <x v="1"/>
    <x v="2"/>
    <x v="1"/>
    <n v="1"/>
    <n v="0"/>
    <n v="26"/>
    <n v="1.9999999999999996"/>
    <n v="7"/>
    <n v="6"/>
    <n v="15"/>
    <n v="4"/>
    <x v="3"/>
  </r>
  <r>
    <x v="799"/>
    <n v="46049"/>
    <n v="1"/>
    <n v="1"/>
    <n v="11"/>
    <n v="342"/>
    <n v="9"/>
    <n v="112"/>
    <n v="19"/>
    <n v="14"/>
    <n v="19"/>
    <n v="10"/>
    <n v="5"/>
    <n v="2"/>
    <n v="9"/>
    <n v="7"/>
    <n v="0"/>
    <n v="0"/>
    <n v="0"/>
    <n v="0"/>
    <n v="0"/>
    <x v="0"/>
    <n v="0"/>
    <n v="3"/>
    <n v="11"/>
    <n v="1"/>
    <n v="44"/>
    <n v="2502"/>
    <n v="6.8547945205479452"/>
    <n v="0"/>
    <n v="1"/>
    <n v="0"/>
    <n v="0"/>
    <n v="0"/>
    <n v="0"/>
    <n v="0"/>
    <n v="1"/>
    <n v="0"/>
    <n v="0"/>
    <n v="496"/>
    <n v="477"/>
    <n v="19"/>
    <n v="0"/>
    <x v="0"/>
    <x v="0"/>
    <x v="0"/>
    <x v="0"/>
    <x v="3"/>
    <x v="0"/>
    <n v="0"/>
    <n v="0"/>
    <n v="33"/>
    <n v="9"/>
    <n v="9"/>
    <n v="5"/>
    <n v="23"/>
    <n v="8"/>
    <x v="2"/>
  </r>
  <r>
    <x v="800"/>
    <n v="47352"/>
    <n v="0"/>
    <n v="1"/>
    <n v="70"/>
    <n v="172"/>
    <n v="12"/>
    <n v="112"/>
    <n v="8"/>
    <n v="0"/>
    <n v="15"/>
    <n v="4"/>
    <n v="6"/>
    <n v="1"/>
    <n v="5"/>
    <n v="7"/>
    <n v="0"/>
    <n v="0"/>
    <n v="0"/>
    <n v="0"/>
    <n v="0"/>
    <x v="0"/>
    <n v="0"/>
    <n v="3"/>
    <n v="11"/>
    <n v="0"/>
    <n v="69"/>
    <n v="2603"/>
    <n v="7.1315068493150688"/>
    <n v="0"/>
    <n v="0"/>
    <n v="0"/>
    <n v="1"/>
    <n v="0"/>
    <n v="0"/>
    <n v="0"/>
    <n v="0"/>
    <n v="1"/>
    <n v="0"/>
    <n v="304"/>
    <n v="289"/>
    <n v="15"/>
    <n v="0"/>
    <x v="0"/>
    <x v="0"/>
    <x v="2"/>
    <x v="1"/>
    <x v="3"/>
    <x v="2"/>
    <n v="1"/>
    <n v="0"/>
    <n v="23"/>
    <n v="3.0000000000000004"/>
    <n v="6"/>
    <n v="4"/>
    <n v="13"/>
    <n v="3"/>
    <x v="3"/>
  </r>
  <r>
    <x v="801"/>
    <n v="65370"/>
    <n v="0"/>
    <n v="0"/>
    <n v="1"/>
    <n v="71"/>
    <n v="22"/>
    <n v="112"/>
    <n v="138"/>
    <n v="89"/>
    <n v="29"/>
    <n v="1"/>
    <n v="2"/>
    <n v="3"/>
    <n v="13"/>
    <n v="1"/>
    <n v="0"/>
    <n v="0"/>
    <n v="0"/>
    <n v="0"/>
    <n v="0"/>
    <x v="0"/>
    <n v="0"/>
    <n v="3"/>
    <n v="11"/>
    <n v="0"/>
    <n v="36"/>
    <n v="2491"/>
    <n v="6.8246575342465752"/>
    <n v="0"/>
    <n v="1"/>
    <n v="0"/>
    <n v="0"/>
    <n v="0"/>
    <n v="1"/>
    <n v="0"/>
    <n v="0"/>
    <n v="0"/>
    <n v="0"/>
    <n v="432"/>
    <n v="403"/>
    <n v="29"/>
    <n v="0"/>
    <x v="1"/>
    <x v="1"/>
    <x v="0"/>
    <x v="1"/>
    <x v="2"/>
    <x v="3"/>
    <n v="0"/>
    <n v="0"/>
    <n v="20"/>
    <n v="10"/>
    <n v="4"/>
    <n v="5"/>
    <n v="19"/>
    <n v="7"/>
    <x v="2"/>
  </r>
  <r>
    <x v="802"/>
    <n v="80950"/>
    <n v="0"/>
    <n v="0"/>
    <n v="44"/>
    <n v="525"/>
    <n v="147"/>
    <n v="112"/>
    <n v="219"/>
    <n v="147"/>
    <n v="63"/>
    <n v="1"/>
    <n v="6"/>
    <n v="7"/>
    <n v="9"/>
    <n v="2"/>
    <n v="1"/>
    <n v="0"/>
    <n v="0"/>
    <n v="0"/>
    <n v="0"/>
    <x v="1"/>
    <n v="0"/>
    <n v="3"/>
    <n v="11"/>
    <n v="0"/>
    <n v="59"/>
    <n v="2617"/>
    <n v="7.1698630136986301"/>
    <n v="0"/>
    <n v="1"/>
    <n v="0"/>
    <n v="0"/>
    <n v="0"/>
    <n v="0"/>
    <n v="0"/>
    <n v="0"/>
    <n v="1"/>
    <n v="0"/>
    <n v="1150"/>
    <n v="1087"/>
    <n v="63"/>
    <n v="1"/>
    <x v="1"/>
    <x v="1"/>
    <x v="0"/>
    <x v="1"/>
    <x v="1"/>
    <x v="1"/>
    <n v="1"/>
    <n v="0"/>
    <n v="25"/>
    <n v="6"/>
    <n v="7"/>
    <n v="8"/>
    <n v="21"/>
    <n v="8"/>
    <x v="2"/>
  </r>
  <r>
    <x v="803"/>
    <n v="47320"/>
    <n v="0"/>
    <n v="1"/>
    <n v="10"/>
    <n v="200"/>
    <n v="19"/>
    <n v="111"/>
    <n v="50"/>
    <n v="15"/>
    <n v="19"/>
    <n v="6"/>
    <n v="5"/>
    <n v="1"/>
    <n v="8"/>
    <n v="6"/>
    <n v="0"/>
    <n v="0"/>
    <n v="0"/>
    <n v="0"/>
    <n v="0"/>
    <x v="0"/>
    <n v="0"/>
    <n v="3"/>
    <n v="11"/>
    <n v="0"/>
    <n v="63"/>
    <n v="2491"/>
    <n v="6.8246575342465752"/>
    <n v="0"/>
    <n v="0"/>
    <n v="0"/>
    <n v="1"/>
    <n v="0"/>
    <n v="0"/>
    <n v="0"/>
    <n v="1"/>
    <n v="0"/>
    <n v="0"/>
    <n v="395"/>
    <n v="376"/>
    <n v="19"/>
    <n v="0"/>
    <x v="0"/>
    <x v="0"/>
    <x v="2"/>
    <x v="0"/>
    <x v="3"/>
    <x v="2"/>
    <n v="0"/>
    <n v="0"/>
    <n v="26"/>
    <n v="9"/>
    <n v="7"/>
    <n v="5"/>
    <n v="21"/>
    <n v="8"/>
    <x v="2"/>
  </r>
  <r>
    <x v="804"/>
    <n v="59060"/>
    <n v="1"/>
    <n v="0"/>
    <n v="77"/>
    <n v="35"/>
    <n v="40"/>
    <n v="111"/>
    <n v="36"/>
    <n v="40"/>
    <n v="12"/>
    <n v="3"/>
    <n v="3"/>
    <n v="1"/>
    <n v="7"/>
    <n v="4"/>
    <n v="0"/>
    <n v="0"/>
    <n v="0"/>
    <n v="0"/>
    <n v="0"/>
    <x v="0"/>
    <n v="0"/>
    <n v="3"/>
    <n v="11"/>
    <n v="0"/>
    <n v="31"/>
    <n v="2328"/>
    <n v="6.3780821917808215"/>
    <n v="0"/>
    <n v="1"/>
    <n v="0"/>
    <n v="0"/>
    <n v="0"/>
    <n v="1"/>
    <n v="0"/>
    <n v="0"/>
    <n v="0"/>
    <n v="0"/>
    <n v="262"/>
    <n v="250"/>
    <n v="12"/>
    <n v="0"/>
    <x v="0"/>
    <x v="0"/>
    <x v="0"/>
    <x v="1"/>
    <x v="2"/>
    <x v="3"/>
    <n v="1"/>
    <n v="0"/>
    <n v="18"/>
    <n v="3.0000000000000004"/>
    <n v="4"/>
    <n v="4"/>
    <n v="11"/>
    <n v="2"/>
    <x v="3"/>
  </r>
  <r>
    <x v="805"/>
    <n v="27573"/>
    <n v="1"/>
    <n v="0"/>
    <n v="45"/>
    <n v="50"/>
    <n v="15"/>
    <n v="110"/>
    <n v="39"/>
    <n v="15"/>
    <n v="15"/>
    <n v="4"/>
    <n v="5"/>
    <n v="1"/>
    <n v="4"/>
    <n v="8"/>
    <n v="0"/>
    <n v="0"/>
    <n v="0"/>
    <n v="0"/>
    <n v="0"/>
    <x v="0"/>
    <n v="0"/>
    <n v="3"/>
    <n v="11"/>
    <n v="0"/>
    <n v="45"/>
    <n v="2620"/>
    <n v="7.1780821917808222"/>
    <n v="0"/>
    <n v="1"/>
    <n v="0"/>
    <n v="0"/>
    <n v="0"/>
    <n v="0"/>
    <n v="0"/>
    <n v="1"/>
    <n v="0"/>
    <n v="0"/>
    <n v="229"/>
    <n v="214"/>
    <n v="15"/>
    <n v="0"/>
    <x v="0"/>
    <x v="0"/>
    <x v="0"/>
    <x v="0"/>
    <x v="0"/>
    <x v="0"/>
    <n v="1"/>
    <n v="0"/>
    <n v="22"/>
    <n v="6"/>
    <n v="5"/>
    <n v="4"/>
    <n v="15"/>
    <n v="4"/>
    <x v="3"/>
  </r>
  <r>
    <x v="806"/>
    <n v="42081"/>
    <n v="1"/>
    <n v="0"/>
    <n v="86"/>
    <n v="175"/>
    <n v="10"/>
    <n v="110"/>
    <n v="54"/>
    <n v="6"/>
    <n v="27"/>
    <n v="2"/>
    <n v="6"/>
    <n v="3"/>
    <n v="4"/>
    <n v="6"/>
    <n v="0"/>
    <n v="0"/>
    <n v="1"/>
    <n v="0"/>
    <n v="0"/>
    <x v="1"/>
    <n v="0"/>
    <n v="3"/>
    <n v="11"/>
    <n v="0"/>
    <n v="38"/>
    <n v="2647"/>
    <n v="7.2520547945205482"/>
    <n v="0"/>
    <n v="1"/>
    <n v="0"/>
    <n v="0"/>
    <n v="0"/>
    <n v="0"/>
    <n v="0"/>
    <n v="1"/>
    <n v="0"/>
    <n v="0"/>
    <n v="355"/>
    <n v="328"/>
    <n v="27"/>
    <n v="1"/>
    <x v="0"/>
    <x v="0"/>
    <x v="0"/>
    <x v="0"/>
    <x v="3"/>
    <x v="3"/>
    <n v="1"/>
    <n v="0"/>
    <n v="21"/>
    <n v="1.9999999999999996"/>
    <n v="5"/>
    <n v="5"/>
    <n v="12"/>
    <n v="3"/>
    <x v="3"/>
  </r>
  <r>
    <x v="807"/>
    <n v="77376"/>
    <n v="1"/>
    <n v="1"/>
    <n v="72"/>
    <n v="492"/>
    <n v="19"/>
    <n v="110"/>
    <n v="16"/>
    <n v="12"/>
    <n v="12"/>
    <n v="4"/>
    <n v="6"/>
    <n v="3"/>
    <n v="10"/>
    <n v="4"/>
    <n v="0"/>
    <n v="0"/>
    <n v="0"/>
    <n v="0"/>
    <n v="0"/>
    <x v="0"/>
    <n v="0"/>
    <n v="3"/>
    <n v="11"/>
    <n v="0"/>
    <n v="64"/>
    <n v="2209"/>
    <n v="6.0520547945205481"/>
    <n v="0"/>
    <n v="0"/>
    <n v="0"/>
    <n v="1"/>
    <n v="0"/>
    <n v="0"/>
    <n v="0"/>
    <n v="0"/>
    <n v="0"/>
    <n v="1"/>
    <n v="649"/>
    <n v="637"/>
    <n v="12"/>
    <n v="0"/>
    <x v="0"/>
    <x v="0"/>
    <x v="2"/>
    <x v="1"/>
    <x v="1"/>
    <x v="2"/>
    <n v="1"/>
    <n v="0"/>
    <n v="27"/>
    <n v="3.0000000000000004"/>
    <n v="7"/>
    <n v="6"/>
    <n v="16"/>
    <n v="5"/>
    <x v="1"/>
  </r>
  <r>
    <x v="808"/>
    <n v="54210"/>
    <n v="0"/>
    <n v="1"/>
    <n v="18"/>
    <n v="70"/>
    <n v="54"/>
    <n v="109"/>
    <n v="80"/>
    <n v="9"/>
    <n v="45"/>
    <n v="2"/>
    <n v="4"/>
    <n v="1"/>
    <n v="7"/>
    <n v="5"/>
    <n v="0"/>
    <n v="0"/>
    <n v="0"/>
    <n v="0"/>
    <n v="0"/>
    <x v="0"/>
    <n v="0"/>
    <n v="3"/>
    <n v="11"/>
    <n v="0"/>
    <n v="41"/>
    <n v="2564"/>
    <n v="7.0246575342465754"/>
    <n v="0"/>
    <n v="1"/>
    <n v="0"/>
    <n v="0"/>
    <n v="0"/>
    <n v="1"/>
    <n v="0"/>
    <n v="0"/>
    <n v="0"/>
    <n v="0"/>
    <n v="322"/>
    <n v="277"/>
    <n v="45"/>
    <n v="0"/>
    <x v="0"/>
    <x v="0"/>
    <x v="0"/>
    <x v="1"/>
    <x v="2"/>
    <x v="0"/>
    <n v="0"/>
    <n v="0"/>
    <n v="19"/>
    <n v="9"/>
    <n v="4"/>
    <n v="4"/>
    <n v="17"/>
    <n v="6"/>
    <x v="1"/>
  </r>
  <r>
    <x v="809"/>
    <n v="57136"/>
    <n v="1"/>
    <n v="1"/>
    <n v="48"/>
    <n v="306"/>
    <n v="5"/>
    <n v="109"/>
    <n v="21"/>
    <n v="109"/>
    <n v="92"/>
    <n v="9"/>
    <n v="5"/>
    <n v="2"/>
    <n v="10"/>
    <n v="6"/>
    <n v="0"/>
    <n v="0"/>
    <n v="0"/>
    <n v="0"/>
    <n v="0"/>
    <x v="0"/>
    <n v="0"/>
    <n v="3"/>
    <n v="11"/>
    <n v="0"/>
    <n v="48"/>
    <n v="2514"/>
    <n v="6.8876712328767127"/>
    <n v="0"/>
    <n v="1"/>
    <n v="0"/>
    <n v="0"/>
    <n v="0"/>
    <n v="0"/>
    <n v="0"/>
    <n v="0"/>
    <n v="1"/>
    <n v="0"/>
    <n v="550"/>
    <n v="458"/>
    <n v="92"/>
    <n v="0"/>
    <x v="0"/>
    <x v="0"/>
    <x v="0"/>
    <x v="1"/>
    <x v="2"/>
    <x v="0"/>
    <n v="1"/>
    <n v="0"/>
    <n v="32"/>
    <n v="6"/>
    <n v="9"/>
    <n v="5"/>
    <n v="20"/>
    <n v="7"/>
    <x v="2"/>
  </r>
  <r>
    <x v="810"/>
    <n v="60093"/>
    <n v="0"/>
    <n v="1"/>
    <n v="92"/>
    <n v="502"/>
    <n v="12"/>
    <n v="109"/>
    <n v="16"/>
    <n v="6"/>
    <n v="90"/>
    <n v="2"/>
    <n v="7"/>
    <n v="2"/>
    <n v="10"/>
    <n v="6"/>
    <n v="0"/>
    <n v="0"/>
    <n v="0"/>
    <n v="0"/>
    <n v="0"/>
    <x v="0"/>
    <n v="0"/>
    <n v="3"/>
    <n v="11"/>
    <n v="0"/>
    <n v="46"/>
    <n v="2527"/>
    <n v="6.9232876712328766"/>
    <n v="0"/>
    <n v="1"/>
    <n v="0"/>
    <n v="0"/>
    <n v="0"/>
    <n v="0"/>
    <n v="0"/>
    <n v="1"/>
    <n v="0"/>
    <n v="0"/>
    <n v="645"/>
    <n v="555"/>
    <n v="90"/>
    <n v="0"/>
    <x v="0"/>
    <x v="0"/>
    <x v="0"/>
    <x v="0"/>
    <x v="2"/>
    <x v="0"/>
    <n v="1"/>
    <n v="1"/>
    <n v="27"/>
    <n v="0.99999999999999978"/>
    <n v="7"/>
    <n v="6"/>
    <n v="14"/>
    <n v="4"/>
    <x v="3"/>
  </r>
  <r>
    <x v="811"/>
    <n v="77297"/>
    <n v="0"/>
    <n v="0"/>
    <n v="84"/>
    <n v="408"/>
    <n v="61"/>
    <n v="109"/>
    <n v="48"/>
    <n v="122"/>
    <n v="41"/>
    <n v="1"/>
    <n v="5"/>
    <n v="7"/>
    <n v="9"/>
    <n v="4"/>
    <n v="1"/>
    <n v="0"/>
    <n v="0"/>
    <n v="0"/>
    <n v="0"/>
    <x v="1"/>
    <n v="0"/>
    <n v="3"/>
    <n v="11"/>
    <n v="0"/>
    <n v="63"/>
    <n v="2678"/>
    <n v="7.3369863013698629"/>
    <n v="1"/>
    <n v="0"/>
    <n v="0"/>
    <n v="0"/>
    <n v="0"/>
    <n v="1"/>
    <n v="0"/>
    <n v="0"/>
    <n v="0"/>
    <n v="0"/>
    <n v="748"/>
    <n v="707"/>
    <n v="41"/>
    <n v="1"/>
    <x v="1"/>
    <x v="1"/>
    <x v="3"/>
    <x v="1"/>
    <x v="1"/>
    <x v="2"/>
    <n v="1"/>
    <n v="0"/>
    <n v="26"/>
    <n v="1.9999999999999996"/>
    <n v="7"/>
    <n v="6"/>
    <n v="15"/>
    <n v="4"/>
    <x v="3"/>
  </r>
  <r>
    <x v="812"/>
    <n v="28457"/>
    <n v="0"/>
    <n v="0"/>
    <n v="96"/>
    <n v="24"/>
    <n v="1"/>
    <n v="108"/>
    <n v="29"/>
    <n v="29"/>
    <n v="14"/>
    <n v="1"/>
    <n v="4"/>
    <n v="1"/>
    <n v="4"/>
    <n v="8"/>
    <n v="0"/>
    <n v="0"/>
    <n v="0"/>
    <n v="0"/>
    <n v="0"/>
    <x v="0"/>
    <n v="0"/>
    <n v="3"/>
    <n v="11"/>
    <n v="0"/>
    <n v="68"/>
    <n v="2768"/>
    <n v="7.5835616438356164"/>
    <n v="0"/>
    <n v="0"/>
    <n v="0"/>
    <n v="0"/>
    <n v="1"/>
    <n v="1"/>
    <n v="0"/>
    <n v="0"/>
    <n v="0"/>
    <n v="0"/>
    <n v="191"/>
    <n v="177"/>
    <n v="14"/>
    <n v="0"/>
    <x v="1"/>
    <x v="1"/>
    <x v="4"/>
    <x v="1"/>
    <x v="0"/>
    <x v="2"/>
    <n v="1"/>
    <n v="1"/>
    <n v="18"/>
    <n v="0.99999999999999978"/>
    <n v="4"/>
    <n v="4"/>
    <n v="9"/>
    <n v="1"/>
    <x v="3"/>
  </r>
  <r>
    <x v="813"/>
    <n v="42014"/>
    <n v="1"/>
    <n v="0"/>
    <n v="56"/>
    <n v="244"/>
    <n v="15"/>
    <n v="108"/>
    <n v="4"/>
    <n v="15"/>
    <n v="50"/>
    <n v="6"/>
    <n v="7"/>
    <n v="1"/>
    <n v="6"/>
    <n v="8"/>
    <n v="0"/>
    <n v="0"/>
    <n v="0"/>
    <n v="0"/>
    <n v="0"/>
    <x v="0"/>
    <n v="0"/>
    <n v="3"/>
    <n v="11"/>
    <n v="1"/>
    <n v="43"/>
    <n v="2840"/>
    <n v="7.7808219178082192"/>
    <n v="0"/>
    <n v="1"/>
    <n v="0"/>
    <n v="0"/>
    <n v="0"/>
    <n v="0"/>
    <n v="0"/>
    <n v="1"/>
    <n v="0"/>
    <n v="0"/>
    <n v="386"/>
    <n v="336"/>
    <n v="50"/>
    <n v="0"/>
    <x v="0"/>
    <x v="0"/>
    <x v="0"/>
    <x v="0"/>
    <x v="3"/>
    <x v="0"/>
    <n v="1"/>
    <n v="0"/>
    <n v="28"/>
    <n v="5"/>
    <n v="8"/>
    <n v="5"/>
    <n v="18"/>
    <n v="6"/>
    <x v="1"/>
  </r>
  <r>
    <x v="814"/>
    <n v="47025"/>
    <n v="0"/>
    <n v="1"/>
    <n v="52"/>
    <n v="254"/>
    <n v="7"/>
    <n v="108"/>
    <n v="20"/>
    <n v="0"/>
    <n v="26"/>
    <n v="3"/>
    <n v="6"/>
    <n v="3"/>
    <n v="5"/>
    <n v="6"/>
    <n v="0"/>
    <n v="0"/>
    <n v="0"/>
    <n v="0"/>
    <n v="0"/>
    <x v="0"/>
    <n v="0"/>
    <n v="3"/>
    <n v="11"/>
    <n v="0"/>
    <n v="44"/>
    <n v="2393"/>
    <n v="6.5561643835616437"/>
    <n v="0"/>
    <n v="0"/>
    <n v="1"/>
    <n v="0"/>
    <n v="0"/>
    <n v="0"/>
    <n v="0"/>
    <n v="1"/>
    <n v="0"/>
    <n v="0"/>
    <n v="389"/>
    <n v="363"/>
    <n v="26"/>
    <n v="0"/>
    <x v="0"/>
    <x v="0"/>
    <x v="1"/>
    <x v="0"/>
    <x v="3"/>
    <x v="0"/>
    <n v="1"/>
    <n v="0"/>
    <n v="23"/>
    <n v="5"/>
    <n v="6"/>
    <n v="5"/>
    <n v="16"/>
    <n v="5"/>
    <x v="1"/>
  </r>
  <r>
    <x v="815"/>
    <n v="55517"/>
    <n v="1"/>
    <n v="1"/>
    <n v="53"/>
    <n v="483"/>
    <n v="0"/>
    <n v="108"/>
    <n v="0"/>
    <n v="6"/>
    <n v="36"/>
    <n v="5"/>
    <n v="11"/>
    <n v="1"/>
    <n v="6"/>
    <n v="9"/>
    <n v="0"/>
    <n v="0"/>
    <n v="0"/>
    <n v="0"/>
    <n v="0"/>
    <x v="0"/>
    <n v="0"/>
    <n v="3"/>
    <n v="11"/>
    <n v="1"/>
    <n v="70"/>
    <n v="2799"/>
    <n v="7.6684931506849319"/>
    <n v="0"/>
    <n v="1"/>
    <n v="0"/>
    <n v="0"/>
    <n v="0"/>
    <n v="0"/>
    <n v="0"/>
    <n v="0"/>
    <n v="0"/>
    <n v="1"/>
    <n v="597"/>
    <n v="561"/>
    <n v="36"/>
    <n v="0"/>
    <x v="0"/>
    <x v="0"/>
    <x v="0"/>
    <x v="1"/>
    <x v="2"/>
    <x v="2"/>
    <n v="1"/>
    <n v="0"/>
    <n v="32"/>
    <n v="5"/>
    <n v="9"/>
    <n v="6"/>
    <n v="20"/>
    <n v="7"/>
    <x v="2"/>
  </r>
  <r>
    <x v="816"/>
    <n v="80763"/>
    <n v="0"/>
    <n v="0"/>
    <n v="17"/>
    <n v="674"/>
    <n v="168"/>
    <n v="108"/>
    <n v="192"/>
    <n v="42"/>
    <n v="231"/>
    <n v="1"/>
    <n v="5"/>
    <n v="11"/>
    <n v="6"/>
    <n v="3"/>
    <n v="1"/>
    <n v="0"/>
    <n v="0"/>
    <n v="0"/>
    <n v="1"/>
    <x v="1"/>
    <n v="0"/>
    <n v="3"/>
    <n v="11"/>
    <n v="1"/>
    <n v="70"/>
    <n v="2477"/>
    <n v="6.7863013698630139"/>
    <n v="0"/>
    <n v="1"/>
    <n v="0"/>
    <n v="0"/>
    <n v="0"/>
    <n v="0"/>
    <n v="0"/>
    <n v="1"/>
    <n v="0"/>
    <n v="0"/>
    <n v="1184"/>
    <n v="953"/>
    <n v="231"/>
    <n v="2"/>
    <x v="1"/>
    <x v="1"/>
    <x v="0"/>
    <x v="0"/>
    <x v="1"/>
    <x v="2"/>
    <n v="0"/>
    <n v="0"/>
    <n v="26"/>
    <n v="9"/>
    <n v="7"/>
    <n v="8"/>
    <n v="24"/>
    <n v="9"/>
    <x v="0"/>
  </r>
  <r>
    <x v="817"/>
    <n v="91065"/>
    <n v="0"/>
    <n v="0"/>
    <n v="33"/>
    <n v="822"/>
    <n v="114"/>
    <n v="108"/>
    <n v="179"/>
    <n v="137"/>
    <n v="114"/>
    <n v="1"/>
    <n v="7"/>
    <n v="9"/>
    <n v="9"/>
    <n v="3"/>
    <n v="1"/>
    <n v="0"/>
    <n v="0"/>
    <n v="0"/>
    <n v="1"/>
    <x v="1"/>
    <n v="0"/>
    <n v="3"/>
    <n v="11"/>
    <n v="1"/>
    <n v="39"/>
    <n v="2651"/>
    <n v="7.2630136986301368"/>
    <n v="0"/>
    <n v="0"/>
    <n v="1"/>
    <n v="0"/>
    <n v="0"/>
    <n v="0"/>
    <n v="0"/>
    <n v="1"/>
    <n v="0"/>
    <n v="0"/>
    <n v="1360"/>
    <n v="1246"/>
    <n v="114"/>
    <n v="2"/>
    <x v="1"/>
    <x v="1"/>
    <x v="1"/>
    <x v="0"/>
    <x v="1"/>
    <x v="3"/>
    <n v="1"/>
    <n v="0"/>
    <n v="29"/>
    <n v="7"/>
    <n v="8"/>
    <n v="8"/>
    <n v="23"/>
    <n v="8"/>
    <x v="2"/>
  </r>
  <r>
    <x v="818"/>
    <n v="37774"/>
    <n v="2"/>
    <n v="0"/>
    <n v="28"/>
    <n v="173"/>
    <n v="8"/>
    <n v="107"/>
    <n v="7"/>
    <n v="2"/>
    <n v="176"/>
    <n v="4"/>
    <n v="7"/>
    <n v="2"/>
    <n v="3"/>
    <n v="9"/>
    <n v="0"/>
    <n v="0"/>
    <n v="1"/>
    <n v="0"/>
    <n v="0"/>
    <x v="1"/>
    <n v="1"/>
    <n v="3"/>
    <n v="11"/>
    <n v="1"/>
    <n v="43"/>
    <n v="2823"/>
    <n v="7.7342465753424658"/>
    <n v="0"/>
    <n v="0"/>
    <n v="1"/>
    <n v="0"/>
    <n v="0"/>
    <n v="0"/>
    <n v="0"/>
    <n v="1"/>
    <n v="0"/>
    <n v="0"/>
    <n v="297"/>
    <n v="121"/>
    <n v="176"/>
    <n v="1"/>
    <x v="0"/>
    <x v="0"/>
    <x v="1"/>
    <x v="0"/>
    <x v="3"/>
    <x v="0"/>
    <n v="0"/>
    <n v="0"/>
    <n v="25"/>
    <n v="8"/>
    <n v="7"/>
    <n v="4"/>
    <n v="19"/>
    <n v="7"/>
    <x v="2"/>
  </r>
  <r>
    <x v="819"/>
    <n v="49669"/>
    <n v="1"/>
    <n v="0"/>
    <n v="97"/>
    <n v="166"/>
    <n v="5"/>
    <n v="107"/>
    <n v="11"/>
    <n v="8"/>
    <n v="29"/>
    <n v="2"/>
    <n v="5"/>
    <n v="1"/>
    <n v="6"/>
    <n v="6"/>
    <n v="0"/>
    <n v="0"/>
    <n v="0"/>
    <n v="0"/>
    <n v="0"/>
    <x v="0"/>
    <n v="0"/>
    <n v="3"/>
    <n v="11"/>
    <n v="0"/>
    <n v="46"/>
    <n v="2195"/>
    <n v="6.0136986301369859"/>
    <n v="0"/>
    <n v="0"/>
    <n v="0"/>
    <n v="1"/>
    <n v="0"/>
    <n v="1"/>
    <n v="0"/>
    <n v="0"/>
    <n v="0"/>
    <n v="0"/>
    <n v="297"/>
    <n v="268"/>
    <n v="29"/>
    <n v="0"/>
    <x v="0"/>
    <x v="0"/>
    <x v="2"/>
    <x v="1"/>
    <x v="3"/>
    <x v="0"/>
    <n v="1"/>
    <n v="1"/>
    <n v="20"/>
    <n v="0.99999999999999978"/>
    <n v="4"/>
    <n v="4"/>
    <n v="9"/>
    <n v="1"/>
    <x v="3"/>
  </r>
  <r>
    <x v="820"/>
    <n v="52117"/>
    <n v="0"/>
    <n v="1"/>
    <n v="55"/>
    <n v="112"/>
    <n v="10"/>
    <n v="107"/>
    <n v="30"/>
    <n v="0"/>
    <n v="20"/>
    <n v="2"/>
    <n v="5"/>
    <n v="2"/>
    <n v="4"/>
    <n v="7"/>
    <n v="0"/>
    <n v="0"/>
    <n v="0"/>
    <n v="0"/>
    <n v="0"/>
    <x v="0"/>
    <n v="0"/>
    <n v="3"/>
    <n v="11"/>
    <n v="0"/>
    <n v="55"/>
    <n v="2841"/>
    <n v="7.7835616438356166"/>
    <n v="0"/>
    <n v="0"/>
    <n v="0"/>
    <n v="1"/>
    <n v="0"/>
    <n v="0"/>
    <n v="0"/>
    <n v="1"/>
    <n v="0"/>
    <n v="0"/>
    <n v="259"/>
    <n v="239"/>
    <n v="20"/>
    <n v="0"/>
    <x v="0"/>
    <x v="0"/>
    <x v="2"/>
    <x v="0"/>
    <x v="2"/>
    <x v="1"/>
    <n v="1"/>
    <n v="0"/>
    <n v="20"/>
    <n v="5"/>
    <n v="4"/>
    <n v="4"/>
    <n v="13"/>
    <n v="3"/>
    <x v="3"/>
  </r>
  <r>
    <x v="821"/>
    <n v="61286"/>
    <n v="0"/>
    <n v="1"/>
    <n v="34"/>
    <n v="356"/>
    <n v="0"/>
    <n v="107"/>
    <n v="19"/>
    <n v="9"/>
    <n v="117"/>
    <n v="2"/>
    <n v="7"/>
    <n v="1"/>
    <n v="8"/>
    <n v="5"/>
    <n v="0"/>
    <n v="0"/>
    <n v="0"/>
    <n v="0"/>
    <n v="0"/>
    <x v="0"/>
    <n v="0"/>
    <n v="3"/>
    <n v="11"/>
    <n v="0"/>
    <n v="54"/>
    <n v="2490"/>
    <n v="6.8219178082191778"/>
    <n v="0"/>
    <n v="1"/>
    <n v="0"/>
    <n v="0"/>
    <n v="0"/>
    <n v="0"/>
    <n v="0"/>
    <n v="1"/>
    <n v="0"/>
    <n v="0"/>
    <n v="491"/>
    <n v="374"/>
    <n v="117"/>
    <n v="0"/>
    <x v="0"/>
    <x v="0"/>
    <x v="0"/>
    <x v="0"/>
    <x v="2"/>
    <x v="1"/>
    <n v="1"/>
    <n v="0"/>
    <n v="23"/>
    <n v="7"/>
    <n v="6"/>
    <n v="5"/>
    <n v="18"/>
    <n v="6"/>
    <x v="1"/>
  </r>
  <r>
    <x v="822"/>
    <n v="77353"/>
    <n v="0"/>
    <n v="1"/>
    <n v="38"/>
    <n v="275"/>
    <n v="59"/>
    <n v="107"/>
    <n v="69"/>
    <n v="101"/>
    <n v="59"/>
    <n v="2"/>
    <n v="6"/>
    <n v="4"/>
    <n v="8"/>
    <n v="4"/>
    <n v="0"/>
    <n v="0"/>
    <n v="0"/>
    <n v="0"/>
    <n v="0"/>
    <x v="0"/>
    <n v="0"/>
    <n v="3"/>
    <n v="11"/>
    <n v="0"/>
    <n v="40"/>
    <n v="2354"/>
    <n v="6.4493150684931511"/>
    <n v="0"/>
    <n v="1"/>
    <n v="0"/>
    <n v="0"/>
    <n v="0"/>
    <n v="0"/>
    <n v="0"/>
    <n v="1"/>
    <n v="0"/>
    <n v="0"/>
    <n v="611"/>
    <n v="552"/>
    <n v="59"/>
    <n v="0"/>
    <x v="0"/>
    <x v="0"/>
    <x v="0"/>
    <x v="0"/>
    <x v="1"/>
    <x v="3"/>
    <n v="1"/>
    <n v="0"/>
    <n v="24"/>
    <n v="7"/>
    <n v="6"/>
    <n v="6"/>
    <n v="19"/>
    <n v="7"/>
    <x v="2"/>
  </r>
  <r>
    <x v="823"/>
    <n v="87171"/>
    <n v="0"/>
    <n v="0"/>
    <n v="27"/>
    <n v="1001"/>
    <n v="44"/>
    <n v="107"/>
    <n v="58"/>
    <n v="44"/>
    <n v="44"/>
    <n v="1"/>
    <n v="6"/>
    <n v="7"/>
    <n v="11"/>
    <n v="2"/>
    <n v="0"/>
    <n v="0"/>
    <n v="1"/>
    <n v="0"/>
    <n v="1"/>
    <x v="1"/>
    <n v="0"/>
    <n v="3"/>
    <n v="11"/>
    <n v="0"/>
    <n v="39"/>
    <n v="2583"/>
    <n v="7.0767123287671234"/>
    <n v="0"/>
    <n v="1"/>
    <n v="0"/>
    <n v="0"/>
    <n v="0"/>
    <n v="0"/>
    <n v="0"/>
    <n v="0"/>
    <n v="0"/>
    <n v="1"/>
    <n v="1254"/>
    <n v="1210"/>
    <n v="44"/>
    <n v="2"/>
    <x v="1"/>
    <x v="1"/>
    <x v="0"/>
    <x v="1"/>
    <x v="1"/>
    <x v="3"/>
    <n v="0"/>
    <n v="0"/>
    <n v="27"/>
    <n v="8"/>
    <n v="7"/>
    <n v="8"/>
    <n v="23"/>
    <n v="8"/>
    <x v="2"/>
  </r>
  <r>
    <x v="824"/>
    <n v="44989"/>
    <n v="0"/>
    <n v="1"/>
    <n v="26"/>
    <n v="98"/>
    <n v="0"/>
    <n v="106"/>
    <n v="49"/>
    <n v="10"/>
    <n v="106"/>
    <n v="5"/>
    <n v="5"/>
    <n v="1"/>
    <n v="5"/>
    <n v="6"/>
    <n v="0"/>
    <n v="0"/>
    <n v="0"/>
    <n v="0"/>
    <n v="0"/>
    <x v="0"/>
    <n v="0"/>
    <n v="3"/>
    <n v="11"/>
    <n v="0"/>
    <n v="46"/>
    <n v="2814"/>
    <n v="7.7095890410958905"/>
    <n v="0"/>
    <n v="1"/>
    <n v="0"/>
    <n v="0"/>
    <n v="0"/>
    <n v="0"/>
    <n v="0"/>
    <n v="1"/>
    <n v="0"/>
    <n v="0"/>
    <n v="263"/>
    <n v="157"/>
    <n v="106"/>
    <n v="0"/>
    <x v="0"/>
    <x v="0"/>
    <x v="0"/>
    <x v="0"/>
    <x v="3"/>
    <x v="0"/>
    <n v="0"/>
    <n v="0"/>
    <n v="22"/>
    <n v="8"/>
    <n v="5"/>
    <n v="4"/>
    <n v="17"/>
    <n v="6"/>
    <x v="1"/>
  </r>
  <r>
    <x v="825"/>
    <n v="58582"/>
    <n v="0"/>
    <n v="1"/>
    <n v="15"/>
    <n v="402"/>
    <n v="35"/>
    <n v="106"/>
    <n v="101"/>
    <n v="77"/>
    <n v="42"/>
    <n v="2"/>
    <n v="9"/>
    <n v="2"/>
    <n v="9"/>
    <n v="5"/>
    <n v="0"/>
    <n v="0"/>
    <n v="0"/>
    <n v="1"/>
    <n v="0"/>
    <x v="1"/>
    <n v="0"/>
    <n v="3"/>
    <n v="11"/>
    <n v="0"/>
    <n v="38"/>
    <n v="2433"/>
    <n v="6.6657534246575345"/>
    <n v="0"/>
    <n v="0"/>
    <n v="0"/>
    <n v="1"/>
    <n v="0"/>
    <n v="1"/>
    <n v="0"/>
    <n v="0"/>
    <n v="0"/>
    <n v="0"/>
    <n v="721"/>
    <n v="679"/>
    <n v="42"/>
    <n v="1"/>
    <x v="0"/>
    <x v="0"/>
    <x v="2"/>
    <x v="1"/>
    <x v="2"/>
    <x v="3"/>
    <n v="0"/>
    <n v="0"/>
    <n v="27"/>
    <n v="9"/>
    <n v="7"/>
    <n v="6"/>
    <n v="22"/>
    <n v="8"/>
    <x v="2"/>
  </r>
  <r>
    <x v="826"/>
    <n v="61284"/>
    <n v="0"/>
    <n v="0"/>
    <n v="76"/>
    <n v="618"/>
    <n v="15"/>
    <n v="106"/>
    <n v="20"/>
    <n v="7"/>
    <n v="45"/>
    <n v="1"/>
    <n v="11"/>
    <n v="2"/>
    <n v="8"/>
    <n v="6"/>
    <n v="0"/>
    <n v="0"/>
    <n v="0"/>
    <n v="1"/>
    <n v="0"/>
    <x v="1"/>
    <n v="0"/>
    <n v="3"/>
    <n v="11"/>
    <n v="0"/>
    <n v="65"/>
    <n v="2419"/>
    <n v="6.6273972602739724"/>
    <n v="0"/>
    <n v="0"/>
    <n v="1"/>
    <n v="0"/>
    <n v="0"/>
    <n v="0"/>
    <n v="0"/>
    <n v="0"/>
    <n v="0"/>
    <n v="1"/>
    <n v="766"/>
    <n v="721"/>
    <n v="45"/>
    <n v="1"/>
    <x v="1"/>
    <x v="1"/>
    <x v="1"/>
    <x v="1"/>
    <x v="2"/>
    <x v="2"/>
    <n v="1"/>
    <n v="0"/>
    <n v="28"/>
    <n v="3.0000000000000004"/>
    <n v="8"/>
    <n v="6"/>
    <n v="17"/>
    <n v="6"/>
    <x v="1"/>
  </r>
  <r>
    <x v="827"/>
    <n v="63777"/>
    <n v="1"/>
    <n v="1"/>
    <n v="87"/>
    <n v="457"/>
    <n v="5"/>
    <n v="106"/>
    <n v="15"/>
    <n v="17"/>
    <n v="53"/>
    <n v="8"/>
    <n v="11"/>
    <n v="1"/>
    <n v="6"/>
    <n v="8"/>
    <n v="0"/>
    <n v="0"/>
    <n v="0"/>
    <n v="0"/>
    <n v="0"/>
    <x v="0"/>
    <n v="0"/>
    <n v="3"/>
    <n v="11"/>
    <n v="0"/>
    <n v="41"/>
    <n v="2621"/>
    <n v="7.1808219178082195"/>
    <n v="0"/>
    <n v="1"/>
    <n v="0"/>
    <n v="0"/>
    <n v="0"/>
    <n v="0"/>
    <n v="0"/>
    <n v="1"/>
    <n v="0"/>
    <n v="0"/>
    <n v="600"/>
    <n v="547"/>
    <n v="53"/>
    <n v="0"/>
    <x v="0"/>
    <x v="0"/>
    <x v="0"/>
    <x v="0"/>
    <x v="2"/>
    <x v="0"/>
    <n v="1"/>
    <n v="0"/>
    <n v="34"/>
    <n v="1.9999999999999996"/>
    <n v="9"/>
    <n v="6"/>
    <n v="17"/>
    <n v="6"/>
    <x v="1"/>
  </r>
  <r>
    <x v="828"/>
    <n v="69661"/>
    <n v="0"/>
    <n v="0"/>
    <n v="80"/>
    <n v="656"/>
    <n v="16"/>
    <n v="106"/>
    <n v="32"/>
    <n v="16"/>
    <n v="8"/>
    <n v="1"/>
    <n v="7"/>
    <n v="3"/>
    <n v="12"/>
    <n v="3"/>
    <n v="0"/>
    <n v="0"/>
    <n v="0"/>
    <n v="0"/>
    <n v="0"/>
    <x v="0"/>
    <n v="0"/>
    <n v="3"/>
    <n v="11"/>
    <n v="0"/>
    <n v="40"/>
    <n v="2206"/>
    <n v="6.043835616438356"/>
    <n v="0"/>
    <n v="1"/>
    <n v="0"/>
    <n v="0"/>
    <n v="0"/>
    <n v="0"/>
    <n v="0"/>
    <n v="0"/>
    <n v="1"/>
    <n v="0"/>
    <n v="826"/>
    <n v="818"/>
    <n v="8"/>
    <n v="0"/>
    <x v="1"/>
    <x v="1"/>
    <x v="0"/>
    <x v="1"/>
    <x v="2"/>
    <x v="3"/>
    <n v="1"/>
    <n v="0"/>
    <n v="26"/>
    <n v="1.9999999999999996"/>
    <n v="7"/>
    <n v="6"/>
    <n v="15"/>
    <n v="4"/>
    <x v="3"/>
  </r>
  <r>
    <x v="829"/>
    <n v="70829"/>
    <n v="1"/>
    <n v="1"/>
    <n v="87"/>
    <n v="141"/>
    <n v="70"/>
    <n v="106"/>
    <n v="72"/>
    <n v="19"/>
    <n v="23"/>
    <n v="2"/>
    <n v="4"/>
    <n v="2"/>
    <n v="8"/>
    <n v="3"/>
    <n v="0"/>
    <n v="0"/>
    <n v="0"/>
    <n v="0"/>
    <n v="0"/>
    <x v="0"/>
    <n v="0"/>
    <n v="3"/>
    <n v="11"/>
    <n v="0"/>
    <n v="40"/>
    <n v="2369"/>
    <n v="6.4904109589041097"/>
    <n v="0"/>
    <n v="1"/>
    <n v="0"/>
    <n v="0"/>
    <n v="0"/>
    <n v="1"/>
    <n v="0"/>
    <n v="0"/>
    <n v="0"/>
    <n v="0"/>
    <n v="408"/>
    <n v="385"/>
    <n v="23"/>
    <n v="0"/>
    <x v="0"/>
    <x v="0"/>
    <x v="0"/>
    <x v="1"/>
    <x v="2"/>
    <x v="3"/>
    <n v="1"/>
    <n v="0"/>
    <n v="19"/>
    <n v="1.9999999999999996"/>
    <n v="4"/>
    <n v="5"/>
    <n v="11"/>
    <n v="2"/>
    <x v="3"/>
  </r>
  <r>
    <x v="830"/>
    <n v="71847"/>
    <n v="0"/>
    <n v="0"/>
    <n v="95"/>
    <n v="737"/>
    <n v="21"/>
    <n v="106"/>
    <n v="55"/>
    <n v="63"/>
    <n v="210"/>
    <n v="0"/>
    <n v="6"/>
    <n v="7"/>
    <n v="9"/>
    <n v="3"/>
    <n v="1"/>
    <n v="0"/>
    <n v="0"/>
    <n v="0"/>
    <n v="0"/>
    <x v="1"/>
    <n v="0"/>
    <n v="3"/>
    <n v="11"/>
    <n v="0"/>
    <n v="42"/>
    <n v="2805"/>
    <n v="7.6849315068493151"/>
    <n v="1"/>
    <n v="0"/>
    <n v="0"/>
    <n v="0"/>
    <n v="0"/>
    <n v="0"/>
    <n v="0"/>
    <n v="1"/>
    <n v="0"/>
    <n v="0"/>
    <n v="982"/>
    <n v="772"/>
    <n v="210"/>
    <n v="1"/>
    <x v="1"/>
    <x v="1"/>
    <x v="3"/>
    <x v="0"/>
    <x v="2"/>
    <x v="0"/>
    <n v="1"/>
    <n v="1"/>
    <n v="25"/>
    <n v="0.99999999999999978"/>
    <n v="7"/>
    <n v="7"/>
    <n v="15"/>
    <n v="4"/>
    <x v="3"/>
  </r>
  <r>
    <x v="831"/>
    <n v="89058"/>
    <n v="0"/>
    <n v="0"/>
    <n v="18"/>
    <n v="454"/>
    <n v="194"/>
    <n v="106"/>
    <n v="31"/>
    <n v="22"/>
    <n v="43"/>
    <n v="1"/>
    <n v="5"/>
    <n v="4"/>
    <n v="4"/>
    <n v="2"/>
    <n v="0"/>
    <n v="0"/>
    <n v="0"/>
    <n v="0"/>
    <n v="0"/>
    <x v="0"/>
    <n v="0"/>
    <n v="3"/>
    <n v="11"/>
    <n v="0"/>
    <n v="60"/>
    <n v="2728"/>
    <n v="7.4739726027397264"/>
    <n v="0"/>
    <n v="1"/>
    <n v="0"/>
    <n v="0"/>
    <n v="0"/>
    <n v="0"/>
    <n v="0"/>
    <n v="0"/>
    <n v="1"/>
    <n v="0"/>
    <n v="807"/>
    <n v="764"/>
    <n v="43"/>
    <n v="0"/>
    <x v="1"/>
    <x v="1"/>
    <x v="0"/>
    <x v="1"/>
    <x v="1"/>
    <x v="1"/>
    <n v="0"/>
    <n v="0"/>
    <n v="16"/>
    <n v="9"/>
    <n v="3"/>
    <n v="6"/>
    <n v="18"/>
    <n v="6"/>
    <x v="1"/>
  </r>
  <r>
    <x v="832"/>
    <n v="50664"/>
    <n v="1"/>
    <n v="1"/>
    <n v="64"/>
    <n v="313"/>
    <n v="8"/>
    <n v="104"/>
    <n v="6"/>
    <n v="4"/>
    <n v="126"/>
    <n v="9"/>
    <n v="8"/>
    <n v="1"/>
    <n v="6"/>
    <n v="9"/>
    <n v="0"/>
    <n v="0"/>
    <n v="0"/>
    <n v="0"/>
    <n v="0"/>
    <x v="0"/>
    <n v="0"/>
    <n v="3"/>
    <n v="11"/>
    <n v="0"/>
    <n v="61"/>
    <n v="2688"/>
    <n v="7.3643835616438356"/>
    <n v="0"/>
    <n v="0"/>
    <n v="1"/>
    <n v="0"/>
    <n v="0"/>
    <n v="0"/>
    <n v="0"/>
    <n v="1"/>
    <n v="0"/>
    <n v="0"/>
    <n v="435"/>
    <n v="309"/>
    <n v="126"/>
    <n v="0"/>
    <x v="0"/>
    <x v="0"/>
    <x v="1"/>
    <x v="0"/>
    <x v="2"/>
    <x v="2"/>
    <n v="1"/>
    <n v="0"/>
    <n v="33"/>
    <n v="4"/>
    <n v="9"/>
    <n v="5"/>
    <n v="18"/>
    <n v="6"/>
    <x v="1"/>
  </r>
  <r>
    <x v="833"/>
    <n v="55956"/>
    <n v="0"/>
    <n v="0"/>
    <n v="22"/>
    <n v="760"/>
    <n v="38"/>
    <n v="104"/>
    <n v="50"/>
    <n v="9"/>
    <n v="38"/>
    <n v="2"/>
    <n v="7"/>
    <n v="3"/>
    <n v="4"/>
    <n v="4"/>
    <n v="0"/>
    <n v="0"/>
    <n v="0"/>
    <n v="1"/>
    <n v="0"/>
    <x v="1"/>
    <n v="0"/>
    <n v="3"/>
    <n v="11"/>
    <n v="0"/>
    <n v="76"/>
    <n v="2242"/>
    <n v="6.1424657534246574"/>
    <n v="0"/>
    <n v="1"/>
    <n v="0"/>
    <n v="0"/>
    <n v="0"/>
    <n v="0"/>
    <n v="0"/>
    <n v="1"/>
    <n v="0"/>
    <n v="0"/>
    <n v="961"/>
    <n v="923"/>
    <n v="38"/>
    <n v="1"/>
    <x v="1"/>
    <x v="1"/>
    <x v="0"/>
    <x v="0"/>
    <x v="2"/>
    <x v="2"/>
    <n v="0"/>
    <n v="0"/>
    <n v="20"/>
    <n v="8"/>
    <n v="4"/>
    <n v="7"/>
    <n v="19"/>
    <n v="7"/>
    <x v="2"/>
  </r>
  <r>
    <x v="834"/>
    <n v="57045"/>
    <n v="0"/>
    <n v="1"/>
    <n v="40"/>
    <n v="296"/>
    <n v="13"/>
    <n v="104"/>
    <n v="11"/>
    <n v="13"/>
    <n v="17"/>
    <n v="3"/>
    <n v="4"/>
    <n v="2"/>
    <n v="9"/>
    <n v="3"/>
    <n v="0"/>
    <n v="0"/>
    <n v="0"/>
    <n v="0"/>
    <n v="0"/>
    <x v="0"/>
    <n v="0"/>
    <n v="3"/>
    <n v="11"/>
    <n v="0"/>
    <n v="70"/>
    <n v="2818"/>
    <n v="7.720547945205479"/>
    <n v="0"/>
    <n v="1"/>
    <n v="0"/>
    <n v="0"/>
    <n v="0"/>
    <n v="0"/>
    <n v="0"/>
    <n v="1"/>
    <n v="0"/>
    <n v="0"/>
    <n v="437"/>
    <n v="420"/>
    <n v="17"/>
    <n v="0"/>
    <x v="0"/>
    <x v="0"/>
    <x v="0"/>
    <x v="0"/>
    <x v="2"/>
    <x v="2"/>
    <n v="1"/>
    <n v="0"/>
    <n v="21"/>
    <n v="6"/>
    <n v="5"/>
    <n v="5"/>
    <n v="16"/>
    <n v="5"/>
    <x v="1"/>
  </r>
  <r>
    <x v="835"/>
    <n v="105471"/>
    <n v="0"/>
    <n v="0"/>
    <n v="36"/>
    <n v="1009"/>
    <n v="181"/>
    <n v="104"/>
    <n v="202"/>
    <n v="21"/>
    <n v="207"/>
    <n v="0"/>
    <n v="9"/>
    <n v="8"/>
    <n v="13"/>
    <n v="3"/>
    <n v="1"/>
    <n v="0"/>
    <n v="0"/>
    <n v="0"/>
    <n v="1"/>
    <x v="1"/>
    <n v="0"/>
    <n v="3"/>
    <n v="11"/>
    <n v="1"/>
    <n v="50"/>
    <n v="2683"/>
    <n v="7.3506849315068497"/>
    <n v="0"/>
    <n v="0"/>
    <n v="0"/>
    <n v="1"/>
    <n v="0"/>
    <n v="0"/>
    <n v="0"/>
    <n v="1"/>
    <n v="0"/>
    <n v="0"/>
    <n v="1517"/>
    <n v="1310"/>
    <n v="207"/>
    <n v="2"/>
    <x v="1"/>
    <x v="1"/>
    <x v="2"/>
    <x v="0"/>
    <x v="1"/>
    <x v="0"/>
    <n v="1"/>
    <n v="0"/>
    <n v="33"/>
    <n v="7"/>
    <n v="9"/>
    <n v="9"/>
    <n v="25"/>
    <n v="9"/>
    <x v="0"/>
  </r>
  <r>
    <x v="836"/>
    <n v="38988"/>
    <n v="1"/>
    <n v="2"/>
    <n v="90"/>
    <n v="164"/>
    <n v="24"/>
    <n v="103"/>
    <n v="12"/>
    <n v="3"/>
    <n v="42"/>
    <n v="7"/>
    <n v="5"/>
    <n v="1"/>
    <n v="6"/>
    <n v="8"/>
    <n v="0"/>
    <n v="0"/>
    <n v="0"/>
    <n v="0"/>
    <n v="0"/>
    <x v="0"/>
    <n v="0"/>
    <n v="3"/>
    <n v="11"/>
    <n v="0"/>
    <n v="48"/>
    <n v="2837"/>
    <n v="7.7726027397260271"/>
    <n v="0"/>
    <n v="1"/>
    <n v="0"/>
    <n v="0"/>
    <n v="0"/>
    <n v="0"/>
    <n v="0"/>
    <n v="1"/>
    <n v="0"/>
    <n v="0"/>
    <n v="306"/>
    <n v="264"/>
    <n v="42"/>
    <n v="0"/>
    <x v="0"/>
    <x v="0"/>
    <x v="0"/>
    <x v="0"/>
    <x v="3"/>
    <x v="0"/>
    <n v="1"/>
    <n v="0"/>
    <n v="27"/>
    <n v="0.99999999999999978"/>
    <n v="7"/>
    <n v="4"/>
    <n v="12"/>
    <n v="3"/>
    <x v="3"/>
  </r>
  <r>
    <x v="837"/>
    <n v="56939"/>
    <n v="0"/>
    <n v="1"/>
    <n v="19"/>
    <n v="256"/>
    <n v="34"/>
    <n v="103"/>
    <n v="90"/>
    <n v="29"/>
    <n v="49"/>
    <n v="2"/>
    <n v="3"/>
    <n v="3"/>
    <n v="10"/>
    <n v="3"/>
    <n v="0"/>
    <n v="0"/>
    <n v="0"/>
    <n v="0"/>
    <n v="0"/>
    <x v="0"/>
    <n v="0"/>
    <n v="3"/>
    <n v="11"/>
    <n v="0"/>
    <n v="44"/>
    <n v="2443"/>
    <n v="6.6931506849315072"/>
    <n v="0"/>
    <n v="1"/>
    <n v="0"/>
    <n v="0"/>
    <n v="0"/>
    <n v="0"/>
    <n v="0"/>
    <n v="1"/>
    <n v="0"/>
    <n v="0"/>
    <n v="512"/>
    <n v="463"/>
    <n v="49"/>
    <n v="0"/>
    <x v="0"/>
    <x v="0"/>
    <x v="0"/>
    <x v="0"/>
    <x v="2"/>
    <x v="0"/>
    <n v="0"/>
    <n v="0"/>
    <n v="21"/>
    <n v="9"/>
    <n v="5"/>
    <n v="5"/>
    <n v="19"/>
    <n v="7"/>
    <x v="2"/>
  </r>
  <r>
    <x v="838"/>
    <n v="82584"/>
    <n v="0"/>
    <n v="0"/>
    <n v="26"/>
    <n v="1076"/>
    <n v="68"/>
    <n v="103"/>
    <n v="29"/>
    <n v="91"/>
    <n v="68"/>
    <n v="1"/>
    <n v="3"/>
    <n v="4"/>
    <n v="8"/>
    <n v="1"/>
    <n v="0"/>
    <n v="0"/>
    <n v="0"/>
    <n v="1"/>
    <n v="1"/>
    <x v="1"/>
    <n v="0"/>
    <n v="3"/>
    <n v="11"/>
    <n v="1"/>
    <n v="46"/>
    <n v="2549"/>
    <n v="6.9835616438356167"/>
    <n v="0"/>
    <n v="1"/>
    <n v="0"/>
    <n v="0"/>
    <n v="0"/>
    <n v="0"/>
    <n v="0"/>
    <n v="0"/>
    <n v="1"/>
    <n v="0"/>
    <n v="1367"/>
    <n v="1299"/>
    <n v="68"/>
    <n v="2"/>
    <x v="1"/>
    <x v="1"/>
    <x v="0"/>
    <x v="1"/>
    <x v="1"/>
    <x v="0"/>
    <n v="0"/>
    <n v="0"/>
    <n v="17"/>
    <n v="8"/>
    <n v="3"/>
    <n v="8"/>
    <n v="19"/>
    <n v="7"/>
    <x v="2"/>
  </r>
  <r>
    <x v="839"/>
    <n v="84460"/>
    <n v="0"/>
    <n v="0"/>
    <n v="80"/>
    <n v="152"/>
    <n v="27"/>
    <n v="103"/>
    <n v="106"/>
    <n v="54"/>
    <n v="81"/>
    <n v="0"/>
    <n v="9"/>
    <n v="9"/>
    <n v="4"/>
    <n v="5"/>
    <n v="1"/>
    <n v="1"/>
    <n v="0"/>
    <n v="1"/>
    <n v="1"/>
    <x v="1"/>
    <n v="0"/>
    <n v="3"/>
    <n v="11"/>
    <n v="1"/>
    <n v="62"/>
    <n v="2700"/>
    <n v="7.397260273972603"/>
    <n v="0"/>
    <n v="0"/>
    <n v="0"/>
    <n v="1"/>
    <n v="0"/>
    <n v="0"/>
    <n v="0"/>
    <n v="0"/>
    <n v="0"/>
    <n v="1"/>
    <n v="442"/>
    <n v="361"/>
    <n v="81"/>
    <n v="4"/>
    <x v="1"/>
    <x v="1"/>
    <x v="2"/>
    <x v="1"/>
    <x v="1"/>
    <x v="2"/>
    <n v="1"/>
    <n v="0"/>
    <n v="27"/>
    <n v="1.9999999999999996"/>
    <n v="7"/>
    <n v="5"/>
    <n v="14"/>
    <n v="4"/>
    <x v="3"/>
  </r>
  <r>
    <x v="840"/>
    <n v="51876"/>
    <n v="0"/>
    <n v="0"/>
    <n v="88"/>
    <n v="99"/>
    <n v="27"/>
    <n v="102"/>
    <n v="28"/>
    <n v="48"/>
    <n v="6"/>
    <n v="1"/>
    <n v="2"/>
    <n v="2"/>
    <n v="8"/>
    <n v="1"/>
    <n v="0"/>
    <n v="0"/>
    <n v="0"/>
    <n v="0"/>
    <n v="0"/>
    <x v="0"/>
    <n v="0"/>
    <n v="3"/>
    <n v="11"/>
    <n v="0"/>
    <n v="62"/>
    <n v="2416"/>
    <n v="6.6191780821917812"/>
    <n v="0"/>
    <n v="1"/>
    <n v="0"/>
    <n v="0"/>
    <n v="0"/>
    <n v="0"/>
    <n v="0"/>
    <n v="1"/>
    <n v="0"/>
    <n v="0"/>
    <n v="304"/>
    <n v="298"/>
    <n v="6"/>
    <n v="0"/>
    <x v="1"/>
    <x v="1"/>
    <x v="0"/>
    <x v="0"/>
    <x v="2"/>
    <x v="2"/>
    <n v="1"/>
    <n v="0"/>
    <n v="14"/>
    <n v="1.9999999999999996"/>
    <n v="2"/>
    <n v="4"/>
    <n v="8"/>
    <n v="1"/>
    <x v="3"/>
  </r>
  <r>
    <x v="841"/>
    <n v="62859"/>
    <n v="0"/>
    <n v="1"/>
    <n v="37"/>
    <n v="1063"/>
    <n v="89"/>
    <n v="102"/>
    <n v="16"/>
    <n v="12"/>
    <n v="25"/>
    <n v="4"/>
    <n v="9"/>
    <n v="4"/>
    <n v="6"/>
    <n v="6"/>
    <n v="0"/>
    <n v="0"/>
    <n v="0"/>
    <n v="0"/>
    <n v="0"/>
    <x v="0"/>
    <n v="0"/>
    <n v="3"/>
    <n v="11"/>
    <n v="0"/>
    <n v="61"/>
    <n v="2705"/>
    <n v="7.4109589041095889"/>
    <n v="1"/>
    <n v="0"/>
    <n v="0"/>
    <n v="0"/>
    <n v="0"/>
    <n v="0"/>
    <n v="0"/>
    <n v="0"/>
    <n v="0"/>
    <n v="1"/>
    <n v="1282"/>
    <n v="1257"/>
    <n v="25"/>
    <n v="0"/>
    <x v="0"/>
    <x v="0"/>
    <x v="3"/>
    <x v="1"/>
    <x v="2"/>
    <x v="2"/>
    <n v="1"/>
    <n v="0"/>
    <n v="29"/>
    <n v="7"/>
    <n v="8"/>
    <n v="8"/>
    <n v="23"/>
    <n v="8"/>
    <x v="2"/>
  </r>
  <r>
    <x v="842"/>
    <n v="65324"/>
    <n v="0"/>
    <n v="1"/>
    <n v="0"/>
    <n v="384"/>
    <n v="0"/>
    <n v="102"/>
    <n v="21"/>
    <n v="32"/>
    <n v="5"/>
    <n v="3"/>
    <n v="6"/>
    <n v="2"/>
    <n v="9"/>
    <n v="4"/>
    <n v="0"/>
    <n v="0"/>
    <n v="0"/>
    <n v="0"/>
    <n v="0"/>
    <x v="0"/>
    <n v="0"/>
    <n v="3"/>
    <n v="11"/>
    <n v="0"/>
    <n v="66"/>
    <n v="2328"/>
    <n v="6.3780821917808215"/>
    <n v="0"/>
    <n v="1"/>
    <n v="0"/>
    <n v="0"/>
    <n v="0"/>
    <n v="0"/>
    <n v="0"/>
    <n v="0"/>
    <n v="0"/>
    <n v="1"/>
    <n v="539"/>
    <n v="534"/>
    <n v="5"/>
    <n v="0"/>
    <x v="0"/>
    <x v="0"/>
    <x v="0"/>
    <x v="1"/>
    <x v="2"/>
    <x v="2"/>
    <n v="0"/>
    <n v="0"/>
    <n v="24"/>
    <n v="10"/>
    <n v="6"/>
    <n v="5"/>
    <n v="21"/>
    <n v="8"/>
    <x v="2"/>
  </r>
  <r>
    <x v="843"/>
    <n v="66653"/>
    <n v="1"/>
    <n v="1"/>
    <n v="18"/>
    <n v="452"/>
    <n v="18"/>
    <n v="102"/>
    <n v="16"/>
    <n v="18"/>
    <n v="6"/>
    <n v="4"/>
    <n v="4"/>
    <n v="2"/>
    <n v="12"/>
    <n v="3"/>
    <n v="0"/>
    <n v="0"/>
    <n v="0"/>
    <n v="0"/>
    <n v="0"/>
    <x v="0"/>
    <n v="0"/>
    <n v="3"/>
    <n v="11"/>
    <n v="0"/>
    <n v="45"/>
    <n v="2819"/>
    <n v="7.7232876712328764"/>
    <n v="0"/>
    <n v="0"/>
    <n v="0"/>
    <n v="1"/>
    <n v="0"/>
    <n v="0"/>
    <n v="0"/>
    <n v="1"/>
    <n v="0"/>
    <n v="0"/>
    <n v="606"/>
    <n v="600"/>
    <n v="6"/>
    <n v="0"/>
    <x v="0"/>
    <x v="0"/>
    <x v="2"/>
    <x v="0"/>
    <x v="2"/>
    <x v="0"/>
    <n v="0"/>
    <n v="0"/>
    <n v="25"/>
    <n v="9"/>
    <n v="7"/>
    <n v="6"/>
    <n v="22"/>
    <n v="8"/>
    <x v="2"/>
  </r>
  <r>
    <x v="844"/>
    <n v="101970"/>
    <n v="0"/>
    <n v="0"/>
    <n v="69"/>
    <n v="722"/>
    <n v="27"/>
    <n v="102"/>
    <n v="44"/>
    <n v="72"/>
    <n v="168"/>
    <n v="0"/>
    <n v="6"/>
    <n v="8"/>
    <n v="13"/>
    <n v="2"/>
    <n v="1"/>
    <n v="0"/>
    <n v="0"/>
    <n v="1"/>
    <n v="1"/>
    <x v="1"/>
    <n v="0"/>
    <n v="3"/>
    <n v="11"/>
    <n v="1"/>
    <n v="37"/>
    <n v="2633"/>
    <n v="7.2136986301369861"/>
    <n v="0"/>
    <n v="0"/>
    <n v="1"/>
    <n v="0"/>
    <n v="0"/>
    <n v="0"/>
    <n v="0"/>
    <n v="1"/>
    <n v="0"/>
    <n v="0"/>
    <n v="967"/>
    <n v="799"/>
    <n v="168"/>
    <n v="3"/>
    <x v="1"/>
    <x v="1"/>
    <x v="1"/>
    <x v="0"/>
    <x v="1"/>
    <x v="3"/>
    <n v="1"/>
    <n v="0"/>
    <n v="29"/>
    <n v="4"/>
    <n v="8"/>
    <n v="7"/>
    <n v="19"/>
    <n v="7"/>
    <x v="2"/>
  </r>
  <r>
    <x v="845"/>
    <n v="23331"/>
    <n v="1"/>
    <n v="0"/>
    <n v="97"/>
    <n v="104"/>
    <n v="20"/>
    <n v="101"/>
    <n v="24"/>
    <n v="15"/>
    <n v="5"/>
    <n v="6"/>
    <n v="5"/>
    <n v="1"/>
    <n v="5"/>
    <n v="9"/>
    <n v="0"/>
    <n v="0"/>
    <n v="0"/>
    <n v="0"/>
    <n v="0"/>
    <x v="0"/>
    <n v="0"/>
    <n v="3"/>
    <n v="11"/>
    <n v="0"/>
    <n v="32"/>
    <n v="2791"/>
    <n v="7.646575342465753"/>
    <n v="0"/>
    <n v="0"/>
    <n v="1"/>
    <n v="0"/>
    <n v="0"/>
    <n v="1"/>
    <n v="0"/>
    <n v="0"/>
    <n v="0"/>
    <n v="0"/>
    <n v="264"/>
    <n v="259"/>
    <n v="5"/>
    <n v="0"/>
    <x v="0"/>
    <x v="0"/>
    <x v="1"/>
    <x v="1"/>
    <x v="0"/>
    <x v="3"/>
    <n v="1"/>
    <n v="1"/>
    <n v="26"/>
    <n v="0.99999999999999978"/>
    <n v="7"/>
    <n v="4"/>
    <n v="12"/>
    <n v="3"/>
    <x v="3"/>
  </r>
  <r>
    <x v="846"/>
    <n v="43974"/>
    <n v="1"/>
    <n v="0"/>
    <n v="19"/>
    <n v="378"/>
    <n v="0"/>
    <n v="101"/>
    <n v="0"/>
    <n v="0"/>
    <n v="72"/>
    <n v="5"/>
    <n v="6"/>
    <n v="4"/>
    <n v="6"/>
    <n v="7"/>
    <n v="0"/>
    <n v="0"/>
    <n v="0"/>
    <n v="0"/>
    <n v="0"/>
    <x v="0"/>
    <n v="0"/>
    <n v="3"/>
    <n v="11"/>
    <n v="0"/>
    <n v="40"/>
    <n v="2723"/>
    <n v="7.4602739726027396"/>
    <n v="0"/>
    <n v="1"/>
    <n v="0"/>
    <n v="0"/>
    <n v="0"/>
    <n v="0"/>
    <n v="0"/>
    <n v="0"/>
    <n v="0"/>
    <n v="1"/>
    <n v="479"/>
    <n v="407"/>
    <n v="72"/>
    <n v="0"/>
    <x v="0"/>
    <x v="0"/>
    <x v="0"/>
    <x v="1"/>
    <x v="3"/>
    <x v="3"/>
    <n v="0"/>
    <n v="0"/>
    <n v="28"/>
    <n v="9"/>
    <n v="8"/>
    <n v="5"/>
    <n v="22"/>
    <n v="8"/>
    <x v="2"/>
  </r>
  <r>
    <x v="847"/>
    <n v="51373"/>
    <n v="0"/>
    <n v="0"/>
    <n v="37"/>
    <n v="83"/>
    <n v="2"/>
    <n v="101"/>
    <n v="64"/>
    <n v="26"/>
    <n v="117"/>
    <n v="1"/>
    <n v="3"/>
    <n v="5"/>
    <n v="3"/>
    <n v="4"/>
    <n v="0"/>
    <n v="0"/>
    <n v="0"/>
    <n v="0"/>
    <n v="0"/>
    <x v="0"/>
    <n v="0"/>
    <n v="3"/>
    <n v="11"/>
    <n v="0"/>
    <n v="29"/>
    <n v="2531"/>
    <n v="6.934246575342466"/>
    <n v="0"/>
    <n v="1"/>
    <n v="0"/>
    <n v="0"/>
    <n v="0"/>
    <n v="0"/>
    <n v="0"/>
    <n v="1"/>
    <n v="0"/>
    <n v="0"/>
    <n v="276"/>
    <n v="159"/>
    <n v="117"/>
    <n v="0"/>
    <x v="1"/>
    <x v="1"/>
    <x v="0"/>
    <x v="0"/>
    <x v="2"/>
    <x v="4"/>
    <n v="1"/>
    <n v="0"/>
    <n v="16"/>
    <n v="7"/>
    <n v="3"/>
    <n v="4"/>
    <n v="14"/>
    <n v="4"/>
    <x v="3"/>
  </r>
  <r>
    <x v="848"/>
    <n v="53374"/>
    <n v="0"/>
    <n v="1"/>
    <n v="34"/>
    <n v="896"/>
    <n v="10"/>
    <n v="101"/>
    <n v="13"/>
    <n v="10"/>
    <n v="34"/>
    <n v="6"/>
    <n v="4"/>
    <n v="2"/>
    <n v="9"/>
    <n v="9"/>
    <n v="0"/>
    <n v="0"/>
    <n v="1"/>
    <n v="0"/>
    <n v="0"/>
    <x v="1"/>
    <n v="0"/>
    <n v="3"/>
    <n v="11"/>
    <n v="1"/>
    <n v="51"/>
    <n v="2841"/>
    <n v="7.7835616438356166"/>
    <n v="0"/>
    <n v="0"/>
    <n v="0"/>
    <n v="1"/>
    <n v="0"/>
    <n v="0"/>
    <n v="0"/>
    <n v="0"/>
    <n v="0"/>
    <n v="1"/>
    <n v="1030"/>
    <n v="996"/>
    <n v="34"/>
    <n v="1"/>
    <x v="0"/>
    <x v="0"/>
    <x v="2"/>
    <x v="1"/>
    <x v="2"/>
    <x v="1"/>
    <n v="1"/>
    <n v="0"/>
    <n v="30"/>
    <n v="7"/>
    <n v="8"/>
    <n v="7"/>
    <n v="22"/>
    <n v="8"/>
    <x v="2"/>
  </r>
  <r>
    <x v="849"/>
    <n v="58512"/>
    <n v="0"/>
    <n v="1"/>
    <n v="25"/>
    <n v="895"/>
    <n v="10"/>
    <n v="101"/>
    <n v="13"/>
    <n v="0"/>
    <n v="152"/>
    <n v="5"/>
    <n v="3"/>
    <n v="4"/>
    <n v="8"/>
    <n v="8"/>
    <n v="0"/>
    <n v="0"/>
    <n v="0"/>
    <n v="0"/>
    <n v="0"/>
    <x v="0"/>
    <n v="0"/>
    <n v="3"/>
    <n v="11"/>
    <n v="0"/>
    <n v="56"/>
    <n v="2442"/>
    <n v="6.6904109589041099"/>
    <n v="0"/>
    <n v="1"/>
    <n v="0"/>
    <n v="0"/>
    <n v="0"/>
    <n v="0"/>
    <n v="0"/>
    <n v="1"/>
    <n v="0"/>
    <n v="0"/>
    <n v="1019"/>
    <n v="867"/>
    <n v="152"/>
    <n v="0"/>
    <x v="0"/>
    <x v="0"/>
    <x v="0"/>
    <x v="0"/>
    <x v="2"/>
    <x v="1"/>
    <n v="0"/>
    <n v="0"/>
    <n v="28"/>
    <n v="8"/>
    <n v="8"/>
    <n v="7"/>
    <n v="23"/>
    <n v="8"/>
    <x v="2"/>
  </r>
  <r>
    <x v="850"/>
    <n v="62000"/>
    <n v="0"/>
    <n v="1"/>
    <n v="25"/>
    <n v="899"/>
    <n v="0"/>
    <n v="101"/>
    <n v="0"/>
    <n v="0"/>
    <n v="20"/>
    <n v="1"/>
    <n v="6"/>
    <n v="6"/>
    <n v="13"/>
    <n v="4"/>
    <n v="1"/>
    <n v="0"/>
    <n v="0"/>
    <n v="0"/>
    <n v="0"/>
    <x v="1"/>
    <n v="0"/>
    <n v="3"/>
    <n v="11"/>
    <n v="0"/>
    <n v="68"/>
    <n v="2467"/>
    <n v="6.7589041095890412"/>
    <n v="0"/>
    <n v="0"/>
    <n v="1"/>
    <n v="0"/>
    <n v="0"/>
    <n v="0"/>
    <n v="0"/>
    <n v="0"/>
    <n v="0"/>
    <n v="1"/>
    <n v="1000"/>
    <n v="980"/>
    <n v="20"/>
    <n v="1"/>
    <x v="0"/>
    <x v="0"/>
    <x v="1"/>
    <x v="1"/>
    <x v="2"/>
    <x v="2"/>
    <n v="0"/>
    <n v="0"/>
    <n v="30"/>
    <n v="8"/>
    <n v="8"/>
    <n v="7"/>
    <n v="23"/>
    <n v="8"/>
    <x v="2"/>
  </r>
  <r>
    <x v="851"/>
    <n v="48752"/>
    <n v="1"/>
    <n v="1"/>
    <n v="8"/>
    <n v="73"/>
    <n v="57"/>
    <n v="100"/>
    <n v="71"/>
    <n v="15"/>
    <n v="0"/>
    <n v="5"/>
    <n v="6"/>
    <n v="1"/>
    <n v="5"/>
    <n v="9"/>
    <n v="0"/>
    <n v="0"/>
    <n v="0"/>
    <n v="0"/>
    <n v="0"/>
    <x v="0"/>
    <n v="0"/>
    <n v="3"/>
    <n v="11"/>
    <n v="1"/>
    <n v="51"/>
    <n v="2723"/>
    <n v="7.4602739726027396"/>
    <n v="0"/>
    <n v="1"/>
    <n v="0"/>
    <n v="0"/>
    <n v="0"/>
    <n v="0"/>
    <n v="0"/>
    <n v="1"/>
    <n v="0"/>
    <n v="0"/>
    <n v="316"/>
    <n v="316"/>
    <n v="0"/>
    <n v="0"/>
    <x v="0"/>
    <x v="0"/>
    <x v="0"/>
    <x v="0"/>
    <x v="3"/>
    <x v="1"/>
    <n v="0"/>
    <n v="0"/>
    <n v="26"/>
    <n v="10"/>
    <n v="7"/>
    <n v="4"/>
    <n v="21"/>
    <n v="8"/>
    <x v="2"/>
  </r>
  <r>
    <x v="852"/>
    <n v="49431"/>
    <n v="0"/>
    <n v="1"/>
    <n v="9"/>
    <n v="219"/>
    <n v="3"/>
    <n v="100"/>
    <n v="26"/>
    <n v="0"/>
    <n v="17"/>
    <n v="2"/>
    <n v="7"/>
    <n v="1"/>
    <n v="5"/>
    <n v="8"/>
    <n v="0"/>
    <n v="0"/>
    <n v="0"/>
    <n v="0"/>
    <n v="0"/>
    <x v="0"/>
    <n v="0"/>
    <n v="3"/>
    <n v="11"/>
    <n v="0"/>
    <n v="65"/>
    <n v="2854"/>
    <n v="7.8191780821917805"/>
    <n v="1"/>
    <n v="0"/>
    <n v="0"/>
    <n v="0"/>
    <n v="0"/>
    <n v="0"/>
    <n v="0"/>
    <n v="1"/>
    <n v="0"/>
    <n v="0"/>
    <n v="348"/>
    <n v="331"/>
    <n v="17"/>
    <n v="0"/>
    <x v="0"/>
    <x v="0"/>
    <x v="3"/>
    <x v="0"/>
    <x v="3"/>
    <x v="2"/>
    <n v="0"/>
    <n v="0"/>
    <n v="23"/>
    <n v="10"/>
    <n v="6"/>
    <n v="5"/>
    <n v="21"/>
    <n v="8"/>
    <x v="2"/>
  </r>
  <r>
    <x v="853"/>
    <n v="49505"/>
    <n v="1"/>
    <n v="1"/>
    <n v="4"/>
    <n v="604"/>
    <n v="0"/>
    <n v="100"/>
    <n v="19"/>
    <n v="0"/>
    <n v="28"/>
    <n v="9"/>
    <n v="10"/>
    <n v="2"/>
    <n v="8"/>
    <n v="8"/>
    <n v="0"/>
    <n v="0"/>
    <n v="0"/>
    <n v="0"/>
    <n v="0"/>
    <x v="0"/>
    <n v="0"/>
    <n v="3"/>
    <n v="11"/>
    <n v="0"/>
    <n v="49"/>
    <n v="2640"/>
    <n v="7.2328767123287667"/>
    <n v="0"/>
    <n v="1"/>
    <n v="0"/>
    <n v="0"/>
    <n v="0"/>
    <n v="0"/>
    <n v="0"/>
    <n v="0"/>
    <n v="1"/>
    <n v="0"/>
    <n v="723"/>
    <n v="695"/>
    <n v="28"/>
    <n v="0"/>
    <x v="0"/>
    <x v="0"/>
    <x v="0"/>
    <x v="1"/>
    <x v="3"/>
    <x v="0"/>
    <n v="0"/>
    <n v="0"/>
    <n v="37"/>
    <n v="10"/>
    <n v="9"/>
    <n v="6"/>
    <n v="25"/>
    <n v="9"/>
    <x v="0"/>
  </r>
  <r>
    <x v="854"/>
    <n v="61825"/>
    <n v="0"/>
    <n v="1"/>
    <n v="56"/>
    <n v="162"/>
    <n v="50"/>
    <n v="100"/>
    <n v="55"/>
    <n v="30"/>
    <n v="27"/>
    <n v="1"/>
    <n v="4"/>
    <n v="2"/>
    <n v="8"/>
    <n v="4"/>
    <n v="0"/>
    <n v="0"/>
    <n v="0"/>
    <n v="0"/>
    <n v="0"/>
    <x v="0"/>
    <n v="0"/>
    <n v="3"/>
    <n v="11"/>
    <n v="0"/>
    <n v="41"/>
    <n v="2485"/>
    <n v="6.8082191780821919"/>
    <n v="0"/>
    <n v="0"/>
    <n v="1"/>
    <n v="0"/>
    <n v="0"/>
    <n v="0"/>
    <n v="0"/>
    <n v="1"/>
    <n v="0"/>
    <n v="0"/>
    <n v="397"/>
    <n v="370"/>
    <n v="27"/>
    <n v="0"/>
    <x v="0"/>
    <x v="0"/>
    <x v="1"/>
    <x v="0"/>
    <x v="2"/>
    <x v="0"/>
    <n v="1"/>
    <n v="0"/>
    <n v="19"/>
    <n v="5"/>
    <n v="4"/>
    <n v="5"/>
    <n v="14"/>
    <n v="4"/>
    <x v="3"/>
  </r>
  <r>
    <x v="855"/>
    <n v="63841"/>
    <n v="0"/>
    <n v="1"/>
    <n v="64"/>
    <n v="635"/>
    <n v="15"/>
    <n v="100"/>
    <n v="20"/>
    <n v="7"/>
    <n v="131"/>
    <n v="1"/>
    <n v="9"/>
    <n v="3"/>
    <n v="9"/>
    <n v="6"/>
    <n v="0"/>
    <n v="0"/>
    <n v="0"/>
    <n v="0"/>
    <n v="0"/>
    <x v="0"/>
    <n v="0"/>
    <n v="3"/>
    <n v="11"/>
    <n v="0"/>
    <n v="52"/>
    <n v="2593"/>
    <n v="7.1041095890410961"/>
    <n v="1"/>
    <n v="0"/>
    <n v="0"/>
    <n v="0"/>
    <n v="0"/>
    <n v="0"/>
    <n v="0"/>
    <n v="0"/>
    <n v="1"/>
    <n v="0"/>
    <n v="777"/>
    <n v="646"/>
    <n v="131"/>
    <n v="0"/>
    <x v="0"/>
    <x v="0"/>
    <x v="3"/>
    <x v="1"/>
    <x v="2"/>
    <x v="1"/>
    <n v="1"/>
    <n v="0"/>
    <n v="28"/>
    <n v="4"/>
    <n v="8"/>
    <n v="6"/>
    <n v="18"/>
    <n v="6"/>
    <x v="1"/>
  </r>
  <r>
    <x v="856"/>
    <n v="70932"/>
    <n v="0"/>
    <n v="1"/>
    <n v="57"/>
    <n v="200"/>
    <n v="193"/>
    <n v="100"/>
    <n v="46"/>
    <n v="185"/>
    <n v="185"/>
    <n v="2"/>
    <n v="6"/>
    <n v="2"/>
    <n v="12"/>
    <n v="3"/>
    <n v="0"/>
    <n v="0"/>
    <n v="0"/>
    <n v="0"/>
    <n v="0"/>
    <x v="0"/>
    <n v="0"/>
    <n v="3"/>
    <n v="11"/>
    <n v="0"/>
    <n v="48"/>
    <n v="2320"/>
    <n v="6.3561643835616435"/>
    <n v="0"/>
    <n v="1"/>
    <n v="0"/>
    <n v="0"/>
    <n v="0"/>
    <n v="1"/>
    <n v="0"/>
    <n v="0"/>
    <n v="0"/>
    <n v="0"/>
    <n v="724"/>
    <n v="539"/>
    <n v="185"/>
    <n v="0"/>
    <x v="0"/>
    <x v="0"/>
    <x v="0"/>
    <x v="1"/>
    <x v="2"/>
    <x v="0"/>
    <n v="1"/>
    <n v="0"/>
    <n v="25"/>
    <n v="5"/>
    <n v="7"/>
    <n v="6"/>
    <n v="18"/>
    <n v="6"/>
    <x v="1"/>
  </r>
  <r>
    <x v="857"/>
    <n v="83151"/>
    <n v="0"/>
    <n v="0"/>
    <n v="93"/>
    <n v="407"/>
    <n v="28"/>
    <n v="100"/>
    <n v="120"/>
    <n v="74"/>
    <n v="18"/>
    <n v="1"/>
    <n v="5"/>
    <n v="9"/>
    <n v="4"/>
    <n v="3"/>
    <n v="0"/>
    <n v="0"/>
    <n v="0"/>
    <n v="0"/>
    <n v="0"/>
    <x v="0"/>
    <n v="0"/>
    <n v="3"/>
    <n v="11"/>
    <n v="0"/>
    <n v="60"/>
    <n v="2786"/>
    <n v="7.6328767123287671"/>
    <n v="0"/>
    <n v="0"/>
    <n v="0"/>
    <n v="1"/>
    <n v="0"/>
    <n v="0"/>
    <n v="0"/>
    <n v="0"/>
    <n v="1"/>
    <n v="0"/>
    <n v="729"/>
    <n v="711"/>
    <n v="18"/>
    <n v="0"/>
    <x v="1"/>
    <x v="1"/>
    <x v="2"/>
    <x v="1"/>
    <x v="1"/>
    <x v="1"/>
    <n v="1"/>
    <n v="1"/>
    <n v="22"/>
    <n v="0.99999999999999978"/>
    <n v="5"/>
    <n v="6"/>
    <n v="12"/>
    <n v="3"/>
    <x v="3"/>
  </r>
  <r>
    <x v="858"/>
    <n v="43020"/>
    <n v="1"/>
    <n v="0"/>
    <n v="79"/>
    <n v="45"/>
    <n v="7"/>
    <n v="99"/>
    <n v="4"/>
    <n v="25"/>
    <n v="43"/>
    <n v="3"/>
    <n v="4"/>
    <n v="1"/>
    <n v="4"/>
    <n v="6"/>
    <n v="0"/>
    <n v="0"/>
    <n v="0"/>
    <n v="0"/>
    <n v="0"/>
    <x v="0"/>
    <n v="0"/>
    <n v="3"/>
    <n v="11"/>
    <n v="0"/>
    <n v="50"/>
    <n v="2370"/>
    <n v="6.493150684931507"/>
    <n v="0"/>
    <n v="0"/>
    <n v="1"/>
    <n v="0"/>
    <n v="0"/>
    <n v="0"/>
    <n v="0"/>
    <n v="1"/>
    <n v="0"/>
    <n v="0"/>
    <n v="180"/>
    <n v="137"/>
    <n v="43"/>
    <n v="0"/>
    <x v="0"/>
    <x v="0"/>
    <x v="1"/>
    <x v="0"/>
    <x v="3"/>
    <x v="0"/>
    <n v="1"/>
    <n v="0"/>
    <n v="18"/>
    <n v="3.0000000000000004"/>
    <n v="4"/>
    <n v="3"/>
    <n v="10"/>
    <n v="2"/>
    <x v="3"/>
  </r>
  <r>
    <x v="859"/>
    <n v="45072"/>
    <n v="1"/>
    <n v="2"/>
    <n v="74"/>
    <n v="144"/>
    <n v="2"/>
    <n v="99"/>
    <n v="7"/>
    <n v="2"/>
    <n v="30"/>
    <n v="5"/>
    <n v="6"/>
    <n v="1"/>
    <n v="4"/>
    <n v="8"/>
    <n v="0"/>
    <n v="0"/>
    <n v="0"/>
    <n v="0"/>
    <n v="0"/>
    <x v="0"/>
    <n v="0"/>
    <n v="3"/>
    <n v="11"/>
    <n v="0"/>
    <n v="72"/>
    <n v="2415"/>
    <n v="6.6164383561643838"/>
    <n v="1"/>
    <n v="0"/>
    <n v="0"/>
    <n v="0"/>
    <n v="0"/>
    <n v="0"/>
    <n v="0"/>
    <n v="0"/>
    <n v="0"/>
    <n v="1"/>
    <n v="254"/>
    <n v="224"/>
    <n v="30"/>
    <n v="0"/>
    <x v="0"/>
    <x v="0"/>
    <x v="3"/>
    <x v="1"/>
    <x v="3"/>
    <x v="2"/>
    <n v="1"/>
    <n v="0"/>
    <n v="24"/>
    <n v="3.0000000000000004"/>
    <n v="6"/>
    <n v="4"/>
    <n v="13"/>
    <n v="3"/>
    <x v="3"/>
  </r>
  <r>
    <x v="860"/>
    <n v="52852"/>
    <n v="0"/>
    <n v="1"/>
    <n v="93"/>
    <n v="714"/>
    <n v="8"/>
    <n v="99"/>
    <n v="11"/>
    <n v="0"/>
    <n v="47"/>
    <n v="4"/>
    <n v="10"/>
    <n v="7"/>
    <n v="5"/>
    <n v="8"/>
    <n v="0"/>
    <n v="0"/>
    <n v="1"/>
    <n v="0"/>
    <n v="0"/>
    <x v="1"/>
    <n v="0"/>
    <n v="3"/>
    <n v="11"/>
    <n v="0"/>
    <n v="63"/>
    <n v="2734"/>
    <n v="7.4904109589041097"/>
    <n v="0"/>
    <n v="1"/>
    <n v="0"/>
    <n v="0"/>
    <n v="0"/>
    <n v="0"/>
    <n v="0"/>
    <n v="1"/>
    <n v="0"/>
    <n v="0"/>
    <n v="832"/>
    <n v="785"/>
    <n v="47"/>
    <n v="1"/>
    <x v="0"/>
    <x v="0"/>
    <x v="0"/>
    <x v="0"/>
    <x v="2"/>
    <x v="2"/>
    <n v="1"/>
    <n v="1"/>
    <n v="34"/>
    <n v="0.99999999999999978"/>
    <n v="9"/>
    <n v="6"/>
    <n v="16"/>
    <n v="5"/>
    <x v="1"/>
  </r>
  <r>
    <x v="861"/>
    <n v="57100"/>
    <n v="1"/>
    <n v="0"/>
    <n v="9"/>
    <n v="158"/>
    <n v="11"/>
    <n v="99"/>
    <n v="15"/>
    <n v="11"/>
    <n v="17"/>
    <n v="2"/>
    <n v="3"/>
    <n v="2"/>
    <n v="7"/>
    <n v="3"/>
    <n v="0"/>
    <n v="0"/>
    <n v="0"/>
    <n v="0"/>
    <n v="0"/>
    <x v="0"/>
    <n v="0"/>
    <n v="3"/>
    <n v="11"/>
    <n v="0"/>
    <n v="33"/>
    <n v="2201"/>
    <n v="6.0301369863013701"/>
    <n v="0"/>
    <n v="0"/>
    <n v="1"/>
    <n v="0"/>
    <n v="0"/>
    <n v="0"/>
    <n v="0"/>
    <n v="1"/>
    <n v="0"/>
    <n v="0"/>
    <n v="294"/>
    <n v="277"/>
    <n v="17"/>
    <n v="0"/>
    <x v="0"/>
    <x v="0"/>
    <x v="1"/>
    <x v="0"/>
    <x v="2"/>
    <x v="3"/>
    <n v="0"/>
    <n v="0"/>
    <n v="17"/>
    <n v="10"/>
    <n v="3"/>
    <n v="4"/>
    <n v="17"/>
    <n v="6"/>
    <x v="1"/>
  </r>
  <r>
    <x v="862"/>
    <n v="66313"/>
    <n v="0"/>
    <n v="1"/>
    <n v="86"/>
    <n v="625"/>
    <n v="7"/>
    <n v="99"/>
    <n v="10"/>
    <n v="22"/>
    <n v="7"/>
    <n v="2"/>
    <n v="6"/>
    <n v="3"/>
    <n v="12"/>
    <n v="4"/>
    <n v="0"/>
    <n v="0"/>
    <n v="0"/>
    <n v="0"/>
    <n v="0"/>
    <x v="0"/>
    <n v="0"/>
    <n v="3"/>
    <n v="11"/>
    <n v="0"/>
    <n v="57"/>
    <n v="2445"/>
    <n v="6.6986301369863011"/>
    <n v="0"/>
    <n v="0"/>
    <n v="0"/>
    <n v="1"/>
    <n v="0"/>
    <n v="0"/>
    <n v="0"/>
    <n v="0"/>
    <n v="0"/>
    <n v="1"/>
    <n v="763"/>
    <n v="756"/>
    <n v="7"/>
    <n v="0"/>
    <x v="0"/>
    <x v="0"/>
    <x v="2"/>
    <x v="1"/>
    <x v="2"/>
    <x v="1"/>
    <n v="1"/>
    <n v="0"/>
    <n v="27"/>
    <n v="1.9999999999999996"/>
    <n v="7"/>
    <n v="6"/>
    <n v="15"/>
    <n v="4"/>
    <x v="3"/>
  </r>
  <r>
    <x v="863"/>
    <n v="53230"/>
    <n v="0"/>
    <n v="1"/>
    <n v="86"/>
    <n v="176"/>
    <n v="72"/>
    <n v="98"/>
    <n v="136"/>
    <n v="21"/>
    <n v="229"/>
    <n v="4"/>
    <n v="5"/>
    <n v="2"/>
    <n v="12"/>
    <n v="5"/>
    <n v="0"/>
    <n v="0"/>
    <n v="0"/>
    <n v="0"/>
    <n v="0"/>
    <x v="0"/>
    <n v="0"/>
    <n v="3"/>
    <n v="11"/>
    <n v="0"/>
    <n v="64"/>
    <n v="2854"/>
    <n v="7.8191780821917805"/>
    <n v="0"/>
    <n v="1"/>
    <n v="0"/>
    <n v="0"/>
    <n v="0"/>
    <n v="1"/>
    <n v="0"/>
    <n v="0"/>
    <n v="0"/>
    <n v="0"/>
    <n v="503"/>
    <n v="274"/>
    <n v="229"/>
    <n v="0"/>
    <x v="0"/>
    <x v="0"/>
    <x v="0"/>
    <x v="1"/>
    <x v="2"/>
    <x v="2"/>
    <n v="1"/>
    <n v="0"/>
    <n v="28"/>
    <n v="1.9999999999999996"/>
    <n v="8"/>
    <n v="5"/>
    <n v="15"/>
    <n v="4"/>
    <x v="3"/>
  </r>
  <r>
    <x v="864"/>
    <n v="62513"/>
    <n v="0"/>
    <n v="1"/>
    <n v="16"/>
    <n v="520"/>
    <n v="42"/>
    <n v="98"/>
    <n v="0"/>
    <n v="42"/>
    <n v="14"/>
    <n v="2"/>
    <n v="6"/>
    <n v="4"/>
    <n v="10"/>
    <n v="6"/>
    <n v="0"/>
    <n v="0"/>
    <n v="0"/>
    <n v="0"/>
    <n v="0"/>
    <x v="0"/>
    <n v="0"/>
    <n v="3"/>
    <n v="11"/>
    <n v="0"/>
    <n v="53"/>
    <n v="2452"/>
    <n v="6.7178082191780826"/>
    <n v="0"/>
    <n v="0"/>
    <n v="0"/>
    <n v="1"/>
    <n v="0"/>
    <n v="0"/>
    <n v="0"/>
    <n v="0"/>
    <n v="1"/>
    <n v="0"/>
    <n v="702"/>
    <n v="688"/>
    <n v="14"/>
    <n v="0"/>
    <x v="0"/>
    <x v="0"/>
    <x v="2"/>
    <x v="1"/>
    <x v="2"/>
    <x v="1"/>
    <n v="0"/>
    <n v="0"/>
    <n v="28"/>
    <n v="9"/>
    <n v="8"/>
    <n v="6"/>
    <n v="23"/>
    <n v="8"/>
    <x v="2"/>
  </r>
  <r>
    <x v="865"/>
    <n v="62551"/>
    <n v="0"/>
    <n v="0"/>
    <n v="27"/>
    <n v="125"/>
    <n v="16"/>
    <n v="98"/>
    <n v="134"/>
    <n v="21"/>
    <n v="27"/>
    <n v="1"/>
    <n v="6"/>
    <n v="7"/>
    <n v="4"/>
    <n v="3"/>
    <n v="0"/>
    <n v="0"/>
    <n v="1"/>
    <n v="0"/>
    <n v="0"/>
    <x v="1"/>
    <n v="0"/>
    <n v="3"/>
    <n v="11"/>
    <n v="0"/>
    <n v="67"/>
    <n v="2382"/>
    <n v="6.5260273972602736"/>
    <n v="1"/>
    <n v="0"/>
    <n v="0"/>
    <n v="0"/>
    <n v="0"/>
    <n v="0"/>
    <n v="0"/>
    <n v="1"/>
    <n v="0"/>
    <n v="0"/>
    <n v="394"/>
    <n v="367"/>
    <n v="27"/>
    <n v="1"/>
    <x v="1"/>
    <x v="1"/>
    <x v="3"/>
    <x v="0"/>
    <x v="2"/>
    <x v="2"/>
    <n v="0"/>
    <n v="0"/>
    <n v="21"/>
    <n v="8"/>
    <n v="5"/>
    <n v="5"/>
    <n v="18"/>
    <n v="6"/>
    <x v="1"/>
  </r>
  <r>
    <x v="866"/>
    <n v="70053"/>
    <n v="0"/>
    <n v="1"/>
    <n v="38"/>
    <n v="512"/>
    <n v="53"/>
    <n v="98"/>
    <n v="81"/>
    <n v="179"/>
    <n v="89"/>
    <n v="3"/>
    <n v="8"/>
    <n v="5"/>
    <n v="10"/>
    <n v="5"/>
    <n v="0"/>
    <n v="0"/>
    <n v="0"/>
    <n v="0"/>
    <n v="0"/>
    <x v="0"/>
    <n v="0"/>
    <n v="3"/>
    <n v="11"/>
    <n v="0"/>
    <n v="55"/>
    <n v="2520"/>
    <n v="6.904109589041096"/>
    <n v="0"/>
    <n v="1"/>
    <n v="0"/>
    <n v="0"/>
    <n v="0"/>
    <n v="0"/>
    <n v="0"/>
    <n v="0"/>
    <n v="1"/>
    <n v="0"/>
    <n v="923"/>
    <n v="834"/>
    <n v="89"/>
    <n v="0"/>
    <x v="0"/>
    <x v="0"/>
    <x v="0"/>
    <x v="1"/>
    <x v="2"/>
    <x v="1"/>
    <n v="1"/>
    <n v="0"/>
    <n v="31"/>
    <n v="7"/>
    <n v="9"/>
    <n v="7"/>
    <n v="23"/>
    <n v="8"/>
    <x v="2"/>
  </r>
  <r>
    <x v="867"/>
    <n v="43462"/>
    <n v="1"/>
    <n v="1"/>
    <n v="50"/>
    <n v="90"/>
    <n v="17"/>
    <n v="97"/>
    <n v="15"/>
    <n v="6"/>
    <n v="15"/>
    <n v="6"/>
    <n v="4"/>
    <n v="1"/>
    <n v="5"/>
    <n v="8"/>
    <n v="0"/>
    <n v="0"/>
    <n v="0"/>
    <n v="0"/>
    <n v="0"/>
    <x v="0"/>
    <n v="0"/>
    <n v="3"/>
    <n v="11"/>
    <n v="0"/>
    <n v="68"/>
    <n v="2814"/>
    <n v="7.7095890410958905"/>
    <n v="0"/>
    <n v="0"/>
    <n v="0"/>
    <n v="1"/>
    <n v="0"/>
    <n v="0"/>
    <n v="0"/>
    <n v="1"/>
    <n v="0"/>
    <n v="0"/>
    <n v="225"/>
    <n v="210"/>
    <n v="15"/>
    <n v="0"/>
    <x v="0"/>
    <x v="0"/>
    <x v="2"/>
    <x v="0"/>
    <x v="3"/>
    <x v="2"/>
    <n v="1"/>
    <n v="0"/>
    <n v="24"/>
    <n v="5"/>
    <n v="6"/>
    <n v="4"/>
    <n v="15"/>
    <n v="4"/>
    <x v="3"/>
  </r>
  <r>
    <x v="868"/>
    <n v="46692"/>
    <n v="0"/>
    <n v="1"/>
    <n v="37"/>
    <n v="170"/>
    <n v="6"/>
    <n v="97"/>
    <n v="24"/>
    <n v="12"/>
    <n v="88"/>
    <n v="3"/>
    <n v="6"/>
    <n v="1"/>
    <n v="5"/>
    <n v="6"/>
    <n v="0"/>
    <n v="0"/>
    <n v="0"/>
    <n v="0"/>
    <n v="0"/>
    <x v="0"/>
    <n v="0"/>
    <n v="3"/>
    <n v="11"/>
    <n v="0"/>
    <n v="62"/>
    <n v="2547"/>
    <n v="6.978082191780822"/>
    <n v="0"/>
    <n v="0"/>
    <n v="0"/>
    <n v="1"/>
    <n v="0"/>
    <n v="0"/>
    <n v="0"/>
    <n v="0"/>
    <n v="1"/>
    <n v="0"/>
    <n v="309"/>
    <n v="221"/>
    <n v="88"/>
    <n v="0"/>
    <x v="0"/>
    <x v="0"/>
    <x v="2"/>
    <x v="1"/>
    <x v="3"/>
    <x v="2"/>
    <n v="1"/>
    <n v="0"/>
    <n v="21"/>
    <n v="7"/>
    <n v="5"/>
    <n v="4"/>
    <n v="16"/>
    <n v="5"/>
    <x v="1"/>
  </r>
  <r>
    <x v="869"/>
    <n v="49494"/>
    <n v="1"/>
    <n v="0"/>
    <n v="46"/>
    <n v="191"/>
    <n v="9"/>
    <n v="97"/>
    <n v="0"/>
    <n v="6"/>
    <n v="82"/>
    <n v="2"/>
    <n v="6"/>
    <n v="1"/>
    <n v="5"/>
    <n v="7"/>
    <n v="0"/>
    <n v="0"/>
    <n v="0"/>
    <n v="0"/>
    <n v="0"/>
    <x v="0"/>
    <n v="0"/>
    <n v="3"/>
    <n v="11"/>
    <n v="0"/>
    <n v="48"/>
    <n v="2589"/>
    <n v="7.0931506849315067"/>
    <n v="0"/>
    <n v="0"/>
    <n v="1"/>
    <n v="0"/>
    <n v="0"/>
    <n v="0"/>
    <n v="0"/>
    <n v="0"/>
    <n v="1"/>
    <n v="0"/>
    <n v="303"/>
    <n v="221"/>
    <n v="82"/>
    <n v="0"/>
    <x v="0"/>
    <x v="0"/>
    <x v="1"/>
    <x v="1"/>
    <x v="3"/>
    <x v="0"/>
    <n v="1"/>
    <n v="0"/>
    <n v="21"/>
    <n v="6"/>
    <n v="5"/>
    <n v="4"/>
    <n v="15"/>
    <n v="4"/>
    <x v="3"/>
  </r>
  <r>
    <x v="870"/>
    <n v="66426"/>
    <n v="0"/>
    <n v="1"/>
    <n v="14"/>
    <n v="1043"/>
    <n v="24"/>
    <n v="97"/>
    <n v="32"/>
    <n v="24"/>
    <n v="157"/>
    <n v="2"/>
    <n v="3"/>
    <n v="5"/>
    <n v="10"/>
    <n v="6"/>
    <n v="0"/>
    <n v="0"/>
    <n v="0"/>
    <n v="0"/>
    <n v="0"/>
    <x v="0"/>
    <n v="0"/>
    <n v="3"/>
    <n v="11"/>
    <n v="0"/>
    <n v="59"/>
    <n v="2429"/>
    <n v="6.6547945205479451"/>
    <n v="0"/>
    <n v="0"/>
    <n v="0"/>
    <n v="1"/>
    <n v="0"/>
    <n v="0"/>
    <n v="0"/>
    <n v="0"/>
    <n v="0"/>
    <n v="1"/>
    <n v="1220"/>
    <n v="1063"/>
    <n v="157"/>
    <n v="0"/>
    <x v="0"/>
    <x v="0"/>
    <x v="2"/>
    <x v="1"/>
    <x v="2"/>
    <x v="1"/>
    <n v="0"/>
    <n v="0"/>
    <n v="26"/>
    <n v="9"/>
    <n v="7"/>
    <n v="8"/>
    <n v="24"/>
    <n v="9"/>
    <x v="0"/>
  </r>
  <r>
    <x v="871"/>
    <n v="75342"/>
    <n v="0"/>
    <n v="1"/>
    <n v="38"/>
    <n v="204"/>
    <n v="97"/>
    <n v="97"/>
    <n v="21"/>
    <n v="118"/>
    <n v="26"/>
    <n v="1"/>
    <n v="5"/>
    <n v="2"/>
    <n v="10"/>
    <n v="4"/>
    <n v="0"/>
    <n v="0"/>
    <n v="0"/>
    <n v="0"/>
    <n v="0"/>
    <x v="0"/>
    <n v="0"/>
    <n v="3"/>
    <n v="11"/>
    <n v="0"/>
    <n v="62"/>
    <n v="2578"/>
    <n v="7.0630136986301366"/>
    <n v="0"/>
    <n v="0"/>
    <n v="1"/>
    <n v="0"/>
    <n v="0"/>
    <n v="1"/>
    <n v="0"/>
    <n v="0"/>
    <n v="0"/>
    <n v="0"/>
    <n v="537"/>
    <n v="511"/>
    <n v="26"/>
    <n v="0"/>
    <x v="0"/>
    <x v="0"/>
    <x v="1"/>
    <x v="1"/>
    <x v="1"/>
    <x v="2"/>
    <n v="1"/>
    <n v="0"/>
    <n v="22"/>
    <n v="7"/>
    <n v="5"/>
    <n v="5"/>
    <n v="17"/>
    <n v="6"/>
    <x v="1"/>
  </r>
  <r>
    <x v="872"/>
    <n v="27421"/>
    <n v="0"/>
    <n v="0"/>
    <n v="14"/>
    <n v="43"/>
    <n v="12"/>
    <n v="96"/>
    <n v="78"/>
    <n v="40"/>
    <n v="55"/>
    <n v="3"/>
    <n v="4"/>
    <n v="1"/>
    <n v="6"/>
    <n v="7"/>
    <n v="0"/>
    <n v="0"/>
    <n v="0"/>
    <n v="0"/>
    <n v="0"/>
    <x v="0"/>
    <n v="0"/>
    <n v="3"/>
    <n v="11"/>
    <n v="0"/>
    <n v="66"/>
    <n v="2723"/>
    <n v="7.4602739726027396"/>
    <n v="0"/>
    <n v="0"/>
    <n v="0"/>
    <n v="0"/>
    <n v="1"/>
    <n v="0"/>
    <n v="0"/>
    <n v="1"/>
    <n v="0"/>
    <n v="0"/>
    <n v="269"/>
    <n v="214"/>
    <n v="55"/>
    <n v="0"/>
    <x v="1"/>
    <x v="1"/>
    <x v="4"/>
    <x v="0"/>
    <x v="0"/>
    <x v="2"/>
    <n v="0"/>
    <n v="0"/>
    <n v="21"/>
    <n v="9"/>
    <n v="5"/>
    <n v="4"/>
    <n v="18"/>
    <n v="6"/>
    <x v="1"/>
  </r>
  <r>
    <x v="873"/>
    <n v="46610"/>
    <n v="0"/>
    <n v="2"/>
    <n v="8"/>
    <n v="96"/>
    <n v="12"/>
    <n v="96"/>
    <n v="33"/>
    <n v="22"/>
    <n v="43"/>
    <n v="6"/>
    <n v="4"/>
    <n v="1"/>
    <n v="6"/>
    <n v="6"/>
    <n v="0"/>
    <n v="0"/>
    <n v="0"/>
    <n v="0"/>
    <n v="0"/>
    <x v="0"/>
    <n v="0"/>
    <n v="3"/>
    <n v="11"/>
    <n v="1"/>
    <n v="68"/>
    <n v="2767"/>
    <n v="7.580821917808219"/>
    <n v="1"/>
    <n v="0"/>
    <n v="0"/>
    <n v="0"/>
    <n v="0"/>
    <n v="0"/>
    <n v="0"/>
    <n v="0"/>
    <n v="0"/>
    <n v="1"/>
    <n v="259"/>
    <n v="216"/>
    <n v="43"/>
    <n v="0"/>
    <x v="0"/>
    <x v="0"/>
    <x v="3"/>
    <x v="1"/>
    <x v="3"/>
    <x v="2"/>
    <n v="0"/>
    <n v="0"/>
    <n v="23"/>
    <n v="10"/>
    <n v="6"/>
    <n v="4"/>
    <n v="20"/>
    <n v="7"/>
    <x v="2"/>
  </r>
  <r>
    <x v="874"/>
    <n v="62905"/>
    <n v="0"/>
    <n v="1"/>
    <n v="68"/>
    <n v="166"/>
    <n v="75"/>
    <n v="96"/>
    <n v="119"/>
    <n v="107"/>
    <n v="59"/>
    <n v="3"/>
    <n v="7"/>
    <n v="2"/>
    <n v="8"/>
    <n v="4"/>
    <n v="0"/>
    <n v="0"/>
    <n v="0"/>
    <n v="0"/>
    <n v="0"/>
    <x v="0"/>
    <n v="0"/>
    <n v="3"/>
    <n v="11"/>
    <n v="0"/>
    <n v="56"/>
    <n v="2451"/>
    <n v="6.7150684931506852"/>
    <n v="0"/>
    <n v="1"/>
    <n v="0"/>
    <n v="0"/>
    <n v="0"/>
    <n v="1"/>
    <n v="0"/>
    <n v="0"/>
    <n v="0"/>
    <n v="0"/>
    <n v="563"/>
    <n v="504"/>
    <n v="59"/>
    <n v="0"/>
    <x v="0"/>
    <x v="0"/>
    <x v="0"/>
    <x v="1"/>
    <x v="2"/>
    <x v="1"/>
    <n v="1"/>
    <n v="0"/>
    <n v="24"/>
    <n v="4"/>
    <n v="6"/>
    <n v="5"/>
    <n v="15"/>
    <n v="4"/>
    <x v="3"/>
  </r>
  <r>
    <x v="875"/>
    <n v="66303"/>
    <n v="0"/>
    <n v="1"/>
    <n v="56"/>
    <n v="1090"/>
    <n v="12"/>
    <n v="96"/>
    <n v="16"/>
    <n v="12"/>
    <n v="60"/>
    <n v="4"/>
    <n v="3"/>
    <n v="4"/>
    <n v="11"/>
    <n v="8"/>
    <n v="0"/>
    <n v="0"/>
    <n v="0"/>
    <n v="1"/>
    <n v="0"/>
    <x v="1"/>
    <n v="0"/>
    <n v="3"/>
    <n v="11"/>
    <n v="0"/>
    <n v="49"/>
    <n v="2647"/>
    <n v="7.2520547945205482"/>
    <n v="0"/>
    <n v="1"/>
    <n v="0"/>
    <n v="0"/>
    <n v="0"/>
    <n v="0"/>
    <n v="0"/>
    <n v="1"/>
    <n v="0"/>
    <n v="0"/>
    <n v="1226"/>
    <n v="1166"/>
    <n v="60"/>
    <n v="1"/>
    <x v="0"/>
    <x v="0"/>
    <x v="0"/>
    <x v="0"/>
    <x v="2"/>
    <x v="0"/>
    <n v="1"/>
    <n v="0"/>
    <n v="30"/>
    <n v="5"/>
    <n v="8"/>
    <n v="8"/>
    <n v="21"/>
    <n v="8"/>
    <x v="2"/>
  </r>
  <r>
    <x v="876"/>
    <n v="49476"/>
    <n v="0"/>
    <n v="1"/>
    <n v="29"/>
    <n v="386"/>
    <n v="23"/>
    <n v="95"/>
    <n v="54"/>
    <n v="41"/>
    <n v="196"/>
    <n v="4"/>
    <n v="2"/>
    <n v="11"/>
    <n v="5"/>
    <n v="2"/>
    <n v="0"/>
    <n v="0"/>
    <n v="0"/>
    <n v="0"/>
    <n v="0"/>
    <x v="0"/>
    <n v="0"/>
    <n v="3"/>
    <n v="11"/>
    <n v="0"/>
    <n v="57"/>
    <n v="2533"/>
    <n v="6.9397260273972599"/>
    <n v="1"/>
    <n v="0"/>
    <n v="0"/>
    <n v="0"/>
    <n v="0"/>
    <n v="0"/>
    <n v="0"/>
    <n v="0"/>
    <n v="1"/>
    <n v="0"/>
    <n v="599"/>
    <n v="403"/>
    <n v="196"/>
    <n v="0"/>
    <x v="0"/>
    <x v="0"/>
    <x v="3"/>
    <x v="1"/>
    <x v="3"/>
    <x v="1"/>
    <n v="0"/>
    <n v="0"/>
    <n v="24"/>
    <n v="8"/>
    <n v="6"/>
    <n v="6"/>
    <n v="20"/>
    <n v="7"/>
    <x v="2"/>
  </r>
  <r>
    <x v="877"/>
    <n v="36550"/>
    <n v="1"/>
    <n v="0"/>
    <n v="74"/>
    <n v="47"/>
    <n v="90"/>
    <n v="94"/>
    <n v="123"/>
    <n v="103"/>
    <n v="120"/>
    <n v="5"/>
    <n v="9"/>
    <n v="1"/>
    <n v="5"/>
    <n v="9"/>
    <n v="0"/>
    <n v="0"/>
    <n v="0"/>
    <n v="0"/>
    <n v="0"/>
    <x v="0"/>
    <n v="0"/>
    <n v="3"/>
    <n v="11"/>
    <n v="0"/>
    <n v="42"/>
    <n v="2654"/>
    <n v="7.2712328767123289"/>
    <n v="0"/>
    <n v="1"/>
    <n v="0"/>
    <n v="0"/>
    <n v="0"/>
    <n v="1"/>
    <n v="0"/>
    <n v="0"/>
    <n v="0"/>
    <n v="0"/>
    <n v="457"/>
    <n v="337"/>
    <n v="120"/>
    <n v="0"/>
    <x v="0"/>
    <x v="0"/>
    <x v="0"/>
    <x v="1"/>
    <x v="3"/>
    <x v="0"/>
    <n v="1"/>
    <n v="0"/>
    <n v="29"/>
    <n v="3.0000000000000004"/>
    <n v="8"/>
    <n v="5"/>
    <n v="16"/>
    <n v="5"/>
    <x v="1"/>
  </r>
  <r>
    <x v="878"/>
    <n v="54591"/>
    <n v="0"/>
    <n v="1"/>
    <n v="63"/>
    <n v="376"/>
    <n v="4"/>
    <n v="94"/>
    <n v="12"/>
    <n v="9"/>
    <n v="24"/>
    <n v="3"/>
    <n v="6"/>
    <n v="2"/>
    <n v="8"/>
    <n v="5"/>
    <n v="0"/>
    <n v="0"/>
    <n v="0"/>
    <n v="0"/>
    <n v="0"/>
    <x v="0"/>
    <n v="0"/>
    <n v="3"/>
    <n v="11"/>
    <n v="0"/>
    <n v="71"/>
    <n v="2487"/>
    <n v="6.8136986301369866"/>
    <n v="0"/>
    <n v="0"/>
    <n v="0"/>
    <n v="1"/>
    <n v="0"/>
    <n v="0"/>
    <n v="0"/>
    <n v="1"/>
    <n v="0"/>
    <n v="0"/>
    <n v="495"/>
    <n v="471"/>
    <n v="24"/>
    <n v="0"/>
    <x v="0"/>
    <x v="0"/>
    <x v="2"/>
    <x v="0"/>
    <x v="2"/>
    <x v="2"/>
    <n v="1"/>
    <n v="0"/>
    <n v="24"/>
    <n v="4"/>
    <n v="6"/>
    <n v="5"/>
    <n v="15"/>
    <n v="4"/>
    <x v="3"/>
  </r>
  <r>
    <x v="879"/>
    <n v="39747"/>
    <n v="1"/>
    <n v="0"/>
    <n v="43"/>
    <n v="80"/>
    <n v="15"/>
    <n v="93"/>
    <n v="20"/>
    <n v="13"/>
    <n v="52"/>
    <n v="3"/>
    <n v="5"/>
    <n v="1"/>
    <n v="4"/>
    <n v="8"/>
    <n v="0"/>
    <n v="0"/>
    <n v="0"/>
    <n v="0"/>
    <n v="0"/>
    <x v="0"/>
    <n v="0"/>
    <n v="3"/>
    <n v="11"/>
    <n v="0"/>
    <n v="32"/>
    <n v="2236"/>
    <n v="6.1260273972602741"/>
    <n v="0"/>
    <n v="0"/>
    <n v="1"/>
    <n v="0"/>
    <n v="0"/>
    <n v="0"/>
    <n v="0"/>
    <n v="1"/>
    <n v="0"/>
    <n v="0"/>
    <n v="221"/>
    <n v="169"/>
    <n v="52"/>
    <n v="0"/>
    <x v="0"/>
    <x v="0"/>
    <x v="1"/>
    <x v="0"/>
    <x v="3"/>
    <x v="3"/>
    <n v="1"/>
    <n v="0"/>
    <n v="21"/>
    <n v="6"/>
    <n v="5"/>
    <n v="4"/>
    <n v="15"/>
    <n v="4"/>
    <x v="3"/>
  </r>
  <r>
    <x v="880"/>
    <n v="42835"/>
    <n v="1"/>
    <n v="1"/>
    <n v="64"/>
    <n v="379"/>
    <n v="4"/>
    <n v="93"/>
    <n v="12"/>
    <n v="9"/>
    <n v="98"/>
    <n v="7"/>
    <n v="6"/>
    <n v="6"/>
    <n v="4"/>
    <n v="6"/>
    <n v="0"/>
    <n v="0"/>
    <n v="0"/>
    <n v="0"/>
    <n v="0"/>
    <x v="0"/>
    <n v="0"/>
    <n v="3"/>
    <n v="11"/>
    <n v="0"/>
    <n v="49"/>
    <n v="2523"/>
    <n v="6.912328767123288"/>
    <n v="1"/>
    <n v="0"/>
    <n v="0"/>
    <n v="0"/>
    <n v="0"/>
    <n v="0"/>
    <n v="0"/>
    <n v="0"/>
    <n v="1"/>
    <n v="0"/>
    <n v="497"/>
    <n v="399"/>
    <n v="98"/>
    <n v="0"/>
    <x v="0"/>
    <x v="0"/>
    <x v="3"/>
    <x v="1"/>
    <x v="3"/>
    <x v="0"/>
    <n v="1"/>
    <n v="0"/>
    <n v="29"/>
    <n v="4"/>
    <n v="8"/>
    <n v="5"/>
    <n v="17"/>
    <n v="6"/>
    <x v="1"/>
  </r>
  <r>
    <x v="881"/>
    <n v="52034"/>
    <n v="1"/>
    <n v="1"/>
    <n v="67"/>
    <n v="146"/>
    <n v="0"/>
    <n v="93"/>
    <n v="7"/>
    <n v="13"/>
    <n v="73"/>
    <n v="5"/>
    <n v="4"/>
    <n v="2"/>
    <n v="5"/>
    <n v="7"/>
    <n v="0"/>
    <n v="0"/>
    <n v="0"/>
    <n v="0"/>
    <n v="0"/>
    <x v="0"/>
    <n v="0"/>
    <n v="3"/>
    <n v="11"/>
    <n v="0"/>
    <n v="47"/>
    <n v="2567"/>
    <n v="7.0328767123287674"/>
    <n v="1"/>
    <n v="0"/>
    <n v="0"/>
    <n v="0"/>
    <n v="0"/>
    <n v="0"/>
    <n v="0"/>
    <n v="0"/>
    <n v="1"/>
    <n v="0"/>
    <n v="259"/>
    <n v="186"/>
    <n v="73"/>
    <n v="0"/>
    <x v="0"/>
    <x v="0"/>
    <x v="3"/>
    <x v="1"/>
    <x v="2"/>
    <x v="0"/>
    <n v="1"/>
    <n v="0"/>
    <n v="23"/>
    <n v="4"/>
    <n v="6"/>
    <n v="4"/>
    <n v="14"/>
    <n v="4"/>
    <x v="3"/>
  </r>
  <r>
    <x v="882"/>
    <n v="65748"/>
    <n v="0"/>
    <n v="1"/>
    <n v="58"/>
    <n v="172"/>
    <n v="73"/>
    <n v="93"/>
    <n v="95"/>
    <n v="78"/>
    <n v="34"/>
    <n v="2"/>
    <n v="2"/>
    <n v="4"/>
    <n v="10"/>
    <n v="1"/>
    <n v="0"/>
    <n v="0"/>
    <n v="0"/>
    <n v="0"/>
    <n v="0"/>
    <x v="0"/>
    <n v="1"/>
    <n v="3"/>
    <n v="11"/>
    <n v="0"/>
    <n v="65"/>
    <n v="2599"/>
    <n v="7.1205479452054794"/>
    <n v="0"/>
    <n v="0"/>
    <n v="0"/>
    <n v="1"/>
    <n v="0"/>
    <n v="0"/>
    <n v="0"/>
    <n v="1"/>
    <n v="0"/>
    <n v="0"/>
    <n v="511"/>
    <n v="477"/>
    <n v="34"/>
    <n v="0"/>
    <x v="0"/>
    <x v="0"/>
    <x v="2"/>
    <x v="0"/>
    <x v="2"/>
    <x v="2"/>
    <n v="1"/>
    <n v="0"/>
    <n v="19"/>
    <n v="5"/>
    <n v="4"/>
    <n v="5"/>
    <n v="14"/>
    <n v="4"/>
    <x v="3"/>
  </r>
  <r>
    <x v="883"/>
    <n v="40059"/>
    <n v="1"/>
    <n v="0"/>
    <n v="82"/>
    <n v="110"/>
    <n v="29"/>
    <n v="92"/>
    <n v="28"/>
    <n v="10"/>
    <n v="145"/>
    <n v="1"/>
    <n v="6"/>
    <n v="2"/>
    <n v="3"/>
    <n v="8"/>
    <n v="0"/>
    <n v="0"/>
    <n v="1"/>
    <n v="0"/>
    <n v="0"/>
    <x v="1"/>
    <n v="0"/>
    <n v="3"/>
    <n v="11"/>
    <n v="0"/>
    <n v="36"/>
    <n v="2433"/>
    <n v="6.6657534246575345"/>
    <n v="0"/>
    <n v="1"/>
    <n v="0"/>
    <n v="0"/>
    <n v="0"/>
    <n v="0"/>
    <n v="0"/>
    <n v="1"/>
    <n v="0"/>
    <n v="0"/>
    <n v="269"/>
    <n v="124"/>
    <n v="145"/>
    <n v="1"/>
    <x v="0"/>
    <x v="0"/>
    <x v="0"/>
    <x v="0"/>
    <x v="3"/>
    <x v="3"/>
    <n v="1"/>
    <n v="0"/>
    <n v="20"/>
    <n v="1.9999999999999996"/>
    <n v="4"/>
    <n v="4"/>
    <n v="10"/>
    <n v="2"/>
    <x v="3"/>
  </r>
  <r>
    <x v="884"/>
    <n v="46053"/>
    <n v="1"/>
    <n v="0"/>
    <n v="46"/>
    <n v="56"/>
    <n v="10"/>
    <n v="92"/>
    <n v="19"/>
    <n v="7"/>
    <n v="25"/>
    <n v="3"/>
    <n v="3"/>
    <n v="2"/>
    <n v="4"/>
    <n v="5"/>
    <n v="0"/>
    <n v="0"/>
    <n v="0"/>
    <n v="0"/>
    <n v="0"/>
    <x v="0"/>
    <n v="0"/>
    <n v="3"/>
    <n v="11"/>
    <n v="0"/>
    <n v="48"/>
    <n v="2656"/>
    <n v="7.2767123287671236"/>
    <n v="0"/>
    <n v="0"/>
    <n v="0"/>
    <n v="1"/>
    <n v="0"/>
    <n v="0"/>
    <n v="0"/>
    <n v="1"/>
    <n v="0"/>
    <n v="0"/>
    <n v="184"/>
    <n v="159"/>
    <n v="25"/>
    <n v="0"/>
    <x v="0"/>
    <x v="0"/>
    <x v="2"/>
    <x v="0"/>
    <x v="3"/>
    <x v="0"/>
    <n v="1"/>
    <n v="0"/>
    <n v="17"/>
    <n v="6"/>
    <n v="3"/>
    <n v="4"/>
    <n v="13"/>
    <n v="3"/>
    <x v="3"/>
  </r>
  <r>
    <x v="885"/>
    <n v="50150"/>
    <n v="0"/>
    <n v="0"/>
    <n v="32"/>
    <n v="135"/>
    <n v="46"/>
    <n v="92"/>
    <n v="65"/>
    <n v="61"/>
    <n v="11"/>
    <n v="2"/>
    <n v="5"/>
    <n v="2"/>
    <n v="7"/>
    <n v="5"/>
    <n v="0"/>
    <n v="0"/>
    <n v="0"/>
    <n v="0"/>
    <n v="0"/>
    <x v="0"/>
    <n v="0"/>
    <n v="3"/>
    <n v="11"/>
    <n v="0"/>
    <n v="37"/>
    <n v="2533"/>
    <n v="6.9397260273972599"/>
    <n v="0"/>
    <n v="1"/>
    <n v="0"/>
    <n v="0"/>
    <n v="0"/>
    <n v="0"/>
    <n v="0"/>
    <n v="0"/>
    <n v="0"/>
    <n v="1"/>
    <n v="399"/>
    <n v="388"/>
    <n v="11"/>
    <n v="0"/>
    <x v="1"/>
    <x v="1"/>
    <x v="0"/>
    <x v="1"/>
    <x v="2"/>
    <x v="3"/>
    <n v="1"/>
    <n v="0"/>
    <n v="21"/>
    <n v="7"/>
    <n v="5"/>
    <n v="5"/>
    <n v="17"/>
    <n v="6"/>
    <x v="1"/>
  </r>
  <r>
    <x v="886"/>
    <n v="50437"/>
    <n v="0"/>
    <n v="2"/>
    <n v="28"/>
    <n v="370"/>
    <n v="9"/>
    <n v="92"/>
    <n v="6"/>
    <n v="9"/>
    <n v="4"/>
    <n v="3"/>
    <n v="7"/>
    <n v="1"/>
    <n v="8"/>
    <n v="7"/>
    <n v="0"/>
    <n v="0"/>
    <n v="0"/>
    <n v="0"/>
    <n v="0"/>
    <x v="0"/>
    <n v="0"/>
    <n v="3"/>
    <n v="11"/>
    <n v="0"/>
    <n v="57"/>
    <n v="2779"/>
    <n v="7.6136986301369864"/>
    <n v="0"/>
    <n v="1"/>
    <n v="0"/>
    <n v="0"/>
    <n v="0"/>
    <n v="0"/>
    <n v="0"/>
    <n v="1"/>
    <n v="0"/>
    <n v="0"/>
    <n v="486"/>
    <n v="482"/>
    <n v="4"/>
    <n v="0"/>
    <x v="0"/>
    <x v="0"/>
    <x v="0"/>
    <x v="0"/>
    <x v="2"/>
    <x v="1"/>
    <n v="0"/>
    <n v="0"/>
    <n v="26"/>
    <n v="8"/>
    <n v="7"/>
    <n v="5"/>
    <n v="20"/>
    <n v="7"/>
    <x v="2"/>
  </r>
  <r>
    <x v="887"/>
    <n v="54803"/>
    <n v="0"/>
    <n v="1"/>
    <n v="65"/>
    <n v="404"/>
    <n v="0"/>
    <n v="92"/>
    <n v="28"/>
    <n v="27"/>
    <n v="142"/>
    <n v="2"/>
    <n v="6"/>
    <n v="2"/>
    <n v="9"/>
    <n v="4"/>
    <n v="0"/>
    <n v="0"/>
    <n v="0"/>
    <n v="0"/>
    <n v="0"/>
    <x v="0"/>
    <n v="0"/>
    <n v="3"/>
    <n v="11"/>
    <n v="0"/>
    <n v="51"/>
    <n v="2836"/>
    <n v="7.7698630136986298"/>
    <n v="0"/>
    <n v="0"/>
    <n v="1"/>
    <n v="0"/>
    <n v="0"/>
    <n v="0"/>
    <n v="0"/>
    <n v="1"/>
    <n v="0"/>
    <n v="0"/>
    <n v="551"/>
    <n v="409"/>
    <n v="142"/>
    <n v="0"/>
    <x v="0"/>
    <x v="0"/>
    <x v="1"/>
    <x v="0"/>
    <x v="2"/>
    <x v="1"/>
    <n v="1"/>
    <n v="0"/>
    <n v="23"/>
    <n v="4"/>
    <n v="6"/>
    <n v="5"/>
    <n v="15"/>
    <n v="4"/>
    <x v="3"/>
  </r>
  <r>
    <x v="888"/>
    <n v="62670"/>
    <n v="0"/>
    <n v="1"/>
    <n v="57"/>
    <n v="539"/>
    <n v="30"/>
    <n v="92"/>
    <n v="80"/>
    <n v="46"/>
    <n v="38"/>
    <n v="1"/>
    <n v="5"/>
    <n v="3"/>
    <n v="13"/>
    <n v="3"/>
    <n v="0"/>
    <n v="0"/>
    <n v="0"/>
    <n v="0"/>
    <n v="0"/>
    <x v="0"/>
    <n v="0"/>
    <n v="3"/>
    <n v="11"/>
    <n v="0"/>
    <n v="66"/>
    <n v="2306"/>
    <n v="6.3178082191780822"/>
    <n v="0"/>
    <n v="1"/>
    <n v="0"/>
    <n v="0"/>
    <n v="0"/>
    <n v="0"/>
    <n v="0"/>
    <n v="0"/>
    <n v="0"/>
    <n v="1"/>
    <n v="787"/>
    <n v="749"/>
    <n v="38"/>
    <n v="0"/>
    <x v="0"/>
    <x v="0"/>
    <x v="0"/>
    <x v="1"/>
    <x v="2"/>
    <x v="2"/>
    <n v="1"/>
    <n v="0"/>
    <n v="25"/>
    <n v="5"/>
    <n v="7"/>
    <n v="6"/>
    <n v="18"/>
    <n v="6"/>
    <x v="1"/>
  </r>
  <r>
    <x v="889"/>
    <n v="65316"/>
    <n v="1"/>
    <n v="1"/>
    <n v="65"/>
    <n v="112"/>
    <n v="6"/>
    <n v="92"/>
    <n v="3"/>
    <n v="9"/>
    <n v="38"/>
    <n v="2"/>
    <n v="3"/>
    <n v="2"/>
    <n v="5"/>
    <n v="4"/>
    <n v="0"/>
    <n v="0"/>
    <n v="0"/>
    <n v="0"/>
    <n v="0"/>
    <x v="0"/>
    <n v="0"/>
    <n v="3"/>
    <n v="11"/>
    <n v="0"/>
    <n v="58"/>
    <n v="2590"/>
    <n v="7.095890410958904"/>
    <n v="0"/>
    <n v="1"/>
    <n v="0"/>
    <n v="0"/>
    <n v="0"/>
    <n v="0"/>
    <n v="0"/>
    <n v="1"/>
    <n v="0"/>
    <n v="0"/>
    <n v="222"/>
    <n v="184"/>
    <n v="38"/>
    <n v="0"/>
    <x v="0"/>
    <x v="0"/>
    <x v="0"/>
    <x v="0"/>
    <x v="2"/>
    <x v="1"/>
    <n v="1"/>
    <n v="0"/>
    <n v="16"/>
    <n v="4"/>
    <n v="3"/>
    <n v="4"/>
    <n v="11"/>
    <n v="2"/>
    <x v="3"/>
  </r>
  <r>
    <x v="890"/>
    <n v="65333"/>
    <n v="0"/>
    <n v="1"/>
    <n v="58"/>
    <n v="654"/>
    <n v="7"/>
    <n v="92"/>
    <n v="0"/>
    <n v="15"/>
    <n v="30"/>
    <n v="7"/>
    <n v="9"/>
    <n v="4"/>
    <n v="8"/>
    <n v="6"/>
    <n v="0"/>
    <n v="0"/>
    <n v="0"/>
    <n v="1"/>
    <n v="1"/>
    <x v="1"/>
    <n v="0"/>
    <n v="3"/>
    <n v="11"/>
    <n v="0"/>
    <n v="47"/>
    <n v="2322"/>
    <n v="6.3616438356164382"/>
    <n v="0"/>
    <n v="0"/>
    <n v="1"/>
    <n v="0"/>
    <n v="0"/>
    <n v="0"/>
    <n v="0"/>
    <n v="1"/>
    <n v="0"/>
    <n v="0"/>
    <n v="768"/>
    <n v="738"/>
    <n v="30"/>
    <n v="2"/>
    <x v="0"/>
    <x v="0"/>
    <x v="1"/>
    <x v="0"/>
    <x v="2"/>
    <x v="0"/>
    <n v="1"/>
    <n v="0"/>
    <n v="34"/>
    <n v="5"/>
    <n v="9"/>
    <n v="6"/>
    <n v="20"/>
    <n v="7"/>
    <x v="2"/>
  </r>
  <r>
    <x v="891"/>
    <n v="42720"/>
    <n v="1"/>
    <n v="1"/>
    <n v="9"/>
    <n v="392"/>
    <n v="5"/>
    <n v="91"/>
    <n v="28"/>
    <n v="26"/>
    <n v="112"/>
    <n v="8"/>
    <n v="7"/>
    <n v="3"/>
    <n v="7"/>
    <n v="8"/>
    <n v="0"/>
    <n v="0"/>
    <n v="0"/>
    <n v="0"/>
    <n v="0"/>
    <x v="0"/>
    <n v="0"/>
    <n v="3"/>
    <n v="11"/>
    <n v="1"/>
    <n v="55"/>
    <n v="2590"/>
    <n v="7.095890410958904"/>
    <n v="0"/>
    <n v="0"/>
    <n v="1"/>
    <n v="0"/>
    <n v="0"/>
    <n v="0"/>
    <n v="0"/>
    <n v="1"/>
    <n v="0"/>
    <n v="0"/>
    <n v="542"/>
    <n v="430"/>
    <n v="112"/>
    <n v="0"/>
    <x v="0"/>
    <x v="0"/>
    <x v="1"/>
    <x v="0"/>
    <x v="3"/>
    <x v="1"/>
    <n v="0"/>
    <n v="0"/>
    <n v="33"/>
    <n v="10"/>
    <n v="9"/>
    <n v="5"/>
    <n v="24"/>
    <n v="9"/>
    <x v="0"/>
  </r>
  <r>
    <x v="892"/>
    <n v="44529"/>
    <n v="0"/>
    <n v="1"/>
    <n v="98"/>
    <n v="538"/>
    <n v="13"/>
    <n v="91"/>
    <n v="17"/>
    <n v="6"/>
    <n v="26"/>
    <n v="6"/>
    <n v="6"/>
    <n v="2"/>
    <n v="11"/>
    <n v="5"/>
    <n v="0"/>
    <n v="0"/>
    <n v="0"/>
    <n v="1"/>
    <n v="0"/>
    <x v="1"/>
    <n v="0"/>
    <n v="3"/>
    <n v="11"/>
    <n v="0"/>
    <n v="54"/>
    <n v="2518"/>
    <n v="6.8986301369863012"/>
    <n v="0"/>
    <n v="1"/>
    <n v="0"/>
    <n v="0"/>
    <n v="0"/>
    <n v="0"/>
    <n v="0"/>
    <n v="1"/>
    <n v="0"/>
    <n v="0"/>
    <n v="665"/>
    <n v="639"/>
    <n v="26"/>
    <n v="1"/>
    <x v="0"/>
    <x v="0"/>
    <x v="0"/>
    <x v="0"/>
    <x v="3"/>
    <x v="1"/>
    <n v="1"/>
    <n v="1"/>
    <n v="30"/>
    <n v="0.99999999999999978"/>
    <n v="8"/>
    <n v="6"/>
    <n v="15"/>
    <n v="4"/>
    <x v="3"/>
  </r>
  <r>
    <x v="893"/>
    <n v="54108"/>
    <n v="1"/>
    <n v="1"/>
    <n v="74"/>
    <n v="539"/>
    <n v="6"/>
    <n v="91"/>
    <n v="8"/>
    <n v="6"/>
    <n v="97"/>
    <n v="13"/>
    <n v="8"/>
    <n v="2"/>
    <n v="9"/>
    <n v="8"/>
    <n v="0"/>
    <n v="0"/>
    <n v="0"/>
    <n v="0"/>
    <n v="0"/>
    <x v="0"/>
    <n v="0"/>
    <n v="3"/>
    <n v="11"/>
    <n v="0"/>
    <n v="47"/>
    <n v="2760"/>
    <n v="7.5616438356164384"/>
    <n v="0"/>
    <n v="1"/>
    <n v="0"/>
    <n v="0"/>
    <n v="0"/>
    <n v="0"/>
    <n v="0"/>
    <n v="0"/>
    <n v="1"/>
    <n v="0"/>
    <n v="650"/>
    <n v="553"/>
    <n v="97"/>
    <n v="0"/>
    <x v="0"/>
    <x v="0"/>
    <x v="0"/>
    <x v="1"/>
    <x v="2"/>
    <x v="0"/>
    <n v="1"/>
    <n v="0"/>
    <n v="40"/>
    <n v="3.0000000000000004"/>
    <n v="9"/>
    <n v="6"/>
    <n v="18"/>
    <n v="6"/>
    <x v="1"/>
  </r>
  <r>
    <x v="894"/>
    <n v="63246"/>
    <n v="0"/>
    <n v="2"/>
    <n v="60"/>
    <n v="593"/>
    <n v="30"/>
    <n v="91"/>
    <n v="29"/>
    <n v="22"/>
    <n v="7"/>
    <n v="1"/>
    <n v="6"/>
    <n v="3"/>
    <n v="12"/>
    <n v="4"/>
    <n v="0"/>
    <n v="0"/>
    <n v="0"/>
    <n v="0"/>
    <n v="0"/>
    <x v="0"/>
    <n v="0"/>
    <n v="3"/>
    <n v="11"/>
    <n v="0"/>
    <n v="53"/>
    <n v="2472"/>
    <n v="6.7726027397260271"/>
    <n v="0"/>
    <n v="1"/>
    <n v="0"/>
    <n v="0"/>
    <n v="0"/>
    <n v="0"/>
    <n v="0"/>
    <n v="0"/>
    <n v="0"/>
    <n v="1"/>
    <n v="765"/>
    <n v="758"/>
    <n v="7"/>
    <n v="0"/>
    <x v="0"/>
    <x v="0"/>
    <x v="0"/>
    <x v="1"/>
    <x v="2"/>
    <x v="1"/>
    <n v="1"/>
    <n v="0"/>
    <n v="26"/>
    <n v="4"/>
    <n v="7"/>
    <n v="6"/>
    <n v="17"/>
    <n v="6"/>
    <x v="1"/>
  </r>
  <r>
    <x v="895"/>
    <n v="35688"/>
    <n v="2"/>
    <n v="1"/>
    <n v="94"/>
    <n v="73"/>
    <n v="3"/>
    <n v="90"/>
    <n v="12"/>
    <n v="1"/>
    <n v="32"/>
    <n v="7"/>
    <n v="4"/>
    <n v="1"/>
    <n v="4"/>
    <n v="8"/>
    <n v="0"/>
    <n v="0"/>
    <n v="0"/>
    <n v="0"/>
    <n v="0"/>
    <x v="0"/>
    <n v="0"/>
    <n v="3"/>
    <n v="11"/>
    <n v="0"/>
    <n v="47"/>
    <n v="2835"/>
    <n v="7.7671232876712333"/>
    <n v="0"/>
    <n v="1"/>
    <n v="0"/>
    <n v="0"/>
    <n v="0"/>
    <n v="1"/>
    <n v="0"/>
    <n v="0"/>
    <n v="0"/>
    <n v="0"/>
    <n v="179"/>
    <n v="147"/>
    <n v="32"/>
    <n v="0"/>
    <x v="0"/>
    <x v="0"/>
    <x v="0"/>
    <x v="1"/>
    <x v="3"/>
    <x v="0"/>
    <n v="1"/>
    <n v="1"/>
    <n v="24"/>
    <n v="0.99999999999999978"/>
    <n v="6"/>
    <n v="3"/>
    <n v="10"/>
    <n v="2"/>
    <x v="3"/>
  </r>
  <r>
    <x v="896"/>
    <n v="53172"/>
    <n v="0"/>
    <n v="1"/>
    <n v="54"/>
    <n v="121"/>
    <n v="62"/>
    <n v="90"/>
    <n v="68"/>
    <n v="20"/>
    <n v="125"/>
    <n v="3"/>
    <n v="2"/>
    <n v="3"/>
    <n v="8"/>
    <n v="3"/>
    <n v="0"/>
    <n v="0"/>
    <n v="0"/>
    <n v="0"/>
    <n v="0"/>
    <x v="0"/>
    <n v="0"/>
    <n v="3"/>
    <n v="11"/>
    <n v="0"/>
    <n v="42"/>
    <n v="2578"/>
    <n v="7.0630136986301366"/>
    <n v="0"/>
    <n v="0"/>
    <n v="0"/>
    <n v="1"/>
    <n v="0"/>
    <n v="0"/>
    <n v="0"/>
    <n v="1"/>
    <n v="0"/>
    <n v="0"/>
    <n v="361"/>
    <n v="236"/>
    <n v="125"/>
    <n v="0"/>
    <x v="0"/>
    <x v="0"/>
    <x v="2"/>
    <x v="0"/>
    <x v="2"/>
    <x v="0"/>
    <n v="1"/>
    <n v="0"/>
    <n v="19"/>
    <n v="5"/>
    <n v="4"/>
    <n v="5"/>
    <n v="14"/>
    <n v="4"/>
    <x v="3"/>
  </r>
  <r>
    <x v="897"/>
    <n v="56575"/>
    <n v="0"/>
    <n v="2"/>
    <n v="42"/>
    <n v="421"/>
    <n v="5"/>
    <n v="90"/>
    <n v="0"/>
    <n v="16"/>
    <n v="10"/>
    <n v="3"/>
    <n v="7"/>
    <n v="3"/>
    <n v="7"/>
    <n v="5"/>
    <n v="0"/>
    <n v="0"/>
    <n v="0"/>
    <n v="0"/>
    <n v="0"/>
    <x v="0"/>
    <n v="0"/>
    <n v="3"/>
    <n v="11"/>
    <n v="0"/>
    <n v="53"/>
    <n v="2579"/>
    <n v="7.065753424657534"/>
    <n v="0"/>
    <n v="0"/>
    <n v="0"/>
    <n v="1"/>
    <n v="0"/>
    <n v="0"/>
    <n v="0"/>
    <n v="0"/>
    <n v="0"/>
    <n v="1"/>
    <n v="532"/>
    <n v="522"/>
    <n v="10"/>
    <n v="0"/>
    <x v="0"/>
    <x v="0"/>
    <x v="2"/>
    <x v="1"/>
    <x v="2"/>
    <x v="1"/>
    <n v="1"/>
    <n v="0"/>
    <n v="25"/>
    <n v="6"/>
    <n v="7"/>
    <n v="5"/>
    <n v="18"/>
    <n v="6"/>
    <x v="1"/>
  </r>
  <r>
    <x v="898"/>
    <n v="62535"/>
    <n v="0"/>
    <n v="1"/>
    <n v="13"/>
    <n v="163"/>
    <n v="48"/>
    <n v="90"/>
    <n v="0"/>
    <n v="45"/>
    <n v="52"/>
    <n v="1"/>
    <n v="3"/>
    <n v="2"/>
    <n v="8"/>
    <n v="3"/>
    <n v="0"/>
    <n v="0"/>
    <n v="0"/>
    <n v="0"/>
    <n v="0"/>
    <x v="0"/>
    <n v="0"/>
    <n v="3"/>
    <n v="11"/>
    <n v="0"/>
    <n v="65"/>
    <n v="2428"/>
    <n v="6.6520547945205477"/>
    <n v="0"/>
    <n v="0"/>
    <n v="1"/>
    <n v="0"/>
    <n v="0"/>
    <n v="0"/>
    <n v="0"/>
    <n v="1"/>
    <n v="0"/>
    <n v="0"/>
    <n v="346"/>
    <n v="294"/>
    <n v="52"/>
    <n v="0"/>
    <x v="0"/>
    <x v="0"/>
    <x v="1"/>
    <x v="0"/>
    <x v="2"/>
    <x v="2"/>
    <n v="0"/>
    <n v="0"/>
    <n v="17"/>
    <n v="9"/>
    <n v="3"/>
    <n v="5"/>
    <n v="17"/>
    <n v="6"/>
    <x v="1"/>
  </r>
  <r>
    <x v="899"/>
    <n v="44602"/>
    <n v="1"/>
    <n v="1"/>
    <n v="35"/>
    <n v="167"/>
    <n v="2"/>
    <n v="89"/>
    <n v="0"/>
    <n v="0"/>
    <n v="34"/>
    <n v="6"/>
    <n v="6"/>
    <n v="1"/>
    <n v="4"/>
    <n v="8"/>
    <n v="0"/>
    <n v="0"/>
    <n v="0"/>
    <n v="0"/>
    <n v="0"/>
    <x v="0"/>
    <n v="0"/>
    <n v="3"/>
    <n v="11"/>
    <n v="0"/>
    <n v="51"/>
    <n v="2293"/>
    <n v="6.2821917808219174"/>
    <n v="0"/>
    <n v="0"/>
    <n v="0"/>
    <n v="1"/>
    <n v="0"/>
    <n v="0"/>
    <n v="0"/>
    <n v="0"/>
    <n v="1"/>
    <n v="0"/>
    <n v="258"/>
    <n v="224"/>
    <n v="34"/>
    <n v="0"/>
    <x v="0"/>
    <x v="0"/>
    <x v="2"/>
    <x v="1"/>
    <x v="3"/>
    <x v="1"/>
    <n v="1"/>
    <n v="0"/>
    <n v="25"/>
    <n v="7"/>
    <n v="7"/>
    <n v="4"/>
    <n v="18"/>
    <n v="6"/>
    <x v="1"/>
  </r>
  <r>
    <x v="900"/>
    <n v="58917"/>
    <n v="1"/>
    <n v="2"/>
    <n v="10"/>
    <n v="151"/>
    <n v="7"/>
    <n v="89"/>
    <n v="0"/>
    <n v="7"/>
    <n v="28"/>
    <n v="5"/>
    <n v="4"/>
    <n v="1"/>
    <n v="6"/>
    <n v="5"/>
    <n v="0"/>
    <n v="0"/>
    <n v="0"/>
    <n v="0"/>
    <n v="0"/>
    <x v="0"/>
    <n v="0"/>
    <n v="3"/>
    <n v="11"/>
    <n v="0"/>
    <n v="51"/>
    <n v="2621"/>
    <n v="7.1808219178082195"/>
    <n v="0"/>
    <n v="0"/>
    <n v="0"/>
    <n v="1"/>
    <n v="0"/>
    <n v="0"/>
    <n v="0"/>
    <n v="1"/>
    <n v="0"/>
    <n v="0"/>
    <n v="254"/>
    <n v="226"/>
    <n v="28"/>
    <n v="0"/>
    <x v="0"/>
    <x v="0"/>
    <x v="2"/>
    <x v="0"/>
    <x v="2"/>
    <x v="1"/>
    <n v="0"/>
    <n v="0"/>
    <n v="21"/>
    <n v="9"/>
    <n v="5"/>
    <n v="4"/>
    <n v="18"/>
    <n v="6"/>
    <x v="1"/>
  </r>
  <r>
    <x v="901"/>
    <n v="59686"/>
    <n v="0"/>
    <n v="1"/>
    <n v="78"/>
    <n v="89"/>
    <n v="15"/>
    <n v="89"/>
    <n v="34"/>
    <n v="42"/>
    <n v="5"/>
    <n v="1"/>
    <n v="4"/>
    <n v="1"/>
    <n v="6"/>
    <n v="4"/>
    <n v="0"/>
    <n v="0"/>
    <n v="0"/>
    <n v="0"/>
    <n v="0"/>
    <x v="0"/>
    <n v="0"/>
    <n v="3"/>
    <n v="11"/>
    <n v="0"/>
    <n v="55"/>
    <n v="2314"/>
    <n v="6.3397260273972602"/>
    <n v="0"/>
    <n v="0"/>
    <n v="1"/>
    <n v="0"/>
    <n v="0"/>
    <n v="0"/>
    <n v="0"/>
    <n v="1"/>
    <n v="0"/>
    <n v="0"/>
    <n v="269"/>
    <n v="264"/>
    <n v="5"/>
    <n v="0"/>
    <x v="0"/>
    <x v="0"/>
    <x v="1"/>
    <x v="0"/>
    <x v="2"/>
    <x v="1"/>
    <n v="1"/>
    <n v="0"/>
    <n v="16"/>
    <n v="3.0000000000000004"/>
    <n v="3"/>
    <n v="4"/>
    <n v="10"/>
    <n v="2"/>
    <x v="3"/>
  </r>
  <r>
    <x v="902"/>
    <n v="61798"/>
    <n v="0"/>
    <n v="0"/>
    <n v="13"/>
    <n v="338"/>
    <n v="4"/>
    <n v="89"/>
    <n v="11"/>
    <n v="8"/>
    <n v="13"/>
    <n v="1"/>
    <n v="4"/>
    <n v="2"/>
    <n v="9"/>
    <n v="4"/>
    <n v="0"/>
    <n v="0"/>
    <n v="0"/>
    <n v="0"/>
    <n v="0"/>
    <x v="0"/>
    <n v="0"/>
    <n v="3"/>
    <n v="11"/>
    <n v="0"/>
    <n v="56"/>
    <n v="2377"/>
    <n v="6.5123287671232877"/>
    <n v="0"/>
    <n v="0"/>
    <n v="1"/>
    <n v="0"/>
    <n v="0"/>
    <n v="0"/>
    <n v="0"/>
    <n v="0"/>
    <n v="0"/>
    <n v="1"/>
    <n v="450"/>
    <n v="437"/>
    <n v="13"/>
    <n v="0"/>
    <x v="1"/>
    <x v="1"/>
    <x v="1"/>
    <x v="1"/>
    <x v="2"/>
    <x v="1"/>
    <n v="0"/>
    <n v="0"/>
    <n v="20"/>
    <n v="9"/>
    <n v="4"/>
    <n v="5"/>
    <n v="18"/>
    <n v="6"/>
    <x v="1"/>
  </r>
  <r>
    <x v="903"/>
    <n v="46310"/>
    <n v="1"/>
    <n v="0"/>
    <n v="99"/>
    <n v="185"/>
    <n v="2"/>
    <n v="88"/>
    <n v="15"/>
    <n v="5"/>
    <n v="14"/>
    <n v="2"/>
    <n v="6"/>
    <n v="1"/>
    <n v="5"/>
    <n v="8"/>
    <n v="0"/>
    <n v="0"/>
    <n v="0"/>
    <n v="0"/>
    <n v="0"/>
    <x v="0"/>
    <n v="0"/>
    <n v="3"/>
    <n v="11"/>
    <n v="0"/>
    <n v="44"/>
    <n v="2732"/>
    <n v="7.484931506849315"/>
    <n v="1"/>
    <n v="0"/>
    <n v="0"/>
    <n v="0"/>
    <n v="0"/>
    <n v="0"/>
    <n v="0"/>
    <n v="1"/>
    <n v="0"/>
    <n v="0"/>
    <n v="295"/>
    <n v="281"/>
    <n v="14"/>
    <n v="0"/>
    <x v="0"/>
    <x v="0"/>
    <x v="3"/>
    <x v="0"/>
    <x v="3"/>
    <x v="0"/>
    <n v="1"/>
    <n v="1"/>
    <n v="22"/>
    <n v="0.99999999999999978"/>
    <n v="5"/>
    <n v="4"/>
    <n v="10"/>
    <n v="2"/>
    <x v="3"/>
  </r>
  <r>
    <x v="904"/>
    <n v="47958"/>
    <n v="0"/>
    <n v="1"/>
    <n v="8"/>
    <n v="268"/>
    <n v="11"/>
    <n v="88"/>
    <n v="15"/>
    <n v="3"/>
    <n v="22"/>
    <n v="2"/>
    <n v="6"/>
    <n v="3"/>
    <n v="5"/>
    <n v="5"/>
    <n v="0"/>
    <n v="0"/>
    <n v="0"/>
    <n v="0"/>
    <n v="0"/>
    <x v="0"/>
    <n v="0"/>
    <n v="3"/>
    <n v="11"/>
    <n v="0"/>
    <n v="68"/>
    <n v="2685"/>
    <n v="7.3561643835616435"/>
    <n v="0"/>
    <n v="0"/>
    <n v="1"/>
    <n v="0"/>
    <n v="0"/>
    <n v="0"/>
    <n v="0"/>
    <n v="1"/>
    <n v="0"/>
    <n v="0"/>
    <n v="385"/>
    <n v="363"/>
    <n v="22"/>
    <n v="0"/>
    <x v="0"/>
    <x v="0"/>
    <x v="1"/>
    <x v="0"/>
    <x v="3"/>
    <x v="2"/>
    <n v="0"/>
    <n v="0"/>
    <n v="21"/>
    <n v="10"/>
    <n v="5"/>
    <n v="5"/>
    <n v="20"/>
    <n v="7"/>
    <x v="2"/>
  </r>
  <r>
    <x v="905"/>
    <n v="53843"/>
    <n v="0"/>
    <n v="1"/>
    <n v="64"/>
    <n v="378"/>
    <n v="0"/>
    <n v="88"/>
    <n v="19"/>
    <n v="4"/>
    <n v="73"/>
    <n v="4"/>
    <n v="8"/>
    <n v="5"/>
    <n v="3"/>
    <n v="7"/>
    <n v="0"/>
    <n v="0"/>
    <n v="0"/>
    <n v="0"/>
    <n v="0"/>
    <x v="0"/>
    <n v="0"/>
    <n v="3"/>
    <n v="11"/>
    <n v="0"/>
    <n v="55"/>
    <n v="2526"/>
    <n v="6.9205479452054792"/>
    <n v="0"/>
    <n v="1"/>
    <n v="0"/>
    <n v="0"/>
    <n v="0"/>
    <n v="0"/>
    <n v="0"/>
    <n v="0"/>
    <n v="1"/>
    <n v="0"/>
    <n v="489"/>
    <n v="416"/>
    <n v="73"/>
    <n v="0"/>
    <x v="0"/>
    <x v="0"/>
    <x v="0"/>
    <x v="1"/>
    <x v="2"/>
    <x v="1"/>
    <n v="1"/>
    <n v="0"/>
    <n v="27"/>
    <n v="4"/>
    <n v="7"/>
    <n v="5"/>
    <n v="16"/>
    <n v="5"/>
    <x v="1"/>
  </r>
  <r>
    <x v="906"/>
    <n v="58025"/>
    <n v="0"/>
    <n v="1"/>
    <n v="81"/>
    <n v="270"/>
    <n v="31"/>
    <n v="88"/>
    <n v="11"/>
    <n v="48"/>
    <n v="22"/>
    <n v="3"/>
    <n v="3"/>
    <n v="2"/>
    <n v="10"/>
    <n v="4"/>
    <n v="0"/>
    <n v="0"/>
    <n v="0"/>
    <n v="0"/>
    <n v="0"/>
    <x v="0"/>
    <n v="0"/>
    <n v="3"/>
    <n v="11"/>
    <n v="0"/>
    <n v="41"/>
    <n v="2374"/>
    <n v="6.5041095890410956"/>
    <n v="0"/>
    <n v="1"/>
    <n v="0"/>
    <n v="0"/>
    <n v="0"/>
    <n v="0"/>
    <n v="0"/>
    <n v="1"/>
    <n v="0"/>
    <n v="0"/>
    <n v="448"/>
    <n v="426"/>
    <n v="22"/>
    <n v="0"/>
    <x v="0"/>
    <x v="0"/>
    <x v="0"/>
    <x v="0"/>
    <x v="2"/>
    <x v="0"/>
    <n v="1"/>
    <n v="0"/>
    <n v="22"/>
    <n v="1.9999999999999996"/>
    <n v="5"/>
    <n v="5"/>
    <n v="12"/>
    <n v="3"/>
    <x v="3"/>
  </r>
  <r>
    <x v="907"/>
    <n v="61559"/>
    <n v="0"/>
    <n v="1"/>
    <n v="8"/>
    <n v="279"/>
    <n v="83"/>
    <n v="88"/>
    <n v="32"/>
    <n v="14"/>
    <n v="34"/>
    <n v="1"/>
    <n v="4"/>
    <n v="2"/>
    <n v="10"/>
    <n v="3"/>
    <n v="0"/>
    <n v="0"/>
    <n v="0"/>
    <n v="0"/>
    <n v="0"/>
    <x v="0"/>
    <n v="0"/>
    <n v="3"/>
    <n v="11"/>
    <n v="0"/>
    <n v="55"/>
    <n v="2506"/>
    <n v="6.8657534246575347"/>
    <n v="0"/>
    <n v="0"/>
    <n v="1"/>
    <n v="0"/>
    <n v="0"/>
    <n v="0"/>
    <n v="0"/>
    <n v="1"/>
    <n v="0"/>
    <n v="0"/>
    <n v="496"/>
    <n v="462"/>
    <n v="34"/>
    <n v="0"/>
    <x v="0"/>
    <x v="0"/>
    <x v="1"/>
    <x v="0"/>
    <x v="2"/>
    <x v="1"/>
    <n v="0"/>
    <n v="0"/>
    <n v="20"/>
    <n v="10"/>
    <n v="4"/>
    <n v="5"/>
    <n v="19"/>
    <n v="7"/>
    <x v="2"/>
  </r>
  <r>
    <x v="908"/>
    <n v="45837"/>
    <n v="1"/>
    <n v="1"/>
    <n v="88"/>
    <n v="215"/>
    <n v="13"/>
    <n v="87"/>
    <n v="17"/>
    <n v="17"/>
    <n v="24"/>
    <n v="5"/>
    <n v="6"/>
    <n v="2"/>
    <n v="5"/>
    <n v="7"/>
    <n v="0"/>
    <n v="0"/>
    <n v="0"/>
    <n v="0"/>
    <n v="0"/>
    <x v="0"/>
    <n v="0"/>
    <n v="3"/>
    <n v="11"/>
    <n v="0"/>
    <n v="46"/>
    <n v="2497"/>
    <n v="6.8410958904109593"/>
    <n v="0"/>
    <n v="1"/>
    <n v="0"/>
    <n v="0"/>
    <n v="0"/>
    <n v="0"/>
    <n v="0"/>
    <n v="1"/>
    <n v="0"/>
    <n v="0"/>
    <n v="349"/>
    <n v="325"/>
    <n v="24"/>
    <n v="0"/>
    <x v="0"/>
    <x v="0"/>
    <x v="0"/>
    <x v="0"/>
    <x v="3"/>
    <x v="0"/>
    <n v="1"/>
    <n v="0"/>
    <n v="25"/>
    <n v="1.9999999999999996"/>
    <n v="7"/>
    <n v="5"/>
    <n v="14"/>
    <n v="4"/>
    <x v="3"/>
  </r>
  <r>
    <x v="909"/>
    <n v="45989"/>
    <n v="0"/>
    <n v="1"/>
    <n v="97"/>
    <n v="138"/>
    <n v="33"/>
    <n v="87"/>
    <n v="28"/>
    <n v="24"/>
    <n v="12"/>
    <n v="4"/>
    <n v="3"/>
    <n v="2"/>
    <n v="7"/>
    <n v="3"/>
    <n v="0"/>
    <n v="0"/>
    <n v="0"/>
    <n v="0"/>
    <n v="0"/>
    <x v="0"/>
    <n v="0"/>
    <n v="3"/>
    <n v="11"/>
    <n v="0"/>
    <n v="56"/>
    <n v="2774"/>
    <n v="7.6"/>
    <n v="0"/>
    <n v="0"/>
    <n v="1"/>
    <n v="0"/>
    <n v="0"/>
    <n v="0"/>
    <n v="0"/>
    <n v="1"/>
    <n v="0"/>
    <n v="0"/>
    <n v="310"/>
    <n v="298"/>
    <n v="12"/>
    <n v="0"/>
    <x v="0"/>
    <x v="0"/>
    <x v="1"/>
    <x v="0"/>
    <x v="3"/>
    <x v="1"/>
    <n v="1"/>
    <n v="1"/>
    <n v="19"/>
    <n v="0.99999999999999978"/>
    <n v="4"/>
    <n v="4"/>
    <n v="9"/>
    <n v="1"/>
    <x v="3"/>
  </r>
  <r>
    <x v="910"/>
    <n v="50387"/>
    <n v="0"/>
    <n v="2"/>
    <n v="91"/>
    <n v="369"/>
    <n v="9"/>
    <n v="87"/>
    <n v="12"/>
    <n v="14"/>
    <n v="34"/>
    <n v="3"/>
    <n v="6"/>
    <n v="2"/>
    <n v="8"/>
    <n v="5"/>
    <n v="0"/>
    <n v="0"/>
    <n v="0"/>
    <n v="0"/>
    <n v="0"/>
    <x v="0"/>
    <n v="0"/>
    <n v="3"/>
    <n v="11"/>
    <n v="0"/>
    <n v="64"/>
    <n v="2461"/>
    <n v="6.7424657534246579"/>
    <n v="0"/>
    <n v="1"/>
    <n v="0"/>
    <n v="0"/>
    <n v="0"/>
    <n v="0"/>
    <n v="0"/>
    <n v="1"/>
    <n v="0"/>
    <n v="0"/>
    <n v="491"/>
    <n v="457"/>
    <n v="34"/>
    <n v="0"/>
    <x v="0"/>
    <x v="0"/>
    <x v="0"/>
    <x v="0"/>
    <x v="2"/>
    <x v="2"/>
    <n v="1"/>
    <n v="1"/>
    <n v="24"/>
    <n v="0.99999999999999978"/>
    <n v="6"/>
    <n v="5"/>
    <n v="12"/>
    <n v="3"/>
    <x v="3"/>
  </r>
  <r>
    <x v="911"/>
    <n v="51766"/>
    <n v="1"/>
    <n v="0"/>
    <n v="74"/>
    <n v="60"/>
    <n v="51"/>
    <n v="87"/>
    <n v="6"/>
    <n v="20"/>
    <n v="51"/>
    <n v="2"/>
    <n v="4"/>
    <n v="2"/>
    <n v="4"/>
    <n v="5"/>
    <n v="0"/>
    <n v="0"/>
    <n v="0"/>
    <n v="0"/>
    <n v="0"/>
    <x v="0"/>
    <n v="0"/>
    <n v="3"/>
    <n v="11"/>
    <n v="0"/>
    <n v="40"/>
    <n v="2269"/>
    <n v="6.2164383561643834"/>
    <n v="0"/>
    <n v="0"/>
    <n v="1"/>
    <n v="0"/>
    <n v="0"/>
    <n v="0"/>
    <n v="0"/>
    <n v="1"/>
    <n v="0"/>
    <n v="0"/>
    <n v="224"/>
    <n v="173"/>
    <n v="51"/>
    <n v="0"/>
    <x v="0"/>
    <x v="0"/>
    <x v="1"/>
    <x v="0"/>
    <x v="2"/>
    <x v="3"/>
    <n v="1"/>
    <n v="0"/>
    <n v="17"/>
    <n v="3.0000000000000004"/>
    <n v="3"/>
    <n v="4"/>
    <n v="10"/>
    <n v="2"/>
    <x v="3"/>
  </r>
  <r>
    <x v="912"/>
    <n v="55158"/>
    <n v="1"/>
    <n v="1"/>
    <n v="72"/>
    <n v="293"/>
    <n v="0"/>
    <n v="87"/>
    <n v="4"/>
    <n v="11"/>
    <n v="23"/>
    <n v="4"/>
    <n v="7"/>
    <n v="2"/>
    <n v="5"/>
    <n v="7"/>
    <n v="0"/>
    <n v="0"/>
    <n v="0"/>
    <n v="0"/>
    <n v="0"/>
    <x v="0"/>
    <n v="0"/>
    <n v="3"/>
    <n v="11"/>
    <n v="1"/>
    <n v="50"/>
    <n v="2858"/>
    <n v="7.8301369863013699"/>
    <n v="0"/>
    <n v="1"/>
    <n v="0"/>
    <n v="0"/>
    <n v="0"/>
    <n v="0"/>
    <n v="0"/>
    <n v="0"/>
    <n v="0"/>
    <n v="1"/>
    <n v="395"/>
    <n v="372"/>
    <n v="23"/>
    <n v="0"/>
    <x v="0"/>
    <x v="0"/>
    <x v="0"/>
    <x v="1"/>
    <x v="2"/>
    <x v="0"/>
    <n v="1"/>
    <n v="0"/>
    <n v="25"/>
    <n v="3.0000000000000004"/>
    <n v="7"/>
    <n v="5"/>
    <n v="15"/>
    <n v="4"/>
    <x v="3"/>
  </r>
  <r>
    <x v="913"/>
    <n v="37292"/>
    <n v="1"/>
    <n v="0"/>
    <n v="32"/>
    <n v="275"/>
    <n v="0"/>
    <n v="86"/>
    <n v="10"/>
    <n v="23"/>
    <n v="66"/>
    <n v="5"/>
    <n v="6"/>
    <n v="3"/>
    <n v="5"/>
    <n v="8"/>
    <n v="0"/>
    <n v="0"/>
    <n v="0"/>
    <n v="0"/>
    <n v="0"/>
    <x v="0"/>
    <n v="0"/>
    <n v="3"/>
    <n v="11"/>
    <n v="0"/>
    <n v="37"/>
    <n v="2596"/>
    <n v="7.1123287671232873"/>
    <n v="0"/>
    <n v="0"/>
    <n v="0"/>
    <n v="1"/>
    <n v="0"/>
    <n v="0"/>
    <n v="0"/>
    <n v="1"/>
    <n v="0"/>
    <n v="0"/>
    <n v="394"/>
    <n v="328"/>
    <n v="66"/>
    <n v="0"/>
    <x v="0"/>
    <x v="0"/>
    <x v="2"/>
    <x v="0"/>
    <x v="3"/>
    <x v="3"/>
    <n v="1"/>
    <n v="0"/>
    <n v="27"/>
    <n v="7"/>
    <n v="7"/>
    <n v="5"/>
    <n v="19"/>
    <n v="7"/>
    <x v="2"/>
  </r>
  <r>
    <x v="914"/>
    <n v="46998"/>
    <n v="0"/>
    <n v="1"/>
    <n v="55"/>
    <n v="172"/>
    <n v="41"/>
    <n v="86"/>
    <n v="45"/>
    <n v="6"/>
    <n v="27"/>
    <n v="5"/>
    <n v="5"/>
    <n v="3"/>
    <n v="5"/>
    <n v="7"/>
    <n v="0"/>
    <n v="0"/>
    <n v="1"/>
    <n v="0"/>
    <n v="0"/>
    <x v="1"/>
    <n v="0"/>
    <n v="3"/>
    <n v="11"/>
    <n v="0"/>
    <n v="64"/>
    <n v="2774"/>
    <n v="7.6"/>
    <n v="0"/>
    <n v="0"/>
    <n v="1"/>
    <n v="0"/>
    <n v="0"/>
    <n v="0"/>
    <n v="0"/>
    <n v="1"/>
    <n v="0"/>
    <n v="0"/>
    <n v="350"/>
    <n v="323"/>
    <n v="27"/>
    <n v="1"/>
    <x v="0"/>
    <x v="0"/>
    <x v="1"/>
    <x v="0"/>
    <x v="3"/>
    <x v="2"/>
    <n v="1"/>
    <n v="0"/>
    <n v="25"/>
    <n v="5"/>
    <n v="7"/>
    <n v="5"/>
    <n v="17"/>
    <n v="6"/>
    <x v="1"/>
  </r>
  <r>
    <x v="915"/>
    <n v="58607"/>
    <n v="0"/>
    <n v="1"/>
    <n v="63"/>
    <n v="867"/>
    <n v="0"/>
    <n v="86"/>
    <n v="0"/>
    <n v="0"/>
    <n v="19"/>
    <n v="3"/>
    <n v="2"/>
    <n v="3"/>
    <n v="9"/>
    <n v="8"/>
    <n v="0"/>
    <n v="0"/>
    <n v="0"/>
    <n v="1"/>
    <n v="0"/>
    <x v="1"/>
    <n v="0"/>
    <n v="3"/>
    <n v="11"/>
    <n v="0"/>
    <n v="71"/>
    <n v="2712"/>
    <n v="7.4301369863013695"/>
    <n v="0"/>
    <n v="1"/>
    <n v="0"/>
    <n v="0"/>
    <n v="0"/>
    <n v="0"/>
    <n v="0"/>
    <n v="0"/>
    <n v="0"/>
    <n v="1"/>
    <n v="953"/>
    <n v="934"/>
    <n v="19"/>
    <n v="1"/>
    <x v="0"/>
    <x v="0"/>
    <x v="0"/>
    <x v="1"/>
    <x v="2"/>
    <x v="2"/>
    <n v="1"/>
    <n v="0"/>
    <n v="25"/>
    <n v="4"/>
    <n v="7"/>
    <n v="7"/>
    <n v="18"/>
    <n v="6"/>
    <x v="1"/>
  </r>
  <r>
    <x v="916"/>
    <n v="64108"/>
    <n v="0"/>
    <n v="1"/>
    <n v="8"/>
    <n v="948"/>
    <n v="10"/>
    <n v="86"/>
    <n v="13"/>
    <n v="21"/>
    <n v="21"/>
    <n v="4"/>
    <n v="6"/>
    <n v="9"/>
    <n v="11"/>
    <n v="5"/>
    <n v="0"/>
    <n v="0"/>
    <n v="0"/>
    <n v="0"/>
    <n v="0"/>
    <x v="0"/>
    <n v="0"/>
    <n v="3"/>
    <n v="11"/>
    <n v="0"/>
    <n v="67"/>
    <n v="2622"/>
    <n v="7.183561643835616"/>
    <n v="0"/>
    <n v="0"/>
    <n v="1"/>
    <n v="0"/>
    <n v="0"/>
    <n v="0"/>
    <n v="0"/>
    <n v="0"/>
    <n v="0"/>
    <n v="1"/>
    <n v="1078"/>
    <n v="1057"/>
    <n v="21"/>
    <n v="0"/>
    <x v="0"/>
    <x v="0"/>
    <x v="1"/>
    <x v="1"/>
    <x v="2"/>
    <x v="2"/>
    <n v="0"/>
    <n v="0"/>
    <n v="35"/>
    <n v="10"/>
    <n v="9"/>
    <n v="7"/>
    <n v="26"/>
    <n v="9"/>
    <x v="0"/>
  </r>
  <r>
    <x v="917"/>
    <n v="74190"/>
    <n v="0"/>
    <n v="1"/>
    <n v="49"/>
    <n v="151"/>
    <n v="81"/>
    <n v="86"/>
    <n v="168"/>
    <n v="91"/>
    <n v="64"/>
    <n v="2"/>
    <n v="4"/>
    <n v="2"/>
    <n v="11"/>
    <n v="2"/>
    <n v="0"/>
    <n v="0"/>
    <n v="0"/>
    <n v="0"/>
    <n v="0"/>
    <x v="0"/>
    <n v="0"/>
    <n v="3"/>
    <n v="11"/>
    <n v="0"/>
    <n v="45"/>
    <n v="2207"/>
    <n v="6.0465753424657533"/>
    <n v="0"/>
    <n v="1"/>
    <n v="0"/>
    <n v="0"/>
    <n v="0"/>
    <n v="0"/>
    <n v="0"/>
    <n v="1"/>
    <n v="0"/>
    <n v="0"/>
    <n v="577"/>
    <n v="513"/>
    <n v="64"/>
    <n v="0"/>
    <x v="0"/>
    <x v="0"/>
    <x v="0"/>
    <x v="0"/>
    <x v="2"/>
    <x v="0"/>
    <n v="1"/>
    <n v="0"/>
    <n v="21"/>
    <n v="6"/>
    <n v="5"/>
    <n v="6"/>
    <n v="17"/>
    <n v="6"/>
    <x v="1"/>
  </r>
  <r>
    <x v="918"/>
    <n v="50965"/>
    <n v="0"/>
    <n v="1"/>
    <n v="87"/>
    <n v="544"/>
    <n v="13"/>
    <n v="85"/>
    <n v="8"/>
    <n v="6"/>
    <n v="29"/>
    <n v="3"/>
    <n v="10"/>
    <n v="4"/>
    <n v="5"/>
    <n v="8"/>
    <n v="0"/>
    <n v="0"/>
    <n v="1"/>
    <n v="0"/>
    <n v="0"/>
    <x v="1"/>
    <n v="0"/>
    <n v="3"/>
    <n v="11"/>
    <n v="0"/>
    <n v="64"/>
    <n v="2653"/>
    <n v="7.2684931506849315"/>
    <n v="0"/>
    <n v="1"/>
    <n v="0"/>
    <n v="0"/>
    <n v="0"/>
    <n v="0"/>
    <n v="0"/>
    <n v="0"/>
    <n v="1"/>
    <n v="0"/>
    <n v="656"/>
    <n v="627"/>
    <n v="29"/>
    <n v="1"/>
    <x v="0"/>
    <x v="0"/>
    <x v="0"/>
    <x v="1"/>
    <x v="2"/>
    <x v="2"/>
    <n v="1"/>
    <n v="0"/>
    <n v="30"/>
    <n v="1.9999999999999996"/>
    <n v="8"/>
    <n v="6"/>
    <n v="16"/>
    <n v="5"/>
    <x v="1"/>
  </r>
  <r>
    <x v="919"/>
    <n v="55759"/>
    <n v="0"/>
    <n v="1"/>
    <n v="84"/>
    <n v="675"/>
    <n v="0"/>
    <n v="85"/>
    <n v="10"/>
    <n v="7"/>
    <n v="77"/>
    <n v="5"/>
    <n v="10"/>
    <n v="3"/>
    <n v="8"/>
    <n v="8"/>
    <n v="0"/>
    <n v="0"/>
    <n v="0"/>
    <n v="0"/>
    <n v="0"/>
    <x v="0"/>
    <n v="0"/>
    <n v="3"/>
    <n v="11"/>
    <n v="0"/>
    <n v="58"/>
    <n v="2737"/>
    <n v="7.4986301369863018"/>
    <n v="0"/>
    <n v="1"/>
    <n v="0"/>
    <n v="0"/>
    <n v="0"/>
    <n v="0"/>
    <n v="0"/>
    <n v="1"/>
    <n v="0"/>
    <n v="0"/>
    <n v="777"/>
    <n v="700"/>
    <n v="77"/>
    <n v="0"/>
    <x v="0"/>
    <x v="0"/>
    <x v="0"/>
    <x v="0"/>
    <x v="2"/>
    <x v="1"/>
    <n v="1"/>
    <n v="0"/>
    <n v="34"/>
    <n v="1.9999999999999996"/>
    <n v="9"/>
    <n v="6"/>
    <n v="17"/>
    <n v="6"/>
    <x v="1"/>
  </r>
  <r>
    <x v="920"/>
    <n v="59481"/>
    <n v="0"/>
    <n v="1"/>
    <n v="47"/>
    <n v="178"/>
    <n v="3"/>
    <n v="85"/>
    <n v="71"/>
    <n v="66"/>
    <n v="58"/>
    <n v="2"/>
    <n v="3"/>
    <n v="3"/>
    <n v="8"/>
    <n v="2"/>
    <n v="0"/>
    <n v="0"/>
    <n v="0"/>
    <n v="0"/>
    <n v="0"/>
    <x v="0"/>
    <n v="0"/>
    <n v="3"/>
    <n v="11"/>
    <n v="0"/>
    <n v="45"/>
    <n v="2408"/>
    <n v="6.5972602739726032"/>
    <n v="0"/>
    <n v="0"/>
    <n v="0"/>
    <n v="1"/>
    <n v="0"/>
    <n v="0"/>
    <n v="0"/>
    <n v="1"/>
    <n v="0"/>
    <n v="0"/>
    <n v="403"/>
    <n v="345"/>
    <n v="58"/>
    <n v="0"/>
    <x v="0"/>
    <x v="0"/>
    <x v="2"/>
    <x v="0"/>
    <x v="2"/>
    <x v="0"/>
    <n v="1"/>
    <n v="0"/>
    <n v="18"/>
    <n v="6"/>
    <n v="4"/>
    <n v="5"/>
    <n v="15"/>
    <n v="4"/>
    <x v="3"/>
  </r>
  <r>
    <x v="921"/>
    <n v="41124"/>
    <n v="1"/>
    <n v="0"/>
    <n v="41"/>
    <n v="281"/>
    <n v="7"/>
    <n v="84"/>
    <n v="15"/>
    <n v="0"/>
    <n v="119"/>
    <n v="7"/>
    <n v="7"/>
    <n v="3"/>
    <n v="4"/>
    <n v="8"/>
    <n v="0"/>
    <n v="0"/>
    <n v="0"/>
    <n v="0"/>
    <n v="0"/>
    <x v="0"/>
    <n v="0"/>
    <n v="3"/>
    <n v="11"/>
    <n v="0"/>
    <n v="43"/>
    <n v="2765"/>
    <n v="7.5753424657534243"/>
    <n v="0"/>
    <n v="1"/>
    <n v="0"/>
    <n v="0"/>
    <n v="0"/>
    <n v="0"/>
    <n v="0"/>
    <n v="1"/>
    <n v="0"/>
    <n v="0"/>
    <n v="387"/>
    <n v="268"/>
    <n v="119"/>
    <n v="0"/>
    <x v="0"/>
    <x v="0"/>
    <x v="0"/>
    <x v="0"/>
    <x v="3"/>
    <x v="0"/>
    <n v="1"/>
    <n v="0"/>
    <n v="29"/>
    <n v="6"/>
    <n v="8"/>
    <n v="5"/>
    <n v="19"/>
    <n v="7"/>
    <x v="2"/>
  </r>
  <r>
    <x v="922"/>
    <n v="50183"/>
    <n v="1"/>
    <n v="1"/>
    <n v="47"/>
    <n v="97"/>
    <n v="12"/>
    <n v="84"/>
    <n v="13"/>
    <n v="10"/>
    <n v="15"/>
    <n v="7"/>
    <n v="3"/>
    <n v="1"/>
    <n v="6"/>
    <n v="5"/>
    <n v="0"/>
    <n v="0"/>
    <n v="0"/>
    <n v="0"/>
    <n v="0"/>
    <x v="0"/>
    <n v="0"/>
    <n v="3"/>
    <n v="11"/>
    <n v="0"/>
    <n v="40"/>
    <n v="2163"/>
    <n v="5.9260273972602739"/>
    <n v="0"/>
    <n v="1"/>
    <n v="0"/>
    <n v="0"/>
    <n v="0"/>
    <n v="0"/>
    <n v="0"/>
    <n v="1"/>
    <n v="0"/>
    <n v="0"/>
    <n v="216"/>
    <n v="201"/>
    <n v="15"/>
    <n v="0"/>
    <x v="0"/>
    <x v="0"/>
    <x v="0"/>
    <x v="0"/>
    <x v="2"/>
    <x v="3"/>
    <n v="1"/>
    <n v="0"/>
    <n v="22"/>
    <n v="6"/>
    <n v="5"/>
    <n v="4"/>
    <n v="15"/>
    <n v="4"/>
    <x v="3"/>
  </r>
  <r>
    <x v="923"/>
    <n v="62061"/>
    <n v="0"/>
    <n v="1"/>
    <n v="12"/>
    <n v="641"/>
    <n v="7"/>
    <n v="84"/>
    <n v="0"/>
    <n v="30"/>
    <n v="38"/>
    <n v="3"/>
    <n v="10"/>
    <n v="4"/>
    <n v="7"/>
    <n v="6"/>
    <n v="0"/>
    <n v="0"/>
    <n v="0"/>
    <n v="1"/>
    <n v="0"/>
    <x v="1"/>
    <n v="0"/>
    <n v="3"/>
    <n v="11"/>
    <n v="0"/>
    <n v="44"/>
    <n v="2461"/>
    <n v="6.7424657534246579"/>
    <n v="0"/>
    <n v="0"/>
    <n v="0"/>
    <n v="1"/>
    <n v="0"/>
    <n v="0"/>
    <n v="0"/>
    <n v="1"/>
    <n v="0"/>
    <n v="0"/>
    <n v="762"/>
    <n v="724"/>
    <n v="38"/>
    <n v="1"/>
    <x v="0"/>
    <x v="0"/>
    <x v="2"/>
    <x v="0"/>
    <x v="2"/>
    <x v="0"/>
    <n v="0"/>
    <n v="0"/>
    <n v="30"/>
    <n v="9"/>
    <n v="8"/>
    <n v="6"/>
    <n v="23"/>
    <n v="8"/>
    <x v="2"/>
  </r>
  <r>
    <x v="924"/>
    <n v="65352"/>
    <n v="0"/>
    <n v="1"/>
    <n v="43"/>
    <n v="284"/>
    <n v="3"/>
    <n v="84"/>
    <n v="4"/>
    <n v="7"/>
    <n v="23"/>
    <n v="2"/>
    <n v="4"/>
    <n v="2"/>
    <n v="8"/>
    <n v="4"/>
    <n v="0"/>
    <n v="0"/>
    <n v="0"/>
    <n v="0"/>
    <n v="0"/>
    <x v="0"/>
    <n v="0"/>
    <n v="3"/>
    <n v="11"/>
    <n v="0"/>
    <n v="46"/>
    <n v="2471"/>
    <n v="6.7698630136986298"/>
    <n v="0"/>
    <n v="1"/>
    <n v="0"/>
    <n v="0"/>
    <n v="0"/>
    <n v="0"/>
    <n v="0"/>
    <n v="0"/>
    <n v="0"/>
    <n v="1"/>
    <n v="382"/>
    <n v="359"/>
    <n v="23"/>
    <n v="0"/>
    <x v="0"/>
    <x v="0"/>
    <x v="0"/>
    <x v="1"/>
    <x v="2"/>
    <x v="0"/>
    <n v="1"/>
    <n v="0"/>
    <n v="20"/>
    <n v="6"/>
    <n v="4"/>
    <n v="5"/>
    <n v="15"/>
    <n v="4"/>
    <x v="3"/>
  </r>
  <r>
    <x v="925"/>
    <n v="30522"/>
    <n v="0"/>
    <n v="1"/>
    <n v="6"/>
    <n v="179"/>
    <n v="8"/>
    <n v="83"/>
    <n v="19"/>
    <n v="11"/>
    <n v="26"/>
    <n v="5"/>
    <n v="1"/>
    <n v="2"/>
    <n v="9"/>
    <n v="2"/>
    <n v="0"/>
    <n v="0"/>
    <n v="0"/>
    <n v="0"/>
    <n v="0"/>
    <x v="0"/>
    <n v="0"/>
    <n v="3"/>
    <n v="11"/>
    <n v="0"/>
    <n v="60"/>
    <n v="2840"/>
    <n v="7.7808219178082192"/>
    <n v="0"/>
    <n v="1"/>
    <n v="0"/>
    <n v="0"/>
    <n v="0"/>
    <n v="0"/>
    <n v="0"/>
    <n v="0"/>
    <n v="1"/>
    <n v="0"/>
    <n v="300"/>
    <n v="274"/>
    <n v="26"/>
    <n v="0"/>
    <x v="0"/>
    <x v="0"/>
    <x v="0"/>
    <x v="1"/>
    <x v="0"/>
    <x v="1"/>
    <n v="0"/>
    <n v="0"/>
    <n v="19"/>
    <n v="10"/>
    <n v="4"/>
    <n v="4"/>
    <n v="18"/>
    <n v="6"/>
    <x v="1"/>
  </r>
  <r>
    <x v="926"/>
    <n v="43638"/>
    <n v="0"/>
    <n v="1"/>
    <n v="37"/>
    <n v="63"/>
    <n v="10"/>
    <n v="83"/>
    <n v="7"/>
    <n v="19"/>
    <n v="19"/>
    <n v="2"/>
    <n v="4"/>
    <n v="1"/>
    <n v="4"/>
    <n v="7"/>
    <n v="0"/>
    <n v="0"/>
    <n v="0"/>
    <n v="0"/>
    <n v="0"/>
    <x v="0"/>
    <n v="0"/>
    <n v="3"/>
    <n v="11"/>
    <n v="0"/>
    <n v="51"/>
    <n v="2851"/>
    <n v="7.8109589041095893"/>
    <n v="0"/>
    <n v="0"/>
    <n v="0"/>
    <n v="0"/>
    <n v="1"/>
    <n v="0"/>
    <n v="0"/>
    <n v="1"/>
    <n v="0"/>
    <n v="0"/>
    <n v="182"/>
    <n v="163"/>
    <n v="19"/>
    <n v="0"/>
    <x v="0"/>
    <x v="0"/>
    <x v="4"/>
    <x v="0"/>
    <x v="3"/>
    <x v="1"/>
    <n v="1"/>
    <n v="0"/>
    <n v="18"/>
    <n v="7"/>
    <n v="4"/>
    <n v="4"/>
    <n v="15"/>
    <n v="4"/>
    <x v="3"/>
  </r>
  <r>
    <x v="927"/>
    <n v="47682"/>
    <n v="0"/>
    <n v="1"/>
    <n v="80"/>
    <n v="162"/>
    <n v="61"/>
    <n v="83"/>
    <n v="97"/>
    <n v="57"/>
    <n v="61"/>
    <n v="4"/>
    <n v="4"/>
    <n v="3"/>
    <n v="8"/>
    <n v="5"/>
    <n v="0"/>
    <n v="0"/>
    <n v="0"/>
    <n v="0"/>
    <n v="0"/>
    <x v="0"/>
    <n v="0"/>
    <n v="3"/>
    <n v="11"/>
    <n v="0"/>
    <n v="45"/>
    <n v="2658"/>
    <n v="7.2821917808219174"/>
    <n v="0"/>
    <n v="0"/>
    <n v="0"/>
    <n v="0"/>
    <n v="1"/>
    <n v="1"/>
    <n v="0"/>
    <n v="0"/>
    <n v="0"/>
    <n v="0"/>
    <n v="460"/>
    <n v="399"/>
    <n v="61"/>
    <n v="0"/>
    <x v="0"/>
    <x v="0"/>
    <x v="4"/>
    <x v="1"/>
    <x v="3"/>
    <x v="0"/>
    <n v="1"/>
    <n v="0"/>
    <n v="24"/>
    <n v="1.9999999999999996"/>
    <n v="6"/>
    <n v="5"/>
    <n v="13"/>
    <n v="3"/>
    <x v="3"/>
  </r>
  <r>
    <x v="928"/>
    <n v="48070"/>
    <n v="0"/>
    <n v="1"/>
    <n v="33"/>
    <n v="373"/>
    <n v="14"/>
    <n v="83"/>
    <n v="6"/>
    <n v="9"/>
    <n v="19"/>
    <n v="3"/>
    <n v="8"/>
    <n v="2"/>
    <n v="6"/>
    <n v="7"/>
    <n v="0"/>
    <n v="0"/>
    <n v="0"/>
    <n v="0"/>
    <n v="0"/>
    <x v="0"/>
    <n v="1"/>
    <n v="3"/>
    <n v="11"/>
    <n v="0"/>
    <n v="70"/>
    <n v="2691"/>
    <n v="7.3726027397260276"/>
    <n v="0"/>
    <n v="0"/>
    <n v="0"/>
    <n v="1"/>
    <n v="0"/>
    <n v="0"/>
    <n v="0"/>
    <n v="1"/>
    <n v="0"/>
    <n v="0"/>
    <n v="485"/>
    <n v="466"/>
    <n v="19"/>
    <n v="0"/>
    <x v="0"/>
    <x v="0"/>
    <x v="2"/>
    <x v="0"/>
    <x v="3"/>
    <x v="2"/>
    <n v="1"/>
    <n v="0"/>
    <n v="26"/>
    <n v="7"/>
    <n v="7"/>
    <n v="5"/>
    <n v="19"/>
    <n v="7"/>
    <x v="2"/>
  </r>
  <r>
    <x v="929"/>
    <n v="55250"/>
    <n v="0"/>
    <n v="1"/>
    <n v="49"/>
    <n v="664"/>
    <n v="58"/>
    <n v="83"/>
    <n v="32"/>
    <n v="0"/>
    <n v="66"/>
    <n v="4"/>
    <n v="7"/>
    <n v="5"/>
    <n v="10"/>
    <n v="5"/>
    <n v="0"/>
    <n v="0"/>
    <n v="0"/>
    <n v="0"/>
    <n v="0"/>
    <x v="0"/>
    <n v="0"/>
    <n v="3"/>
    <n v="11"/>
    <n v="0"/>
    <n v="55"/>
    <n v="2775"/>
    <n v="7.602739726027397"/>
    <n v="0"/>
    <n v="0"/>
    <n v="1"/>
    <n v="0"/>
    <n v="0"/>
    <n v="0"/>
    <n v="0"/>
    <n v="0"/>
    <n v="1"/>
    <n v="0"/>
    <n v="837"/>
    <n v="771"/>
    <n v="66"/>
    <n v="0"/>
    <x v="0"/>
    <x v="0"/>
    <x v="1"/>
    <x v="1"/>
    <x v="2"/>
    <x v="1"/>
    <n v="1"/>
    <n v="0"/>
    <n v="31"/>
    <n v="6"/>
    <n v="9"/>
    <n v="6"/>
    <n v="21"/>
    <n v="8"/>
    <x v="2"/>
  </r>
  <r>
    <x v="930"/>
    <n v="62187"/>
    <n v="0"/>
    <n v="1"/>
    <n v="38"/>
    <n v="512"/>
    <n v="0"/>
    <n v="83"/>
    <n v="0"/>
    <n v="0"/>
    <n v="41"/>
    <n v="3"/>
    <n v="6"/>
    <n v="2"/>
    <n v="10"/>
    <n v="4"/>
    <n v="0"/>
    <n v="0"/>
    <n v="0"/>
    <n v="0"/>
    <n v="0"/>
    <x v="0"/>
    <n v="0"/>
    <n v="3"/>
    <n v="11"/>
    <n v="0"/>
    <n v="51"/>
    <n v="2258"/>
    <n v="6.1863013698630134"/>
    <n v="0"/>
    <n v="0"/>
    <n v="0"/>
    <n v="0"/>
    <n v="1"/>
    <n v="0"/>
    <n v="0"/>
    <n v="0"/>
    <n v="0"/>
    <n v="1"/>
    <n v="595"/>
    <n v="554"/>
    <n v="41"/>
    <n v="0"/>
    <x v="0"/>
    <x v="0"/>
    <x v="4"/>
    <x v="1"/>
    <x v="2"/>
    <x v="1"/>
    <n v="1"/>
    <n v="0"/>
    <n v="25"/>
    <n v="7"/>
    <n v="7"/>
    <n v="6"/>
    <n v="20"/>
    <n v="7"/>
    <x v="2"/>
  </r>
  <r>
    <x v="931"/>
    <n v="62710"/>
    <n v="0"/>
    <n v="1"/>
    <n v="53"/>
    <n v="441"/>
    <n v="35"/>
    <n v="83"/>
    <n v="7"/>
    <n v="29"/>
    <n v="11"/>
    <n v="4"/>
    <n v="4"/>
    <n v="2"/>
    <n v="12"/>
    <n v="4"/>
    <n v="0"/>
    <n v="0"/>
    <n v="0"/>
    <n v="0"/>
    <n v="0"/>
    <x v="0"/>
    <n v="0"/>
    <n v="3"/>
    <n v="11"/>
    <n v="0"/>
    <n v="48"/>
    <n v="2561"/>
    <n v="7.0164383561643833"/>
    <n v="0"/>
    <n v="1"/>
    <n v="0"/>
    <n v="0"/>
    <n v="0"/>
    <n v="0"/>
    <n v="0"/>
    <n v="1"/>
    <n v="0"/>
    <n v="0"/>
    <n v="595"/>
    <n v="584"/>
    <n v="11"/>
    <n v="0"/>
    <x v="0"/>
    <x v="0"/>
    <x v="0"/>
    <x v="0"/>
    <x v="2"/>
    <x v="0"/>
    <n v="1"/>
    <n v="0"/>
    <n v="26"/>
    <n v="5"/>
    <n v="7"/>
    <n v="6"/>
    <n v="18"/>
    <n v="6"/>
    <x v="1"/>
  </r>
  <r>
    <x v="932"/>
    <n v="65968"/>
    <n v="0"/>
    <n v="1"/>
    <n v="12"/>
    <n v="376"/>
    <n v="9"/>
    <n v="83"/>
    <n v="19"/>
    <n v="4"/>
    <n v="4"/>
    <n v="2"/>
    <n v="5"/>
    <n v="4"/>
    <n v="7"/>
    <n v="3"/>
    <n v="0"/>
    <n v="0"/>
    <n v="0"/>
    <n v="0"/>
    <n v="0"/>
    <x v="0"/>
    <n v="0"/>
    <n v="3"/>
    <n v="11"/>
    <n v="0"/>
    <n v="50"/>
    <n v="2207"/>
    <n v="6.0465753424657533"/>
    <n v="0"/>
    <n v="0"/>
    <n v="0"/>
    <n v="1"/>
    <n v="0"/>
    <n v="0"/>
    <n v="0"/>
    <n v="0"/>
    <n v="0"/>
    <n v="1"/>
    <n v="491"/>
    <n v="487"/>
    <n v="4"/>
    <n v="0"/>
    <x v="0"/>
    <x v="0"/>
    <x v="2"/>
    <x v="1"/>
    <x v="2"/>
    <x v="0"/>
    <n v="0"/>
    <n v="0"/>
    <n v="21"/>
    <n v="9"/>
    <n v="5"/>
    <n v="5"/>
    <n v="19"/>
    <n v="7"/>
    <x v="2"/>
  </r>
  <r>
    <x v="933"/>
    <n v="34916"/>
    <n v="2"/>
    <n v="0"/>
    <n v="89"/>
    <n v="51"/>
    <n v="23"/>
    <n v="82"/>
    <n v="33"/>
    <n v="0"/>
    <n v="42"/>
    <n v="4"/>
    <n v="5"/>
    <n v="1"/>
    <n v="3"/>
    <n v="9"/>
    <n v="0"/>
    <n v="0"/>
    <n v="0"/>
    <n v="0"/>
    <n v="0"/>
    <x v="0"/>
    <n v="0"/>
    <n v="3"/>
    <n v="11"/>
    <n v="0"/>
    <n v="52"/>
    <n v="2569"/>
    <n v="7.0383561643835613"/>
    <n v="0"/>
    <n v="0"/>
    <n v="0"/>
    <n v="1"/>
    <n v="0"/>
    <n v="0"/>
    <n v="0"/>
    <n v="1"/>
    <n v="0"/>
    <n v="0"/>
    <n v="189"/>
    <n v="147"/>
    <n v="42"/>
    <n v="0"/>
    <x v="0"/>
    <x v="0"/>
    <x v="2"/>
    <x v="0"/>
    <x v="0"/>
    <x v="1"/>
    <n v="1"/>
    <n v="0"/>
    <n v="22"/>
    <n v="1.9999999999999996"/>
    <n v="5"/>
    <n v="4"/>
    <n v="11"/>
    <n v="2"/>
    <x v="3"/>
  </r>
  <r>
    <x v="934"/>
    <n v="38946"/>
    <n v="0"/>
    <n v="1"/>
    <n v="84"/>
    <n v="116"/>
    <n v="6"/>
    <n v="82"/>
    <n v="6"/>
    <n v="6"/>
    <n v="41"/>
    <n v="2"/>
    <n v="3"/>
    <n v="1"/>
    <n v="6"/>
    <n v="5"/>
    <n v="0"/>
    <n v="0"/>
    <n v="0"/>
    <n v="0"/>
    <n v="0"/>
    <x v="0"/>
    <n v="0"/>
    <n v="3"/>
    <n v="11"/>
    <n v="0"/>
    <n v="65"/>
    <n v="2407"/>
    <n v="6.5945205479452058"/>
    <n v="0"/>
    <n v="0"/>
    <n v="0"/>
    <n v="1"/>
    <n v="0"/>
    <n v="0"/>
    <n v="0"/>
    <n v="1"/>
    <n v="0"/>
    <n v="0"/>
    <n v="216"/>
    <n v="175"/>
    <n v="41"/>
    <n v="0"/>
    <x v="0"/>
    <x v="0"/>
    <x v="2"/>
    <x v="0"/>
    <x v="3"/>
    <x v="2"/>
    <n v="1"/>
    <n v="0"/>
    <n v="17"/>
    <n v="1.9999999999999996"/>
    <n v="3"/>
    <n v="4"/>
    <n v="9"/>
    <n v="1"/>
    <x v="3"/>
  </r>
  <r>
    <x v="935"/>
    <n v="49090"/>
    <n v="0"/>
    <n v="1"/>
    <n v="45"/>
    <n v="494"/>
    <n v="5"/>
    <n v="82"/>
    <n v="7"/>
    <n v="0"/>
    <n v="100"/>
    <n v="3"/>
    <n v="7"/>
    <n v="2"/>
    <n v="9"/>
    <n v="7"/>
    <n v="0"/>
    <n v="0"/>
    <n v="0"/>
    <n v="0"/>
    <n v="0"/>
    <x v="0"/>
    <n v="0"/>
    <n v="3"/>
    <n v="11"/>
    <n v="0"/>
    <n v="69"/>
    <n v="2504"/>
    <n v="6.86027397260274"/>
    <n v="0"/>
    <n v="0"/>
    <n v="1"/>
    <n v="0"/>
    <n v="0"/>
    <n v="0"/>
    <n v="0"/>
    <n v="1"/>
    <n v="0"/>
    <n v="0"/>
    <n v="588"/>
    <n v="488"/>
    <n v="100"/>
    <n v="0"/>
    <x v="0"/>
    <x v="0"/>
    <x v="1"/>
    <x v="0"/>
    <x v="3"/>
    <x v="2"/>
    <n v="1"/>
    <n v="0"/>
    <n v="28"/>
    <n v="6"/>
    <n v="8"/>
    <n v="6"/>
    <n v="20"/>
    <n v="7"/>
    <x v="2"/>
  </r>
  <r>
    <x v="936"/>
    <n v="55707"/>
    <n v="0"/>
    <n v="1"/>
    <n v="91"/>
    <n v="208"/>
    <n v="7"/>
    <n v="82"/>
    <n v="30"/>
    <n v="66"/>
    <n v="35"/>
    <n v="2"/>
    <n v="3"/>
    <n v="2"/>
    <n v="9"/>
    <n v="3"/>
    <n v="0"/>
    <n v="0"/>
    <n v="0"/>
    <n v="0"/>
    <n v="0"/>
    <x v="0"/>
    <n v="0"/>
    <n v="3"/>
    <n v="11"/>
    <n v="0"/>
    <n v="67"/>
    <n v="2348"/>
    <n v="6.4328767123287669"/>
    <n v="0"/>
    <n v="1"/>
    <n v="0"/>
    <n v="0"/>
    <n v="0"/>
    <n v="0"/>
    <n v="0"/>
    <n v="0"/>
    <n v="0"/>
    <n v="1"/>
    <n v="393"/>
    <n v="358"/>
    <n v="35"/>
    <n v="0"/>
    <x v="0"/>
    <x v="0"/>
    <x v="0"/>
    <x v="1"/>
    <x v="2"/>
    <x v="2"/>
    <n v="1"/>
    <n v="1"/>
    <n v="19"/>
    <n v="0.99999999999999978"/>
    <n v="4"/>
    <n v="5"/>
    <n v="10"/>
    <n v="2"/>
    <x v="3"/>
  </r>
  <r>
    <x v="937"/>
    <n v="56628"/>
    <n v="0"/>
    <n v="1"/>
    <n v="30"/>
    <n v="479"/>
    <n v="5"/>
    <n v="82"/>
    <n v="7"/>
    <n v="17"/>
    <n v="171"/>
    <n v="2"/>
    <n v="7"/>
    <n v="6"/>
    <n v="5"/>
    <n v="5"/>
    <n v="0"/>
    <n v="0"/>
    <n v="1"/>
    <n v="0"/>
    <n v="0"/>
    <x v="1"/>
    <n v="0"/>
    <n v="3"/>
    <n v="11"/>
    <n v="0"/>
    <n v="43"/>
    <n v="2259"/>
    <n v="6.1890410958904107"/>
    <n v="0"/>
    <n v="0"/>
    <n v="1"/>
    <n v="0"/>
    <n v="0"/>
    <n v="0"/>
    <n v="0"/>
    <n v="1"/>
    <n v="0"/>
    <n v="0"/>
    <n v="590"/>
    <n v="419"/>
    <n v="171"/>
    <n v="1"/>
    <x v="0"/>
    <x v="0"/>
    <x v="1"/>
    <x v="0"/>
    <x v="2"/>
    <x v="0"/>
    <n v="0"/>
    <n v="0"/>
    <n v="25"/>
    <n v="7"/>
    <n v="7"/>
    <n v="6"/>
    <n v="20"/>
    <n v="7"/>
    <x v="2"/>
  </r>
  <r>
    <x v="938"/>
    <n v="35416"/>
    <n v="0"/>
    <n v="0"/>
    <n v="62"/>
    <n v="248"/>
    <n v="3"/>
    <n v="81"/>
    <n v="4"/>
    <n v="3"/>
    <n v="51"/>
    <n v="3"/>
    <n v="7"/>
    <n v="1"/>
    <n v="5"/>
    <n v="8"/>
    <n v="0"/>
    <n v="0"/>
    <n v="0"/>
    <n v="0"/>
    <n v="0"/>
    <x v="0"/>
    <n v="0"/>
    <n v="3"/>
    <n v="11"/>
    <n v="0"/>
    <n v="71"/>
    <n v="2540"/>
    <n v="6.9589041095890414"/>
    <n v="1"/>
    <n v="0"/>
    <n v="0"/>
    <n v="0"/>
    <n v="0"/>
    <n v="0"/>
    <n v="0"/>
    <n v="0"/>
    <n v="1"/>
    <n v="0"/>
    <n v="339"/>
    <n v="288"/>
    <n v="51"/>
    <n v="0"/>
    <x v="1"/>
    <x v="1"/>
    <x v="3"/>
    <x v="1"/>
    <x v="3"/>
    <x v="2"/>
    <n v="1"/>
    <n v="0"/>
    <n v="24"/>
    <n v="4"/>
    <n v="6"/>
    <n v="4"/>
    <n v="14"/>
    <n v="4"/>
    <x v="3"/>
  </r>
  <r>
    <x v="939"/>
    <n v="48799"/>
    <n v="0"/>
    <n v="1"/>
    <n v="9"/>
    <n v="174"/>
    <n v="18"/>
    <n v="81"/>
    <n v="28"/>
    <n v="6"/>
    <n v="24"/>
    <n v="3"/>
    <n v="3"/>
    <n v="2"/>
    <n v="7"/>
    <n v="3"/>
    <n v="0"/>
    <n v="0"/>
    <n v="0"/>
    <n v="0"/>
    <n v="0"/>
    <x v="0"/>
    <n v="0"/>
    <n v="3"/>
    <n v="11"/>
    <n v="0"/>
    <n v="57"/>
    <n v="2395"/>
    <n v="6.5616438356164384"/>
    <n v="1"/>
    <n v="0"/>
    <n v="0"/>
    <n v="0"/>
    <n v="0"/>
    <n v="0"/>
    <n v="0"/>
    <n v="0"/>
    <n v="0"/>
    <n v="1"/>
    <n v="307"/>
    <n v="283"/>
    <n v="24"/>
    <n v="0"/>
    <x v="0"/>
    <x v="0"/>
    <x v="3"/>
    <x v="1"/>
    <x v="3"/>
    <x v="1"/>
    <n v="0"/>
    <n v="0"/>
    <n v="18"/>
    <n v="10"/>
    <n v="4"/>
    <n v="4"/>
    <n v="18"/>
    <n v="6"/>
    <x v="1"/>
  </r>
  <r>
    <x v="940"/>
    <n v="53201"/>
    <n v="1"/>
    <n v="1"/>
    <n v="49"/>
    <n v="280"/>
    <n v="7"/>
    <n v="81"/>
    <n v="20"/>
    <n v="0"/>
    <n v="27"/>
    <n v="8"/>
    <n v="6"/>
    <n v="3"/>
    <n v="5"/>
    <n v="7"/>
    <n v="0"/>
    <n v="0"/>
    <n v="0"/>
    <n v="0"/>
    <n v="0"/>
    <x v="0"/>
    <n v="0"/>
    <n v="3"/>
    <n v="11"/>
    <n v="0"/>
    <n v="45"/>
    <n v="2661"/>
    <n v="7.2904109589041095"/>
    <n v="0"/>
    <n v="0"/>
    <n v="1"/>
    <n v="0"/>
    <n v="0"/>
    <n v="0"/>
    <n v="0"/>
    <n v="1"/>
    <n v="0"/>
    <n v="0"/>
    <n v="388"/>
    <n v="361"/>
    <n v="27"/>
    <n v="0"/>
    <x v="0"/>
    <x v="0"/>
    <x v="1"/>
    <x v="0"/>
    <x v="2"/>
    <x v="0"/>
    <n v="1"/>
    <n v="0"/>
    <n v="29"/>
    <n v="6"/>
    <n v="8"/>
    <n v="5"/>
    <n v="19"/>
    <n v="7"/>
    <x v="2"/>
  </r>
  <r>
    <x v="941"/>
    <n v="42315"/>
    <n v="0"/>
    <n v="1"/>
    <n v="90"/>
    <n v="67"/>
    <n v="15"/>
    <n v="80"/>
    <n v="17"/>
    <n v="11"/>
    <n v="80"/>
    <n v="3"/>
    <n v="1"/>
    <n v="4"/>
    <n v="4"/>
    <n v="3"/>
    <n v="0"/>
    <n v="0"/>
    <n v="0"/>
    <n v="0"/>
    <n v="0"/>
    <x v="0"/>
    <n v="0"/>
    <n v="3"/>
    <n v="11"/>
    <n v="0"/>
    <n v="62"/>
    <n v="2511"/>
    <n v="6.8794520547945206"/>
    <n v="0"/>
    <n v="0"/>
    <n v="0"/>
    <n v="1"/>
    <n v="0"/>
    <n v="0"/>
    <n v="0"/>
    <n v="0"/>
    <n v="1"/>
    <n v="0"/>
    <n v="190"/>
    <n v="110"/>
    <n v="80"/>
    <n v="0"/>
    <x v="0"/>
    <x v="0"/>
    <x v="2"/>
    <x v="1"/>
    <x v="3"/>
    <x v="2"/>
    <n v="1"/>
    <n v="0"/>
    <n v="15"/>
    <n v="0.99999999999999978"/>
    <n v="2"/>
    <n v="4"/>
    <n v="7"/>
    <n v="1"/>
    <x v="3"/>
  </r>
  <r>
    <x v="942"/>
    <n v="55951"/>
    <n v="0"/>
    <n v="1"/>
    <n v="62"/>
    <n v="1241"/>
    <n v="0"/>
    <n v="80"/>
    <n v="0"/>
    <n v="13"/>
    <n v="40"/>
    <n v="3"/>
    <n v="3"/>
    <n v="6"/>
    <n v="11"/>
    <n v="8"/>
    <n v="0"/>
    <n v="1"/>
    <n v="0"/>
    <n v="1"/>
    <n v="0"/>
    <x v="1"/>
    <n v="0"/>
    <n v="3"/>
    <n v="11"/>
    <n v="0"/>
    <n v="68"/>
    <n v="2834"/>
    <n v="7.7643835616438359"/>
    <n v="0"/>
    <n v="0"/>
    <n v="0"/>
    <n v="1"/>
    <n v="0"/>
    <n v="0"/>
    <n v="0"/>
    <n v="0"/>
    <n v="1"/>
    <n v="0"/>
    <n v="1334"/>
    <n v="1294"/>
    <n v="40"/>
    <n v="2"/>
    <x v="0"/>
    <x v="0"/>
    <x v="2"/>
    <x v="1"/>
    <x v="2"/>
    <x v="2"/>
    <n v="1"/>
    <n v="0"/>
    <n v="31"/>
    <n v="4"/>
    <n v="9"/>
    <n v="8"/>
    <n v="21"/>
    <n v="8"/>
    <x v="2"/>
  </r>
  <r>
    <x v="943"/>
    <n v="57912"/>
    <n v="0"/>
    <n v="1"/>
    <n v="34"/>
    <n v="801"/>
    <n v="0"/>
    <n v="80"/>
    <n v="0"/>
    <n v="0"/>
    <n v="35"/>
    <n v="5"/>
    <n v="8"/>
    <n v="3"/>
    <n v="12"/>
    <n v="5"/>
    <n v="0"/>
    <n v="0"/>
    <n v="0"/>
    <n v="1"/>
    <n v="0"/>
    <x v="1"/>
    <n v="0"/>
    <n v="3"/>
    <n v="11"/>
    <n v="0"/>
    <n v="55"/>
    <n v="2263"/>
    <n v="6.2"/>
    <n v="1"/>
    <n v="0"/>
    <n v="0"/>
    <n v="0"/>
    <n v="0"/>
    <n v="0"/>
    <n v="0"/>
    <n v="0"/>
    <n v="0"/>
    <n v="1"/>
    <n v="881"/>
    <n v="846"/>
    <n v="35"/>
    <n v="1"/>
    <x v="0"/>
    <x v="0"/>
    <x v="3"/>
    <x v="1"/>
    <x v="2"/>
    <x v="1"/>
    <n v="1"/>
    <n v="0"/>
    <n v="33"/>
    <n v="7"/>
    <n v="9"/>
    <n v="7"/>
    <n v="23"/>
    <n v="8"/>
    <x v="2"/>
  </r>
  <r>
    <x v="944"/>
    <n v="65808"/>
    <n v="1"/>
    <n v="1"/>
    <n v="1"/>
    <n v="155"/>
    <n v="7"/>
    <n v="80"/>
    <n v="13"/>
    <n v="7"/>
    <n v="10"/>
    <n v="3"/>
    <n v="5"/>
    <n v="1"/>
    <n v="5"/>
    <n v="6"/>
    <n v="0"/>
    <n v="0"/>
    <n v="0"/>
    <n v="0"/>
    <n v="0"/>
    <x v="0"/>
    <n v="0"/>
    <n v="3"/>
    <n v="11"/>
    <n v="0"/>
    <n v="49"/>
    <n v="2189"/>
    <n v="5.9972602739726026"/>
    <n v="1"/>
    <n v="0"/>
    <n v="0"/>
    <n v="0"/>
    <n v="0"/>
    <n v="0"/>
    <n v="0"/>
    <n v="0"/>
    <n v="0"/>
    <n v="1"/>
    <n v="262"/>
    <n v="252"/>
    <n v="10"/>
    <n v="0"/>
    <x v="0"/>
    <x v="0"/>
    <x v="3"/>
    <x v="1"/>
    <x v="2"/>
    <x v="0"/>
    <n v="0"/>
    <n v="0"/>
    <n v="20"/>
    <n v="10"/>
    <n v="4"/>
    <n v="4"/>
    <n v="18"/>
    <n v="6"/>
    <x v="1"/>
  </r>
  <r>
    <x v="945"/>
    <n v="73395"/>
    <n v="0"/>
    <n v="0"/>
    <n v="94"/>
    <n v="272"/>
    <n v="7"/>
    <n v="80"/>
    <n v="20"/>
    <n v="7"/>
    <n v="11"/>
    <n v="1"/>
    <n v="4"/>
    <n v="4"/>
    <n v="6"/>
    <n v="2"/>
    <n v="0"/>
    <n v="0"/>
    <n v="0"/>
    <n v="0"/>
    <n v="0"/>
    <x v="0"/>
    <n v="0"/>
    <n v="3"/>
    <n v="11"/>
    <n v="0"/>
    <n v="33"/>
    <n v="2262"/>
    <n v="6.1972602739726028"/>
    <n v="0"/>
    <n v="1"/>
    <n v="0"/>
    <n v="0"/>
    <n v="0"/>
    <n v="0"/>
    <n v="0"/>
    <n v="0"/>
    <n v="1"/>
    <n v="0"/>
    <n v="386"/>
    <n v="375"/>
    <n v="11"/>
    <n v="0"/>
    <x v="1"/>
    <x v="1"/>
    <x v="0"/>
    <x v="1"/>
    <x v="2"/>
    <x v="3"/>
    <n v="1"/>
    <n v="1"/>
    <n v="17"/>
    <n v="0.99999999999999978"/>
    <n v="3"/>
    <n v="5"/>
    <n v="9"/>
    <n v="1"/>
    <x v="3"/>
  </r>
  <r>
    <x v="946"/>
    <n v="46854"/>
    <n v="1"/>
    <n v="1"/>
    <n v="81"/>
    <n v="96"/>
    <n v="1"/>
    <n v="79"/>
    <n v="7"/>
    <n v="1"/>
    <n v="79"/>
    <n v="6"/>
    <n v="5"/>
    <n v="1"/>
    <n v="3"/>
    <n v="8"/>
    <n v="0"/>
    <n v="0"/>
    <n v="1"/>
    <n v="0"/>
    <n v="0"/>
    <x v="1"/>
    <n v="0"/>
    <n v="3"/>
    <n v="11"/>
    <n v="1"/>
    <n v="47"/>
    <n v="2249"/>
    <n v="6.161643835616438"/>
    <n v="0"/>
    <n v="0"/>
    <n v="1"/>
    <n v="0"/>
    <n v="0"/>
    <n v="0"/>
    <n v="0"/>
    <n v="0"/>
    <n v="0"/>
    <n v="1"/>
    <n v="184"/>
    <n v="105"/>
    <n v="79"/>
    <n v="1"/>
    <x v="0"/>
    <x v="0"/>
    <x v="1"/>
    <x v="1"/>
    <x v="3"/>
    <x v="0"/>
    <n v="1"/>
    <n v="0"/>
    <n v="23"/>
    <n v="1.9999999999999996"/>
    <n v="6"/>
    <n v="4"/>
    <n v="12"/>
    <n v="3"/>
    <x v="3"/>
  </r>
  <r>
    <x v="947"/>
    <n v="51039"/>
    <n v="1"/>
    <n v="1"/>
    <n v="11"/>
    <n v="100"/>
    <n v="64"/>
    <n v="79"/>
    <n v="65"/>
    <n v="0"/>
    <n v="109"/>
    <n v="2"/>
    <n v="6"/>
    <n v="2"/>
    <n v="4"/>
    <n v="7"/>
    <n v="0"/>
    <n v="0"/>
    <n v="0"/>
    <n v="0"/>
    <n v="0"/>
    <x v="0"/>
    <n v="0"/>
    <n v="3"/>
    <n v="11"/>
    <n v="0"/>
    <n v="51"/>
    <n v="2725"/>
    <n v="7.4657534246575343"/>
    <n v="0"/>
    <n v="1"/>
    <n v="0"/>
    <n v="0"/>
    <n v="0"/>
    <n v="0"/>
    <n v="0"/>
    <n v="0"/>
    <n v="0"/>
    <n v="1"/>
    <n v="308"/>
    <n v="199"/>
    <n v="109"/>
    <n v="0"/>
    <x v="0"/>
    <x v="0"/>
    <x v="0"/>
    <x v="1"/>
    <x v="2"/>
    <x v="1"/>
    <n v="0"/>
    <n v="0"/>
    <n v="21"/>
    <n v="9"/>
    <n v="5"/>
    <n v="4"/>
    <n v="18"/>
    <n v="6"/>
    <x v="1"/>
  </r>
  <r>
    <x v="948"/>
    <n v="51369"/>
    <n v="0"/>
    <n v="1"/>
    <n v="84"/>
    <n v="297"/>
    <n v="7"/>
    <n v="79"/>
    <n v="0"/>
    <n v="11"/>
    <n v="182"/>
    <n v="2"/>
    <n v="8"/>
    <n v="2"/>
    <n v="4"/>
    <n v="8"/>
    <n v="0"/>
    <n v="0"/>
    <n v="0"/>
    <n v="0"/>
    <n v="0"/>
    <x v="0"/>
    <n v="0"/>
    <n v="3"/>
    <n v="11"/>
    <n v="0"/>
    <n v="44"/>
    <n v="2771"/>
    <n v="7.5917808219178085"/>
    <n v="0"/>
    <n v="0"/>
    <n v="0"/>
    <n v="1"/>
    <n v="0"/>
    <n v="0"/>
    <n v="0"/>
    <n v="1"/>
    <n v="0"/>
    <n v="0"/>
    <n v="394"/>
    <n v="212"/>
    <n v="182"/>
    <n v="0"/>
    <x v="0"/>
    <x v="0"/>
    <x v="2"/>
    <x v="0"/>
    <x v="2"/>
    <x v="0"/>
    <n v="1"/>
    <n v="0"/>
    <n v="24"/>
    <n v="1.9999999999999996"/>
    <n v="6"/>
    <n v="5"/>
    <n v="13"/>
    <n v="3"/>
    <x v="3"/>
  </r>
  <r>
    <x v="949"/>
    <n v="26997"/>
    <n v="0"/>
    <n v="0"/>
    <n v="89"/>
    <n v="7"/>
    <n v="23"/>
    <n v="78"/>
    <n v="133"/>
    <n v="49"/>
    <n v="144"/>
    <n v="2"/>
    <n v="4"/>
    <n v="2"/>
    <n v="5"/>
    <n v="7"/>
    <n v="0"/>
    <n v="0"/>
    <n v="0"/>
    <n v="0"/>
    <n v="0"/>
    <x v="0"/>
    <n v="0"/>
    <n v="3"/>
    <n v="11"/>
    <n v="0"/>
    <n v="69"/>
    <n v="2760"/>
    <n v="7.5616438356164384"/>
    <n v="0"/>
    <n v="1"/>
    <n v="0"/>
    <n v="0"/>
    <n v="0"/>
    <n v="0"/>
    <n v="1"/>
    <n v="0"/>
    <n v="0"/>
    <n v="0"/>
    <n v="290"/>
    <n v="146"/>
    <n v="144"/>
    <n v="0"/>
    <x v="1"/>
    <x v="1"/>
    <x v="0"/>
    <x v="2"/>
    <x v="0"/>
    <x v="2"/>
    <n v="1"/>
    <n v="0"/>
    <n v="20"/>
    <n v="1.9999999999999996"/>
    <n v="4"/>
    <n v="4"/>
    <n v="10"/>
    <n v="2"/>
    <x v="3"/>
  </r>
  <r>
    <x v="950"/>
    <n v="39660"/>
    <n v="1"/>
    <n v="0"/>
    <n v="36"/>
    <n v="139"/>
    <n v="13"/>
    <n v="78"/>
    <n v="20"/>
    <n v="13"/>
    <n v="36"/>
    <n v="3"/>
    <n v="7"/>
    <n v="1"/>
    <n v="3"/>
    <n v="9"/>
    <n v="0"/>
    <n v="0"/>
    <n v="0"/>
    <n v="0"/>
    <n v="0"/>
    <x v="0"/>
    <n v="0"/>
    <n v="3"/>
    <n v="11"/>
    <n v="1"/>
    <n v="38"/>
    <n v="2849"/>
    <n v="7.8054794520547945"/>
    <n v="0"/>
    <n v="0"/>
    <n v="1"/>
    <n v="0"/>
    <n v="0"/>
    <n v="0"/>
    <n v="0"/>
    <n v="1"/>
    <n v="0"/>
    <n v="0"/>
    <n v="263"/>
    <n v="227"/>
    <n v="36"/>
    <n v="0"/>
    <x v="0"/>
    <x v="0"/>
    <x v="1"/>
    <x v="0"/>
    <x v="3"/>
    <x v="3"/>
    <n v="1"/>
    <n v="0"/>
    <n v="23"/>
    <n v="7"/>
    <n v="6"/>
    <n v="4"/>
    <n v="17"/>
    <n v="6"/>
    <x v="1"/>
  </r>
  <r>
    <x v="951"/>
    <n v="49514"/>
    <n v="1"/>
    <n v="0"/>
    <n v="61"/>
    <n v="88"/>
    <n v="39"/>
    <n v="78"/>
    <n v="58"/>
    <n v="13"/>
    <n v="93"/>
    <n v="2"/>
    <n v="6"/>
    <n v="1"/>
    <n v="4"/>
    <n v="7"/>
    <n v="0"/>
    <n v="0"/>
    <n v="0"/>
    <n v="0"/>
    <n v="0"/>
    <x v="0"/>
    <n v="0"/>
    <n v="3"/>
    <n v="11"/>
    <n v="0"/>
    <n v="45"/>
    <n v="2353"/>
    <n v="6.4465753424657537"/>
    <n v="0"/>
    <n v="0"/>
    <n v="1"/>
    <n v="0"/>
    <n v="0"/>
    <n v="1"/>
    <n v="0"/>
    <n v="0"/>
    <n v="0"/>
    <n v="0"/>
    <n v="276"/>
    <n v="183"/>
    <n v="93"/>
    <n v="0"/>
    <x v="0"/>
    <x v="0"/>
    <x v="1"/>
    <x v="1"/>
    <x v="3"/>
    <x v="0"/>
    <n v="1"/>
    <n v="0"/>
    <n v="20"/>
    <n v="4"/>
    <n v="4"/>
    <n v="4"/>
    <n v="12"/>
    <n v="3"/>
    <x v="3"/>
  </r>
  <r>
    <x v="952"/>
    <n v="53593"/>
    <n v="1"/>
    <n v="1"/>
    <n v="60"/>
    <n v="349"/>
    <n v="4"/>
    <n v="78"/>
    <n v="6"/>
    <n v="0"/>
    <n v="43"/>
    <n v="8"/>
    <n v="7"/>
    <n v="2"/>
    <n v="6"/>
    <n v="8"/>
    <n v="0"/>
    <n v="0"/>
    <n v="0"/>
    <n v="0"/>
    <n v="0"/>
    <x v="0"/>
    <n v="0"/>
    <n v="3"/>
    <n v="11"/>
    <n v="0"/>
    <n v="67"/>
    <n v="2850"/>
    <n v="7.8082191780821919"/>
    <n v="0"/>
    <n v="0"/>
    <n v="0"/>
    <n v="1"/>
    <n v="0"/>
    <n v="0"/>
    <n v="0"/>
    <n v="0"/>
    <n v="0"/>
    <n v="1"/>
    <n v="437"/>
    <n v="394"/>
    <n v="43"/>
    <n v="0"/>
    <x v="0"/>
    <x v="0"/>
    <x v="2"/>
    <x v="1"/>
    <x v="2"/>
    <x v="2"/>
    <n v="1"/>
    <n v="0"/>
    <n v="31"/>
    <n v="4"/>
    <n v="9"/>
    <n v="5"/>
    <n v="18"/>
    <n v="6"/>
    <x v="1"/>
  </r>
  <r>
    <x v="953"/>
    <n v="59354"/>
    <n v="0"/>
    <n v="2"/>
    <n v="59"/>
    <n v="295"/>
    <n v="21"/>
    <n v="78"/>
    <n v="39"/>
    <n v="13"/>
    <n v="13"/>
    <n v="1"/>
    <n v="4"/>
    <n v="4"/>
    <n v="7"/>
    <n v="3"/>
    <n v="0"/>
    <n v="0"/>
    <n v="0"/>
    <n v="0"/>
    <n v="0"/>
    <x v="0"/>
    <n v="0"/>
    <n v="3"/>
    <n v="11"/>
    <n v="0"/>
    <n v="67"/>
    <n v="2225"/>
    <n v="6.095890410958904"/>
    <n v="0"/>
    <n v="1"/>
    <n v="0"/>
    <n v="0"/>
    <n v="0"/>
    <n v="0"/>
    <n v="0"/>
    <n v="0"/>
    <n v="1"/>
    <n v="0"/>
    <n v="446"/>
    <n v="433"/>
    <n v="13"/>
    <n v="0"/>
    <x v="0"/>
    <x v="0"/>
    <x v="0"/>
    <x v="1"/>
    <x v="2"/>
    <x v="2"/>
    <n v="1"/>
    <n v="0"/>
    <n v="19"/>
    <n v="4"/>
    <n v="4"/>
    <n v="5"/>
    <n v="13"/>
    <n v="3"/>
    <x v="3"/>
  </r>
  <r>
    <x v="954"/>
    <n v="50014"/>
    <n v="1"/>
    <n v="0"/>
    <n v="9"/>
    <n v="234"/>
    <n v="14"/>
    <n v="77"/>
    <n v="19"/>
    <n v="10"/>
    <n v="42"/>
    <n v="2"/>
    <n v="4"/>
    <n v="1"/>
    <n v="8"/>
    <n v="5"/>
    <n v="0"/>
    <n v="0"/>
    <n v="0"/>
    <n v="0"/>
    <n v="0"/>
    <x v="0"/>
    <n v="0"/>
    <n v="3"/>
    <n v="11"/>
    <n v="0"/>
    <n v="52"/>
    <n v="2317"/>
    <n v="6.3479452054794523"/>
    <n v="0"/>
    <n v="0"/>
    <n v="1"/>
    <n v="0"/>
    <n v="0"/>
    <n v="0"/>
    <n v="0"/>
    <n v="0"/>
    <n v="1"/>
    <n v="0"/>
    <n v="354"/>
    <n v="312"/>
    <n v="42"/>
    <n v="0"/>
    <x v="0"/>
    <x v="0"/>
    <x v="1"/>
    <x v="1"/>
    <x v="2"/>
    <x v="1"/>
    <n v="0"/>
    <n v="0"/>
    <n v="20"/>
    <n v="10"/>
    <n v="4"/>
    <n v="5"/>
    <n v="19"/>
    <n v="7"/>
    <x v="2"/>
  </r>
  <r>
    <x v="955"/>
    <n v="56962"/>
    <n v="2"/>
    <n v="1"/>
    <n v="60"/>
    <n v="292"/>
    <n v="3"/>
    <n v="77"/>
    <n v="10"/>
    <n v="3"/>
    <n v="26"/>
    <n v="7"/>
    <n v="6"/>
    <n v="3"/>
    <n v="5"/>
    <n v="7"/>
    <n v="0"/>
    <n v="0"/>
    <n v="0"/>
    <n v="0"/>
    <n v="0"/>
    <x v="0"/>
    <n v="0"/>
    <n v="3"/>
    <n v="11"/>
    <n v="0"/>
    <n v="55"/>
    <n v="2420"/>
    <n v="6.6301369863013697"/>
    <n v="0"/>
    <n v="1"/>
    <n v="0"/>
    <n v="0"/>
    <n v="0"/>
    <n v="0"/>
    <n v="0"/>
    <n v="0"/>
    <n v="1"/>
    <n v="0"/>
    <n v="385"/>
    <n v="359"/>
    <n v="26"/>
    <n v="0"/>
    <x v="0"/>
    <x v="0"/>
    <x v="0"/>
    <x v="1"/>
    <x v="2"/>
    <x v="1"/>
    <n v="1"/>
    <n v="0"/>
    <n v="28"/>
    <n v="4"/>
    <n v="8"/>
    <n v="5"/>
    <n v="17"/>
    <n v="6"/>
    <x v="1"/>
  </r>
  <r>
    <x v="956"/>
    <n v="26877"/>
    <n v="0"/>
    <n v="0"/>
    <n v="74"/>
    <n v="101"/>
    <n v="13"/>
    <n v="76"/>
    <n v="20"/>
    <n v="18"/>
    <n v="40"/>
    <n v="2"/>
    <n v="3"/>
    <n v="1"/>
    <n v="6"/>
    <n v="6"/>
    <n v="0"/>
    <n v="0"/>
    <n v="0"/>
    <n v="0"/>
    <n v="0"/>
    <x v="0"/>
    <n v="0"/>
    <n v="3"/>
    <n v="11"/>
    <n v="0"/>
    <n v="51"/>
    <n v="2473"/>
    <n v="6.7753424657534245"/>
    <n v="0"/>
    <n v="0"/>
    <n v="1"/>
    <n v="0"/>
    <n v="0"/>
    <n v="0"/>
    <n v="0"/>
    <n v="0"/>
    <n v="1"/>
    <n v="0"/>
    <n v="228"/>
    <n v="188"/>
    <n v="40"/>
    <n v="0"/>
    <x v="1"/>
    <x v="1"/>
    <x v="1"/>
    <x v="1"/>
    <x v="0"/>
    <x v="1"/>
    <n v="1"/>
    <n v="0"/>
    <n v="18"/>
    <n v="3.0000000000000004"/>
    <n v="4"/>
    <n v="4"/>
    <n v="11"/>
    <n v="2"/>
    <x v="3"/>
  </r>
  <r>
    <x v="957"/>
    <n v="36145"/>
    <n v="1"/>
    <n v="0"/>
    <n v="13"/>
    <n v="56"/>
    <n v="4"/>
    <n v="76"/>
    <n v="17"/>
    <n v="1"/>
    <n v="18"/>
    <n v="4"/>
    <n v="4"/>
    <n v="1"/>
    <n v="3"/>
    <n v="9"/>
    <n v="0"/>
    <n v="0"/>
    <n v="1"/>
    <n v="0"/>
    <n v="0"/>
    <x v="1"/>
    <n v="0"/>
    <n v="3"/>
    <n v="11"/>
    <n v="1"/>
    <n v="35"/>
    <n v="2537"/>
    <n v="6.9506849315068493"/>
    <n v="0"/>
    <n v="1"/>
    <n v="0"/>
    <n v="0"/>
    <n v="0"/>
    <n v="1"/>
    <n v="0"/>
    <n v="0"/>
    <n v="0"/>
    <n v="0"/>
    <n v="154"/>
    <n v="136"/>
    <n v="18"/>
    <n v="1"/>
    <x v="0"/>
    <x v="0"/>
    <x v="0"/>
    <x v="1"/>
    <x v="3"/>
    <x v="3"/>
    <n v="0"/>
    <n v="0"/>
    <n v="21"/>
    <n v="9"/>
    <n v="5"/>
    <n v="3"/>
    <n v="17"/>
    <n v="6"/>
    <x v="1"/>
  </r>
  <r>
    <x v="958"/>
    <n v="36634"/>
    <n v="0"/>
    <n v="1"/>
    <n v="0"/>
    <n v="213"/>
    <n v="9"/>
    <n v="76"/>
    <n v="4"/>
    <n v="3"/>
    <n v="30"/>
    <n v="3"/>
    <n v="5"/>
    <n v="2"/>
    <n v="5"/>
    <n v="7"/>
    <n v="0"/>
    <n v="0"/>
    <n v="0"/>
    <n v="0"/>
    <n v="0"/>
    <x v="0"/>
    <n v="0"/>
    <n v="3"/>
    <n v="11"/>
    <n v="0"/>
    <n v="66"/>
    <n v="2556"/>
    <n v="7.0027397260273974"/>
    <n v="0"/>
    <n v="0"/>
    <n v="0"/>
    <n v="1"/>
    <n v="0"/>
    <n v="0"/>
    <n v="0"/>
    <n v="0"/>
    <n v="1"/>
    <n v="0"/>
    <n v="305"/>
    <n v="275"/>
    <n v="30"/>
    <n v="0"/>
    <x v="0"/>
    <x v="0"/>
    <x v="2"/>
    <x v="1"/>
    <x v="3"/>
    <x v="2"/>
    <n v="0"/>
    <n v="0"/>
    <n v="22"/>
    <n v="10"/>
    <n v="5"/>
    <n v="4"/>
    <n v="19"/>
    <n v="7"/>
    <x v="2"/>
  </r>
  <r>
    <x v="959"/>
    <n v="43140"/>
    <n v="0"/>
    <n v="1"/>
    <n v="68"/>
    <n v="134"/>
    <n v="8"/>
    <n v="76"/>
    <n v="6"/>
    <n v="0"/>
    <n v="11"/>
    <n v="1"/>
    <n v="4"/>
    <n v="1"/>
    <n v="5"/>
    <n v="6"/>
    <n v="0"/>
    <n v="0"/>
    <n v="0"/>
    <n v="0"/>
    <n v="0"/>
    <x v="0"/>
    <n v="0"/>
    <n v="3"/>
    <n v="11"/>
    <n v="0"/>
    <n v="63"/>
    <n v="2699"/>
    <n v="7.3945205479452056"/>
    <n v="0"/>
    <n v="1"/>
    <n v="0"/>
    <n v="0"/>
    <n v="0"/>
    <n v="0"/>
    <n v="0"/>
    <n v="1"/>
    <n v="0"/>
    <n v="0"/>
    <n v="224"/>
    <n v="213"/>
    <n v="11"/>
    <n v="0"/>
    <x v="0"/>
    <x v="0"/>
    <x v="0"/>
    <x v="0"/>
    <x v="3"/>
    <x v="2"/>
    <n v="1"/>
    <n v="0"/>
    <n v="17"/>
    <n v="4"/>
    <n v="3"/>
    <n v="4"/>
    <n v="11"/>
    <n v="2"/>
    <x v="3"/>
  </r>
  <r>
    <x v="960"/>
    <n v="52973"/>
    <n v="0"/>
    <n v="1"/>
    <n v="92"/>
    <n v="856"/>
    <n v="0"/>
    <n v="76"/>
    <n v="12"/>
    <n v="9"/>
    <n v="199"/>
    <n v="7"/>
    <n v="9"/>
    <n v="6"/>
    <n v="9"/>
    <n v="8"/>
    <n v="0"/>
    <n v="0"/>
    <n v="0"/>
    <n v="0"/>
    <n v="0"/>
    <x v="0"/>
    <n v="0"/>
    <n v="3"/>
    <n v="11"/>
    <n v="0"/>
    <n v="64"/>
    <n v="2757"/>
    <n v="7.5534246575342463"/>
    <n v="0"/>
    <n v="1"/>
    <n v="0"/>
    <n v="0"/>
    <n v="0"/>
    <n v="0"/>
    <n v="0"/>
    <n v="0"/>
    <n v="1"/>
    <n v="0"/>
    <n v="953"/>
    <n v="754"/>
    <n v="199"/>
    <n v="0"/>
    <x v="0"/>
    <x v="0"/>
    <x v="0"/>
    <x v="1"/>
    <x v="2"/>
    <x v="2"/>
    <n v="1"/>
    <n v="1"/>
    <n v="39"/>
    <n v="0.99999999999999978"/>
    <n v="9"/>
    <n v="7"/>
    <n v="17"/>
    <n v="6"/>
    <x v="1"/>
  </r>
  <r>
    <x v="961"/>
    <n v="53761"/>
    <n v="1"/>
    <n v="1"/>
    <n v="7"/>
    <n v="158"/>
    <n v="0"/>
    <n v="76"/>
    <n v="13"/>
    <n v="7"/>
    <n v="71"/>
    <n v="6"/>
    <n v="4"/>
    <n v="4"/>
    <n v="3"/>
    <n v="5"/>
    <n v="0"/>
    <n v="0"/>
    <n v="0"/>
    <n v="0"/>
    <n v="0"/>
    <x v="0"/>
    <n v="0"/>
    <n v="3"/>
    <n v="11"/>
    <n v="0"/>
    <n v="48"/>
    <n v="2420"/>
    <n v="6.6301369863013697"/>
    <n v="0"/>
    <n v="1"/>
    <n v="0"/>
    <n v="0"/>
    <n v="0"/>
    <n v="0"/>
    <n v="0"/>
    <n v="0"/>
    <n v="1"/>
    <n v="0"/>
    <n v="254"/>
    <n v="183"/>
    <n v="71"/>
    <n v="0"/>
    <x v="0"/>
    <x v="0"/>
    <x v="0"/>
    <x v="1"/>
    <x v="2"/>
    <x v="0"/>
    <n v="0"/>
    <n v="0"/>
    <n v="22"/>
    <n v="10"/>
    <n v="5"/>
    <n v="4"/>
    <n v="19"/>
    <n v="7"/>
    <x v="2"/>
  </r>
  <r>
    <x v="962"/>
    <n v="60554"/>
    <n v="1"/>
    <n v="0"/>
    <n v="8"/>
    <n v="588"/>
    <n v="7"/>
    <n v="76"/>
    <n v="110"/>
    <n v="15"/>
    <n v="15"/>
    <n v="2"/>
    <n v="8"/>
    <n v="4"/>
    <n v="9"/>
    <n v="6"/>
    <n v="0"/>
    <n v="0"/>
    <n v="0"/>
    <n v="0"/>
    <n v="0"/>
    <x v="0"/>
    <n v="0"/>
    <n v="3"/>
    <n v="11"/>
    <n v="0"/>
    <n v="45"/>
    <n v="2483"/>
    <n v="6.8027397260273972"/>
    <n v="1"/>
    <n v="0"/>
    <n v="0"/>
    <n v="0"/>
    <n v="0"/>
    <n v="0"/>
    <n v="0"/>
    <n v="0"/>
    <n v="0"/>
    <n v="1"/>
    <n v="796"/>
    <n v="781"/>
    <n v="15"/>
    <n v="0"/>
    <x v="0"/>
    <x v="0"/>
    <x v="3"/>
    <x v="1"/>
    <x v="2"/>
    <x v="0"/>
    <n v="0"/>
    <n v="0"/>
    <n v="29"/>
    <n v="10"/>
    <n v="8"/>
    <n v="6"/>
    <n v="24"/>
    <n v="9"/>
    <x v="0"/>
  </r>
  <r>
    <x v="963"/>
    <n v="60905"/>
    <n v="0"/>
    <n v="1"/>
    <n v="27"/>
    <n v="208"/>
    <n v="17"/>
    <n v="76"/>
    <n v="36"/>
    <n v="17"/>
    <n v="38"/>
    <n v="2"/>
    <n v="3"/>
    <n v="3"/>
    <n v="7"/>
    <n v="2"/>
    <n v="0"/>
    <n v="0"/>
    <n v="0"/>
    <n v="0"/>
    <n v="0"/>
    <x v="0"/>
    <n v="0"/>
    <n v="3"/>
    <n v="11"/>
    <n v="0"/>
    <n v="70"/>
    <n v="2365"/>
    <n v="6.4794520547945202"/>
    <n v="0"/>
    <n v="0"/>
    <n v="0"/>
    <n v="1"/>
    <n v="0"/>
    <n v="0"/>
    <n v="0"/>
    <n v="1"/>
    <n v="0"/>
    <n v="0"/>
    <n v="354"/>
    <n v="316"/>
    <n v="38"/>
    <n v="0"/>
    <x v="0"/>
    <x v="0"/>
    <x v="2"/>
    <x v="0"/>
    <x v="2"/>
    <x v="2"/>
    <n v="0"/>
    <n v="0"/>
    <n v="17"/>
    <n v="8"/>
    <n v="3"/>
    <n v="5"/>
    <n v="16"/>
    <n v="5"/>
    <x v="1"/>
  </r>
  <r>
    <x v="964"/>
    <n v="71969"/>
    <n v="0"/>
    <n v="1"/>
    <n v="59"/>
    <n v="1000"/>
    <n v="0"/>
    <n v="76"/>
    <n v="0"/>
    <n v="0"/>
    <n v="10"/>
    <n v="3"/>
    <n v="3"/>
    <n v="4"/>
    <n v="9"/>
    <n v="8"/>
    <n v="0"/>
    <n v="0"/>
    <n v="0"/>
    <n v="1"/>
    <n v="0"/>
    <x v="1"/>
    <n v="0"/>
    <n v="3"/>
    <n v="11"/>
    <n v="0"/>
    <n v="49"/>
    <n v="2780"/>
    <n v="7.6164383561643838"/>
    <n v="0"/>
    <n v="1"/>
    <n v="0"/>
    <n v="0"/>
    <n v="0"/>
    <n v="0"/>
    <n v="0"/>
    <n v="0"/>
    <n v="0"/>
    <n v="1"/>
    <n v="1076"/>
    <n v="1066"/>
    <n v="10"/>
    <n v="1"/>
    <x v="0"/>
    <x v="0"/>
    <x v="0"/>
    <x v="1"/>
    <x v="2"/>
    <x v="0"/>
    <n v="1"/>
    <n v="0"/>
    <n v="27"/>
    <n v="4"/>
    <n v="7"/>
    <n v="7"/>
    <n v="18"/>
    <n v="6"/>
    <x v="1"/>
  </r>
  <r>
    <x v="965"/>
    <n v="50725"/>
    <n v="0"/>
    <n v="1"/>
    <n v="45"/>
    <n v="443"/>
    <n v="10"/>
    <n v="75"/>
    <n v="0"/>
    <n v="10"/>
    <n v="48"/>
    <n v="4"/>
    <n v="8"/>
    <n v="1"/>
    <n v="8"/>
    <n v="8"/>
    <n v="0"/>
    <n v="0"/>
    <n v="0"/>
    <n v="0"/>
    <n v="0"/>
    <x v="0"/>
    <n v="0"/>
    <n v="3"/>
    <n v="11"/>
    <n v="0"/>
    <n v="67"/>
    <n v="2660"/>
    <n v="7.2876712328767121"/>
    <n v="0"/>
    <n v="1"/>
    <n v="0"/>
    <n v="0"/>
    <n v="0"/>
    <n v="0"/>
    <n v="0"/>
    <n v="1"/>
    <n v="0"/>
    <n v="0"/>
    <n v="538"/>
    <n v="490"/>
    <n v="48"/>
    <n v="0"/>
    <x v="0"/>
    <x v="0"/>
    <x v="0"/>
    <x v="0"/>
    <x v="2"/>
    <x v="2"/>
    <n v="1"/>
    <n v="0"/>
    <n v="29"/>
    <n v="6"/>
    <n v="8"/>
    <n v="5"/>
    <n v="19"/>
    <n v="7"/>
    <x v="2"/>
  </r>
  <r>
    <x v="966"/>
    <n v="59052"/>
    <n v="0"/>
    <n v="1"/>
    <n v="29"/>
    <n v="230"/>
    <n v="35"/>
    <n v="75"/>
    <n v="63"/>
    <n v="57"/>
    <n v="31"/>
    <n v="3"/>
    <n v="7"/>
    <n v="1"/>
    <n v="7"/>
    <n v="5"/>
    <n v="0"/>
    <n v="0"/>
    <n v="0"/>
    <n v="0"/>
    <n v="0"/>
    <x v="0"/>
    <n v="0"/>
    <n v="3"/>
    <n v="11"/>
    <n v="0"/>
    <n v="61"/>
    <n v="2383"/>
    <n v="6.5287671232876709"/>
    <n v="1"/>
    <n v="0"/>
    <n v="0"/>
    <n v="0"/>
    <n v="0"/>
    <n v="1"/>
    <n v="0"/>
    <n v="0"/>
    <n v="0"/>
    <n v="0"/>
    <n v="460"/>
    <n v="429"/>
    <n v="31"/>
    <n v="0"/>
    <x v="0"/>
    <x v="0"/>
    <x v="3"/>
    <x v="1"/>
    <x v="2"/>
    <x v="2"/>
    <n v="0"/>
    <n v="0"/>
    <n v="23"/>
    <n v="8"/>
    <n v="6"/>
    <n v="5"/>
    <n v="19"/>
    <n v="7"/>
    <x v="2"/>
  </r>
  <r>
    <x v="967"/>
    <n v="69139"/>
    <n v="0"/>
    <n v="1"/>
    <n v="23"/>
    <n v="86"/>
    <n v="12"/>
    <n v="75"/>
    <n v="33"/>
    <n v="15"/>
    <n v="6"/>
    <n v="1"/>
    <n v="4"/>
    <n v="1"/>
    <n v="5"/>
    <n v="4"/>
    <n v="0"/>
    <n v="0"/>
    <n v="0"/>
    <n v="0"/>
    <n v="0"/>
    <x v="0"/>
    <n v="0"/>
    <n v="3"/>
    <n v="11"/>
    <n v="0"/>
    <n v="55"/>
    <n v="2312"/>
    <n v="6.3342465753424655"/>
    <n v="0"/>
    <n v="1"/>
    <n v="0"/>
    <n v="0"/>
    <n v="0"/>
    <n v="0"/>
    <n v="0"/>
    <n v="1"/>
    <n v="0"/>
    <n v="0"/>
    <n v="221"/>
    <n v="215"/>
    <n v="6"/>
    <n v="0"/>
    <x v="0"/>
    <x v="0"/>
    <x v="0"/>
    <x v="0"/>
    <x v="2"/>
    <x v="1"/>
    <n v="0"/>
    <n v="0"/>
    <n v="15"/>
    <n v="8"/>
    <n v="2"/>
    <n v="4"/>
    <n v="14"/>
    <n v="4"/>
    <x v="3"/>
  </r>
  <r>
    <x v="968"/>
    <n v="30507"/>
    <n v="0"/>
    <n v="0"/>
    <n v="29"/>
    <n v="65"/>
    <n v="36"/>
    <n v="74"/>
    <n v="38"/>
    <n v="20"/>
    <n v="110"/>
    <n v="1"/>
    <n v="5"/>
    <n v="1"/>
    <n v="4"/>
    <n v="7"/>
    <n v="0"/>
    <n v="0"/>
    <n v="0"/>
    <n v="0"/>
    <n v="0"/>
    <x v="0"/>
    <n v="0"/>
    <n v="3"/>
    <n v="11"/>
    <n v="0"/>
    <n v="60"/>
    <n v="2634"/>
    <n v="7.2164383561643834"/>
    <n v="0"/>
    <n v="0"/>
    <n v="0"/>
    <n v="1"/>
    <n v="0"/>
    <n v="0"/>
    <n v="0"/>
    <n v="1"/>
    <n v="0"/>
    <n v="0"/>
    <n v="233"/>
    <n v="123"/>
    <n v="110"/>
    <n v="0"/>
    <x v="1"/>
    <x v="1"/>
    <x v="2"/>
    <x v="0"/>
    <x v="0"/>
    <x v="1"/>
    <n v="0"/>
    <n v="0"/>
    <n v="18"/>
    <n v="8"/>
    <n v="4"/>
    <n v="4"/>
    <n v="16"/>
    <n v="5"/>
    <x v="1"/>
  </r>
  <r>
    <x v="969"/>
    <n v="42618"/>
    <n v="1"/>
    <n v="0"/>
    <n v="92"/>
    <n v="76"/>
    <n v="14"/>
    <n v="74"/>
    <n v="13"/>
    <n v="5"/>
    <n v="10"/>
    <n v="2"/>
    <n v="5"/>
    <n v="0"/>
    <n v="4"/>
    <n v="8"/>
    <n v="0"/>
    <n v="0"/>
    <n v="0"/>
    <n v="0"/>
    <n v="0"/>
    <x v="0"/>
    <n v="0"/>
    <n v="3"/>
    <n v="11"/>
    <n v="0"/>
    <n v="48"/>
    <n v="2422"/>
    <n v="6.6356164383561644"/>
    <n v="1"/>
    <n v="0"/>
    <n v="0"/>
    <n v="0"/>
    <n v="0"/>
    <n v="0"/>
    <n v="0"/>
    <n v="0"/>
    <n v="1"/>
    <n v="0"/>
    <n v="182"/>
    <n v="172"/>
    <n v="10"/>
    <n v="0"/>
    <x v="0"/>
    <x v="0"/>
    <x v="3"/>
    <x v="1"/>
    <x v="3"/>
    <x v="0"/>
    <n v="1"/>
    <n v="1"/>
    <n v="19"/>
    <n v="0.99999999999999978"/>
    <n v="4"/>
    <n v="4"/>
    <n v="9"/>
    <n v="1"/>
    <x v="3"/>
  </r>
  <r>
    <x v="970"/>
    <n v="45143"/>
    <n v="0"/>
    <n v="1"/>
    <n v="74"/>
    <n v="202"/>
    <n v="5"/>
    <n v="74"/>
    <n v="11"/>
    <n v="5"/>
    <n v="14"/>
    <n v="3"/>
    <n v="6"/>
    <n v="1"/>
    <n v="5"/>
    <n v="7"/>
    <n v="0"/>
    <n v="0"/>
    <n v="0"/>
    <n v="0"/>
    <n v="0"/>
    <x v="0"/>
    <n v="0"/>
    <n v="3"/>
    <n v="11"/>
    <n v="0"/>
    <n v="55"/>
    <n v="2466"/>
    <n v="6.7561643835616438"/>
    <n v="0"/>
    <n v="0"/>
    <n v="0"/>
    <n v="1"/>
    <n v="0"/>
    <n v="0"/>
    <n v="0"/>
    <n v="0"/>
    <n v="1"/>
    <n v="0"/>
    <n v="297"/>
    <n v="283"/>
    <n v="14"/>
    <n v="0"/>
    <x v="0"/>
    <x v="0"/>
    <x v="2"/>
    <x v="1"/>
    <x v="3"/>
    <x v="1"/>
    <n v="1"/>
    <n v="0"/>
    <n v="22"/>
    <n v="3.0000000000000004"/>
    <n v="5"/>
    <n v="4"/>
    <n v="12"/>
    <n v="3"/>
    <x v="3"/>
  </r>
  <r>
    <x v="971"/>
    <n v="62058"/>
    <n v="0"/>
    <n v="1"/>
    <n v="52"/>
    <n v="301"/>
    <n v="7"/>
    <n v="74"/>
    <n v="10"/>
    <n v="0"/>
    <n v="58"/>
    <n v="4"/>
    <n v="6"/>
    <n v="1"/>
    <n v="7"/>
    <n v="6"/>
    <n v="0"/>
    <n v="0"/>
    <n v="0"/>
    <n v="0"/>
    <n v="0"/>
    <x v="0"/>
    <n v="0"/>
    <n v="3"/>
    <n v="11"/>
    <n v="0"/>
    <n v="64"/>
    <n v="2558"/>
    <n v="7.0082191780821921"/>
    <n v="0"/>
    <n v="1"/>
    <n v="0"/>
    <n v="0"/>
    <n v="0"/>
    <n v="0"/>
    <n v="0"/>
    <n v="0"/>
    <n v="1"/>
    <n v="0"/>
    <n v="392"/>
    <n v="334"/>
    <n v="58"/>
    <n v="0"/>
    <x v="0"/>
    <x v="0"/>
    <x v="0"/>
    <x v="1"/>
    <x v="2"/>
    <x v="2"/>
    <n v="1"/>
    <n v="0"/>
    <n v="24"/>
    <n v="5"/>
    <n v="6"/>
    <n v="5"/>
    <n v="16"/>
    <n v="5"/>
    <x v="1"/>
  </r>
  <r>
    <x v="972"/>
    <n v="65704"/>
    <n v="0"/>
    <n v="0"/>
    <n v="18"/>
    <n v="279"/>
    <n v="172"/>
    <n v="74"/>
    <n v="38"/>
    <n v="8"/>
    <n v="246"/>
    <n v="1"/>
    <n v="2"/>
    <n v="10"/>
    <n v="10"/>
    <n v="1"/>
    <n v="0"/>
    <n v="0"/>
    <n v="0"/>
    <n v="0"/>
    <n v="0"/>
    <x v="0"/>
    <n v="0"/>
    <n v="3"/>
    <n v="11"/>
    <n v="0"/>
    <n v="48"/>
    <n v="2418"/>
    <n v="6.624657534246575"/>
    <n v="0"/>
    <n v="0"/>
    <n v="1"/>
    <n v="0"/>
    <n v="0"/>
    <n v="1"/>
    <n v="0"/>
    <n v="0"/>
    <n v="0"/>
    <n v="0"/>
    <n v="571"/>
    <n v="325"/>
    <n v="246"/>
    <n v="0"/>
    <x v="1"/>
    <x v="1"/>
    <x v="1"/>
    <x v="1"/>
    <x v="2"/>
    <x v="0"/>
    <n v="0"/>
    <n v="0"/>
    <n v="24"/>
    <n v="9"/>
    <n v="6"/>
    <n v="6"/>
    <n v="21"/>
    <n v="8"/>
    <x v="2"/>
  </r>
  <r>
    <x v="973"/>
    <n v="37040"/>
    <n v="0"/>
    <n v="0"/>
    <n v="41"/>
    <n v="86"/>
    <n v="2"/>
    <n v="73"/>
    <n v="69"/>
    <n v="38"/>
    <n v="48"/>
    <n v="1"/>
    <n v="4"/>
    <n v="2"/>
    <n v="5"/>
    <n v="8"/>
    <n v="0"/>
    <n v="0"/>
    <n v="0"/>
    <n v="0"/>
    <n v="0"/>
    <x v="0"/>
    <n v="0"/>
    <n v="3"/>
    <n v="11"/>
    <n v="0"/>
    <n v="38"/>
    <n v="2849"/>
    <n v="7.8054794520547945"/>
    <n v="0"/>
    <n v="1"/>
    <n v="0"/>
    <n v="0"/>
    <n v="0"/>
    <n v="0"/>
    <n v="0"/>
    <n v="1"/>
    <n v="0"/>
    <n v="0"/>
    <n v="268"/>
    <n v="220"/>
    <n v="48"/>
    <n v="0"/>
    <x v="1"/>
    <x v="1"/>
    <x v="0"/>
    <x v="0"/>
    <x v="3"/>
    <x v="3"/>
    <n v="1"/>
    <n v="0"/>
    <n v="20"/>
    <n v="6"/>
    <n v="4"/>
    <n v="4"/>
    <n v="14"/>
    <n v="4"/>
    <x v="3"/>
  </r>
  <r>
    <x v="974"/>
    <n v="40794"/>
    <n v="0"/>
    <n v="1"/>
    <n v="18"/>
    <n v="261"/>
    <n v="23"/>
    <n v="73"/>
    <n v="4"/>
    <n v="23"/>
    <n v="50"/>
    <n v="2"/>
    <n v="6"/>
    <n v="3"/>
    <n v="5"/>
    <n v="7"/>
    <n v="0"/>
    <n v="0"/>
    <n v="0"/>
    <n v="0"/>
    <n v="0"/>
    <x v="0"/>
    <n v="0"/>
    <n v="3"/>
    <n v="11"/>
    <n v="0"/>
    <n v="45"/>
    <n v="2607"/>
    <n v="7.1424657534246574"/>
    <n v="0"/>
    <n v="1"/>
    <n v="0"/>
    <n v="0"/>
    <n v="0"/>
    <n v="0"/>
    <n v="0"/>
    <n v="1"/>
    <n v="0"/>
    <n v="0"/>
    <n v="384"/>
    <n v="334"/>
    <n v="50"/>
    <n v="0"/>
    <x v="0"/>
    <x v="0"/>
    <x v="0"/>
    <x v="0"/>
    <x v="3"/>
    <x v="0"/>
    <n v="0"/>
    <n v="0"/>
    <n v="23"/>
    <n v="9"/>
    <n v="6"/>
    <n v="5"/>
    <n v="20"/>
    <n v="7"/>
    <x v="2"/>
  </r>
  <r>
    <x v="975"/>
    <n v="47009"/>
    <n v="0"/>
    <n v="1"/>
    <n v="89"/>
    <n v="171"/>
    <n v="45"/>
    <n v="73"/>
    <n v="59"/>
    <n v="10"/>
    <n v="90"/>
    <n v="4"/>
    <n v="3"/>
    <n v="2"/>
    <n v="8"/>
    <n v="4"/>
    <n v="0"/>
    <n v="0"/>
    <n v="0"/>
    <n v="0"/>
    <n v="0"/>
    <x v="0"/>
    <n v="0"/>
    <n v="3"/>
    <n v="11"/>
    <n v="0"/>
    <n v="55"/>
    <n v="2430"/>
    <n v="6.6575342465753424"/>
    <n v="0"/>
    <n v="0"/>
    <n v="0"/>
    <n v="1"/>
    <n v="0"/>
    <n v="0"/>
    <n v="0"/>
    <n v="1"/>
    <n v="0"/>
    <n v="0"/>
    <n v="358"/>
    <n v="268"/>
    <n v="90"/>
    <n v="0"/>
    <x v="0"/>
    <x v="0"/>
    <x v="2"/>
    <x v="0"/>
    <x v="3"/>
    <x v="1"/>
    <n v="1"/>
    <n v="0"/>
    <n v="21"/>
    <n v="1.9999999999999996"/>
    <n v="5"/>
    <n v="5"/>
    <n v="12"/>
    <n v="3"/>
    <x v="3"/>
  </r>
  <r>
    <x v="976"/>
    <n v="49544"/>
    <n v="1"/>
    <n v="0"/>
    <n v="0"/>
    <n v="308"/>
    <n v="0"/>
    <n v="73"/>
    <n v="0"/>
    <n v="0"/>
    <n v="23"/>
    <n v="2"/>
    <n v="5"/>
    <n v="1"/>
    <n v="8"/>
    <n v="7"/>
    <n v="0"/>
    <n v="0"/>
    <n v="0"/>
    <n v="0"/>
    <n v="0"/>
    <x v="0"/>
    <n v="0"/>
    <n v="3"/>
    <n v="11"/>
    <n v="0"/>
    <n v="44"/>
    <n v="2661"/>
    <n v="7.2904109589041095"/>
    <n v="0"/>
    <n v="1"/>
    <n v="0"/>
    <n v="0"/>
    <n v="0"/>
    <n v="0"/>
    <n v="0"/>
    <n v="0"/>
    <n v="0"/>
    <n v="1"/>
    <n v="381"/>
    <n v="358"/>
    <n v="23"/>
    <n v="0"/>
    <x v="0"/>
    <x v="0"/>
    <x v="0"/>
    <x v="1"/>
    <x v="3"/>
    <x v="0"/>
    <n v="0"/>
    <n v="0"/>
    <n v="23"/>
    <n v="10"/>
    <n v="6"/>
    <n v="5"/>
    <n v="21"/>
    <n v="8"/>
    <x v="2"/>
  </r>
  <r>
    <x v="977"/>
    <n v="54165"/>
    <n v="0"/>
    <n v="0"/>
    <n v="72"/>
    <n v="127"/>
    <n v="4"/>
    <n v="73"/>
    <n v="15"/>
    <n v="6"/>
    <n v="11"/>
    <n v="1"/>
    <n v="2"/>
    <n v="1"/>
    <n v="7"/>
    <n v="2"/>
    <n v="0"/>
    <n v="0"/>
    <n v="0"/>
    <n v="0"/>
    <n v="0"/>
    <x v="0"/>
    <n v="0"/>
    <n v="3"/>
    <n v="11"/>
    <n v="0"/>
    <n v="51"/>
    <n v="2556"/>
    <n v="7.0027397260273974"/>
    <n v="0"/>
    <n v="0"/>
    <n v="0"/>
    <n v="1"/>
    <n v="0"/>
    <n v="0"/>
    <n v="0"/>
    <n v="1"/>
    <n v="0"/>
    <n v="0"/>
    <n v="225"/>
    <n v="214"/>
    <n v="11"/>
    <n v="0"/>
    <x v="1"/>
    <x v="1"/>
    <x v="2"/>
    <x v="0"/>
    <x v="2"/>
    <x v="1"/>
    <n v="1"/>
    <n v="0"/>
    <n v="13"/>
    <n v="3.0000000000000004"/>
    <n v="1"/>
    <n v="4"/>
    <n v="8"/>
    <n v="1"/>
    <x v="3"/>
  </r>
  <r>
    <x v="978"/>
    <n v="55282"/>
    <n v="1"/>
    <n v="0"/>
    <n v="9"/>
    <n v="125"/>
    <n v="6"/>
    <n v="73"/>
    <n v="8"/>
    <n v="4"/>
    <n v="19"/>
    <n v="1"/>
    <n v="3"/>
    <n v="1"/>
    <n v="6"/>
    <n v="4"/>
    <n v="0"/>
    <n v="0"/>
    <n v="0"/>
    <n v="0"/>
    <n v="0"/>
    <x v="0"/>
    <n v="0"/>
    <n v="3"/>
    <n v="11"/>
    <n v="0"/>
    <n v="50"/>
    <n v="2357"/>
    <n v="6.4575342465753423"/>
    <n v="1"/>
    <n v="0"/>
    <n v="0"/>
    <n v="0"/>
    <n v="0"/>
    <n v="0"/>
    <n v="0"/>
    <n v="0"/>
    <n v="1"/>
    <n v="0"/>
    <n v="216"/>
    <n v="197"/>
    <n v="19"/>
    <n v="0"/>
    <x v="0"/>
    <x v="0"/>
    <x v="3"/>
    <x v="1"/>
    <x v="2"/>
    <x v="0"/>
    <n v="0"/>
    <n v="0"/>
    <n v="15"/>
    <n v="10"/>
    <n v="2"/>
    <n v="4"/>
    <n v="16"/>
    <n v="5"/>
    <x v="1"/>
  </r>
  <r>
    <x v="979"/>
    <n v="62998"/>
    <n v="0"/>
    <n v="1"/>
    <n v="10"/>
    <n v="120"/>
    <n v="58"/>
    <n v="73"/>
    <n v="65"/>
    <n v="89"/>
    <n v="58"/>
    <n v="5"/>
    <n v="5"/>
    <n v="4"/>
    <n v="5"/>
    <n v="5"/>
    <n v="0"/>
    <n v="0"/>
    <n v="0"/>
    <n v="0"/>
    <n v="0"/>
    <x v="0"/>
    <n v="0"/>
    <n v="3"/>
    <n v="11"/>
    <n v="0"/>
    <n v="68"/>
    <n v="2431"/>
    <n v="6.6602739726027398"/>
    <n v="0"/>
    <n v="1"/>
    <n v="0"/>
    <n v="0"/>
    <n v="0"/>
    <n v="0"/>
    <n v="0"/>
    <n v="1"/>
    <n v="0"/>
    <n v="0"/>
    <n v="405"/>
    <n v="347"/>
    <n v="58"/>
    <n v="0"/>
    <x v="0"/>
    <x v="0"/>
    <x v="0"/>
    <x v="0"/>
    <x v="2"/>
    <x v="2"/>
    <n v="0"/>
    <n v="0"/>
    <n v="24"/>
    <n v="9"/>
    <n v="6"/>
    <n v="5"/>
    <n v="20"/>
    <n v="7"/>
    <x v="2"/>
  </r>
  <r>
    <x v="980"/>
    <n v="42207"/>
    <n v="1"/>
    <n v="0"/>
    <n v="71"/>
    <n v="116"/>
    <n v="11"/>
    <n v="72"/>
    <n v="3"/>
    <n v="17"/>
    <n v="46"/>
    <n v="4"/>
    <n v="4"/>
    <n v="1"/>
    <n v="5"/>
    <n v="6"/>
    <n v="0"/>
    <n v="0"/>
    <n v="1"/>
    <n v="0"/>
    <n v="0"/>
    <x v="1"/>
    <n v="0"/>
    <n v="3"/>
    <n v="11"/>
    <n v="1"/>
    <n v="36"/>
    <n v="2613"/>
    <n v="7.1589041095890407"/>
    <n v="0"/>
    <n v="1"/>
    <n v="0"/>
    <n v="0"/>
    <n v="0"/>
    <n v="0"/>
    <n v="0"/>
    <n v="0"/>
    <n v="1"/>
    <n v="0"/>
    <n v="219"/>
    <n v="173"/>
    <n v="46"/>
    <n v="1"/>
    <x v="0"/>
    <x v="0"/>
    <x v="0"/>
    <x v="1"/>
    <x v="3"/>
    <x v="3"/>
    <n v="1"/>
    <n v="0"/>
    <n v="20"/>
    <n v="3.0000000000000004"/>
    <n v="4"/>
    <n v="4"/>
    <n v="11"/>
    <n v="2"/>
    <x v="3"/>
  </r>
  <r>
    <x v="981"/>
    <n v="64950"/>
    <n v="0"/>
    <n v="1"/>
    <n v="29"/>
    <n v="819"/>
    <n v="0"/>
    <n v="72"/>
    <n v="12"/>
    <n v="0"/>
    <n v="63"/>
    <n v="2"/>
    <n v="11"/>
    <n v="2"/>
    <n v="10"/>
    <n v="7"/>
    <n v="0"/>
    <n v="0"/>
    <n v="0"/>
    <n v="1"/>
    <n v="0"/>
    <x v="1"/>
    <n v="0"/>
    <n v="3"/>
    <n v="11"/>
    <n v="0"/>
    <n v="69"/>
    <n v="2845"/>
    <n v="7.7945205479452051"/>
    <n v="0"/>
    <n v="0"/>
    <n v="1"/>
    <n v="0"/>
    <n v="0"/>
    <n v="0"/>
    <n v="0"/>
    <n v="0"/>
    <n v="0"/>
    <n v="1"/>
    <n v="903"/>
    <n v="840"/>
    <n v="63"/>
    <n v="1"/>
    <x v="0"/>
    <x v="0"/>
    <x v="1"/>
    <x v="1"/>
    <x v="2"/>
    <x v="2"/>
    <n v="0"/>
    <n v="0"/>
    <n v="32"/>
    <n v="8"/>
    <n v="9"/>
    <n v="7"/>
    <n v="24"/>
    <n v="9"/>
    <x v="0"/>
  </r>
  <r>
    <x v="982"/>
    <n v="74290"/>
    <n v="0"/>
    <n v="1"/>
    <n v="70"/>
    <n v="1121"/>
    <n v="0"/>
    <n v="72"/>
    <n v="0"/>
    <n v="12"/>
    <n v="12"/>
    <n v="4"/>
    <n v="10"/>
    <n v="8"/>
    <n v="10"/>
    <n v="6"/>
    <n v="1"/>
    <n v="0"/>
    <n v="0"/>
    <n v="1"/>
    <n v="0"/>
    <x v="1"/>
    <n v="0"/>
    <n v="3"/>
    <n v="11"/>
    <n v="0"/>
    <n v="49"/>
    <n v="2480"/>
    <n v="6.7945205479452051"/>
    <n v="1"/>
    <n v="0"/>
    <n v="0"/>
    <n v="0"/>
    <n v="0"/>
    <n v="0"/>
    <n v="0"/>
    <n v="0"/>
    <n v="1"/>
    <n v="0"/>
    <n v="1205"/>
    <n v="1193"/>
    <n v="12"/>
    <n v="2"/>
    <x v="0"/>
    <x v="0"/>
    <x v="3"/>
    <x v="1"/>
    <x v="2"/>
    <x v="0"/>
    <n v="1"/>
    <n v="0"/>
    <n v="38"/>
    <n v="3.0000000000000004"/>
    <n v="9"/>
    <n v="8"/>
    <n v="20"/>
    <n v="7"/>
    <x v="2"/>
  </r>
  <r>
    <x v="983"/>
    <n v="40780"/>
    <n v="0"/>
    <n v="1"/>
    <n v="30"/>
    <n v="229"/>
    <n v="27"/>
    <n v="71"/>
    <n v="13"/>
    <n v="3"/>
    <n v="34"/>
    <n v="4"/>
    <n v="7"/>
    <n v="1"/>
    <n v="5"/>
    <n v="9"/>
    <n v="0"/>
    <n v="0"/>
    <n v="0"/>
    <n v="0"/>
    <n v="0"/>
    <x v="0"/>
    <n v="0"/>
    <n v="3"/>
    <n v="11"/>
    <n v="0"/>
    <n v="44"/>
    <n v="2818"/>
    <n v="7.720547945205479"/>
    <n v="1"/>
    <n v="0"/>
    <n v="0"/>
    <n v="0"/>
    <n v="0"/>
    <n v="0"/>
    <n v="0"/>
    <n v="1"/>
    <n v="0"/>
    <n v="0"/>
    <n v="343"/>
    <n v="309"/>
    <n v="34"/>
    <n v="0"/>
    <x v="0"/>
    <x v="0"/>
    <x v="3"/>
    <x v="0"/>
    <x v="3"/>
    <x v="0"/>
    <n v="0"/>
    <n v="0"/>
    <n v="26"/>
    <n v="7"/>
    <n v="7"/>
    <n v="4"/>
    <n v="18"/>
    <n v="6"/>
    <x v="1"/>
  </r>
  <r>
    <x v="984"/>
    <n v="43776"/>
    <n v="1"/>
    <n v="1"/>
    <n v="9"/>
    <n v="177"/>
    <n v="2"/>
    <n v="71"/>
    <n v="3"/>
    <n v="2"/>
    <n v="20"/>
    <n v="6"/>
    <n v="5"/>
    <n v="2"/>
    <n v="4"/>
    <n v="8"/>
    <n v="0"/>
    <n v="0"/>
    <n v="0"/>
    <n v="0"/>
    <n v="0"/>
    <x v="0"/>
    <n v="0"/>
    <n v="3"/>
    <n v="11"/>
    <n v="1"/>
    <n v="68"/>
    <n v="2670"/>
    <n v="7.3150684931506849"/>
    <n v="0"/>
    <n v="0"/>
    <n v="0"/>
    <n v="1"/>
    <n v="0"/>
    <n v="0"/>
    <n v="0"/>
    <n v="0"/>
    <n v="1"/>
    <n v="0"/>
    <n v="255"/>
    <n v="235"/>
    <n v="20"/>
    <n v="0"/>
    <x v="0"/>
    <x v="0"/>
    <x v="2"/>
    <x v="1"/>
    <x v="3"/>
    <x v="2"/>
    <n v="0"/>
    <n v="0"/>
    <n v="25"/>
    <n v="10"/>
    <n v="7"/>
    <n v="4"/>
    <n v="21"/>
    <n v="8"/>
    <x v="2"/>
  </r>
  <r>
    <x v="985"/>
    <n v="44392"/>
    <n v="1"/>
    <n v="1"/>
    <n v="71"/>
    <n v="87"/>
    <n v="5"/>
    <n v="71"/>
    <n v="7"/>
    <n v="12"/>
    <n v="29"/>
    <n v="5"/>
    <n v="4"/>
    <n v="1"/>
    <n v="4"/>
    <n v="7"/>
    <n v="0"/>
    <n v="0"/>
    <n v="0"/>
    <n v="0"/>
    <n v="0"/>
    <x v="0"/>
    <n v="0"/>
    <n v="3"/>
    <n v="11"/>
    <n v="0"/>
    <n v="46"/>
    <n v="2456"/>
    <n v="6.7287671232876711"/>
    <n v="0"/>
    <n v="0"/>
    <n v="0"/>
    <n v="1"/>
    <n v="0"/>
    <n v="0"/>
    <n v="0"/>
    <n v="1"/>
    <n v="0"/>
    <n v="0"/>
    <n v="182"/>
    <n v="153"/>
    <n v="29"/>
    <n v="0"/>
    <x v="0"/>
    <x v="0"/>
    <x v="2"/>
    <x v="0"/>
    <x v="3"/>
    <x v="0"/>
    <n v="1"/>
    <n v="0"/>
    <n v="21"/>
    <n v="3.0000000000000004"/>
    <n v="5"/>
    <n v="4"/>
    <n v="12"/>
    <n v="3"/>
    <x v="3"/>
  </r>
  <r>
    <x v="986"/>
    <n v="46149"/>
    <n v="0"/>
    <n v="1"/>
    <n v="36"/>
    <n v="254"/>
    <n v="6"/>
    <n v="71"/>
    <n v="4"/>
    <n v="0"/>
    <n v="27"/>
    <n v="5"/>
    <n v="5"/>
    <n v="1"/>
    <n v="7"/>
    <n v="5"/>
    <n v="0"/>
    <n v="0"/>
    <n v="0"/>
    <n v="0"/>
    <n v="0"/>
    <x v="0"/>
    <n v="0"/>
    <n v="3"/>
    <n v="11"/>
    <n v="0"/>
    <n v="45"/>
    <n v="2371"/>
    <n v="6.4958904109589044"/>
    <n v="0"/>
    <n v="1"/>
    <n v="0"/>
    <n v="0"/>
    <n v="0"/>
    <n v="0"/>
    <n v="0"/>
    <n v="1"/>
    <n v="0"/>
    <n v="0"/>
    <n v="335"/>
    <n v="308"/>
    <n v="27"/>
    <n v="0"/>
    <x v="0"/>
    <x v="0"/>
    <x v="0"/>
    <x v="0"/>
    <x v="3"/>
    <x v="0"/>
    <n v="1"/>
    <n v="0"/>
    <n v="23"/>
    <n v="7"/>
    <n v="6"/>
    <n v="4"/>
    <n v="17"/>
    <n v="6"/>
    <x v="1"/>
  </r>
  <r>
    <x v="987"/>
    <n v="50002"/>
    <n v="0"/>
    <n v="1"/>
    <n v="21"/>
    <n v="443"/>
    <n v="5"/>
    <n v="71"/>
    <n v="21"/>
    <n v="16"/>
    <n v="82"/>
    <n v="2"/>
    <n v="8"/>
    <n v="2"/>
    <n v="7"/>
    <n v="7"/>
    <n v="0"/>
    <n v="0"/>
    <n v="0"/>
    <n v="0"/>
    <n v="0"/>
    <x v="0"/>
    <n v="0"/>
    <n v="3"/>
    <n v="11"/>
    <n v="0"/>
    <n v="66"/>
    <n v="2536"/>
    <n v="6.9479452054794519"/>
    <n v="1"/>
    <n v="0"/>
    <n v="0"/>
    <n v="0"/>
    <n v="0"/>
    <n v="0"/>
    <n v="0"/>
    <n v="1"/>
    <n v="0"/>
    <n v="0"/>
    <n v="556"/>
    <n v="474"/>
    <n v="82"/>
    <n v="0"/>
    <x v="0"/>
    <x v="0"/>
    <x v="3"/>
    <x v="0"/>
    <x v="2"/>
    <x v="2"/>
    <n v="0"/>
    <n v="0"/>
    <n v="26"/>
    <n v="8"/>
    <n v="7"/>
    <n v="5"/>
    <n v="20"/>
    <n v="7"/>
    <x v="2"/>
  </r>
  <r>
    <x v="988"/>
    <n v="52278"/>
    <n v="0"/>
    <n v="1"/>
    <n v="24"/>
    <n v="953"/>
    <n v="0"/>
    <n v="71"/>
    <n v="0"/>
    <n v="0"/>
    <n v="174"/>
    <n v="6"/>
    <n v="10"/>
    <n v="5"/>
    <n v="10"/>
    <n v="8"/>
    <n v="0"/>
    <n v="0"/>
    <n v="0"/>
    <n v="0"/>
    <n v="0"/>
    <x v="0"/>
    <n v="0"/>
    <n v="3"/>
    <n v="11"/>
    <n v="1"/>
    <n v="57"/>
    <n v="2679"/>
    <n v="7.3397260273972602"/>
    <n v="0"/>
    <n v="0"/>
    <n v="0"/>
    <n v="0"/>
    <n v="1"/>
    <n v="0"/>
    <n v="0"/>
    <n v="0"/>
    <n v="0"/>
    <n v="1"/>
    <n v="1024"/>
    <n v="850"/>
    <n v="174"/>
    <n v="0"/>
    <x v="0"/>
    <x v="0"/>
    <x v="4"/>
    <x v="1"/>
    <x v="2"/>
    <x v="1"/>
    <n v="0"/>
    <n v="0"/>
    <n v="39"/>
    <n v="8"/>
    <n v="9"/>
    <n v="7"/>
    <n v="24"/>
    <n v="9"/>
    <x v="0"/>
  </r>
  <r>
    <x v="989"/>
    <n v="52278"/>
    <n v="0"/>
    <n v="1"/>
    <n v="24"/>
    <n v="953"/>
    <n v="0"/>
    <n v="71"/>
    <n v="0"/>
    <n v="0"/>
    <n v="174"/>
    <n v="6"/>
    <n v="10"/>
    <n v="5"/>
    <n v="10"/>
    <n v="8"/>
    <n v="0"/>
    <n v="0"/>
    <n v="0"/>
    <n v="0"/>
    <n v="0"/>
    <x v="0"/>
    <n v="0"/>
    <n v="3"/>
    <n v="11"/>
    <n v="0"/>
    <n v="57"/>
    <n v="2679"/>
    <n v="7.3397260273972602"/>
    <n v="0"/>
    <n v="0"/>
    <n v="0"/>
    <n v="0"/>
    <n v="1"/>
    <n v="0"/>
    <n v="0"/>
    <n v="0"/>
    <n v="0"/>
    <n v="1"/>
    <n v="1024"/>
    <n v="850"/>
    <n v="174"/>
    <n v="0"/>
    <x v="0"/>
    <x v="0"/>
    <x v="4"/>
    <x v="1"/>
    <x v="2"/>
    <x v="1"/>
    <n v="0"/>
    <n v="0"/>
    <n v="39"/>
    <n v="8"/>
    <n v="9"/>
    <n v="7"/>
    <n v="24"/>
    <n v="9"/>
    <x v="0"/>
  </r>
  <r>
    <x v="990"/>
    <n v="60208"/>
    <n v="1"/>
    <n v="1"/>
    <n v="13"/>
    <n v="488"/>
    <n v="23"/>
    <n v="71"/>
    <n v="15"/>
    <n v="0"/>
    <n v="59"/>
    <n v="11"/>
    <n v="8"/>
    <n v="3"/>
    <n v="7"/>
    <n v="7"/>
    <n v="0"/>
    <n v="0"/>
    <n v="0"/>
    <n v="1"/>
    <n v="0"/>
    <x v="1"/>
    <n v="0"/>
    <n v="3"/>
    <n v="11"/>
    <n v="1"/>
    <n v="47"/>
    <n v="2789"/>
    <n v="7.6410958904109592"/>
    <n v="0"/>
    <n v="0"/>
    <n v="0"/>
    <n v="0"/>
    <n v="1"/>
    <n v="0"/>
    <n v="0"/>
    <n v="1"/>
    <n v="0"/>
    <n v="0"/>
    <n v="597"/>
    <n v="538"/>
    <n v="59"/>
    <n v="1"/>
    <x v="0"/>
    <x v="0"/>
    <x v="4"/>
    <x v="0"/>
    <x v="2"/>
    <x v="0"/>
    <n v="0"/>
    <n v="0"/>
    <n v="36"/>
    <n v="9"/>
    <n v="9"/>
    <n v="6"/>
    <n v="24"/>
    <n v="9"/>
    <x v="0"/>
  </r>
  <r>
    <x v="991"/>
    <n v="59821"/>
    <n v="0"/>
    <n v="1"/>
    <n v="11"/>
    <n v="629"/>
    <n v="0"/>
    <n v="70"/>
    <n v="0"/>
    <n v="0"/>
    <n v="35"/>
    <n v="6"/>
    <n v="11"/>
    <n v="2"/>
    <n v="7"/>
    <n v="8"/>
    <n v="0"/>
    <n v="0"/>
    <n v="0"/>
    <n v="0"/>
    <n v="0"/>
    <x v="0"/>
    <n v="0"/>
    <n v="3"/>
    <n v="11"/>
    <n v="0"/>
    <n v="65"/>
    <n v="2602"/>
    <n v="7.1287671232876715"/>
    <n v="0"/>
    <n v="1"/>
    <n v="0"/>
    <n v="0"/>
    <n v="0"/>
    <n v="0"/>
    <n v="0"/>
    <n v="0"/>
    <n v="0"/>
    <n v="1"/>
    <n v="699"/>
    <n v="664"/>
    <n v="35"/>
    <n v="0"/>
    <x v="0"/>
    <x v="0"/>
    <x v="0"/>
    <x v="1"/>
    <x v="2"/>
    <x v="2"/>
    <n v="0"/>
    <n v="0"/>
    <n v="34"/>
    <n v="9"/>
    <n v="9"/>
    <n v="6"/>
    <n v="24"/>
    <n v="9"/>
    <x v="0"/>
  </r>
  <r>
    <x v="992"/>
    <n v="63404"/>
    <n v="0"/>
    <n v="2"/>
    <n v="97"/>
    <n v="734"/>
    <n v="26"/>
    <n v="70"/>
    <n v="11"/>
    <n v="44"/>
    <n v="17"/>
    <n v="2"/>
    <n v="6"/>
    <n v="3"/>
    <n v="4"/>
    <n v="4"/>
    <n v="1"/>
    <n v="0"/>
    <n v="0"/>
    <n v="0"/>
    <n v="0"/>
    <x v="1"/>
    <n v="0"/>
    <n v="3"/>
    <n v="11"/>
    <n v="0"/>
    <n v="56"/>
    <n v="2182"/>
    <n v="5.978082191780822"/>
    <n v="0"/>
    <n v="0"/>
    <n v="0"/>
    <n v="1"/>
    <n v="0"/>
    <n v="0"/>
    <n v="0"/>
    <n v="1"/>
    <n v="0"/>
    <n v="0"/>
    <n v="885"/>
    <n v="868"/>
    <n v="17"/>
    <n v="1"/>
    <x v="0"/>
    <x v="0"/>
    <x v="2"/>
    <x v="0"/>
    <x v="2"/>
    <x v="1"/>
    <n v="1"/>
    <n v="1"/>
    <n v="19"/>
    <n v="0.99999999999999978"/>
    <n v="4"/>
    <n v="7"/>
    <n v="12"/>
    <n v="3"/>
    <x v="3"/>
  </r>
  <r>
    <x v="993"/>
    <n v="65210"/>
    <n v="0"/>
    <n v="1"/>
    <n v="25"/>
    <n v="626"/>
    <n v="0"/>
    <n v="70"/>
    <n v="0"/>
    <n v="7"/>
    <n v="28"/>
    <n v="2"/>
    <n v="9"/>
    <n v="3"/>
    <n v="8"/>
    <n v="6"/>
    <n v="1"/>
    <n v="0"/>
    <n v="0"/>
    <n v="1"/>
    <n v="0"/>
    <x v="1"/>
    <n v="0"/>
    <n v="3"/>
    <n v="11"/>
    <n v="0"/>
    <n v="65"/>
    <n v="2270"/>
    <n v="6.2191780821917808"/>
    <n v="0"/>
    <n v="1"/>
    <n v="0"/>
    <n v="0"/>
    <n v="0"/>
    <n v="0"/>
    <n v="0"/>
    <n v="1"/>
    <n v="0"/>
    <n v="0"/>
    <n v="703"/>
    <n v="675"/>
    <n v="28"/>
    <n v="2"/>
    <x v="0"/>
    <x v="0"/>
    <x v="0"/>
    <x v="0"/>
    <x v="2"/>
    <x v="2"/>
    <n v="0"/>
    <n v="0"/>
    <n v="28"/>
    <n v="8"/>
    <n v="8"/>
    <n v="6"/>
    <n v="22"/>
    <n v="8"/>
    <x v="2"/>
  </r>
  <r>
    <x v="994"/>
    <n v="65463"/>
    <n v="1"/>
    <n v="0"/>
    <n v="17"/>
    <n v="391"/>
    <n v="32"/>
    <n v="70"/>
    <n v="21"/>
    <n v="32"/>
    <n v="16"/>
    <n v="2"/>
    <n v="6"/>
    <n v="2"/>
    <n v="9"/>
    <n v="5"/>
    <n v="0"/>
    <n v="0"/>
    <n v="0"/>
    <n v="1"/>
    <n v="0"/>
    <x v="1"/>
    <n v="0"/>
    <n v="3"/>
    <n v="11"/>
    <n v="0"/>
    <n v="46"/>
    <n v="2309"/>
    <n v="6.3260273972602743"/>
    <n v="0"/>
    <n v="1"/>
    <n v="0"/>
    <n v="0"/>
    <n v="0"/>
    <n v="1"/>
    <n v="0"/>
    <n v="0"/>
    <n v="0"/>
    <n v="0"/>
    <n v="546"/>
    <n v="530"/>
    <n v="16"/>
    <n v="1"/>
    <x v="0"/>
    <x v="0"/>
    <x v="0"/>
    <x v="1"/>
    <x v="2"/>
    <x v="0"/>
    <n v="0"/>
    <n v="0"/>
    <n v="24"/>
    <n v="9"/>
    <n v="6"/>
    <n v="5"/>
    <n v="20"/>
    <n v="7"/>
    <x v="2"/>
  </r>
  <r>
    <x v="995"/>
    <n v="67369"/>
    <n v="0"/>
    <n v="1"/>
    <n v="81"/>
    <n v="1298"/>
    <n v="0"/>
    <n v="70"/>
    <n v="37"/>
    <n v="14"/>
    <n v="42"/>
    <n v="4"/>
    <n v="7"/>
    <n v="4"/>
    <n v="10"/>
    <n v="4"/>
    <n v="0"/>
    <n v="0"/>
    <n v="0"/>
    <n v="1"/>
    <n v="1"/>
    <x v="1"/>
    <n v="0"/>
    <n v="3"/>
    <n v="11"/>
    <n v="1"/>
    <n v="51"/>
    <n v="2748"/>
    <n v="7.5287671232876709"/>
    <n v="0"/>
    <n v="0"/>
    <n v="0"/>
    <n v="0"/>
    <n v="1"/>
    <n v="0"/>
    <n v="0"/>
    <n v="0"/>
    <n v="1"/>
    <n v="0"/>
    <n v="1419"/>
    <n v="1377"/>
    <n v="42"/>
    <n v="2"/>
    <x v="0"/>
    <x v="0"/>
    <x v="4"/>
    <x v="1"/>
    <x v="2"/>
    <x v="1"/>
    <n v="1"/>
    <n v="0"/>
    <n v="29"/>
    <n v="1.9999999999999996"/>
    <n v="8"/>
    <n v="8"/>
    <n v="18"/>
    <n v="6"/>
    <x v="1"/>
  </r>
  <r>
    <x v="996"/>
    <n v="38175"/>
    <n v="1"/>
    <n v="0"/>
    <n v="6"/>
    <n v="70"/>
    <n v="6"/>
    <n v="69"/>
    <n v="2"/>
    <n v="3"/>
    <n v="3"/>
    <n v="3"/>
    <n v="3"/>
    <n v="1"/>
    <n v="4"/>
    <n v="7"/>
    <n v="0"/>
    <n v="0"/>
    <n v="0"/>
    <n v="0"/>
    <n v="0"/>
    <x v="0"/>
    <n v="0"/>
    <n v="3"/>
    <n v="11"/>
    <n v="0"/>
    <n v="36"/>
    <n v="2438"/>
    <n v="6.6794520547945204"/>
    <n v="0"/>
    <n v="1"/>
    <n v="0"/>
    <n v="0"/>
    <n v="0"/>
    <n v="0"/>
    <n v="0"/>
    <n v="0"/>
    <n v="0"/>
    <n v="1"/>
    <n v="150"/>
    <n v="147"/>
    <n v="3"/>
    <n v="0"/>
    <x v="0"/>
    <x v="0"/>
    <x v="0"/>
    <x v="1"/>
    <x v="3"/>
    <x v="3"/>
    <n v="0"/>
    <n v="0"/>
    <n v="18"/>
    <n v="10"/>
    <n v="4"/>
    <n v="3"/>
    <n v="17"/>
    <n v="6"/>
    <x v="1"/>
  </r>
  <r>
    <x v="997"/>
    <n v="38683"/>
    <n v="1"/>
    <n v="0"/>
    <n v="80"/>
    <n v="46"/>
    <n v="35"/>
    <n v="69"/>
    <n v="84"/>
    <n v="41"/>
    <n v="66"/>
    <n v="6"/>
    <n v="4"/>
    <n v="1"/>
    <n v="6"/>
    <n v="7"/>
    <n v="0"/>
    <n v="0"/>
    <n v="0"/>
    <n v="0"/>
    <n v="0"/>
    <x v="0"/>
    <n v="0"/>
    <n v="3"/>
    <n v="11"/>
    <n v="0"/>
    <n v="31"/>
    <n v="2792"/>
    <n v="7.6493150684931503"/>
    <n v="0"/>
    <n v="0"/>
    <n v="0"/>
    <n v="1"/>
    <n v="0"/>
    <n v="1"/>
    <n v="0"/>
    <n v="0"/>
    <n v="0"/>
    <n v="0"/>
    <n v="275"/>
    <n v="209"/>
    <n v="66"/>
    <n v="0"/>
    <x v="0"/>
    <x v="0"/>
    <x v="2"/>
    <x v="1"/>
    <x v="3"/>
    <x v="3"/>
    <n v="1"/>
    <n v="0"/>
    <n v="24"/>
    <n v="1.9999999999999996"/>
    <n v="6"/>
    <n v="4"/>
    <n v="12"/>
    <n v="3"/>
    <x v="3"/>
  </r>
  <r>
    <x v="998"/>
    <n v="46681"/>
    <n v="0"/>
    <n v="2"/>
    <n v="52"/>
    <n v="269"/>
    <n v="15"/>
    <n v="69"/>
    <n v="15"/>
    <n v="19"/>
    <n v="38"/>
    <n v="2"/>
    <n v="4"/>
    <n v="6"/>
    <n v="4"/>
    <n v="5"/>
    <n v="0"/>
    <n v="0"/>
    <n v="0"/>
    <n v="0"/>
    <n v="0"/>
    <x v="0"/>
    <n v="0"/>
    <n v="3"/>
    <n v="11"/>
    <n v="0"/>
    <n v="72"/>
    <n v="2423"/>
    <n v="6.6383561643835618"/>
    <n v="0"/>
    <n v="0"/>
    <n v="0"/>
    <n v="1"/>
    <n v="0"/>
    <n v="0"/>
    <n v="0"/>
    <n v="0"/>
    <n v="0"/>
    <n v="1"/>
    <n v="387"/>
    <n v="349"/>
    <n v="38"/>
    <n v="0"/>
    <x v="0"/>
    <x v="0"/>
    <x v="2"/>
    <x v="1"/>
    <x v="3"/>
    <x v="2"/>
    <n v="1"/>
    <n v="0"/>
    <n v="21"/>
    <n v="5"/>
    <n v="5"/>
    <n v="5"/>
    <n v="15"/>
    <n v="4"/>
    <x v="3"/>
  </r>
  <r>
    <x v="999"/>
    <n v="49967"/>
    <n v="0"/>
    <n v="1"/>
    <n v="4"/>
    <n v="212"/>
    <n v="6"/>
    <n v="69"/>
    <n v="4"/>
    <n v="12"/>
    <n v="3"/>
    <n v="3"/>
    <n v="6"/>
    <n v="1"/>
    <n v="5"/>
    <n v="7"/>
    <n v="0"/>
    <n v="0"/>
    <n v="0"/>
    <n v="0"/>
    <n v="0"/>
    <x v="0"/>
    <n v="0"/>
    <n v="3"/>
    <n v="11"/>
    <n v="0"/>
    <n v="62"/>
    <n v="2515"/>
    <n v="6.8904109589041092"/>
    <n v="0"/>
    <n v="0"/>
    <n v="1"/>
    <n v="0"/>
    <n v="0"/>
    <n v="0"/>
    <n v="0"/>
    <n v="1"/>
    <n v="0"/>
    <n v="0"/>
    <n v="303"/>
    <n v="300"/>
    <n v="3"/>
    <n v="0"/>
    <x v="0"/>
    <x v="0"/>
    <x v="1"/>
    <x v="0"/>
    <x v="3"/>
    <x v="2"/>
    <n v="0"/>
    <n v="0"/>
    <n v="22"/>
    <n v="10"/>
    <n v="5"/>
    <n v="4"/>
    <n v="19"/>
    <n v="7"/>
    <x v="2"/>
  </r>
  <r>
    <x v="1000"/>
    <n v="56181"/>
    <n v="0"/>
    <n v="1"/>
    <n v="6"/>
    <n v="121"/>
    <n v="103"/>
    <n v="69"/>
    <n v="8"/>
    <n v="44"/>
    <n v="48"/>
    <n v="1"/>
    <n v="4"/>
    <n v="2"/>
    <n v="7"/>
    <n v="4"/>
    <n v="0"/>
    <n v="0"/>
    <n v="0"/>
    <n v="0"/>
    <n v="0"/>
    <x v="0"/>
    <n v="0"/>
    <n v="3"/>
    <n v="11"/>
    <n v="0"/>
    <n v="58"/>
    <n v="2696"/>
    <n v="7.3863013698630136"/>
    <n v="0"/>
    <n v="1"/>
    <n v="0"/>
    <n v="0"/>
    <n v="0"/>
    <n v="0"/>
    <n v="0"/>
    <n v="1"/>
    <n v="0"/>
    <n v="0"/>
    <n v="345"/>
    <n v="297"/>
    <n v="48"/>
    <n v="0"/>
    <x v="0"/>
    <x v="0"/>
    <x v="0"/>
    <x v="0"/>
    <x v="2"/>
    <x v="1"/>
    <n v="0"/>
    <n v="0"/>
    <n v="18"/>
    <n v="10"/>
    <n v="4"/>
    <n v="5"/>
    <n v="19"/>
    <n v="7"/>
    <x v="2"/>
  </r>
  <r>
    <x v="1001"/>
    <n v="57100"/>
    <n v="0"/>
    <n v="0"/>
    <n v="19"/>
    <n v="181"/>
    <n v="21"/>
    <n v="69"/>
    <n v="39"/>
    <n v="3"/>
    <n v="96"/>
    <n v="1"/>
    <n v="3"/>
    <n v="3"/>
    <n v="6"/>
    <n v="3"/>
    <n v="0"/>
    <n v="0"/>
    <n v="0"/>
    <n v="0"/>
    <n v="0"/>
    <x v="0"/>
    <n v="0"/>
    <n v="3"/>
    <n v="11"/>
    <n v="0"/>
    <n v="47"/>
    <n v="2366"/>
    <n v="6.4821917808219176"/>
    <n v="0"/>
    <n v="0"/>
    <n v="0"/>
    <n v="1"/>
    <n v="0"/>
    <n v="0"/>
    <n v="0"/>
    <n v="1"/>
    <n v="0"/>
    <n v="0"/>
    <n v="313"/>
    <n v="217"/>
    <n v="96"/>
    <n v="0"/>
    <x v="1"/>
    <x v="1"/>
    <x v="2"/>
    <x v="0"/>
    <x v="2"/>
    <x v="0"/>
    <n v="0"/>
    <n v="0"/>
    <n v="16"/>
    <n v="9"/>
    <n v="3"/>
    <n v="4"/>
    <n v="16"/>
    <n v="5"/>
    <x v="1"/>
  </r>
  <r>
    <x v="1002"/>
    <n v="58308"/>
    <n v="0"/>
    <n v="1"/>
    <n v="77"/>
    <n v="691"/>
    <n v="0"/>
    <n v="69"/>
    <n v="10"/>
    <n v="0"/>
    <n v="130"/>
    <n v="4"/>
    <n v="2"/>
    <n v="6"/>
    <n v="3"/>
    <n v="8"/>
    <n v="0"/>
    <n v="0"/>
    <n v="0"/>
    <n v="0"/>
    <n v="0"/>
    <x v="0"/>
    <n v="0"/>
    <n v="3"/>
    <n v="11"/>
    <n v="0"/>
    <n v="56"/>
    <n v="2692"/>
    <n v="7.375342465753425"/>
    <n v="0"/>
    <n v="0"/>
    <n v="1"/>
    <n v="0"/>
    <n v="0"/>
    <n v="0"/>
    <n v="0"/>
    <n v="0"/>
    <n v="1"/>
    <n v="0"/>
    <n v="770"/>
    <n v="640"/>
    <n v="130"/>
    <n v="0"/>
    <x v="0"/>
    <x v="0"/>
    <x v="1"/>
    <x v="1"/>
    <x v="2"/>
    <x v="1"/>
    <n v="1"/>
    <n v="0"/>
    <n v="23"/>
    <n v="3.0000000000000004"/>
    <n v="6"/>
    <n v="6"/>
    <n v="15"/>
    <n v="4"/>
    <x v="3"/>
  </r>
  <r>
    <x v="1003"/>
    <n v="59601"/>
    <n v="0"/>
    <n v="1"/>
    <n v="14"/>
    <n v="691"/>
    <n v="7"/>
    <n v="69"/>
    <n v="0"/>
    <n v="7"/>
    <n v="23"/>
    <n v="4"/>
    <n v="2"/>
    <n v="2"/>
    <n v="7"/>
    <n v="8"/>
    <n v="0"/>
    <n v="0"/>
    <n v="0"/>
    <n v="1"/>
    <n v="0"/>
    <x v="1"/>
    <n v="0"/>
    <n v="3"/>
    <n v="11"/>
    <n v="0"/>
    <n v="43"/>
    <n v="2498"/>
    <n v="6.8438356164383558"/>
    <n v="1"/>
    <n v="0"/>
    <n v="0"/>
    <n v="0"/>
    <n v="0"/>
    <n v="1"/>
    <n v="0"/>
    <n v="0"/>
    <n v="0"/>
    <n v="0"/>
    <n v="774"/>
    <n v="751"/>
    <n v="23"/>
    <n v="1"/>
    <x v="0"/>
    <x v="0"/>
    <x v="3"/>
    <x v="1"/>
    <x v="2"/>
    <x v="0"/>
    <n v="0"/>
    <n v="0"/>
    <n v="23"/>
    <n v="9"/>
    <n v="6"/>
    <n v="6"/>
    <n v="21"/>
    <n v="8"/>
    <x v="2"/>
  </r>
  <r>
    <x v="1004"/>
    <n v="65169"/>
    <n v="0"/>
    <n v="0"/>
    <n v="23"/>
    <n v="1074"/>
    <n v="0"/>
    <n v="69"/>
    <n v="0"/>
    <n v="0"/>
    <n v="46"/>
    <n v="1"/>
    <n v="10"/>
    <n v="4"/>
    <n v="13"/>
    <n v="6"/>
    <n v="1"/>
    <n v="1"/>
    <n v="1"/>
    <n v="0"/>
    <n v="1"/>
    <x v="1"/>
    <n v="0"/>
    <n v="3"/>
    <n v="11"/>
    <n v="1"/>
    <n v="38"/>
    <n v="2325"/>
    <n v="6.3698630136986303"/>
    <n v="0"/>
    <n v="1"/>
    <n v="0"/>
    <n v="0"/>
    <n v="0"/>
    <n v="0"/>
    <n v="0"/>
    <n v="1"/>
    <n v="0"/>
    <n v="0"/>
    <n v="1143"/>
    <n v="1097"/>
    <n v="46"/>
    <n v="4"/>
    <x v="1"/>
    <x v="1"/>
    <x v="0"/>
    <x v="0"/>
    <x v="2"/>
    <x v="3"/>
    <n v="0"/>
    <n v="0"/>
    <n v="34"/>
    <n v="8"/>
    <n v="9"/>
    <n v="8"/>
    <n v="25"/>
    <n v="9"/>
    <x v="0"/>
  </r>
  <r>
    <x v="1005"/>
    <n v="65526"/>
    <n v="0"/>
    <n v="1"/>
    <n v="22"/>
    <n v="397"/>
    <n v="19"/>
    <n v="69"/>
    <n v="12"/>
    <n v="0"/>
    <n v="9"/>
    <n v="1"/>
    <n v="4"/>
    <n v="4"/>
    <n v="8"/>
    <n v="2"/>
    <n v="0"/>
    <n v="0"/>
    <n v="0"/>
    <n v="0"/>
    <n v="0"/>
    <x v="0"/>
    <n v="0"/>
    <n v="3"/>
    <n v="11"/>
    <n v="0"/>
    <n v="56"/>
    <n v="2238"/>
    <n v="6.1315068493150688"/>
    <n v="0"/>
    <n v="1"/>
    <n v="0"/>
    <n v="0"/>
    <n v="0"/>
    <n v="0"/>
    <n v="0"/>
    <n v="0"/>
    <n v="0"/>
    <n v="1"/>
    <n v="497"/>
    <n v="488"/>
    <n v="9"/>
    <n v="0"/>
    <x v="0"/>
    <x v="0"/>
    <x v="0"/>
    <x v="1"/>
    <x v="2"/>
    <x v="1"/>
    <n v="0"/>
    <n v="0"/>
    <n v="19"/>
    <n v="8"/>
    <n v="4"/>
    <n v="5"/>
    <n v="17"/>
    <n v="6"/>
    <x v="1"/>
  </r>
  <r>
    <x v="1006"/>
    <n v="29760"/>
    <n v="1"/>
    <n v="0"/>
    <n v="87"/>
    <n v="64"/>
    <n v="4"/>
    <n v="68"/>
    <n v="7"/>
    <n v="5"/>
    <n v="17"/>
    <n v="4"/>
    <n v="3"/>
    <n v="1"/>
    <n v="4"/>
    <n v="8"/>
    <n v="0"/>
    <n v="0"/>
    <n v="0"/>
    <n v="0"/>
    <n v="0"/>
    <x v="0"/>
    <n v="0"/>
    <n v="3"/>
    <n v="11"/>
    <n v="0"/>
    <n v="35"/>
    <n v="2828"/>
    <n v="7.7479452054794518"/>
    <n v="0"/>
    <n v="0"/>
    <n v="1"/>
    <n v="0"/>
    <n v="0"/>
    <n v="0"/>
    <n v="0"/>
    <n v="1"/>
    <n v="0"/>
    <n v="0"/>
    <n v="148"/>
    <n v="131"/>
    <n v="17"/>
    <n v="0"/>
    <x v="0"/>
    <x v="0"/>
    <x v="1"/>
    <x v="0"/>
    <x v="0"/>
    <x v="3"/>
    <n v="1"/>
    <n v="0"/>
    <n v="20"/>
    <n v="1.9999999999999996"/>
    <n v="4"/>
    <n v="3"/>
    <n v="9"/>
    <n v="1"/>
    <x v="3"/>
  </r>
  <r>
    <x v="1007"/>
    <n v="43456"/>
    <n v="0"/>
    <n v="1"/>
    <n v="0"/>
    <n v="275"/>
    <n v="11"/>
    <n v="68"/>
    <n v="25"/>
    <n v="7"/>
    <n v="7"/>
    <n v="3"/>
    <n v="5"/>
    <n v="1"/>
    <n v="8"/>
    <n v="5"/>
    <n v="0"/>
    <n v="0"/>
    <n v="0"/>
    <n v="0"/>
    <n v="0"/>
    <x v="0"/>
    <n v="0"/>
    <n v="3"/>
    <n v="11"/>
    <n v="0"/>
    <n v="54"/>
    <n v="2619"/>
    <n v="7.1753424657534248"/>
    <n v="0"/>
    <n v="0"/>
    <n v="1"/>
    <n v="0"/>
    <n v="0"/>
    <n v="0"/>
    <n v="0"/>
    <n v="0"/>
    <n v="1"/>
    <n v="0"/>
    <n v="386"/>
    <n v="379"/>
    <n v="7"/>
    <n v="0"/>
    <x v="0"/>
    <x v="0"/>
    <x v="1"/>
    <x v="1"/>
    <x v="3"/>
    <x v="1"/>
    <n v="0"/>
    <n v="0"/>
    <n v="22"/>
    <n v="10"/>
    <n v="5"/>
    <n v="5"/>
    <n v="20"/>
    <n v="7"/>
    <x v="2"/>
  </r>
  <r>
    <x v="1008"/>
    <n v="46097"/>
    <n v="0"/>
    <n v="1"/>
    <n v="11"/>
    <n v="72"/>
    <n v="24"/>
    <n v="68"/>
    <n v="65"/>
    <n v="4"/>
    <n v="8"/>
    <n v="5"/>
    <n v="3"/>
    <n v="1"/>
    <n v="6"/>
    <n v="4"/>
    <n v="0"/>
    <n v="0"/>
    <n v="0"/>
    <n v="0"/>
    <n v="0"/>
    <x v="0"/>
    <n v="0"/>
    <n v="3"/>
    <n v="11"/>
    <n v="0"/>
    <n v="64"/>
    <n v="2614"/>
    <n v="7.161643835616438"/>
    <n v="0"/>
    <n v="0"/>
    <n v="0"/>
    <n v="1"/>
    <n v="0"/>
    <n v="0"/>
    <n v="0"/>
    <n v="1"/>
    <n v="0"/>
    <n v="0"/>
    <n v="233"/>
    <n v="225"/>
    <n v="8"/>
    <n v="0"/>
    <x v="0"/>
    <x v="0"/>
    <x v="2"/>
    <x v="0"/>
    <x v="3"/>
    <x v="2"/>
    <n v="0"/>
    <n v="0"/>
    <n v="19"/>
    <n v="9"/>
    <n v="4"/>
    <n v="4"/>
    <n v="17"/>
    <n v="6"/>
    <x v="1"/>
  </r>
  <r>
    <x v="1009"/>
    <n v="48195"/>
    <n v="1"/>
    <n v="1"/>
    <n v="53"/>
    <n v="106"/>
    <n v="27"/>
    <n v="68"/>
    <n v="52"/>
    <n v="7"/>
    <n v="5"/>
    <n v="6"/>
    <n v="4"/>
    <n v="2"/>
    <n v="5"/>
    <n v="6"/>
    <n v="0"/>
    <n v="0"/>
    <n v="0"/>
    <n v="0"/>
    <n v="0"/>
    <x v="0"/>
    <n v="0"/>
    <n v="3"/>
    <n v="11"/>
    <n v="0"/>
    <n v="64"/>
    <n v="2318"/>
    <n v="6.3506849315068497"/>
    <n v="0"/>
    <n v="1"/>
    <n v="0"/>
    <n v="0"/>
    <n v="0"/>
    <n v="0"/>
    <n v="0"/>
    <n v="1"/>
    <n v="0"/>
    <n v="0"/>
    <n v="260"/>
    <n v="255"/>
    <n v="5"/>
    <n v="0"/>
    <x v="0"/>
    <x v="0"/>
    <x v="0"/>
    <x v="0"/>
    <x v="3"/>
    <x v="2"/>
    <n v="1"/>
    <n v="0"/>
    <n v="23"/>
    <n v="5"/>
    <n v="6"/>
    <n v="4"/>
    <n v="15"/>
    <n v="4"/>
    <x v="3"/>
  </r>
  <r>
    <x v="1010"/>
    <n v="48920"/>
    <n v="0"/>
    <n v="2"/>
    <n v="93"/>
    <n v="238"/>
    <n v="17"/>
    <n v="68"/>
    <n v="8"/>
    <n v="10"/>
    <n v="6"/>
    <n v="3"/>
    <n v="6"/>
    <n v="2"/>
    <n v="5"/>
    <n v="7"/>
    <n v="0"/>
    <n v="0"/>
    <n v="0"/>
    <n v="1"/>
    <n v="0"/>
    <x v="1"/>
    <n v="0"/>
    <n v="3"/>
    <n v="11"/>
    <n v="0"/>
    <n v="56"/>
    <n v="2411"/>
    <n v="6.6054794520547944"/>
    <n v="0"/>
    <n v="1"/>
    <n v="0"/>
    <n v="0"/>
    <n v="0"/>
    <n v="0"/>
    <n v="0"/>
    <n v="1"/>
    <n v="0"/>
    <n v="0"/>
    <n v="341"/>
    <n v="335"/>
    <n v="6"/>
    <n v="1"/>
    <x v="0"/>
    <x v="0"/>
    <x v="0"/>
    <x v="0"/>
    <x v="3"/>
    <x v="1"/>
    <n v="1"/>
    <n v="1"/>
    <n v="23"/>
    <n v="0.99999999999999978"/>
    <n v="6"/>
    <n v="4"/>
    <n v="11"/>
    <n v="2"/>
    <x v="3"/>
  </r>
  <r>
    <x v="1011"/>
    <n v="58494"/>
    <n v="0"/>
    <n v="1"/>
    <n v="56"/>
    <n v="298"/>
    <n v="7"/>
    <n v="68"/>
    <n v="4"/>
    <n v="0"/>
    <n v="19"/>
    <n v="2"/>
    <n v="6"/>
    <n v="2"/>
    <n v="6"/>
    <n v="6"/>
    <n v="0"/>
    <n v="0"/>
    <n v="0"/>
    <n v="0"/>
    <n v="0"/>
    <x v="0"/>
    <n v="0"/>
    <n v="3"/>
    <n v="11"/>
    <n v="0"/>
    <n v="46"/>
    <n v="2358"/>
    <n v="6.4602739726027396"/>
    <n v="0"/>
    <n v="1"/>
    <n v="0"/>
    <n v="0"/>
    <n v="0"/>
    <n v="0"/>
    <n v="0"/>
    <n v="0"/>
    <n v="1"/>
    <n v="0"/>
    <n v="377"/>
    <n v="358"/>
    <n v="19"/>
    <n v="0"/>
    <x v="0"/>
    <x v="0"/>
    <x v="0"/>
    <x v="1"/>
    <x v="2"/>
    <x v="0"/>
    <n v="1"/>
    <n v="0"/>
    <n v="22"/>
    <n v="5"/>
    <n v="5"/>
    <n v="5"/>
    <n v="15"/>
    <n v="4"/>
    <x v="3"/>
  </r>
  <r>
    <x v="1012"/>
    <n v="58554"/>
    <n v="1"/>
    <n v="1"/>
    <n v="55"/>
    <n v="368"/>
    <n v="24"/>
    <n v="68"/>
    <n v="38"/>
    <n v="0"/>
    <n v="88"/>
    <n v="6"/>
    <n v="8"/>
    <n v="2"/>
    <n v="6"/>
    <n v="7"/>
    <n v="0"/>
    <n v="0"/>
    <n v="0"/>
    <n v="0"/>
    <n v="0"/>
    <x v="0"/>
    <n v="0"/>
    <n v="3"/>
    <n v="11"/>
    <n v="0"/>
    <n v="52"/>
    <n v="2800"/>
    <n v="7.6712328767123283"/>
    <n v="0"/>
    <n v="0"/>
    <n v="0"/>
    <n v="1"/>
    <n v="0"/>
    <n v="0"/>
    <n v="0"/>
    <n v="1"/>
    <n v="0"/>
    <n v="0"/>
    <n v="498"/>
    <n v="410"/>
    <n v="88"/>
    <n v="0"/>
    <x v="0"/>
    <x v="0"/>
    <x v="2"/>
    <x v="0"/>
    <x v="2"/>
    <x v="1"/>
    <n v="1"/>
    <n v="0"/>
    <n v="29"/>
    <n v="5"/>
    <n v="8"/>
    <n v="5"/>
    <n v="18"/>
    <n v="6"/>
    <x v="1"/>
  </r>
  <r>
    <x v="1013"/>
    <n v="59292"/>
    <n v="0"/>
    <n v="1"/>
    <n v="71"/>
    <n v="378"/>
    <n v="14"/>
    <n v="68"/>
    <n v="19"/>
    <n v="14"/>
    <n v="14"/>
    <n v="2"/>
    <n v="3"/>
    <n v="5"/>
    <n v="8"/>
    <n v="3"/>
    <n v="0"/>
    <n v="0"/>
    <n v="0"/>
    <n v="0"/>
    <n v="0"/>
    <x v="0"/>
    <n v="0"/>
    <n v="3"/>
    <n v="11"/>
    <n v="0"/>
    <n v="70"/>
    <n v="2540"/>
    <n v="6.9589041095890414"/>
    <n v="0"/>
    <n v="0"/>
    <n v="0"/>
    <n v="1"/>
    <n v="0"/>
    <n v="0"/>
    <n v="0"/>
    <n v="0"/>
    <n v="0"/>
    <n v="1"/>
    <n v="493"/>
    <n v="479"/>
    <n v="14"/>
    <n v="0"/>
    <x v="0"/>
    <x v="0"/>
    <x v="2"/>
    <x v="1"/>
    <x v="2"/>
    <x v="2"/>
    <n v="1"/>
    <n v="0"/>
    <n v="21"/>
    <n v="3.0000000000000004"/>
    <n v="5"/>
    <n v="5"/>
    <n v="13"/>
    <n v="3"/>
    <x v="3"/>
  </r>
  <r>
    <x v="1014"/>
    <n v="61482"/>
    <n v="0"/>
    <n v="0"/>
    <n v="39"/>
    <n v="48"/>
    <n v="58"/>
    <n v="68"/>
    <n v="16"/>
    <n v="66"/>
    <n v="43"/>
    <n v="1"/>
    <n v="3"/>
    <n v="2"/>
    <n v="6"/>
    <n v="2"/>
    <n v="0"/>
    <n v="0"/>
    <n v="0"/>
    <n v="0"/>
    <n v="0"/>
    <x v="0"/>
    <n v="0"/>
    <n v="3"/>
    <n v="11"/>
    <n v="0"/>
    <n v="55"/>
    <n v="2161"/>
    <n v="5.9205479452054792"/>
    <n v="0"/>
    <n v="1"/>
    <n v="0"/>
    <n v="0"/>
    <n v="0"/>
    <n v="0"/>
    <n v="0"/>
    <n v="1"/>
    <n v="0"/>
    <n v="0"/>
    <n v="256"/>
    <n v="213"/>
    <n v="43"/>
    <n v="0"/>
    <x v="1"/>
    <x v="1"/>
    <x v="0"/>
    <x v="0"/>
    <x v="2"/>
    <x v="1"/>
    <n v="1"/>
    <n v="0"/>
    <n v="14"/>
    <n v="7"/>
    <n v="2"/>
    <n v="4"/>
    <n v="13"/>
    <n v="3"/>
    <x v="3"/>
  </r>
  <r>
    <x v="1015"/>
    <n v="35641"/>
    <n v="1"/>
    <n v="0"/>
    <n v="11"/>
    <n v="63"/>
    <n v="3"/>
    <n v="67"/>
    <n v="8"/>
    <n v="9"/>
    <n v="28"/>
    <n v="2"/>
    <n v="3"/>
    <n v="1"/>
    <n v="4"/>
    <n v="7"/>
    <n v="0"/>
    <n v="0"/>
    <n v="0"/>
    <n v="0"/>
    <n v="0"/>
    <x v="0"/>
    <n v="0"/>
    <n v="3"/>
    <n v="11"/>
    <n v="1"/>
    <n v="48"/>
    <n v="2509"/>
    <n v="6.8739726027397259"/>
    <n v="0"/>
    <n v="1"/>
    <n v="0"/>
    <n v="0"/>
    <n v="0"/>
    <n v="0"/>
    <n v="0"/>
    <n v="0"/>
    <n v="1"/>
    <n v="0"/>
    <n v="150"/>
    <n v="122"/>
    <n v="28"/>
    <n v="0"/>
    <x v="0"/>
    <x v="0"/>
    <x v="0"/>
    <x v="1"/>
    <x v="3"/>
    <x v="0"/>
    <n v="0"/>
    <n v="0"/>
    <n v="17"/>
    <n v="9"/>
    <n v="3"/>
    <n v="3"/>
    <n v="15"/>
    <n v="4"/>
    <x v="3"/>
  </r>
  <r>
    <x v="1016"/>
    <n v="45203"/>
    <n v="2"/>
    <n v="0"/>
    <n v="4"/>
    <n v="35"/>
    <n v="3"/>
    <n v="67"/>
    <n v="10"/>
    <n v="8"/>
    <n v="24"/>
    <n v="1"/>
    <n v="3"/>
    <n v="1"/>
    <n v="3"/>
    <n v="6"/>
    <n v="0"/>
    <n v="0"/>
    <n v="0"/>
    <n v="0"/>
    <n v="0"/>
    <x v="0"/>
    <n v="0"/>
    <n v="3"/>
    <n v="11"/>
    <n v="1"/>
    <n v="38"/>
    <n v="2257"/>
    <n v="6.183561643835616"/>
    <n v="0"/>
    <n v="0"/>
    <n v="0"/>
    <n v="1"/>
    <n v="0"/>
    <n v="0"/>
    <n v="0"/>
    <n v="1"/>
    <n v="0"/>
    <n v="0"/>
    <n v="123"/>
    <n v="99"/>
    <n v="24"/>
    <n v="0"/>
    <x v="0"/>
    <x v="0"/>
    <x v="2"/>
    <x v="0"/>
    <x v="3"/>
    <x v="3"/>
    <n v="0"/>
    <n v="0"/>
    <n v="14"/>
    <n v="10"/>
    <n v="2"/>
    <n v="3"/>
    <n v="15"/>
    <n v="4"/>
    <x v="3"/>
  </r>
  <r>
    <x v="1017"/>
    <n v="49154"/>
    <n v="1"/>
    <n v="1"/>
    <n v="69"/>
    <n v="206"/>
    <n v="10"/>
    <n v="67"/>
    <n v="30"/>
    <n v="27"/>
    <n v="71"/>
    <n v="6"/>
    <n v="4"/>
    <n v="1"/>
    <n v="8"/>
    <n v="6"/>
    <n v="0"/>
    <n v="0"/>
    <n v="0"/>
    <n v="0"/>
    <n v="0"/>
    <x v="0"/>
    <n v="0"/>
    <n v="3"/>
    <n v="11"/>
    <n v="0"/>
    <n v="60"/>
    <n v="2397"/>
    <n v="6.5671232876712331"/>
    <n v="0"/>
    <n v="1"/>
    <n v="0"/>
    <n v="0"/>
    <n v="0"/>
    <n v="0"/>
    <n v="0"/>
    <n v="0"/>
    <n v="0"/>
    <n v="1"/>
    <n v="340"/>
    <n v="269"/>
    <n v="71"/>
    <n v="0"/>
    <x v="0"/>
    <x v="0"/>
    <x v="0"/>
    <x v="1"/>
    <x v="3"/>
    <x v="1"/>
    <n v="1"/>
    <n v="0"/>
    <n v="25"/>
    <n v="4"/>
    <n v="7"/>
    <n v="4"/>
    <n v="15"/>
    <n v="4"/>
    <x v="3"/>
  </r>
  <r>
    <x v="1018"/>
    <n v="67506"/>
    <n v="0"/>
    <n v="1"/>
    <n v="73"/>
    <n v="90"/>
    <n v="38"/>
    <n v="67"/>
    <n v="33"/>
    <n v="36"/>
    <n v="67"/>
    <n v="1"/>
    <n v="4"/>
    <n v="1"/>
    <n v="6"/>
    <n v="3"/>
    <n v="0"/>
    <n v="0"/>
    <n v="0"/>
    <n v="0"/>
    <n v="0"/>
    <x v="0"/>
    <n v="0"/>
    <n v="3"/>
    <n v="11"/>
    <n v="0"/>
    <n v="40"/>
    <n v="2337"/>
    <n v="6.4027397260273968"/>
    <n v="0"/>
    <n v="0"/>
    <n v="1"/>
    <n v="0"/>
    <n v="0"/>
    <n v="1"/>
    <n v="0"/>
    <n v="0"/>
    <n v="0"/>
    <n v="0"/>
    <n v="264"/>
    <n v="197"/>
    <n v="67"/>
    <n v="0"/>
    <x v="0"/>
    <x v="0"/>
    <x v="1"/>
    <x v="1"/>
    <x v="2"/>
    <x v="3"/>
    <n v="1"/>
    <n v="0"/>
    <n v="15"/>
    <n v="3.0000000000000004"/>
    <n v="2"/>
    <n v="4"/>
    <n v="9"/>
    <n v="1"/>
    <x v="3"/>
  </r>
  <r>
    <x v="1019"/>
    <n v="70844"/>
    <n v="1"/>
    <n v="1"/>
    <n v="16"/>
    <n v="129"/>
    <n v="26"/>
    <n v="67"/>
    <n v="3"/>
    <n v="67"/>
    <n v="2"/>
    <n v="5"/>
    <n v="6"/>
    <n v="1"/>
    <n v="5"/>
    <n v="7"/>
    <n v="0"/>
    <n v="0"/>
    <n v="0"/>
    <n v="0"/>
    <n v="0"/>
    <x v="0"/>
    <n v="0"/>
    <n v="3"/>
    <n v="11"/>
    <n v="0"/>
    <n v="53"/>
    <n v="2401"/>
    <n v="6.5780821917808217"/>
    <n v="1"/>
    <n v="0"/>
    <n v="0"/>
    <n v="0"/>
    <n v="0"/>
    <n v="0"/>
    <n v="0"/>
    <n v="1"/>
    <n v="0"/>
    <n v="0"/>
    <n v="292"/>
    <n v="290"/>
    <n v="2"/>
    <n v="0"/>
    <x v="0"/>
    <x v="0"/>
    <x v="3"/>
    <x v="0"/>
    <x v="2"/>
    <x v="1"/>
    <n v="0"/>
    <n v="0"/>
    <n v="24"/>
    <n v="9"/>
    <n v="6"/>
    <n v="4"/>
    <n v="19"/>
    <n v="7"/>
    <x v="2"/>
  </r>
  <r>
    <x v="1020"/>
    <n v="8028"/>
    <n v="0"/>
    <n v="0"/>
    <n v="62"/>
    <n v="73"/>
    <n v="18"/>
    <n v="66"/>
    <n v="7"/>
    <n v="12"/>
    <n v="2"/>
    <n v="15"/>
    <n v="0"/>
    <n v="1"/>
    <n v="0"/>
    <n v="19"/>
    <n v="0"/>
    <n v="0"/>
    <n v="0"/>
    <n v="0"/>
    <n v="0"/>
    <x v="0"/>
    <n v="0"/>
    <n v="3"/>
    <n v="11"/>
    <n v="0"/>
    <n v="29"/>
    <n v="2808"/>
    <n v="7.6931506849315072"/>
    <n v="0"/>
    <n v="0"/>
    <n v="1"/>
    <n v="0"/>
    <n v="0"/>
    <n v="0"/>
    <n v="0"/>
    <n v="1"/>
    <n v="0"/>
    <n v="0"/>
    <n v="176"/>
    <n v="174"/>
    <n v="2"/>
    <n v="0"/>
    <x v="1"/>
    <x v="1"/>
    <x v="1"/>
    <x v="0"/>
    <x v="0"/>
    <x v="4"/>
    <n v="1"/>
    <n v="0"/>
    <n v="35"/>
    <n v="4"/>
    <n v="9"/>
    <n v="3"/>
    <n v="16"/>
    <n v="5"/>
    <x v="1"/>
  </r>
  <r>
    <x v="1021"/>
    <n v="30168"/>
    <n v="1"/>
    <n v="0"/>
    <n v="51"/>
    <n v="154"/>
    <n v="20"/>
    <n v="66"/>
    <n v="0"/>
    <n v="12"/>
    <n v="27"/>
    <n v="7"/>
    <n v="6"/>
    <n v="1"/>
    <n v="4"/>
    <n v="9"/>
    <n v="0"/>
    <n v="0"/>
    <n v="0"/>
    <n v="0"/>
    <n v="0"/>
    <x v="0"/>
    <n v="0"/>
    <n v="3"/>
    <n v="11"/>
    <n v="0"/>
    <n v="42"/>
    <n v="2638"/>
    <n v="7.2273972602739729"/>
    <n v="0"/>
    <n v="0"/>
    <n v="1"/>
    <n v="0"/>
    <n v="0"/>
    <n v="0"/>
    <n v="0"/>
    <n v="1"/>
    <n v="0"/>
    <n v="0"/>
    <n v="252"/>
    <n v="225"/>
    <n v="27"/>
    <n v="0"/>
    <x v="0"/>
    <x v="0"/>
    <x v="1"/>
    <x v="0"/>
    <x v="0"/>
    <x v="0"/>
    <n v="1"/>
    <n v="0"/>
    <n v="27"/>
    <n v="5"/>
    <n v="7"/>
    <n v="4"/>
    <n v="16"/>
    <n v="5"/>
    <x v="1"/>
  </r>
  <r>
    <x v="1022"/>
    <n v="34935"/>
    <n v="0"/>
    <n v="0"/>
    <n v="71"/>
    <n v="34"/>
    <n v="4"/>
    <n v="66"/>
    <n v="3"/>
    <n v="10"/>
    <n v="20"/>
    <n v="1"/>
    <n v="2"/>
    <n v="1"/>
    <n v="4"/>
    <n v="7"/>
    <n v="0"/>
    <n v="0"/>
    <n v="0"/>
    <n v="0"/>
    <n v="0"/>
    <x v="0"/>
    <n v="0"/>
    <n v="3"/>
    <n v="11"/>
    <n v="0"/>
    <n v="28"/>
    <n v="2532"/>
    <n v="6.9369863013698634"/>
    <n v="0"/>
    <n v="1"/>
    <n v="0"/>
    <n v="0"/>
    <n v="0"/>
    <n v="0"/>
    <n v="0"/>
    <n v="1"/>
    <n v="0"/>
    <n v="0"/>
    <n v="117"/>
    <n v="97"/>
    <n v="20"/>
    <n v="0"/>
    <x v="1"/>
    <x v="1"/>
    <x v="0"/>
    <x v="0"/>
    <x v="0"/>
    <x v="4"/>
    <n v="1"/>
    <n v="0"/>
    <n v="15"/>
    <n v="3.0000000000000004"/>
    <n v="2"/>
    <n v="3"/>
    <n v="8"/>
    <n v="1"/>
    <x v="3"/>
  </r>
  <r>
    <x v="1023"/>
    <n v="48186"/>
    <n v="1"/>
    <n v="0"/>
    <n v="39"/>
    <n v="97"/>
    <n v="3"/>
    <n v="66"/>
    <n v="12"/>
    <n v="7"/>
    <n v="34"/>
    <n v="3"/>
    <n v="4"/>
    <n v="1"/>
    <n v="4"/>
    <n v="7"/>
    <n v="0"/>
    <n v="0"/>
    <n v="0"/>
    <n v="0"/>
    <n v="0"/>
    <x v="0"/>
    <n v="0"/>
    <n v="3"/>
    <n v="11"/>
    <n v="0"/>
    <n v="46"/>
    <n v="2260"/>
    <n v="6.1917808219178081"/>
    <n v="0"/>
    <n v="0"/>
    <n v="0"/>
    <n v="1"/>
    <n v="0"/>
    <n v="0"/>
    <n v="0"/>
    <n v="1"/>
    <n v="0"/>
    <n v="0"/>
    <n v="185"/>
    <n v="151"/>
    <n v="34"/>
    <n v="0"/>
    <x v="0"/>
    <x v="0"/>
    <x v="2"/>
    <x v="0"/>
    <x v="3"/>
    <x v="0"/>
    <n v="1"/>
    <n v="0"/>
    <n v="19"/>
    <n v="7"/>
    <n v="4"/>
    <n v="4"/>
    <n v="15"/>
    <n v="4"/>
    <x v="3"/>
  </r>
  <r>
    <x v="1024"/>
    <n v="50272"/>
    <n v="1"/>
    <n v="0"/>
    <n v="75"/>
    <n v="99"/>
    <n v="13"/>
    <n v="66"/>
    <n v="43"/>
    <n v="8"/>
    <n v="4"/>
    <n v="3"/>
    <n v="4"/>
    <n v="1"/>
    <n v="5"/>
    <n v="7"/>
    <n v="0"/>
    <n v="0"/>
    <n v="0"/>
    <n v="0"/>
    <n v="0"/>
    <x v="0"/>
    <n v="0"/>
    <n v="3"/>
    <n v="11"/>
    <n v="0"/>
    <n v="38"/>
    <n v="2485"/>
    <n v="6.8082191780821919"/>
    <n v="0"/>
    <n v="0"/>
    <n v="0"/>
    <n v="1"/>
    <n v="0"/>
    <n v="0"/>
    <n v="0"/>
    <n v="1"/>
    <n v="0"/>
    <n v="0"/>
    <n v="229"/>
    <n v="225"/>
    <n v="4"/>
    <n v="0"/>
    <x v="0"/>
    <x v="0"/>
    <x v="2"/>
    <x v="0"/>
    <x v="2"/>
    <x v="3"/>
    <n v="1"/>
    <n v="0"/>
    <n v="20"/>
    <n v="3.0000000000000004"/>
    <n v="4"/>
    <n v="4"/>
    <n v="11"/>
    <n v="2"/>
    <x v="3"/>
  </r>
  <r>
    <x v="1025"/>
    <n v="51518"/>
    <n v="0"/>
    <n v="1"/>
    <n v="92"/>
    <n v="350"/>
    <n v="8"/>
    <n v="66"/>
    <n v="17"/>
    <n v="4"/>
    <n v="4"/>
    <n v="2"/>
    <n v="3"/>
    <n v="2"/>
    <n v="10"/>
    <n v="3"/>
    <n v="0"/>
    <n v="0"/>
    <n v="0"/>
    <n v="0"/>
    <n v="0"/>
    <x v="0"/>
    <n v="0"/>
    <n v="3"/>
    <n v="11"/>
    <n v="0"/>
    <n v="62"/>
    <n v="2428"/>
    <n v="6.6520547945205477"/>
    <n v="0"/>
    <n v="0"/>
    <n v="0"/>
    <n v="1"/>
    <n v="0"/>
    <n v="0"/>
    <n v="0"/>
    <n v="0"/>
    <n v="0"/>
    <n v="1"/>
    <n v="445"/>
    <n v="441"/>
    <n v="4"/>
    <n v="0"/>
    <x v="0"/>
    <x v="0"/>
    <x v="2"/>
    <x v="1"/>
    <x v="2"/>
    <x v="2"/>
    <n v="1"/>
    <n v="1"/>
    <n v="20"/>
    <n v="0.99999999999999978"/>
    <n v="4"/>
    <n v="5"/>
    <n v="10"/>
    <n v="2"/>
    <x v="3"/>
  </r>
  <r>
    <x v="1026"/>
    <n v="44267"/>
    <n v="1"/>
    <n v="1"/>
    <n v="48"/>
    <n v="183"/>
    <n v="5"/>
    <n v="65"/>
    <n v="3"/>
    <n v="5"/>
    <n v="49"/>
    <n v="5"/>
    <n v="5"/>
    <n v="2"/>
    <n v="4"/>
    <n v="9"/>
    <n v="0"/>
    <n v="0"/>
    <n v="0"/>
    <n v="0"/>
    <n v="0"/>
    <x v="0"/>
    <n v="0"/>
    <n v="3"/>
    <n v="11"/>
    <n v="0"/>
    <n v="50"/>
    <n v="2648"/>
    <n v="7.2547945205479456"/>
    <n v="1"/>
    <n v="0"/>
    <n v="0"/>
    <n v="0"/>
    <n v="0"/>
    <n v="0"/>
    <n v="0"/>
    <n v="1"/>
    <n v="0"/>
    <n v="0"/>
    <n v="261"/>
    <n v="212"/>
    <n v="49"/>
    <n v="0"/>
    <x v="0"/>
    <x v="0"/>
    <x v="3"/>
    <x v="0"/>
    <x v="3"/>
    <x v="0"/>
    <n v="1"/>
    <n v="0"/>
    <n v="25"/>
    <n v="6"/>
    <n v="7"/>
    <n v="4"/>
    <n v="17"/>
    <n v="6"/>
    <x v="1"/>
  </r>
  <r>
    <x v="1027"/>
    <n v="55012"/>
    <n v="0"/>
    <n v="1"/>
    <n v="85"/>
    <n v="582"/>
    <n v="0"/>
    <n v="65"/>
    <n v="0"/>
    <n v="0"/>
    <n v="13"/>
    <n v="6"/>
    <n v="8"/>
    <n v="2"/>
    <n v="9"/>
    <n v="5"/>
    <n v="0"/>
    <n v="0"/>
    <n v="0"/>
    <n v="0"/>
    <n v="0"/>
    <x v="0"/>
    <n v="0"/>
    <n v="3"/>
    <n v="11"/>
    <n v="0"/>
    <n v="47"/>
    <n v="2259"/>
    <n v="6.1890410958904107"/>
    <n v="0"/>
    <n v="0"/>
    <n v="0"/>
    <n v="1"/>
    <n v="0"/>
    <n v="0"/>
    <n v="0"/>
    <n v="0"/>
    <n v="0"/>
    <n v="1"/>
    <n v="647"/>
    <n v="634"/>
    <n v="13"/>
    <n v="0"/>
    <x v="0"/>
    <x v="0"/>
    <x v="2"/>
    <x v="1"/>
    <x v="2"/>
    <x v="0"/>
    <n v="1"/>
    <n v="0"/>
    <n v="30"/>
    <n v="1.9999999999999996"/>
    <n v="8"/>
    <n v="6"/>
    <n v="16"/>
    <n v="5"/>
    <x v="1"/>
  </r>
  <r>
    <x v="1028"/>
    <n v="56253"/>
    <n v="0"/>
    <n v="1"/>
    <n v="83"/>
    <n v="509"/>
    <n v="0"/>
    <n v="65"/>
    <n v="7"/>
    <n v="11"/>
    <n v="5"/>
    <n v="4"/>
    <n v="7"/>
    <n v="2"/>
    <n v="9"/>
    <n v="6"/>
    <n v="0"/>
    <n v="0"/>
    <n v="0"/>
    <n v="0"/>
    <n v="0"/>
    <x v="0"/>
    <n v="0"/>
    <n v="3"/>
    <n v="11"/>
    <n v="0"/>
    <n v="57"/>
    <n v="2728"/>
    <n v="7.4739726027397264"/>
    <n v="0"/>
    <n v="0"/>
    <n v="0"/>
    <n v="1"/>
    <n v="0"/>
    <n v="0"/>
    <n v="0"/>
    <n v="1"/>
    <n v="0"/>
    <n v="0"/>
    <n v="592"/>
    <n v="587"/>
    <n v="5"/>
    <n v="0"/>
    <x v="0"/>
    <x v="0"/>
    <x v="2"/>
    <x v="0"/>
    <x v="2"/>
    <x v="1"/>
    <n v="1"/>
    <n v="0"/>
    <n v="28"/>
    <n v="1.9999999999999996"/>
    <n v="8"/>
    <n v="6"/>
    <n v="16"/>
    <n v="5"/>
    <x v="1"/>
  </r>
  <r>
    <x v="1029"/>
    <n v="60631"/>
    <n v="1"/>
    <n v="1"/>
    <n v="88"/>
    <n v="565"/>
    <n v="6"/>
    <n v="65"/>
    <n v="0"/>
    <n v="6"/>
    <n v="19"/>
    <n v="5"/>
    <n v="9"/>
    <n v="2"/>
    <n v="8"/>
    <n v="7"/>
    <n v="0"/>
    <n v="0"/>
    <n v="0"/>
    <n v="1"/>
    <n v="0"/>
    <x v="1"/>
    <n v="0"/>
    <n v="3"/>
    <n v="11"/>
    <n v="0"/>
    <n v="45"/>
    <n v="2609"/>
    <n v="7.1479452054794521"/>
    <n v="0"/>
    <n v="1"/>
    <n v="0"/>
    <n v="0"/>
    <n v="0"/>
    <n v="0"/>
    <n v="0"/>
    <n v="0"/>
    <n v="0"/>
    <n v="1"/>
    <n v="642"/>
    <n v="623"/>
    <n v="19"/>
    <n v="1"/>
    <x v="0"/>
    <x v="0"/>
    <x v="0"/>
    <x v="1"/>
    <x v="2"/>
    <x v="0"/>
    <n v="1"/>
    <n v="0"/>
    <n v="31"/>
    <n v="1.9999999999999996"/>
    <n v="9"/>
    <n v="6"/>
    <n v="17"/>
    <n v="6"/>
    <x v="1"/>
  </r>
  <r>
    <x v="1030"/>
    <n v="61250"/>
    <n v="0"/>
    <n v="1"/>
    <n v="49"/>
    <n v="382"/>
    <n v="138"/>
    <n v="65"/>
    <n v="60"/>
    <n v="26"/>
    <n v="59"/>
    <n v="6"/>
    <n v="5"/>
    <n v="2"/>
    <n v="12"/>
    <n v="5"/>
    <n v="0"/>
    <n v="0"/>
    <n v="0"/>
    <n v="0"/>
    <n v="0"/>
    <x v="0"/>
    <n v="0"/>
    <n v="3"/>
    <n v="11"/>
    <n v="0"/>
    <n v="61"/>
    <n v="2719"/>
    <n v="7.4493150684931511"/>
    <n v="1"/>
    <n v="0"/>
    <n v="0"/>
    <n v="0"/>
    <n v="0"/>
    <n v="0"/>
    <n v="0"/>
    <n v="1"/>
    <n v="0"/>
    <n v="0"/>
    <n v="671"/>
    <n v="612"/>
    <n v="59"/>
    <n v="0"/>
    <x v="0"/>
    <x v="0"/>
    <x v="3"/>
    <x v="0"/>
    <x v="2"/>
    <x v="2"/>
    <n v="1"/>
    <n v="0"/>
    <n v="30"/>
    <n v="6"/>
    <n v="8"/>
    <n v="6"/>
    <n v="20"/>
    <n v="7"/>
    <x v="2"/>
  </r>
  <r>
    <x v="1031"/>
    <n v="25545"/>
    <n v="1"/>
    <n v="0"/>
    <n v="35"/>
    <n v="32"/>
    <n v="1"/>
    <n v="64"/>
    <n v="16"/>
    <n v="12"/>
    <n v="85"/>
    <n v="3"/>
    <n v="2"/>
    <n v="2"/>
    <n v="3"/>
    <n v="6"/>
    <n v="0"/>
    <n v="0"/>
    <n v="0"/>
    <n v="0"/>
    <n v="0"/>
    <x v="0"/>
    <n v="0"/>
    <n v="3"/>
    <n v="11"/>
    <n v="1"/>
    <n v="33"/>
    <n v="2818"/>
    <n v="7.720547945205479"/>
    <n v="0"/>
    <n v="1"/>
    <n v="0"/>
    <n v="0"/>
    <n v="0"/>
    <n v="0"/>
    <n v="0"/>
    <n v="1"/>
    <n v="0"/>
    <n v="0"/>
    <n v="125"/>
    <n v="40"/>
    <n v="85"/>
    <n v="0"/>
    <x v="0"/>
    <x v="0"/>
    <x v="0"/>
    <x v="0"/>
    <x v="0"/>
    <x v="3"/>
    <n v="1"/>
    <n v="0"/>
    <n v="16"/>
    <n v="7"/>
    <n v="3"/>
    <n v="3"/>
    <n v="13"/>
    <n v="3"/>
    <x v="3"/>
  </r>
  <r>
    <x v="1032"/>
    <n v="31907"/>
    <n v="0"/>
    <n v="0"/>
    <n v="75"/>
    <n v="33"/>
    <n v="87"/>
    <n v="64"/>
    <n v="175"/>
    <n v="16"/>
    <n v="74"/>
    <n v="1"/>
    <n v="6"/>
    <n v="1"/>
    <n v="6"/>
    <n v="7"/>
    <n v="0"/>
    <n v="0"/>
    <n v="0"/>
    <n v="0"/>
    <n v="0"/>
    <x v="0"/>
    <n v="0"/>
    <n v="3"/>
    <n v="11"/>
    <n v="0"/>
    <n v="48"/>
    <n v="2641"/>
    <n v="7.2356164383561641"/>
    <n v="0"/>
    <n v="0"/>
    <n v="1"/>
    <n v="0"/>
    <n v="0"/>
    <n v="0"/>
    <n v="0"/>
    <n v="1"/>
    <n v="0"/>
    <n v="0"/>
    <n v="375"/>
    <n v="301"/>
    <n v="74"/>
    <n v="0"/>
    <x v="1"/>
    <x v="1"/>
    <x v="1"/>
    <x v="0"/>
    <x v="0"/>
    <x v="0"/>
    <n v="1"/>
    <n v="0"/>
    <n v="21"/>
    <n v="3.0000000000000004"/>
    <n v="5"/>
    <n v="5"/>
    <n v="13"/>
    <n v="3"/>
    <x v="3"/>
  </r>
  <r>
    <x v="1033"/>
    <n v="37150"/>
    <n v="1"/>
    <n v="0"/>
    <n v="80"/>
    <n v="167"/>
    <n v="37"/>
    <n v="64"/>
    <n v="49"/>
    <n v="34"/>
    <n v="116"/>
    <n v="8"/>
    <n v="4"/>
    <n v="3"/>
    <n v="6"/>
    <n v="7"/>
    <n v="0"/>
    <n v="0"/>
    <n v="0"/>
    <n v="0"/>
    <n v="0"/>
    <x v="0"/>
    <n v="0"/>
    <n v="3"/>
    <n v="11"/>
    <n v="0"/>
    <n v="49"/>
    <n v="2815"/>
    <n v="7.7123287671232879"/>
    <n v="0"/>
    <n v="1"/>
    <n v="0"/>
    <n v="0"/>
    <n v="0"/>
    <n v="0"/>
    <n v="0"/>
    <n v="1"/>
    <n v="0"/>
    <n v="0"/>
    <n v="351"/>
    <n v="235"/>
    <n v="116"/>
    <n v="0"/>
    <x v="0"/>
    <x v="0"/>
    <x v="0"/>
    <x v="0"/>
    <x v="3"/>
    <x v="0"/>
    <n v="1"/>
    <n v="0"/>
    <n v="28"/>
    <n v="1.9999999999999996"/>
    <n v="8"/>
    <n v="5"/>
    <n v="15"/>
    <n v="4"/>
    <x v="3"/>
  </r>
  <r>
    <x v="1034"/>
    <n v="42691"/>
    <n v="0"/>
    <n v="0"/>
    <n v="48"/>
    <n v="179"/>
    <n v="2"/>
    <n v="64"/>
    <n v="38"/>
    <n v="17"/>
    <n v="58"/>
    <n v="1"/>
    <n v="5"/>
    <n v="1"/>
    <n v="6"/>
    <n v="5"/>
    <n v="0"/>
    <n v="0"/>
    <n v="0"/>
    <n v="0"/>
    <n v="0"/>
    <x v="0"/>
    <n v="0"/>
    <n v="3"/>
    <n v="11"/>
    <n v="0"/>
    <n v="29"/>
    <n v="2476"/>
    <n v="6.7835616438356166"/>
    <n v="0"/>
    <n v="1"/>
    <n v="0"/>
    <n v="0"/>
    <n v="0"/>
    <n v="0"/>
    <n v="0"/>
    <n v="1"/>
    <n v="0"/>
    <n v="0"/>
    <n v="300"/>
    <n v="242"/>
    <n v="58"/>
    <n v="0"/>
    <x v="1"/>
    <x v="1"/>
    <x v="0"/>
    <x v="0"/>
    <x v="3"/>
    <x v="4"/>
    <n v="1"/>
    <n v="0"/>
    <n v="18"/>
    <n v="6"/>
    <n v="4"/>
    <n v="4"/>
    <n v="14"/>
    <n v="4"/>
    <x v="3"/>
  </r>
  <r>
    <x v="1035"/>
    <n v="46390"/>
    <n v="0"/>
    <n v="1"/>
    <n v="56"/>
    <n v="95"/>
    <n v="14"/>
    <n v="64"/>
    <n v="2"/>
    <n v="9"/>
    <n v="38"/>
    <n v="1"/>
    <n v="4"/>
    <n v="2"/>
    <n v="3"/>
    <n v="7"/>
    <n v="0"/>
    <n v="0"/>
    <n v="0"/>
    <n v="0"/>
    <n v="0"/>
    <x v="0"/>
    <n v="0"/>
    <n v="3"/>
    <n v="11"/>
    <n v="0"/>
    <n v="65"/>
    <n v="2214"/>
    <n v="6.065753424657534"/>
    <n v="1"/>
    <n v="0"/>
    <n v="0"/>
    <n v="0"/>
    <n v="0"/>
    <n v="0"/>
    <n v="0"/>
    <n v="0"/>
    <n v="1"/>
    <n v="0"/>
    <n v="184"/>
    <n v="146"/>
    <n v="38"/>
    <n v="0"/>
    <x v="0"/>
    <x v="0"/>
    <x v="3"/>
    <x v="1"/>
    <x v="3"/>
    <x v="2"/>
    <n v="1"/>
    <n v="0"/>
    <n v="17"/>
    <n v="5"/>
    <n v="3"/>
    <n v="4"/>
    <n v="12"/>
    <n v="3"/>
    <x v="3"/>
  </r>
  <r>
    <x v="1036"/>
    <n v="51267"/>
    <n v="1"/>
    <n v="1"/>
    <n v="37"/>
    <n v="183"/>
    <n v="2"/>
    <n v="64"/>
    <n v="7"/>
    <n v="2"/>
    <n v="12"/>
    <n v="4"/>
    <n v="3"/>
    <n v="3"/>
    <n v="5"/>
    <n v="4"/>
    <n v="0"/>
    <n v="0"/>
    <n v="0"/>
    <n v="0"/>
    <n v="0"/>
    <x v="0"/>
    <n v="0"/>
    <n v="3"/>
    <n v="11"/>
    <n v="0"/>
    <n v="42"/>
    <n v="2402"/>
    <n v="6.580821917808219"/>
    <n v="0"/>
    <n v="1"/>
    <n v="0"/>
    <n v="0"/>
    <n v="0"/>
    <n v="0"/>
    <n v="0"/>
    <n v="1"/>
    <n v="0"/>
    <n v="0"/>
    <n v="258"/>
    <n v="246"/>
    <n v="12"/>
    <n v="0"/>
    <x v="0"/>
    <x v="0"/>
    <x v="0"/>
    <x v="0"/>
    <x v="2"/>
    <x v="0"/>
    <n v="1"/>
    <n v="0"/>
    <n v="19"/>
    <n v="7"/>
    <n v="4"/>
    <n v="4"/>
    <n v="15"/>
    <n v="4"/>
    <x v="3"/>
  </r>
  <r>
    <x v="1037"/>
    <n v="54386"/>
    <n v="0"/>
    <n v="1"/>
    <n v="8"/>
    <n v="277"/>
    <n v="21"/>
    <n v="64"/>
    <n v="62"/>
    <n v="21"/>
    <n v="25"/>
    <n v="2"/>
    <n v="3"/>
    <n v="2"/>
    <n v="10"/>
    <n v="3"/>
    <n v="0"/>
    <n v="0"/>
    <n v="0"/>
    <n v="0"/>
    <n v="0"/>
    <x v="0"/>
    <n v="0"/>
    <n v="3"/>
    <n v="11"/>
    <n v="0"/>
    <n v="39"/>
    <n v="2567"/>
    <n v="7.0328767123287674"/>
    <n v="0"/>
    <n v="1"/>
    <n v="0"/>
    <n v="0"/>
    <n v="0"/>
    <n v="0"/>
    <n v="0"/>
    <n v="1"/>
    <n v="0"/>
    <n v="0"/>
    <n v="445"/>
    <n v="420"/>
    <n v="25"/>
    <n v="0"/>
    <x v="0"/>
    <x v="0"/>
    <x v="0"/>
    <x v="0"/>
    <x v="2"/>
    <x v="3"/>
    <n v="0"/>
    <n v="0"/>
    <n v="20"/>
    <n v="10"/>
    <n v="4"/>
    <n v="5"/>
    <n v="19"/>
    <n v="7"/>
    <x v="2"/>
  </r>
  <r>
    <x v="1038"/>
    <n v="56046"/>
    <n v="0"/>
    <n v="0"/>
    <n v="9"/>
    <n v="577"/>
    <n v="0"/>
    <n v="64"/>
    <n v="0"/>
    <n v="0"/>
    <n v="51"/>
    <n v="2"/>
    <n v="10"/>
    <n v="1"/>
    <n v="8"/>
    <n v="8"/>
    <n v="0"/>
    <n v="0"/>
    <n v="1"/>
    <n v="0"/>
    <n v="0"/>
    <x v="1"/>
    <n v="0"/>
    <n v="3"/>
    <n v="11"/>
    <n v="1"/>
    <n v="55"/>
    <n v="2702"/>
    <n v="7.4027397260273968"/>
    <n v="0"/>
    <n v="0"/>
    <n v="0"/>
    <n v="1"/>
    <n v="0"/>
    <n v="0"/>
    <n v="0"/>
    <n v="1"/>
    <n v="0"/>
    <n v="0"/>
    <n v="641"/>
    <n v="590"/>
    <n v="51"/>
    <n v="1"/>
    <x v="1"/>
    <x v="1"/>
    <x v="2"/>
    <x v="0"/>
    <x v="2"/>
    <x v="1"/>
    <n v="0"/>
    <n v="0"/>
    <n v="29"/>
    <n v="10"/>
    <n v="8"/>
    <n v="6"/>
    <n v="24"/>
    <n v="9"/>
    <x v="0"/>
  </r>
  <r>
    <x v="1039"/>
    <n v="57091"/>
    <n v="0"/>
    <n v="0"/>
    <n v="0"/>
    <n v="464"/>
    <n v="5"/>
    <n v="64"/>
    <n v="7"/>
    <n v="0"/>
    <n v="37"/>
    <n v="1"/>
    <n v="7"/>
    <n v="3"/>
    <n v="7"/>
    <n v="5"/>
    <n v="0"/>
    <n v="1"/>
    <n v="0"/>
    <n v="0"/>
    <n v="0"/>
    <x v="1"/>
    <n v="0"/>
    <n v="3"/>
    <n v="11"/>
    <n v="1"/>
    <n v="59"/>
    <n v="2173"/>
    <n v="5.9534246575342467"/>
    <n v="0"/>
    <n v="0"/>
    <n v="1"/>
    <n v="0"/>
    <n v="0"/>
    <n v="0"/>
    <n v="0"/>
    <n v="1"/>
    <n v="0"/>
    <n v="0"/>
    <n v="540"/>
    <n v="503"/>
    <n v="37"/>
    <n v="1"/>
    <x v="1"/>
    <x v="1"/>
    <x v="1"/>
    <x v="0"/>
    <x v="2"/>
    <x v="1"/>
    <n v="0"/>
    <n v="0"/>
    <n v="23"/>
    <n v="10"/>
    <n v="6"/>
    <n v="5"/>
    <n v="21"/>
    <n v="8"/>
    <x v="2"/>
  </r>
  <r>
    <x v="1040"/>
    <n v="57183"/>
    <n v="1"/>
    <n v="1"/>
    <n v="51"/>
    <n v="464"/>
    <n v="5"/>
    <n v="64"/>
    <n v="7"/>
    <n v="0"/>
    <n v="70"/>
    <n v="8"/>
    <n v="9"/>
    <n v="1"/>
    <n v="7"/>
    <n v="8"/>
    <n v="0"/>
    <n v="0"/>
    <n v="0"/>
    <n v="0"/>
    <n v="0"/>
    <x v="0"/>
    <n v="0"/>
    <n v="3"/>
    <n v="11"/>
    <n v="0"/>
    <n v="54"/>
    <n v="2626"/>
    <n v="7.1945205479452055"/>
    <n v="0"/>
    <n v="1"/>
    <n v="0"/>
    <n v="0"/>
    <n v="0"/>
    <n v="0"/>
    <n v="0"/>
    <n v="0"/>
    <n v="1"/>
    <n v="0"/>
    <n v="540"/>
    <n v="470"/>
    <n v="70"/>
    <n v="0"/>
    <x v="0"/>
    <x v="0"/>
    <x v="0"/>
    <x v="1"/>
    <x v="2"/>
    <x v="1"/>
    <n v="1"/>
    <n v="0"/>
    <n v="33"/>
    <n v="5"/>
    <n v="9"/>
    <n v="5"/>
    <n v="19"/>
    <n v="7"/>
    <x v="2"/>
  </r>
  <r>
    <x v="1041"/>
    <n v="51012"/>
    <n v="0"/>
    <n v="0"/>
    <n v="86"/>
    <n v="102"/>
    <n v="9"/>
    <n v="63"/>
    <n v="2"/>
    <n v="9"/>
    <n v="24"/>
    <n v="1"/>
    <n v="4"/>
    <n v="1"/>
    <n v="4"/>
    <n v="6"/>
    <n v="0"/>
    <n v="0"/>
    <n v="0"/>
    <n v="0"/>
    <n v="0"/>
    <x v="0"/>
    <n v="0"/>
    <n v="3"/>
    <n v="11"/>
    <n v="0"/>
    <n v="74"/>
    <n v="2596"/>
    <n v="7.1123287671232873"/>
    <n v="0"/>
    <n v="1"/>
    <n v="0"/>
    <n v="0"/>
    <n v="0"/>
    <n v="0"/>
    <n v="0"/>
    <n v="0"/>
    <n v="0"/>
    <n v="1"/>
    <n v="185"/>
    <n v="161"/>
    <n v="24"/>
    <n v="0"/>
    <x v="1"/>
    <x v="1"/>
    <x v="0"/>
    <x v="1"/>
    <x v="2"/>
    <x v="2"/>
    <n v="1"/>
    <n v="0"/>
    <n v="16"/>
    <n v="1.9999999999999996"/>
    <n v="3"/>
    <n v="4"/>
    <n v="9"/>
    <n v="1"/>
    <x v="3"/>
  </r>
  <r>
    <x v="1042"/>
    <n v="70545"/>
    <n v="0"/>
    <n v="1"/>
    <n v="29"/>
    <n v="138"/>
    <n v="39"/>
    <n v="63"/>
    <n v="55"/>
    <n v="18"/>
    <n v="21"/>
    <n v="1"/>
    <n v="4"/>
    <n v="1"/>
    <n v="7"/>
    <n v="2"/>
    <n v="0"/>
    <n v="0"/>
    <n v="0"/>
    <n v="0"/>
    <n v="0"/>
    <x v="0"/>
    <n v="0"/>
    <n v="3"/>
    <n v="11"/>
    <n v="0"/>
    <n v="68"/>
    <n v="2185"/>
    <n v="5.9863013698630141"/>
    <n v="0"/>
    <n v="0"/>
    <n v="0"/>
    <n v="1"/>
    <n v="0"/>
    <n v="0"/>
    <n v="0"/>
    <n v="0"/>
    <n v="1"/>
    <n v="0"/>
    <n v="313"/>
    <n v="292"/>
    <n v="21"/>
    <n v="0"/>
    <x v="0"/>
    <x v="0"/>
    <x v="2"/>
    <x v="1"/>
    <x v="2"/>
    <x v="2"/>
    <n v="0"/>
    <n v="0"/>
    <n v="15"/>
    <n v="8"/>
    <n v="2"/>
    <n v="4"/>
    <n v="14"/>
    <n v="4"/>
    <x v="3"/>
  </r>
  <r>
    <x v="1043"/>
    <n v="24570"/>
    <n v="1"/>
    <n v="0"/>
    <n v="97"/>
    <n v="28"/>
    <n v="34"/>
    <n v="62"/>
    <n v="11"/>
    <n v="14"/>
    <n v="44"/>
    <n v="3"/>
    <n v="4"/>
    <n v="0"/>
    <n v="4"/>
    <n v="9"/>
    <n v="0"/>
    <n v="0"/>
    <n v="0"/>
    <n v="0"/>
    <n v="0"/>
    <x v="0"/>
    <n v="0"/>
    <n v="3"/>
    <n v="11"/>
    <n v="0"/>
    <n v="36"/>
    <n v="2646"/>
    <n v="7.2493150684931509"/>
    <n v="0"/>
    <n v="1"/>
    <n v="0"/>
    <n v="0"/>
    <n v="0"/>
    <n v="0"/>
    <n v="0"/>
    <n v="1"/>
    <n v="0"/>
    <n v="0"/>
    <n v="149"/>
    <n v="105"/>
    <n v="44"/>
    <n v="0"/>
    <x v="0"/>
    <x v="0"/>
    <x v="0"/>
    <x v="0"/>
    <x v="0"/>
    <x v="3"/>
    <n v="1"/>
    <n v="1"/>
    <n v="20"/>
    <n v="0.99999999999999978"/>
    <n v="4"/>
    <n v="3"/>
    <n v="8"/>
    <n v="1"/>
    <x v="3"/>
  </r>
  <r>
    <x v="1044"/>
    <n v="44159"/>
    <n v="1"/>
    <n v="0"/>
    <n v="85"/>
    <n v="167"/>
    <n v="2"/>
    <n v="62"/>
    <n v="24"/>
    <n v="13"/>
    <n v="7"/>
    <n v="4"/>
    <n v="4"/>
    <n v="1"/>
    <n v="6"/>
    <n v="5"/>
    <n v="0"/>
    <n v="0"/>
    <n v="0"/>
    <n v="0"/>
    <n v="0"/>
    <x v="0"/>
    <n v="0"/>
    <n v="3"/>
    <n v="11"/>
    <n v="0"/>
    <n v="50"/>
    <n v="2171"/>
    <n v="5.9479452054794519"/>
    <n v="0"/>
    <n v="1"/>
    <n v="0"/>
    <n v="0"/>
    <n v="0"/>
    <n v="0"/>
    <n v="0"/>
    <n v="0"/>
    <n v="1"/>
    <n v="0"/>
    <n v="268"/>
    <n v="261"/>
    <n v="7"/>
    <n v="0"/>
    <x v="0"/>
    <x v="0"/>
    <x v="0"/>
    <x v="1"/>
    <x v="3"/>
    <x v="0"/>
    <n v="1"/>
    <n v="0"/>
    <n v="20"/>
    <n v="1.9999999999999996"/>
    <n v="4"/>
    <n v="4"/>
    <n v="10"/>
    <n v="2"/>
    <x v="3"/>
  </r>
  <r>
    <x v="1045"/>
    <n v="58086"/>
    <n v="0"/>
    <n v="1"/>
    <n v="80"/>
    <n v="708"/>
    <n v="7"/>
    <n v="62"/>
    <n v="0"/>
    <n v="0"/>
    <n v="15"/>
    <n v="2"/>
    <n v="11"/>
    <n v="3"/>
    <n v="7"/>
    <n v="8"/>
    <n v="0"/>
    <n v="0"/>
    <n v="0"/>
    <n v="0"/>
    <n v="0"/>
    <x v="0"/>
    <n v="0"/>
    <n v="3"/>
    <n v="11"/>
    <n v="0"/>
    <n v="51"/>
    <n v="2684"/>
    <n v="7.353424657534247"/>
    <n v="1"/>
    <n v="0"/>
    <n v="0"/>
    <n v="0"/>
    <n v="0"/>
    <n v="0"/>
    <n v="0"/>
    <n v="0"/>
    <n v="0"/>
    <n v="1"/>
    <n v="777"/>
    <n v="762"/>
    <n v="15"/>
    <n v="0"/>
    <x v="0"/>
    <x v="0"/>
    <x v="3"/>
    <x v="1"/>
    <x v="2"/>
    <x v="1"/>
    <n v="1"/>
    <n v="0"/>
    <n v="31"/>
    <n v="1.9999999999999996"/>
    <n v="9"/>
    <n v="6"/>
    <n v="17"/>
    <n v="6"/>
    <x v="1"/>
  </r>
  <r>
    <x v="1046"/>
    <n v="66886"/>
    <n v="0"/>
    <n v="1"/>
    <n v="28"/>
    <n v="315"/>
    <n v="4"/>
    <n v="62"/>
    <n v="41"/>
    <n v="31"/>
    <n v="146"/>
    <n v="2"/>
    <n v="7"/>
    <n v="1"/>
    <n v="7"/>
    <n v="5"/>
    <n v="0"/>
    <n v="0"/>
    <n v="0"/>
    <n v="0"/>
    <n v="0"/>
    <x v="0"/>
    <n v="0"/>
    <n v="3"/>
    <n v="11"/>
    <n v="0"/>
    <n v="62"/>
    <n v="2445"/>
    <n v="6.6986301369863011"/>
    <n v="0"/>
    <n v="0"/>
    <n v="0"/>
    <n v="1"/>
    <n v="0"/>
    <n v="0"/>
    <n v="0"/>
    <n v="1"/>
    <n v="0"/>
    <n v="0"/>
    <n v="453"/>
    <n v="307"/>
    <n v="146"/>
    <n v="0"/>
    <x v="0"/>
    <x v="0"/>
    <x v="2"/>
    <x v="0"/>
    <x v="2"/>
    <x v="2"/>
    <n v="0"/>
    <n v="0"/>
    <n v="22"/>
    <n v="8"/>
    <n v="5"/>
    <n v="5"/>
    <n v="18"/>
    <n v="6"/>
    <x v="1"/>
  </r>
  <r>
    <x v="1047"/>
    <n v="42373"/>
    <n v="1"/>
    <n v="1"/>
    <n v="83"/>
    <n v="67"/>
    <n v="5"/>
    <n v="61"/>
    <n v="3"/>
    <n v="8"/>
    <n v="19"/>
    <n v="5"/>
    <n v="2"/>
    <n v="1"/>
    <n v="5"/>
    <n v="5"/>
    <n v="0"/>
    <n v="0"/>
    <n v="0"/>
    <n v="0"/>
    <n v="0"/>
    <x v="0"/>
    <n v="0"/>
    <n v="3"/>
    <n v="11"/>
    <n v="0"/>
    <n v="46"/>
    <n v="2477"/>
    <n v="6.7863013698630139"/>
    <n v="0"/>
    <n v="0"/>
    <n v="1"/>
    <n v="0"/>
    <n v="0"/>
    <n v="0"/>
    <n v="0"/>
    <n v="1"/>
    <n v="0"/>
    <n v="0"/>
    <n v="144"/>
    <n v="125"/>
    <n v="19"/>
    <n v="0"/>
    <x v="0"/>
    <x v="0"/>
    <x v="1"/>
    <x v="0"/>
    <x v="3"/>
    <x v="0"/>
    <n v="1"/>
    <n v="0"/>
    <n v="18"/>
    <n v="1.9999999999999996"/>
    <n v="4"/>
    <n v="3"/>
    <n v="9"/>
    <n v="1"/>
    <x v="3"/>
  </r>
  <r>
    <x v="1048"/>
    <n v="43263"/>
    <n v="0"/>
    <n v="1"/>
    <n v="2"/>
    <n v="262"/>
    <n v="6"/>
    <n v="61"/>
    <n v="0"/>
    <n v="10"/>
    <n v="102"/>
    <n v="3"/>
    <n v="5"/>
    <n v="2"/>
    <n v="6"/>
    <n v="5"/>
    <n v="0"/>
    <n v="0"/>
    <n v="0"/>
    <n v="0"/>
    <n v="0"/>
    <x v="0"/>
    <n v="0"/>
    <n v="3"/>
    <n v="11"/>
    <n v="0"/>
    <n v="43"/>
    <n v="2744"/>
    <n v="7.5178082191780824"/>
    <n v="0"/>
    <n v="1"/>
    <n v="0"/>
    <n v="0"/>
    <n v="0"/>
    <n v="0"/>
    <n v="0"/>
    <n v="0"/>
    <n v="1"/>
    <n v="0"/>
    <n v="339"/>
    <n v="237"/>
    <n v="102"/>
    <n v="0"/>
    <x v="0"/>
    <x v="0"/>
    <x v="0"/>
    <x v="1"/>
    <x v="3"/>
    <x v="0"/>
    <n v="0"/>
    <n v="0"/>
    <n v="21"/>
    <n v="10"/>
    <n v="5"/>
    <n v="4"/>
    <n v="19"/>
    <n v="7"/>
    <x v="2"/>
  </r>
  <r>
    <x v="1049"/>
    <n v="52869"/>
    <n v="1"/>
    <n v="1"/>
    <n v="40"/>
    <n v="84"/>
    <n v="3"/>
    <n v="61"/>
    <n v="2"/>
    <n v="1"/>
    <n v="21"/>
    <n v="3"/>
    <n v="3"/>
    <n v="1"/>
    <n v="4"/>
    <n v="7"/>
    <n v="0"/>
    <n v="0"/>
    <n v="0"/>
    <n v="0"/>
    <n v="0"/>
    <x v="0"/>
    <n v="0"/>
    <n v="3"/>
    <n v="11"/>
    <n v="1"/>
    <n v="66"/>
    <n v="2781"/>
    <n v="7.6191780821917812"/>
    <n v="0"/>
    <n v="1"/>
    <n v="0"/>
    <n v="0"/>
    <n v="0"/>
    <n v="0"/>
    <n v="0"/>
    <n v="0"/>
    <n v="0"/>
    <n v="1"/>
    <n v="151"/>
    <n v="130"/>
    <n v="21"/>
    <n v="0"/>
    <x v="0"/>
    <x v="0"/>
    <x v="0"/>
    <x v="1"/>
    <x v="2"/>
    <x v="2"/>
    <n v="1"/>
    <n v="0"/>
    <n v="18"/>
    <n v="6"/>
    <n v="4"/>
    <n v="3"/>
    <n v="13"/>
    <n v="3"/>
    <x v="3"/>
  </r>
  <r>
    <x v="1050"/>
    <n v="56534"/>
    <n v="0"/>
    <n v="1"/>
    <n v="35"/>
    <n v="691"/>
    <n v="7"/>
    <n v="61"/>
    <n v="10"/>
    <n v="0"/>
    <n v="46"/>
    <n v="4"/>
    <n v="10"/>
    <n v="4"/>
    <n v="7"/>
    <n v="8"/>
    <n v="0"/>
    <n v="1"/>
    <n v="0"/>
    <n v="1"/>
    <n v="0"/>
    <x v="1"/>
    <n v="0"/>
    <n v="3"/>
    <n v="11"/>
    <n v="1"/>
    <n v="52"/>
    <n v="2500"/>
    <n v="6.8493150684931505"/>
    <n v="0"/>
    <n v="0"/>
    <n v="0"/>
    <n v="1"/>
    <n v="0"/>
    <n v="0"/>
    <n v="0"/>
    <n v="1"/>
    <n v="0"/>
    <n v="0"/>
    <n v="769"/>
    <n v="723"/>
    <n v="46"/>
    <n v="2"/>
    <x v="0"/>
    <x v="0"/>
    <x v="2"/>
    <x v="0"/>
    <x v="2"/>
    <x v="1"/>
    <n v="1"/>
    <n v="0"/>
    <n v="33"/>
    <n v="7"/>
    <n v="9"/>
    <n v="6"/>
    <n v="22"/>
    <n v="8"/>
    <x v="2"/>
  </r>
  <r>
    <x v="1051"/>
    <n v="58692"/>
    <n v="0"/>
    <n v="1"/>
    <n v="21"/>
    <n v="301"/>
    <n v="11"/>
    <n v="61"/>
    <n v="4"/>
    <n v="7"/>
    <n v="11"/>
    <n v="1"/>
    <n v="8"/>
    <n v="2"/>
    <n v="4"/>
    <n v="7"/>
    <n v="0"/>
    <n v="0"/>
    <n v="0"/>
    <n v="0"/>
    <n v="0"/>
    <x v="0"/>
    <n v="0"/>
    <n v="3"/>
    <n v="11"/>
    <n v="0"/>
    <n v="55"/>
    <n v="2243"/>
    <n v="6.1452054794520548"/>
    <n v="0"/>
    <n v="1"/>
    <n v="0"/>
    <n v="0"/>
    <n v="0"/>
    <n v="0"/>
    <n v="0"/>
    <n v="1"/>
    <n v="0"/>
    <n v="0"/>
    <n v="384"/>
    <n v="373"/>
    <n v="11"/>
    <n v="0"/>
    <x v="0"/>
    <x v="0"/>
    <x v="0"/>
    <x v="0"/>
    <x v="2"/>
    <x v="1"/>
    <n v="0"/>
    <n v="0"/>
    <n v="22"/>
    <n v="8"/>
    <n v="5"/>
    <n v="5"/>
    <n v="18"/>
    <n v="6"/>
    <x v="1"/>
  </r>
  <r>
    <x v="1052"/>
    <n v="62499"/>
    <n v="1"/>
    <n v="0"/>
    <n v="0"/>
    <n v="140"/>
    <n v="4"/>
    <n v="61"/>
    <n v="0"/>
    <n v="13"/>
    <n v="4"/>
    <n v="2"/>
    <n v="3"/>
    <n v="1"/>
    <n v="6"/>
    <n v="4"/>
    <n v="0"/>
    <n v="0"/>
    <n v="0"/>
    <n v="0"/>
    <n v="0"/>
    <x v="0"/>
    <n v="0"/>
    <n v="3"/>
    <n v="11"/>
    <n v="0"/>
    <n v="41"/>
    <n v="2361"/>
    <n v="6.4684931506849317"/>
    <n v="0"/>
    <n v="0"/>
    <n v="0"/>
    <n v="1"/>
    <n v="0"/>
    <n v="0"/>
    <n v="0"/>
    <n v="0"/>
    <n v="1"/>
    <n v="0"/>
    <n v="218"/>
    <n v="214"/>
    <n v="4"/>
    <n v="0"/>
    <x v="0"/>
    <x v="0"/>
    <x v="2"/>
    <x v="1"/>
    <x v="2"/>
    <x v="0"/>
    <n v="0"/>
    <n v="0"/>
    <n v="16"/>
    <n v="10"/>
    <n v="3"/>
    <n v="4"/>
    <n v="17"/>
    <n v="6"/>
    <x v="1"/>
  </r>
  <r>
    <x v="1053"/>
    <n v="64140"/>
    <n v="0"/>
    <n v="2"/>
    <n v="71"/>
    <n v="1459"/>
    <n v="0"/>
    <n v="61"/>
    <n v="0"/>
    <n v="15"/>
    <n v="215"/>
    <n v="5"/>
    <n v="2"/>
    <n v="5"/>
    <n v="6"/>
    <n v="5"/>
    <n v="0"/>
    <n v="1"/>
    <n v="1"/>
    <n v="0"/>
    <n v="1"/>
    <x v="1"/>
    <n v="0"/>
    <n v="3"/>
    <n v="11"/>
    <n v="1"/>
    <n v="56"/>
    <n v="2438"/>
    <n v="6.6794520547945204"/>
    <n v="1"/>
    <n v="0"/>
    <n v="0"/>
    <n v="0"/>
    <n v="0"/>
    <n v="0"/>
    <n v="0"/>
    <n v="0"/>
    <n v="0"/>
    <n v="1"/>
    <n v="1535"/>
    <n v="1320"/>
    <n v="215"/>
    <n v="3"/>
    <x v="0"/>
    <x v="0"/>
    <x v="3"/>
    <x v="1"/>
    <x v="2"/>
    <x v="1"/>
    <n v="1"/>
    <n v="0"/>
    <n v="23"/>
    <n v="3.0000000000000004"/>
    <n v="6"/>
    <n v="9"/>
    <n v="18"/>
    <n v="6"/>
    <x v="1"/>
  </r>
  <r>
    <x v="1054"/>
    <n v="34600"/>
    <n v="1"/>
    <n v="1"/>
    <n v="8"/>
    <n v="199"/>
    <n v="33"/>
    <n v="60"/>
    <n v="8"/>
    <n v="3"/>
    <n v="15"/>
    <n v="5"/>
    <n v="5"/>
    <n v="2"/>
    <n v="5"/>
    <n v="8"/>
    <n v="0"/>
    <n v="0"/>
    <n v="0"/>
    <n v="0"/>
    <n v="0"/>
    <x v="0"/>
    <n v="0"/>
    <n v="3"/>
    <n v="11"/>
    <n v="1"/>
    <n v="49"/>
    <n v="2703"/>
    <n v="7.4054794520547942"/>
    <n v="0"/>
    <n v="0"/>
    <n v="0"/>
    <n v="1"/>
    <n v="0"/>
    <n v="0"/>
    <n v="0"/>
    <n v="1"/>
    <n v="0"/>
    <n v="0"/>
    <n v="303"/>
    <n v="288"/>
    <n v="15"/>
    <n v="0"/>
    <x v="0"/>
    <x v="0"/>
    <x v="2"/>
    <x v="0"/>
    <x v="0"/>
    <x v="0"/>
    <n v="0"/>
    <n v="0"/>
    <n v="25"/>
    <n v="10"/>
    <n v="7"/>
    <n v="4"/>
    <n v="21"/>
    <n v="8"/>
    <x v="2"/>
  </r>
  <r>
    <x v="1055"/>
    <n v="39763"/>
    <n v="1"/>
    <n v="0"/>
    <n v="9"/>
    <n v="80"/>
    <n v="1"/>
    <n v="60"/>
    <n v="4"/>
    <n v="6"/>
    <n v="16"/>
    <n v="2"/>
    <n v="5"/>
    <n v="1"/>
    <n v="2"/>
    <n v="9"/>
    <n v="0"/>
    <n v="0"/>
    <n v="0"/>
    <n v="0"/>
    <n v="0"/>
    <x v="0"/>
    <n v="0"/>
    <n v="3"/>
    <n v="11"/>
    <n v="1"/>
    <n v="49"/>
    <n v="2488"/>
    <n v="6.816438356164384"/>
    <n v="0"/>
    <n v="0"/>
    <n v="1"/>
    <n v="0"/>
    <n v="0"/>
    <n v="0"/>
    <n v="0"/>
    <n v="0"/>
    <n v="1"/>
    <n v="0"/>
    <n v="151"/>
    <n v="135"/>
    <n v="16"/>
    <n v="0"/>
    <x v="0"/>
    <x v="0"/>
    <x v="1"/>
    <x v="1"/>
    <x v="3"/>
    <x v="0"/>
    <n v="0"/>
    <n v="0"/>
    <n v="19"/>
    <n v="10"/>
    <n v="4"/>
    <n v="3"/>
    <n v="17"/>
    <n v="6"/>
    <x v="1"/>
  </r>
  <r>
    <x v="1056"/>
    <n v="45183"/>
    <n v="0"/>
    <n v="0"/>
    <n v="33"/>
    <n v="219"/>
    <n v="3"/>
    <n v="60"/>
    <n v="12"/>
    <n v="9"/>
    <n v="12"/>
    <n v="1"/>
    <n v="4"/>
    <n v="1"/>
    <n v="7"/>
    <n v="7"/>
    <n v="0"/>
    <n v="0"/>
    <n v="0"/>
    <n v="1"/>
    <n v="0"/>
    <x v="1"/>
    <n v="0"/>
    <n v="3"/>
    <n v="11"/>
    <n v="0"/>
    <n v="58"/>
    <n v="2684"/>
    <n v="7.353424657534247"/>
    <n v="0"/>
    <n v="0"/>
    <n v="1"/>
    <n v="0"/>
    <n v="0"/>
    <n v="0"/>
    <n v="0"/>
    <n v="0"/>
    <n v="1"/>
    <n v="0"/>
    <n v="303"/>
    <n v="291"/>
    <n v="12"/>
    <n v="1"/>
    <x v="1"/>
    <x v="1"/>
    <x v="1"/>
    <x v="1"/>
    <x v="3"/>
    <x v="1"/>
    <n v="1"/>
    <n v="0"/>
    <n v="20"/>
    <n v="7"/>
    <n v="4"/>
    <n v="4"/>
    <n v="15"/>
    <n v="4"/>
    <x v="3"/>
  </r>
  <r>
    <x v="1057"/>
    <n v="50300"/>
    <n v="0"/>
    <n v="1"/>
    <n v="52"/>
    <n v="143"/>
    <n v="15"/>
    <n v="60"/>
    <n v="24"/>
    <n v="23"/>
    <n v="5"/>
    <n v="2"/>
    <n v="2"/>
    <n v="1"/>
    <n v="8"/>
    <n v="2"/>
    <n v="0"/>
    <n v="0"/>
    <n v="0"/>
    <n v="0"/>
    <n v="0"/>
    <x v="0"/>
    <n v="0"/>
    <n v="3"/>
    <n v="11"/>
    <n v="0"/>
    <n v="68"/>
    <n v="2194"/>
    <n v="6.0109589041095894"/>
    <n v="0"/>
    <n v="1"/>
    <n v="0"/>
    <n v="0"/>
    <n v="0"/>
    <n v="0"/>
    <n v="0"/>
    <n v="1"/>
    <n v="0"/>
    <n v="0"/>
    <n v="265"/>
    <n v="260"/>
    <n v="5"/>
    <n v="0"/>
    <x v="0"/>
    <x v="0"/>
    <x v="0"/>
    <x v="0"/>
    <x v="2"/>
    <x v="2"/>
    <n v="1"/>
    <n v="0"/>
    <n v="15"/>
    <n v="5"/>
    <n v="2"/>
    <n v="4"/>
    <n v="11"/>
    <n v="2"/>
    <x v="3"/>
  </r>
  <r>
    <x v="1058"/>
    <n v="54959"/>
    <n v="0"/>
    <n v="1"/>
    <n v="55"/>
    <n v="1148"/>
    <n v="0"/>
    <n v="60"/>
    <n v="0"/>
    <n v="0"/>
    <n v="24"/>
    <n v="3"/>
    <n v="9"/>
    <n v="5"/>
    <n v="4"/>
    <n v="7"/>
    <n v="0"/>
    <n v="0"/>
    <n v="0"/>
    <n v="1"/>
    <n v="0"/>
    <x v="1"/>
    <n v="0"/>
    <n v="3"/>
    <n v="11"/>
    <n v="1"/>
    <n v="59"/>
    <n v="2685"/>
    <n v="7.3561643835616435"/>
    <n v="1"/>
    <n v="0"/>
    <n v="0"/>
    <n v="0"/>
    <n v="0"/>
    <n v="0"/>
    <n v="0"/>
    <n v="0"/>
    <n v="0"/>
    <n v="1"/>
    <n v="1208"/>
    <n v="1184"/>
    <n v="24"/>
    <n v="1"/>
    <x v="0"/>
    <x v="0"/>
    <x v="3"/>
    <x v="1"/>
    <x v="2"/>
    <x v="1"/>
    <n v="1"/>
    <n v="0"/>
    <n v="28"/>
    <n v="5"/>
    <n v="8"/>
    <n v="8"/>
    <n v="21"/>
    <n v="8"/>
    <x v="2"/>
  </r>
  <r>
    <x v="1059"/>
    <n v="57072"/>
    <n v="0"/>
    <n v="1"/>
    <n v="79"/>
    <n v="944"/>
    <n v="0"/>
    <n v="60"/>
    <n v="0"/>
    <n v="0"/>
    <n v="30"/>
    <n v="2"/>
    <n v="7"/>
    <n v="5"/>
    <n v="13"/>
    <n v="5"/>
    <n v="0"/>
    <n v="0"/>
    <n v="1"/>
    <n v="0"/>
    <n v="0"/>
    <x v="1"/>
    <n v="0"/>
    <n v="3"/>
    <n v="11"/>
    <n v="0"/>
    <n v="59"/>
    <n v="2315"/>
    <n v="6.3424657534246576"/>
    <n v="0"/>
    <n v="1"/>
    <n v="0"/>
    <n v="0"/>
    <n v="0"/>
    <n v="0"/>
    <n v="0"/>
    <n v="0"/>
    <n v="0"/>
    <n v="1"/>
    <n v="1004"/>
    <n v="974"/>
    <n v="30"/>
    <n v="1"/>
    <x v="0"/>
    <x v="0"/>
    <x v="0"/>
    <x v="1"/>
    <x v="2"/>
    <x v="1"/>
    <n v="1"/>
    <n v="0"/>
    <n v="32"/>
    <n v="3.0000000000000004"/>
    <n v="9"/>
    <n v="7"/>
    <n v="19"/>
    <n v="7"/>
    <x v="2"/>
  </r>
  <r>
    <x v="1060"/>
    <n v="29999"/>
    <n v="1"/>
    <n v="0"/>
    <n v="22"/>
    <n v="68"/>
    <n v="7"/>
    <n v="59"/>
    <n v="10"/>
    <n v="5"/>
    <n v="11"/>
    <n v="4"/>
    <n v="3"/>
    <n v="1"/>
    <n v="4"/>
    <n v="8"/>
    <n v="0"/>
    <n v="0"/>
    <n v="0"/>
    <n v="0"/>
    <n v="0"/>
    <x v="0"/>
    <n v="0"/>
    <n v="3"/>
    <n v="11"/>
    <n v="0"/>
    <n v="34"/>
    <n v="2660"/>
    <n v="7.2876712328767121"/>
    <n v="0"/>
    <n v="0"/>
    <n v="1"/>
    <n v="0"/>
    <n v="0"/>
    <n v="0"/>
    <n v="0"/>
    <n v="0"/>
    <n v="0"/>
    <n v="1"/>
    <n v="149"/>
    <n v="138"/>
    <n v="11"/>
    <n v="0"/>
    <x v="0"/>
    <x v="0"/>
    <x v="1"/>
    <x v="1"/>
    <x v="0"/>
    <x v="3"/>
    <n v="0"/>
    <n v="0"/>
    <n v="20"/>
    <n v="8"/>
    <n v="4"/>
    <n v="3"/>
    <n v="15"/>
    <n v="4"/>
    <x v="3"/>
  </r>
  <r>
    <x v="1061"/>
    <n v="39922"/>
    <n v="1"/>
    <n v="0"/>
    <n v="30"/>
    <n v="29"/>
    <n v="12"/>
    <n v="59"/>
    <n v="19"/>
    <n v="1"/>
    <n v="36"/>
    <n v="2"/>
    <n v="3"/>
    <n v="0"/>
    <n v="4"/>
    <n v="8"/>
    <n v="0"/>
    <n v="0"/>
    <n v="0"/>
    <n v="0"/>
    <n v="0"/>
    <x v="0"/>
    <n v="0"/>
    <n v="3"/>
    <n v="11"/>
    <n v="0"/>
    <n v="37"/>
    <n v="2659"/>
    <n v="7.2849315068493148"/>
    <n v="0"/>
    <n v="1"/>
    <n v="0"/>
    <n v="0"/>
    <n v="0"/>
    <n v="0"/>
    <n v="0"/>
    <n v="1"/>
    <n v="0"/>
    <n v="0"/>
    <n v="120"/>
    <n v="84"/>
    <n v="36"/>
    <n v="0"/>
    <x v="0"/>
    <x v="0"/>
    <x v="0"/>
    <x v="0"/>
    <x v="3"/>
    <x v="3"/>
    <n v="0"/>
    <n v="0"/>
    <n v="17"/>
    <n v="7"/>
    <n v="3"/>
    <n v="3"/>
    <n v="13"/>
    <n v="3"/>
    <x v="3"/>
  </r>
  <r>
    <x v="1062"/>
    <n v="42162"/>
    <n v="1"/>
    <n v="0"/>
    <n v="31"/>
    <n v="46"/>
    <n v="7"/>
    <n v="59"/>
    <n v="2"/>
    <n v="4"/>
    <n v="27"/>
    <n v="2"/>
    <n v="3"/>
    <n v="1"/>
    <n v="3"/>
    <n v="6"/>
    <n v="0"/>
    <n v="0"/>
    <n v="1"/>
    <n v="0"/>
    <n v="0"/>
    <x v="1"/>
    <n v="0"/>
    <n v="3"/>
    <n v="11"/>
    <n v="1"/>
    <n v="39"/>
    <n v="2381"/>
    <n v="6.5232876712328771"/>
    <n v="0"/>
    <n v="0"/>
    <n v="0"/>
    <n v="1"/>
    <n v="0"/>
    <n v="0"/>
    <n v="0"/>
    <n v="1"/>
    <n v="0"/>
    <n v="0"/>
    <n v="118"/>
    <n v="91"/>
    <n v="27"/>
    <n v="1"/>
    <x v="0"/>
    <x v="0"/>
    <x v="2"/>
    <x v="0"/>
    <x v="3"/>
    <x v="3"/>
    <n v="1"/>
    <n v="0"/>
    <n v="15"/>
    <n v="7"/>
    <n v="2"/>
    <n v="3"/>
    <n v="12"/>
    <n v="3"/>
    <x v="3"/>
  </r>
  <r>
    <x v="1063"/>
    <n v="44421"/>
    <n v="1"/>
    <n v="1"/>
    <n v="53"/>
    <n v="110"/>
    <n v="5"/>
    <n v="59"/>
    <n v="7"/>
    <n v="1"/>
    <n v="7"/>
    <n v="5"/>
    <n v="5"/>
    <n v="0"/>
    <n v="4"/>
    <n v="8"/>
    <n v="0"/>
    <n v="0"/>
    <n v="0"/>
    <n v="0"/>
    <n v="0"/>
    <x v="0"/>
    <n v="0"/>
    <n v="3"/>
    <n v="11"/>
    <n v="0"/>
    <n v="49"/>
    <n v="2658"/>
    <n v="7.2821917808219174"/>
    <n v="1"/>
    <n v="0"/>
    <n v="0"/>
    <n v="0"/>
    <n v="0"/>
    <n v="0"/>
    <n v="0"/>
    <n v="1"/>
    <n v="0"/>
    <n v="0"/>
    <n v="182"/>
    <n v="175"/>
    <n v="7"/>
    <n v="0"/>
    <x v="0"/>
    <x v="0"/>
    <x v="3"/>
    <x v="0"/>
    <x v="3"/>
    <x v="0"/>
    <n v="1"/>
    <n v="0"/>
    <n v="22"/>
    <n v="5"/>
    <n v="5"/>
    <n v="4"/>
    <n v="14"/>
    <n v="4"/>
    <x v="3"/>
  </r>
  <r>
    <x v="1064"/>
    <n v="46014"/>
    <n v="1"/>
    <n v="1"/>
    <n v="21"/>
    <n v="410"/>
    <n v="0"/>
    <n v="59"/>
    <n v="19"/>
    <n v="9"/>
    <n v="44"/>
    <n v="10"/>
    <n v="7"/>
    <n v="1"/>
    <n v="8"/>
    <n v="7"/>
    <n v="0"/>
    <n v="0"/>
    <n v="0"/>
    <n v="0"/>
    <n v="0"/>
    <x v="0"/>
    <n v="0"/>
    <n v="3"/>
    <n v="11"/>
    <n v="0"/>
    <n v="46"/>
    <n v="2683"/>
    <n v="7.3506849315068497"/>
    <n v="0"/>
    <n v="0"/>
    <n v="0"/>
    <n v="1"/>
    <n v="0"/>
    <n v="0"/>
    <n v="0"/>
    <n v="0"/>
    <n v="1"/>
    <n v="0"/>
    <n v="497"/>
    <n v="453"/>
    <n v="44"/>
    <n v="0"/>
    <x v="0"/>
    <x v="0"/>
    <x v="2"/>
    <x v="1"/>
    <x v="3"/>
    <x v="0"/>
    <n v="0"/>
    <n v="0"/>
    <n v="33"/>
    <n v="8"/>
    <n v="9"/>
    <n v="5"/>
    <n v="22"/>
    <n v="8"/>
    <x v="2"/>
  </r>
  <r>
    <x v="1065"/>
    <n v="47025"/>
    <n v="0"/>
    <n v="1"/>
    <n v="98"/>
    <n v="508"/>
    <n v="11"/>
    <n v="59"/>
    <n v="23"/>
    <n v="5"/>
    <n v="29"/>
    <n v="5"/>
    <n v="11"/>
    <n v="1"/>
    <n v="6"/>
    <n v="9"/>
    <n v="0"/>
    <n v="0"/>
    <n v="0"/>
    <n v="0"/>
    <n v="0"/>
    <x v="0"/>
    <n v="0"/>
    <n v="3"/>
    <n v="11"/>
    <n v="0"/>
    <n v="42"/>
    <n v="2449"/>
    <n v="6.7095890410958905"/>
    <n v="0"/>
    <n v="1"/>
    <n v="0"/>
    <n v="0"/>
    <n v="0"/>
    <n v="1"/>
    <n v="0"/>
    <n v="0"/>
    <n v="0"/>
    <n v="0"/>
    <n v="606"/>
    <n v="577"/>
    <n v="29"/>
    <n v="0"/>
    <x v="0"/>
    <x v="0"/>
    <x v="0"/>
    <x v="1"/>
    <x v="3"/>
    <x v="0"/>
    <n v="1"/>
    <n v="1"/>
    <n v="32"/>
    <n v="0.99999999999999978"/>
    <n v="9"/>
    <n v="6"/>
    <n v="16"/>
    <n v="5"/>
    <x v="1"/>
  </r>
  <r>
    <x v="1066"/>
    <n v="67267"/>
    <n v="0"/>
    <n v="1"/>
    <n v="0"/>
    <n v="134"/>
    <n v="11"/>
    <n v="59"/>
    <n v="15"/>
    <n v="2"/>
    <n v="30"/>
    <n v="1"/>
    <n v="3"/>
    <n v="2"/>
    <n v="5"/>
    <n v="2"/>
    <n v="0"/>
    <n v="0"/>
    <n v="0"/>
    <n v="0"/>
    <n v="0"/>
    <x v="0"/>
    <n v="0"/>
    <n v="3"/>
    <n v="11"/>
    <n v="0"/>
    <n v="62"/>
    <n v="2206"/>
    <n v="6.043835616438356"/>
    <n v="0"/>
    <n v="1"/>
    <n v="0"/>
    <n v="0"/>
    <n v="0"/>
    <n v="0"/>
    <n v="0"/>
    <n v="1"/>
    <n v="0"/>
    <n v="0"/>
    <n v="221"/>
    <n v="191"/>
    <n v="30"/>
    <n v="0"/>
    <x v="0"/>
    <x v="0"/>
    <x v="0"/>
    <x v="0"/>
    <x v="2"/>
    <x v="2"/>
    <n v="0"/>
    <n v="0"/>
    <n v="13"/>
    <n v="10"/>
    <n v="1"/>
    <n v="4"/>
    <n v="15"/>
    <n v="4"/>
    <x v="3"/>
  </r>
  <r>
    <x v="1067"/>
    <n v="34380"/>
    <n v="1"/>
    <n v="0"/>
    <n v="68"/>
    <n v="72"/>
    <n v="7"/>
    <n v="58"/>
    <n v="13"/>
    <n v="1"/>
    <n v="24"/>
    <n v="4"/>
    <n v="4"/>
    <n v="1"/>
    <n v="3"/>
    <n v="8"/>
    <n v="0"/>
    <n v="0"/>
    <n v="0"/>
    <n v="0"/>
    <n v="0"/>
    <x v="0"/>
    <n v="0"/>
    <n v="3"/>
    <n v="11"/>
    <n v="0"/>
    <n v="43"/>
    <n v="2582"/>
    <n v="7.0739726027397261"/>
    <n v="0"/>
    <n v="1"/>
    <n v="0"/>
    <n v="0"/>
    <n v="0"/>
    <n v="0"/>
    <n v="0"/>
    <n v="1"/>
    <n v="0"/>
    <n v="0"/>
    <n v="151"/>
    <n v="127"/>
    <n v="24"/>
    <n v="0"/>
    <x v="0"/>
    <x v="0"/>
    <x v="0"/>
    <x v="0"/>
    <x v="0"/>
    <x v="0"/>
    <n v="1"/>
    <n v="0"/>
    <n v="20"/>
    <n v="4"/>
    <n v="4"/>
    <n v="3"/>
    <n v="11"/>
    <n v="2"/>
    <x v="3"/>
  </r>
  <r>
    <x v="1068"/>
    <n v="44051"/>
    <n v="1"/>
    <n v="1"/>
    <n v="20"/>
    <n v="79"/>
    <n v="7"/>
    <n v="58"/>
    <n v="6"/>
    <n v="3"/>
    <n v="18"/>
    <n v="4"/>
    <n v="3"/>
    <n v="1"/>
    <n v="4"/>
    <n v="6"/>
    <n v="0"/>
    <n v="0"/>
    <n v="0"/>
    <n v="0"/>
    <n v="0"/>
    <x v="0"/>
    <n v="0"/>
    <n v="3"/>
    <n v="11"/>
    <n v="1"/>
    <n v="47"/>
    <n v="2675"/>
    <n v="7.3287671232876717"/>
    <n v="1"/>
    <n v="0"/>
    <n v="0"/>
    <n v="0"/>
    <n v="0"/>
    <n v="0"/>
    <n v="0"/>
    <n v="0"/>
    <n v="1"/>
    <n v="0"/>
    <n v="153"/>
    <n v="135"/>
    <n v="18"/>
    <n v="0"/>
    <x v="0"/>
    <x v="0"/>
    <x v="3"/>
    <x v="1"/>
    <x v="3"/>
    <x v="0"/>
    <n v="0"/>
    <n v="0"/>
    <n v="18"/>
    <n v="8"/>
    <n v="4"/>
    <n v="3"/>
    <n v="15"/>
    <n v="4"/>
    <x v="3"/>
  </r>
  <r>
    <x v="1069"/>
    <n v="57642"/>
    <n v="0"/>
    <n v="1"/>
    <n v="24"/>
    <n v="580"/>
    <n v="6"/>
    <n v="58"/>
    <n v="8"/>
    <n v="0"/>
    <n v="27"/>
    <n v="3"/>
    <n v="7"/>
    <n v="6"/>
    <n v="6"/>
    <n v="4"/>
    <n v="0"/>
    <n v="0"/>
    <n v="1"/>
    <n v="0"/>
    <n v="0"/>
    <x v="1"/>
    <n v="0"/>
    <n v="3"/>
    <n v="11"/>
    <n v="0"/>
    <n v="50"/>
    <n v="2330"/>
    <n v="6.3835616438356162"/>
    <n v="0"/>
    <n v="0"/>
    <n v="1"/>
    <n v="0"/>
    <n v="0"/>
    <n v="0"/>
    <n v="0"/>
    <n v="0"/>
    <n v="0"/>
    <n v="1"/>
    <n v="652"/>
    <n v="625"/>
    <n v="27"/>
    <n v="1"/>
    <x v="0"/>
    <x v="0"/>
    <x v="1"/>
    <x v="1"/>
    <x v="2"/>
    <x v="0"/>
    <n v="0"/>
    <n v="0"/>
    <n v="26"/>
    <n v="8"/>
    <n v="7"/>
    <n v="6"/>
    <n v="21"/>
    <n v="8"/>
    <x v="2"/>
  </r>
  <r>
    <x v="1070"/>
    <n v="42395"/>
    <n v="1"/>
    <n v="1"/>
    <n v="35"/>
    <n v="48"/>
    <n v="13"/>
    <n v="57"/>
    <n v="24"/>
    <n v="15"/>
    <n v="25"/>
    <n v="4"/>
    <n v="3"/>
    <n v="1"/>
    <n v="4"/>
    <n v="7"/>
    <n v="0"/>
    <n v="0"/>
    <n v="0"/>
    <n v="0"/>
    <n v="0"/>
    <x v="0"/>
    <n v="0"/>
    <n v="3"/>
    <n v="11"/>
    <n v="0"/>
    <n v="39"/>
    <n v="2245"/>
    <n v="6.1506849315068495"/>
    <n v="0"/>
    <n v="0"/>
    <n v="1"/>
    <n v="0"/>
    <n v="0"/>
    <n v="1"/>
    <n v="0"/>
    <n v="0"/>
    <n v="0"/>
    <n v="0"/>
    <n v="157"/>
    <n v="132"/>
    <n v="25"/>
    <n v="0"/>
    <x v="0"/>
    <x v="0"/>
    <x v="1"/>
    <x v="1"/>
    <x v="3"/>
    <x v="3"/>
    <n v="1"/>
    <n v="0"/>
    <n v="19"/>
    <n v="7"/>
    <n v="4"/>
    <n v="3"/>
    <n v="14"/>
    <n v="4"/>
    <x v="3"/>
  </r>
  <r>
    <x v="1071"/>
    <n v="46344"/>
    <n v="0"/>
    <n v="1"/>
    <n v="28"/>
    <n v="233"/>
    <n v="20"/>
    <n v="57"/>
    <n v="8"/>
    <n v="20"/>
    <n v="91"/>
    <n v="4"/>
    <n v="7"/>
    <n v="1"/>
    <n v="5"/>
    <n v="7"/>
    <n v="0"/>
    <n v="0"/>
    <n v="0"/>
    <n v="0"/>
    <n v="0"/>
    <x v="0"/>
    <n v="0"/>
    <n v="3"/>
    <n v="11"/>
    <n v="0"/>
    <n v="48"/>
    <n v="2721"/>
    <n v="7.4547945205479449"/>
    <n v="0"/>
    <n v="0"/>
    <n v="0"/>
    <n v="1"/>
    <n v="0"/>
    <n v="1"/>
    <n v="0"/>
    <n v="0"/>
    <n v="0"/>
    <n v="0"/>
    <n v="338"/>
    <n v="247"/>
    <n v="91"/>
    <n v="0"/>
    <x v="0"/>
    <x v="0"/>
    <x v="2"/>
    <x v="1"/>
    <x v="3"/>
    <x v="0"/>
    <n v="0"/>
    <n v="0"/>
    <n v="24"/>
    <n v="8"/>
    <n v="6"/>
    <n v="4"/>
    <n v="18"/>
    <n v="6"/>
    <x v="1"/>
  </r>
  <r>
    <x v="1072"/>
    <n v="53253"/>
    <n v="1"/>
    <n v="1"/>
    <n v="61"/>
    <n v="216"/>
    <n v="9"/>
    <n v="57"/>
    <n v="20"/>
    <n v="9"/>
    <n v="125"/>
    <n v="7"/>
    <n v="4"/>
    <n v="3"/>
    <n v="5"/>
    <n v="5"/>
    <n v="0"/>
    <n v="0"/>
    <n v="0"/>
    <n v="0"/>
    <n v="0"/>
    <x v="0"/>
    <n v="0"/>
    <n v="3"/>
    <n v="11"/>
    <n v="0"/>
    <n v="45"/>
    <n v="2662"/>
    <n v="7.2931506849315069"/>
    <n v="0"/>
    <n v="0"/>
    <n v="0"/>
    <n v="1"/>
    <n v="0"/>
    <n v="0"/>
    <n v="0"/>
    <n v="0"/>
    <n v="1"/>
    <n v="0"/>
    <n v="311"/>
    <n v="186"/>
    <n v="125"/>
    <n v="0"/>
    <x v="0"/>
    <x v="0"/>
    <x v="2"/>
    <x v="1"/>
    <x v="2"/>
    <x v="0"/>
    <n v="1"/>
    <n v="0"/>
    <n v="24"/>
    <n v="4"/>
    <n v="6"/>
    <n v="4"/>
    <n v="14"/>
    <n v="4"/>
    <x v="3"/>
  </r>
  <r>
    <x v="1073"/>
    <n v="54809"/>
    <n v="1"/>
    <n v="1"/>
    <n v="0"/>
    <n v="63"/>
    <n v="6"/>
    <n v="57"/>
    <n v="13"/>
    <n v="13"/>
    <n v="22"/>
    <n v="4"/>
    <n v="2"/>
    <n v="1"/>
    <n v="5"/>
    <n v="4"/>
    <n v="0"/>
    <n v="0"/>
    <n v="0"/>
    <n v="0"/>
    <n v="0"/>
    <x v="0"/>
    <n v="0"/>
    <n v="3"/>
    <n v="11"/>
    <n v="0"/>
    <n v="43"/>
    <n v="2450"/>
    <n v="6.7123287671232879"/>
    <n v="0"/>
    <n v="1"/>
    <n v="0"/>
    <n v="0"/>
    <n v="0"/>
    <n v="0"/>
    <n v="0"/>
    <n v="1"/>
    <n v="0"/>
    <n v="0"/>
    <n v="152"/>
    <n v="130"/>
    <n v="22"/>
    <n v="0"/>
    <x v="0"/>
    <x v="0"/>
    <x v="0"/>
    <x v="0"/>
    <x v="2"/>
    <x v="0"/>
    <n v="0"/>
    <n v="0"/>
    <n v="16"/>
    <n v="10"/>
    <n v="3"/>
    <n v="3"/>
    <n v="16"/>
    <n v="5"/>
    <x v="1"/>
  </r>
  <r>
    <x v="1074"/>
    <n v="54809"/>
    <n v="1"/>
    <n v="1"/>
    <n v="0"/>
    <n v="63"/>
    <n v="6"/>
    <n v="57"/>
    <n v="13"/>
    <n v="13"/>
    <n v="22"/>
    <n v="4"/>
    <n v="2"/>
    <n v="1"/>
    <n v="5"/>
    <n v="4"/>
    <n v="0"/>
    <n v="0"/>
    <n v="0"/>
    <n v="0"/>
    <n v="0"/>
    <x v="0"/>
    <n v="0"/>
    <n v="3"/>
    <n v="11"/>
    <n v="1"/>
    <n v="43"/>
    <n v="2450"/>
    <n v="6.7123287671232879"/>
    <n v="0"/>
    <n v="1"/>
    <n v="0"/>
    <n v="0"/>
    <n v="0"/>
    <n v="0"/>
    <n v="0"/>
    <n v="1"/>
    <n v="0"/>
    <n v="0"/>
    <n v="152"/>
    <n v="130"/>
    <n v="22"/>
    <n v="0"/>
    <x v="0"/>
    <x v="0"/>
    <x v="0"/>
    <x v="0"/>
    <x v="2"/>
    <x v="0"/>
    <n v="0"/>
    <n v="0"/>
    <n v="16"/>
    <n v="10"/>
    <n v="3"/>
    <n v="3"/>
    <n v="16"/>
    <n v="5"/>
    <x v="1"/>
  </r>
  <r>
    <x v="1075"/>
    <n v="55375"/>
    <n v="0"/>
    <n v="1"/>
    <n v="3"/>
    <n v="42"/>
    <n v="11"/>
    <n v="57"/>
    <n v="10"/>
    <n v="28"/>
    <n v="14"/>
    <n v="1"/>
    <n v="1"/>
    <n v="1"/>
    <n v="6"/>
    <n v="2"/>
    <n v="0"/>
    <n v="0"/>
    <n v="0"/>
    <n v="0"/>
    <n v="0"/>
    <x v="0"/>
    <n v="0"/>
    <n v="3"/>
    <n v="11"/>
    <n v="0"/>
    <n v="43"/>
    <n v="2414"/>
    <n v="6.6136986301369864"/>
    <n v="0"/>
    <n v="0"/>
    <n v="0"/>
    <n v="1"/>
    <n v="0"/>
    <n v="0"/>
    <n v="0"/>
    <n v="1"/>
    <n v="0"/>
    <n v="0"/>
    <n v="148"/>
    <n v="134"/>
    <n v="14"/>
    <n v="0"/>
    <x v="0"/>
    <x v="0"/>
    <x v="2"/>
    <x v="0"/>
    <x v="2"/>
    <x v="0"/>
    <n v="0"/>
    <n v="0"/>
    <n v="11"/>
    <n v="10"/>
    <n v="0"/>
    <n v="3"/>
    <n v="13"/>
    <n v="3"/>
    <x v="3"/>
  </r>
  <r>
    <x v="1076"/>
    <n v="60033"/>
    <n v="0"/>
    <n v="1"/>
    <n v="28"/>
    <n v="62"/>
    <n v="1"/>
    <n v="57"/>
    <n v="19"/>
    <n v="11"/>
    <n v="48"/>
    <n v="2"/>
    <n v="2"/>
    <n v="1"/>
    <n v="5"/>
    <n v="2"/>
    <n v="0"/>
    <n v="0"/>
    <n v="0"/>
    <n v="0"/>
    <n v="0"/>
    <x v="0"/>
    <n v="0"/>
    <n v="3"/>
    <n v="11"/>
    <n v="0"/>
    <n v="66"/>
    <n v="2251"/>
    <n v="6.1671232876712327"/>
    <n v="0"/>
    <n v="0"/>
    <n v="0"/>
    <n v="1"/>
    <n v="0"/>
    <n v="0"/>
    <n v="0"/>
    <n v="0"/>
    <n v="1"/>
    <n v="0"/>
    <n v="150"/>
    <n v="102"/>
    <n v="48"/>
    <n v="0"/>
    <x v="0"/>
    <x v="0"/>
    <x v="2"/>
    <x v="1"/>
    <x v="2"/>
    <x v="2"/>
    <n v="0"/>
    <n v="0"/>
    <n v="12"/>
    <n v="8"/>
    <n v="1"/>
    <n v="3"/>
    <n v="12"/>
    <n v="3"/>
    <x v="3"/>
  </r>
  <r>
    <x v="1077"/>
    <n v="61010"/>
    <n v="0"/>
    <n v="1"/>
    <n v="57"/>
    <n v="888"/>
    <n v="0"/>
    <n v="57"/>
    <n v="0"/>
    <n v="0"/>
    <n v="76"/>
    <n v="2"/>
    <n v="8"/>
    <n v="5"/>
    <n v="11"/>
    <n v="5"/>
    <n v="0"/>
    <n v="0"/>
    <n v="0"/>
    <n v="0"/>
    <n v="0"/>
    <x v="0"/>
    <n v="0"/>
    <n v="3"/>
    <n v="11"/>
    <n v="0"/>
    <n v="68"/>
    <n v="2787"/>
    <n v="7.6356164383561644"/>
    <n v="0"/>
    <n v="0"/>
    <n v="0"/>
    <n v="1"/>
    <n v="0"/>
    <n v="0"/>
    <n v="0"/>
    <n v="0"/>
    <n v="0"/>
    <n v="1"/>
    <n v="945"/>
    <n v="869"/>
    <n v="76"/>
    <n v="0"/>
    <x v="0"/>
    <x v="0"/>
    <x v="2"/>
    <x v="1"/>
    <x v="2"/>
    <x v="2"/>
    <n v="1"/>
    <n v="0"/>
    <n v="31"/>
    <n v="5"/>
    <n v="9"/>
    <n v="7"/>
    <n v="21"/>
    <n v="8"/>
    <x v="2"/>
  </r>
  <r>
    <x v="1078"/>
    <n v="66480"/>
    <n v="1"/>
    <n v="1"/>
    <n v="71"/>
    <n v="199"/>
    <n v="9"/>
    <n v="57"/>
    <n v="20"/>
    <n v="21"/>
    <n v="6"/>
    <n v="7"/>
    <n v="4"/>
    <n v="1"/>
    <n v="7"/>
    <n v="4"/>
    <n v="0"/>
    <n v="0"/>
    <n v="0"/>
    <n v="0"/>
    <n v="0"/>
    <x v="0"/>
    <n v="0"/>
    <n v="3"/>
    <n v="11"/>
    <n v="0"/>
    <n v="55"/>
    <n v="2188"/>
    <n v="5.9945205479452053"/>
    <n v="0"/>
    <n v="1"/>
    <n v="0"/>
    <n v="0"/>
    <n v="0"/>
    <n v="0"/>
    <n v="0"/>
    <n v="1"/>
    <n v="0"/>
    <n v="0"/>
    <n v="306"/>
    <n v="300"/>
    <n v="6"/>
    <n v="0"/>
    <x v="0"/>
    <x v="0"/>
    <x v="0"/>
    <x v="0"/>
    <x v="2"/>
    <x v="1"/>
    <n v="1"/>
    <n v="0"/>
    <n v="23"/>
    <n v="3.0000000000000004"/>
    <n v="6"/>
    <n v="4"/>
    <n v="13"/>
    <n v="3"/>
    <x v="3"/>
  </r>
  <r>
    <x v="1079"/>
    <n v="32313"/>
    <n v="1"/>
    <n v="0"/>
    <n v="60"/>
    <n v="86"/>
    <n v="4"/>
    <n v="56"/>
    <n v="2"/>
    <n v="4"/>
    <n v="7"/>
    <n v="3"/>
    <n v="4"/>
    <n v="0"/>
    <n v="4"/>
    <n v="9"/>
    <n v="0"/>
    <n v="0"/>
    <n v="0"/>
    <n v="0"/>
    <n v="0"/>
    <x v="0"/>
    <n v="0"/>
    <n v="3"/>
    <n v="11"/>
    <n v="0"/>
    <n v="38"/>
    <n v="2662"/>
    <n v="7.2931506849315069"/>
    <n v="0"/>
    <n v="0"/>
    <n v="0"/>
    <n v="1"/>
    <n v="0"/>
    <n v="0"/>
    <n v="0"/>
    <n v="0"/>
    <n v="0"/>
    <n v="1"/>
    <n v="152"/>
    <n v="145"/>
    <n v="7"/>
    <n v="0"/>
    <x v="0"/>
    <x v="0"/>
    <x v="2"/>
    <x v="1"/>
    <x v="0"/>
    <x v="3"/>
    <n v="1"/>
    <n v="0"/>
    <n v="20"/>
    <n v="4"/>
    <n v="4"/>
    <n v="3"/>
    <n v="11"/>
    <n v="2"/>
    <x v="3"/>
  </r>
  <r>
    <x v="1080"/>
    <n v="33454"/>
    <n v="1"/>
    <n v="0"/>
    <n v="32"/>
    <n v="76"/>
    <n v="10"/>
    <n v="56"/>
    <n v="3"/>
    <n v="1"/>
    <n v="23"/>
    <n v="2"/>
    <n v="4"/>
    <n v="0"/>
    <n v="4"/>
    <n v="8"/>
    <n v="0"/>
    <n v="0"/>
    <n v="0"/>
    <n v="0"/>
    <n v="0"/>
    <x v="0"/>
    <n v="0"/>
    <n v="3"/>
    <n v="11"/>
    <n v="0"/>
    <n v="35"/>
    <n v="2576"/>
    <n v="7.0575342465753428"/>
    <n v="0"/>
    <n v="1"/>
    <n v="0"/>
    <n v="0"/>
    <n v="0"/>
    <n v="0"/>
    <n v="0"/>
    <n v="0"/>
    <n v="0"/>
    <n v="1"/>
    <n v="146"/>
    <n v="123"/>
    <n v="23"/>
    <n v="0"/>
    <x v="0"/>
    <x v="0"/>
    <x v="0"/>
    <x v="1"/>
    <x v="0"/>
    <x v="3"/>
    <n v="1"/>
    <n v="0"/>
    <n v="18"/>
    <n v="7"/>
    <n v="4"/>
    <n v="3"/>
    <n v="14"/>
    <n v="4"/>
    <x v="3"/>
  </r>
  <r>
    <x v="1081"/>
    <n v="37509"/>
    <n v="1"/>
    <n v="0"/>
    <n v="24"/>
    <n v="37"/>
    <n v="5"/>
    <n v="56"/>
    <n v="12"/>
    <n v="8"/>
    <n v="5"/>
    <n v="2"/>
    <n v="3"/>
    <n v="0"/>
    <n v="4"/>
    <n v="7"/>
    <n v="0"/>
    <n v="0"/>
    <n v="0"/>
    <n v="0"/>
    <n v="0"/>
    <x v="0"/>
    <n v="0"/>
    <n v="3"/>
    <n v="11"/>
    <n v="0"/>
    <n v="44"/>
    <n v="2814"/>
    <n v="7.7095890410958905"/>
    <n v="0"/>
    <n v="0"/>
    <n v="0"/>
    <n v="1"/>
    <n v="0"/>
    <n v="0"/>
    <n v="0"/>
    <n v="0"/>
    <n v="1"/>
    <n v="0"/>
    <n v="118"/>
    <n v="113"/>
    <n v="5"/>
    <n v="0"/>
    <x v="0"/>
    <x v="0"/>
    <x v="2"/>
    <x v="1"/>
    <x v="3"/>
    <x v="0"/>
    <n v="0"/>
    <n v="0"/>
    <n v="16"/>
    <n v="8"/>
    <n v="3"/>
    <n v="3"/>
    <n v="14"/>
    <n v="4"/>
    <x v="3"/>
  </r>
  <r>
    <x v="1082"/>
    <n v="38361"/>
    <n v="1"/>
    <n v="0"/>
    <n v="74"/>
    <n v="39"/>
    <n v="0"/>
    <n v="56"/>
    <n v="20"/>
    <n v="8"/>
    <n v="14"/>
    <n v="3"/>
    <n v="3"/>
    <n v="1"/>
    <n v="3"/>
    <n v="7"/>
    <n v="0"/>
    <n v="0"/>
    <n v="0"/>
    <n v="0"/>
    <n v="0"/>
    <x v="0"/>
    <n v="0"/>
    <n v="3"/>
    <n v="11"/>
    <n v="0"/>
    <n v="51"/>
    <n v="2343"/>
    <n v="6.419178082191781"/>
    <n v="0"/>
    <n v="0"/>
    <n v="0"/>
    <n v="1"/>
    <n v="0"/>
    <n v="0"/>
    <n v="0"/>
    <n v="1"/>
    <n v="0"/>
    <n v="0"/>
    <n v="123"/>
    <n v="109"/>
    <n v="14"/>
    <n v="0"/>
    <x v="0"/>
    <x v="0"/>
    <x v="2"/>
    <x v="0"/>
    <x v="3"/>
    <x v="1"/>
    <n v="1"/>
    <n v="0"/>
    <n v="17"/>
    <n v="3.0000000000000004"/>
    <n v="3"/>
    <n v="3"/>
    <n v="9"/>
    <n v="1"/>
    <x v="3"/>
  </r>
  <r>
    <x v="1083"/>
    <n v="39665"/>
    <n v="1"/>
    <n v="0"/>
    <n v="97"/>
    <n v="127"/>
    <n v="1"/>
    <n v="56"/>
    <n v="0"/>
    <n v="1"/>
    <n v="31"/>
    <n v="3"/>
    <n v="4"/>
    <n v="2"/>
    <n v="3"/>
    <n v="7"/>
    <n v="0"/>
    <n v="0"/>
    <n v="1"/>
    <n v="0"/>
    <n v="0"/>
    <x v="1"/>
    <n v="0"/>
    <n v="3"/>
    <n v="11"/>
    <n v="0"/>
    <n v="39"/>
    <n v="2559"/>
    <n v="7.0109589041095894"/>
    <n v="0"/>
    <n v="0"/>
    <n v="0"/>
    <n v="1"/>
    <n v="0"/>
    <n v="0"/>
    <n v="0"/>
    <n v="0"/>
    <n v="0"/>
    <n v="1"/>
    <n v="185"/>
    <n v="154"/>
    <n v="31"/>
    <n v="1"/>
    <x v="0"/>
    <x v="0"/>
    <x v="2"/>
    <x v="1"/>
    <x v="3"/>
    <x v="3"/>
    <n v="1"/>
    <n v="1"/>
    <n v="19"/>
    <n v="0.99999999999999978"/>
    <n v="4"/>
    <n v="4"/>
    <n v="9"/>
    <n v="1"/>
    <x v="3"/>
  </r>
  <r>
    <x v="1084"/>
    <n v="42586"/>
    <n v="1"/>
    <n v="1"/>
    <n v="7"/>
    <n v="194"/>
    <n v="2"/>
    <n v="56"/>
    <n v="0"/>
    <n v="0"/>
    <n v="0"/>
    <n v="5"/>
    <n v="4"/>
    <n v="1"/>
    <n v="6"/>
    <n v="8"/>
    <n v="0"/>
    <n v="0"/>
    <n v="0"/>
    <n v="0"/>
    <n v="0"/>
    <x v="0"/>
    <n v="0"/>
    <n v="3"/>
    <n v="11"/>
    <n v="1"/>
    <n v="65"/>
    <n v="2767"/>
    <n v="7.580821917808219"/>
    <n v="0"/>
    <n v="0"/>
    <n v="0"/>
    <n v="1"/>
    <n v="0"/>
    <n v="0"/>
    <n v="0"/>
    <n v="1"/>
    <n v="0"/>
    <n v="0"/>
    <n v="252"/>
    <n v="252"/>
    <n v="0"/>
    <n v="0"/>
    <x v="0"/>
    <x v="0"/>
    <x v="2"/>
    <x v="0"/>
    <x v="3"/>
    <x v="2"/>
    <n v="0"/>
    <n v="0"/>
    <n v="24"/>
    <n v="10"/>
    <n v="6"/>
    <n v="4"/>
    <n v="20"/>
    <n v="7"/>
    <x v="2"/>
  </r>
  <r>
    <x v="1085"/>
    <n v="42607"/>
    <n v="0"/>
    <n v="1"/>
    <n v="30"/>
    <n v="156"/>
    <n v="29"/>
    <n v="56"/>
    <n v="30"/>
    <n v="32"/>
    <n v="47"/>
    <n v="2"/>
    <n v="3"/>
    <n v="2"/>
    <n v="7"/>
    <n v="3"/>
    <n v="0"/>
    <n v="0"/>
    <n v="0"/>
    <n v="0"/>
    <n v="0"/>
    <x v="0"/>
    <n v="0"/>
    <n v="3"/>
    <n v="11"/>
    <n v="0"/>
    <n v="66"/>
    <n v="2383"/>
    <n v="6.5287671232876709"/>
    <n v="0"/>
    <n v="0"/>
    <n v="1"/>
    <n v="0"/>
    <n v="0"/>
    <n v="1"/>
    <n v="0"/>
    <n v="0"/>
    <n v="0"/>
    <n v="0"/>
    <n v="303"/>
    <n v="256"/>
    <n v="47"/>
    <n v="0"/>
    <x v="0"/>
    <x v="0"/>
    <x v="1"/>
    <x v="1"/>
    <x v="3"/>
    <x v="2"/>
    <n v="0"/>
    <n v="0"/>
    <n v="17"/>
    <n v="7"/>
    <n v="3"/>
    <n v="4"/>
    <n v="14"/>
    <n v="4"/>
    <x v="3"/>
  </r>
  <r>
    <x v="1086"/>
    <n v="46904"/>
    <n v="1"/>
    <n v="1"/>
    <n v="20"/>
    <n v="153"/>
    <n v="4"/>
    <n v="56"/>
    <n v="0"/>
    <n v="9"/>
    <n v="31"/>
    <n v="4"/>
    <n v="5"/>
    <n v="1"/>
    <n v="4"/>
    <n v="8"/>
    <n v="0"/>
    <n v="0"/>
    <n v="0"/>
    <n v="0"/>
    <n v="0"/>
    <x v="0"/>
    <n v="0"/>
    <n v="3"/>
    <n v="11"/>
    <n v="0"/>
    <n v="53"/>
    <n v="2762"/>
    <n v="7.5671232876712331"/>
    <n v="0"/>
    <n v="0"/>
    <n v="1"/>
    <n v="0"/>
    <n v="0"/>
    <n v="0"/>
    <n v="0"/>
    <n v="1"/>
    <n v="0"/>
    <n v="0"/>
    <n v="222"/>
    <n v="191"/>
    <n v="31"/>
    <n v="0"/>
    <x v="0"/>
    <x v="0"/>
    <x v="1"/>
    <x v="0"/>
    <x v="3"/>
    <x v="1"/>
    <n v="0"/>
    <n v="0"/>
    <n v="22"/>
    <n v="8"/>
    <n v="5"/>
    <n v="4"/>
    <n v="17"/>
    <n v="6"/>
    <x v="1"/>
  </r>
  <r>
    <x v="1087"/>
    <n v="49678"/>
    <n v="0"/>
    <n v="1"/>
    <n v="81"/>
    <n v="229"/>
    <n v="5"/>
    <n v="56"/>
    <n v="3"/>
    <n v="2"/>
    <n v="20"/>
    <n v="2"/>
    <n v="6"/>
    <n v="2"/>
    <n v="4"/>
    <n v="7"/>
    <n v="0"/>
    <n v="0"/>
    <n v="0"/>
    <n v="0"/>
    <n v="0"/>
    <x v="0"/>
    <n v="0"/>
    <n v="3"/>
    <n v="11"/>
    <n v="0"/>
    <n v="59"/>
    <n v="2671"/>
    <n v="7.3178082191780822"/>
    <n v="0"/>
    <n v="1"/>
    <n v="0"/>
    <n v="0"/>
    <n v="0"/>
    <n v="0"/>
    <n v="0"/>
    <n v="1"/>
    <n v="0"/>
    <n v="0"/>
    <n v="295"/>
    <n v="275"/>
    <n v="20"/>
    <n v="0"/>
    <x v="0"/>
    <x v="0"/>
    <x v="0"/>
    <x v="0"/>
    <x v="3"/>
    <x v="1"/>
    <n v="1"/>
    <n v="0"/>
    <n v="21"/>
    <n v="1.9999999999999996"/>
    <n v="5"/>
    <n v="4"/>
    <n v="11"/>
    <n v="2"/>
    <x v="3"/>
  </r>
  <r>
    <x v="1088"/>
    <n v="61671"/>
    <n v="0"/>
    <n v="1"/>
    <n v="23"/>
    <n v="641"/>
    <n v="7"/>
    <n v="56"/>
    <n v="0"/>
    <n v="0"/>
    <n v="28"/>
    <n v="8"/>
    <n v="10"/>
    <n v="4"/>
    <n v="6"/>
    <n v="8"/>
    <n v="1"/>
    <n v="0"/>
    <n v="0"/>
    <n v="1"/>
    <n v="0"/>
    <x v="1"/>
    <n v="0"/>
    <n v="3"/>
    <n v="11"/>
    <n v="0"/>
    <n v="52"/>
    <n v="2185"/>
    <n v="5.9863013698630141"/>
    <n v="1"/>
    <n v="0"/>
    <n v="0"/>
    <n v="0"/>
    <n v="0"/>
    <n v="0"/>
    <n v="0"/>
    <n v="1"/>
    <n v="0"/>
    <n v="0"/>
    <n v="704"/>
    <n v="676"/>
    <n v="28"/>
    <n v="2"/>
    <x v="0"/>
    <x v="0"/>
    <x v="3"/>
    <x v="0"/>
    <x v="2"/>
    <x v="1"/>
    <n v="0"/>
    <n v="0"/>
    <n v="36"/>
    <n v="8"/>
    <n v="9"/>
    <n v="6"/>
    <n v="23"/>
    <n v="8"/>
    <x v="2"/>
  </r>
  <r>
    <x v="1089"/>
    <n v="44124"/>
    <n v="0"/>
    <n v="1"/>
    <n v="62"/>
    <n v="284"/>
    <n v="0"/>
    <n v="55"/>
    <n v="0"/>
    <n v="6"/>
    <n v="52"/>
    <n v="4"/>
    <n v="6"/>
    <n v="2"/>
    <n v="5"/>
    <n v="8"/>
    <n v="0"/>
    <n v="0"/>
    <n v="0"/>
    <n v="0"/>
    <n v="0"/>
    <x v="0"/>
    <n v="0"/>
    <n v="3"/>
    <n v="11"/>
    <n v="0"/>
    <n v="74"/>
    <n v="2573"/>
    <n v="7.0493150684931507"/>
    <n v="0"/>
    <n v="0"/>
    <n v="0"/>
    <n v="1"/>
    <n v="0"/>
    <n v="0"/>
    <n v="0"/>
    <n v="0"/>
    <n v="0"/>
    <n v="1"/>
    <n v="345"/>
    <n v="293"/>
    <n v="52"/>
    <n v="0"/>
    <x v="0"/>
    <x v="0"/>
    <x v="2"/>
    <x v="1"/>
    <x v="3"/>
    <x v="2"/>
    <n v="1"/>
    <n v="0"/>
    <n v="25"/>
    <n v="4"/>
    <n v="7"/>
    <n v="5"/>
    <n v="16"/>
    <n v="5"/>
    <x v="1"/>
  </r>
  <r>
    <x v="1090"/>
    <n v="46231"/>
    <n v="2"/>
    <n v="1"/>
    <n v="87"/>
    <n v="189"/>
    <n v="2"/>
    <n v="55"/>
    <n v="0"/>
    <n v="5"/>
    <n v="12"/>
    <n v="4"/>
    <n v="6"/>
    <n v="1"/>
    <n v="4"/>
    <n v="9"/>
    <n v="0"/>
    <n v="0"/>
    <n v="0"/>
    <n v="0"/>
    <n v="0"/>
    <x v="0"/>
    <n v="0"/>
    <n v="3"/>
    <n v="11"/>
    <n v="0"/>
    <n v="67"/>
    <n v="2739"/>
    <n v="7.5041095890410956"/>
    <n v="0"/>
    <n v="0"/>
    <n v="1"/>
    <n v="0"/>
    <n v="0"/>
    <n v="0"/>
    <n v="0"/>
    <n v="0"/>
    <n v="0"/>
    <n v="1"/>
    <n v="251"/>
    <n v="239"/>
    <n v="12"/>
    <n v="0"/>
    <x v="0"/>
    <x v="0"/>
    <x v="1"/>
    <x v="1"/>
    <x v="3"/>
    <x v="2"/>
    <n v="1"/>
    <n v="0"/>
    <n v="24"/>
    <n v="1.9999999999999996"/>
    <n v="6"/>
    <n v="4"/>
    <n v="12"/>
    <n v="3"/>
    <x v="3"/>
  </r>
  <r>
    <x v="1091"/>
    <n v="23477"/>
    <n v="1"/>
    <n v="0"/>
    <n v="39"/>
    <n v="38"/>
    <n v="15"/>
    <n v="54"/>
    <n v="3"/>
    <n v="8"/>
    <n v="29"/>
    <n v="3"/>
    <n v="3"/>
    <n v="0"/>
    <n v="4"/>
    <n v="8"/>
    <n v="0"/>
    <n v="0"/>
    <n v="0"/>
    <n v="0"/>
    <n v="0"/>
    <x v="0"/>
    <n v="0"/>
    <n v="3"/>
    <n v="11"/>
    <n v="0"/>
    <n v="34"/>
    <n v="2410"/>
    <n v="6.602739726027397"/>
    <n v="0"/>
    <n v="1"/>
    <n v="0"/>
    <n v="0"/>
    <n v="0"/>
    <n v="0"/>
    <n v="0"/>
    <n v="1"/>
    <n v="0"/>
    <n v="0"/>
    <n v="118"/>
    <n v="89"/>
    <n v="29"/>
    <n v="0"/>
    <x v="0"/>
    <x v="0"/>
    <x v="0"/>
    <x v="0"/>
    <x v="0"/>
    <x v="3"/>
    <n v="1"/>
    <n v="0"/>
    <n v="18"/>
    <n v="7"/>
    <n v="4"/>
    <n v="3"/>
    <n v="14"/>
    <n v="4"/>
    <x v="3"/>
  </r>
  <r>
    <x v="1092"/>
    <n v="36262"/>
    <n v="0"/>
    <n v="0"/>
    <n v="24"/>
    <n v="88"/>
    <n v="39"/>
    <n v="54"/>
    <n v="64"/>
    <n v="28"/>
    <n v="153"/>
    <n v="1"/>
    <n v="3"/>
    <n v="5"/>
    <n v="3"/>
    <n v="6"/>
    <n v="0"/>
    <n v="0"/>
    <n v="1"/>
    <n v="0"/>
    <n v="0"/>
    <x v="1"/>
    <n v="0"/>
    <n v="3"/>
    <n v="11"/>
    <n v="1"/>
    <n v="37"/>
    <n v="2441"/>
    <n v="6.6876712328767125"/>
    <n v="0"/>
    <n v="1"/>
    <n v="0"/>
    <n v="0"/>
    <n v="0"/>
    <n v="0"/>
    <n v="0"/>
    <n v="0"/>
    <n v="1"/>
    <n v="0"/>
    <n v="273"/>
    <n v="120"/>
    <n v="153"/>
    <n v="1"/>
    <x v="1"/>
    <x v="1"/>
    <x v="0"/>
    <x v="1"/>
    <x v="3"/>
    <x v="3"/>
    <n v="0"/>
    <n v="0"/>
    <n v="18"/>
    <n v="8"/>
    <n v="4"/>
    <n v="4"/>
    <n v="16"/>
    <n v="5"/>
    <x v="1"/>
  </r>
  <r>
    <x v="1093"/>
    <n v="41020"/>
    <n v="0"/>
    <n v="0"/>
    <n v="68"/>
    <n v="112"/>
    <n v="1"/>
    <n v="54"/>
    <n v="7"/>
    <n v="7"/>
    <n v="36"/>
    <n v="1"/>
    <n v="3"/>
    <n v="2"/>
    <n v="4"/>
    <n v="3"/>
    <n v="0"/>
    <n v="0"/>
    <n v="0"/>
    <n v="0"/>
    <n v="0"/>
    <x v="0"/>
    <n v="0"/>
    <n v="3"/>
    <n v="11"/>
    <n v="0"/>
    <n v="33"/>
    <n v="2403"/>
    <n v="6.5835616438356164"/>
    <n v="0"/>
    <n v="0"/>
    <n v="1"/>
    <n v="0"/>
    <n v="0"/>
    <n v="0"/>
    <n v="0"/>
    <n v="0"/>
    <n v="1"/>
    <n v="0"/>
    <n v="181"/>
    <n v="145"/>
    <n v="36"/>
    <n v="0"/>
    <x v="1"/>
    <x v="1"/>
    <x v="1"/>
    <x v="1"/>
    <x v="3"/>
    <x v="3"/>
    <n v="1"/>
    <n v="0"/>
    <n v="13"/>
    <n v="4"/>
    <n v="1"/>
    <n v="3"/>
    <n v="8"/>
    <n v="1"/>
    <x v="3"/>
  </r>
  <r>
    <x v="1094"/>
    <n v="46923"/>
    <n v="1"/>
    <n v="0"/>
    <n v="90"/>
    <n v="85"/>
    <n v="44"/>
    <n v="54"/>
    <n v="102"/>
    <n v="78"/>
    <n v="6"/>
    <n v="3"/>
    <n v="5"/>
    <n v="1"/>
    <n v="7"/>
    <n v="7"/>
    <n v="0"/>
    <n v="0"/>
    <n v="0"/>
    <n v="0"/>
    <n v="0"/>
    <x v="0"/>
    <n v="0"/>
    <n v="3"/>
    <n v="11"/>
    <n v="0"/>
    <n v="33"/>
    <n v="2835"/>
    <n v="7.7671232876712333"/>
    <n v="0"/>
    <n v="0"/>
    <n v="1"/>
    <n v="0"/>
    <n v="0"/>
    <n v="0"/>
    <n v="0"/>
    <n v="1"/>
    <n v="0"/>
    <n v="0"/>
    <n v="363"/>
    <n v="357"/>
    <n v="6"/>
    <n v="0"/>
    <x v="0"/>
    <x v="0"/>
    <x v="1"/>
    <x v="0"/>
    <x v="3"/>
    <x v="3"/>
    <n v="1"/>
    <n v="0"/>
    <n v="23"/>
    <n v="0.99999999999999978"/>
    <n v="6"/>
    <n v="5"/>
    <n v="12"/>
    <n v="3"/>
    <x v="3"/>
  </r>
  <r>
    <x v="1095"/>
    <n v="49980"/>
    <n v="0"/>
    <n v="1"/>
    <n v="79"/>
    <n v="104"/>
    <n v="1"/>
    <n v="54"/>
    <n v="13"/>
    <n v="9"/>
    <n v="14"/>
    <n v="2"/>
    <n v="3"/>
    <n v="1"/>
    <n v="5"/>
    <n v="5"/>
    <n v="0"/>
    <n v="0"/>
    <n v="0"/>
    <n v="0"/>
    <n v="0"/>
    <x v="0"/>
    <n v="0"/>
    <n v="3"/>
    <n v="11"/>
    <n v="0"/>
    <n v="57"/>
    <n v="2408"/>
    <n v="6.5972602739726032"/>
    <n v="0"/>
    <n v="0"/>
    <n v="1"/>
    <n v="0"/>
    <n v="0"/>
    <n v="0"/>
    <n v="0"/>
    <n v="1"/>
    <n v="0"/>
    <n v="0"/>
    <n v="181"/>
    <n v="167"/>
    <n v="14"/>
    <n v="0"/>
    <x v="0"/>
    <x v="0"/>
    <x v="1"/>
    <x v="0"/>
    <x v="3"/>
    <x v="1"/>
    <n v="1"/>
    <n v="0"/>
    <n v="16"/>
    <n v="3.0000000000000004"/>
    <n v="3"/>
    <n v="3"/>
    <n v="9"/>
    <n v="1"/>
    <x v="3"/>
  </r>
  <r>
    <x v="1096"/>
    <n v="51948"/>
    <n v="0"/>
    <n v="1"/>
    <n v="51"/>
    <n v="82"/>
    <n v="33"/>
    <n v="54"/>
    <n v="71"/>
    <n v="30"/>
    <n v="41"/>
    <n v="2"/>
    <n v="5"/>
    <n v="2"/>
    <n v="4"/>
    <n v="5"/>
    <n v="0"/>
    <n v="0"/>
    <n v="0"/>
    <n v="0"/>
    <n v="0"/>
    <x v="0"/>
    <n v="0"/>
    <n v="3"/>
    <n v="11"/>
    <n v="0"/>
    <n v="45"/>
    <n v="2444"/>
    <n v="6.6958904109589037"/>
    <n v="0"/>
    <n v="1"/>
    <n v="0"/>
    <n v="0"/>
    <n v="0"/>
    <n v="0"/>
    <n v="0"/>
    <n v="1"/>
    <n v="0"/>
    <n v="0"/>
    <n v="270"/>
    <n v="229"/>
    <n v="41"/>
    <n v="0"/>
    <x v="0"/>
    <x v="0"/>
    <x v="0"/>
    <x v="0"/>
    <x v="2"/>
    <x v="0"/>
    <n v="1"/>
    <n v="0"/>
    <n v="18"/>
    <n v="5"/>
    <n v="4"/>
    <n v="4"/>
    <n v="13"/>
    <n v="3"/>
    <x v="3"/>
  </r>
  <r>
    <x v="1097"/>
    <n v="54111"/>
    <n v="0"/>
    <n v="1"/>
    <n v="97"/>
    <n v="267"/>
    <n v="6"/>
    <n v="54"/>
    <n v="8"/>
    <n v="3"/>
    <n v="50"/>
    <n v="2"/>
    <n v="5"/>
    <n v="2"/>
    <n v="6"/>
    <n v="5"/>
    <n v="0"/>
    <n v="0"/>
    <n v="0"/>
    <n v="0"/>
    <n v="0"/>
    <x v="0"/>
    <n v="0"/>
    <n v="3"/>
    <n v="11"/>
    <n v="0"/>
    <n v="55"/>
    <n v="2467"/>
    <n v="6.7589041095890412"/>
    <n v="0"/>
    <n v="0"/>
    <n v="0"/>
    <n v="0"/>
    <n v="1"/>
    <n v="0"/>
    <n v="0"/>
    <n v="0"/>
    <n v="0"/>
    <n v="1"/>
    <n v="338"/>
    <n v="288"/>
    <n v="50"/>
    <n v="0"/>
    <x v="0"/>
    <x v="0"/>
    <x v="4"/>
    <x v="1"/>
    <x v="2"/>
    <x v="1"/>
    <n v="1"/>
    <n v="1"/>
    <n v="20"/>
    <n v="0.99999999999999978"/>
    <n v="4"/>
    <n v="4"/>
    <n v="9"/>
    <n v="1"/>
    <x v="3"/>
  </r>
  <r>
    <x v="1098"/>
    <n v="56067"/>
    <n v="0"/>
    <n v="1"/>
    <n v="51"/>
    <n v="517"/>
    <n v="12"/>
    <n v="54"/>
    <n v="16"/>
    <n v="6"/>
    <n v="120"/>
    <n v="2"/>
    <n v="7"/>
    <n v="4"/>
    <n v="7"/>
    <n v="5"/>
    <n v="0"/>
    <n v="0"/>
    <n v="0"/>
    <n v="0"/>
    <n v="0"/>
    <x v="0"/>
    <n v="0"/>
    <n v="3"/>
    <n v="11"/>
    <n v="0"/>
    <n v="58"/>
    <n v="2503"/>
    <n v="6.8575342465753426"/>
    <n v="0"/>
    <n v="0"/>
    <n v="0"/>
    <n v="1"/>
    <n v="0"/>
    <n v="0"/>
    <n v="0"/>
    <n v="0"/>
    <n v="0"/>
    <n v="1"/>
    <n v="605"/>
    <n v="485"/>
    <n v="120"/>
    <n v="0"/>
    <x v="0"/>
    <x v="0"/>
    <x v="2"/>
    <x v="1"/>
    <x v="2"/>
    <x v="1"/>
    <n v="1"/>
    <n v="0"/>
    <n v="25"/>
    <n v="5"/>
    <n v="7"/>
    <n v="6"/>
    <n v="18"/>
    <n v="6"/>
    <x v="1"/>
  </r>
  <r>
    <x v="1099"/>
    <n v="42557"/>
    <n v="0"/>
    <n v="1"/>
    <n v="98"/>
    <n v="192"/>
    <n v="5"/>
    <n v="53"/>
    <n v="0"/>
    <n v="5"/>
    <n v="15"/>
    <n v="4"/>
    <n v="6"/>
    <n v="1"/>
    <n v="4"/>
    <n v="8"/>
    <n v="0"/>
    <n v="0"/>
    <n v="0"/>
    <n v="0"/>
    <n v="0"/>
    <x v="0"/>
    <n v="0"/>
    <n v="3"/>
    <n v="11"/>
    <n v="0"/>
    <n v="46"/>
    <n v="2828"/>
    <n v="7.7479452054794518"/>
    <n v="0"/>
    <n v="1"/>
    <n v="0"/>
    <n v="0"/>
    <n v="0"/>
    <n v="0"/>
    <n v="0"/>
    <n v="1"/>
    <n v="0"/>
    <n v="0"/>
    <n v="255"/>
    <n v="240"/>
    <n v="15"/>
    <n v="0"/>
    <x v="0"/>
    <x v="0"/>
    <x v="0"/>
    <x v="0"/>
    <x v="3"/>
    <x v="0"/>
    <n v="1"/>
    <n v="1"/>
    <n v="23"/>
    <n v="0.99999999999999978"/>
    <n v="6"/>
    <n v="4"/>
    <n v="11"/>
    <n v="2"/>
    <x v="3"/>
  </r>
  <r>
    <x v="1100"/>
    <n v="43795"/>
    <n v="0"/>
    <n v="1"/>
    <n v="11"/>
    <n v="314"/>
    <n v="11"/>
    <n v="53"/>
    <n v="4"/>
    <n v="3"/>
    <n v="107"/>
    <n v="3"/>
    <n v="7"/>
    <n v="3"/>
    <n v="4"/>
    <n v="7"/>
    <n v="0"/>
    <n v="0"/>
    <n v="0"/>
    <n v="1"/>
    <n v="0"/>
    <x v="1"/>
    <n v="0"/>
    <n v="3"/>
    <n v="11"/>
    <n v="1"/>
    <n v="52"/>
    <n v="2415"/>
    <n v="6.6164383561643838"/>
    <n v="0"/>
    <n v="0"/>
    <n v="0"/>
    <n v="1"/>
    <n v="0"/>
    <n v="0"/>
    <n v="0"/>
    <n v="0"/>
    <n v="1"/>
    <n v="0"/>
    <n v="385"/>
    <n v="278"/>
    <n v="107"/>
    <n v="1"/>
    <x v="0"/>
    <x v="0"/>
    <x v="2"/>
    <x v="1"/>
    <x v="3"/>
    <x v="1"/>
    <n v="0"/>
    <n v="0"/>
    <n v="24"/>
    <n v="9"/>
    <n v="6"/>
    <n v="5"/>
    <n v="20"/>
    <n v="7"/>
    <x v="2"/>
  </r>
  <r>
    <x v="1101"/>
    <n v="45006"/>
    <n v="0"/>
    <n v="0"/>
    <n v="90"/>
    <n v="162"/>
    <n v="25"/>
    <n v="53"/>
    <n v="16"/>
    <n v="0"/>
    <n v="10"/>
    <n v="1"/>
    <n v="3"/>
    <n v="1"/>
    <n v="7"/>
    <n v="3"/>
    <n v="0"/>
    <n v="0"/>
    <n v="0"/>
    <n v="0"/>
    <n v="0"/>
    <x v="0"/>
    <n v="0"/>
    <n v="3"/>
    <n v="11"/>
    <n v="0"/>
    <n v="76"/>
    <n v="2505"/>
    <n v="6.8630136986301373"/>
    <n v="0"/>
    <n v="0"/>
    <n v="0"/>
    <n v="0"/>
    <n v="1"/>
    <n v="0"/>
    <n v="0"/>
    <n v="0"/>
    <n v="1"/>
    <n v="0"/>
    <n v="256"/>
    <n v="246"/>
    <n v="10"/>
    <n v="0"/>
    <x v="1"/>
    <x v="1"/>
    <x v="4"/>
    <x v="1"/>
    <x v="3"/>
    <x v="2"/>
    <n v="1"/>
    <n v="0"/>
    <n v="15"/>
    <n v="0.99999999999999978"/>
    <n v="2"/>
    <n v="4"/>
    <n v="7"/>
    <n v="1"/>
    <x v="3"/>
  </r>
  <r>
    <x v="1102"/>
    <n v="55260"/>
    <n v="0"/>
    <n v="1"/>
    <n v="81"/>
    <n v="825"/>
    <n v="8"/>
    <n v="53"/>
    <n v="11"/>
    <n v="0"/>
    <n v="242"/>
    <n v="2"/>
    <n v="8"/>
    <n v="10"/>
    <n v="5"/>
    <n v="6"/>
    <n v="0"/>
    <n v="0"/>
    <n v="0"/>
    <n v="0"/>
    <n v="0"/>
    <x v="0"/>
    <n v="0"/>
    <n v="3"/>
    <n v="11"/>
    <n v="0"/>
    <n v="48"/>
    <n v="2723"/>
    <n v="7.4602739726027396"/>
    <n v="0"/>
    <n v="0"/>
    <n v="1"/>
    <n v="0"/>
    <n v="0"/>
    <n v="0"/>
    <n v="0"/>
    <n v="0"/>
    <n v="0"/>
    <n v="1"/>
    <n v="897"/>
    <n v="655"/>
    <n v="242"/>
    <n v="0"/>
    <x v="0"/>
    <x v="0"/>
    <x v="1"/>
    <x v="1"/>
    <x v="2"/>
    <x v="0"/>
    <n v="1"/>
    <n v="0"/>
    <n v="31"/>
    <n v="1.9999999999999996"/>
    <n v="9"/>
    <n v="7"/>
    <n v="18"/>
    <n v="6"/>
    <x v="1"/>
  </r>
  <r>
    <x v="1103"/>
    <n v="57705"/>
    <n v="0"/>
    <n v="1"/>
    <n v="14"/>
    <n v="383"/>
    <n v="0"/>
    <n v="53"/>
    <n v="6"/>
    <n v="4"/>
    <n v="40"/>
    <n v="3"/>
    <n v="8"/>
    <n v="1"/>
    <n v="6"/>
    <n v="6"/>
    <n v="0"/>
    <n v="0"/>
    <n v="0"/>
    <n v="0"/>
    <n v="0"/>
    <x v="0"/>
    <n v="0"/>
    <n v="3"/>
    <n v="11"/>
    <n v="0"/>
    <n v="54"/>
    <n v="2328"/>
    <n v="6.3780821917808215"/>
    <n v="0"/>
    <n v="1"/>
    <n v="0"/>
    <n v="0"/>
    <n v="0"/>
    <n v="0"/>
    <n v="0"/>
    <n v="0"/>
    <n v="0"/>
    <n v="1"/>
    <n v="446"/>
    <n v="406"/>
    <n v="40"/>
    <n v="0"/>
    <x v="0"/>
    <x v="0"/>
    <x v="0"/>
    <x v="1"/>
    <x v="2"/>
    <x v="1"/>
    <n v="0"/>
    <n v="0"/>
    <n v="24"/>
    <n v="9"/>
    <n v="6"/>
    <n v="5"/>
    <n v="20"/>
    <n v="7"/>
    <x v="2"/>
  </r>
  <r>
    <x v="1104"/>
    <n v="59354"/>
    <n v="1"/>
    <n v="1"/>
    <n v="53"/>
    <n v="233"/>
    <n v="2"/>
    <n v="53"/>
    <n v="3"/>
    <n v="5"/>
    <n v="14"/>
    <n v="3"/>
    <n v="6"/>
    <n v="1"/>
    <n v="5"/>
    <n v="6"/>
    <n v="0"/>
    <n v="0"/>
    <n v="0"/>
    <n v="0"/>
    <n v="0"/>
    <x v="0"/>
    <n v="0"/>
    <n v="3"/>
    <n v="11"/>
    <n v="0"/>
    <n v="68"/>
    <n v="2385"/>
    <n v="6.5342465753424657"/>
    <n v="1"/>
    <n v="0"/>
    <n v="0"/>
    <n v="0"/>
    <n v="0"/>
    <n v="0"/>
    <n v="0"/>
    <n v="0"/>
    <n v="1"/>
    <n v="0"/>
    <n v="296"/>
    <n v="282"/>
    <n v="14"/>
    <n v="0"/>
    <x v="0"/>
    <x v="0"/>
    <x v="3"/>
    <x v="1"/>
    <x v="2"/>
    <x v="2"/>
    <n v="1"/>
    <n v="0"/>
    <n v="21"/>
    <n v="5"/>
    <n v="5"/>
    <n v="4"/>
    <n v="14"/>
    <n v="4"/>
    <x v="3"/>
  </r>
  <r>
    <x v="1105"/>
    <n v="67381"/>
    <n v="0"/>
    <n v="1"/>
    <n v="67"/>
    <n v="815"/>
    <n v="8"/>
    <n v="53"/>
    <n v="11"/>
    <n v="0"/>
    <n v="70"/>
    <n v="4"/>
    <n v="2"/>
    <n v="2"/>
    <n v="9"/>
    <n v="7"/>
    <n v="0"/>
    <n v="0"/>
    <n v="0"/>
    <n v="1"/>
    <n v="0"/>
    <x v="1"/>
    <n v="0"/>
    <n v="3"/>
    <n v="11"/>
    <n v="0"/>
    <n v="69"/>
    <n v="2689"/>
    <n v="7.3671232876712329"/>
    <n v="0"/>
    <n v="1"/>
    <n v="0"/>
    <n v="0"/>
    <n v="0"/>
    <n v="0"/>
    <n v="0"/>
    <n v="0"/>
    <n v="1"/>
    <n v="0"/>
    <n v="887"/>
    <n v="817"/>
    <n v="70"/>
    <n v="1"/>
    <x v="0"/>
    <x v="0"/>
    <x v="0"/>
    <x v="1"/>
    <x v="2"/>
    <x v="2"/>
    <n v="1"/>
    <n v="0"/>
    <n v="24"/>
    <n v="4"/>
    <n v="6"/>
    <n v="7"/>
    <n v="17"/>
    <n v="6"/>
    <x v="1"/>
  </r>
  <r>
    <x v="1106"/>
    <n v="26490"/>
    <n v="0"/>
    <n v="0"/>
    <n v="92"/>
    <n v="45"/>
    <n v="47"/>
    <n v="52"/>
    <n v="21"/>
    <n v="20"/>
    <n v="25"/>
    <n v="2"/>
    <n v="3"/>
    <n v="1"/>
    <n v="5"/>
    <n v="6"/>
    <n v="0"/>
    <n v="0"/>
    <n v="0"/>
    <n v="0"/>
    <n v="0"/>
    <x v="0"/>
    <n v="0"/>
    <n v="3"/>
    <n v="11"/>
    <n v="0"/>
    <n v="62"/>
    <n v="2804"/>
    <n v="7.6821917808219178"/>
    <n v="0"/>
    <n v="0"/>
    <n v="0"/>
    <n v="1"/>
    <n v="0"/>
    <n v="1"/>
    <n v="0"/>
    <n v="0"/>
    <n v="0"/>
    <n v="0"/>
    <n v="185"/>
    <n v="160"/>
    <n v="25"/>
    <n v="0"/>
    <x v="1"/>
    <x v="1"/>
    <x v="2"/>
    <x v="1"/>
    <x v="0"/>
    <x v="2"/>
    <n v="1"/>
    <n v="1"/>
    <n v="17"/>
    <n v="0.99999999999999978"/>
    <n v="3"/>
    <n v="4"/>
    <n v="8"/>
    <n v="1"/>
    <x v="3"/>
  </r>
  <r>
    <x v="1107"/>
    <n v="30538"/>
    <n v="1"/>
    <n v="0"/>
    <n v="27"/>
    <n v="284"/>
    <n v="0"/>
    <n v="52"/>
    <n v="8"/>
    <n v="3"/>
    <n v="20"/>
    <n v="4"/>
    <n v="9"/>
    <n v="0"/>
    <n v="4"/>
    <n v="10"/>
    <n v="0"/>
    <n v="0"/>
    <n v="0"/>
    <n v="0"/>
    <n v="0"/>
    <x v="0"/>
    <n v="0"/>
    <n v="3"/>
    <n v="11"/>
    <n v="0"/>
    <n v="49"/>
    <n v="2795"/>
    <n v="7.6575342465753424"/>
    <n v="0"/>
    <n v="0"/>
    <n v="0"/>
    <n v="1"/>
    <n v="0"/>
    <n v="0"/>
    <n v="0"/>
    <n v="0"/>
    <n v="1"/>
    <n v="0"/>
    <n v="347"/>
    <n v="327"/>
    <n v="20"/>
    <n v="0"/>
    <x v="0"/>
    <x v="0"/>
    <x v="2"/>
    <x v="1"/>
    <x v="0"/>
    <x v="0"/>
    <n v="0"/>
    <n v="0"/>
    <n v="27"/>
    <n v="8"/>
    <n v="7"/>
    <n v="5"/>
    <n v="20"/>
    <n v="7"/>
    <x v="2"/>
  </r>
  <r>
    <x v="1108"/>
    <n v="38808"/>
    <n v="1"/>
    <n v="0"/>
    <n v="21"/>
    <n v="125"/>
    <n v="17"/>
    <n v="52"/>
    <n v="3"/>
    <n v="19"/>
    <n v="30"/>
    <n v="4"/>
    <n v="5"/>
    <n v="1"/>
    <n v="4"/>
    <n v="8"/>
    <n v="0"/>
    <n v="0"/>
    <n v="1"/>
    <n v="0"/>
    <n v="0"/>
    <x v="1"/>
    <n v="0"/>
    <n v="3"/>
    <n v="11"/>
    <n v="1"/>
    <n v="48"/>
    <n v="2831"/>
    <n v="7.7561643835616438"/>
    <n v="0"/>
    <n v="0"/>
    <n v="1"/>
    <n v="0"/>
    <n v="0"/>
    <n v="0"/>
    <n v="0"/>
    <n v="1"/>
    <n v="0"/>
    <n v="0"/>
    <n v="216"/>
    <n v="186"/>
    <n v="30"/>
    <n v="1"/>
    <x v="0"/>
    <x v="0"/>
    <x v="1"/>
    <x v="0"/>
    <x v="3"/>
    <x v="0"/>
    <n v="0"/>
    <n v="0"/>
    <n v="22"/>
    <n v="8"/>
    <n v="5"/>
    <n v="4"/>
    <n v="17"/>
    <n v="6"/>
    <x v="1"/>
  </r>
  <r>
    <x v="1109"/>
    <n v="40049"/>
    <n v="0"/>
    <n v="1"/>
    <n v="61"/>
    <n v="91"/>
    <n v="65"/>
    <n v="52"/>
    <n v="10"/>
    <n v="44"/>
    <n v="28"/>
    <n v="3"/>
    <n v="3"/>
    <n v="2"/>
    <n v="6"/>
    <n v="5"/>
    <n v="0"/>
    <n v="0"/>
    <n v="0"/>
    <n v="0"/>
    <n v="0"/>
    <x v="0"/>
    <n v="0"/>
    <n v="3"/>
    <n v="11"/>
    <n v="0"/>
    <n v="46"/>
    <n v="2736"/>
    <n v="7.4958904109589044"/>
    <n v="0"/>
    <n v="1"/>
    <n v="0"/>
    <n v="0"/>
    <n v="0"/>
    <n v="0"/>
    <n v="0"/>
    <n v="1"/>
    <n v="0"/>
    <n v="0"/>
    <n v="262"/>
    <n v="234"/>
    <n v="28"/>
    <n v="0"/>
    <x v="0"/>
    <x v="0"/>
    <x v="0"/>
    <x v="0"/>
    <x v="3"/>
    <x v="0"/>
    <n v="1"/>
    <n v="0"/>
    <n v="19"/>
    <n v="4"/>
    <n v="4"/>
    <n v="4"/>
    <n v="12"/>
    <n v="3"/>
    <x v="3"/>
  </r>
  <r>
    <x v="1110"/>
    <n v="40442"/>
    <n v="1"/>
    <n v="1"/>
    <n v="52"/>
    <n v="45"/>
    <n v="12"/>
    <n v="52"/>
    <n v="25"/>
    <n v="22"/>
    <n v="13"/>
    <n v="4"/>
    <n v="3"/>
    <n v="1"/>
    <n v="4"/>
    <n v="7"/>
    <n v="0"/>
    <n v="0"/>
    <n v="0"/>
    <n v="0"/>
    <n v="0"/>
    <x v="0"/>
    <n v="0"/>
    <n v="3"/>
    <n v="11"/>
    <n v="1"/>
    <n v="68"/>
    <n v="2838"/>
    <n v="7.7753424657534245"/>
    <n v="0"/>
    <n v="0"/>
    <n v="0"/>
    <n v="1"/>
    <n v="0"/>
    <n v="0"/>
    <n v="0"/>
    <n v="0"/>
    <n v="1"/>
    <n v="0"/>
    <n v="156"/>
    <n v="143"/>
    <n v="13"/>
    <n v="0"/>
    <x v="0"/>
    <x v="0"/>
    <x v="2"/>
    <x v="1"/>
    <x v="3"/>
    <x v="2"/>
    <n v="1"/>
    <n v="0"/>
    <n v="19"/>
    <n v="5"/>
    <n v="4"/>
    <n v="3"/>
    <n v="12"/>
    <n v="3"/>
    <x v="3"/>
  </r>
  <r>
    <x v="1111"/>
    <n v="43300"/>
    <n v="0"/>
    <n v="1"/>
    <n v="87"/>
    <n v="91"/>
    <n v="3"/>
    <n v="52"/>
    <n v="2"/>
    <n v="1"/>
    <n v="31"/>
    <n v="3"/>
    <n v="4"/>
    <n v="0"/>
    <n v="4"/>
    <n v="8"/>
    <n v="0"/>
    <n v="0"/>
    <n v="0"/>
    <n v="0"/>
    <n v="0"/>
    <x v="0"/>
    <n v="0"/>
    <n v="3"/>
    <n v="11"/>
    <n v="1"/>
    <n v="49"/>
    <n v="2783"/>
    <n v="7.624657534246575"/>
    <n v="1"/>
    <n v="0"/>
    <n v="0"/>
    <n v="0"/>
    <n v="0"/>
    <n v="0"/>
    <n v="0"/>
    <n v="1"/>
    <n v="0"/>
    <n v="0"/>
    <n v="149"/>
    <n v="118"/>
    <n v="31"/>
    <n v="0"/>
    <x v="0"/>
    <x v="0"/>
    <x v="3"/>
    <x v="0"/>
    <x v="3"/>
    <x v="0"/>
    <n v="1"/>
    <n v="0"/>
    <n v="19"/>
    <n v="1.9999999999999996"/>
    <n v="4"/>
    <n v="3"/>
    <n v="9"/>
    <n v="1"/>
    <x v="3"/>
  </r>
  <r>
    <x v="1112"/>
    <n v="57338"/>
    <n v="0"/>
    <n v="1"/>
    <n v="96"/>
    <n v="143"/>
    <n v="6"/>
    <n v="52"/>
    <n v="11"/>
    <n v="8"/>
    <n v="17"/>
    <n v="2"/>
    <n v="4"/>
    <n v="1"/>
    <n v="5"/>
    <n v="5"/>
    <n v="0"/>
    <n v="0"/>
    <n v="0"/>
    <n v="0"/>
    <n v="0"/>
    <x v="0"/>
    <n v="0"/>
    <n v="3"/>
    <n v="11"/>
    <n v="0"/>
    <n v="45"/>
    <n v="2220"/>
    <n v="6.0821917808219181"/>
    <n v="0"/>
    <n v="0"/>
    <n v="1"/>
    <n v="0"/>
    <n v="0"/>
    <n v="0"/>
    <n v="0"/>
    <n v="1"/>
    <n v="0"/>
    <n v="0"/>
    <n v="220"/>
    <n v="203"/>
    <n v="17"/>
    <n v="0"/>
    <x v="0"/>
    <x v="0"/>
    <x v="1"/>
    <x v="0"/>
    <x v="2"/>
    <x v="0"/>
    <n v="1"/>
    <n v="1"/>
    <n v="17"/>
    <n v="0.99999999999999978"/>
    <n v="3"/>
    <n v="4"/>
    <n v="8"/>
    <n v="1"/>
    <x v="3"/>
  </r>
  <r>
    <x v="1113"/>
    <n v="42731"/>
    <n v="1"/>
    <n v="0"/>
    <n v="64"/>
    <n v="159"/>
    <n v="2"/>
    <n v="51"/>
    <n v="6"/>
    <n v="2"/>
    <n v="24"/>
    <n v="3"/>
    <n v="4"/>
    <n v="1"/>
    <n v="5"/>
    <n v="5"/>
    <n v="0"/>
    <n v="0"/>
    <n v="0"/>
    <n v="0"/>
    <n v="0"/>
    <x v="0"/>
    <n v="0"/>
    <n v="3"/>
    <n v="11"/>
    <n v="0"/>
    <n v="51"/>
    <n v="2410"/>
    <n v="6.602739726027397"/>
    <n v="0"/>
    <n v="0"/>
    <n v="0"/>
    <n v="1"/>
    <n v="0"/>
    <n v="0"/>
    <n v="0"/>
    <n v="0"/>
    <n v="0"/>
    <n v="1"/>
    <n v="220"/>
    <n v="196"/>
    <n v="24"/>
    <n v="0"/>
    <x v="0"/>
    <x v="0"/>
    <x v="2"/>
    <x v="1"/>
    <x v="3"/>
    <x v="1"/>
    <n v="1"/>
    <n v="0"/>
    <n v="18"/>
    <n v="4"/>
    <n v="4"/>
    <n v="4"/>
    <n v="12"/>
    <n v="3"/>
    <x v="3"/>
  </r>
  <r>
    <x v="1114"/>
    <n v="43641"/>
    <n v="1"/>
    <n v="1"/>
    <n v="50"/>
    <n v="57"/>
    <n v="2"/>
    <n v="51"/>
    <n v="4"/>
    <n v="2"/>
    <n v="23"/>
    <n v="3"/>
    <n v="2"/>
    <n v="1"/>
    <n v="4"/>
    <n v="6"/>
    <n v="0"/>
    <n v="0"/>
    <n v="0"/>
    <n v="0"/>
    <n v="0"/>
    <x v="0"/>
    <n v="0"/>
    <n v="3"/>
    <n v="11"/>
    <n v="0"/>
    <n v="51"/>
    <n v="2592"/>
    <n v="7.1013698630136988"/>
    <n v="0"/>
    <n v="1"/>
    <n v="0"/>
    <n v="0"/>
    <n v="0"/>
    <n v="0"/>
    <n v="0"/>
    <n v="0"/>
    <n v="1"/>
    <n v="0"/>
    <n v="116"/>
    <n v="93"/>
    <n v="23"/>
    <n v="0"/>
    <x v="0"/>
    <x v="0"/>
    <x v="0"/>
    <x v="1"/>
    <x v="3"/>
    <x v="1"/>
    <n v="1"/>
    <n v="0"/>
    <n v="16"/>
    <n v="5"/>
    <n v="3"/>
    <n v="3"/>
    <n v="11"/>
    <n v="2"/>
    <x v="3"/>
  </r>
  <r>
    <x v="1115"/>
    <n v="50200"/>
    <n v="1"/>
    <n v="1"/>
    <n v="70"/>
    <n v="266"/>
    <n v="6"/>
    <n v="51"/>
    <n v="8"/>
    <n v="6"/>
    <n v="64"/>
    <n v="6"/>
    <n v="7"/>
    <n v="1"/>
    <n v="5"/>
    <n v="8"/>
    <n v="0"/>
    <n v="0"/>
    <n v="0"/>
    <n v="0"/>
    <n v="0"/>
    <x v="0"/>
    <n v="0"/>
    <n v="3"/>
    <n v="11"/>
    <n v="0"/>
    <n v="44"/>
    <n v="2611"/>
    <n v="7.1534246575342468"/>
    <n v="0"/>
    <n v="0"/>
    <n v="0"/>
    <n v="1"/>
    <n v="0"/>
    <n v="0"/>
    <n v="0"/>
    <n v="1"/>
    <n v="0"/>
    <n v="0"/>
    <n v="337"/>
    <n v="273"/>
    <n v="64"/>
    <n v="0"/>
    <x v="0"/>
    <x v="0"/>
    <x v="2"/>
    <x v="0"/>
    <x v="2"/>
    <x v="0"/>
    <n v="1"/>
    <n v="0"/>
    <n v="27"/>
    <n v="3.0000000000000004"/>
    <n v="7"/>
    <n v="4"/>
    <n v="14"/>
    <n v="4"/>
    <x v="3"/>
  </r>
  <r>
    <x v="1116"/>
    <n v="55801"/>
    <n v="1"/>
    <n v="1"/>
    <n v="35"/>
    <n v="367"/>
    <n v="4"/>
    <n v="51"/>
    <n v="6"/>
    <n v="4"/>
    <n v="95"/>
    <n v="6"/>
    <n v="7"/>
    <n v="2"/>
    <n v="6"/>
    <n v="7"/>
    <n v="1"/>
    <n v="0"/>
    <n v="0"/>
    <n v="0"/>
    <n v="0"/>
    <x v="1"/>
    <n v="0"/>
    <n v="3"/>
    <n v="11"/>
    <n v="0"/>
    <n v="45"/>
    <n v="2439"/>
    <n v="6.6821917808219178"/>
    <n v="0"/>
    <n v="0"/>
    <n v="1"/>
    <n v="0"/>
    <n v="0"/>
    <n v="0"/>
    <n v="0"/>
    <n v="1"/>
    <n v="0"/>
    <n v="0"/>
    <n v="432"/>
    <n v="337"/>
    <n v="95"/>
    <n v="1"/>
    <x v="0"/>
    <x v="0"/>
    <x v="1"/>
    <x v="0"/>
    <x v="2"/>
    <x v="0"/>
    <n v="1"/>
    <n v="0"/>
    <n v="28"/>
    <n v="7"/>
    <n v="8"/>
    <n v="5"/>
    <n v="20"/>
    <n v="7"/>
    <x v="2"/>
  </r>
  <r>
    <x v="1117"/>
    <n v="68274"/>
    <n v="1"/>
    <n v="1"/>
    <n v="83"/>
    <n v="135"/>
    <n v="25"/>
    <n v="51"/>
    <n v="23"/>
    <n v="25"/>
    <n v="46"/>
    <n v="2"/>
    <n v="4"/>
    <n v="2"/>
    <n v="5"/>
    <n v="3"/>
    <n v="0"/>
    <n v="0"/>
    <n v="0"/>
    <n v="0"/>
    <n v="0"/>
    <x v="0"/>
    <n v="0"/>
    <n v="3"/>
    <n v="11"/>
    <n v="0"/>
    <n v="41"/>
    <n v="2431"/>
    <n v="6.6602739726027398"/>
    <n v="1"/>
    <n v="0"/>
    <n v="0"/>
    <n v="0"/>
    <n v="0"/>
    <n v="0"/>
    <n v="0"/>
    <n v="1"/>
    <n v="0"/>
    <n v="0"/>
    <n v="259"/>
    <n v="213"/>
    <n v="46"/>
    <n v="0"/>
    <x v="0"/>
    <x v="0"/>
    <x v="3"/>
    <x v="0"/>
    <x v="2"/>
    <x v="0"/>
    <n v="1"/>
    <n v="0"/>
    <n v="16"/>
    <n v="1.9999999999999996"/>
    <n v="3"/>
    <n v="4"/>
    <n v="9"/>
    <n v="1"/>
    <x v="3"/>
  </r>
  <r>
    <x v="1118"/>
    <n v="30983"/>
    <n v="0"/>
    <n v="0"/>
    <n v="50"/>
    <n v="51"/>
    <n v="4"/>
    <n v="50"/>
    <n v="12"/>
    <n v="1"/>
    <n v="49"/>
    <n v="1"/>
    <n v="4"/>
    <n v="0"/>
    <n v="3"/>
    <n v="8"/>
    <n v="0"/>
    <n v="0"/>
    <n v="0"/>
    <n v="0"/>
    <n v="0"/>
    <x v="0"/>
    <n v="0"/>
    <n v="3"/>
    <n v="11"/>
    <n v="1"/>
    <n v="57"/>
    <n v="2756"/>
    <n v="7.5506849315068489"/>
    <n v="0"/>
    <n v="0"/>
    <n v="1"/>
    <n v="0"/>
    <n v="0"/>
    <n v="0"/>
    <n v="0"/>
    <n v="1"/>
    <n v="0"/>
    <n v="0"/>
    <n v="118"/>
    <n v="69"/>
    <n v="49"/>
    <n v="0"/>
    <x v="1"/>
    <x v="1"/>
    <x v="1"/>
    <x v="0"/>
    <x v="0"/>
    <x v="1"/>
    <n v="1"/>
    <n v="0"/>
    <n v="16"/>
    <n v="5"/>
    <n v="3"/>
    <n v="3"/>
    <n v="11"/>
    <n v="2"/>
    <x v="3"/>
  </r>
  <r>
    <x v="1119"/>
    <n v="34412"/>
    <n v="1"/>
    <n v="0"/>
    <n v="62"/>
    <n v="52"/>
    <n v="12"/>
    <n v="50"/>
    <n v="4"/>
    <n v="36"/>
    <n v="55"/>
    <n v="3"/>
    <n v="5"/>
    <n v="0"/>
    <n v="3"/>
    <n v="9"/>
    <n v="0"/>
    <n v="0"/>
    <n v="0"/>
    <n v="0"/>
    <n v="0"/>
    <x v="0"/>
    <n v="0"/>
    <n v="3"/>
    <n v="11"/>
    <n v="0"/>
    <n v="30"/>
    <n v="2660"/>
    <n v="7.2876712328767121"/>
    <n v="0"/>
    <n v="0"/>
    <n v="1"/>
    <n v="0"/>
    <n v="0"/>
    <n v="0"/>
    <n v="0"/>
    <n v="1"/>
    <n v="0"/>
    <n v="0"/>
    <n v="154"/>
    <n v="99"/>
    <n v="55"/>
    <n v="0"/>
    <x v="0"/>
    <x v="0"/>
    <x v="1"/>
    <x v="0"/>
    <x v="0"/>
    <x v="4"/>
    <n v="1"/>
    <n v="0"/>
    <n v="20"/>
    <n v="4"/>
    <n v="4"/>
    <n v="3"/>
    <n v="11"/>
    <n v="2"/>
    <x v="3"/>
  </r>
  <r>
    <x v="1120"/>
    <n v="40590"/>
    <n v="1"/>
    <n v="1"/>
    <n v="30"/>
    <n v="154"/>
    <n v="0"/>
    <n v="50"/>
    <n v="6"/>
    <n v="11"/>
    <n v="37"/>
    <n v="5"/>
    <n v="3"/>
    <n v="4"/>
    <n v="3"/>
    <n v="6"/>
    <n v="0"/>
    <n v="0"/>
    <n v="1"/>
    <n v="0"/>
    <n v="0"/>
    <x v="1"/>
    <n v="0"/>
    <n v="3"/>
    <n v="11"/>
    <n v="0"/>
    <n v="51"/>
    <n v="2429"/>
    <n v="6.6547945205479451"/>
    <n v="0"/>
    <n v="0"/>
    <n v="0"/>
    <n v="0"/>
    <n v="1"/>
    <n v="0"/>
    <n v="0"/>
    <n v="1"/>
    <n v="0"/>
    <n v="0"/>
    <n v="221"/>
    <n v="184"/>
    <n v="37"/>
    <n v="1"/>
    <x v="0"/>
    <x v="0"/>
    <x v="4"/>
    <x v="0"/>
    <x v="3"/>
    <x v="1"/>
    <n v="0"/>
    <n v="0"/>
    <n v="21"/>
    <n v="7"/>
    <n v="5"/>
    <n v="4"/>
    <n v="16"/>
    <n v="5"/>
    <x v="1"/>
  </r>
  <r>
    <x v="1121"/>
    <n v="48432"/>
    <n v="0"/>
    <n v="1"/>
    <n v="3"/>
    <n v="322"/>
    <n v="3"/>
    <n v="50"/>
    <n v="4"/>
    <n v="3"/>
    <n v="42"/>
    <n v="5"/>
    <n v="7"/>
    <n v="1"/>
    <n v="6"/>
    <n v="8"/>
    <n v="0"/>
    <n v="0"/>
    <n v="0"/>
    <n v="0"/>
    <n v="0"/>
    <x v="0"/>
    <n v="0"/>
    <n v="3"/>
    <n v="11"/>
    <n v="1"/>
    <n v="47"/>
    <n v="2778"/>
    <n v="7.6109589041095891"/>
    <n v="0"/>
    <n v="0"/>
    <n v="1"/>
    <n v="0"/>
    <n v="0"/>
    <n v="0"/>
    <n v="0"/>
    <n v="0"/>
    <n v="0"/>
    <n v="1"/>
    <n v="382"/>
    <n v="340"/>
    <n v="42"/>
    <n v="0"/>
    <x v="0"/>
    <x v="0"/>
    <x v="1"/>
    <x v="1"/>
    <x v="3"/>
    <x v="0"/>
    <n v="0"/>
    <n v="0"/>
    <n v="27"/>
    <n v="10"/>
    <n v="7"/>
    <n v="5"/>
    <n v="22"/>
    <n v="8"/>
    <x v="2"/>
  </r>
  <r>
    <x v="1122"/>
    <n v="48432"/>
    <n v="0"/>
    <n v="1"/>
    <n v="3"/>
    <n v="322"/>
    <n v="3"/>
    <n v="50"/>
    <n v="4"/>
    <n v="3"/>
    <n v="42"/>
    <n v="5"/>
    <n v="7"/>
    <n v="1"/>
    <n v="6"/>
    <n v="8"/>
    <n v="0"/>
    <n v="0"/>
    <n v="0"/>
    <n v="0"/>
    <n v="0"/>
    <x v="0"/>
    <n v="0"/>
    <n v="3"/>
    <n v="11"/>
    <n v="0"/>
    <n v="47"/>
    <n v="2778"/>
    <n v="7.6109589041095891"/>
    <n v="0"/>
    <n v="0"/>
    <n v="1"/>
    <n v="0"/>
    <n v="0"/>
    <n v="0"/>
    <n v="0"/>
    <n v="0"/>
    <n v="0"/>
    <n v="1"/>
    <n v="382"/>
    <n v="340"/>
    <n v="42"/>
    <n v="0"/>
    <x v="0"/>
    <x v="0"/>
    <x v="1"/>
    <x v="1"/>
    <x v="3"/>
    <x v="0"/>
    <n v="0"/>
    <n v="0"/>
    <n v="27"/>
    <n v="10"/>
    <n v="7"/>
    <n v="5"/>
    <n v="22"/>
    <n v="8"/>
    <x v="2"/>
  </r>
  <r>
    <x v="1123"/>
    <n v="23228"/>
    <n v="1"/>
    <n v="0"/>
    <n v="91"/>
    <n v="53"/>
    <n v="3"/>
    <n v="49"/>
    <n v="7"/>
    <n v="4"/>
    <n v="5"/>
    <n v="4"/>
    <n v="3"/>
    <n v="0"/>
    <n v="4"/>
    <n v="8"/>
    <n v="0"/>
    <n v="0"/>
    <n v="0"/>
    <n v="0"/>
    <n v="0"/>
    <x v="0"/>
    <n v="0"/>
    <n v="3"/>
    <n v="11"/>
    <n v="0"/>
    <n v="36"/>
    <n v="2334"/>
    <n v="6.3945205479452056"/>
    <n v="0"/>
    <n v="1"/>
    <n v="0"/>
    <n v="0"/>
    <n v="0"/>
    <n v="0"/>
    <n v="0"/>
    <n v="1"/>
    <n v="0"/>
    <n v="0"/>
    <n v="116"/>
    <n v="111"/>
    <n v="5"/>
    <n v="0"/>
    <x v="0"/>
    <x v="0"/>
    <x v="0"/>
    <x v="0"/>
    <x v="0"/>
    <x v="3"/>
    <n v="1"/>
    <n v="1"/>
    <n v="19"/>
    <n v="0.99999999999999978"/>
    <n v="4"/>
    <n v="3"/>
    <n v="8"/>
    <n v="1"/>
    <x v="3"/>
  </r>
  <r>
    <x v="1124"/>
    <n v="38593"/>
    <n v="1"/>
    <n v="0"/>
    <n v="42"/>
    <n v="51"/>
    <n v="12"/>
    <n v="49"/>
    <n v="17"/>
    <n v="24"/>
    <n v="24"/>
    <n v="3"/>
    <n v="4"/>
    <n v="1"/>
    <n v="3"/>
    <n v="8"/>
    <n v="0"/>
    <n v="0"/>
    <n v="0"/>
    <n v="0"/>
    <n v="0"/>
    <x v="0"/>
    <n v="0"/>
    <n v="3"/>
    <n v="11"/>
    <n v="0"/>
    <n v="42"/>
    <n v="2448"/>
    <n v="6.7068493150684931"/>
    <n v="0"/>
    <n v="0"/>
    <n v="1"/>
    <n v="0"/>
    <n v="0"/>
    <n v="1"/>
    <n v="0"/>
    <n v="0"/>
    <n v="0"/>
    <n v="0"/>
    <n v="153"/>
    <n v="129"/>
    <n v="24"/>
    <n v="0"/>
    <x v="0"/>
    <x v="0"/>
    <x v="1"/>
    <x v="1"/>
    <x v="3"/>
    <x v="0"/>
    <n v="1"/>
    <n v="0"/>
    <n v="19"/>
    <n v="6"/>
    <n v="4"/>
    <n v="3"/>
    <n v="13"/>
    <n v="3"/>
    <x v="3"/>
  </r>
  <r>
    <x v="1125"/>
    <n v="45921"/>
    <n v="0"/>
    <n v="0"/>
    <n v="23"/>
    <n v="102"/>
    <n v="9"/>
    <n v="49"/>
    <n v="24"/>
    <n v="3"/>
    <n v="12"/>
    <n v="1"/>
    <n v="2"/>
    <n v="1"/>
    <n v="6"/>
    <n v="4"/>
    <n v="0"/>
    <n v="0"/>
    <n v="0"/>
    <n v="0"/>
    <n v="0"/>
    <x v="0"/>
    <n v="0"/>
    <n v="3"/>
    <n v="11"/>
    <n v="0"/>
    <n v="34"/>
    <n v="2270"/>
    <n v="6.2191780821917808"/>
    <n v="0"/>
    <n v="1"/>
    <n v="0"/>
    <n v="0"/>
    <n v="0"/>
    <n v="0"/>
    <n v="0"/>
    <n v="0"/>
    <n v="0"/>
    <n v="1"/>
    <n v="187"/>
    <n v="175"/>
    <n v="12"/>
    <n v="0"/>
    <x v="1"/>
    <x v="1"/>
    <x v="0"/>
    <x v="1"/>
    <x v="3"/>
    <x v="3"/>
    <n v="0"/>
    <n v="0"/>
    <n v="14"/>
    <n v="8"/>
    <n v="2"/>
    <n v="4"/>
    <n v="14"/>
    <n v="4"/>
    <x v="3"/>
  </r>
  <r>
    <x v="1126"/>
    <n v="65685"/>
    <n v="0"/>
    <n v="1"/>
    <n v="54"/>
    <n v="642"/>
    <n v="14"/>
    <n v="49"/>
    <n v="0"/>
    <n v="7"/>
    <n v="57"/>
    <n v="1"/>
    <n v="9"/>
    <n v="2"/>
    <n v="9"/>
    <n v="5"/>
    <n v="0"/>
    <n v="0"/>
    <n v="0"/>
    <n v="0"/>
    <n v="0"/>
    <x v="0"/>
    <n v="0"/>
    <n v="3"/>
    <n v="11"/>
    <n v="0"/>
    <n v="48"/>
    <n v="2251"/>
    <n v="6.1671232876712327"/>
    <n v="0"/>
    <n v="1"/>
    <n v="0"/>
    <n v="0"/>
    <n v="0"/>
    <n v="0"/>
    <n v="0"/>
    <n v="1"/>
    <n v="0"/>
    <n v="0"/>
    <n v="712"/>
    <n v="655"/>
    <n v="57"/>
    <n v="0"/>
    <x v="0"/>
    <x v="0"/>
    <x v="0"/>
    <x v="0"/>
    <x v="2"/>
    <x v="0"/>
    <n v="1"/>
    <n v="0"/>
    <n v="26"/>
    <n v="5"/>
    <n v="7"/>
    <n v="6"/>
    <n v="18"/>
    <n v="6"/>
    <x v="1"/>
  </r>
  <r>
    <x v="1127"/>
    <n v="68805"/>
    <n v="0"/>
    <n v="1"/>
    <n v="73"/>
    <n v="182"/>
    <n v="2"/>
    <n v="49"/>
    <n v="17"/>
    <n v="13"/>
    <n v="20"/>
    <n v="1"/>
    <n v="3"/>
    <n v="1"/>
    <n v="7"/>
    <n v="2"/>
    <n v="0"/>
    <n v="0"/>
    <n v="0"/>
    <n v="0"/>
    <n v="0"/>
    <x v="0"/>
    <n v="0"/>
    <n v="3"/>
    <n v="11"/>
    <n v="0"/>
    <n v="61"/>
    <n v="2444"/>
    <n v="6.6958904109589037"/>
    <n v="1"/>
    <n v="0"/>
    <n v="0"/>
    <n v="0"/>
    <n v="0"/>
    <n v="0"/>
    <n v="0"/>
    <n v="0"/>
    <n v="0"/>
    <n v="1"/>
    <n v="263"/>
    <n v="243"/>
    <n v="20"/>
    <n v="0"/>
    <x v="0"/>
    <x v="0"/>
    <x v="3"/>
    <x v="1"/>
    <x v="2"/>
    <x v="2"/>
    <n v="1"/>
    <n v="0"/>
    <n v="14"/>
    <n v="3.0000000000000004"/>
    <n v="2"/>
    <n v="4"/>
    <n v="9"/>
    <n v="1"/>
    <x v="3"/>
  </r>
  <r>
    <x v="1128"/>
    <n v="43322"/>
    <n v="0"/>
    <n v="0"/>
    <n v="25"/>
    <n v="56"/>
    <n v="7"/>
    <n v="48"/>
    <n v="10"/>
    <n v="2"/>
    <n v="18"/>
    <n v="1"/>
    <n v="3"/>
    <n v="0"/>
    <n v="4"/>
    <n v="7"/>
    <n v="0"/>
    <n v="0"/>
    <n v="0"/>
    <n v="0"/>
    <n v="0"/>
    <x v="0"/>
    <n v="0"/>
    <n v="3"/>
    <n v="11"/>
    <n v="0"/>
    <n v="46"/>
    <n v="2228"/>
    <n v="6.1041095890410961"/>
    <n v="0"/>
    <n v="0"/>
    <n v="1"/>
    <n v="0"/>
    <n v="0"/>
    <n v="0"/>
    <n v="0"/>
    <n v="1"/>
    <n v="0"/>
    <n v="0"/>
    <n v="123"/>
    <n v="105"/>
    <n v="18"/>
    <n v="0"/>
    <x v="1"/>
    <x v="1"/>
    <x v="1"/>
    <x v="0"/>
    <x v="3"/>
    <x v="0"/>
    <n v="0"/>
    <n v="0"/>
    <n v="15"/>
    <n v="8"/>
    <n v="2"/>
    <n v="3"/>
    <n v="13"/>
    <n v="3"/>
    <x v="3"/>
  </r>
  <r>
    <x v="1129"/>
    <n v="51563"/>
    <n v="0"/>
    <n v="0"/>
    <n v="60"/>
    <n v="1166"/>
    <n v="0"/>
    <n v="48"/>
    <n v="0"/>
    <n v="0"/>
    <n v="36"/>
    <n v="1"/>
    <n v="4"/>
    <n v="4"/>
    <n v="10"/>
    <n v="8"/>
    <n v="0"/>
    <n v="0"/>
    <n v="0"/>
    <n v="1"/>
    <n v="1"/>
    <x v="1"/>
    <n v="0"/>
    <n v="3"/>
    <n v="11"/>
    <n v="0"/>
    <n v="33"/>
    <n v="2795"/>
    <n v="7.6575342465753424"/>
    <n v="0"/>
    <n v="1"/>
    <n v="0"/>
    <n v="0"/>
    <n v="0"/>
    <n v="0"/>
    <n v="0"/>
    <n v="0"/>
    <n v="0"/>
    <n v="1"/>
    <n v="1214"/>
    <n v="1178"/>
    <n v="36"/>
    <n v="2"/>
    <x v="1"/>
    <x v="1"/>
    <x v="0"/>
    <x v="1"/>
    <x v="2"/>
    <x v="3"/>
    <n v="1"/>
    <n v="0"/>
    <n v="27"/>
    <n v="4"/>
    <n v="7"/>
    <n v="8"/>
    <n v="19"/>
    <n v="7"/>
    <x v="2"/>
  </r>
  <r>
    <x v="1130"/>
    <n v="62637"/>
    <n v="0"/>
    <n v="1"/>
    <n v="76"/>
    <n v="104"/>
    <n v="12"/>
    <n v="48"/>
    <n v="4"/>
    <n v="12"/>
    <n v="5"/>
    <n v="1"/>
    <n v="2"/>
    <n v="2"/>
    <n v="5"/>
    <n v="2"/>
    <n v="0"/>
    <n v="0"/>
    <n v="0"/>
    <n v="0"/>
    <n v="0"/>
    <x v="0"/>
    <n v="0"/>
    <n v="3"/>
    <n v="11"/>
    <n v="0"/>
    <n v="66"/>
    <n v="2279"/>
    <n v="6.2438356164383562"/>
    <n v="1"/>
    <n v="0"/>
    <n v="0"/>
    <n v="0"/>
    <n v="0"/>
    <n v="0"/>
    <n v="0"/>
    <n v="0"/>
    <n v="1"/>
    <n v="0"/>
    <n v="180"/>
    <n v="175"/>
    <n v="5"/>
    <n v="0"/>
    <x v="0"/>
    <x v="0"/>
    <x v="3"/>
    <x v="1"/>
    <x v="2"/>
    <x v="2"/>
    <n v="1"/>
    <n v="0"/>
    <n v="12"/>
    <n v="3.0000000000000004"/>
    <n v="1"/>
    <n v="3"/>
    <n v="7"/>
    <n v="1"/>
    <x v="3"/>
  </r>
  <r>
    <x v="1131"/>
    <n v="62994"/>
    <n v="1"/>
    <n v="0"/>
    <n v="74"/>
    <n v="224"/>
    <n v="12"/>
    <n v="48"/>
    <n v="4"/>
    <n v="12"/>
    <n v="12"/>
    <n v="1"/>
    <n v="6"/>
    <n v="2"/>
    <n v="4"/>
    <n v="6"/>
    <n v="0"/>
    <n v="0"/>
    <n v="0"/>
    <n v="0"/>
    <n v="0"/>
    <x v="0"/>
    <n v="0"/>
    <n v="3"/>
    <n v="11"/>
    <n v="0"/>
    <n v="40"/>
    <n v="2276"/>
    <n v="6.2356164383561641"/>
    <n v="0"/>
    <n v="0"/>
    <n v="0"/>
    <n v="1"/>
    <n v="0"/>
    <n v="0"/>
    <n v="0"/>
    <n v="1"/>
    <n v="0"/>
    <n v="0"/>
    <n v="300"/>
    <n v="288"/>
    <n v="12"/>
    <n v="0"/>
    <x v="0"/>
    <x v="0"/>
    <x v="2"/>
    <x v="0"/>
    <x v="2"/>
    <x v="3"/>
    <n v="1"/>
    <n v="0"/>
    <n v="19"/>
    <n v="3.0000000000000004"/>
    <n v="4"/>
    <n v="4"/>
    <n v="11"/>
    <n v="2"/>
    <x v="3"/>
  </r>
  <r>
    <x v="1132"/>
    <n v="65747"/>
    <n v="0"/>
    <n v="1"/>
    <n v="96"/>
    <n v="346"/>
    <n v="17"/>
    <n v="48"/>
    <n v="23"/>
    <n v="13"/>
    <n v="13"/>
    <n v="4"/>
    <n v="8"/>
    <n v="1"/>
    <n v="6"/>
    <n v="6"/>
    <n v="0"/>
    <n v="0"/>
    <n v="0"/>
    <n v="1"/>
    <n v="0"/>
    <x v="1"/>
    <n v="0"/>
    <n v="3"/>
    <n v="11"/>
    <n v="0"/>
    <n v="51"/>
    <n v="2273"/>
    <n v="6.2273972602739729"/>
    <n v="0"/>
    <n v="1"/>
    <n v="0"/>
    <n v="0"/>
    <n v="0"/>
    <n v="0"/>
    <n v="0"/>
    <n v="1"/>
    <n v="0"/>
    <n v="0"/>
    <n v="447"/>
    <n v="434"/>
    <n v="13"/>
    <n v="1"/>
    <x v="0"/>
    <x v="0"/>
    <x v="0"/>
    <x v="0"/>
    <x v="2"/>
    <x v="1"/>
    <n v="1"/>
    <n v="1"/>
    <n v="25"/>
    <n v="0.99999999999999978"/>
    <n v="7"/>
    <n v="5"/>
    <n v="13"/>
    <n v="3"/>
    <x v="3"/>
  </r>
  <r>
    <x v="1133"/>
    <n v="67680"/>
    <n v="0"/>
    <n v="1"/>
    <n v="8"/>
    <n v="546"/>
    <n v="0"/>
    <n v="48"/>
    <n v="0"/>
    <n v="6"/>
    <n v="6"/>
    <n v="1"/>
    <n v="7"/>
    <n v="3"/>
    <n v="8"/>
    <n v="5"/>
    <n v="0"/>
    <n v="0"/>
    <n v="0"/>
    <n v="0"/>
    <n v="0"/>
    <x v="0"/>
    <n v="0"/>
    <n v="3"/>
    <n v="11"/>
    <n v="0"/>
    <n v="69"/>
    <n v="2542"/>
    <n v="6.9643835616438352"/>
    <n v="0"/>
    <n v="0"/>
    <n v="0"/>
    <n v="0"/>
    <n v="1"/>
    <n v="0"/>
    <n v="0"/>
    <n v="0"/>
    <n v="0"/>
    <n v="1"/>
    <n v="600"/>
    <n v="594"/>
    <n v="6"/>
    <n v="0"/>
    <x v="0"/>
    <x v="0"/>
    <x v="4"/>
    <x v="1"/>
    <x v="2"/>
    <x v="2"/>
    <n v="0"/>
    <n v="0"/>
    <n v="24"/>
    <n v="10"/>
    <n v="6"/>
    <n v="6"/>
    <n v="22"/>
    <n v="8"/>
    <x v="2"/>
  </r>
  <r>
    <x v="1134"/>
    <n v="22419"/>
    <n v="0"/>
    <n v="0"/>
    <n v="74"/>
    <n v="30"/>
    <n v="3"/>
    <n v="47"/>
    <n v="19"/>
    <n v="21"/>
    <n v="42"/>
    <n v="1"/>
    <n v="3"/>
    <n v="2"/>
    <n v="2"/>
    <n v="8"/>
    <n v="0"/>
    <n v="0"/>
    <n v="0"/>
    <n v="0"/>
    <n v="0"/>
    <x v="0"/>
    <n v="0"/>
    <n v="3"/>
    <n v="11"/>
    <n v="0"/>
    <n v="57"/>
    <n v="2596"/>
    <n v="7.1123287671232873"/>
    <n v="0"/>
    <n v="1"/>
    <n v="0"/>
    <n v="0"/>
    <n v="0"/>
    <n v="0"/>
    <n v="0"/>
    <n v="1"/>
    <n v="0"/>
    <n v="0"/>
    <n v="120"/>
    <n v="78"/>
    <n v="42"/>
    <n v="0"/>
    <x v="1"/>
    <x v="1"/>
    <x v="0"/>
    <x v="0"/>
    <x v="0"/>
    <x v="1"/>
    <n v="1"/>
    <n v="0"/>
    <n v="16"/>
    <n v="3.0000000000000004"/>
    <n v="3"/>
    <n v="3"/>
    <n v="9"/>
    <n v="1"/>
    <x v="3"/>
  </r>
  <r>
    <x v="1135"/>
    <n v="51390"/>
    <n v="1"/>
    <n v="1"/>
    <n v="54"/>
    <n v="205"/>
    <n v="20"/>
    <n v="47"/>
    <n v="23"/>
    <n v="2"/>
    <n v="56"/>
    <n v="6"/>
    <n v="5"/>
    <n v="2"/>
    <n v="5"/>
    <n v="5"/>
    <n v="0"/>
    <n v="0"/>
    <n v="0"/>
    <n v="0"/>
    <n v="0"/>
    <x v="0"/>
    <n v="0"/>
    <n v="3"/>
    <n v="11"/>
    <n v="0"/>
    <n v="55"/>
    <n v="2818"/>
    <n v="7.720547945205479"/>
    <n v="0"/>
    <n v="0"/>
    <n v="0"/>
    <n v="0"/>
    <n v="1"/>
    <n v="0"/>
    <n v="0"/>
    <n v="0"/>
    <n v="1"/>
    <n v="0"/>
    <n v="297"/>
    <n v="241"/>
    <n v="56"/>
    <n v="0"/>
    <x v="0"/>
    <x v="0"/>
    <x v="4"/>
    <x v="1"/>
    <x v="2"/>
    <x v="1"/>
    <n v="1"/>
    <n v="0"/>
    <n v="23"/>
    <n v="5"/>
    <n v="6"/>
    <n v="4"/>
    <n v="15"/>
    <n v="4"/>
    <x v="3"/>
  </r>
  <r>
    <x v="1136"/>
    <n v="51569"/>
    <n v="0"/>
    <n v="1"/>
    <n v="39"/>
    <n v="380"/>
    <n v="0"/>
    <n v="47"/>
    <n v="6"/>
    <n v="0"/>
    <n v="34"/>
    <n v="4"/>
    <n v="7"/>
    <n v="1"/>
    <n v="7"/>
    <n v="8"/>
    <n v="0"/>
    <n v="0"/>
    <n v="0"/>
    <n v="1"/>
    <n v="0"/>
    <x v="1"/>
    <n v="0"/>
    <n v="3"/>
    <n v="11"/>
    <n v="1"/>
    <n v="71"/>
    <n v="2661"/>
    <n v="7.2904109589041095"/>
    <n v="0"/>
    <n v="0"/>
    <n v="0"/>
    <n v="0"/>
    <n v="1"/>
    <n v="0"/>
    <n v="0"/>
    <n v="0"/>
    <n v="0"/>
    <n v="1"/>
    <n v="433"/>
    <n v="399"/>
    <n v="34"/>
    <n v="1"/>
    <x v="0"/>
    <x v="0"/>
    <x v="4"/>
    <x v="1"/>
    <x v="2"/>
    <x v="2"/>
    <n v="1"/>
    <n v="0"/>
    <n v="27"/>
    <n v="7"/>
    <n v="7"/>
    <n v="5"/>
    <n v="19"/>
    <n v="7"/>
    <x v="2"/>
  </r>
  <r>
    <x v="1137"/>
    <n v="61331"/>
    <n v="1"/>
    <n v="1"/>
    <n v="42"/>
    <n v="534"/>
    <n v="5"/>
    <n v="47"/>
    <n v="0"/>
    <n v="5"/>
    <n v="41"/>
    <n v="5"/>
    <n v="11"/>
    <n v="1"/>
    <n v="6"/>
    <n v="8"/>
    <n v="0"/>
    <n v="0"/>
    <n v="0"/>
    <n v="0"/>
    <n v="0"/>
    <x v="0"/>
    <n v="0"/>
    <n v="3"/>
    <n v="11"/>
    <n v="0"/>
    <n v="62"/>
    <n v="2635"/>
    <n v="7.2191780821917808"/>
    <n v="0"/>
    <n v="0"/>
    <n v="1"/>
    <n v="0"/>
    <n v="0"/>
    <n v="0"/>
    <n v="0"/>
    <n v="0"/>
    <n v="1"/>
    <n v="0"/>
    <n v="591"/>
    <n v="550"/>
    <n v="41"/>
    <n v="0"/>
    <x v="0"/>
    <x v="0"/>
    <x v="1"/>
    <x v="1"/>
    <x v="2"/>
    <x v="2"/>
    <n v="1"/>
    <n v="0"/>
    <n v="31"/>
    <n v="6"/>
    <n v="9"/>
    <n v="6"/>
    <n v="21"/>
    <n v="8"/>
    <x v="2"/>
  </r>
  <r>
    <x v="1138"/>
    <n v="62972"/>
    <n v="0"/>
    <n v="1"/>
    <n v="39"/>
    <n v="313"/>
    <n v="15"/>
    <n v="47"/>
    <n v="20"/>
    <n v="0"/>
    <n v="192"/>
    <n v="2"/>
    <n v="7"/>
    <n v="4"/>
    <n v="3"/>
    <n v="6"/>
    <n v="0"/>
    <n v="0"/>
    <n v="0"/>
    <n v="0"/>
    <n v="0"/>
    <x v="0"/>
    <n v="0"/>
    <n v="3"/>
    <n v="11"/>
    <n v="1"/>
    <n v="65"/>
    <n v="2854"/>
    <n v="7.8191780821917805"/>
    <n v="0"/>
    <n v="1"/>
    <n v="0"/>
    <n v="0"/>
    <n v="0"/>
    <n v="1"/>
    <n v="0"/>
    <n v="0"/>
    <n v="0"/>
    <n v="0"/>
    <n v="395"/>
    <n v="203"/>
    <n v="192"/>
    <n v="0"/>
    <x v="0"/>
    <x v="0"/>
    <x v="0"/>
    <x v="1"/>
    <x v="2"/>
    <x v="2"/>
    <n v="1"/>
    <n v="0"/>
    <n v="22"/>
    <n v="7"/>
    <n v="5"/>
    <n v="5"/>
    <n v="17"/>
    <n v="6"/>
    <x v="1"/>
  </r>
  <r>
    <x v="1139"/>
    <n v="62972"/>
    <n v="0"/>
    <n v="1"/>
    <n v="39"/>
    <n v="313"/>
    <n v="15"/>
    <n v="47"/>
    <n v="20"/>
    <n v="0"/>
    <n v="192"/>
    <n v="2"/>
    <n v="7"/>
    <n v="4"/>
    <n v="3"/>
    <n v="6"/>
    <n v="0"/>
    <n v="0"/>
    <n v="0"/>
    <n v="0"/>
    <n v="0"/>
    <x v="0"/>
    <n v="0"/>
    <n v="3"/>
    <n v="11"/>
    <n v="0"/>
    <n v="65"/>
    <n v="2854"/>
    <n v="7.8191780821917805"/>
    <n v="0"/>
    <n v="1"/>
    <n v="0"/>
    <n v="0"/>
    <n v="0"/>
    <n v="1"/>
    <n v="0"/>
    <n v="0"/>
    <n v="0"/>
    <n v="0"/>
    <n v="395"/>
    <n v="203"/>
    <n v="192"/>
    <n v="0"/>
    <x v="0"/>
    <x v="0"/>
    <x v="0"/>
    <x v="1"/>
    <x v="2"/>
    <x v="2"/>
    <n v="1"/>
    <n v="0"/>
    <n v="22"/>
    <n v="7"/>
    <n v="5"/>
    <n v="5"/>
    <n v="17"/>
    <n v="6"/>
    <x v="1"/>
  </r>
  <r>
    <x v="1140"/>
    <n v="21888"/>
    <n v="1"/>
    <n v="0"/>
    <n v="15"/>
    <n v="88"/>
    <n v="10"/>
    <n v="46"/>
    <n v="2"/>
    <n v="3"/>
    <n v="64"/>
    <n v="4"/>
    <n v="5"/>
    <n v="1"/>
    <n v="2"/>
    <n v="10"/>
    <n v="0"/>
    <n v="0"/>
    <n v="0"/>
    <n v="0"/>
    <n v="0"/>
    <x v="0"/>
    <n v="0"/>
    <n v="3"/>
    <n v="11"/>
    <n v="1"/>
    <n v="34"/>
    <n v="2706"/>
    <n v="7.4136986301369863"/>
    <n v="0"/>
    <n v="0"/>
    <n v="1"/>
    <n v="0"/>
    <n v="0"/>
    <n v="0"/>
    <n v="0"/>
    <n v="0"/>
    <n v="1"/>
    <n v="0"/>
    <n v="149"/>
    <n v="85"/>
    <n v="64"/>
    <n v="0"/>
    <x v="0"/>
    <x v="0"/>
    <x v="1"/>
    <x v="1"/>
    <x v="0"/>
    <x v="3"/>
    <n v="0"/>
    <n v="0"/>
    <n v="22"/>
    <n v="9"/>
    <n v="5"/>
    <n v="3"/>
    <n v="17"/>
    <n v="6"/>
    <x v="1"/>
  </r>
  <r>
    <x v="1141"/>
    <n v="27803"/>
    <n v="1"/>
    <n v="0"/>
    <n v="40"/>
    <n v="8"/>
    <n v="26"/>
    <n v="46"/>
    <n v="38"/>
    <n v="9"/>
    <n v="49"/>
    <n v="2"/>
    <n v="3"/>
    <n v="0"/>
    <n v="4"/>
    <n v="8"/>
    <n v="0"/>
    <n v="0"/>
    <n v="0"/>
    <n v="0"/>
    <n v="0"/>
    <x v="0"/>
    <n v="0"/>
    <n v="3"/>
    <n v="11"/>
    <n v="0"/>
    <n v="47"/>
    <n v="2831"/>
    <n v="7.7561643835616438"/>
    <n v="0"/>
    <n v="1"/>
    <n v="0"/>
    <n v="0"/>
    <n v="0"/>
    <n v="0"/>
    <n v="0"/>
    <n v="1"/>
    <n v="0"/>
    <n v="0"/>
    <n v="127"/>
    <n v="78"/>
    <n v="49"/>
    <n v="0"/>
    <x v="0"/>
    <x v="0"/>
    <x v="0"/>
    <x v="0"/>
    <x v="0"/>
    <x v="0"/>
    <n v="1"/>
    <n v="0"/>
    <n v="17"/>
    <n v="6"/>
    <n v="3"/>
    <n v="3"/>
    <n v="12"/>
    <n v="3"/>
    <x v="3"/>
  </r>
  <r>
    <x v="1142"/>
    <n v="28973"/>
    <n v="0"/>
    <n v="0"/>
    <n v="59"/>
    <n v="206"/>
    <n v="0"/>
    <n v="46"/>
    <n v="3"/>
    <n v="2"/>
    <n v="12"/>
    <n v="2"/>
    <n v="5"/>
    <n v="1"/>
    <n v="5"/>
    <n v="8"/>
    <n v="0"/>
    <n v="0"/>
    <n v="0"/>
    <n v="0"/>
    <n v="0"/>
    <x v="0"/>
    <n v="0"/>
    <n v="3"/>
    <n v="11"/>
    <n v="0"/>
    <n v="43"/>
    <n v="2783"/>
    <n v="7.624657534246575"/>
    <n v="0"/>
    <n v="1"/>
    <n v="0"/>
    <n v="0"/>
    <n v="0"/>
    <n v="0"/>
    <n v="0"/>
    <n v="0"/>
    <n v="0"/>
    <n v="1"/>
    <n v="257"/>
    <n v="245"/>
    <n v="12"/>
    <n v="0"/>
    <x v="1"/>
    <x v="1"/>
    <x v="0"/>
    <x v="1"/>
    <x v="0"/>
    <x v="0"/>
    <n v="1"/>
    <n v="0"/>
    <n v="21"/>
    <n v="4"/>
    <n v="5"/>
    <n v="4"/>
    <n v="13"/>
    <n v="3"/>
    <x v="3"/>
  </r>
  <r>
    <x v="1143"/>
    <n v="36443"/>
    <n v="1"/>
    <n v="1"/>
    <n v="9"/>
    <n v="65"/>
    <n v="0"/>
    <n v="46"/>
    <n v="4"/>
    <n v="3"/>
    <n v="20"/>
    <n v="4"/>
    <n v="3"/>
    <n v="1"/>
    <n v="3"/>
    <n v="8"/>
    <n v="0"/>
    <n v="0"/>
    <n v="0"/>
    <n v="0"/>
    <n v="0"/>
    <x v="0"/>
    <n v="0"/>
    <n v="3"/>
    <n v="11"/>
    <n v="0"/>
    <n v="59"/>
    <n v="2670"/>
    <n v="7.3150684931506849"/>
    <n v="0"/>
    <n v="1"/>
    <n v="0"/>
    <n v="0"/>
    <n v="0"/>
    <n v="0"/>
    <n v="0"/>
    <n v="1"/>
    <n v="0"/>
    <n v="0"/>
    <n v="118"/>
    <n v="98"/>
    <n v="20"/>
    <n v="0"/>
    <x v="0"/>
    <x v="0"/>
    <x v="0"/>
    <x v="0"/>
    <x v="3"/>
    <x v="1"/>
    <n v="0"/>
    <n v="0"/>
    <n v="19"/>
    <n v="10"/>
    <n v="4"/>
    <n v="3"/>
    <n v="17"/>
    <n v="6"/>
    <x v="1"/>
  </r>
  <r>
    <x v="1144"/>
    <n v="37929"/>
    <n v="0"/>
    <n v="0"/>
    <n v="49"/>
    <n v="202"/>
    <n v="2"/>
    <n v="46"/>
    <n v="3"/>
    <n v="2"/>
    <n v="10"/>
    <n v="2"/>
    <n v="4"/>
    <n v="2"/>
    <n v="5"/>
    <n v="7"/>
    <n v="1"/>
    <n v="0"/>
    <n v="0"/>
    <n v="1"/>
    <n v="0"/>
    <x v="1"/>
    <n v="0"/>
    <n v="3"/>
    <n v="11"/>
    <n v="1"/>
    <n v="35"/>
    <n v="2493"/>
    <n v="6.8301369863013699"/>
    <n v="0"/>
    <n v="0"/>
    <n v="1"/>
    <n v="0"/>
    <n v="0"/>
    <n v="0"/>
    <n v="0"/>
    <n v="0"/>
    <n v="0"/>
    <n v="1"/>
    <n v="255"/>
    <n v="245"/>
    <n v="10"/>
    <n v="2"/>
    <x v="1"/>
    <x v="1"/>
    <x v="1"/>
    <x v="1"/>
    <x v="3"/>
    <x v="3"/>
    <n v="1"/>
    <n v="0"/>
    <n v="20"/>
    <n v="6"/>
    <n v="4"/>
    <n v="4"/>
    <n v="14"/>
    <n v="4"/>
    <x v="3"/>
  </r>
  <r>
    <x v="1145"/>
    <n v="40233"/>
    <n v="0"/>
    <n v="1"/>
    <n v="84"/>
    <n v="80"/>
    <n v="4"/>
    <n v="46"/>
    <n v="0"/>
    <n v="17"/>
    <n v="2"/>
    <n v="5"/>
    <n v="2"/>
    <n v="1"/>
    <n v="5"/>
    <n v="6"/>
    <n v="0"/>
    <n v="0"/>
    <n v="0"/>
    <n v="0"/>
    <n v="0"/>
    <x v="0"/>
    <n v="0"/>
    <n v="3"/>
    <n v="11"/>
    <n v="0"/>
    <n v="45"/>
    <n v="2417"/>
    <n v="6.6219178082191785"/>
    <n v="0"/>
    <n v="1"/>
    <n v="0"/>
    <n v="0"/>
    <n v="0"/>
    <n v="0"/>
    <n v="0"/>
    <n v="0"/>
    <n v="0"/>
    <n v="1"/>
    <n v="147"/>
    <n v="145"/>
    <n v="2"/>
    <n v="0"/>
    <x v="0"/>
    <x v="0"/>
    <x v="0"/>
    <x v="1"/>
    <x v="3"/>
    <x v="0"/>
    <n v="1"/>
    <n v="0"/>
    <n v="19"/>
    <n v="1.9999999999999996"/>
    <n v="4"/>
    <n v="3"/>
    <n v="9"/>
    <n v="1"/>
    <x v="3"/>
  </r>
  <r>
    <x v="1146"/>
    <n v="42670"/>
    <n v="0"/>
    <n v="0"/>
    <n v="12"/>
    <n v="154"/>
    <n v="2"/>
    <n v="46"/>
    <n v="20"/>
    <n v="4"/>
    <n v="15"/>
    <n v="1"/>
    <n v="4"/>
    <n v="2"/>
    <n v="4"/>
    <n v="4"/>
    <n v="0"/>
    <n v="0"/>
    <n v="0"/>
    <n v="0"/>
    <n v="0"/>
    <x v="0"/>
    <n v="0"/>
    <n v="3"/>
    <n v="11"/>
    <n v="0"/>
    <n v="28"/>
    <n v="2587"/>
    <n v="7.087671232876712"/>
    <n v="0"/>
    <n v="0"/>
    <n v="0"/>
    <n v="1"/>
    <n v="0"/>
    <n v="0"/>
    <n v="0"/>
    <n v="0"/>
    <n v="1"/>
    <n v="0"/>
    <n v="226"/>
    <n v="211"/>
    <n v="15"/>
    <n v="0"/>
    <x v="1"/>
    <x v="1"/>
    <x v="2"/>
    <x v="1"/>
    <x v="3"/>
    <x v="4"/>
    <n v="0"/>
    <n v="0"/>
    <n v="15"/>
    <n v="9"/>
    <n v="2"/>
    <n v="4"/>
    <n v="15"/>
    <n v="4"/>
    <x v="3"/>
  </r>
  <r>
    <x v="1147"/>
    <n v="46377"/>
    <n v="1"/>
    <n v="0"/>
    <n v="89"/>
    <n v="37"/>
    <n v="0"/>
    <n v="46"/>
    <n v="4"/>
    <n v="3"/>
    <n v="0"/>
    <n v="1"/>
    <n v="2"/>
    <n v="1"/>
    <n v="3"/>
    <n v="4"/>
    <n v="0"/>
    <n v="0"/>
    <n v="0"/>
    <n v="0"/>
    <n v="0"/>
    <x v="0"/>
    <n v="0"/>
    <n v="3"/>
    <n v="11"/>
    <n v="0"/>
    <n v="42"/>
    <n v="2279"/>
    <n v="6.2438356164383562"/>
    <n v="0"/>
    <n v="1"/>
    <n v="0"/>
    <n v="0"/>
    <n v="0"/>
    <n v="0"/>
    <n v="0"/>
    <n v="0"/>
    <n v="0"/>
    <n v="1"/>
    <n v="90"/>
    <n v="90"/>
    <n v="0"/>
    <n v="0"/>
    <x v="0"/>
    <x v="0"/>
    <x v="0"/>
    <x v="1"/>
    <x v="3"/>
    <x v="0"/>
    <n v="1"/>
    <n v="0"/>
    <n v="11"/>
    <n v="1.9999999999999996"/>
    <n v="0"/>
    <n v="3"/>
    <n v="5"/>
    <n v="0"/>
    <x v="4"/>
  </r>
  <r>
    <x v="1148"/>
    <n v="54603"/>
    <n v="1"/>
    <n v="1"/>
    <n v="85"/>
    <n v="145"/>
    <n v="13"/>
    <n v="46"/>
    <n v="17"/>
    <n v="2"/>
    <n v="4"/>
    <n v="6"/>
    <n v="4"/>
    <n v="2"/>
    <n v="4"/>
    <n v="7"/>
    <n v="0"/>
    <n v="0"/>
    <n v="0"/>
    <n v="0"/>
    <n v="0"/>
    <x v="0"/>
    <n v="0"/>
    <n v="3"/>
    <n v="11"/>
    <n v="0"/>
    <n v="64"/>
    <n v="2514"/>
    <n v="6.8876712328767127"/>
    <n v="0"/>
    <n v="0"/>
    <n v="0"/>
    <n v="1"/>
    <n v="0"/>
    <n v="0"/>
    <n v="0"/>
    <n v="0"/>
    <n v="1"/>
    <n v="0"/>
    <n v="223"/>
    <n v="219"/>
    <n v="4"/>
    <n v="0"/>
    <x v="0"/>
    <x v="0"/>
    <x v="2"/>
    <x v="1"/>
    <x v="2"/>
    <x v="2"/>
    <n v="1"/>
    <n v="0"/>
    <n v="23"/>
    <n v="1.9999999999999996"/>
    <n v="6"/>
    <n v="4"/>
    <n v="12"/>
    <n v="3"/>
    <x v="3"/>
  </r>
  <r>
    <x v="1149"/>
    <n v="34968"/>
    <n v="1"/>
    <n v="0"/>
    <n v="11"/>
    <n v="158"/>
    <n v="6"/>
    <n v="45"/>
    <n v="8"/>
    <n v="2"/>
    <n v="2"/>
    <n v="7"/>
    <n v="3"/>
    <n v="2"/>
    <n v="5"/>
    <n v="7"/>
    <n v="0"/>
    <n v="0"/>
    <n v="0"/>
    <n v="0"/>
    <n v="0"/>
    <x v="0"/>
    <n v="0"/>
    <n v="3"/>
    <n v="11"/>
    <n v="0"/>
    <n v="40"/>
    <n v="2604"/>
    <n v="7.1342465753424653"/>
    <n v="0"/>
    <n v="1"/>
    <n v="0"/>
    <n v="0"/>
    <n v="0"/>
    <n v="0"/>
    <n v="0"/>
    <n v="1"/>
    <n v="0"/>
    <n v="0"/>
    <n v="219"/>
    <n v="217"/>
    <n v="2"/>
    <n v="0"/>
    <x v="0"/>
    <x v="0"/>
    <x v="0"/>
    <x v="0"/>
    <x v="0"/>
    <x v="3"/>
    <n v="0"/>
    <n v="0"/>
    <n v="24"/>
    <n v="9"/>
    <n v="6"/>
    <n v="4"/>
    <n v="19"/>
    <n v="7"/>
    <x v="2"/>
  </r>
  <r>
    <x v="1150"/>
    <n v="42160"/>
    <n v="1"/>
    <n v="1"/>
    <n v="26"/>
    <n v="48"/>
    <n v="9"/>
    <n v="45"/>
    <n v="3"/>
    <n v="15"/>
    <n v="20"/>
    <n v="4"/>
    <n v="2"/>
    <n v="1"/>
    <n v="4"/>
    <n v="6"/>
    <n v="0"/>
    <n v="0"/>
    <n v="0"/>
    <n v="0"/>
    <n v="0"/>
    <x v="0"/>
    <n v="0"/>
    <n v="3"/>
    <n v="11"/>
    <n v="1"/>
    <n v="45"/>
    <n v="2525"/>
    <n v="6.9178082191780819"/>
    <n v="0"/>
    <n v="0"/>
    <n v="1"/>
    <n v="0"/>
    <n v="0"/>
    <n v="0"/>
    <n v="0"/>
    <n v="1"/>
    <n v="0"/>
    <n v="0"/>
    <n v="120"/>
    <n v="100"/>
    <n v="20"/>
    <n v="0"/>
    <x v="0"/>
    <x v="0"/>
    <x v="1"/>
    <x v="0"/>
    <x v="3"/>
    <x v="0"/>
    <n v="0"/>
    <n v="0"/>
    <n v="17"/>
    <n v="8"/>
    <n v="3"/>
    <n v="3"/>
    <n v="14"/>
    <n v="4"/>
    <x v="3"/>
  </r>
  <r>
    <x v="1151"/>
    <n v="48178"/>
    <n v="1"/>
    <n v="1"/>
    <n v="69"/>
    <n v="159"/>
    <n v="4"/>
    <n v="45"/>
    <n v="6"/>
    <n v="2"/>
    <n v="38"/>
    <n v="6"/>
    <n v="5"/>
    <n v="1"/>
    <n v="4"/>
    <n v="8"/>
    <n v="0"/>
    <n v="0"/>
    <n v="0"/>
    <n v="0"/>
    <n v="0"/>
    <x v="0"/>
    <n v="0"/>
    <n v="3"/>
    <n v="11"/>
    <n v="0"/>
    <n v="45"/>
    <n v="2768"/>
    <n v="7.5835616438356164"/>
    <n v="0"/>
    <n v="1"/>
    <n v="0"/>
    <n v="0"/>
    <n v="0"/>
    <n v="0"/>
    <n v="0"/>
    <n v="1"/>
    <n v="0"/>
    <n v="0"/>
    <n v="216"/>
    <n v="178"/>
    <n v="38"/>
    <n v="0"/>
    <x v="0"/>
    <x v="0"/>
    <x v="0"/>
    <x v="0"/>
    <x v="3"/>
    <x v="0"/>
    <n v="1"/>
    <n v="0"/>
    <n v="24"/>
    <n v="4"/>
    <n v="6"/>
    <n v="4"/>
    <n v="14"/>
    <n v="4"/>
    <x v="3"/>
  </r>
  <r>
    <x v="1152"/>
    <n v="51148"/>
    <n v="1"/>
    <n v="1"/>
    <n v="38"/>
    <n v="235"/>
    <n v="6"/>
    <n v="45"/>
    <n v="8"/>
    <n v="9"/>
    <n v="12"/>
    <n v="4"/>
    <n v="5"/>
    <n v="1"/>
    <n v="6"/>
    <n v="6"/>
    <n v="0"/>
    <n v="0"/>
    <n v="0"/>
    <n v="0"/>
    <n v="0"/>
    <x v="0"/>
    <n v="0"/>
    <n v="3"/>
    <n v="11"/>
    <n v="0"/>
    <n v="47"/>
    <n v="2655"/>
    <n v="7.2739726027397262"/>
    <n v="0"/>
    <n v="1"/>
    <n v="0"/>
    <n v="0"/>
    <n v="0"/>
    <n v="0"/>
    <n v="0"/>
    <n v="1"/>
    <n v="0"/>
    <n v="0"/>
    <n v="303"/>
    <n v="291"/>
    <n v="12"/>
    <n v="0"/>
    <x v="0"/>
    <x v="0"/>
    <x v="0"/>
    <x v="0"/>
    <x v="2"/>
    <x v="0"/>
    <n v="1"/>
    <n v="0"/>
    <n v="22"/>
    <n v="7"/>
    <n v="5"/>
    <n v="4"/>
    <n v="16"/>
    <n v="5"/>
    <x v="1"/>
  </r>
  <r>
    <x v="1153"/>
    <n v="55212"/>
    <n v="0"/>
    <n v="1"/>
    <n v="65"/>
    <n v="1103"/>
    <n v="0"/>
    <n v="45"/>
    <n v="0"/>
    <n v="0"/>
    <n v="34"/>
    <n v="3"/>
    <n v="4"/>
    <n v="2"/>
    <n v="11"/>
    <n v="8"/>
    <n v="0"/>
    <n v="1"/>
    <n v="0"/>
    <n v="1"/>
    <n v="0"/>
    <x v="1"/>
    <n v="0"/>
    <n v="3"/>
    <n v="11"/>
    <n v="0"/>
    <n v="51"/>
    <n v="2742"/>
    <n v="7.5123287671232877"/>
    <n v="0"/>
    <n v="1"/>
    <n v="0"/>
    <n v="0"/>
    <n v="0"/>
    <n v="0"/>
    <n v="0"/>
    <n v="0"/>
    <n v="0"/>
    <n v="1"/>
    <n v="1148"/>
    <n v="1114"/>
    <n v="34"/>
    <n v="2"/>
    <x v="0"/>
    <x v="0"/>
    <x v="0"/>
    <x v="1"/>
    <x v="2"/>
    <x v="1"/>
    <n v="1"/>
    <n v="0"/>
    <n v="28"/>
    <n v="4"/>
    <n v="8"/>
    <n v="8"/>
    <n v="20"/>
    <n v="7"/>
    <x v="2"/>
  </r>
  <r>
    <x v="1154"/>
    <n v="62845"/>
    <n v="1"/>
    <n v="1"/>
    <n v="3"/>
    <n v="1099"/>
    <n v="0"/>
    <n v="45"/>
    <n v="0"/>
    <n v="0"/>
    <n v="34"/>
    <n v="11"/>
    <n v="3"/>
    <n v="4"/>
    <n v="10"/>
    <n v="8"/>
    <n v="0"/>
    <n v="0"/>
    <n v="0"/>
    <n v="1"/>
    <n v="0"/>
    <x v="1"/>
    <n v="0"/>
    <n v="3"/>
    <n v="11"/>
    <n v="0"/>
    <n v="71"/>
    <n v="2795"/>
    <n v="7.6575342465753424"/>
    <n v="0"/>
    <n v="1"/>
    <n v="0"/>
    <n v="0"/>
    <n v="0"/>
    <n v="0"/>
    <n v="0"/>
    <n v="0"/>
    <n v="1"/>
    <n v="0"/>
    <n v="1144"/>
    <n v="1110"/>
    <n v="34"/>
    <n v="1"/>
    <x v="0"/>
    <x v="0"/>
    <x v="0"/>
    <x v="1"/>
    <x v="2"/>
    <x v="2"/>
    <n v="0"/>
    <n v="0"/>
    <n v="36"/>
    <n v="10"/>
    <n v="9"/>
    <n v="8"/>
    <n v="27"/>
    <n v="9"/>
    <x v="0"/>
  </r>
  <r>
    <x v="1155"/>
    <n v="62845"/>
    <n v="1"/>
    <n v="1"/>
    <n v="3"/>
    <n v="1099"/>
    <n v="0"/>
    <n v="45"/>
    <n v="0"/>
    <n v="0"/>
    <n v="34"/>
    <n v="11"/>
    <n v="3"/>
    <n v="4"/>
    <n v="10"/>
    <n v="8"/>
    <n v="0"/>
    <n v="0"/>
    <n v="0"/>
    <n v="1"/>
    <n v="0"/>
    <x v="1"/>
    <n v="0"/>
    <n v="3"/>
    <n v="11"/>
    <n v="1"/>
    <n v="71"/>
    <n v="2795"/>
    <n v="7.6575342465753424"/>
    <n v="0"/>
    <n v="1"/>
    <n v="0"/>
    <n v="0"/>
    <n v="0"/>
    <n v="0"/>
    <n v="0"/>
    <n v="0"/>
    <n v="1"/>
    <n v="0"/>
    <n v="1144"/>
    <n v="1110"/>
    <n v="34"/>
    <n v="1"/>
    <x v="0"/>
    <x v="0"/>
    <x v="0"/>
    <x v="1"/>
    <x v="2"/>
    <x v="2"/>
    <n v="0"/>
    <n v="0"/>
    <n v="36"/>
    <n v="10"/>
    <n v="9"/>
    <n v="8"/>
    <n v="27"/>
    <n v="9"/>
    <x v="0"/>
  </r>
  <r>
    <x v="1156"/>
    <n v="66375"/>
    <n v="0"/>
    <n v="1"/>
    <n v="96"/>
    <n v="712"/>
    <n v="0"/>
    <n v="45"/>
    <n v="0"/>
    <n v="0"/>
    <n v="191"/>
    <n v="3"/>
    <n v="2"/>
    <n v="4"/>
    <n v="5"/>
    <n v="7"/>
    <n v="0"/>
    <n v="0"/>
    <n v="1"/>
    <n v="0"/>
    <n v="0"/>
    <x v="1"/>
    <n v="0"/>
    <n v="3"/>
    <n v="11"/>
    <n v="0"/>
    <n v="72"/>
    <n v="2379"/>
    <n v="6.5178082191780824"/>
    <n v="0"/>
    <n v="0"/>
    <n v="0"/>
    <n v="1"/>
    <n v="0"/>
    <n v="0"/>
    <n v="0"/>
    <n v="0"/>
    <n v="0"/>
    <n v="1"/>
    <n v="757"/>
    <n v="566"/>
    <n v="191"/>
    <n v="1"/>
    <x v="0"/>
    <x v="0"/>
    <x v="2"/>
    <x v="1"/>
    <x v="2"/>
    <x v="2"/>
    <n v="1"/>
    <n v="1"/>
    <n v="21"/>
    <n v="0.99999999999999978"/>
    <n v="5"/>
    <n v="6"/>
    <n v="12"/>
    <n v="3"/>
    <x v="3"/>
  </r>
  <r>
    <x v="1157"/>
    <n v="38620"/>
    <n v="0"/>
    <n v="0"/>
    <n v="56"/>
    <n v="112"/>
    <n v="17"/>
    <n v="44"/>
    <n v="34"/>
    <n v="22"/>
    <n v="89"/>
    <n v="1"/>
    <n v="2"/>
    <n v="5"/>
    <n v="3"/>
    <n v="3"/>
    <n v="0"/>
    <n v="0"/>
    <n v="0"/>
    <n v="0"/>
    <n v="0"/>
    <x v="0"/>
    <n v="0"/>
    <n v="3"/>
    <n v="11"/>
    <n v="0"/>
    <n v="57"/>
    <n v="2573"/>
    <n v="7.0493150684931507"/>
    <n v="0"/>
    <n v="0"/>
    <n v="0"/>
    <n v="1"/>
    <n v="0"/>
    <n v="0"/>
    <n v="0"/>
    <n v="0"/>
    <n v="1"/>
    <n v="0"/>
    <n v="229"/>
    <n v="140"/>
    <n v="89"/>
    <n v="0"/>
    <x v="1"/>
    <x v="1"/>
    <x v="2"/>
    <x v="1"/>
    <x v="3"/>
    <x v="1"/>
    <n v="1"/>
    <n v="0"/>
    <n v="14"/>
    <n v="5"/>
    <n v="2"/>
    <n v="4"/>
    <n v="11"/>
    <n v="2"/>
    <x v="3"/>
  </r>
  <r>
    <x v="1158"/>
    <n v="40887"/>
    <n v="1"/>
    <n v="1"/>
    <n v="32"/>
    <n v="50"/>
    <n v="4"/>
    <n v="44"/>
    <n v="10"/>
    <n v="10"/>
    <n v="43"/>
    <n v="3"/>
    <n v="3"/>
    <n v="1"/>
    <n v="3"/>
    <n v="9"/>
    <n v="0"/>
    <n v="0"/>
    <n v="0"/>
    <n v="0"/>
    <n v="0"/>
    <x v="0"/>
    <n v="0"/>
    <n v="3"/>
    <n v="11"/>
    <n v="1"/>
    <n v="68"/>
    <n v="2578"/>
    <n v="7.0630136986301366"/>
    <n v="0"/>
    <n v="0"/>
    <n v="1"/>
    <n v="0"/>
    <n v="0"/>
    <n v="0"/>
    <n v="0"/>
    <n v="1"/>
    <n v="0"/>
    <n v="0"/>
    <n v="118"/>
    <n v="75"/>
    <n v="43"/>
    <n v="0"/>
    <x v="0"/>
    <x v="0"/>
    <x v="1"/>
    <x v="0"/>
    <x v="3"/>
    <x v="2"/>
    <n v="1"/>
    <n v="0"/>
    <n v="19"/>
    <n v="7"/>
    <n v="4"/>
    <n v="3"/>
    <n v="14"/>
    <n v="4"/>
    <x v="3"/>
  </r>
  <r>
    <x v="1159"/>
    <n v="41713"/>
    <n v="1"/>
    <n v="1"/>
    <n v="57"/>
    <n v="77"/>
    <n v="8"/>
    <n v="44"/>
    <n v="10"/>
    <n v="10"/>
    <n v="25"/>
    <n v="5"/>
    <n v="3"/>
    <n v="1"/>
    <n v="4"/>
    <n v="6"/>
    <n v="0"/>
    <n v="0"/>
    <n v="0"/>
    <n v="0"/>
    <n v="0"/>
    <x v="0"/>
    <n v="0"/>
    <n v="3"/>
    <n v="11"/>
    <n v="0"/>
    <n v="56"/>
    <n v="2220"/>
    <n v="6.0821917808219181"/>
    <n v="1"/>
    <n v="0"/>
    <n v="0"/>
    <n v="0"/>
    <n v="0"/>
    <n v="1"/>
    <n v="0"/>
    <n v="0"/>
    <n v="0"/>
    <n v="0"/>
    <n v="149"/>
    <n v="124"/>
    <n v="25"/>
    <n v="0"/>
    <x v="0"/>
    <x v="0"/>
    <x v="3"/>
    <x v="1"/>
    <x v="3"/>
    <x v="1"/>
    <n v="1"/>
    <n v="0"/>
    <n v="19"/>
    <n v="5"/>
    <n v="4"/>
    <n v="3"/>
    <n v="12"/>
    <n v="3"/>
    <x v="3"/>
  </r>
  <r>
    <x v="1160"/>
    <n v="43057"/>
    <n v="0"/>
    <n v="1"/>
    <n v="30"/>
    <n v="213"/>
    <n v="2"/>
    <n v="44"/>
    <n v="0"/>
    <n v="2"/>
    <n v="5"/>
    <n v="4"/>
    <n v="4"/>
    <n v="2"/>
    <n v="5"/>
    <n v="5"/>
    <n v="0"/>
    <n v="0"/>
    <n v="0"/>
    <n v="0"/>
    <n v="0"/>
    <x v="0"/>
    <n v="0"/>
    <n v="3"/>
    <n v="11"/>
    <n v="0"/>
    <n v="45"/>
    <n v="2401"/>
    <n v="6.5780821917808217"/>
    <n v="0"/>
    <n v="1"/>
    <n v="0"/>
    <n v="0"/>
    <n v="0"/>
    <n v="0"/>
    <n v="0"/>
    <n v="1"/>
    <n v="0"/>
    <n v="0"/>
    <n v="261"/>
    <n v="256"/>
    <n v="5"/>
    <n v="0"/>
    <x v="0"/>
    <x v="0"/>
    <x v="0"/>
    <x v="0"/>
    <x v="3"/>
    <x v="0"/>
    <n v="0"/>
    <n v="0"/>
    <n v="20"/>
    <n v="7"/>
    <n v="4"/>
    <n v="4"/>
    <n v="15"/>
    <n v="4"/>
    <x v="3"/>
  </r>
  <r>
    <x v="1161"/>
    <n v="45503"/>
    <n v="1"/>
    <n v="0"/>
    <n v="54"/>
    <n v="97"/>
    <n v="4"/>
    <n v="44"/>
    <n v="6"/>
    <n v="1"/>
    <n v="18"/>
    <n v="1"/>
    <n v="3"/>
    <n v="1"/>
    <n v="4"/>
    <n v="5"/>
    <n v="0"/>
    <n v="0"/>
    <n v="0"/>
    <n v="0"/>
    <n v="0"/>
    <x v="0"/>
    <n v="0"/>
    <n v="3"/>
    <n v="11"/>
    <n v="0"/>
    <n v="45"/>
    <n v="2436"/>
    <n v="6.6739726027397257"/>
    <n v="0"/>
    <n v="1"/>
    <n v="0"/>
    <n v="0"/>
    <n v="0"/>
    <n v="0"/>
    <n v="0"/>
    <n v="0"/>
    <n v="0"/>
    <n v="1"/>
    <n v="152"/>
    <n v="134"/>
    <n v="18"/>
    <n v="0"/>
    <x v="0"/>
    <x v="0"/>
    <x v="0"/>
    <x v="1"/>
    <x v="3"/>
    <x v="0"/>
    <n v="1"/>
    <n v="0"/>
    <n v="14"/>
    <n v="5"/>
    <n v="2"/>
    <n v="3"/>
    <n v="10"/>
    <n v="2"/>
    <x v="3"/>
  </r>
  <r>
    <x v="1162"/>
    <n v="47175"/>
    <n v="1"/>
    <n v="1"/>
    <n v="81"/>
    <n v="167"/>
    <n v="2"/>
    <n v="44"/>
    <n v="6"/>
    <n v="2"/>
    <n v="19"/>
    <n v="7"/>
    <n v="4"/>
    <n v="2"/>
    <n v="4"/>
    <n v="8"/>
    <n v="0"/>
    <n v="0"/>
    <n v="1"/>
    <n v="0"/>
    <n v="0"/>
    <x v="1"/>
    <n v="0"/>
    <n v="3"/>
    <n v="11"/>
    <n v="1"/>
    <n v="58"/>
    <n v="2768"/>
    <n v="7.5835616438356164"/>
    <n v="0"/>
    <n v="0"/>
    <n v="0"/>
    <n v="1"/>
    <n v="0"/>
    <n v="0"/>
    <n v="0"/>
    <n v="0"/>
    <n v="1"/>
    <n v="0"/>
    <n v="221"/>
    <n v="202"/>
    <n v="19"/>
    <n v="1"/>
    <x v="0"/>
    <x v="0"/>
    <x v="2"/>
    <x v="1"/>
    <x v="3"/>
    <x v="1"/>
    <n v="1"/>
    <n v="0"/>
    <n v="25"/>
    <n v="1.9999999999999996"/>
    <n v="7"/>
    <n v="4"/>
    <n v="13"/>
    <n v="3"/>
    <x v="3"/>
  </r>
  <r>
    <x v="1163"/>
    <n v="52914"/>
    <n v="0"/>
    <n v="1"/>
    <n v="32"/>
    <n v="254"/>
    <n v="10"/>
    <n v="44"/>
    <n v="30"/>
    <n v="10"/>
    <n v="227"/>
    <n v="2"/>
    <n v="7"/>
    <n v="3"/>
    <n v="3"/>
    <n v="7"/>
    <n v="0"/>
    <n v="0"/>
    <n v="1"/>
    <n v="0"/>
    <n v="0"/>
    <x v="1"/>
    <n v="0"/>
    <n v="3"/>
    <n v="11"/>
    <n v="0"/>
    <n v="49"/>
    <n v="2697"/>
    <n v="7.3890410958904109"/>
    <n v="0"/>
    <n v="1"/>
    <n v="0"/>
    <n v="0"/>
    <n v="0"/>
    <n v="0"/>
    <n v="0"/>
    <n v="1"/>
    <n v="0"/>
    <n v="0"/>
    <n v="348"/>
    <n v="121"/>
    <n v="227"/>
    <n v="1"/>
    <x v="0"/>
    <x v="0"/>
    <x v="0"/>
    <x v="0"/>
    <x v="2"/>
    <x v="0"/>
    <n v="1"/>
    <n v="0"/>
    <n v="22"/>
    <n v="7"/>
    <n v="5"/>
    <n v="5"/>
    <n v="17"/>
    <n v="6"/>
    <x v="1"/>
  </r>
  <r>
    <x v="1164"/>
    <n v="58646"/>
    <n v="0"/>
    <n v="1"/>
    <n v="3"/>
    <n v="62"/>
    <n v="1"/>
    <n v="44"/>
    <n v="6"/>
    <n v="5"/>
    <n v="22"/>
    <n v="1"/>
    <n v="2"/>
    <n v="1"/>
    <n v="4"/>
    <n v="4"/>
    <n v="0"/>
    <n v="0"/>
    <n v="0"/>
    <n v="0"/>
    <n v="0"/>
    <x v="0"/>
    <n v="0"/>
    <n v="3"/>
    <n v="11"/>
    <n v="0"/>
    <n v="58"/>
    <n v="2543"/>
    <n v="6.9671232876712326"/>
    <n v="0"/>
    <n v="1"/>
    <n v="0"/>
    <n v="0"/>
    <n v="0"/>
    <n v="0"/>
    <n v="0"/>
    <n v="0"/>
    <n v="1"/>
    <n v="0"/>
    <n v="118"/>
    <n v="96"/>
    <n v="22"/>
    <n v="0"/>
    <x v="0"/>
    <x v="0"/>
    <x v="0"/>
    <x v="1"/>
    <x v="2"/>
    <x v="1"/>
    <n v="0"/>
    <n v="0"/>
    <n v="12"/>
    <n v="10"/>
    <n v="1"/>
    <n v="3"/>
    <n v="14"/>
    <n v="4"/>
    <x v="3"/>
  </r>
  <r>
    <x v="1165"/>
    <n v="59754"/>
    <n v="0"/>
    <n v="1"/>
    <n v="96"/>
    <n v="115"/>
    <n v="27"/>
    <n v="44"/>
    <n v="4"/>
    <n v="146"/>
    <n v="139"/>
    <n v="3"/>
    <n v="5"/>
    <n v="2"/>
    <n v="6"/>
    <n v="5"/>
    <n v="0"/>
    <n v="0"/>
    <n v="0"/>
    <n v="0"/>
    <n v="0"/>
    <x v="0"/>
    <n v="0"/>
    <n v="3"/>
    <n v="11"/>
    <n v="1"/>
    <n v="55"/>
    <n v="2734"/>
    <n v="7.4904109589041097"/>
    <n v="0"/>
    <n v="1"/>
    <n v="0"/>
    <n v="0"/>
    <n v="0"/>
    <n v="0"/>
    <n v="0"/>
    <n v="1"/>
    <n v="0"/>
    <n v="0"/>
    <n v="336"/>
    <n v="197"/>
    <n v="139"/>
    <n v="0"/>
    <x v="0"/>
    <x v="0"/>
    <x v="0"/>
    <x v="0"/>
    <x v="2"/>
    <x v="1"/>
    <n v="1"/>
    <n v="1"/>
    <n v="21"/>
    <n v="0.99999999999999978"/>
    <n v="5"/>
    <n v="4"/>
    <n v="10"/>
    <n v="2"/>
    <x v="3"/>
  </r>
  <r>
    <x v="1166"/>
    <n v="64413"/>
    <n v="0"/>
    <n v="1"/>
    <n v="27"/>
    <n v="200"/>
    <n v="5"/>
    <n v="44"/>
    <n v="0"/>
    <n v="10"/>
    <n v="20"/>
    <n v="1"/>
    <n v="5"/>
    <n v="1"/>
    <n v="5"/>
    <n v="5"/>
    <n v="0"/>
    <n v="0"/>
    <n v="0"/>
    <n v="0"/>
    <n v="0"/>
    <x v="0"/>
    <n v="0"/>
    <n v="3"/>
    <n v="11"/>
    <n v="0"/>
    <n v="50"/>
    <n v="2491"/>
    <n v="6.8246575342465752"/>
    <n v="0"/>
    <n v="0"/>
    <n v="0"/>
    <n v="1"/>
    <n v="0"/>
    <n v="0"/>
    <n v="0"/>
    <n v="0"/>
    <n v="0"/>
    <n v="1"/>
    <n v="259"/>
    <n v="239"/>
    <n v="20"/>
    <n v="0"/>
    <x v="0"/>
    <x v="0"/>
    <x v="2"/>
    <x v="1"/>
    <x v="2"/>
    <x v="0"/>
    <n v="0"/>
    <n v="0"/>
    <n v="17"/>
    <n v="8"/>
    <n v="3"/>
    <n v="4"/>
    <n v="15"/>
    <n v="4"/>
    <x v="3"/>
  </r>
  <r>
    <x v="1167"/>
    <n v="42767"/>
    <n v="2"/>
    <n v="0"/>
    <n v="53"/>
    <n v="20"/>
    <n v="6"/>
    <n v="43"/>
    <n v="19"/>
    <n v="5"/>
    <n v="38"/>
    <n v="1"/>
    <n v="3"/>
    <n v="1"/>
    <n v="2"/>
    <n v="8"/>
    <n v="0"/>
    <n v="0"/>
    <n v="0"/>
    <n v="0"/>
    <n v="0"/>
    <x v="0"/>
    <n v="0"/>
    <n v="3"/>
    <n v="11"/>
    <n v="0"/>
    <n v="49"/>
    <n v="2573"/>
    <n v="7.0493150684931507"/>
    <n v="0"/>
    <n v="0"/>
    <n v="1"/>
    <n v="0"/>
    <n v="0"/>
    <n v="0"/>
    <n v="0"/>
    <n v="0"/>
    <n v="0"/>
    <n v="1"/>
    <n v="93"/>
    <n v="55"/>
    <n v="38"/>
    <n v="0"/>
    <x v="0"/>
    <x v="0"/>
    <x v="1"/>
    <x v="1"/>
    <x v="3"/>
    <x v="0"/>
    <n v="1"/>
    <n v="0"/>
    <n v="15"/>
    <n v="5"/>
    <n v="2"/>
    <n v="3"/>
    <n v="10"/>
    <n v="2"/>
    <x v="3"/>
  </r>
  <r>
    <x v="1168"/>
    <n v="47743"/>
    <n v="0"/>
    <n v="1"/>
    <n v="56"/>
    <n v="198"/>
    <n v="2"/>
    <n v="43"/>
    <n v="0"/>
    <n v="12"/>
    <n v="20"/>
    <n v="3"/>
    <n v="4"/>
    <n v="1"/>
    <n v="6"/>
    <n v="6"/>
    <n v="0"/>
    <n v="0"/>
    <n v="0"/>
    <n v="1"/>
    <n v="0"/>
    <x v="1"/>
    <n v="0"/>
    <n v="3"/>
    <n v="11"/>
    <n v="0"/>
    <n v="63"/>
    <n v="2623"/>
    <n v="7.1863013698630134"/>
    <n v="0"/>
    <n v="1"/>
    <n v="0"/>
    <n v="0"/>
    <n v="0"/>
    <n v="0"/>
    <n v="0"/>
    <n v="1"/>
    <n v="0"/>
    <n v="0"/>
    <n v="255"/>
    <n v="235"/>
    <n v="20"/>
    <n v="1"/>
    <x v="0"/>
    <x v="0"/>
    <x v="0"/>
    <x v="0"/>
    <x v="3"/>
    <x v="2"/>
    <n v="1"/>
    <n v="0"/>
    <n v="20"/>
    <n v="5"/>
    <n v="4"/>
    <n v="4"/>
    <n v="13"/>
    <n v="3"/>
    <x v="3"/>
  </r>
  <r>
    <x v="1169"/>
    <n v="47850"/>
    <n v="1"/>
    <n v="0"/>
    <n v="72"/>
    <n v="42"/>
    <n v="7"/>
    <n v="43"/>
    <n v="20"/>
    <n v="12"/>
    <n v="10"/>
    <n v="1"/>
    <n v="3"/>
    <n v="0"/>
    <n v="4"/>
    <n v="6"/>
    <n v="0"/>
    <n v="0"/>
    <n v="0"/>
    <n v="0"/>
    <n v="0"/>
    <x v="0"/>
    <n v="0"/>
    <n v="3"/>
    <n v="11"/>
    <n v="0"/>
    <n v="40"/>
    <n v="2367"/>
    <n v="6.484931506849315"/>
    <n v="0"/>
    <n v="1"/>
    <n v="0"/>
    <n v="0"/>
    <n v="0"/>
    <n v="0"/>
    <n v="0"/>
    <n v="1"/>
    <n v="0"/>
    <n v="0"/>
    <n v="124"/>
    <n v="114"/>
    <n v="10"/>
    <n v="0"/>
    <x v="0"/>
    <x v="0"/>
    <x v="0"/>
    <x v="0"/>
    <x v="3"/>
    <x v="3"/>
    <n v="1"/>
    <n v="0"/>
    <n v="14"/>
    <n v="3.0000000000000004"/>
    <n v="2"/>
    <n v="3"/>
    <n v="8"/>
    <n v="1"/>
    <x v="3"/>
  </r>
  <r>
    <x v="1170"/>
    <n v="49160"/>
    <n v="0"/>
    <n v="1"/>
    <n v="29"/>
    <n v="122"/>
    <n v="21"/>
    <n v="43"/>
    <n v="25"/>
    <n v="10"/>
    <n v="15"/>
    <n v="2"/>
    <n v="3"/>
    <n v="1"/>
    <n v="6"/>
    <n v="6"/>
    <n v="0"/>
    <n v="0"/>
    <n v="0"/>
    <n v="0"/>
    <n v="0"/>
    <x v="0"/>
    <n v="0"/>
    <n v="3"/>
    <n v="11"/>
    <n v="0"/>
    <n v="71"/>
    <n v="2411"/>
    <n v="6.6054794520547944"/>
    <n v="1"/>
    <n v="0"/>
    <n v="0"/>
    <n v="0"/>
    <n v="0"/>
    <n v="0"/>
    <n v="0"/>
    <n v="1"/>
    <n v="0"/>
    <n v="0"/>
    <n v="221"/>
    <n v="206"/>
    <n v="15"/>
    <n v="0"/>
    <x v="0"/>
    <x v="0"/>
    <x v="3"/>
    <x v="0"/>
    <x v="3"/>
    <x v="2"/>
    <n v="0"/>
    <n v="0"/>
    <n v="18"/>
    <n v="8"/>
    <n v="4"/>
    <n v="4"/>
    <n v="16"/>
    <n v="5"/>
    <x v="1"/>
  </r>
  <r>
    <x v="1171"/>
    <n v="60544"/>
    <n v="1"/>
    <n v="1"/>
    <n v="92"/>
    <n v="201"/>
    <n v="2"/>
    <n v="43"/>
    <n v="3"/>
    <n v="5"/>
    <n v="35"/>
    <n v="4"/>
    <n v="5"/>
    <n v="1"/>
    <n v="5"/>
    <n v="6"/>
    <n v="0"/>
    <n v="0"/>
    <n v="0"/>
    <n v="0"/>
    <n v="0"/>
    <x v="0"/>
    <n v="0"/>
    <n v="3"/>
    <n v="11"/>
    <n v="0"/>
    <n v="59"/>
    <n v="2832"/>
    <n v="7.7589041095890412"/>
    <n v="0"/>
    <n v="1"/>
    <n v="0"/>
    <n v="0"/>
    <n v="0"/>
    <n v="0"/>
    <n v="0"/>
    <n v="1"/>
    <n v="0"/>
    <n v="0"/>
    <n v="254"/>
    <n v="219"/>
    <n v="35"/>
    <n v="0"/>
    <x v="0"/>
    <x v="0"/>
    <x v="0"/>
    <x v="0"/>
    <x v="2"/>
    <x v="1"/>
    <n v="1"/>
    <n v="1"/>
    <n v="21"/>
    <n v="0.99999999999999978"/>
    <n v="5"/>
    <n v="4"/>
    <n v="10"/>
    <n v="2"/>
    <x v="3"/>
  </r>
  <r>
    <x v="1172"/>
    <n v="61905"/>
    <n v="0"/>
    <n v="1"/>
    <n v="2"/>
    <n v="167"/>
    <n v="0"/>
    <n v="43"/>
    <n v="6"/>
    <n v="2"/>
    <n v="13"/>
    <n v="2"/>
    <n v="4"/>
    <n v="2"/>
    <n v="4"/>
    <n v="5"/>
    <n v="0"/>
    <n v="0"/>
    <n v="0"/>
    <n v="0"/>
    <n v="0"/>
    <x v="0"/>
    <n v="0"/>
    <n v="3"/>
    <n v="11"/>
    <n v="0"/>
    <n v="45"/>
    <n v="2304"/>
    <n v="6.3123287671232875"/>
    <n v="0"/>
    <n v="0"/>
    <n v="0"/>
    <n v="1"/>
    <n v="0"/>
    <n v="0"/>
    <n v="0"/>
    <n v="0"/>
    <n v="0"/>
    <n v="1"/>
    <n v="218"/>
    <n v="205"/>
    <n v="13"/>
    <n v="0"/>
    <x v="0"/>
    <x v="0"/>
    <x v="2"/>
    <x v="1"/>
    <x v="2"/>
    <x v="0"/>
    <n v="0"/>
    <n v="0"/>
    <n v="17"/>
    <n v="10"/>
    <n v="3"/>
    <n v="4"/>
    <n v="17"/>
    <n v="6"/>
    <x v="1"/>
  </r>
  <r>
    <x v="1173"/>
    <n v="31605"/>
    <n v="1"/>
    <n v="0"/>
    <n v="15"/>
    <n v="74"/>
    <n v="0"/>
    <n v="42"/>
    <n v="2"/>
    <n v="1"/>
    <n v="6"/>
    <n v="2"/>
    <n v="2"/>
    <n v="1"/>
    <n v="4"/>
    <n v="7"/>
    <n v="0"/>
    <n v="0"/>
    <n v="0"/>
    <n v="0"/>
    <n v="0"/>
    <x v="0"/>
    <n v="0"/>
    <n v="3"/>
    <n v="11"/>
    <n v="0"/>
    <n v="41"/>
    <n v="2743"/>
    <n v="7.515068493150685"/>
    <n v="0"/>
    <n v="1"/>
    <n v="0"/>
    <n v="0"/>
    <n v="0"/>
    <n v="0"/>
    <n v="0"/>
    <n v="0"/>
    <n v="0"/>
    <n v="1"/>
    <n v="119"/>
    <n v="113"/>
    <n v="6"/>
    <n v="0"/>
    <x v="0"/>
    <x v="0"/>
    <x v="0"/>
    <x v="1"/>
    <x v="0"/>
    <x v="0"/>
    <n v="0"/>
    <n v="0"/>
    <n v="16"/>
    <n v="9"/>
    <n v="3"/>
    <n v="3"/>
    <n v="15"/>
    <n v="4"/>
    <x v="3"/>
  </r>
  <r>
    <x v="1174"/>
    <n v="38360"/>
    <n v="1"/>
    <n v="0"/>
    <n v="26"/>
    <n v="36"/>
    <n v="2"/>
    <n v="42"/>
    <n v="20"/>
    <n v="21"/>
    <n v="10"/>
    <n v="2"/>
    <n v="2"/>
    <n v="1"/>
    <n v="4"/>
    <n v="3"/>
    <n v="0"/>
    <n v="0"/>
    <n v="0"/>
    <n v="0"/>
    <n v="0"/>
    <x v="0"/>
    <n v="0"/>
    <n v="3"/>
    <n v="11"/>
    <n v="0"/>
    <n v="31"/>
    <n v="2553"/>
    <n v="6.9945205479452053"/>
    <n v="0"/>
    <n v="1"/>
    <n v="0"/>
    <n v="0"/>
    <n v="0"/>
    <n v="0"/>
    <n v="0"/>
    <n v="1"/>
    <n v="0"/>
    <n v="0"/>
    <n v="121"/>
    <n v="111"/>
    <n v="10"/>
    <n v="0"/>
    <x v="0"/>
    <x v="0"/>
    <x v="0"/>
    <x v="0"/>
    <x v="3"/>
    <x v="3"/>
    <n v="0"/>
    <n v="0"/>
    <n v="12"/>
    <n v="8"/>
    <n v="1"/>
    <n v="3"/>
    <n v="12"/>
    <n v="3"/>
    <x v="3"/>
  </r>
  <r>
    <x v="1175"/>
    <n v="42710"/>
    <n v="1"/>
    <n v="0"/>
    <n v="38"/>
    <n v="252"/>
    <n v="3"/>
    <n v="42"/>
    <n v="4"/>
    <n v="3"/>
    <n v="102"/>
    <n v="2"/>
    <n v="4"/>
    <n v="5"/>
    <n v="3"/>
    <n v="6"/>
    <n v="0"/>
    <n v="0"/>
    <n v="0"/>
    <n v="0"/>
    <n v="0"/>
    <x v="0"/>
    <n v="0"/>
    <n v="3"/>
    <n v="11"/>
    <n v="0"/>
    <n v="36"/>
    <n v="2737"/>
    <n v="7.4986301369863018"/>
    <n v="0"/>
    <n v="0"/>
    <n v="1"/>
    <n v="0"/>
    <n v="0"/>
    <n v="0"/>
    <n v="0"/>
    <n v="0"/>
    <n v="0"/>
    <n v="1"/>
    <n v="304"/>
    <n v="202"/>
    <n v="102"/>
    <n v="0"/>
    <x v="0"/>
    <x v="0"/>
    <x v="1"/>
    <x v="1"/>
    <x v="3"/>
    <x v="3"/>
    <n v="1"/>
    <n v="0"/>
    <n v="20"/>
    <n v="7"/>
    <n v="4"/>
    <n v="4"/>
    <n v="15"/>
    <n v="4"/>
    <x v="3"/>
  </r>
  <r>
    <x v="1176"/>
    <n v="43185"/>
    <n v="0"/>
    <n v="1"/>
    <n v="88"/>
    <n v="537"/>
    <n v="6"/>
    <n v="42"/>
    <n v="16"/>
    <n v="6"/>
    <n v="30"/>
    <n v="2"/>
    <n v="9"/>
    <n v="3"/>
    <n v="6"/>
    <n v="8"/>
    <n v="0"/>
    <n v="0"/>
    <n v="0"/>
    <n v="0"/>
    <n v="0"/>
    <x v="0"/>
    <n v="0"/>
    <n v="3"/>
    <n v="11"/>
    <n v="0"/>
    <n v="69"/>
    <n v="2604"/>
    <n v="7.1342465753424653"/>
    <n v="1"/>
    <n v="0"/>
    <n v="0"/>
    <n v="0"/>
    <n v="0"/>
    <n v="0"/>
    <n v="0"/>
    <n v="1"/>
    <n v="0"/>
    <n v="0"/>
    <n v="607"/>
    <n v="577"/>
    <n v="30"/>
    <n v="0"/>
    <x v="0"/>
    <x v="0"/>
    <x v="3"/>
    <x v="0"/>
    <x v="3"/>
    <x v="2"/>
    <n v="1"/>
    <n v="0"/>
    <n v="28"/>
    <n v="1.9999999999999996"/>
    <n v="8"/>
    <n v="6"/>
    <n v="16"/>
    <n v="5"/>
    <x v="1"/>
  </r>
  <r>
    <x v="1177"/>
    <n v="43824"/>
    <n v="1"/>
    <n v="1"/>
    <n v="18"/>
    <n v="96"/>
    <n v="1"/>
    <n v="42"/>
    <n v="12"/>
    <n v="3"/>
    <n v="32"/>
    <n v="4"/>
    <n v="3"/>
    <n v="1"/>
    <n v="4"/>
    <n v="8"/>
    <n v="0"/>
    <n v="0"/>
    <n v="0"/>
    <n v="0"/>
    <n v="0"/>
    <x v="0"/>
    <n v="0"/>
    <n v="3"/>
    <n v="11"/>
    <n v="0"/>
    <n v="49"/>
    <n v="2811"/>
    <n v="7.7013698630136984"/>
    <n v="0"/>
    <n v="1"/>
    <n v="0"/>
    <n v="0"/>
    <n v="0"/>
    <n v="0"/>
    <n v="0"/>
    <n v="1"/>
    <n v="0"/>
    <n v="0"/>
    <n v="154"/>
    <n v="122"/>
    <n v="32"/>
    <n v="0"/>
    <x v="0"/>
    <x v="0"/>
    <x v="0"/>
    <x v="0"/>
    <x v="3"/>
    <x v="0"/>
    <n v="0"/>
    <n v="0"/>
    <n v="20"/>
    <n v="9"/>
    <n v="4"/>
    <n v="3"/>
    <n v="16"/>
    <n v="5"/>
    <x v="1"/>
  </r>
  <r>
    <x v="1178"/>
    <n v="34074"/>
    <n v="1"/>
    <n v="1"/>
    <n v="69"/>
    <n v="135"/>
    <n v="1"/>
    <n v="41"/>
    <n v="10"/>
    <n v="1"/>
    <n v="67"/>
    <n v="5"/>
    <n v="3"/>
    <n v="3"/>
    <n v="3"/>
    <n v="6"/>
    <n v="0"/>
    <n v="0"/>
    <n v="1"/>
    <n v="0"/>
    <n v="0"/>
    <x v="1"/>
    <n v="0"/>
    <n v="3"/>
    <n v="11"/>
    <n v="0"/>
    <n v="68"/>
    <n v="2510"/>
    <n v="6.8767123287671232"/>
    <n v="0"/>
    <n v="0"/>
    <n v="0"/>
    <n v="1"/>
    <n v="0"/>
    <n v="0"/>
    <n v="0"/>
    <n v="1"/>
    <n v="0"/>
    <n v="0"/>
    <n v="188"/>
    <n v="121"/>
    <n v="67"/>
    <n v="1"/>
    <x v="0"/>
    <x v="0"/>
    <x v="2"/>
    <x v="0"/>
    <x v="0"/>
    <x v="2"/>
    <n v="1"/>
    <n v="0"/>
    <n v="20"/>
    <n v="4"/>
    <n v="4"/>
    <n v="4"/>
    <n v="12"/>
    <n v="3"/>
    <x v="3"/>
  </r>
  <r>
    <x v="1179"/>
    <n v="37716"/>
    <n v="0"/>
    <n v="1"/>
    <n v="4"/>
    <n v="97"/>
    <n v="1"/>
    <n v="41"/>
    <n v="6"/>
    <n v="2"/>
    <n v="41"/>
    <n v="2"/>
    <n v="4"/>
    <n v="1"/>
    <n v="3"/>
    <n v="7"/>
    <n v="0"/>
    <n v="0"/>
    <n v="0"/>
    <n v="0"/>
    <n v="0"/>
    <x v="0"/>
    <n v="0"/>
    <n v="3"/>
    <n v="11"/>
    <n v="0"/>
    <n v="67"/>
    <n v="2228"/>
    <n v="6.1041095890410961"/>
    <n v="0"/>
    <n v="1"/>
    <n v="0"/>
    <n v="0"/>
    <n v="0"/>
    <n v="0"/>
    <n v="0"/>
    <n v="1"/>
    <n v="0"/>
    <n v="0"/>
    <n v="147"/>
    <n v="106"/>
    <n v="41"/>
    <n v="0"/>
    <x v="0"/>
    <x v="0"/>
    <x v="0"/>
    <x v="0"/>
    <x v="3"/>
    <x v="2"/>
    <n v="0"/>
    <n v="0"/>
    <n v="17"/>
    <n v="10"/>
    <n v="3"/>
    <n v="3"/>
    <n v="16"/>
    <n v="5"/>
    <x v="1"/>
  </r>
  <r>
    <x v="1180"/>
    <n v="41883"/>
    <n v="1"/>
    <n v="0"/>
    <n v="13"/>
    <n v="32"/>
    <n v="34"/>
    <n v="41"/>
    <n v="73"/>
    <n v="16"/>
    <n v="116"/>
    <n v="3"/>
    <n v="4"/>
    <n v="2"/>
    <n v="3"/>
    <n v="7"/>
    <n v="0"/>
    <n v="0"/>
    <n v="0"/>
    <n v="0"/>
    <n v="0"/>
    <x v="0"/>
    <n v="0"/>
    <n v="3"/>
    <n v="11"/>
    <n v="0"/>
    <n v="32"/>
    <n v="2626"/>
    <n v="7.1945205479452055"/>
    <n v="0"/>
    <n v="0"/>
    <n v="0"/>
    <n v="1"/>
    <n v="0"/>
    <n v="0"/>
    <n v="0"/>
    <n v="1"/>
    <n v="0"/>
    <n v="0"/>
    <n v="196"/>
    <n v="80"/>
    <n v="116"/>
    <n v="0"/>
    <x v="0"/>
    <x v="0"/>
    <x v="2"/>
    <x v="0"/>
    <x v="3"/>
    <x v="3"/>
    <n v="0"/>
    <n v="0"/>
    <n v="19"/>
    <n v="9"/>
    <n v="4"/>
    <n v="4"/>
    <n v="17"/>
    <n v="6"/>
    <x v="1"/>
  </r>
  <r>
    <x v="1181"/>
    <n v="49413"/>
    <n v="0"/>
    <n v="1"/>
    <n v="88"/>
    <n v="205"/>
    <n v="7"/>
    <n v="41"/>
    <n v="3"/>
    <n v="2"/>
    <n v="46"/>
    <n v="2"/>
    <n v="4"/>
    <n v="2"/>
    <n v="5"/>
    <n v="5"/>
    <n v="0"/>
    <n v="0"/>
    <n v="0"/>
    <n v="0"/>
    <n v="0"/>
    <x v="0"/>
    <n v="0"/>
    <n v="3"/>
    <n v="11"/>
    <n v="0"/>
    <n v="68"/>
    <n v="2406"/>
    <n v="6.5917808219178085"/>
    <n v="0"/>
    <n v="1"/>
    <n v="0"/>
    <n v="0"/>
    <n v="0"/>
    <n v="0"/>
    <n v="0"/>
    <n v="1"/>
    <n v="0"/>
    <n v="0"/>
    <n v="258"/>
    <n v="212"/>
    <n v="46"/>
    <n v="0"/>
    <x v="0"/>
    <x v="0"/>
    <x v="0"/>
    <x v="0"/>
    <x v="3"/>
    <x v="2"/>
    <n v="1"/>
    <n v="0"/>
    <n v="18"/>
    <n v="1.9999999999999996"/>
    <n v="4"/>
    <n v="4"/>
    <n v="10"/>
    <n v="2"/>
    <x v="3"/>
  </r>
  <r>
    <x v="1182"/>
    <n v="33378"/>
    <n v="1"/>
    <n v="1"/>
    <n v="38"/>
    <n v="33"/>
    <n v="6"/>
    <n v="40"/>
    <n v="3"/>
    <n v="7"/>
    <n v="10"/>
    <n v="3"/>
    <n v="2"/>
    <n v="0"/>
    <n v="4"/>
    <n v="7"/>
    <n v="0"/>
    <n v="0"/>
    <n v="0"/>
    <n v="0"/>
    <n v="0"/>
    <x v="0"/>
    <n v="0"/>
    <n v="3"/>
    <n v="11"/>
    <n v="0"/>
    <n v="57"/>
    <n v="2667"/>
    <n v="7.3068493150684928"/>
    <n v="1"/>
    <n v="0"/>
    <n v="0"/>
    <n v="0"/>
    <n v="0"/>
    <n v="0"/>
    <n v="0"/>
    <n v="1"/>
    <n v="0"/>
    <n v="0"/>
    <n v="89"/>
    <n v="79"/>
    <n v="10"/>
    <n v="0"/>
    <x v="0"/>
    <x v="0"/>
    <x v="3"/>
    <x v="0"/>
    <x v="0"/>
    <x v="1"/>
    <n v="1"/>
    <n v="0"/>
    <n v="16"/>
    <n v="7"/>
    <n v="3"/>
    <n v="3"/>
    <n v="13"/>
    <n v="3"/>
    <x v="3"/>
  </r>
  <r>
    <x v="1183"/>
    <n v="35876"/>
    <n v="0"/>
    <n v="0"/>
    <n v="13"/>
    <n v="66"/>
    <n v="2"/>
    <n v="40"/>
    <n v="4"/>
    <n v="3"/>
    <n v="14"/>
    <n v="1"/>
    <n v="3"/>
    <n v="1"/>
    <n v="3"/>
    <n v="6"/>
    <n v="0"/>
    <n v="0"/>
    <n v="0"/>
    <n v="0"/>
    <n v="0"/>
    <x v="0"/>
    <n v="0"/>
    <n v="3"/>
    <n v="11"/>
    <n v="0"/>
    <n v="37"/>
    <n v="2229"/>
    <n v="6.1068493150684935"/>
    <n v="0"/>
    <n v="1"/>
    <n v="0"/>
    <n v="0"/>
    <n v="0"/>
    <n v="0"/>
    <n v="0"/>
    <n v="0"/>
    <n v="1"/>
    <n v="0"/>
    <n v="115"/>
    <n v="101"/>
    <n v="14"/>
    <n v="0"/>
    <x v="1"/>
    <x v="1"/>
    <x v="0"/>
    <x v="1"/>
    <x v="3"/>
    <x v="3"/>
    <n v="0"/>
    <n v="0"/>
    <n v="14"/>
    <n v="9"/>
    <n v="2"/>
    <n v="3"/>
    <n v="14"/>
    <n v="4"/>
    <x v="3"/>
  </r>
  <r>
    <x v="1184"/>
    <n v="37787"/>
    <n v="1"/>
    <n v="0"/>
    <n v="50"/>
    <n v="40"/>
    <n v="1"/>
    <n v="40"/>
    <n v="4"/>
    <n v="3"/>
    <n v="18"/>
    <n v="1"/>
    <n v="3"/>
    <n v="0"/>
    <n v="3"/>
    <n v="8"/>
    <n v="0"/>
    <n v="0"/>
    <n v="0"/>
    <n v="0"/>
    <n v="0"/>
    <x v="0"/>
    <n v="0"/>
    <n v="3"/>
    <n v="11"/>
    <n v="0"/>
    <n v="48"/>
    <n v="2441"/>
    <n v="6.6876712328767125"/>
    <n v="0"/>
    <n v="1"/>
    <n v="0"/>
    <n v="0"/>
    <n v="0"/>
    <n v="0"/>
    <n v="0"/>
    <n v="0"/>
    <n v="1"/>
    <n v="0"/>
    <n v="88"/>
    <n v="70"/>
    <n v="18"/>
    <n v="0"/>
    <x v="0"/>
    <x v="0"/>
    <x v="0"/>
    <x v="1"/>
    <x v="3"/>
    <x v="0"/>
    <n v="1"/>
    <n v="0"/>
    <n v="15"/>
    <n v="5"/>
    <n v="2"/>
    <n v="3"/>
    <n v="10"/>
    <n v="2"/>
    <x v="3"/>
  </r>
  <r>
    <x v="1185"/>
    <n v="42873"/>
    <n v="1"/>
    <n v="1"/>
    <n v="11"/>
    <n v="209"/>
    <n v="0"/>
    <n v="40"/>
    <n v="3"/>
    <n v="2"/>
    <n v="15"/>
    <n v="4"/>
    <n v="6"/>
    <n v="1"/>
    <n v="4"/>
    <n v="8"/>
    <n v="0"/>
    <n v="0"/>
    <n v="0"/>
    <n v="0"/>
    <n v="0"/>
    <x v="0"/>
    <n v="0"/>
    <n v="3"/>
    <n v="11"/>
    <n v="0"/>
    <n v="70"/>
    <n v="2683"/>
    <n v="7.3506849315068497"/>
    <n v="1"/>
    <n v="0"/>
    <n v="0"/>
    <n v="0"/>
    <n v="0"/>
    <n v="0"/>
    <n v="0"/>
    <n v="0"/>
    <n v="0"/>
    <n v="1"/>
    <n v="254"/>
    <n v="239"/>
    <n v="15"/>
    <n v="0"/>
    <x v="0"/>
    <x v="0"/>
    <x v="3"/>
    <x v="1"/>
    <x v="3"/>
    <x v="2"/>
    <n v="0"/>
    <n v="0"/>
    <n v="23"/>
    <n v="9"/>
    <n v="6"/>
    <n v="4"/>
    <n v="19"/>
    <n v="7"/>
    <x v="2"/>
  </r>
  <r>
    <x v="1186"/>
    <n v="44322"/>
    <n v="1"/>
    <n v="0"/>
    <n v="30"/>
    <n v="46"/>
    <n v="0"/>
    <n v="40"/>
    <n v="3"/>
    <n v="0"/>
    <n v="3"/>
    <n v="2"/>
    <n v="3"/>
    <n v="0"/>
    <n v="3"/>
    <n v="8"/>
    <n v="0"/>
    <n v="0"/>
    <n v="0"/>
    <n v="0"/>
    <n v="0"/>
    <x v="0"/>
    <n v="0"/>
    <n v="3"/>
    <n v="11"/>
    <n v="0"/>
    <n v="35"/>
    <n v="2172"/>
    <n v="5.9506849315068493"/>
    <n v="0"/>
    <n v="1"/>
    <n v="0"/>
    <n v="0"/>
    <n v="0"/>
    <n v="0"/>
    <n v="0"/>
    <n v="1"/>
    <n v="0"/>
    <n v="0"/>
    <n v="89"/>
    <n v="86"/>
    <n v="3"/>
    <n v="0"/>
    <x v="0"/>
    <x v="0"/>
    <x v="0"/>
    <x v="0"/>
    <x v="3"/>
    <x v="3"/>
    <n v="0"/>
    <n v="0"/>
    <n v="16"/>
    <n v="7"/>
    <n v="3"/>
    <n v="3"/>
    <n v="13"/>
    <n v="3"/>
    <x v="3"/>
  </r>
  <r>
    <x v="1187"/>
    <n v="46463"/>
    <n v="1"/>
    <n v="1"/>
    <n v="56"/>
    <n v="163"/>
    <n v="2"/>
    <n v="40"/>
    <n v="8"/>
    <n v="11"/>
    <n v="11"/>
    <n v="7"/>
    <n v="3"/>
    <n v="1"/>
    <n v="6"/>
    <n v="6"/>
    <n v="0"/>
    <n v="0"/>
    <n v="0"/>
    <n v="0"/>
    <n v="0"/>
    <x v="0"/>
    <n v="0"/>
    <n v="3"/>
    <n v="11"/>
    <n v="0"/>
    <n v="49"/>
    <n v="2474"/>
    <n v="6.7780821917808218"/>
    <n v="0"/>
    <n v="1"/>
    <n v="0"/>
    <n v="0"/>
    <n v="0"/>
    <n v="0"/>
    <n v="0"/>
    <n v="0"/>
    <n v="0"/>
    <n v="1"/>
    <n v="224"/>
    <n v="213"/>
    <n v="11"/>
    <n v="0"/>
    <x v="0"/>
    <x v="0"/>
    <x v="0"/>
    <x v="1"/>
    <x v="3"/>
    <x v="0"/>
    <n v="1"/>
    <n v="0"/>
    <n v="23"/>
    <n v="5"/>
    <n v="6"/>
    <n v="4"/>
    <n v="15"/>
    <n v="4"/>
    <x v="3"/>
  </r>
  <r>
    <x v="1188"/>
    <n v="33183"/>
    <n v="1"/>
    <n v="0"/>
    <n v="46"/>
    <n v="7"/>
    <n v="5"/>
    <n v="39"/>
    <n v="17"/>
    <n v="15"/>
    <n v="37"/>
    <n v="2"/>
    <n v="4"/>
    <n v="0"/>
    <n v="3"/>
    <n v="7"/>
    <n v="0"/>
    <n v="0"/>
    <n v="0"/>
    <n v="0"/>
    <n v="0"/>
    <x v="0"/>
    <n v="0"/>
    <n v="3"/>
    <n v="11"/>
    <n v="0"/>
    <n v="45"/>
    <n v="2284"/>
    <n v="6.2575342465753421"/>
    <n v="0"/>
    <n v="1"/>
    <n v="0"/>
    <n v="0"/>
    <n v="0"/>
    <n v="0"/>
    <n v="0"/>
    <n v="1"/>
    <n v="0"/>
    <n v="0"/>
    <n v="83"/>
    <n v="46"/>
    <n v="37"/>
    <n v="0"/>
    <x v="0"/>
    <x v="0"/>
    <x v="0"/>
    <x v="0"/>
    <x v="0"/>
    <x v="0"/>
    <n v="1"/>
    <n v="0"/>
    <n v="16"/>
    <n v="6"/>
    <n v="3"/>
    <n v="3"/>
    <n v="12"/>
    <n v="3"/>
    <x v="3"/>
  </r>
  <r>
    <x v="1189"/>
    <n v="36864"/>
    <n v="0"/>
    <n v="1"/>
    <n v="53"/>
    <n v="204"/>
    <n v="5"/>
    <n v="39"/>
    <n v="17"/>
    <n v="0"/>
    <n v="89"/>
    <n v="3"/>
    <n v="5"/>
    <n v="2"/>
    <n v="4"/>
    <n v="8"/>
    <n v="0"/>
    <n v="0"/>
    <n v="0"/>
    <n v="0"/>
    <n v="0"/>
    <x v="0"/>
    <n v="0"/>
    <n v="3"/>
    <n v="11"/>
    <n v="1"/>
    <n v="63"/>
    <n v="2844"/>
    <n v="7.7917808219178086"/>
    <n v="0"/>
    <n v="0"/>
    <n v="1"/>
    <n v="0"/>
    <n v="0"/>
    <n v="0"/>
    <n v="0"/>
    <n v="1"/>
    <n v="0"/>
    <n v="0"/>
    <n v="265"/>
    <n v="176"/>
    <n v="89"/>
    <n v="0"/>
    <x v="0"/>
    <x v="0"/>
    <x v="1"/>
    <x v="0"/>
    <x v="3"/>
    <x v="2"/>
    <n v="1"/>
    <n v="0"/>
    <n v="22"/>
    <n v="5"/>
    <n v="5"/>
    <n v="4"/>
    <n v="14"/>
    <n v="4"/>
    <x v="3"/>
  </r>
  <r>
    <x v="1190"/>
    <n v="46734"/>
    <n v="1"/>
    <n v="2"/>
    <n v="86"/>
    <n v="100"/>
    <n v="1"/>
    <n v="39"/>
    <n v="6"/>
    <n v="1"/>
    <n v="76"/>
    <n v="4"/>
    <n v="3"/>
    <n v="2"/>
    <n v="3"/>
    <n v="6"/>
    <n v="0"/>
    <n v="0"/>
    <n v="1"/>
    <n v="0"/>
    <n v="0"/>
    <x v="1"/>
    <n v="0"/>
    <n v="3"/>
    <n v="11"/>
    <n v="0"/>
    <n v="54"/>
    <n v="2410"/>
    <n v="6.602739726027397"/>
    <n v="0"/>
    <n v="0"/>
    <n v="1"/>
    <n v="0"/>
    <n v="0"/>
    <n v="0"/>
    <n v="0"/>
    <n v="0"/>
    <n v="0"/>
    <n v="1"/>
    <n v="147"/>
    <n v="71"/>
    <n v="76"/>
    <n v="1"/>
    <x v="0"/>
    <x v="0"/>
    <x v="1"/>
    <x v="1"/>
    <x v="3"/>
    <x v="1"/>
    <n v="1"/>
    <n v="0"/>
    <n v="18"/>
    <n v="1.9999999999999996"/>
    <n v="4"/>
    <n v="3"/>
    <n v="9"/>
    <n v="1"/>
    <x v="3"/>
  </r>
  <r>
    <x v="1191"/>
    <n v="48150"/>
    <n v="0"/>
    <n v="1"/>
    <n v="24"/>
    <n v="173"/>
    <n v="2"/>
    <n v="39"/>
    <n v="3"/>
    <n v="2"/>
    <n v="47"/>
    <n v="3"/>
    <n v="5"/>
    <n v="1"/>
    <n v="4"/>
    <n v="7"/>
    <n v="0"/>
    <n v="0"/>
    <n v="0"/>
    <n v="0"/>
    <n v="0"/>
    <x v="0"/>
    <n v="0"/>
    <n v="3"/>
    <n v="11"/>
    <n v="0"/>
    <n v="71"/>
    <n v="2545"/>
    <n v="6.9726027397260273"/>
    <n v="0"/>
    <n v="1"/>
    <n v="0"/>
    <n v="0"/>
    <n v="0"/>
    <n v="0"/>
    <n v="0"/>
    <n v="0"/>
    <n v="1"/>
    <n v="0"/>
    <n v="219"/>
    <n v="172"/>
    <n v="47"/>
    <n v="0"/>
    <x v="0"/>
    <x v="0"/>
    <x v="0"/>
    <x v="1"/>
    <x v="3"/>
    <x v="2"/>
    <n v="0"/>
    <n v="0"/>
    <n v="20"/>
    <n v="8"/>
    <n v="4"/>
    <n v="4"/>
    <n v="16"/>
    <n v="5"/>
    <x v="1"/>
  </r>
  <r>
    <x v="1192"/>
    <n v="51315"/>
    <n v="0"/>
    <n v="0"/>
    <n v="45"/>
    <n v="68"/>
    <n v="28"/>
    <n v="39"/>
    <n v="16"/>
    <n v="30"/>
    <n v="41"/>
    <n v="1"/>
    <n v="2"/>
    <n v="2"/>
    <n v="5"/>
    <n v="2"/>
    <n v="0"/>
    <n v="0"/>
    <n v="0"/>
    <n v="0"/>
    <n v="0"/>
    <x v="0"/>
    <n v="0"/>
    <n v="3"/>
    <n v="11"/>
    <n v="0"/>
    <n v="72"/>
    <n v="2285"/>
    <n v="6.2602739726027394"/>
    <n v="0"/>
    <n v="0"/>
    <n v="0"/>
    <n v="1"/>
    <n v="0"/>
    <n v="0"/>
    <n v="0"/>
    <n v="1"/>
    <n v="0"/>
    <n v="0"/>
    <n v="181"/>
    <n v="140"/>
    <n v="41"/>
    <n v="0"/>
    <x v="1"/>
    <x v="1"/>
    <x v="2"/>
    <x v="0"/>
    <x v="2"/>
    <x v="2"/>
    <n v="1"/>
    <n v="0"/>
    <n v="12"/>
    <n v="6"/>
    <n v="1"/>
    <n v="3"/>
    <n v="10"/>
    <n v="2"/>
    <x v="3"/>
  </r>
  <r>
    <x v="1193"/>
    <n v="54178"/>
    <n v="0"/>
    <n v="1"/>
    <n v="79"/>
    <n v="135"/>
    <n v="9"/>
    <n v="39"/>
    <n v="4"/>
    <n v="0"/>
    <n v="7"/>
    <n v="1"/>
    <n v="2"/>
    <n v="2"/>
    <n v="5"/>
    <n v="2"/>
    <n v="0"/>
    <n v="0"/>
    <n v="0"/>
    <n v="0"/>
    <n v="0"/>
    <x v="0"/>
    <n v="0"/>
    <n v="3"/>
    <n v="11"/>
    <n v="0"/>
    <n v="53"/>
    <n v="2318"/>
    <n v="6.3506849315068497"/>
    <n v="0"/>
    <n v="0"/>
    <n v="0"/>
    <n v="1"/>
    <n v="0"/>
    <n v="0"/>
    <n v="0"/>
    <n v="1"/>
    <n v="0"/>
    <n v="0"/>
    <n v="187"/>
    <n v="180"/>
    <n v="7"/>
    <n v="0"/>
    <x v="0"/>
    <x v="0"/>
    <x v="2"/>
    <x v="0"/>
    <x v="2"/>
    <x v="1"/>
    <n v="1"/>
    <n v="0"/>
    <n v="12"/>
    <n v="3.0000000000000004"/>
    <n v="1"/>
    <n v="4"/>
    <n v="8"/>
    <n v="1"/>
    <x v="3"/>
  </r>
  <r>
    <x v="1194"/>
    <n v="55842"/>
    <n v="0"/>
    <n v="1"/>
    <n v="19"/>
    <n v="451"/>
    <n v="0"/>
    <n v="39"/>
    <n v="0"/>
    <n v="4"/>
    <n v="24"/>
    <n v="1"/>
    <n v="7"/>
    <n v="1"/>
    <n v="8"/>
    <n v="5"/>
    <n v="0"/>
    <n v="0"/>
    <n v="0"/>
    <n v="0"/>
    <n v="0"/>
    <x v="0"/>
    <n v="0"/>
    <n v="3"/>
    <n v="11"/>
    <n v="0"/>
    <n v="43"/>
    <n v="2196"/>
    <n v="6.0164383561643833"/>
    <n v="0"/>
    <n v="1"/>
    <n v="0"/>
    <n v="0"/>
    <n v="0"/>
    <n v="0"/>
    <n v="0"/>
    <n v="0"/>
    <n v="1"/>
    <n v="0"/>
    <n v="494"/>
    <n v="470"/>
    <n v="24"/>
    <n v="0"/>
    <x v="0"/>
    <x v="0"/>
    <x v="0"/>
    <x v="1"/>
    <x v="2"/>
    <x v="0"/>
    <n v="0"/>
    <n v="0"/>
    <n v="22"/>
    <n v="9"/>
    <n v="5"/>
    <n v="5"/>
    <n v="19"/>
    <n v="7"/>
    <x v="2"/>
  </r>
  <r>
    <x v="1195"/>
    <n v="56721"/>
    <n v="1"/>
    <n v="1"/>
    <n v="64"/>
    <n v="157"/>
    <n v="6"/>
    <n v="39"/>
    <n v="6"/>
    <n v="13"/>
    <n v="75"/>
    <n v="5"/>
    <n v="4"/>
    <n v="1"/>
    <n v="5"/>
    <n v="6"/>
    <n v="0"/>
    <n v="0"/>
    <n v="0"/>
    <n v="0"/>
    <n v="0"/>
    <x v="0"/>
    <n v="0"/>
    <n v="3"/>
    <n v="11"/>
    <n v="0"/>
    <n v="48"/>
    <n v="2765"/>
    <n v="7.5753424657534243"/>
    <n v="0"/>
    <n v="1"/>
    <n v="0"/>
    <n v="0"/>
    <n v="0"/>
    <n v="0"/>
    <n v="0"/>
    <n v="1"/>
    <n v="0"/>
    <n v="0"/>
    <n v="221"/>
    <n v="146"/>
    <n v="75"/>
    <n v="0"/>
    <x v="0"/>
    <x v="0"/>
    <x v="0"/>
    <x v="0"/>
    <x v="2"/>
    <x v="0"/>
    <n v="1"/>
    <n v="0"/>
    <n v="21"/>
    <n v="4"/>
    <n v="5"/>
    <n v="4"/>
    <n v="13"/>
    <n v="3"/>
    <x v="3"/>
  </r>
  <r>
    <x v="1196"/>
    <n v="57744"/>
    <n v="0"/>
    <n v="1"/>
    <n v="91"/>
    <n v="350"/>
    <n v="3"/>
    <n v="39"/>
    <n v="0"/>
    <n v="0"/>
    <n v="19"/>
    <n v="2"/>
    <n v="9"/>
    <n v="1"/>
    <n v="4"/>
    <n v="8"/>
    <n v="0"/>
    <n v="0"/>
    <n v="0"/>
    <n v="0"/>
    <n v="0"/>
    <x v="0"/>
    <n v="0"/>
    <n v="3"/>
    <n v="11"/>
    <n v="0"/>
    <n v="66"/>
    <n v="2388"/>
    <n v="6.5424657534246577"/>
    <n v="0"/>
    <n v="1"/>
    <n v="0"/>
    <n v="0"/>
    <n v="0"/>
    <n v="0"/>
    <n v="0"/>
    <n v="0"/>
    <n v="0"/>
    <n v="1"/>
    <n v="392"/>
    <n v="373"/>
    <n v="19"/>
    <n v="0"/>
    <x v="0"/>
    <x v="0"/>
    <x v="0"/>
    <x v="1"/>
    <x v="2"/>
    <x v="2"/>
    <n v="1"/>
    <n v="1"/>
    <n v="24"/>
    <n v="0.99999999999999978"/>
    <n v="6"/>
    <n v="5"/>
    <n v="12"/>
    <n v="3"/>
    <x v="3"/>
  </r>
  <r>
    <x v="1197"/>
    <n v="62010"/>
    <n v="0"/>
    <n v="1"/>
    <n v="93"/>
    <n v="371"/>
    <n v="22"/>
    <n v="39"/>
    <n v="6"/>
    <n v="0"/>
    <n v="92"/>
    <n v="4"/>
    <n v="6"/>
    <n v="2"/>
    <n v="7"/>
    <n v="5"/>
    <n v="0"/>
    <n v="0"/>
    <n v="0"/>
    <n v="0"/>
    <n v="0"/>
    <x v="0"/>
    <n v="0"/>
    <n v="3"/>
    <n v="11"/>
    <n v="0"/>
    <n v="48"/>
    <n v="2773"/>
    <n v="7.5972602739726032"/>
    <n v="0"/>
    <n v="1"/>
    <n v="0"/>
    <n v="0"/>
    <n v="0"/>
    <n v="0"/>
    <n v="0"/>
    <n v="0"/>
    <n v="0"/>
    <n v="1"/>
    <n v="438"/>
    <n v="346"/>
    <n v="92"/>
    <n v="0"/>
    <x v="0"/>
    <x v="0"/>
    <x v="0"/>
    <x v="1"/>
    <x v="2"/>
    <x v="0"/>
    <n v="1"/>
    <n v="1"/>
    <n v="24"/>
    <n v="0.99999999999999978"/>
    <n v="6"/>
    <n v="5"/>
    <n v="12"/>
    <n v="3"/>
    <x v="3"/>
  </r>
  <r>
    <x v="1198"/>
    <n v="17117"/>
    <n v="1"/>
    <n v="0"/>
    <n v="96"/>
    <n v="12"/>
    <n v="23"/>
    <n v="38"/>
    <n v="30"/>
    <n v="18"/>
    <n v="7"/>
    <n v="4"/>
    <n v="3"/>
    <n v="1"/>
    <n v="3"/>
    <n v="9"/>
    <n v="0"/>
    <n v="0"/>
    <n v="0"/>
    <n v="0"/>
    <n v="0"/>
    <x v="0"/>
    <n v="0"/>
    <n v="3"/>
    <n v="11"/>
    <n v="0"/>
    <n v="42"/>
    <n v="2687"/>
    <n v="7.3616438356164382"/>
    <n v="0"/>
    <n v="0"/>
    <n v="0"/>
    <n v="1"/>
    <n v="0"/>
    <n v="1"/>
    <n v="0"/>
    <n v="0"/>
    <n v="0"/>
    <n v="0"/>
    <n v="121"/>
    <n v="114"/>
    <n v="7"/>
    <n v="0"/>
    <x v="0"/>
    <x v="0"/>
    <x v="2"/>
    <x v="1"/>
    <x v="0"/>
    <x v="0"/>
    <n v="1"/>
    <n v="1"/>
    <n v="20"/>
    <n v="0.99999999999999978"/>
    <n v="4"/>
    <n v="3"/>
    <n v="8"/>
    <n v="1"/>
    <x v="3"/>
  </r>
  <r>
    <x v="1199"/>
    <n v="34529"/>
    <n v="1"/>
    <n v="0"/>
    <n v="94"/>
    <n v="68"/>
    <n v="6"/>
    <n v="38"/>
    <n v="3"/>
    <n v="6"/>
    <n v="41"/>
    <n v="2"/>
    <n v="2"/>
    <n v="2"/>
    <n v="3"/>
    <n v="7"/>
    <n v="0"/>
    <n v="0"/>
    <n v="0"/>
    <n v="0"/>
    <n v="0"/>
    <x v="0"/>
    <n v="0"/>
    <n v="3"/>
    <n v="11"/>
    <n v="0"/>
    <n v="44"/>
    <n v="2812"/>
    <n v="7.7041095890410958"/>
    <n v="0"/>
    <n v="1"/>
    <n v="0"/>
    <n v="0"/>
    <n v="0"/>
    <n v="0"/>
    <n v="0"/>
    <n v="0"/>
    <n v="1"/>
    <n v="0"/>
    <n v="121"/>
    <n v="80"/>
    <n v="41"/>
    <n v="0"/>
    <x v="0"/>
    <x v="0"/>
    <x v="0"/>
    <x v="1"/>
    <x v="0"/>
    <x v="0"/>
    <n v="1"/>
    <n v="1"/>
    <n v="16"/>
    <n v="0.99999999999999978"/>
    <n v="3"/>
    <n v="3"/>
    <n v="7"/>
    <n v="1"/>
    <x v="3"/>
  </r>
  <r>
    <x v="1200"/>
    <n v="37760"/>
    <n v="0"/>
    <n v="0"/>
    <n v="20"/>
    <n v="84"/>
    <n v="5"/>
    <n v="38"/>
    <n v="150"/>
    <n v="12"/>
    <n v="28"/>
    <n v="2"/>
    <n v="4"/>
    <n v="1"/>
    <n v="6"/>
    <n v="7"/>
    <n v="0"/>
    <n v="0"/>
    <n v="0"/>
    <n v="0"/>
    <n v="0"/>
    <x v="0"/>
    <n v="0"/>
    <n v="3"/>
    <n v="11"/>
    <n v="0"/>
    <n v="74"/>
    <n v="2826"/>
    <n v="7.7424657534246579"/>
    <n v="0"/>
    <n v="0"/>
    <n v="0"/>
    <n v="1"/>
    <n v="0"/>
    <n v="0"/>
    <n v="0"/>
    <n v="1"/>
    <n v="0"/>
    <n v="0"/>
    <n v="289"/>
    <n v="261"/>
    <n v="28"/>
    <n v="0"/>
    <x v="1"/>
    <x v="1"/>
    <x v="2"/>
    <x v="0"/>
    <x v="3"/>
    <x v="2"/>
    <n v="0"/>
    <n v="0"/>
    <n v="20"/>
    <n v="8"/>
    <n v="4"/>
    <n v="4"/>
    <n v="16"/>
    <n v="5"/>
    <x v="1"/>
  </r>
  <r>
    <x v="1201"/>
    <n v="41411"/>
    <n v="0"/>
    <n v="0"/>
    <n v="11"/>
    <n v="37"/>
    <n v="32"/>
    <n v="38"/>
    <n v="11"/>
    <n v="3"/>
    <n v="18"/>
    <n v="1"/>
    <n v="2"/>
    <n v="1"/>
    <n v="4"/>
    <n v="6"/>
    <n v="0"/>
    <n v="0"/>
    <n v="0"/>
    <n v="0"/>
    <n v="0"/>
    <x v="0"/>
    <n v="0"/>
    <n v="3"/>
    <n v="11"/>
    <n v="0"/>
    <n v="34"/>
    <n v="2363"/>
    <n v="6.4739726027397264"/>
    <n v="1"/>
    <n v="0"/>
    <n v="0"/>
    <n v="0"/>
    <n v="0"/>
    <n v="0"/>
    <n v="0"/>
    <n v="1"/>
    <n v="0"/>
    <n v="0"/>
    <n v="121"/>
    <n v="103"/>
    <n v="18"/>
    <n v="0"/>
    <x v="1"/>
    <x v="1"/>
    <x v="3"/>
    <x v="0"/>
    <x v="3"/>
    <x v="3"/>
    <n v="0"/>
    <n v="0"/>
    <n v="14"/>
    <n v="9"/>
    <n v="2"/>
    <n v="3"/>
    <n v="14"/>
    <n v="4"/>
    <x v="3"/>
  </r>
  <r>
    <x v="1202"/>
    <n v="48726"/>
    <n v="0"/>
    <n v="1"/>
    <n v="90"/>
    <n v="138"/>
    <n v="3"/>
    <n v="38"/>
    <n v="4"/>
    <n v="0"/>
    <n v="59"/>
    <n v="3"/>
    <n v="3"/>
    <n v="2"/>
    <n v="4"/>
    <n v="6"/>
    <n v="0"/>
    <n v="0"/>
    <n v="0"/>
    <n v="0"/>
    <n v="0"/>
    <x v="0"/>
    <n v="0"/>
    <n v="3"/>
    <n v="11"/>
    <n v="0"/>
    <n v="65"/>
    <n v="2587"/>
    <n v="7.087671232876712"/>
    <n v="0"/>
    <n v="1"/>
    <n v="0"/>
    <n v="0"/>
    <n v="0"/>
    <n v="0"/>
    <n v="0"/>
    <n v="1"/>
    <n v="0"/>
    <n v="0"/>
    <n v="183"/>
    <n v="124"/>
    <n v="59"/>
    <n v="0"/>
    <x v="0"/>
    <x v="0"/>
    <x v="0"/>
    <x v="0"/>
    <x v="3"/>
    <x v="2"/>
    <n v="1"/>
    <n v="0"/>
    <n v="18"/>
    <n v="0.99999999999999978"/>
    <n v="4"/>
    <n v="4"/>
    <n v="9"/>
    <n v="1"/>
    <x v="3"/>
  </r>
  <r>
    <x v="1203"/>
    <n v="48904"/>
    <n v="0"/>
    <n v="1"/>
    <n v="1"/>
    <n v="283"/>
    <n v="10"/>
    <n v="38"/>
    <n v="0"/>
    <n v="13"/>
    <n v="27"/>
    <n v="4"/>
    <n v="7"/>
    <n v="2"/>
    <n v="4"/>
    <n v="8"/>
    <n v="0"/>
    <n v="0"/>
    <n v="0"/>
    <n v="0"/>
    <n v="0"/>
    <x v="0"/>
    <n v="0"/>
    <n v="3"/>
    <n v="11"/>
    <n v="0"/>
    <n v="60"/>
    <n v="2733"/>
    <n v="7.4876712328767123"/>
    <n v="0"/>
    <n v="0"/>
    <n v="1"/>
    <n v="0"/>
    <n v="0"/>
    <n v="0"/>
    <n v="0"/>
    <n v="1"/>
    <n v="0"/>
    <n v="0"/>
    <n v="344"/>
    <n v="317"/>
    <n v="27"/>
    <n v="0"/>
    <x v="0"/>
    <x v="0"/>
    <x v="1"/>
    <x v="0"/>
    <x v="3"/>
    <x v="1"/>
    <n v="0"/>
    <n v="0"/>
    <n v="25"/>
    <n v="10"/>
    <n v="7"/>
    <n v="5"/>
    <n v="22"/>
    <n v="8"/>
    <x v="2"/>
  </r>
  <r>
    <x v="1204"/>
    <n v="49094"/>
    <n v="0"/>
    <n v="1"/>
    <n v="6"/>
    <n v="376"/>
    <n v="0"/>
    <n v="38"/>
    <n v="11"/>
    <n v="8"/>
    <n v="69"/>
    <n v="5"/>
    <n v="6"/>
    <n v="3"/>
    <n v="6"/>
    <n v="6"/>
    <n v="0"/>
    <n v="0"/>
    <n v="0"/>
    <n v="0"/>
    <n v="0"/>
    <x v="0"/>
    <n v="0"/>
    <n v="3"/>
    <n v="11"/>
    <n v="0"/>
    <n v="47"/>
    <n v="2805"/>
    <n v="7.6849315068493151"/>
    <n v="0"/>
    <n v="1"/>
    <n v="0"/>
    <n v="0"/>
    <n v="0"/>
    <n v="0"/>
    <n v="0"/>
    <n v="1"/>
    <n v="0"/>
    <n v="0"/>
    <n v="433"/>
    <n v="364"/>
    <n v="69"/>
    <n v="0"/>
    <x v="0"/>
    <x v="0"/>
    <x v="0"/>
    <x v="0"/>
    <x v="3"/>
    <x v="0"/>
    <n v="0"/>
    <n v="0"/>
    <n v="26"/>
    <n v="10"/>
    <n v="7"/>
    <n v="5"/>
    <n v="22"/>
    <n v="8"/>
    <x v="2"/>
  </r>
  <r>
    <x v="1205"/>
    <n v="50501"/>
    <n v="1"/>
    <n v="1"/>
    <n v="10"/>
    <n v="297"/>
    <n v="0"/>
    <n v="38"/>
    <n v="13"/>
    <n v="0"/>
    <n v="152"/>
    <n v="7"/>
    <n v="5"/>
    <n v="4"/>
    <n v="4"/>
    <n v="6"/>
    <n v="0"/>
    <n v="0"/>
    <n v="1"/>
    <n v="0"/>
    <n v="0"/>
    <x v="1"/>
    <n v="0"/>
    <n v="3"/>
    <n v="11"/>
    <n v="1"/>
    <n v="66"/>
    <n v="2535"/>
    <n v="6.9452054794520546"/>
    <n v="0"/>
    <n v="1"/>
    <n v="0"/>
    <n v="0"/>
    <n v="0"/>
    <n v="0"/>
    <n v="0"/>
    <n v="1"/>
    <n v="0"/>
    <n v="0"/>
    <n v="348"/>
    <n v="196"/>
    <n v="152"/>
    <n v="1"/>
    <x v="0"/>
    <x v="0"/>
    <x v="0"/>
    <x v="0"/>
    <x v="2"/>
    <x v="2"/>
    <n v="0"/>
    <n v="0"/>
    <n v="26"/>
    <n v="9"/>
    <n v="7"/>
    <n v="5"/>
    <n v="21"/>
    <n v="8"/>
    <x v="2"/>
  </r>
  <r>
    <x v="1206"/>
    <n v="29435"/>
    <n v="1"/>
    <n v="1"/>
    <n v="11"/>
    <n v="70"/>
    <n v="3"/>
    <n v="37"/>
    <n v="4"/>
    <n v="2"/>
    <n v="64"/>
    <n v="4"/>
    <n v="3"/>
    <n v="2"/>
    <n v="2"/>
    <n v="9"/>
    <n v="0"/>
    <n v="0"/>
    <n v="0"/>
    <n v="0"/>
    <n v="0"/>
    <x v="0"/>
    <n v="0"/>
    <n v="3"/>
    <n v="11"/>
    <n v="1"/>
    <n v="54"/>
    <n v="2851"/>
    <n v="7.8109589041095893"/>
    <n v="1"/>
    <n v="0"/>
    <n v="0"/>
    <n v="0"/>
    <n v="0"/>
    <n v="0"/>
    <n v="0"/>
    <n v="0"/>
    <n v="1"/>
    <n v="0"/>
    <n v="116"/>
    <n v="52"/>
    <n v="64"/>
    <n v="0"/>
    <x v="0"/>
    <x v="0"/>
    <x v="3"/>
    <x v="1"/>
    <x v="0"/>
    <x v="1"/>
    <n v="0"/>
    <n v="0"/>
    <n v="20"/>
    <n v="9"/>
    <n v="4"/>
    <n v="3"/>
    <n v="16"/>
    <n v="5"/>
    <x v="1"/>
  </r>
  <r>
    <x v="1207"/>
    <n v="33168"/>
    <n v="0"/>
    <n v="1"/>
    <n v="0"/>
    <n v="80"/>
    <n v="1"/>
    <n v="37"/>
    <n v="0"/>
    <n v="1"/>
    <n v="3"/>
    <n v="3"/>
    <n v="2"/>
    <n v="1"/>
    <n v="4"/>
    <n v="7"/>
    <n v="0"/>
    <n v="0"/>
    <n v="0"/>
    <n v="0"/>
    <n v="0"/>
    <x v="0"/>
    <n v="0"/>
    <n v="3"/>
    <n v="11"/>
    <n v="0"/>
    <n v="55"/>
    <n v="2783"/>
    <n v="7.624657534246575"/>
    <n v="0"/>
    <n v="0"/>
    <n v="1"/>
    <n v="0"/>
    <n v="0"/>
    <n v="0"/>
    <n v="0"/>
    <n v="0"/>
    <n v="1"/>
    <n v="0"/>
    <n v="119"/>
    <n v="116"/>
    <n v="3"/>
    <n v="0"/>
    <x v="0"/>
    <x v="0"/>
    <x v="1"/>
    <x v="1"/>
    <x v="0"/>
    <x v="1"/>
    <n v="0"/>
    <n v="0"/>
    <n v="17"/>
    <n v="10"/>
    <n v="3"/>
    <n v="3"/>
    <n v="16"/>
    <n v="5"/>
    <x v="1"/>
  </r>
  <r>
    <x v="1208"/>
    <n v="35322"/>
    <n v="1"/>
    <n v="2"/>
    <n v="34"/>
    <n v="28"/>
    <n v="9"/>
    <n v="37"/>
    <n v="12"/>
    <n v="7"/>
    <n v="13"/>
    <n v="3"/>
    <n v="2"/>
    <n v="0"/>
    <n v="4"/>
    <n v="8"/>
    <n v="0"/>
    <n v="0"/>
    <n v="0"/>
    <n v="0"/>
    <n v="0"/>
    <x v="0"/>
    <n v="0"/>
    <n v="3"/>
    <n v="11"/>
    <n v="0"/>
    <n v="52"/>
    <n v="2835"/>
    <n v="7.7671232876712333"/>
    <n v="0"/>
    <n v="0"/>
    <n v="0"/>
    <n v="1"/>
    <n v="0"/>
    <n v="0"/>
    <n v="0"/>
    <n v="1"/>
    <n v="0"/>
    <n v="0"/>
    <n v="93"/>
    <n v="80"/>
    <n v="13"/>
    <n v="0"/>
    <x v="0"/>
    <x v="0"/>
    <x v="2"/>
    <x v="0"/>
    <x v="3"/>
    <x v="1"/>
    <n v="1"/>
    <n v="0"/>
    <n v="17"/>
    <n v="7"/>
    <n v="3"/>
    <n v="3"/>
    <n v="13"/>
    <n v="3"/>
    <x v="3"/>
  </r>
  <r>
    <x v="1209"/>
    <n v="50388"/>
    <n v="0"/>
    <n v="1"/>
    <n v="3"/>
    <n v="292"/>
    <n v="6"/>
    <n v="37"/>
    <n v="0"/>
    <n v="3"/>
    <n v="34"/>
    <n v="4"/>
    <n v="6"/>
    <n v="1"/>
    <n v="6"/>
    <n v="7"/>
    <n v="1"/>
    <n v="0"/>
    <n v="0"/>
    <n v="1"/>
    <n v="0"/>
    <x v="1"/>
    <n v="0"/>
    <n v="3"/>
    <n v="11"/>
    <n v="1"/>
    <n v="63"/>
    <n v="2191"/>
    <n v="6.0027397260273974"/>
    <n v="0"/>
    <n v="0"/>
    <n v="1"/>
    <n v="0"/>
    <n v="0"/>
    <n v="0"/>
    <n v="0"/>
    <n v="1"/>
    <n v="0"/>
    <n v="0"/>
    <n v="338"/>
    <n v="304"/>
    <n v="34"/>
    <n v="2"/>
    <x v="0"/>
    <x v="0"/>
    <x v="1"/>
    <x v="0"/>
    <x v="2"/>
    <x v="2"/>
    <n v="0"/>
    <n v="0"/>
    <n v="24"/>
    <n v="10"/>
    <n v="6"/>
    <n v="4"/>
    <n v="20"/>
    <n v="7"/>
    <x v="2"/>
  </r>
  <r>
    <x v="1210"/>
    <n v="52597"/>
    <n v="0"/>
    <n v="1"/>
    <n v="69"/>
    <n v="492"/>
    <n v="0"/>
    <n v="37"/>
    <n v="7"/>
    <n v="0"/>
    <n v="42"/>
    <n v="3"/>
    <n v="6"/>
    <n v="3"/>
    <n v="8"/>
    <n v="5"/>
    <n v="0"/>
    <n v="0"/>
    <n v="0"/>
    <n v="0"/>
    <n v="0"/>
    <x v="0"/>
    <n v="0"/>
    <n v="3"/>
    <n v="11"/>
    <n v="0"/>
    <n v="58"/>
    <n v="2212"/>
    <n v="6.0602739726027401"/>
    <n v="0"/>
    <n v="0"/>
    <n v="1"/>
    <n v="0"/>
    <n v="0"/>
    <n v="0"/>
    <n v="0"/>
    <n v="0"/>
    <n v="0"/>
    <n v="1"/>
    <n v="536"/>
    <n v="494"/>
    <n v="42"/>
    <n v="0"/>
    <x v="0"/>
    <x v="0"/>
    <x v="1"/>
    <x v="1"/>
    <x v="2"/>
    <x v="1"/>
    <n v="1"/>
    <n v="0"/>
    <n v="25"/>
    <n v="4"/>
    <n v="7"/>
    <n v="5"/>
    <n v="16"/>
    <n v="5"/>
    <x v="1"/>
  </r>
  <r>
    <x v="1211"/>
    <n v="54197"/>
    <n v="0"/>
    <n v="1"/>
    <n v="16"/>
    <n v="162"/>
    <n v="6"/>
    <n v="37"/>
    <n v="6"/>
    <n v="13"/>
    <n v="13"/>
    <n v="2"/>
    <n v="1"/>
    <n v="3"/>
    <n v="6"/>
    <n v="1"/>
    <n v="0"/>
    <n v="0"/>
    <n v="0"/>
    <n v="0"/>
    <n v="0"/>
    <x v="0"/>
    <n v="0"/>
    <n v="3"/>
    <n v="11"/>
    <n v="0"/>
    <n v="60"/>
    <n v="2246"/>
    <n v="6.1534246575342468"/>
    <n v="0"/>
    <n v="1"/>
    <n v="0"/>
    <n v="0"/>
    <n v="0"/>
    <n v="0"/>
    <n v="0"/>
    <n v="0"/>
    <n v="1"/>
    <n v="0"/>
    <n v="224"/>
    <n v="211"/>
    <n v="13"/>
    <n v="0"/>
    <x v="0"/>
    <x v="0"/>
    <x v="0"/>
    <x v="1"/>
    <x v="2"/>
    <x v="1"/>
    <n v="0"/>
    <n v="0"/>
    <n v="13"/>
    <n v="9"/>
    <n v="1"/>
    <n v="4"/>
    <n v="14"/>
    <n v="4"/>
    <x v="3"/>
  </r>
  <r>
    <x v="1212"/>
    <n v="54690"/>
    <n v="1"/>
    <n v="1"/>
    <n v="76"/>
    <n v="111"/>
    <n v="16"/>
    <n v="37"/>
    <n v="7"/>
    <n v="9"/>
    <n v="18"/>
    <n v="3"/>
    <n v="3"/>
    <n v="1"/>
    <n v="5"/>
    <n v="3"/>
    <n v="0"/>
    <n v="0"/>
    <n v="0"/>
    <n v="0"/>
    <n v="0"/>
    <x v="0"/>
    <n v="0"/>
    <n v="3"/>
    <n v="11"/>
    <n v="0"/>
    <n v="49"/>
    <n v="2393"/>
    <n v="6.5561643835616437"/>
    <n v="0"/>
    <n v="1"/>
    <n v="0"/>
    <n v="0"/>
    <n v="0"/>
    <n v="1"/>
    <n v="0"/>
    <n v="0"/>
    <n v="0"/>
    <n v="0"/>
    <n v="180"/>
    <n v="162"/>
    <n v="18"/>
    <n v="0"/>
    <x v="0"/>
    <x v="0"/>
    <x v="0"/>
    <x v="1"/>
    <x v="2"/>
    <x v="0"/>
    <n v="1"/>
    <n v="0"/>
    <n v="15"/>
    <n v="3.0000000000000004"/>
    <n v="2"/>
    <n v="3"/>
    <n v="8"/>
    <n v="1"/>
    <x v="3"/>
  </r>
  <r>
    <x v="1213"/>
    <n v="22669"/>
    <n v="1"/>
    <n v="0"/>
    <n v="30"/>
    <n v="16"/>
    <n v="14"/>
    <n v="36"/>
    <n v="37"/>
    <n v="22"/>
    <n v="48"/>
    <n v="3"/>
    <n v="4"/>
    <n v="1"/>
    <n v="2"/>
    <n v="9"/>
    <n v="0"/>
    <n v="0"/>
    <n v="0"/>
    <n v="0"/>
    <n v="0"/>
    <x v="0"/>
    <n v="0"/>
    <n v="3"/>
    <n v="11"/>
    <n v="1"/>
    <n v="45"/>
    <n v="2562"/>
    <n v="7.0191780821917806"/>
    <n v="0"/>
    <n v="0"/>
    <n v="0"/>
    <n v="1"/>
    <n v="0"/>
    <n v="0"/>
    <n v="0"/>
    <n v="0"/>
    <n v="1"/>
    <n v="0"/>
    <n v="125"/>
    <n v="77"/>
    <n v="48"/>
    <n v="0"/>
    <x v="0"/>
    <x v="0"/>
    <x v="2"/>
    <x v="1"/>
    <x v="0"/>
    <x v="0"/>
    <n v="0"/>
    <n v="0"/>
    <n v="19"/>
    <n v="7"/>
    <n v="4"/>
    <n v="3"/>
    <n v="14"/>
    <n v="4"/>
    <x v="3"/>
  </r>
  <r>
    <x v="1214"/>
    <n v="38680"/>
    <n v="1"/>
    <n v="0"/>
    <n v="97"/>
    <n v="11"/>
    <n v="0"/>
    <n v="36"/>
    <n v="15"/>
    <n v="5"/>
    <n v="12"/>
    <n v="1"/>
    <n v="2"/>
    <n v="0"/>
    <n v="3"/>
    <n v="7"/>
    <n v="0"/>
    <n v="0"/>
    <n v="0"/>
    <n v="0"/>
    <n v="0"/>
    <x v="0"/>
    <n v="0"/>
    <n v="3"/>
    <n v="11"/>
    <n v="0"/>
    <n v="36"/>
    <n v="2617"/>
    <n v="7.1698630136986301"/>
    <n v="0"/>
    <n v="1"/>
    <n v="0"/>
    <n v="0"/>
    <n v="0"/>
    <n v="0"/>
    <n v="0"/>
    <n v="1"/>
    <n v="0"/>
    <n v="0"/>
    <n v="67"/>
    <n v="55"/>
    <n v="12"/>
    <n v="0"/>
    <x v="0"/>
    <x v="0"/>
    <x v="0"/>
    <x v="0"/>
    <x v="3"/>
    <x v="3"/>
    <n v="1"/>
    <n v="1"/>
    <n v="13"/>
    <n v="0.99999999999999978"/>
    <n v="1"/>
    <n v="2"/>
    <n v="4"/>
    <n v="0"/>
    <x v="4"/>
  </r>
  <r>
    <x v="1215"/>
    <n v="61917"/>
    <n v="1"/>
    <n v="1"/>
    <n v="83"/>
    <n v="46"/>
    <n v="4"/>
    <n v="36"/>
    <n v="2"/>
    <n v="2"/>
    <n v="1"/>
    <n v="1"/>
    <n v="2"/>
    <n v="0"/>
    <n v="4"/>
    <n v="5"/>
    <n v="0"/>
    <n v="0"/>
    <n v="0"/>
    <n v="0"/>
    <n v="0"/>
    <x v="0"/>
    <n v="0"/>
    <n v="3"/>
    <n v="11"/>
    <n v="0"/>
    <n v="46"/>
    <n v="2380"/>
    <n v="6.5205479452054798"/>
    <n v="0"/>
    <n v="1"/>
    <n v="0"/>
    <n v="0"/>
    <n v="0"/>
    <n v="0"/>
    <n v="0"/>
    <n v="0"/>
    <n v="0"/>
    <n v="1"/>
    <n v="90"/>
    <n v="89"/>
    <n v="1"/>
    <n v="0"/>
    <x v="0"/>
    <x v="0"/>
    <x v="0"/>
    <x v="1"/>
    <x v="2"/>
    <x v="0"/>
    <n v="1"/>
    <n v="0"/>
    <n v="12"/>
    <n v="1.9999999999999996"/>
    <n v="1"/>
    <n v="3"/>
    <n v="6"/>
    <n v="0"/>
    <x v="4"/>
  </r>
  <r>
    <x v="1216"/>
    <n v="32233"/>
    <n v="1"/>
    <n v="0"/>
    <n v="26"/>
    <n v="138"/>
    <n v="15"/>
    <n v="35"/>
    <n v="25"/>
    <n v="11"/>
    <n v="72"/>
    <n v="2"/>
    <n v="6"/>
    <n v="2"/>
    <n v="2"/>
    <n v="9"/>
    <n v="0"/>
    <n v="0"/>
    <n v="1"/>
    <n v="0"/>
    <n v="0"/>
    <x v="1"/>
    <n v="0"/>
    <n v="3"/>
    <n v="11"/>
    <n v="1"/>
    <n v="46"/>
    <n v="2838"/>
    <n v="7.7753424657534245"/>
    <n v="0"/>
    <n v="0"/>
    <n v="1"/>
    <n v="0"/>
    <n v="0"/>
    <n v="0"/>
    <n v="0"/>
    <n v="1"/>
    <n v="0"/>
    <n v="0"/>
    <n v="224"/>
    <n v="152"/>
    <n v="72"/>
    <n v="1"/>
    <x v="0"/>
    <x v="0"/>
    <x v="1"/>
    <x v="0"/>
    <x v="0"/>
    <x v="0"/>
    <n v="0"/>
    <n v="0"/>
    <n v="21"/>
    <n v="8"/>
    <n v="5"/>
    <n v="4"/>
    <n v="17"/>
    <n v="6"/>
    <x v="1"/>
  </r>
  <r>
    <x v="1217"/>
    <n v="36301"/>
    <n v="1"/>
    <n v="0"/>
    <n v="53"/>
    <n v="11"/>
    <n v="12"/>
    <n v="35"/>
    <n v="3"/>
    <n v="5"/>
    <n v="12"/>
    <n v="1"/>
    <n v="3"/>
    <n v="0"/>
    <n v="3"/>
    <n v="7"/>
    <n v="0"/>
    <n v="0"/>
    <n v="0"/>
    <n v="0"/>
    <n v="0"/>
    <x v="0"/>
    <n v="0"/>
    <n v="3"/>
    <n v="11"/>
    <n v="0"/>
    <n v="44"/>
    <n v="2406"/>
    <n v="6.5917808219178085"/>
    <n v="0"/>
    <n v="0"/>
    <n v="0"/>
    <n v="1"/>
    <n v="0"/>
    <n v="1"/>
    <n v="0"/>
    <n v="0"/>
    <n v="0"/>
    <n v="0"/>
    <n v="66"/>
    <n v="54"/>
    <n v="12"/>
    <n v="0"/>
    <x v="0"/>
    <x v="0"/>
    <x v="2"/>
    <x v="1"/>
    <x v="3"/>
    <x v="0"/>
    <n v="1"/>
    <n v="0"/>
    <n v="14"/>
    <n v="5"/>
    <n v="2"/>
    <n v="2"/>
    <n v="9"/>
    <n v="1"/>
    <x v="3"/>
  </r>
  <r>
    <x v="1218"/>
    <n v="38097"/>
    <n v="1"/>
    <n v="1"/>
    <n v="70"/>
    <n v="77"/>
    <n v="2"/>
    <n v="35"/>
    <n v="0"/>
    <n v="1"/>
    <n v="69"/>
    <n v="4"/>
    <n v="3"/>
    <n v="2"/>
    <n v="2"/>
    <n v="7"/>
    <n v="0"/>
    <n v="0"/>
    <n v="1"/>
    <n v="0"/>
    <n v="0"/>
    <x v="1"/>
    <n v="0"/>
    <n v="3"/>
    <n v="11"/>
    <n v="1"/>
    <n v="50"/>
    <n v="2781"/>
    <n v="7.6191780821917812"/>
    <n v="0"/>
    <n v="1"/>
    <n v="0"/>
    <n v="0"/>
    <n v="0"/>
    <n v="0"/>
    <n v="0"/>
    <n v="0"/>
    <n v="0"/>
    <n v="1"/>
    <n v="115"/>
    <n v="46"/>
    <n v="69"/>
    <n v="1"/>
    <x v="0"/>
    <x v="0"/>
    <x v="0"/>
    <x v="1"/>
    <x v="3"/>
    <x v="0"/>
    <n v="1"/>
    <n v="0"/>
    <n v="18"/>
    <n v="3.0000000000000004"/>
    <n v="4"/>
    <n v="3"/>
    <n v="10"/>
    <n v="2"/>
    <x v="3"/>
  </r>
  <r>
    <x v="1219"/>
    <n v="39684"/>
    <n v="1"/>
    <n v="0"/>
    <n v="41"/>
    <n v="19"/>
    <n v="0"/>
    <n v="35"/>
    <n v="6"/>
    <n v="4"/>
    <n v="17"/>
    <n v="2"/>
    <n v="2"/>
    <n v="1"/>
    <n v="2"/>
    <n v="7"/>
    <n v="0"/>
    <n v="0"/>
    <n v="0"/>
    <n v="0"/>
    <n v="0"/>
    <x v="0"/>
    <n v="1"/>
    <n v="3"/>
    <n v="11"/>
    <n v="1"/>
    <n v="36"/>
    <n v="2784"/>
    <n v="7.6273972602739724"/>
    <n v="0"/>
    <n v="0"/>
    <n v="1"/>
    <n v="0"/>
    <n v="0"/>
    <n v="0"/>
    <n v="0"/>
    <n v="0"/>
    <n v="0"/>
    <n v="1"/>
    <n v="64"/>
    <n v="47"/>
    <n v="17"/>
    <n v="0"/>
    <x v="0"/>
    <x v="0"/>
    <x v="1"/>
    <x v="1"/>
    <x v="3"/>
    <x v="3"/>
    <n v="1"/>
    <n v="0"/>
    <n v="14"/>
    <n v="6"/>
    <n v="2"/>
    <n v="2"/>
    <n v="10"/>
    <n v="2"/>
    <x v="3"/>
  </r>
  <r>
    <x v="1220"/>
    <n v="44213"/>
    <n v="1"/>
    <n v="1"/>
    <n v="48"/>
    <n v="95"/>
    <n v="11"/>
    <n v="35"/>
    <n v="0"/>
    <n v="4"/>
    <n v="7"/>
    <n v="4"/>
    <n v="2"/>
    <n v="1"/>
    <n v="5"/>
    <n v="6"/>
    <n v="0"/>
    <n v="0"/>
    <n v="0"/>
    <n v="0"/>
    <n v="0"/>
    <x v="0"/>
    <n v="0"/>
    <n v="3"/>
    <n v="11"/>
    <n v="0"/>
    <n v="68"/>
    <n v="2371"/>
    <n v="6.4958904109589044"/>
    <n v="0"/>
    <n v="0"/>
    <n v="1"/>
    <n v="0"/>
    <n v="0"/>
    <n v="0"/>
    <n v="0"/>
    <n v="1"/>
    <n v="0"/>
    <n v="0"/>
    <n v="145"/>
    <n v="138"/>
    <n v="7"/>
    <n v="0"/>
    <x v="0"/>
    <x v="0"/>
    <x v="1"/>
    <x v="0"/>
    <x v="3"/>
    <x v="2"/>
    <n v="1"/>
    <n v="0"/>
    <n v="18"/>
    <n v="6"/>
    <n v="4"/>
    <n v="3"/>
    <n v="13"/>
    <n v="3"/>
    <x v="3"/>
  </r>
  <r>
    <x v="1221"/>
    <n v="46524"/>
    <n v="0"/>
    <n v="1"/>
    <n v="70"/>
    <n v="31"/>
    <n v="19"/>
    <n v="35"/>
    <n v="26"/>
    <n v="14"/>
    <n v="52"/>
    <n v="2"/>
    <n v="1"/>
    <n v="1"/>
    <n v="5"/>
    <n v="3"/>
    <n v="0"/>
    <n v="0"/>
    <n v="0"/>
    <n v="0"/>
    <n v="0"/>
    <x v="0"/>
    <n v="0"/>
    <n v="3"/>
    <n v="11"/>
    <n v="0"/>
    <n v="59"/>
    <n v="2609"/>
    <n v="7.1479452054794521"/>
    <n v="0"/>
    <n v="0"/>
    <n v="1"/>
    <n v="0"/>
    <n v="0"/>
    <n v="0"/>
    <n v="0"/>
    <n v="1"/>
    <n v="0"/>
    <n v="0"/>
    <n v="125"/>
    <n v="73"/>
    <n v="52"/>
    <n v="0"/>
    <x v="0"/>
    <x v="0"/>
    <x v="1"/>
    <x v="0"/>
    <x v="3"/>
    <x v="1"/>
    <n v="1"/>
    <n v="0"/>
    <n v="12"/>
    <n v="3.0000000000000004"/>
    <n v="1"/>
    <n v="3"/>
    <n v="7"/>
    <n v="1"/>
    <x v="3"/>
  </r>
  <r>
    <x v="1222"/>
    <n v="51529"/>
    <n v="0"/>
    <n v="1"/>
    <n v="14"/>
    <n v="400"/>
    <n v="4"/>
    <n v="35"/>
    <n v="6"/>
    <n v="0"/>
    <n v="22"/>
    <n v="2"/>
    <n v="9"/>
    <n v="1"/>
    <n v="5"/>
    <n v="8"/>
    <n v="0"/>
    <n v="0"/>
    <n v="0"/>
    <n v="0"/>
    <n v="0"/>
    <x v="0"/>
    <n v="0"/>
    <n v="3"/>
    <n v="11"/>
    <n v="0"/>
    <n v="71"/>
    <n v="2454"/>
    <n v="6.7232876712328764"/>
    <n v="0"/>
    <n v="0"/>
    <n v="0"/>
    <n v="0"/>
    <n v="1"/>
    <n v="0"/>
    <n v="0"/>
    <n v="0"/>
    <n v="1"/>
    <n v="0"/>
    <n v="445"/>
    <n v="423"/>
    <n v="22"/>
    <n v="0"/>
    <x v="0"/>
    <x v="0"/>
    <x v="4"/>
    <x v="1"/>
    <x v="2"/>
    <x v="2"/>
    <n v="0"/>
    <n v="0"/>
    <n v="25"/>
    <n v="9"/>
    <n v="7"/>
    <n v="5"/>
    <n v="21"/>
    <n v="8"/>
    <x v="2"/>
  </r>
  <r>
    <x v="1223"/>
    <n v="56243"/>
    <n v="1"/>
    <n v="2"/>
    <n v="26"/>
    <n v="347"/>
    <n v="0"/>
    <n v="35"/>
    <n v="4"/>
    <n v="3"/>
    <n v="7"/>
    <n v="6"/>
    <n v="4"/>
    <n v="2"/>
    <n v="8"/>
    <n v="5"/>
    <n v="0"/>
    <n v="0"/>
    <n v="0"/>
    <n v="0"/>
    <n v="0"/>
    <x v="0"/>
    <n v="0"/>
    <n v="3"/>
    <n v="11"/>
    <n v="0"/>
    <n v="45"/>
    <n v="2340"/>
    <n v="6.4109589041095889"/>
    <n v="0"/>
    <n v="0"/>
    <n v="1"/>
    <n v="0"/>
    <n v="0"/>
    <n v="0"/>
    <n v="0"/>
    <n v="1"/>
    <n v="0"/>
    <n v="0"/>
    <n v="389"/>
    <n v="382"/>
    <n v="7"/>
    <n v="0"/>
    <x v="0"/>
    <x v="0"/>
    <x v="1"/>
    <x v="0"/>
    <x v="2"/>
    <x v="0"/>
    <n v="0"/>
    <n v="0"/>
    <n v="25"/>
    <n v="8"/>
    <n v="7"/>
    <n v="5"/>
    <n v="20"/>
    <n v="7"/>
    <x v="2"/>
  </r>
  <r>
    <x v="1224"/>
    <n v="66726"/>
    <n v="1"/>
    <n v="1"/>
    <n v="61"/>
    <n v="349"/>
    <n v="7"/>
    <n v="35"/>
    <n v="0"/>
    <n v="0"/>
    <n v="47"/>
    <n v="3"/>
    <n v="8"/>
    <n v="2"/>
    <n v="4"/>
    <n v="7"/>
    <n v="0"/>
    <n v="0"/>
    <n v="0"/>
    <n v="1"/>
    <n v="0"/>
    <x v="1"/>
    <n v="0"/>
    <n v="3"/>
    <n v="11"/>
    <n v="0"/>
    <n v="63"/>
    <n v="2327"/>
    <n v="6.375342465753425"/>
    <n v="0"/>
    <n v="1"/>
    <n v="0"/>
    <n v="0"/>
    <n v="0"/>
    <n v="0"/>
    <n v="0"/>
    <n v="0"/>
    <n v="1"/>
    <n v="0"/>
    <n v="391"/>
    <n v="344"/>
    <n v="47"/>
    <n v="1"/>
    <x v="0"/>
    <x v="0"/>
    <x v="0"/>
    <x v="1"/>
    <x v="2"/>
    <x v="2"/>
    <n v="1"/>
    <n v="0"/>
    <n v="24"/>
    <n v="4"/>
    <n v="6"/>
    <n v="5"/>
    <n v="15"/>
    <n v="4"/>
    <x v="3"/>
  </r>
  <r>
    <x v="1225"/>
    <n v="33762"/>
    <n v="2"/>
    <n v="1"/>
    <n v="61"/>
    <n v="53"/>
    <n v="1"/>
    <n v="34"/>
    <n v="2"/>
    <n v="0"/>
    <n v="16"/>
    <n v="3"/>
    <n v="2"/>
    <n v="2"/>
    <n v="2"/>
    <n v="8"/>
    <n v="0"/>
    <n v="0"/>
    <n v="0"/>
    <n v="0"/>
    <n v="0"/>
    <x v="0"/>
    <n v="0"/>
    <n v="3"/>
    <n v="11"/>
    <n v="0"/>
    <n v="61"/>
    <n v="2516"/>
    <n v="6.8931506849315065"/>
    <n v="0"/>
    <n v="1"/>
    <n v="0"/>
    <n v="0"/>
    <n v="0"/>
    <n v="0"/>
    <n v="0"/>
    <n v="0"/>
    <n v="0"/>
    <n v="1"/>
    <n v="90"/>
    <n v="74"/>
    <n v="16"/>
    <n v="0"/>
    <x v="0"/>
    <x v="0"/>
    <x v="0"/>
    <x v="1"/>
    <x v="0"/>
    <x v="2"/>
    <n v="1"/>
    <n v="0"/>
    <n v="17"/>
    <n v="4"/>
    <n v="3"/>
    <n v="3"/>
    <n v="10"/>
    <n v="2"/>
    <x v="3"/>
  </r>
  <r>
    <x v="1226"/>
    <n v="36065"/>
    <n v="1"/>
    <n v="1"/>
    <n v="54"/>
    <n v="18"/>
    <n v="7"/>
    <n v="34"/>
    <n v="10"/>
    <n v="2"/>
    <n v="3"/>
    <n v="3"/>
    <n v="3"/>
    <n v="0"/>
    <n v="3"/>
    <n v="8"/>
    <n v="0"/>
    <n v="0"/>
    <n v="0"/>
    <n v="0"/>
    <n v="0"/>
    <x v="0"/>
    <n v="0"/>
    <n v="3"/>
    <n v="11"/>
    <n v="0"/>
    <n v="52"/>
    <n v="2614"/>
    <n v="7.161643835616438"/>
    <n v="0"/>
    <n v="0"/>
    <n v="1"/>
    <n v="0"/>
    <n v="0"/>
    <n v="0"/>
    <n v="0"/>
    <n v="1"/>
    <n v="0"/>
    <n v="0"/>
    <n v="71"/>
    <n v="68"/>
    <n v="3"/>
    <n v="0"/>
    <x v="0"/>
    <x v="0"/>
    <x v="1"/>
    <x v="0"/>
    <x v="3"/>
    <x v="1"/>
    <n v="1"/>
    <n v="0"/>
    <n v="17"/>
    <n v="5"/>
    <n v="3"/>
    <n v="3"/>
    <n v="11"/>
    <n v="2"/>
    <x v="3"/>
  </r>
  <r>
    <x v="1227"/>
    <n v="36778"/>
    <n v="1"/>
    <n v="1"/>
    <n v="63"/>
    <n v="29"/>
    <n v="4"/>
    <n v="34"/>
    <n v="2"/>
    <n v="4"/>
    <n v="4"/>
    <n v="3"/>
    <n v="3"/>
    <n v="0"/>
    <n v="3"/>
    <n v="9"/>
    <n v="0"/>
    <n v="0"/>
    <n v="0"/>
    <n v="0"/>
    <n v="0"/>
    <x v="0"/>
    <n v="0"/>
    <n v="3"/>
    <n v="11"/>
    <n v="0"/>
    <n v="52"/>
    <n v="2852"/>
    <n v="7.8136986301369866"/>
    <n v="0"/>
    <n v="1"/>
    <n v="0"/>
    <n v="0"/>
    <n v="0"/>
    <n v="0"/>
    <n v="0"/>
    <n v="0"/>
    <n v="0"/>
    <n v="1"/>
    <n v="73"/>
    <n v="69"/>
    <n v="4"/>
    <n v="0"/>
    <x v="0"/>
    <x v="0"/>
    <x v="0"/>
    <x v="1"/>
    <x v="3"/>
    <x v="1"/>
    <n v="1"/>
    <n v="0"/>
    <n v="18"/>
    <n v="4"/>
    <n v="4"/>
    <n v="3"/>
    <n v="11"/>
    <n v="2"/>
    <x v="3"/>
  </r>
  <r>
    <x v="1228"/>
    <n v="54342"/>
    <n v="1"/>
    <n v="1"/>
    <n v="74"/>
    <n v="84"/>
    <n v="10"/>
    <n v="34"/>
    <n v="11"/>
    <n v="10"/>
    <n v="28"/>
    <n v="4"/>
    <n v="3"/>
    <n v="1"/>
    <n v="4"/>
    <n v="6"/>
    <n v="0"/>
    <n v="0"/>
    <n v="0"/>
    <n v="0"/>
    <n v="0"/>
    <x v="0"/>
    <n v="0"/>
    <n v="3"/>
    <n v="11"/>
    <n v="0"/>
    <n v="64"/>
    <n v="2520"/>
    <n v="6.904109589041096"/>
    <n v="0"/>
    <n v="0"/>
    <n v="0"/>
    <n v="1"/>
    <n v="0"/>
    <n v="1"/>
    <n v="0"/>
    <n v="0"/>
    <n v="0"/>
    <n v="0"/>
    <n v="149"/>
    <n v="121"/>
    <n v="28"/>
    <n v="0"/>
    <x v="0"/>
    <x v="0"/>
    <x v="2"/>
    <x v="1"/>
    <x v="2"/>
    <x v="2"/>
    <n v="1"/>
    <n v="0"/>
    <n v="18"/>
    <n v="3.0000000000000004"/>
    <n v="4"/>
    <n v="3"/>
    <n v="10"/>
    <n v="2"/>
    <x v="3"/>
  </r>
  <r>
    <x v="1229"/>
    <n v="62307"/>
    <n v="0"/>
    <n v="1"/>
    <n v="94"/>
    <n v="87"/>
    <n v="13"/>
    <n v="34"/>
    <n v="10"/>
    <n v="6"/>
    <n v="10"/>
    <n v="1"/>
    <n v="4"/>
    <n v="0"/>
    <n v="4"/>
    <n v="5"/>
    <n v="0"/>
    <n v="0"/>
    <n v="0"/>
    <n v="0"/>
    <n v="0"/>
    <x v="0"/>
    <n v="0"/>
    <n v="3"/>
    <n v="11"/>
    <n v="0"/>
    <n v="68"/>
    <n v="2291"/>
    <n v="6.2767123287671236"/>
    <n v="0"/>
    <n v="0"/>
    <n v="1"/>
    <n v="0"/>
    <n v="0"/>
    <n v="0"/>
    <n v="0"/>
    <n v="1"/>
    <n v="0"/>
    <n v="0"/>
    <n v="150"/>
    <n v="140"/>
    <n v="10"/>
    <n v="0"/>
    <x v="0"/>
    <x v="0"/>
    <x v="1"/>
    <x v="0"/>
    <x v="2"/>
    <x v="2"/>
    <n v="1"/>
    <n v="1"/>
    <n v="14"/>
    <n v="0.99999999999999978"/>
    <n v="2"/>
    <n v="3"/>
    <n v="6"/>
    <n v="0"/>
    <x v="4"/>
  </r>
  <r>
    <x v="1230"/>
    <n v="69142"/>
    <n v="0"/>
    <n v="1"/>
    <n v="50"/>
    <n v="448"/>
    <n v="4"/>
    <n v="34"/>
    <n v="6"/>
    <n v="4"/>
    <n v="39"/>
    <n v="3"/>
    <n v="8"/>
    <n v="1"/>
    <n v="7"/>
    <n v="5"/>
    <n v="0"/>
    <n v="0"/>
    <n v="0"/>
    <n v="1"/>
    <n v="0"/>
    <x v="1"/>
    <n v="0"/>
    <n v="3"/>
    <n v="11"/>
    <n v="0"/>
    <n v="68"/>
    <n v="2159"/>
    <n v="5.9150684931506845"/>
    <n v="1"/>
    <n v="0"/>
    <n v="0"/>
    <n v="0"/>
    <n v="0"/>
    <n v="0"/>
    <n v="0"/>
    <n v="1"/>
    <n v="0"/>
    <n v="0"/>
    <n v="496"/>
    <n v="457"/>
    <n v="39"/>
    <n v="1"/>
    <x v="0"/>
    <x v="0"/>
    <x v="3"/>
    <x v="0"/>
    <x v="2"/>
    <x v="2"/>
    <n v="1"/>
    <n v="0"/>
    <n v="24"/>
    <n v="5"/>
    <n v="6"/>
    <n v="5"/>
    <n v="16"/>
    <n v="5"/>
    <x v="1"/>
  </r>
  <r>
    <x v="1231"/>
    <n v="7144"/>
    <n v="0"/>
    <n v="2"/>
    <n v="92"/>
    <n v="81"/>
    <n v="4"/>
    <n v="33"/>
    <n v="5"/>
    <n v="2"/>
    <n v="291"/>
    <n v="0"/>
    <n v="23"/>
    <n v="1"/>
    <n v="1"/>
    <n v="0"/>
    <n v="0"/>
    <n v="0"/>
    <n v="0"/>
    <n v="0"/>
    <n v="0"/>
    <x v="0"/>
    <n v="0"/>
    <n v="3"/>
    <n v="11"/>
    <n v="0"/>
    <n v="54"/>
    <n v="2363"/>
    <n v="6.4739726027397264"/>
    <n v="0"/>
    <n v="0"/>
    <n v="1"/>
    <n v="0"/>
    <n v="0"/>
    <n v="0"/>
    <n v="0"/>
    <n v="0"/>
    <n v="0"/>
    <n v="1"/>
    <n v="125"/>
    <n v="-166"/>
    <n v="291"/>
    <n v="0"/>
    <x v="0"/>
    <x v="0"/>
    <x v="1"/>
    <x v="1"/>
    <x v="0"/>
    <x v="1"/>
    <n v="1"/>
    <n v="1"/>
    <n v="25"/>
    <n v="0.99999999999999978"/>
    <n v="7"/>
    <n v="3"/>
    <n v="11"/>
    <n v="2"/>
    <x v="3"/>
  </r>
  <r>
    <x v="1232"/>
    <n v="33585"/>
    <n v="0"/>
    <n v="1"/>
    <n v="91"/>
    <n v="30"/>
    <n v="11"/>
    <n v="33"/>
    <n v="13"/>
    <n v="6"/>
    <n v="29"/>
    <n v="1"/>
    <n v="2"/>
    <n v="0"/>
    <n v="4"/>
    <n v="4"/>
    <n v="0"/>
    <n v="0"/>
    <n v="0"/>
    <n v="0"/>
    <n v="0"/>
    <x v="0"/>
    <n v="0"/>
    <n v="3"/>
    <n v="11"/>
    <n v="0"/>
    <n v="54"/>
    <n v="2436"/>
    <n v="6.6739726027397257"/>
    <n v="0"/>
    <n v="1"/>
    <n v="0"/>
    <n v="0"/>
    <n v="0"/>
    <n v="0"/>
    <n v="0"/>
    <n v="0"/>
    <n v="1"/>
    <n v="0"/>
    <n v="93"/>
    <n v="64"/>
    <n v="29"/>
    <n v="0"/>
    <x v="0"/>
    <x v="0"/>
    <x v="0"/>
    <x v="1"/>
    <x v="0"/>
    <x v="1"/>
    <n v="1"/>
    <n v="1"/>
    <n v="11"/>
    <n v="0.99999999999999978"/>
    <n v="0"/>
    <n v="3"/>
    <n v="4"/>
    <n v="0"/>
    <x v="4"/>
  </r>
  <r>
    <x v="1233"/>
    <n v="34487"/>
    <n v="1"/>
    <n v="1"/>
    <n v="94"/>
    <n v="19"/>
    <n v="18"/>
    <n v="33"/>
    <n v="24"/>
    <n v="1"/>
    <n v="8"/>
    <n v="3"/>
    <n v="3"/>
    <n v="0"/>
    <n v="3"/>
    <n v="9"/>
    <n v="0"/>
    <n v="0"/>
    <n v="0"/>
    <n v="0"/>
    <n v="0"/>
    <x v="0"/>
    <n v="0"/>
    <n v="3"/>
    <n v="11"/>
    <n v="0"/>
    <n v="43"/>
    <n v="2820"/>
    <n v="7.7260273972602738"/>
    <n v="1"/>
    <n v="0"/>
    <n v="0"/>
    <n v="0"/>
    <n v="0"/>
    <n v="0"/>
    <n v="0"/>
    <n v="0"/>
    <n v="0"/>
    <n v="1"/>
    <n v="95"/>
    <n v="87"/>
    <n v="8"/>
    <n v="0"/>
    <x v="0"/>
    <x v="0"/>
    <x v="3"/>
    <x v="1"/>
    <x v="0"/>
    <x v="0"/>
    <n v="1"/>
    <n v="1"/>
    <n v="18"/>
    <n v="0.99999999999999978"/>
    <n v="4"/>
    <n v="3"/>
    <n v="8"/>
    <n v="1"/>
    <x v="3"/>
  </r>
  <r>
    <x v="1234"/>
    <n v="39146"/>
    <n v="1"/>
    <n v="0"/>
    <n v="1"/>
    <n v="94"/>
    <n v="1"/>
    <n v="33"/>
    <n v="13"/>
    <n v="12"/>
    <n v="12"/>
    <n v="3"/>
    <n v="4"/>
    <n v="0"/>
    <n v="4"/>
    <n v="8"/>
    <n v="0"/>
    <n v="0"/>
    <n v="0"/>
    <n v="0"/>
    <n v="0"/>
    <x v="0"/>
    <n v="0"/>
    <n v="3"/>
    <n v="11"/>
    <n v="0"/>
    <n v="34"/>
    <n v="2659"/>
    <n v="7.2849315068493148"/>
    <n v="0"/>
    <n v="0"/>
    <n v="1"/>
    <n v="0"/>
    <n v="0"/>
    <n v="0"/>
    <n v="0"/>
    <n v="1"/>
    <n v="0"/>
    <n v="0"/>
    <n v="153"/>
    <n v="141"/>
    <n v="12"/>
    <n v="0"/>
    <x v="0"/>
    <x v="0"/>
    <x v="1"/>
    <x v="0"/>
    <x v="3"/>
    <x v="3"/>
    <n v="0"/>
    <n v="0"/>
    <n v="19"/>
    <n v="10"/>
    <n v="4"/>
    <n v="3"/>
    <n v="17"/>
    <n v="6"/>
    <x v="1"/>
  </r>
  <r>
    <x v="1235"/>
    <n v="41551"/>
    <n v="1"/>
    <n v="1"/>
    <n v="51"/>
    <n v="220"/>
    <n v="0"/>
    <n v="33"/>
    <n v="3"/>
    <n v="0"/>
    <n v="23"/>
    <n v="5"/>
    <n v="5"/>
    <n v="1"/>
    <n v="5"/>
    <n v="8"/>
    <n v="0"/>
    <n v="0"/>
    <n v="0"/>
    <n v="0"/>
    <n v="0"/>
    <x v="0"/>
    <n v="0"/>
    <n v="3"/>
    <n v="11"/>
    <n v="0"/>
    <n v="56"/>
    <n v="2478"/>
    <n v="6.7890410958904113"/>
    <n v="0"/>
    <n v="1"/>
    <n v="0"/>
    <n v="0"/>
    <n v="0"/>
    <n v="0"/>
    <n v="0"/>
    <n v="0"/>
    <n v="0"/>
    <n v="1"/>
    <n v="256"/>
    <n v="233"/>
    <n v="23"/>
    <n v="0"/>
    <x v="0"/>
    <x v="0"/>
    <x v="0"/>
    <x v="1"/>
    <x v="3"/>
    <x v="1"/>
    <n v="1"/>
    <n v="0"/>
    <n v="24"/>
    <n v="5"/>
    <n v="6"/>
    <n v="4"/>
    <n v="15"/>
    <n v="4"/>
    <x v="3"/>
  </r>
  <r>
    <x v="1236"/>
    <n v="44551"/>
    <n v="0"/>
    <n v="1"/>
    <n v="24"/>
    <n v="182"/>
    <n v="4"/>
    <n v="33"/>
    <n v="0"/>
    <n v="0"/>
    <n v="66"/>
    <n v="2"/>
    <n v="4"/>
    <n v="1"/>
    <n v="5"/>
    <n v="7"/>
    <n v="0"/>
    <n v="0"/>
    <n v="0"/>
    <n v="0"/>
    <n v="0"/>
    <x v="0"/>
    <n v="0"/>
    <n v="3"/>
    <n v="11"/>
    <n v="0"/>
    <n v="66"/>
    <n v="2461"/>
    <n v="6.7424657534246579"/>
    <n v="0"/>
    <n v="0"/>
    <n v="0"/>
    <n v="0"/>
    <n v="1"/>
    <n v="0"/>
    <n v="0"/>
    <n v="0"/>
    <n v="1"/>
    <n v="0"/>
    <n v="219"/>
    <n v="153"/>
    <n v="66"/>
    <n v="0"/>
    <x v="0"/>
    <x v="0"/>
    <x v="4"/>
    <x v="1"/>
    <x v="3"/>
    <x v="2"/>
    <n v="0"/>
    <n v="0"/>
    <n v="19"/>
    <n v="8"/>
    <n v="4"/>
    <n v="4"/>
    <n v="16"/>
    <n v="5"/>
    <x v="1"/>
  </r>
  <r>
    <x v="1237"/>
    <n v="45579"/>
    <n v="0"/>
    <n v="1"/>
    <n v="10"/>
    <n v="145"/>
    <n v="1"/>
    <n v="33"/>
    <n v="2"/>
    <n v="1"/>
    <n v="1"/>
    <n v="1"/>
    <n v="4"/>
    <n v="1"/>
    <n v="4"/>
    <n v="6"/>
    <n v="0"/>
    <n v="0"/>
    <n v="0"/>
    <n v="0"/>
    <n v="0"/>
    <x v="0"/>
    <n v="0"/>
    <n v="3"/>
    <n v="11"/>
    <n v="0"/>
    <n v="72"/>
    <n v="2472"/>
    <n v="6.7726027397260271"/>
    <n v="0"/>
    <n v="1"/>
    <n v="0"/>
    <n v="0"/>
    <n v="0"/>
    <n v="0"/>
    <n v="0"/>
    <n v="0"/>
    <n v="0"/>
    <n v="1"/>
    <n v="182"/>
    <n v="181"/>
    <n v="1"/>
    <n v="0"/>
    <x v="0"/>
    <x v="0"/>
    <x v="0"/>
    <x v="1"/>
    <x v="3"/>
    <x v="2"/>
    <n v="0"/>
    <n v="0"/>
    <n v="16"/>
    <n v="9"/>
    <n v="3"/>
    <n v="4"/>
    <n v="16"/>
    <n v="5"/>
    <x v="1"/>
  </r>
  <r>
    <x v="1238"/>
    <n v="52332"/>
    <n v="0"/>
    <n v="0"/>
    <n v="63"/>
    <n v="212"/>
    <n v="5"/>
    <n v="33"/>
    <n v="7"/>
    <n v="0"/>
    <n v="2"/>
    <n v="1"/>
    <n v="3"/>
    <n v="2"/>
    <n v="6"/>
    <n v="4"/>
    <n v="0"/>
    <n v="0"/>
    <n v="0"/>
    <n v="1"/>
    <n v="0"/>
    <x v="1"/>
    <n v="0"/>
    <n v="3"/>
    <n v="11"/>
    <n v="0"/>
    <n v="61"/>
    <n v="2464"/>
    <n v="6.7506849315068491"/>
    <n v="1"/>
    <n v="0"/>
    <n v="0"/>
    <n v="0"/>
    <n v="0"/>
    <n v="0"/>
    <n v="0"/>
    <n v="1"/>
    <n v="0"/>
    <n v="0"/>
    <n v="257"/>
    <n v="255"/>
    <n v="2"/>
    <n v="1"/>
    <x v="1"/>
    <x v="1"/>
    <x v="3"/>
    <x v="0"/>
    <x v="2"/>
    <x v="2"/>
    <n v="1"/>
    <n v="0"/>
    <n v="16"/>
    <n v="4"/>
    <n v="3"/>
    <n v="4"/>
    <n v="11"/>
    <n v="2"/>
    <x v="3"/>
  </r>
  <r>
    <x v="1239"/>
    <n v="53083"/>
    <n v="1"/>
    <n v="1"/>
    <n v="65"/>
    <n v="215"/>
    <n v="7"/>
    <n v="33"/>
    <n v="3"/>
    <n v="0"/>
    <n v="13"/>
    <n v="6"/>
    <n v="5"/>
    <n v="1"/>
    <n v="5"/>
    <n v="7"/>
    <n v="0"/>
    <n v="0"/>
    <n v="0"/>
    <n v="1"/>
    <n v="0"/>
    <x v="1"/>
    <n v="0"/>
    <n v="3"/>
    <n v="11"/>
    <n v="0"/>
    <n v="62"/>
    <n v="2569"/>
    <n v="7.0383561643835613"/>
    <n v="0"/>
    <n v="0"/>
    <n v="0"/>
    <n v="1"/>
    <n v="0"/>
    <n v="1"/>
    <n v="0"/>
    <n v="0"/>
    <n v="0"/>
    <n v="0"/>
    <n v="258"/>
    <n v="245"/>
    <n v="13"/>
    <n v="1"/>
    <x v="0"/>
    <x v="0"/>
    <x v="2"/>
    <x v="1"/>
    <x v="2"/>
    <x v="2"/>
    <n v="1"/>
    <n v="0"/>
    <n v="24"/>
    <n v="4"/>
    <n v="6"/>
    <n v="4"/>
    <n v="14"/>
    <n v="4"/>
    <x v="3"/>
  </r>
  <r>
    <x v="1240"/>
    <n v="57113"/>
    <n v="1"/>
    <n v="1"/>
    <n v="45"/>
    <n v="182"/>
    <n v="4"/>
    <n v="33"/>
    <n v="0"/>
    <n v="2"/>
    <n v="42"/>
    <n v="6"/>
    <n v="4"/>
    <n v="1"/>
    <n v="5"/>
    <n v="7"/>
    <n v="0"/>
    <n v="0"/>
    <n v="0"/>
    <n v="0"/>
    <n v="0"/>
    <x v="0"/>
    <n v="0"/>
    <n v="3"/>
    <n v="11"/>
    <n v="0"/>
    <n v="42"/>
    <n v="2667"/>
    <n v="7.3068493150684928"/>
    <n v="0"/>
    <n v="1"/>
    <n v="0"/>
    <n v="0"/>
    <n v="0"/>
    <n v="0"/>
    <n v="0"/>
    <n v="1"/>
    <n v="0"/>
    <n v="0"/>
    <n v="221"/>
    <n v="179"/>
    <n v="42"/>
    <n v="0"/>
    <x v="0"/>
    <x v="0"/>
    <x v="0"/>
    <x v="0"/>
    <x v="2"/>
    <x v="0"/>
    <n v="1"/>
    <n v="0"/>
    <n v="23"/>
    <n v="6"/>
    <n v="6"/>
    <n v="4"/>
    <n v="16"/>
    <n v="5"/>
    <x v="1"/>
  </r>
  <r>
    <x v="1241"/>
    <n v="43482"/>
    <n v="2"/>
    <n v="1"/>
    <n v="83"/>
    <n v="18"/>
    <n v="1"/>
    <n v="32"/>
    <n v="6"/>
    <n v="3"/>
    <n v="28"/>
    <n v="3"/>
    <n v="2"/>
    <n v="0"/>
    <n v="4"/>
    <n v="6"/>
    <n v="0"/>
    <n v="0"/>
    <n v="0"/>
    <n v="0"/>
    <n v="0"/>
    <x v="0"/>
    <n v="0"/>
    <n v="3"/>
    <n v="11"/>
    <n v="0"/>
    <n v="54"/>
    <n v="2387"/>
    <n v="6.5397260273972604"/>
    <n v="0"/>
    <n v="0"/>
    <n v="0"/>
    <n v="1"/>
    <n v="0"/>
    <n v="0"/>
    <n v="0"/>
    <n v="1"/>
    <n v="0"/>
    <n v="0"/>
    <n v="60"/>
    <n v="32"/>
    <n v="28"/>
    <n v="0"/>
    <x v="0"/>
    <x v="0"/>
    <x v="2"/>
    <x v="0"/>
    <x v="3"/>
    <x v="1"/>
    <n v="1"/>
    <n v="0"/>
    <n v="15"/>
    <n v="1.9999999999999996"/>
    <n v="2"/>
    <n v="2"/>
    <n v="6"/>
    <n v="0"/>
    <x v="4"/>
  </r>
  <r>
    <x v="1242"/>
    <n v="46086"/>
    <n v="0"/>
    <n v="1"/>
    <n v="34"/>
    <n v="244"/>
    <n v="8"/>
    <n v="32"/>
    <n v="7"/>
    <n v="2"/>
    <n v="50"/>
    <n v="4"/>
    <n v="3"/>
    <n v="1"/>
    <n v="8"/>
    <n v="4"/>
    <n v="0"/>
    <n v="0"/>
    <n v="0"/>
    <n v="0"/>
    <n v="0"/>
    <x v="0"/>
    <n v="0"/>
    <n v="3"/>
    <n v="11"/>
    <n v="0"/>
    <n v="64"/>
    <n v="2397"/>
    <n v="6.5671232876712331"/>
    <n v="1"/>
    <n v="0"/>
    <n v="0"/>
    <n v="0"/>
    <n v="0"/>
    <n v="0"/>
    <n v="0"/>
    <n v="1"/>
    <n v="0"/>
    <n v="0"/>
    <n v="293"/>
    <n v="243"/>
    <n v="50"/>
    <n v="0"/>
    <x v="0"/>
    <x v="0"/>
    <x v="3"/>
    <x v="0"/>
    <x v="3"/>
    <x v="2"/>
    <n v="1"/>
    <n v="0"/>
    <n v="20"/>
    <n v="7"/>
    <n v="4"/>
    <n v="4"/>
    <n v="15"/>
    <n v="4"/>
    <x v="3"/>
  </r>
  <r>
    <x v="1243"/>
    <n v="49096"/>
    <n v="1"/>
    <n v="1"/>
    <n v="15"/>
    <n v="144"/>
    <n v="1"/>
    <n v="32"/>
    <n v="2"/>
    <n v="1"/>
    <n v="7"/>
    <n v="4"/>
    <n v="4"/>
    <n v="1"/>
    <n v="4"/>
    <n v="7"/>
    <n v="0"/>
    <n v="0"/>
    <n v="0"/>
    <n v="0"/>
    <n v="0"/>
    <x v="0"/>
    <n v="0"/>
    <n v="3"/>
    <n v="11"/>
    <n v="0"/>
    <n v="56"/>
    <n v="2437"/>
    <n v="6.6767123287671231"/>
    <n v="0"/>
    <n v="1"/>
    <n v="0"/>
    <n v="0"/>
    <n v="0"/>
    <n v="0"/>
    <n v="0"/>
    <n v="1"/>
    <n v="0"/>
    <n v="0"/>
    <n v="180"/>
    <n v="173"/>
    <n v="7"/>
    <n v="0"/>
    <x v="0"/>
    <x v="0"/>
    <x v="0"/>
    <x v="0"/>
    <x v="3"/>
    <x v="1"/>
    <n v="0"/>
    <n v="0"/>
    <n v="20"/>
    <n v="9"/>
    <n v="4"/>
    <n v="3"/>
    <n v="16"/>
    <n v="5"/>
    <x v="1"/>
  </r>
  <r>
    <x v="1244"/>
    <n v="56551"/>
    <n v="1"/>
    <n v="1"/>
    <n v="48"/>
    <n v="67"/>
    <n v="4"/>
    <n v="32"/>
    <n v="17"/>
    <n v="2"/>
    <n v="16"/>
    <n v="3"/>
    <n v="2"/>
    <n v="1"/>
    <n v="4"/>
    <n v="4"/>
    <n v="0"/>
    <n v="0"/>
    <n v="0"/>
    <n v="0"/>
    <n v="0"/>
    <x v="0"/>
    <n v="0"/>
    <n v="3"/>
    <n v="11"/>
    <n v="0"/>
    <n v="70"/>
    <n v="2212"/>
    <n v="6.0602739726027401"/>
    <n v="0"/>
    <n v="0"/>
    <n v="0"/>
    <n v="0"/>
    <n v="1"/>
    <n v="0"/>
    <n v="0"/>
    <n v="0"/>
    <n v="0"/>
    <n v="1"/>
    <n v="122"/>
    <n v="106"/>
    <n v="16"/>
    <n v="0"/>
    <x v="0"/>
    <x v="0"/>
    <x v="4"/>
    <x v="1"/>
    <x v="2"/>
    <x v="2"/>
    <n v="1"/>
    <n v="0"/>
    <n v="14"/>
    <n v="6"/>
    <n v="2"/>
    <n v="3"/>
    <n v="11"/>
    <n v="2"/>
    <x v="3"/>
  </r>
  <r>
    <x v="1245"/>
    <n v="57247"/>
    <n v="0"/>
    <n v="1"/>
    <n v="50"/>
    <n v="99"/>
    <n v="4"/>
    <n v="32"/>
    <n v="37"/>
    <n v="54"/>
    <n v="6"/>
    <n v="2"/>
    <n v="2"/>
    <n v="1"/>
    <n v="7"/>
    <n v="2"/>
    <n v="0"/>
    <n v="0"/>
    <n v="0"/>
    <n v="0"/>
    <n v="0"/>
    <x v="0"/>
    <n v="0"/>
    <n v="3"/>
    <n v="11"/>
    <n v="0"/>
    <n v="68"/>
    <n v="2484"/>
    <n v="6.8054794520547945"/>
    <n v="0"/>
    <n v="0"/>
    <n v="0"/>
    <n v="1"/>
    <n v="0"/>
    <n v="1"/>
    <n v="0"/>
    <n v="0"/>
    <n v="0"/>
    <n v="0"/>
    <n v="226"/>
    <n v="220"/>
    <n v="6"/>
    <n v="0"/>
    <x v="0"/>
    <x v="0"/>
    <x v="2"/>
    <x v="1"/>
    <x v="2"/>
    <x v="2"/>
    <n v="1"/>
    <n v="0"/>
    <n v="14"/>
    <n v="5"/>
    <n v="2"/>
    <n v="4"/>
    <n v="11"/>
    <n v="2"/>
    <x v="3"/>
  </r>
  <r>
    <x v="1246"/>
    <n v="69263"/>
    <n v="0"/>
    <n v="1"/>
    <n v="14"/>
    <n v="492"/>
    <n v="5"/>
    <n v="32"/>
    <n v="13"/>
    <n v="5"/>
    <n v="21"/>
    <n v="1"/>
    <n v="9"/>
    <n v="1"/>
    <n v="7"/>
    <n v="6"/>
    <n v="0"/>
    <n v="0"/>
    <n v="0"/>
    <n v="1"/>
    <n v="0"/>
    <x v="1"/>
    <n v="0"/>
    <n v="3"/>
    <n v="11"/>
    <n v="0"/>
    <n v="55"/>
    <n v="2275"/>
    <n v="6.2328767123287667"/>
    <n v="0"/>
    <n v="0"/>
    <n v="1"/>
    <n v="0"/>
    <n v="0"/>
    <n v="0"/>
    <n v="0"/>
    <n v="1"/>
    <n v="0"/>
    <n v="0"/>
    <n v="547"/>
    <n v="526"/>
    <n v="21"/>
    <n v="1"/>
    <x v="0"/>
    <x v="0"/>
    <x v="1"/>
    <x v="0"/>
    <x v="2"/>
    <x v="1"/>
    <n v="0"/>
    <n v="0"/>
    <n v="24"/>
    <n v="9"/>
    <n v="6"/>
    <n v="5"/>
    <n v="20"/>
    <n v="7"/>
    <x v="2"/>
  </r>
  <r>
    <x v="1247"/>
    <n v="16653"/>
    <n v="1"/>
    <n v="0"/>
    <n v="10"/>
    <n v="5"/>
    <n v="7"/>
    <n v="31"/>
    <n v="15"/>
    <n v="4"/>
    <n v="7"/>
    <n v="3"/>
    <n v="2"/>
    <n v="1"/>
    <n v="3"/>
    <n v="6"/>
    <n v="0"/>
    <n v="0"/>
    <n v="0"/>
    <n v="0"/>
    <n v="0"/>
    <x v="0"/>
    <n v="0"/>
    <n v="3"/>
    <n v="11"/>
    <n v="1"/>
    <n v="41"/>
    <n v="2231"/>
    <n v="6.1123287671232873"/>
    <n v="0"/>
    <n v="0"/>
    <n v="1"/>
    <n v="0"/>
    <n v="0"/>
    <n v="0"/>
    <n v="0"/>
    <n v="0"/>
    <n v="1"/>
    <n v="0"/>
    <n v="62"/>
    <n v="55"/>
    <n v="7"/>
    <n v="0"/>
    <x v="0"/>
    <x v="0"/>
    <x v="1"/>
    <x v="1"/>
    <x v="0"/>
    <x v="0"/>
    <n v="0"/>
    <n v="0"/>
    <n v="15"/>
    <n v="9"/>
    <n v="2"/>
    <n v="2"/>
    <n v="13"/>
    <n v="3"/>
    <x v="3"/>
  </r>
  <r>
    <x v="1248"/>
    <n v="31089"/>
    <n v="1"/>
    <n v="0"/>
    <n v="57"/>
    <n v="31"/>
    <n v="3"/>
    <n v="31"/>
    <n v="2"/>
    <n v="8"/>
    <n v="4"/>
    <n v="3"/>
    <n v="3"/>
    <n v="0"/>
    <n v="4"/>
    <n v="8"/>
    <n v="0"/>
    <n v="0"/>
    <n v="0"/>
    <n v="0"/>
    <n v="0"/>
    <x v="0"/>
    <n v="0"/>
    <n v="3"/>
    <n v="11"/>
    <n v="0"/>
    <n v="39"/>
    <n v="2840"/>
    <n v="7.7808219178082192"/>
    <n v="0"/>
    <n v="0"/>
    <n v="0"/>
    <n v="1"/>
    <n v="0"/>
    <n v="0"/>
    <n v="0"/>
    <n v="1"/>
    <n v="0"/>
    <n v="0"/>
    <n v="75"/>
    <n v="71"/>
    <n v="4"/>
    <n v="0"/>
    <x v="0"/>
    <x v="0"/>
    <x v="2"/>
    <x v="0"/>
    <x v="0"/>
    <x v="3"/>
    <n v="1"/>
    <n v="0"/>
    <n v="18"/>
    <n v="5"/>
    <n v="4"/>
    <n v="3"/>
    <n v="12"/>
    <n v="3"/>
    <x v="3"/>
  </r>
  <r>
    <x v="1249"/>
    <n v="33228"/>
    <n v="1"/>
    <n v="0"/>
    <n v="28"/>
    <n v="22"/>
    <n v="2"/>
    <n v="31"/>
    <n v="7"/>
    <n v="4"/>
    <n v="5"/>
    <n v="1"/>
    <n v="2"/>
    <n v="0"/>
    <n v="3"/>
    <n v="7"/>
    <n v="0"/>
    <n v="0"/>
    <n v="0"/>
    <n v="0"/>
    <n v="0"/>
    <x v="0"/>
    <n v="0"/>
    <n v="3"/>
    <n v="11"/>
    <n v="0"/>
    <n v="40"/>
    <n v="2316"/>
    <n v="6.3452054794520549"/>
    <n v="0"/>
    <n v="1"/>
    <n v="0"/>
    <n v="0"/>
    <n v="0"/>
    <n v="0"/>
    <n v="0"/>
    <n v="1"/>
    <n v="0"/>
    <n v="0"/>
    <n v="66"/>
    <n v="61"/>
    <n v="5"/>
    <n v="0"/>
    <x v="0"/>
    <x v="0"/>
    <x v="0"/>
    <x v="0"/>
    <x v="0"/>
    <x v="3"/>
    <n v="0"/>
    <n v="0"/>
    <n v="13"/>
    <n v="8"/>
    <n v="1"/>
    <n v="2"/>
    <n v="11"/>
    <n v="2"/>
    <x v="3"/>
  </r>
  <r>
    <x v="1250"/>
    <n v="33316"/>
    <n v="1"/>
    <n v="1"/>
    <n v="34"/>
    <n v="79"/>
    <n v="1"/>
    <n v="31"/>
    <n v="4"/>
    <n v="4"/>
    <n v="12"/>
    <n v="3"/>
    <n v="2"/>
    <n v="1"/>
    <n v="4"/>
    <n v="6"/>
    <n v="0"/>
    <n v="0"/>
    <n v="0"/>
    <n v="0"/>
    <n v="0"/>
    <x v="0"/>
    <n v="0"/>
    <n v="3"/>
    <n v="11"/>
    <n v="0"/>
    <n v="49"/>
    <n v="2427"/>
    <n v="6.6493150684931503"/>
    <n v="0"/>
    <n v="0"/>
    <n v="1"/>
    <n v="0"/>
    <n v="0"/>
    <n v="0"/>
    <n v="0"/>
    <n v="0"/>
    <n v="1"/>
    <n v="0"/>
    <n v="119"/>
    <n v="107"/>
    <n v="12"/>
    <n v="0"/>
    <x v="0"/>
    <x v="0"/>
    <x v="1"/>
    <x v="1"/>
    <x v="0"/>
    <x v="0"/>
    <n v="1"/>
    <n v="0"/>
    <n v="16"/>
    <n v="7"/>
    <n v="3"/>
    <n v="3"/>
    <n v="13"/>
    <n v="3"/>
    <x v="3"/>
  </r>
  <r>
    <x v="1251"/>
    <n v="36930"/>
    <n v="0"/>
    <n v="1"/>
    <n v="50"/>
    <n v="223"/>
    <n v="2"/>
    <n v="31"/>
    <n v="0"/>
    <n v="2"/>
    <n v="39"/>
    <n v="5"/>
    <n v="5"/>
    <n v="2"/>
    <n v="4"/>
    <n v="8"/>
    <n v="0"/>
    <n v="0"/>
    <n v="0"/>
    <n v="0"/>
    <n v="0"/>
    <x v="0"/>
    <n v="0"/>
    <n v="3"/>
    <n v="11"/>
    <n v="0"/>
    <n v="66"/>
    <n v="2567"/>
    <n v="7.0328767123287674"/>
    <n v="0"/>
    <n v="1"/>
    <n v="0"/>
    <n v="0"/>
    <n v="0"/>
    <n v="0"/>
    <n v="0"/>
    <n v="0"/>
    <n v="0"/>
    <n v="1"/>
    <n v="258"/>
    <n v="219"/>
    <n v="39"/>
    <n v="0"/>
    <x v="0"/>
    <x v="0"/>
    <x v="0"/>
    <x v="1"/>
    <x v="3"/>
    <x v="2"/>
    <n v="1"/>
    <n v="0"/>
    <n v="24"/>
    <n v="5"/>
    <n v="6"/>
    <n v="4"/>
    <n v="15"/>
    <n v="4"/>
    <x v="3"/>
  </r>
  <r>
    <x v="1252"/>
    <n v="38557"/>
    <n v="1"/>
    <n v="0"/>
    <n v="17"/>
    <n v="76"/>
    <n v="3"/>
    <n v="31"/>
    <n v="4"/>
    <n v="4"/>
    <n v="27"/>
    <n v="2"/>
    <n v="3"/>
    <n v="1"/>
    <n v="3"/>
    <n v="7"/>
    <n v="0"/>
    <n v="0"/>
    <n v="0"/>
    <n v="0"/>
    <n v="0"/>
    <x v="0"/>
    <n v="0"/>
    <n v="3"/>
    <n v="11"/>
    <n v="0"/>
    <n v="42"/>
    <n v="2716"/>
    <n v="7.441095890410959"/>
    <n v="0"/>
    <n v="0"/>
    <n v="1"/>
    <n v="0"/>
    <n v="0"/>
    <n v="0"/>
    <n v="0"/>
    <n v="1"/>
    <n v="0"/>
    <n v="0"/>
    <n v="118"/>
    <n v="91"/>
    <n v="27"/>
    <n v="0"/>
    <x v="0"/>
    <x v="0"/>
    <x v="1"/>
    <x v="0"/>
    <x v="3"/>
    <x v="0"/>
    <n v="0"/>
    <n v="0"/>
    <n v="16"/>
    <n v="9"/>
    <n v="3"/>
    <n v="3"/>
    <n v="15"/>
    <n v="4"/>
    <x v="3"/>
  </r>
  <r>
    <x v="1253"/>
    <n v="41638"/>
    <n v="0"/>
    <n v="1"/>
    <n v="68"/>
    <n v="315"/>
    <n v="0"/>
    <n v="31"/>
    <n v="4"/>
    <n v="0"/>
    <n v="91"/>
    <n v="4"/>
    <n v="5"/>
    <n v="5"/>
    <n v="3"/>
    <n v="8"/>
    <n v="0"/>
    <n v="0"/>
    <n v="1"/>
    <n v="0"/>
    <n v="0"/>
    <x v="1"/>
    <n v="0"/>
    <n v="3"/>
    <n v="11"/>
    <n v="0"/>
    <n v="56"/>
    <n v="2660"/>
    <n v="7.2876712328767121"/>
    <n v="1"/>
    <n v="0"/>
    <n v="0"/>
    <n v="0"/>
    <n v="0"/>
    <n v="0"/>
    <n v="0"/>
    <n v="1"/>
    <n v="0"/>
    <n v="0"/>
    <n v="350"/>
    <n v="259"/>
    <n v="91"/>
    <n v="1"/>
    <x v="0"/>
    <x v="0"/>
    <x v="3"/>
    <x v="0"/>
    <x v="3"/>
    <x v="1"/>
    <n v="1"/>
    <n v="0"/>
    <n v="25"/>
    <n v="4"/>
    <n v="7"/>
    <n v="5"/>
    <n v="16"/>
    <n v="5"/>
    <x v="1"/>
  </r>
  <r>
    <x v="1254"/>
    <n v="49187"/>
    <n v="0"/>
    <n v="1"/>
    <n v="63"/>
    <n v="81"/>
    <n v="1"/>
    <n v="31"/>
    <n v="2"/>
    <n v="1"/>
    <n v="0"/>
    <n v="1"/>
    <n v="1"/>
    <n v="1"/>
    <n v="5"/>
    <n v="2"/>
    <n v="0"/>
    <n v="0"/>
    <n v="0"/>
    <n v="0"/>
    <n v="0"/>
    <x v="0"/>
    <n v="0"/>
    <n v="3"/>
    <n v="11"/>
    <n v="0"/>
    <n v="44"/>
    <n v="2328"/>
    <n v="6.3780821917808215"/>
    <n v="0"/>
    <n v="0"/>
    <n v="0"/>
    <n v="1"/>
    <n v="0"/>
    <n v="0"/>
    <n v="0"/>
    <n v="0"/>
    <n v="0"/>
    <n v="1"/>
    <n v="116"/>
    <n v="116"/>
    <n v="0"/>
    <n v="0"/>
    <x v="0"/>
    <x v="0"/>
    <x v="2"/>
    <x v="1"/>
    <x v="3"/>
    <x v="0"/>
    <n v="1"/>
    <n v="0"/>
    <n v="10"/>
    <n v="4"/>
    <n v="0"/>
    <n v="3"/>
    <n v="7"/>
    <n v="1"/>
    <x v="3"/>
  </r>
  <r>
    <x v="1255"/>
    <n v="54222"/>
    <n v="0"/>
    <n v="1"/>
    <n v="98"/>
    <n v="199"/>
    <n v="12"/>
    <n v="31"/>
    <n v="3"/>
    <n v="12"/>
    <n v="7"/>
    <n v="1"/>
    <n v="3"/>
    <n v="3"/>
    <n v="5"/>
    <n v="3"/>
    <n v="0"/>
    <n v="0"/>
    <n v="0"/>
    <n v="0"/>
    <n v="0"/>
    <x v="0"/>
    <n v="0"/>
    <n v="3"/>
    <n v="11"/>
    <n v="0"/>
    <n v="47"/>
    <n v="2279"/>
    <n v="6.2438356164383562"/>
    <n v="0"/>
    <n v="1"/>
    <n v="0"/>
    <n v="0"/>
    <n v="0"/>
    <n v="0"/>
    <n v="0"/>
    <n v="0"/>
    <n v="0"/>
    <n v="1"/>
    <n v="257"/>
    <n v="250"/>
    <n v="7"/>
    <n v="0"/>
    <x v="0"/>
    <x v="0"/>
    <x v="0"/>
    <x v="1"/>
    <x v="2"/>
    <x v="0"/>
    <n v="1"/>
    <n v="1"/>
    <n v="15"/>
    <n v="0.99999999999999978"/>
    <n v="2"/>
    <n v="4"/>
    <n v="7"/>
    <n v="1"/>
    <x v="3"/>
  </r>
  <r>
    <x v="1256"/>
    <n v="56223"/>
    <n v="0"/>
    <n v="1"/>
    <n v="72"/>
    <n v="77"/>
    <n v="28"/>
    <n v="31"/>
    <n v="16"/>
    <n v="0"/>
    <n v="4"/>
    <n v="2"/>
    <n v="2"/>
    <n v="1"/>
    <n v="5"/>
    <n v="4"/>
    <n v="0"/>
    <n v="0"/>
    <n v="0"/>
    <n v="0"/>
    <n v="0"/>
    <x v="0"/>
    <n v="0"/>
    <n v="3"/>
    <n v="11"/>
    <n v="0"/>
    <n v="72"/>
    <n v="2350"/>
    <n v="6.4383561643835616"/>
    <n v="0"/>
    <n v="1"/>
    <n v="0"/>
    <n v="0"/>
    <n v="0"/>
    <n v="0"/>
    <n v="0"/>
    <n v="0"/>
    <n v="0"/>
    <n v="1"/>
    <n v="152"/>
    <n v="148"/>
    <n v="4"/>
    <n v="0"/>
    <x v="0"/>
    <x v="0"/>
    <x v="0"/>
    <x v="1"/>
    <x v="2"/>
    <x v="2"/>
    <n v="1"/>
    <n v="0"/>
    <n v="14"/>
    <n v="3.0000000000000004"/>
    <n v="2"/>
    <n v="3"/>
    <n v="8"/>
    <n v="1"/>
    <x v="3"/>
  </r>
  <r>
    <x v="1257"/>
    <n v="15716"/>
    <n v="1"/>
    <n v="0"/>
    <n v="8"/>
    <n v="16"/>
    <n v="5"/>
    <n v="30"/>
    <n v="8"/>
    <n v="7"/>
    <n v="26"/>
    <n v="3"/>
    <n v="3"/>
    <n v="0"/>
    <n v="4"/>
    <n v="8"/>
    <n v="0"/>
    <n v="0"/>
    <n v="0"/>
    <n v="0"/>
    <n v="0"/>
    <x v="0"/>
    <n v="1"/>
    <n v="3"/>
    <n v="11"/>
    <n v="0"/>
    <n v="32"/>
    <n v="2753"/>
    <n v="7.5424657534246577"/>
    <n v="0"/>
    <n v="1"/>
    <n v="0"/>
    <n v="0"/>
    <n v="0"/>
    <n v="1"/>
    <n v="0"/>
    <n v="0"/>
    <n v="0"/>
    <n v="0"/>
    <n v="66"/>
    <n v="40"/>
    <n v="26"/>
    <n v="0"/>
    <x v="0"/>
    <x v="0"/>
    <x v="0"/>
    <x v="1"/>
    <x v="0"/>
    <x v="3"/>
    <n v="0"/>
    <n v="0"/>
    <n v="18"/>
    <n v="10"/>
    <n v="4"/>
    <n v="2"/>
    <n v="16"/>
    <n v="5"/>
    <x v="1"/>
  </r>
  <r>
    <x v="1258"/>
    <n v="25509"/>
    <n v="1"/>
    <n v="0"/>
    <n v="15"/>
    <n v="40"/>
    <n v="3"/>
    <n v="30"/>
    <n v="10"/>
    <n v="7"/>
    <n v="11"/>
    <n v="3"/>
    <n v="3"/>
    <n v="0"/>
    <n v="3"/>
    <n v="9"/>
    <n v="0"/>
    <n v="0"/>
    <n v="0"/>
    <n v="0"/>
    <n v="0"/>
    <x v="0"/>
    <n v="0"/>
    <n v="3"/>
    <n v="11"/>
    <n v="1"/>
    <n v="46"/>
    <n v="2808"/>
    <n v="7.6931506849315072"/>
    <n v="1"/>
    <n v="0"/>
    <n v="0"/>
    <n v="0"/>
    <n v="0"/>
    <n v="0"/>
    <n v="0"/>
    <n v="0"/>
    <n v="0"/>
    <n v="1"/>
    <n v="90"/>
    <n v="79"/>
    <n v="11"/>
    <n v="0"/>
    <x v="0"/>
    <x v="0"/>
    <x v="3"/>
    <x v="1"/>
    <x v="0"/>
    <x v="0"/>
    <n v="0"/>
    <n v="0"/>
    <n v="18"/>
    <n v="9"/>
    <n v="4"/>
    <n v="3"/>
    <n v="16"/>
    <n v="5"/>
    <x v="1"/>
  </r>
  <r>
    <x v="1259"/>
    <n v="35765"/>
    <n v="1"/>
    <n v="0"/>
    <n v="86"/>
    <n v="22"/>
    <n v="3"/>
    <n v="30"/>
    <n v="0"/>
    <n v="5"/>
    <n v="15"/>
    <n v="2"/>
    <n v="2"/>
    <n v="0"/>
    <n v="4"/>
    <n v="6"/>
    <n v="0"/>
    <n v="0"/>
    <n v="0"/>
    <n v="0"/>
    <n v="0"/>
    <x v="0"/>
    <n v="0"/>
    <n v="3"/>
    <n v="11"/>
    <n v="0"/>
    <n v="30"/>
    <n v="2359"/>
    <n v="6.463013698630137"/>
    <n v="0"/>
    <n v="1"/>
    <n v="0"/>
    <n v="0"/>
    <n v="0"/>
    <n v="0"/>
    <n v="0"/>
    <n v="1"/>
    <n v="0"/>
    <n v="0"/>
    <n v="60"/>
    <n v="45"/>
    <n v="15"/>
    <n v="0"/>
    <x v="0"/>
    <x v="0"/>
    <x v="0"/>
    <x v="0"/>
    <x v="3"/>
    <x v="4"/>
    <n v="1"/>
    <n v="0"/>
    <n v="14"/>
    <n v="1.9999999999999996"/>
    <n v="2"/>
    <n v="2"/>
    <n v="6"/>
    <n v="0"/>
    <x v="4"/>
  </r>
  <r>
    <x v="1260"/>
    <n v="36075"/>
    <n v="1"/>
    <n v="0"/>
    <n v="54"/>
    <n v="46"/>
    <n v="0"/>
    <n v="30"/>
    <n v="12"/>
    <n v="1"/>
    <n v="30"/>
    <n v="1"/>
    <n v="2"/>
    <n v="0"/>
    <n v="4"/>
    <n v="6"/>
    <n v="0"/>
    <n v="0"/>
    <n v="0"/>
    <n v="0"/>
    <n v="0"/>
    <x v="0"/>
    <n v="0"/>
    <n v="3"/>
    <n v="11"/>
    <n v="0"/>
    <n v="37"/>
    <n v="2361"/>
    <n v="6.4684931506849317"/>
    <n v="0"/>
    <n v="0"/>
    <n v="0"/>
    <n v="1"/>
    <n v="0"/>
    <n v="0"/>
    <n v="0"/>
    <n v="1"/>
    <n v="0"/>
    <n v="0"/>
    <n v="89"/>
    <n v="59"/>
    <n v="30"/>
    <n v="0"/>
    <x v="0"/>
    <x v="0"/>
    <x v="2"/>
    <x v="0"/>
    <x v="3"/>
    <x v="3"/>
    <n v="1"/>
    <n v="0"/>
    <n v="13"/>
    <n v="5"/>
    <n v="1"/>
    <n v="3"/>
    <n v="9"/>
    <n v="1"/>
    <x v="3"/>
  </r>
  <r>
    <x v="1261"/>
    <n v="36230"/>
    <n v="1"/>
    <n v="0"/>
    <n v="17"/>
    <n v="14"/>
    <n v="2"/>
    <n v="30"/>
    <n v="8"/>
    <n v="2"/>
    <n v="3"/>
    <n v="1"/>
    <n v="2"/>
    <n v="0"/>
    <n v="4"/>
    <n v="5"/>
    <n v="0"/>
    <n v="0"/>
    <n v="0"/>
    <n v="0"/>
    <n v="0"/>
    <x v="0"/>
    <n v="0"/>
    <n v="3"/>
    <n v="11"/>
    <n v="0"/>
    <n v="49"/>
    <n v="2414"/>
    <n v="6.6136986301369864"/>
    <n v="0"/>
    <n v="0"/>
    <n v="1"/>
    <n v="0"/>
    <n v="0"/>
    <n v="0"/>
    <n v="0"/>
    <n v="0"/>
    <n v="1"/>
    <n v="0"/>
    <n v="56"/>
    <n v="53"/>
    <n v="3"/>
    <n v="0"/>
    <x v="0"/>
    <x v="0"/>
    <x v="1"/>
    <x v="1"/>
    <x v="3"/>
    <x v="0"/>
    <n v="0"/>
    <n v="0"/>
    <n v="12"/>
    <n v="9"/>
    <n v="1"/>
    <n v="2"/>
    <n v="12"/>
    <n v="3"/>
    <x v="3"/>
  </r>
  <r>
    <x v="1262"/>
    <n v="36273"/>
    <n v="1"/>
    <n v="0"/>
    <n v="80"/>
    <n v="29"/>
    <n v="3"/>
    <n v="30"/>
    <n v="3"/>
    <n v="2"/>
    <n v="9"/>
    <n v="2"/>
    <n v="3"/>
    <n v="0"/>
    <n v="3"/>
    <n v="6"/>
    <n v="0"/>
    <n v="0"/>
    <n v="0"/>
    <n v="0"/>
    <n v="0"/>
    <x v="0"/>
    <n v="0"/>
    <n v="3"/>
    <n v="11"/>
    <n v="0"/>
    <n v="43"/>
    <n v="2233"/>
    <n v="6.117808219178082"/>
    <n v="0"/>
    <n v="0"/>
    <n v="1"/>
    <n v="0"/>
    <n v="0"/>
    <n v="0"/>
    <n v="0"/>
    <n v="0"/>
    <n v="1"/>
    <n v="0"/>
    <n v="67"/>
    <n v="58"/>
    <n v="9"/>
    <n v="0"/>
    <x v="0"/>
    <x v="0"/>
    <x v="1"/>
    <x v="1"/>
    <x v="3"/>
    <x v="0"/>
    <n v="1"/>
    <n v="0"/>
    <n v="14"/>
    <n v="1.9999999999999996"/>
    <n v="2"/>
    <n v="2"/>
    <n v="6"/>
    <n v="0"/>
    <x v="4"/>
  </r>
  <r>
    <x v="1263"/>
    <n v="44377"/>
    <n v="1"/>
    <n v="1"/>
    <n v="70"/>
    <n v="224"/>
    <n v="0"/>
    <n v="30"/>
    <n v="0"/>
    <n v="0"/>
    <n v="10"/>
    <n v="8"/>
    <n v="5"/>
    <n v="1"/>
    <n v="5"/>
    <n v="8"/>
    <n v="0"/>
    <n v="0"/>
    <n v="0"/>
    <n v="0"/>
    <n v="0"/>
    <x v="0"/>
    <n v="0"/>
    <n v="3"/>
    <n v="11"/>
    <n v="0"/>
    <n v="52"/>
    <n v="2791"/>
    <n v="7.646575342465753"/>
    <n v="0"/>
    <n v="1"/>
    <n v="0"/>
    <n v="0"/>
    <n v="0"/>
    <n v="0"/>
    <n v="0"/>
    <n v="0"/>
    <n v="0"/>
    <n v="1"/>
    <n v="254"/>
    <n v="244"/>
    <n v="10"/>
    <n v="0"/>
    <x v="0"/>
    <x v="0"/>
    <x v="0"/>
    <x v="1"/>
    <x v="3"/>
    <x v="1"/>
    <n v="1"/>
    <n v="0"/>
    <n v="27"/>
    <n v="3.0000000000000004"/>
    <n v="7"/>
    <n v="4"/>
    <n v="14"/>
    <n v="4"/>
    <x v="3"/>
  </r>
  <r>
    <x v="1264"/>
    <n v="46610"/>
    <n v="0"/>
    <n v="0"/>
    <n v="4"/>
    <n v="288"/>
    <n v="10"/>
    <n v="30"/>
    <n v="4"/>
    <n v="10"/>
    <n v="125"/>
    <n v="1"/>
    <n v="6"/>
    <n v="1"/>
    <n v="6"/>
    <n v="6"/>
    <n v="0"/>
    <n v="0"/>
    <n v="0"/>
    <n v="0"/>
    <n v="0"/>
    <x v="0"/>
    <n v="0"/>
    <n v="3"/>
    <n v="11"/>
    <n v="0"/>
    <n v="62"/>
    <n v="2505"/>
    <n v="6.8630136986301373"/>
    <n v="0"/>
    <n v="0"/>
    <n v="0"/>
    <n v="1"/>
    <n v="0"/>
    <n v="0"/>
    <n v="0"/>
    <n v="1"/>
    <n v="0"/>
    <n v="0"/>
    <n v="342"/>
    <n v="217"/>
    <n v="125"/>
    <n v="0"/>
    <x v="1"/>
    <x v="1"/>
    <x v="2"/>
    <x v="0"/>
    <x v="3"/>
    <x v="2"/>
    <n v="0"/>
    <n v="0"/>
    <n v="20"/>
    <n v="10"/>
    <n v="4"/>
    <n v="4"/>
    <n v="18"/>
    <n v="6"/>
    <x v="1"/>
  </r>
  <r>
    <x v="1265"/>
    <n v="53187"/>
    <n v="1"/>
    <n v="0"/>
    <n v="66"/>
    <n v="211"/>
    <n v="2"/>
    <n v="30"/>
    <n v="7"/>
    <n v="7"/>
    <n v="10"/>
    <n v="2"/>
    <n v="4"/>
    <n v="1"/>
    <n v="6"/>
    <n v="5"/>
    <n v="0"/>
    <n v="0"/>
    <n v="0"/>
    <n v="0"/>
    <n v="0"/>
    <x v="0"/>
    <n v="0"/>
    <n v="3"/>
    <n v="11"/>
    <n v="0"/>
    <n v="50"/>
    <n v="2405"/>
    <n v="6.5890410958904111"/>
    <n v="0"/>
    <n v="0"/>
    <n v="0"/>
    <n v="1"/>
    <n v="0"/>
    <n v="0"/>
    <n v="0"/>
    <n v="1"/>
    <n v="0"/>
    <n v="0"/>
    <n v="257"/>
    <n v="247"/>
    <n v="10"/>
    <n v="0"/>
    <x v="0"/>
    <x v="0"/>
    <x v="2"/>
    <x v="0"/>
    <x v="2"/>
    <x v="0"/>
    <n v="1"/>
    <n v="0"/>
    <n v="18"/>
    <n v="4"/>
    <n v="4"/>
    <n v="4"/>
    <n v="12"/>
    <n v="3"/>
    <x v="3"/>
  </r>
  <r>
    <x v="1266"/>
    <n v="53359"/>
    <n v="1"/>
    <n v="1"/>
    <n v="4"/>
    <n v="173"/>
    <n v="4"/>
    <n v="30"/>
    <n v="3"/>
    <n v="6"/>
    <n v="41"/>
    <n v="4"/>
    <n v="5"/>
    <n v="1"/>
    <n v="4"/>
    <n v="7"/>
    <n v="0"/>
    <n v="0"/>
    <n v="0"/>
    <n v="0"/>
    <n v="0"/>
    <x v="0"/>
    <n v="0"/>
    <n v="3"/>
    <n v="11"/>
    <n v="0"/>
    <n v="44"/>
    <n v="2557"/>
    <n v="7.0054794520547947"/>
    <n v="0"/>
    <n v="1"/>
    <n v="0"/>
    <n v="0"/>
    <n v="0"/>
    <n v="0"/>
    <n v="0"/>
    <n v="1"/>
    <n v="0"/>
    <n v="0"/>
    <n v="216"/>
    <n v="175"/>
    <n v="41"/>
    <n v="0"/>
    <x v="0"/>
    <x v="0"/>
    <x v="0"/>
    <x v="0"/>
    <x v="2"/>
    <x v="0"/>
    <n v="0"/>
    <n v="0"/>
    <n v="21"/>
    <n v="10"/>
    <n v="5"/>
    <n v="4"/>
    <n v="19"/>
    <n v="7"/>
    <x v="2"/>
  </r>
  <r>
    <x v="1267"/>
    <n v="53863"/>
    <n v="0"/>
    <n v="1"/>
    <n v="4"/>
    <n v="399"/>
    <n v="4"/>
    <n v="30"/>
    <n v="6"/>
    <n v="4"/>
    <n v="30"/>
    <n v="3"/>
    <n v="7"/>
    <n v="1"/>
    <n v="7"/>
    <n v="7"/>
    <n v="0"/>
    <n v="0"/>
    <n v="0"/>
    <n v="1"/>
    <n v="0"/>
    <x v="1"/>
    <n v="0"/>
    <n v="3"/>
    <n v="11"/>
    <n v="0"/>
    <n v="65"/>
    <n v="2202"/>
    <n v="6.0328767123287674"/>
    <n v="0"/>
    <n v="0"/>
    <n v="0"/>
    <n v="1"/>
    <n v="0"/>
    <n v="0"/>
    <n v="0"/>
    <n v="1"/>
    <n v="0"/>
    <n v="0"/>
    <n v="443"/>
    <n v="413"/>
    <n v="30"/>
    <n v="1"/>
    <x v="0"/>
    <x v="0"/>
    <x v="2"/>
    <x v="0"/>
    <x v="2"/>
    <x v="2"/>
    <n v="0"/>
    <n v="0"/>
    <n v="25"/>
    <n v="10"/>
    <n v="7"/>
    <n v="5"/>
    <n v="22"/>
    <n v="8"/>
    <x v="2"/>
  </r>
  <r>
    <x v="1268"/>
    <n v="54237"/>
    <n v="0"/>
    <n v="1"/>
    <n v="48"/>
    <n v="267"/>
    <n v="3"/>
    <n v="30"/>
    <n v="4"/>
    <n v="0"/>
    <n v="57"/>
    <n v="4"/>
    <n v="5"/>
    <n v="2"/>
    <n v="5"/>
    <n v="6"/>
    <n v="0"/>
    <n v="0"/>
    <n v="0"/>
    <n v="0"/>
    <n v="0"/>
    <x v="0"/>
    <n v="0"/>
    <n v="3"/>
    <n v="11"/>
    <n v="0"/>
    <n v="63"/>
    <n v="2587"/>
    <n v="7.087671232876712"/>
    <n v="1"/>
    <n v="0"/>
    <n v="0"/>
    <n v="0"/>
    <n v="0"/>
    <n v="0"/>
    <n v="0"/>
    <n v="0"/>
    <n v="0"/>
    <n v="1"/>
    <n v="304"/>
    <n v="247"/>
    <n v="57"/>
    <n v="0"/>
    <x v="0"/>
    <x v="0"/>
    <x v="3"/>
    <x v="1"/>
    <x v="2"/>
    <x v="2"/>
    <n v="1"/>
    <n v="0"/>
    <n v="22"/>
    <n v="6"/>
    <n v="5"/>
    <n v="4"/>
    <n v="15"/>
    <n v="4"/>
    <x v="3"/>
  </r>
  <r>
    <x v="1269"/>
    <n v="54356"/>
    <n v="0"/>
    <n v="1"/>
    <n v="62"/>
    <n v="710"/>
    <n v="15"/>
    <n v="30"/>
    <n v="20"/>
    <n v="0"/>
    <n v="0"/>
    <n v="3"/>
    <n v="11"/>
    <n v="2"/>
    <n v="8"/>
    <n v="8"/>
    <n v="0"/>
    <n v="0"/>
    <n v="0"/>
    <n v="0"/>
    <n v="0"/>
    <x v="0"/>
    <n v="0"/>
    <n v="3"/>
    <n v="11"/>
    <n v="1"/>
    <n v="71"/>
    <n v="2746"/>
    <n v="7.5232876712328771"/>
    <n v="0"/>
    <n v="0"/>
    <n v="0"/>
    <n v="0"/>
    <n v="1"/>
    <n v="0"/>
    <n v="0"/>
    <n v="0"/>
    <n v="0"/>
    <n v="1"/>
    <n v="775"/>
    <n v="775"/>
    <n v="0"/>
    <n v="0"/>
    <x v="0"/>
    <x v="0"/>
    <x v="4"/>
    <x v="1"/>
    <x v="2"/>
    <x v="2"/>
    <n v="1"/>
    <n v="0"/>
    <n v="32"/>
    <n v="4"/>
    <n v="9"/>
    <n v="6"/>
    <n v="19"/>
    <n v="7"/>
    <x v="2"/>
  </r>
  <r>
    <x v="1270"/>
    <n v="64014"/>
    <n v="2"/>
    <n v="1"/>
    <n v="56"/>
    <n v="406"/>
    <n v="0"/>
    <n v="30"/>
    <n v="0"/>
    <n v="0"/>
    <n v="8"/>
    <n v="7"/>
    <n v="8"/>
    <n v="2"/>
    <n v="5"/>
    <n v="7"/>
    <n v="1"/>
    <n v="0"/>
    <n v="0"/>
    <n v="0"/>
    <n v="0"/>
    <x v="1"/>
    <n v="0"/>
    <n v="3"/>
    <n v="11"/>
    <n v="0"/>
    <n v="74"/>
    <n v="2178"/>
    <n v="5.9671232876712326"/>
    <n v="0"/>
    <n v="0"/>
    <n v="0"/>
    <n v="1"/>
    <n v="0"/>
    <n v="0"/>
    <n v="0"/>
    <n v="0"/>
    <n v="0"/>
    <n v="1"/>
    <n v="436"/>
    <n v="428"/>
    <n v="8"/>
    <n v="1"/>
    <x v="0"/>
    <x v="0"/>
    <x v="2"/>
    <x v="1"/>
    <x v="2"/>
    <x v="2"/>
    <n v="1"/>
    <n v="0"/>
    <n v="29"/>
    <n v="5"/>
    <n v="8"/>
    <n v="5"/>
    <n v="18"/>
    <n v="6"/>
    <x v="1"/>
  </r>
  <r>
    <x v="1271"/>
    <n v="20559"/>
    <n v="1"/>
    <n v="0"/>
    <n v="88"/>
    <n v="13"/>
    <n v="1"/>
    <n v="29"/>
    <n v="3"/>
    <n v="0"/>
    <n v="7"/>
    <n v="2"/>
    <n v="2"/>
    <n v="0"/>
    <n v="3"/>
    <n v="8"/>
    <n v="0"/>
    <n v="0"/>
    <n v="0"/>
    <n v="0"/>
    <n v="0"/>
    <x v="0"/>
    <n v="0"/>
    <n v="3"/>
    <n v="11"/>
    <n v="0"/>
    <n v="35"/>
    <n v="2633"/>
    <n v="7.2136986301369861"/>
    <n v="0"/>
    <n v="1"/>
    <n v="0"/>
    <n v="0"/>
    <n v="0"/>
    <n v="0"/>
    <n v="0"/>
    <n v="0"/>
    <n v="1"/>
    <n v="0"/>
    <n v="46"/>
    <n v="39"/>
    <n v="7"/>
    <n v="0"/>
    <x v="0"/>
    <x v="0"/>
    <x v="0"/>
    <x v="1"/>
    <x v="0"/>
    <x v="3"/>
    <n v="1"/>
    <n v="0"/>
    <n v="15"/>
    <n v="1.9999999999999996"/>
    <n v="2"/>
    <n v="2"/>
    <n v="6"/>
    <n v="0"/>
    <x v="4"/>
  </r>
  <r>
    <x v="1272"/>
    <n v="22682"/>
    <n v="1"/>
    <n v="0"/>
    <n v="51"/>
    <n v="10"/>
    <n v="14"/>
    <n v="29"/>
    <n v="4"/>
    <n v="2"/>
    <n v="36"/>
    <n v="3"/>
    <n v="2"/>
    <n v="1"/>
    <n v="4"/>
    <n v="4"/>
    <n v="0"/>
    <n v="0"/>
    <n v="0"/>
    <n v="0"/>
    <n v="0"/>
    <x v="0"/>
    <n v="0"/>
    <n v="3"/>
    <n v="11"/>
    <n v="0"/>
    <n v="47"/>
    <n v="2428"/>
    <n v="6.6520547945205477"/>
    <n v="0"/>
    <n v="0"/>
    <n v="0"/>
    <n v="1"/>
    <n v="0"/>
    <n v="0"/>
    <n v="0"/>
    <n v="1"/>
    <n v="0"/>
    <n v="0"/>
    <n v="59"/>
    <n v="23"/>
    <n v="36"/>
    <n v="0"/>
    <x v="0"/>
    <x v="0"/>
    <x v="2"/>
    <x v="0"/>
    <x v="0"/>
    <x v="0"/>
    <n v="1"/>
    <n v="0"/>
    <n v="14"/>
    <n v="5"/>
    <n v="2"/>
    <n v="2"/>
    <n v="9"/>
    <n v="1"/>
    <x v="3"/>
  </r>
  <r>
    <x v="1273"/>
    <n v="23748"/>
    <n v="1"/>
    <n v="0"/>
    <n v="97"/>
    <n v="6"/>
    <n v="6"/>
    <n v="29"/>
    <n v="12"/>
    <n v="15"/>
    <n v="8"/>
    <n v="3"/>
    <n v="2"/>
    <n v="1"/>
    <n v="3"/>
    <n v="8"/>
    <n v="0"/>
    <n v="0"/>
    <n v="0"/>
    <n v="0"/>
    <n v="0"/>
    <x v="0"/>
    <n v="0"/>
    <n v="3"/>
    <n v="11"/>
    <n v="0"/>
    <n v="52"/>
    <n v="2744"/>
    <n v="7.5178082191780824"/>
    <n v="1"/>
    <n v="0"/>
    <n v="0"/>
    <n v="0"/>
    <n v="0"/>
    <n v="0"/>
    <n v="0"/>
    <n v="0"/>
    <n v="1"/>
    <n v="0"/>
    <n v="68"/>
    <n v="60"/>
    <n v="8"/>
    <n v="0"/>
    <x v="0"/>
    <x v="0"/>
    <x v="3"/>
    <x v="1"/>
    <x v="0"/>
    <x v="1"/>
    <n v="1"/>
    <n v="1"/>
    <n v="17"/>
    <n v="0.99999999999999978"/>
    <n v="3"/>
    <n v="2"/>
    <n v="6"/>
    <n v="0"/>
    <x v="4"/>
  </r>
  <r>
    <x v="1274"/>
    <n v="28647"/>
    <n v="1"/>
    <n v="0"/>
    <n v="54"/>
    <n v="19"/>
    <n v="8"/>
    <n v="29"/>
    <n v="0"/>
    <n v="12"/>
    <n v="26"/>
    <n v="1"/>
    <n v="2"/>
    <n v="2"/>
    <n v="2"/>
    <n v="7"/>
    <n v="0"/>
    <n v="0"/>
    <n v="1"/>
    <n v="0"/>
    <n v="0"/>
    <x v="1"/>
    <n v="0"/>
    <n v="3"/>
    <n v="11"/>
    <n v="1"/>
    <n v="42"/>
    <n v="2471"/>
    <n v="6.7698630136986298"/>
    <n v="0"/>
    <n v="0"/>
    <n v="1"/>
    <n v="0"/>
    <n v="0"/>
    <n v="0"/>
    <n v="0"/>
    <n v="1"/>
    <n v="0"/>
    <n v="0"/>
    <n v="68"/>
    <n v="42"/>
    <n v="26"/>
    <n v="1"/>
    <x v="0"/>
    <x v="0"/>
    <x v="1"/>
    <x v="0"/>
    <x v="0"/>
    <x v="0"/>
    <n v="1"/>
    <n v="0"/>
    <n v="14"/>
    <n v="5"/>
    <n v="2"/>
    <n v="2"/>
    <n v="9"/>
    <n v="1"/>
    <x v="3"/>
  </r>
  <r>
    <x v="1275"/>
    <n v="32557"/>
    <n v="1"/>
    <n v="0"/>
    <n v="13"/>
    <n v="34"/>
    <n v="3"/>
    <n v="29"/>
    <n v="0"/>
    <n v="4"/>
    <n v="10"/>
    <n v="3"/>
    <n v="2"/>
    <n v="1"/>
    <n v="3"/>
    <n v="5"/>
    <n v="0"/>
    <n v="0"/>
    <n v="0"/>
    <n v="0"/>
    <n v="0"/>
    <x v="0"/>
    <n v="0"/>
    <n v="3"/>
    <n v="11"/>
    <n v="1"/>
    <n v="53"/>
    <n v="2284"/>
    <n v="6.2575342465753421"/>
    <n v="0"/>
    <n v="0"/>
    <n v="1"/>
    <n v="0"/>
    <n v="0"/>
    <n v="0"/>
    <n v="0"/>
    <n v="0"/>
    <n v="1"/>
    <n v="0"/>
    <n v="70"/>
    <n v="60"/>
    <n v="10"/>
    <n v="0"/>
    <x v="0"/>
    <x v="0"/>
    <x v="1"/>
    <x v="1"/>
    <x v="0"/>
    <x v="1"/>
    <n v="0"/>
    <n v="0"/>
    <n v="14"/>
    <n v="9"/>
    <n v="2"/>
    <n v="3"/>
    <n v="14"/>
    <n v="4"/>
    <x v="3"/>
  </r>
  <r>
    <x v="1276"/>
    <n v="34838"/>
    <n v="1"/>
    <n v="1"/>
    <n v="62"/>
    <n v="28"/>
    <n v="23"/>
    <n v="29"/>
    <n v="29"/>
    <n v="14"/>
    <n v="47"/>
    <n v="3"/>
    <n v="2"/>
    <n v="1"/>
    <n v="4"/>
    <n v="6"/>
    <n v="0"/>
    <n v="0"/>
    <n v="0"/>
    <n v="0"/>
    <n v="0"/>
    <x v="0"/>
    <n v="0"/>
    <n v="3"/>
    <n v="11"/>
    <n v="0"/>
    <n v="69"/>
    <n v="2685"/>
    <n v="7.3561643835616435"/>
    <n v="0"/>
    <n v="1"/>
    <n v="0"/>
    <n v="0"/>
    <n v="0"/>
    <n v="0"/>
    <n v="0"/>
    <n v="1"/>
    <n v="0"/>
    <n v="0"/>
    <n v="123"/>
    <n v="76"/>
    <n v="47"/>
    <n v="0"/>
    <x v="0"/>
    <x v="0"/>
    <x v="0"/>
    <x v="0"/>
    <x v="0"/>
    <x v="2"/>
    <n v="1"/>
    <n v="0"/>
    <n v="16"/>
    <n v="4"/>
    <n v="3"/>
    <n v="3"/>
    <n v="10"/>
    <n v="2"/>
    <x v="3"/>
  </r>
  <r>
    <x v="1277"/>
    <n v="43815"/>
    <n v="1"/>
    <n v="0"/>
    <n v="53"/>
    <n v="14"/>
    <n v="10"/>
    <n v="29"/>
    <n v="4"/>
    <n v="7"/>
    <n v="15"/>
    <n v="1"/>
    <n v="2"/>
    <n v="0"/>
    <n v="3"/>
    <n v="6"/>
    <n v="0"/>
    <n v="0"/>
    <n v="0"/>
    <n v="0"/>
    <n v="0"/>
    <x v="0"/>
    <n v="0"/>
    <n v="3"/>
    <n v="11"/>
    <n v="0"/>
    <n v="38"/>
    <n v="2609"/>
    <n v="7.1479452054794521"/>
    <n v="0"/>
    <n v="1"/>
    <n v="0"/>
    <n v="0"/>
    <n v="0"/>
    <n v="0"/>
    <n v="0"/>
    <n v="0"/>
    <n v="1"/>
    <n v="0"/>
    <n v="64"/>
    <n v="49"/>
    <n v="15"/>
    <n v="0"/>
    <x v="0"/>
    <x v="0"/>
    <x v="0"/>
    <x v="1"/>
    <x v="3"/>
    <x v="3"/>
    <n v="1"/>
    <n v="0"/>
    <n v="12"/>
    <n v="5"/>
    <n v="1"/>
    <n v="2"/>
    <n v="8"/>
    <n v="1"/>
    <x v="3"/>
  </r>
  <r>
    <x v="1278"/>
    <n v="45576"/>
    <n v="0"/>
    <n v="0"/>
    <n v="9"/>
    <n v="56"/>
    <n v="19"/>
    <n v="29"/>
    <n v="2"/>
    <n v="14"/>
    <n v="25"/>
    <n v="1"/>
    <n v="3"/>
    <n v="1"/>
    <n v="3"/>
    <n v="8"/>
    <n v="0"/>
    <n v="0"/>
    <n v="0"/>
    <n v="0"/>
    <n v="0"/>
    <x v="0"/>
    <n v="0"/>
    <n v="3"/>
    <n v="11"/>
    <n v="1"/>
    <n v="75"/>
    <n v="2191"/>
    <n v="6.0027397260273974"/>
    <n v="0"/>
    <n v="0"/>
    <n v="1"/>
    <n v="0"/>
    <n v="0"/>
    <n v="0"/>
    <n v="0"/>
    <n v="0"/>
    <n v="0"/>
    <n v="1"/>
    <n v="120"/>
    <n v="95"/>
    <n v="25"/>
    <n v="0"/>
    <x v="1"/>
    <x v="1"/>
    <x v="1"/>
    <x v="1"/>
    <x v="3"/>
    <x v="2"/>
    <n v="0"/>
    <n v="0"/>
    <n v="16"/>
    <n v="10"/>
    <n v="3"/>
    <n v="3"/>
    <n v="16"/>
    <n v="5"/>
    <x v="1"/>
  </r>
  <r>
    <x v="1279"/>
    <n v="47889"/>
    <n v="1"/>
    <n v="0"/>
    <n v="94"/>
    <n v="29"/>
    <n v="0"/>
    <n v="29"/>
    <n v="0"/>
    <n v="5"/>
    <n v="4"/>
    <n v="1"/>
    <n v="2"/>
    <n v="0"/>
    <n v="3"/>
    <n v="5"/>
    <n v="0"/>
    <n v="0"/>
    <n v="0"/>
    <n v="0"/>
    <n v="0"/>
    <x v="0"/>
    <n v="0"/>
    <n v="3"/>
    <n v="11"/>
    <n v="0"/>
    <n v="46"/>
    <n v="2335"/>
    <n v="6.397260273972603"/>
    <n v="0"/>
    <n v="0"/>
    <n v="0"/>
    <n v="1"/>
    <n v="0"/>
    <n v="0"/>
    <n v="0"/>
    <n v="1"/>
    <n v="0"/>
    <n v="0"/>
    <n v="63"/>
    <n v="59"/>
    <n v="4"/>
    <n v="0"/>
    <x v="0"/>
    <x v="0"/>
    <x v="2"/>
    <x v="0"/>
    <x v="3"/>
    <x v="0"/>
    <n v="1"/>
    <n v="1"/>
    <n v="11"/>
    <n v="0.99999999999999978"/>
    <n v="0"/>
    <n v="2"/>
    <n v="3"/>
    <n v="0"/>
    <x v="4"/>
  </r>
  <r>
    <x v="1280"/>
    <n v="49605"/>
    <n v="0"/>
    <n v="0"/>
    <n v="65"/>
    <n v="42"/>
    <n v="16"/>
    <n v="29"/>
    <n v="12"/>
    <n v="20"/>
    <n v="8"/>
    <n v="1"/>
    <n v="2"/>
    <n v="1"/>
    <n v="4"/>
    <n v="3"/>
    <n v="0"/>
    <n v="0"/>
    <n v="0"/>
    <n v="0"/>
    <n v="0"/>
    <x v="0"/>
    <n v="0"/>
    <n v="3"/>
    <n v="11"/>
    <n v="0"/>
    <n v="54"/>
    <n v="2167"/>
    <n v="5.9369863013698634"/>
    <n v="0"/>
    <n v="1"/>
    <n v="0"/>
    <n v="0"/>
    <n v="0"/>
    <n v="0"/>
    <n v="0"/>
    <n v="0"/>
    <n v="1"/>
    <n v="0"/>
    <n v="119"/>
    <n v="111"/>
    <n v="8"/>
    <n v="0"/>
    <x v="1"/>
    <x v="1"/>
    <x v="0"/>
    <x v="1"/>
    <x v="3"/>
    <x v="1"/>
    <n v="1"/>
    <n v="0"/>
    <n v="11"/>
    <n v="4"/>
    <n v="0"/>
    <n v="3"/>
    <n v="7"/>
    <n v="1"/>
    <x v="3"/>
  </r>
  <r>
    <x v="1281"/>
    <n v="51412"/>
    <n v="0"/>
    <n v="1"/>
    <n v="42"/>
    <n v="140"/>
    <n v="3"/>
    <n v="29"/>
    <n v="4"/>
    <n v="5"/>
    <n v="14"/>
    <n v="2"/>
    <n v="3"/>
    <n v="2"/>
    <n v="4"/>
    <n v="4"/>
    <n v="0"/>
    <n v="0"/>
    <n v="0"/>
    <n v="0"/>
    <n v="0"/>
    <x v="0"/>
    <n v="0"/>
    <n v="3"/>
    <n v="11"/>
    <n v="0"/>
    <n v="62"/>
    <n v="2339"/>
    <n v="6.4082191780821915"/>
    <n v="0"/>
    <n v="1"/>
    <n v="0"/>
    <n v="0"/>
    <n v="0"/>
    <n v="0"/>
    <n v="0"/>
    <n v="0"/>
    <n v="1"/>
    <n v="0"/>
    <n v="181"/>
    <n v="167"/>
    <n v="14"/>
    <n v="0"/>
    <x v="0"/>
    <x v="0"/>
    <x v="0"/>
    <x v="1"/>
    <x v="2"/>
    <x v="2"/>
    <n v="1"/>
    <n v="0"/>
    <n v="15"/>
    <n v="6"/>
    <n v="2"/>
    <n v="3"/>
    <n v="11"/>
    <n v="2"/>
    <x v="3"/>
  </r>
  <r>
    <x v="1282"/>
    <n v="52157"/>
    <n v="0"/>
    <n v="1"/>
    <n v="48"/>
    <n v="189"/>
    <n v="2"/>
    <n v="29"/>
    <n v="3"/>
    <n v="2"/>
    <n v="40"/>
    <n v="2"/>
    <n v="3"/>
    <n v="2"/>
    <n v="5"/>
    <n v="4"/>
    <n v="0"/>
    <n v="0"/>
    <n v="0"/>
    <n v="0"/>
    <n v="0"/>
    <x v="0"/>
    <n v="0"/>
    <n v="3"/>
    <n v="11"/>
    <n v="0"/>
    <n v="70"/>
    <n v="2181"/>
    <n v="5.9753424657534246"/>
    <n v="0"/>
    <n v="0"/>
    <n v="0"/>
    <n v="1"/>
    <n v="0"/>
    <n v="0"/>
    <n v="0"/>
    <n v="0"/>
    <n v="0"/>
    <n v="1"/>
    <n v="225"/>
    <n v="185"/>
    <n v="40"/>
    <n v="0"/>
    <x v="0"/>
    <x v="0"/>
    <x v="2"/>
    <x v="1"/>
    <x v="2"/>
    <x v="2"/>
    <n v="1"/>
    <n v="0"/>
    <n v="16"/>
    <n v="6"/>
    <n v="3"/>
    <n v="4"/>
    <n v="13"/>
    <n v="3"/>
    <x v="3"/>
  </r>
  <r>
    <x v="1283"/>
    <n v="59594"/>
    <n v="0"/>
    <n v="1"/>
    <n v="74"/>
    <n v="457"/>
    <n v="4"/>
    <n v="29"/>
    <n v="0"/>
    <n v="0"/>
    <n v="9"/>
    <n v="1"/>
    <n v="8"/>
    <n v="1"/>
    <n v="7"/>
    <n v="7"/>
    <n v="0"/>
    <n v="0"/>
    <n v="0"/>
    <n v="1"/>
    <n v="0"/>
    <x v="1"/>
    <n v="0"/>
    <n v="3"/>
    <n v="11"/>
    <n v="0"/>
    <n v="55"/>
    <n v="2776"/>
    <n v="7.6054794520547944"/>
    <n v="0"/>
    <n v="1"/>
    <n v="0"/>
    <n v="0"/>
    <n v="0"/>
    <n v="0"/>
    <n v="0"/>
    <n v="1"/>
    <n v="0"/>
    <n v="0"/>
    <n v="490"/>
    <n v="481"/>
    <n v="9"/>
    <n v="1"/>
    <x v="0"/>
    <x v="0"/>
    <x v="0"/>
    <x v="0"/>
    <x v="2"/>
    <x v="1"/>
    <n v="1"/>
    <n v="0"/>
    <n v="24"/>
    <n v="3.0000000000000004"/>
    <n v="6"/>
    <n v="5"/>
    <n v="14"/>
    <n v="4"/>
    <x v="3"/>
  </r>
  <r>
    <x v="1284"/>
    <n v="61180"/>
    <n v="0"/>
    <n v="1"/>
    <n v="70"/>
    <n v="403"/>
    <n v="24"/>
    <n v="29"/>
    <n v="6"/>
    <n v="24"/>
    <n v="218"/>
    <n v="2"/>
    <n v="5"/>
    <n v="5"/>
    <n v="6"/>
    <n v="3"/>
    <n v="0"/>
    <n v="0"/>
    <n v="1"/>
    <n v="0"/>
    <n v="0"/>
    <x v="1"/>
    <n v="0"/>
    <n v="3"/>
    <n v="11"/>
    <n v="0"/>
    <n v="61"/>
    <n v="2226"/>
    <n v="6.0986301369863014"/>
    <n v="0"/>
    <n v="1"/>
    <n v="0"/>
    <n v="0"/>
    <n v="0"/>
    <n v="0"/>
    <n v="0"/>
    <n v="1"/>
    <n v="0"/>
    <n v="0"/>
    <n v="486"/>
    <n v="268"/>
    <n v="218"/>
    <n v="1"/>
    <x v="0"/>
    <x v="0"/>
    <x v="0"/>
    <x v="0"/>
    <x v="2"/>
    <x v="2"/>
    <n v="1"/>
    <n v="0"/>
    <n v="21"/>
    <n v="3.0000000000000004"/>
    <n v="5"/>
    <n v="5"/>
    <n v="13"/>
    <n v="3"/>
    <x v="3"/>
  </r>
  <r>
    <x v="1285"/>
    <n v="14849"/>
    <n v="1"/>
    <n v="0"/>
    <n v="39"/>
    <n v="21"/>
    <n v="2"/>
    <n v="28"/>
    <n v="3"/>
    <n v="2"/>
    <n v="9"/>
    <n v="3"/>
    <n v="2"/>
    <n v="0"/>
    <n v="4"/>
    <n v="8"/>
    <n v="0"/>
    <n v="0"/>
    <n v="0"/>
    <n v="0"/>
    <n v="0"/>
    <x v="0"/>
    <n v="0"/>
    <n v="3"/>
    <n v="11"/>
    <n v="0"/>
    <n v="44"/>
    <n v="2521"/>
    <n v="6.9068493150684933"/>
    <n v="1"/>
    <n v="0"/>
    <n v="0"/>
    <n v="0"/>
    <n v="0"/>
    <n v="0"/>
    <n v="0"/>
    <n v="0"/>
    <n v="0"/>
    <n v="1"/>
    <n v="56"/>
    <n v="47"/>
    <n v="9"/>
    <n v="0"/>
    <x v="0"/>
    <x v="0"/>
    <x v="3"/>
    <x v="1"/>
    <x v="0"/>
    <x v="0"/>
    <n v="1"/>
    <n v="0"/>
    <n v="17"/>
    <n v="7"/>
    <n v="3"/>
    <n v="2"/>
    <n v="12"/>
    <n v="3"/>
    <x v="3"/>
  </r>
  <r>
    <x v="1286"/>
    <n v="19419"/>
    <n v="1"/>
    <n v="0"/>
    <n v="76"/>
    <n v="2"/>
    <n v="14"/>
    <n v="28"/>
    <n v="16"/>
    <n v="3"/>
    <n v="7"/>
    <n v="4"/>
    <n v="4"/>
    <n v="0"/>
    <n v="3"/>
    <n v="9"/>
    <n v="0"/>
    <n v="0"/>
    <n v="0"/>
    <n v="0"/>
    <n v="0"/>
    <x v="0"/>
    <n v="0"/>
    <n v="3"/>
    <n v="11"/>
    <n v="0"/>
    <n v="39"/>
    <n v="2755"/>
    <n v="7.5479452054794525"/>
    <n v="0"/>
    <n v="1"/>
    <n v="0"/>
    <n v="0"/>
    <n v="0"/>
    <n v="0"/>
    <n v="0"/>
    <n v="1"/>
    <n v="0"/>
    <n v="0"/>
    <n v="63"/>
    <n v="56"/>
    <n v="7"/>
    <n v="0"/>
    <x v="0"/>
    <x v="0"/>
    <x v="0"/>
    <x v="0"/>
    <x v="0"/>
    <x v="3"/>
    <n v="1"/>
    <n v="0"/>
    <n v="20"/>
    <n v="3.0000000000000004"/>
    <n v="4"/>
    <n v="2"/>
    <n v="9"/>
    <n v="1"/>
    <x v="3"/>
  </r>
  <r>
    <x v="1287"/>
    <n v="26518"/>
    <n v="1"/>
    <n v="1"/>
    <n v="33"/>
    <n v="20"/>
    <n v="1"/>
    <n v="28"/>
    <n v="3"/>
    <n v="3"/>
    <n v="2"/>
    <n v="3"/>
    <n v="2"/>
    <n v="0"/>
    <n v="3"/>
    <n v="8"/>
    <n v="0"/>
    <n v="0"/>
    <n v="0"/>
    <n v="0"/>
    <n v="0"/>
    <x v="0"/>
    <n v="0"/>
    <n v="3"/>
    <n v="11"/>
    <n v="1"/>
    <n v="71"/>
    <n v="2606"/>
    <n v="7.13972602739726"/>
    <n v="0"/>
    <n v="0"/>
    <n v="1"/>
    <n v="0"/>
    <n v="0"/>
    <n v="0"/>
    <n v="0"/>
    <n v="0"/>
    <n v="0"/>
    <n v="1"/>
    <n v="55"/>
    <n v="53"/>
    <n v="2"/>
    <n v="0"/>
    <x v="0"/>
    <x v="0"/>
    <x v="1"/>
    <x v="1"/>
    <x v="0"/>
    <x v="2"/>
    <n v="1"/>
    <n v="0"/>
    <n v="16"/>
    <n v="7"/>
    <n v="3"/>
    <n v="2"/>
    <n v="12"/>
    <n v="3"/>
    <x v="3"/>
  </r>
  <r>
    <x v="1288"/>
    <n v="30093"/>
    <n v="0"/>
    <n v="0"/>
    <n v="19"/>
    <n v="2"/>
    <n v="6"/>
    <n v="28"/>
    <n v="13"/>
    <n v="4"/>
    <n v="16"/>
    <n v="1"/>
    <n v="2"/>
    <n v="0"/>
    <n v="3"/>
    <n v="7"/>
    <n v="0"/>
    <n v="0"/>
    <n v="0"/>
    <n v="0"/>
    <n v="0"/>
    <x v="0"/>
    <n v="0"/>
    <n v="3"/>
    <n v="11"/>
    <n v="0"/>
    <n v="30"/>
    <n v="2515"/>
    <n v="6.8904109589041092"/>
    <n v="0"/>
    <n v="1"/>
    <n v="0"/>
    <n v="0"/>
    <n v="0"/>
    <n v="0"/>
    <n v="0"/>
    <n v="1"/>
    <n v="0"/>
    <n v="0"/>
    <n v="53"/>
    <n v="37"/>
    <n v="16"/>
    <n v="0"/>
    <x v="1"/>
    <x v="1"/>
    <x v="0"/>
    <x v="0"/>
    <x v="0"/>
    <x v="4"/>
    <n v="0"/>
    <n v="0"/>
    <n v="13"/>
    <n v="9"/>
    <n v="1"/>
    <n v="2"/>
    <n v="12"/>
    <n v="3"/>
    <x v="3"/>
  </r>
  <r>
    <x v="1289"/>
    <n v="31497"/>
    <n v="0"/>
    <n v="1"/>
    <n v="22"/>
    <n v="108"/>
    <n v="1"/>
    <n v="28"/>
    <n v="13"/>
    <n v="1"/>
    <n v="4"/>
    <n v="2"/>
    <n v="3"/>
    <n v="1"/>
    <n v="4"/>
    <n v="8"/>
    <n v="0"/>
    <n v="0"/>
    <n v="0"/>
    <n v="0"/>
    <n v="0"/>
    <x v="0"/>
    <n v="0"/>
    <n v="3"/>
    <n v="11"/>
    <n v="0"/>
    <n v="58"/>
    <n v="2729"/>
    <n v="7.4767123287671229"/>
    <n v="0"/>
    <n v="0"/>
    <n v="0"/>
    <n v="1"/>
    <n v="0"/>
    <n v="0"/>
    <n v="0"/>
    <n v="0"/>
    <n v="0"/>
    <n v="1"/>
    <n v="151"/>
    <n v="147"/>
    <n v="4"/>
    <n v="0"/>
    <x v="0"/>
    <x v="0"/>
    <x v="2"/>
    <x v="1"/>
    <x v="0"/>
    <x v="1"/>
    <n v="0"/>
    <n v="0"/>
    <n v="18"/>
    <n v="8"/>
    <n v="4"/>
    <n v="3"/>
    <n v="15"/>
    <n v="4"/>
    <x v="3"/>
  </r>
  <r>
    <x v="1290"/>
    <n v="34213"/>
    <n v="1"/>
    <n v="1"/>
    <n v="2"/>
    <n v="50"/>
    <n v="4"/>
    <n v="28"/>
    <n v="6"/>
    <n v="3"/>
    <n v="26"/>
    <n v="3"/>
    <n v="3"/>
    <n v="1"/>
    <n v="2"/>
    <n v="9"/>
    <n v="0"/>
    <n v="0"/>
    <n v="0"/>
    <n v="0"/>
    <n v="0"/>
    <x v="0"/>
    <n v="0"/>
    <n v="3"/>
    <n v="11"/>
    <n v="1"/>
    <n v="57"/>
    <n v="2819"/>
    <n v="7.7232876712328764"/>
    <n v="0"/>
    <n v="0"/>
    <n v="0"/>
    <n v="0"/>
    <n v="1"/>
    <n v="0"/>
    <n v="0"/>
    <n v="1"/>
    <n v="0"/>
    <n v="0"/>
    <n v="91"/>
    <n v="65"/>
    <n v="26"/>
    <n v="0"/>
    <x v="0"/>
    <x v="0"/>
    <x v="4"/>
    <x v="0"/>
    <x v="0"/>
    <x v="1"/>
    <n v="0"/>
    <n v="0"/>
    <n v="18"/>
    <n v="10"/>
    <n v="4"/>
    <n v="3"/>
    <n v="17"/>
    <n v="6"/>
    <x v="1"/>
  </r>
  <r>
    <x v="1291"/>
    <n v="38232"/>
    <n v="1"/>
    <n v="1"/>
    <n v="84"/>
    <n v="43"/>
    <n v="5"/>
    <n v="28"/>
    <n v="7"/>
    <n v="6"/>
    <n v="33"/>
    <n v="4"/>
    <n v="3"/>
    <n v="1"/>
    <n v="3"/>
    <n v="5"/>
    <n v="0"/>
    <n v="0"/>
    <n v="0"/>
    <n v="0"/>
    <n v="0"/>
    <x v="0"/>
    <n v="0"/>
    <n v="3"/>
    <n v="11"/>
    <n v="0"/>
    <n v="49"/>
    <n v="2322"/>
    <n v="6.3616438356164382"/>
    <n v="0"/>
    <n v="0"/>
    <n v="0"/>
    <n v="1"/>
    <n v="0"/>
    <n v="0"/>
    <n v="0"/>
    <n v="1"/>
    <n v="0"/>
    <n v="0"/>
    <n v="89"/>
    <n v="56"/>
    <n v="33"/>
    <n v="0"/>
    <x v="0"/>
    <x v="0"/>
    <x v="2"/>
    <x v="0"/>
    <x v="3"/>
    <x v="0"/>
    <n v="1"/>
    <n v="0"/>
    <n v="16"/>
    <n v="1.9999999999999996"/>
    <n v="3"/>
    <n v="3"/>
    <n v="8"/>
    <n v="1"/>
    <x v="3"/>
  </r>
  <r>
    <x v="1292"/>
    <n v="44375"/>
    <n v="0"/>
    <n v="1"/>
    <n v="73"/>
    <n v="213"/>
    <n v="5"/>
    <n v="28"/>
    <n v="7"/>
    <n v="7"/>
    <n v="41"/>
    <n v="1"/>
    <n v="4"/>
    <n v="1"/>
    <n v="6"/>
    <n v="5"/>
    <n v="0"/>
    <n v="0"/>
    <n v="0"/>
    <n v="0"/>
    <n v="0"/>
    <x v="0"/>
    <n v="0"/>
    <n v="3"/>
    <n v="11"/>
    <n v="0"/>
    <n v="55"/>
    <n v="2257"/>
    <n v="6.183561643835616"/>
    <n v="0"/>
    <n v="1"/>
    <n v="0"/>
    <n v="0"/>
    <n v="0"/>
    <n v="0"/>
    <n v="0"/>
    <n v="1"/>
    <n v="0"/>
    <n v="0"/>
    <n v="260"/>
    <n v="219"/>
    <n v="41"/>
    <n v="0"/>
    <x v="0"/>
    <x v="0"/>
    <x v="0"/>
    <x v="0"/>
    <x v="3"/>
    <x v="1"/>
    <n v="1"/>
    <n v="0"/>
    <n v="17"/>
    <n v="3.0000000000000004"/>
    <n v="3"/>
    <n v="4"/>
    <n v="10"/>
    <n v="2"/>
    <x v="3"/>
  </r>
  <r>
    <x v="1293"/>
    <n v="54198"/>
    <n v="1"/>
    <n v="1"/>
    <n v="13"/>
    <n v="185"/>
    <n v="0"/>
    <n v="28"/>
    <n v="3"/>
    <n v="2"/>
    <n v="17"/>
    <n v="6"/>
    <n v="3"/>
    <n v="1"/>
    <n v="6"/>
    <n v="4"/>
    <n v="0"/>
    <n v="0"/>
    <n v="0"/>
    <n v="0"/>
    <n v="0"/>
    <x v="0"/>
    <n v="0"/>
    <n v="3"/>
    <n v="11"/>
    <n v="0"/>
    <n v="54"/>
    <n v="2353"/>
    <n v="6.4465753424657537"/>
    <n v="0"/>
    <n v="1"/>
    <n v="0"/>
    <n v="0"/>
    <n v="0"/>
    <n v="0"/>
    <n v="0"/>
    <n v="1"/>
    <n v="0"/>
    <n v="0"/>
    <n v="218"/>
    <n v="201"/>
    <n v="17"/>
    <n v="0"/>
    <x v="0"/>
    <x v="0"/>
    <x v="0"/>
    <x v="0"/>
    <x v="2"/>
    <x v="1"/>
    <n v="0"/>
    <n v="0"/>
    <n v="20"/>
    <n v="9"/>
    <n v="4"/>
    <n v="4"/>
    <n v="17"/>
    <n v="6"/>
    <x v="1"/>
  </r>
  <r>
    <x v="1294"/>
    <n v="55412"/>
    <n v="1"/>
    <n v="1"/>
    <n v="65"/>
    <n v="10"/>
    <n v="5"/>
    <n v="28"/>
    <n v="11"/>
    <n v="1"/>
    <n v="8"/>
    <n v="1"/>
    <n v="2"/>
    <n v="0"/>
    <n v="3"/>
    <n v="5"/>
    <n v="0"/>
    <n v="0"/>
    <n v="0"/>
    <n v="0"/>
    <n v="0"/>
    <x v="0"/>
    <n v="0"/>
    <n v="3"/>
    <n v="11"/>
    <n v="0"/>
    <n v="44"/>
    <n v="2378"/>
    <n v="6.515068493150685"/>
    <n v="1"/>
    <n v="0"/>
    <n v="0"/>
    <n v="0"/>
    <n v="0"/>
    <n v="0"/>
    <n v="0"/>
    <n v="0"/>
    <n v="0"/>
    <n v="1"/>
    <n v="55"/>
    <n v="47"/>
    <n v="8"/>
    <n v="0"/>
    <x v="0"/>
    <x v="0"/>
    <x v="3"/>
    <x v="1"/>
    <x v="2"/>
    <x v="0"/>
    <n v="1"/>
    <n v="0"/>
    <n v="11"/>
    <n v="4"/>
    <n v="0"/>
    <n v="2"/>
    <n v="6"/>
    <n v="0"/>
    <x v="4"/>
  </r>
  <r>
    <x v="1295"/>
    <n v="55954"/>
    <n v="0"/>
    <n v="1"/>
    <n v="63"/>
    <n v="447"/>
    <n v="0"/>
    <n v="28"/>
    <n v="0"/>
    <n v="0"/>
    <n v="43"/>
    <n v="3"/>
    <n v="8"/>
    <n v="2"/>
    <n v="6"/>
    <n v="7"/>
    <n v="0"/>
    <n v="0"/>
    <n v="0"/>
    <n v="0"/>
    <n v="0"/>
    <x v="0"/>
    <n v="0"/>
    <n v="3"/>
    <n v="11"/>
    <n v="0"/>
    <n v="52"/>
    <n v="2277"/>
    <n v="6.2383561643835614"/>
    <n v="0"/>
    <n v="1"/>
    <n v="0"/>
    <n v="0"/>
    <n v="0"/>
    <n v="0"/>
    <n v="0"/>
    <n v="0"/>
    <n v="0"/>
    <n v="1"/>
    <n v="475"/>
    <n v="432"/>
    <n v="43"/>
    <n v="0"/>
    <x v="0"/>
    <x v="0"/>
    <x v="0"/>
    <x v="1"/>
    <x v="2"/>
    <x v="1"/>
    <n v="1"/>
    <n v="0"/>
    <n v="26"/>
    <n v="4"/>
    <n v="7"/>
    <n v="5"/>
    <n v="16"/>
    <n v="5"/>
    <x v="1"/>
  </r>
  <r>
    <x v="1296"/>
    <n v="61278"/>
    <n v="0"/>
    <n v="1"/>
    <n v="87"/>
    <n v="111"/>
    <n v="3"/>
    <n v="28"/>
    <n v="2"/>
    <n v="6"/>
    <n v="15"/>
    <n v="2"/>
    <n v="3"/>
    <n v="1"/>
    <n v="4"/>
    <n v="6"/>
    <n v="0"/>
    <n v="0"/>
    <n v="0"/>
    <n v="0"/>
    <n v="0"/>
    <x v="0"/>
    <n v="0"/>
    <n v="3"/>
    <n v="11"/>
    <n v="0"/>
    <n v="67"/>
    <n v="2335"/>
    <n v="6.397260273972603"/>
    <n v="0"/>
    <n v="0"/>
    <n v="0"/>
    <n v="1"/>
    <n v="0"/>
    <n v="0"/>
    <n v="0"/>
    <n v="1"/>
    <n v="0"/>
    <n v="0"/>
    <n v="150"/>
    <n v="135"/>
    <n v="15"/>
    <n v="0"/>
    <x v="0"/>
    <x v="0"/>
    <x v="2"/>
    <x v="0"/>
    <x v="2"/>
    <x v="2"/>
    <n v="1"/>
    <n v="0"/>
    <n v="16"/>
    <n v="1.9999999999999996"/>
    <n v="3"/>
    <n v="3"/>
    <n v="8"/>
    <n v="1"/>
    <x v="3"/>
  </r>
  <r>
    <x v="1297"/>
    <n v="23478"/>
    <n v="0"/>
    <n v="0"/>
    <n v="51"/>
    <n v="28"/>
    <n v="6"/>
    <n v="27"/>
    <n v="12"/>
    <n v="17"/>
    <n v="39"/>
    <n v="1"/>
    <n v="3"/>
    <n v="0"/>
    <n v="3"/>
    <n v="8"/>
    <n v="0"/>
    <n v="0"/>
    <n v="0"/>
    <n v="0"/>
    <n v="0"/>
    <x v="0"/>
    <n v="0"/>
    <n v="3"/>
    <n v="11"/>
    <n v="0"/>
    <n v="55"/>
    <n v="2626"/>
    <n v="7.1945205479452055"/>
    <n v="0"/>
    <n v="0"/>
    <n v="1"/>
    <n v="0"/>
    <n v="0"/>
    <n v="0"/>
    <n v="0"/>
    <n v="1"/>
    <n v="0"/>
    <n v="0"/>
    <n v="90"/>
    <n v="51"/>
    <n v="39"/>
    <n v="0"/>
    <x v="1"/>
    <x v="1"/>
    <x v="1"/>
    <x v="0"/>
    <x v="0"/>
    <x v="1"/>
    <n v="1"/>
    <n v="0"/>
    <n v="15"/>
    <n v="5"/>
    <n v="2"/>
    <n v="3"/>
    <n v="10"/>
    <n v="2"/>
    <x v="3"/>
  </r>
  <r>
    <x v="1298"/>
    <n v="33471"/>
    <n v="1"/>
    <n v="0"/>
    <n v="47"/>
    <n v="43"/>
    <n v="2"/>
    <n v="27"/>
    <n v="0"/>
    <n v="9"/>
    <n v="12"/>
    <n v="3"/>
    <n v="3"/>
    <n v="0"/>
    <n v="4"/>
    <n v="7"/>
    <n v="0"/>
    <n v="0"/>
    <n v="0"/>
    <n v="0"/>
    <n v="0"/>
    <x v="0"/>
    <n v="0"/>
    <n v="3"/>
    <n v="11"/>
    <n v="0"/>
    <n v="47"/>
    <n v="2784"/>
    <n v="7.6273972602739724"/>
    <n v="0"/>
    <n v="1"/>
    <n v="0"/>
    <n v="0"/>
    <n v="0"/>
    <n v="0"/>
    <n v="0"/>
    <n v="1"/>
    <n v="0"/>
    <n v="0"/>
    <n v="81"/>
    <n v="69"/>
    <n v="12"/>
    <n v="0"/>
    <x v="0"/>
    <x v="0"/>
    <x v="0"/>
    <x v="0"/>
    <x v="0"/>
    <x v="0"/>
    <n v="1"/>
    <n v="0"/>
    <n v="17"/>
    <n v="6"/>
    <n v="3"/>
    <n v="3"/>
    <n v="12"/>
    <n v="3"/>
    <x v="3"/>
  </r>
  <r>
    <x v="1299"/>
    <n v="38136"/>
    <n v="1"/>
    <n v="0"/>
    <n v="69"/>
    <n v="8"/>
    <n v="15"/>
    <n v="27"/>
    <n v="0"/>
    <n v="20"/>
    <n v="33"/>
    <n v="2"/>
    <n v="3"/>
    <n v="1"/>
    <n v="2"/>
    <n v="8"/>
    <n v="0"/>
    <n v="0"/>
    <n v="1"/>
    <n v="0"/>
    <n v="0"/>
    <x v="1"/>
    <n v="0"/>
    <n v="3"/>
    <n v="11"/>
    <n v="0"/>
    <n v="42"/>
    <n v="2592"/>
    <n v="7.1013698630136988"/>
    <n v="0"/>
    <n v="1"/>
    <n v="0"/>
    <n v="0"/>
    <n v="0"/>
    <n v="0"/>
    <n v="0"/>
    <n v="1"/>
    <n v="0"/>
    <n v="0"/>
    <n v="70"/>
    <n v="37"/>
    <n v="33"/>
    <n v="1"/>
    <x v="0"/>
    <x v="0"/>
    <x v="0"/>
    <x v="0"/>
    <x v="3"/>
    <x v="0"/>
    <n v="1"/>
    <n v="0"/>
    <n v="16"/>
    <n v="4"/>
    <n v="3"/>
    <n v="3"/>
    <n v="10"/>
    <n v="2"/>
    <x v="3"/>
  </r>
  <r>
    <x v="1300"/>
    <n v="39791"/>
    <n v="0"/>
    <n v="1"/>
    <n v="89"/>
    <n v="85"/>
    <n v="15"/>
    <n v="27"/>
    <n v="13"/>
    <n v="13"/>
    <n v="21"/>
    <n v="2"/>
    <n v="3"/>
    <n v="1"/>
    <n v="4"/>
    <n v="7"/>
    <n v="0"/>
    <n v="0"/>
    <n v="0"/>
    <n v="0"/>
    <n v="0"/>
    <x v="0"/>
    <n v="0"/>
    <n v="3"/>
    <n v="11"/>
    <n v="0"/>
    <n v="49"/>
    <n v="2617"/>
    <n v="7.1698630136986301"/>
    <n v="0"/>
    <n v="1"/>
    <n v="0"/>
    <n v="0"/>
    <n v="0"/>
    <n v="0"/>
    <n v="0"/>
    <n v="0"/>
    <n v="1"/>
    <n v="0"/>
    <n v="153"/>
    <n v="132"/>
    <n v="21"/>
    <n v="0"/>
    <x v="0"/>
    <x v="0"/>
    <x v="0"/>
    <x v="1"/>
    <x v="3"/>
    <x v="0"/>
    <n v="1"/>
    <n v="0"/>
    <n v="17"/>
    <n v="1.9999999999999996"/>
    <n v="3"/>
    <n v="3"/>
    <n v="8"/>
    <n v="1"/>
    <x v="3"/>
  </r>
  <r>
    <x v="1301"/>
    <n v="40689"/>
    <n v="0"/>
    <n v="1"/>
    <n v="69"/>
    <n v="270"/>
    <n v="3"/>
    <n v="27"/>
    <n v="39"/>
    <n v="6"/>
    <n v="99"/>
    <n v="7"/>
    <n v="7"/>
    <n v="1"/>
    <n v="5"/>
    <n v="8"/>
    <n v="0"/>
    <n v="0"/>
    <n v="0"/>
    <n v="0"/>
    <n v="0"/>
    <x v="0"/>
    <n v="0"/>
    <n v="3"/>
    <n v="11"/>
    <n v="0"/>
    <n v="69"/>
    <n v="2627"/>
    <n v="7.1972602739726028"/>
    <n v="0"/>
    <n v="0"/>
    <n v="0"/>
    <n v="1"/>
    <n v="0"/>
    <n v="0"/>
    <n v="0"/>
    <n v="1"/>
    <n v="0"/>
    <n v="0"/>
    <n v="345"/>
    <n v="246"/>
    <n v="99"/>
    <n v="0"/>
    <x v="0"/>
    <x v="0"/>
    <x v="2"/>
    <x v="0"/>
    <x v="3"/>
    <x v="2"/>
    <n v="1"/>
    <n v="0"/>
    <n v="28"/>
    <n v="4"/>
    <n v="8"/>
    <n v="5"/>
    <n v="17"/>
    <n v="6"/>
    <x v="1"/>
  </r>
  <r>
    <x v="1302"/>
    <n v="40800"/>
    <n v="1"/>
    <n v="2"/>
    <n v="77"/>
    <n v="24"/>
    <n v="0"/>
    <n v="27"/>
    <n v="8"/>
    <n v="30"/>
    <n v="10"/>
    <n v="2"/>
    <n v="3"/>
    <n v="0"/>
    <n v="3"/>
    <n v="7"/>
    <n v="0"/>
    <n v="0"/>
    <n v="0"/>
    <n v="0"/>
    <n v="0"/>
    <x v="0"/>
    <n v="1"/>
    <n v="3"/>
    <n v="11"/>
    <n v="0"/>
    <n v="56"/>
    <n v="2703"/>
    <n v="7.4054794520547942"/>
    <n v="0"/>
    <n v="1"/>
    <n v="0"/>
    <n v="0"/>
    <n v="0"/>
    <n v="0"/>
    <n v="0"/>
    <n v="1"/>
    <n v="0"/>
    <n v="0"/>
    <n v="89"/>
    <n v="79"/>
    <n v="10"/>
    <n v="0"/>
    <x v="0"/>
    <x v="0"/>
    <x v="0"/>
    <x v="0"/>
    <x v="3"/>
    <x v="1"/>
    <n v="1"/>
    <n v="0"/>
    <n v="15"/>
    <n v="3.0000000000000004"/>
    <n v="2"/>
    <n v="3"/>
    <n v="8"/>
    <n v="1"/>
    <x v="3"/>
  </r>
  <r>
    <x v="1303"/>
    <n v="45906"/>
    <n v="0"/>
    <n v="1"/>
    <n v="20"/>
    <n v="305"/>
    <n v="3"/>
    <n v="27"/>
    <n v="4"/>
    <n v="3"/>
    <n v="144"/>
    <n v="2"/>
    <n v="5"/>
    <n v="4"/>
    <n v="4"/>
    <n v="5"/>
    <n v="0"/>
    <n v="0"/>
    <n v="1"/>
    <n v="0"/>
    <n v="0"/>
    <x v="1"/>
    <n v="0"/>
    <n v="3"/>
    <n v="11"/>
    <n v="0"/>
    <n v="56"/>
    <n v="2577"/>
    <n v="7.0602739726027401"/>
    <n v="0"/>
    <n v="0"/>
    <n v="1"/>
    <n v="0"/>
    <n v="0"/>
    <n v="0"/>
    <n v="0"/>
    <n v="1"/>
    <n v="0"/>
    <n v="0"/>
    <n v="342"/>
    <n v="198"/>
    <n v="144"/>
    <n v="1"/>
    <x v="0"/>
    <x v="0"/>
    <x v="1"/>
    <x v="0"/>
    <x v="3"/>
    <x v="1"/>
    <n v="0"/>
    <n v="0"/>
    <n v="20"/>
    <n v="8"/>
    <n v="4"/>
    <n v="4"/>
    <n v="16"/>
    <n v="5"/>
    <x v="1"/>
  </r>
  <r>
    <x v="1304"/>
    <n v="46098"/>
    <n v="1"/>
    <n v="1"/>
    <n v="86"/>
    <n v="57"/>
    <n v="0"/>
    <n v="27"/>
    <n v="0"/>
    <n v="0"/>
    <n v="36"/>
    <n v="4"/>
    <n v="3"/>
    <n v="2"/>
    <n v="2"/>
    <n v="8"/>
    <n v="0"/>
    <n v="0"/>
    <n v="0"/>
    <n v="0"/>
    <n v="0"/>
    <x v="0"/>
    <n v="0"/>
    <n v="3"/>
    <n v="11"/>
    <n v="0"/>
    <n v="45"/>
    <n v="2839"/>
    <n v="7.7780821917808218"/>
    <n v="0"/>
    <n v="0"/>
    <n v="1"/>
    <n v="0"/>
    <n v="0"/>
    <n v="0"/>
    <n v="0"/>
    <n v="0"/>
    <n v="1"/>
    <n v="0"/>
    <n v="84"/>
    <n v="48"/>
    <n v="36"/>
    <n v="0"/>
    <x v="0"/>
    <x v="0"/>
    <x v="1"/>
    <x v="1"/>
    <x v="3"/>
    <x v="0"/>
    <n v="1"/>
    <n v="0"/>
    <n v="19"/>
    <n v="1.9999999999999996"/>
    <n v="4"/>
    <n v="3"/>
    <n v="9"/>
    <n v="1"/>
    <x v="3"/>
  </r>
  <r>
    <x v="1305"/>
    <n v="46098"/>
    <n v="1"/>
    <n v="1"/>
    <n v="86"/>
    <n v="57"/>
    <n v="0"/>
    <n v="27"/>
    <n v="0"/>
    <n v="0"/>
    <n v="36"/>
    <n v="4"/>
    <n v="3"/>
    <n v="2"/>
    <n v="2"/>
    <n v="8"/>
    <n v="0"/>
    <n v="0"/>
    <n v="0"/>
    <n v="0"/>
    <n v="0"/>
    <x v="0"/>
    <n v="0"/>
    <n v="3"/>
    <n v="11"/>
    <n v="1"/>
    <n v="45"/>
    <n v="2839"/>
    <n v="7.7780821917808218"/>
    <n v="0"/>
    <n v="0"/>
    <n v="1"/>
    <n v="0"/>
    <n v="0"/>
    <n v="0"/>
    <n v="0"/>
    <n v="0"/>
    <n v="1"/>
    <n v="0"/>
    <n v="84"/>
    <n v="48"/>
    <n v="36"/>
    <n v="0"/>
    <x v="0"/>
    <x v="0"/>
    <x v="1"/>
    <x v="1"/>
    <x v="3"/>
    <x v="0"/>
    <n v="1"/>
    <n v="0"/>
    <n v="19"/>
    <n v="1.9999999999999996"/>
    <n v="4"/>
    <n v="3"/>
    <n v="9"/>
    <n v="1"/>
    <x v="3"/>
  </r>
  <r>
    <x v="1306"/>
    <n v="46107"/>
    <n v="1"/>
    <n v="0"/>
    <n v="78"/>
    <n v="31"/>
    <n v="9"/>
    <n v="27"/>
    <n v="16"/>
    <n v="9"/>
    <n v="33"/>
    <n v="1"/>
    <n v="1"/>
    <n v="1"/>
    <n v="4"/>
    <n v="3"/>
    <n v="0"/>
    <n v="0"/>
    <n v="0"/>
    <n v="0"/>
    <n v="0"/>
    <x v="0"/>
    <n v="0"/>
    <n v="3"/>
    <n v="11"/>
    <n v="0"/>
    <n v="31"/>
    <n v="2298"/>
    <n v="6.2958904109589042"/>
    <n v="0"/>
    <n v="0"/>
    <n v="1"/>
    <n v="0"/>
    <n v="0"/>
    <n v="0"/>
    <n v="0"/>
    <n v="1"/>
    <n v="0"/>
    <n v="0"/>
    <n v="92"/>
    <n v="59"/>
    <n v="33"/>
    <n v="0"/>
    <x v="0"/>
    <x v="0"/>
    <x v="1"/>
    <x v="0"/>
    <x v="3"/>
    <x v="3"/>
    <n v="1"/>
    <n v="0"/>
    <n v="10"/>
    <n v="3.0000000000000004"/>
    <n v="0"/>
    <n v="3"/>
    <n v="6"/>
    <n v="0"/>
    <x v="4"/>
  </r>
  <r>
    <x v="1307"/>
    <n v="54456"/>
    <n v="0"/>
    <n v="1"/>
    <n v="23"/>
    <n v="352"/>
    <n v="0"/>
    <n v="27"/>
    <n v="10"/>
    <n v="0"/>
    <n v="15"/>
    <n v="3"/>
    <n v="6"/>
    <n v="1"/>
    <n v="7"/>
    <n v="6"/>
    <n v="0"/>
    <n v="0"/>
    <n v="0"/>
    <n v="0"/>
    <n v="0"/>
    <x v="0"/>
    <n v="0"/>
    <n v="3"/>
    <n v="11"/>
    <n v="0"/>
    <n v="59"/>
    <n v="2512"/>
    <n v="6.882191780821918"/>
    <n v="0"/>
    <n v="1"/>
    <n v="0"/>
    <n v="0"/>
    <n v="0"/>
    <n v="0"/>
    <n v="0"/>
    <n v="0"/>
    <n v="0"/>
    <n v="1"/>
    <n v="389"/>
    <n v="374"/>
    <n v="15"/>
    <n v="0"/>
    <x v="0"/>
    <x v="0"/>
    <x v="0"/>
    <x v="1"/>
    <x v="2"/>
    <x v="1"/>
    <n v="0"/>
    <n v="0"/>
    <n v="23"/>
    <n v="8"/>
    <n v="6"/>
    <n v="5"/>
    <n v="19"/>
    <n v="7"/>
    <x v="2"/>
  </r>
  <r>
    <x v="1308"/>
    <n v="57530"/>
    <n v="0"/>
    <n v="1"/>
    <n v="68"/>
    <n v="50"/>
    <n v="1"/>
    <n v="27"/>
    <n v="6"/>
    <n v="7"/>
    <n v="1"/>
    <n v="1"/>
    <n v="1"/>
    <n v="1"/>
    <n v="4"/>
    <n v="1"/>
    <n v="0"/>
    <n v="0"/>
    <n v="0"/>
    <n v="0"/>
    <n v="0"/>
    <x v="0"/>
    <n v="0"/>
    <n v="3"/>
    <n v="11"/>
    <n v="0"/>
    <n v="69"/>
    <n v="2419"/>
    <n v="6.6273972602739724"/>
    <n v="1"/>
    <n v="0"/>
    <n v="0"/>
    <n v="0"/>
    <n v="0"/>
    <n v="0"/>
    <n v="0"/>
    <n v="0"/>
    <n v="1"/>
    <n v="0"/>
    <n v="91"/>
    <n v="90"/>
    <n v="1"/>
    <n v="0"/>
    <x v="0"/>
    <x v="0"/>
    <x v="3"/>
    <x v="1"/>
    <x v="2"/>
    <x v="2"/>
    <n v="1"/>
    <n v="0"/>
    <n v="8"/>
    <n v="4"/>
    <n v="0"/>
    <n v="3"/>
    <n v="7"/>
    <n v="1"/>
    <x v="3"/>
  </r>
  <r>
    <x v="1309"/>
    <n v="64100"/>
    <n v="0"/>
    <n v="1"/>
    <n v="93"/>
    <n v="509"/>
    <n v="0"/>
    <n v="27"/>
    <n v="0"/>
    <n v="0"/>
    <n v="10"/>
    <n v="1"/>
    <n v="8"/>
    <n v="3"/>
    <n v="6"/>
    <n v="7"/>
    <n v="0"/>
    <n v="0"/>
    <n v="0"/>
    <n v="1"/>
    <n v="0"/>
    <x v="1"/>
    <n v="0"/>
    <n v="3"/>
    <n v="11"/>
    <n v="0"/>
    <n v="56"/>
    <n v="2451"/>
    <n v="6.7150684931506852"/>
    <n v="0"/>
    <n v="1"/>
    <n v="0"/>
    <n v="0"/>
    <n v="0"/>
    <n v="0"/>
    <n v="0"/>
    <n v="0"/>
    <n v="1"/>
    <n v="0"/>
    <n v="536"/>
    <n v="526"/>
    <n v="10"/>
    <n v="1"/>
    <x v="0"/>
    <x v="0"/>
    <x v="0"/>
    <x v="1"/>
    <x v="2"/>
    <x v="1"/>
    <n v="1"/>
    <n v="1"/>
    <n v="25"/>
    <n v="0.99999999999999978"/>
    <n v="7"/>
    <n v="5"/>
    <n v="13"/>
    <n v="3"/>
    <x v="3"/>
  </r>
  <r>
    <x v="1310"/>
    <n v="6560"/>
    <n v="0"/>
    <n v="0"/>
    <n v="2"/>
    <n v="67"/>
    <n v="11"/>
    <n v="26"/>
    <n v="4"/>
    <n v="3"/>
    <n v="262"/>
    <n v="0"/>
    <n v="1"/>
    <n v="0"/>
    <n v="1"/>
    <n v="17"/>
    <n v="0"/>
    <n v="0"/>
    <n v="0"/>
    <n v="0"/>
    <n v="0"/>
    <x v="0"/>
    <n v="0"/>
    <n v="3"/>
    <n v="11"/>
    <n v="0"/>
    <n v="38"/>
    <n v="2358"/>
    <n v="6.4602739726027396"/>
    <n v="0"/>
    <n v="0"/>
    <n v="1"/>
    <n v="0"/>
    <n v="0"/>
    <n v="0"/>
    <n v="0"/>
    <n v="0"/>
    <n v="1"/>
    <n v="0"/>
    <n v="111"/>
    <n v="-151"/>
    <n v="262"/>
    <n v="0"/>
    <x v="1"/>
    <x v="1"/>
    <x v="1"/>
    <x v="1"/>
    <x v="0"/>
    <x v="3"/>
    <n v="0"/>
    <n v="0"/>
    <n v="19"/>
    <n v="10"/>
    <n v="4"/>
    <n v="3"/>
    <n v="17"/>
    <n v="6"/>
    <x v="1"/>
  </r>
  <r>
    <x v="1311"/>
    <n v="11012"/>
    <n v="1"/>
    <n v="0"/>
    <n v="82"/>
    <n v="24"/>
    <n v="3"/>
    <n v="26"/>
    <n v="7"/>
    <n v="1"/>
    <n v="23"/>
    <n v="3"/>
    <n v="3"/>
    <n v="1"/>
    <n v="2"/>
    <n v="9"/>
    <n v="0"/>
    <n v="0"/>
    <n v="1"/>
    <n v="0"/>
    <n v="0"/>
    <x v="1"/>
    <n v="0"/>
    <n v="3"/>
    <n v="11"/>
    <n v="0"/>
    <n v="36"/>
    <n v="2629"/>
    <n v="7.2027397260273975"/>
    <n v="0"/>
    <n v="0"/>
    <n v="1"/>
    <n v="0"/>
    <n v="0"/>
    <n v="0"/>
    <n v="0"/>
    <n v="1"/>
    <n v="0"/>
    <n v="0"/>
    <n v="61"/>
    <n v="38"/>
    <n v="23"/>
    <n v="1"/>
    <x v="0"/>
    <x v="0"/>
    <x v="1"/>
    <x v="0"/>
    <x v="0"/>
    <x v="3"/>
    <n v="1"/>
    <n v="0"/>
    <n v="18"/>
    <n v="1.9999999999999996"/>
    <n v="4"/>
    <n v="2"/>
    <n v="8"/>
    <n v="1"/>
    <x v="3"/>
  </r>
  <r>
    <x v="1312"/>
    <n v="27213"/>
    <n v="1"/>
    <n v="0"/>
    <n v="19"/>
    <n v="19"/>
    <n v="3"/>
    <n v="26"/>
    <n v="10"/>
    <n v="9"/>
    <n v="3"/>
    <n v="3"/>
    <n v="2"/>
    <n v="0"/>
    <n v="4"/>
    <n v="8"/>
    <n v="0"/>
    <n v="0"/>
    <n v="0"/>
    <n v="0"/>
    <n v="0"/>
    <x v="0"/>
    <n v="0"/>
    <n v="3"/>
    <n v="11"/>
    <n v="1"/>
    <n v="48"/>
    <n v="2827"/>
    <n v="7.7452054794520544"/>
    <n v="0"/>
    <n v="0"/>
    <n v="1"/>
    <n v="0"/>
    <n v="0"/>
    <n v="0"/>
    <n v="0"/>
    <n v="0"/>
    <n v="0"/>
    <n v="1"/>
    <n v="67"/>
    <n v="64"/>
    <n v="3"/>
    <n v="0"/>
    <x v="0"/>
    <x v="0"/>
    <x v="1"/>
    <x v="1"/>
    <x v="0"/>
    <x v="0"/>
    <n v="0"/>
    <n v="0"/>
    <n v="17"/>
    <n v="9"/>
    <n v="3"/>
    <n v="2"/>
    <n v="14"/>
    <n v="4"/>
    <x v="3"/>
  </r>
  <r>
    <x v="1313"/>
    <n v="27242"/>
    <n v="1"/>
    <n v="0"/>
    <n v="2"/>
    <n v="3"/>
    <n v="17"/>
    <n v="26"/>
    <n v="20"/>
    <n v="1"/>
    <n v="39"/>
    <n v="2"/>
    <n v="2"/>
    <n v="0"/>
    <n v="3"/>
    <n v="9"/>
    <n v="0"/>
    <n v="0"/>
    <n v="0"/>
    <n v="0"/>
    <n v="0"/>
    <x v="0"/>
    <n v="0"/>
    <n v="3"/>
    <n v="11"/>
    <n v="1"/>
    <n v="50"/>
    <n v="2754"/>
    <n v="7.5452054794520551"/>
    <n v="0"/>
    <n v="0"/>
    <n v="1"/>
    <n v="0"/>
    <n v="0"/>
    <n v="0"/>
    <n v="0"/>
    <n v="1"/>
    <n v="0"/>
    <n v="0"/>
    <n v="67"/>
    <n v="28"/>
    <n v="39"/>
    <n v="0"/>
    <x v="0"/>
    <x v="0"/>
    <x v="1"/>
    <x v="0"/>
    <x v="0"/>
    <x v="0"/>
    <n v="0"/>
    <n v="0"/>
    <n v="16"/>
    <n v="10"/>
    <n v="3"/>
    <n v="2"/>
    <n v="15"/>
    <n v="4"/>
    <x v="3"/>
  </r>
  <r>
    <x v="1314"/>
    <n v="28164"/>
    <n v="1"/>
    <n v="0"/>
    <n v="23"/>
    <n v="3"/>
    <n v="18"/>
    <n v="26"/>
    <n v="11"/>
    <n v="8"/>
    <n v="12"/>
    <n v="3"/>
    <n v="2"/>
    <n v="0"/>
    <n v="4"/>
    <n v="7"/>
    <n v="0"/>
    <n v="0"/>
    <n v="0"/>
    <n v="0"/>
    <n v="0"/>
    <x v="0"/>
    <n v="0"/>
    <n v="3"/>
    <n v="11"/>
    <n v="0"/>
    <n v="50"/>
    <n v="2580"/>
    <n v="7.0684931506849313"/>
    <n v="0"/>
    <n v="1"/>
    <n v="0"/>
    <n v="0"/>
    <n v="0"/>
    <n v="0"/>
    <n v="0"/>
    <n v="1"/>
    <n v="0"/>
    <n v="0"/>
    <n v="66"/>
    <n v="54"/>
    <n v="12"/>
    <n v="0"/>
    <x v="0"/>
    <x v="0"/>
    <x v="0"/>
    <x v="0"/>
    <x v="0"/>
    <x v="0"/>
    <n v="0"/>
    <n v="0"/>
    <n v="16"/>
    <n v="8"/>
    <n v="3"/>
    <n v="2"/>
    <n v="13"/>
    <n v="3"/>
    <x v="3"/>
  </r>
  <r>
    <x v="1315"/>
    <n v="34961"/>
    <n v="1"/>
    <n v="0"/>
    <n v="77"/>
    <n v="45"/>
    <n v="2"/>
    <n v="26"/>
    <n v="4"/>
    <n v="1"/>
    <n v="1"/>
    <n v="3"/>
    <n v="3"/>
    <n v="1"/>
    <n v="3"/>
    <n v="7"/>
    <n v="0"/>
    <n v="0"/>
    <n v="0"/>
    <n v="0"/>
    <n v="0"/>
    <x v="0"/>
    <n v="0"/>
    <n v="3"/>
    <n v="11"/>
    <n v="0"/>
    <n v="47"/>
    <n v="2169"/>
    <n v="5.9424657534246572"/>
    <n v="0"/>
    <n v="1"/>
    <n v="0"/>
    <n v="0"/>
    <n v="0"/>
    <n v="0"/>
    <n v="0"/>
    <n v="1"/>
    <n v="0"/>
    <n v="0"/>
    <n v="78"/>
    <n v="77"/>
    <n v="1"/>
    <n v="0"/>
    <x v="0"/>
    <x v="0"/>
    <x v="0"/>
    <x v="0"/>
    <x v="0"/>
    <x v="0"/>
    <n v="1"/>
    <n v="0"/>
    <n v="17"/>
    <n v="3.0000000000000004"/>
    <n v="3"/>
    <n v="3"/>
    <n v="9"/>
    <n v="1"/>
    <x v="3"/>
  </r>
  <r>
    <x v="1316"/>
    <n v="37155"/>
    <n v="1"/>
    <n v="0"/>
    <n v="51"/>
    <n v="23"/>
    <n v="0"/>
    <n v="26"/>
    <n v="7"/>
    <n v="15"/>
    <n v="3"/>
    <n v="1"/>
    <n v="2"/>
    <n v="0"/>
    <n v="4"/>
    <n v="5"/>
    <n v="0"/>
    <n v="0"/>
    <n v="0"/>
    <n v="0"/>
    <n v="0"/>
    <x v="0"/>
    <n v="0"/>
    <n v="3"/>
    <n v="11"/>
    <n v="0"/>
    <n v="31"/>
    <n v="2673"/>
    <n v="7.3232876712328769"/>
    <n v="0"/>
    <n v="1"/>
    <n v="0"/>
    <n v="0"/>
    <n v="0"/>
    <n v="0"/>
    <n v="0"/>
    <n v="1"/>
    <n v="0"/>
    <n v="0"/>
    <n v="71"/>
    <n v="68"/>
    <n v="3"/>
    <n v="0"/>
    <x v="0"/>
    <x v="0"/>
    <x v="0"/>
    <x v="0"/>
    <x v="3"/>
    <x v="3"/>
    <n v="1"/>
    <n v="0"/>
    <n v="12"/>
    <n v="5"/>
    <n v="1"/>
    <n v="3"/>
    <n v="9"/>
    <n v="1"/>
    <x v="3"/>
  </r>
  <r>
    <x v="1317"/>
    <n v="39898"/>
    <n v="0"/>
    <n v="1"/>
    <n v="20"/>
    <n v="69"/>
    <n v="8"/>
    <n v="26"/>
    <n v="12"/>
    <n v="7"/>
    <n v="12"/>
    <n v="2"/>
    <n v="3"/>
    <n v="0"/>
    <n v="4"/>
    <n v="7"/>
    <n v="0"/>
    <n v="0"/>
    <n v="0"/>
    <n v="0"/>
    <n v="0"/>
    <x v="0"/>
    <n v="0"/>
    <n v="3"/>
    <n v="11"/>
    <n v="0"/>
    <n v="66"/>
    <n v="2661"/>
    <n v="7.2904109589041095"/>
    <n v="0"/>
    <n v="0"/>
    <n v="0"/>
    <n v="1"/>
    <n v="0"/>
    <n v="0"/>
    <n v="0"/>
    <n v="1"/>
    <n v="0"/>
    <n v="0"/>
    <n v="122"/>
    <n v="110"/>
    <n v="12"/>
    <n v="0"/>
    <x v="0"/>
    <x v="0"/>
    <x v="2"/>
    <x v="0"/>
    <x v="3"/>
    <x v="2"/>
    <n v="0"/>
    <n v="0"/>
    <n v="16"/>
    <n v="8"/>
    <n v="3"/>
    <n v="3"/>
    <n v="14"/>
    <n v="4"/>
    <x v="3"/>
  </r>
  <r>
    <x v="1318"/>
    <n v="47808"/>
    <n v="0"/>
    <n v="1"/>
    <n v="30"/>
    <n v="123"/>
    <n v="1"/>
    <n v="26"/>
    <n v="2"/>
    <n v="0"/>
    <n v="72"/>
    <n v="2"/>
    <n v="3"/>
    <n v="2"/>
    <n v="3"/>
    <n v="7"/>
    <n v="0"/>
    <n v="0"/>
    <n v="1"/>
    <n v="0"/>
    <n v="0"/>
    <x v="1"/>
    <n v="0"/>
    <n v="3"/>
    <n v="11"/>
    <n v="0"/>
    <n v="45"/>
    <n v="2411"/>
    <n v="6.6054794520547944"/>
    <n v="0"/>
    <n v="1"/>
    <n v="0"/>
    <n v="0"/>
    <n v="0"/>
    <n v="0"/>
    <n v="0"/>
    <n v="0"/>
    <n v="1"/>
    <n v="0"/>
    <n v="152"/>
    <n v="80"/>
    <n v="72"/>
    <n v="1"/>
    <x v="0"/>
    <x v="0"/>
    <x v="0"/>
    <x v="1"/>
    <x v="3"/>
    <x v="0"/>
    <n v="0"/>
    <n v="0"/>
    <n v="17"/>
    <n v="7"/>
    <n v="3"/>
    <n v="3"/>
    <n v="13"/>
    <n v="3"/>
    <x v="3"/>
  </r>
  <r>
    <x v="1319"/>
    <n v="47916"/>
    <n v="0"/>
    <n v="1"/>
    <n v="72"/>
    <n v="505"/>
    <n v="0"/>
    <n v="26"/>
    <n v="0"/>
    <n v="0"/>
    <n v="75"/>
    <n v="5"/>
    <n v="7"/>
    <n v="4"/>
    <n v="6"/>
    <n v="6"/>
    <n v="0"/>
    <n v="0"/>
    <n v="0"/>
    <n v="1"/>
    <n v="0"/>
    <x v="1"/>
    <n v="0"/>
    <n v="3"/>
    <n v="11"/>
    <n v="0"/>
    <n v="60"/>
    <n v="2743"/>
    <n v="7.515068493150685"/>
    <n v="0"/>
    <n v="0"/>
    <n v="0"/>
    <n v="0"/>
    <n v="1"/>
    <n v="0"/>
    <n v="0"/>
    <n v="1"/>
    <n v="0"/>
    <n v="0"/>
    <n v="531"/>
    <n v="456"/>
    <n v="75"/>
    <n v="1"/>
    <x v="0"/>
    <x v="0"/>
    <x v="4"/>
    <x v="0"/>
    <x v="3"/>
    <x v="1"/>
    <n v="1"/>
    <n v="0"/>
    <n v="28"/>
    <n v="3.0000000000000004"/>
    <n v="8"/>
    <n v="5"/>
    <n v="16"/>
    <n v="5"/>
    <x v="1"/>
  </r>
  <r>
    <x v="1320"/>
    <n v="49618"/>
    <n v="1"/>
    <n v="1"/>
    <n v="77"/>
    <n v="80"/>
    <n v="3"/>
    <n v="26"/>
    <n v="4"/>
    <n v="2"/>
    <n v="14"/>
    <n v="4"/>
    <n v="3"/>
    <n v="1"/>
    <n v="3"/>
    <n v="7"/>
    <n v="0"/>
    <n v="0"/>
    <n v="0"/>
    <n v="0"/>
    <n v="0"/>
    <x v="0"/>
    <n v="0"/>
    <n v="3"/>
    <n v="11"/>
    <n v="0"/>
    <n v="54"/>
    <n v="2678"/>
    <n v="7.3369863013698629"/>
    <n v="0"/>
    <n v="0"/>
    <n v="0"/>
    <n v="1"/>
    <n v="0"/>
    <n v="0"/>
    <n v="0"/>
    <n v="0"/>
    <n v="1"/>
    <n v="0"/>
    <n v="115"/>
    <n v="101"/>
    <n v="14"/>
    <n v="0"/>
    <x v="0"/>
    <x v="0"/>
    <x v="2"/>
    <x v="1"/>
    <x v="3"/>
    <x v="1"/>
    <n v="1"/>
    <n v="0"/>
    <n v="18"/>
    <n v="3.0000000000000004"/>
    <n v="4"/>
    <n v="3"/>
    <n v="10"/>
    <n v="2"/>
    <x v="3"/>
  </r>
  <r>
    <x v="1321"/>
    <n v="49681"/>
    <n v="0"/>
    <n v="2"/>
    <n v="66"/>
    <n v="411"/>
    <n v="0"/>
    <n v="26"/>
    <n v="0"/>
    <n v="0"/>
    <n v="21"/>
    <n v="6"/>
    <n v="7"/>
    <n v="1"/>
    <n v="7"/>
    <n v="7"/>
    <n v="0"/>
    <n v="0"/>
    <n v="0"/>
    <n v="0"/>
    <n v="0"/>
    <x v="0"/>
    <n v="0"/>
    <n v="3"/>
    <n v="11"/>
    <n v="0"/>
    <n v="44"/>
    <n v="2396"/>
    <n v="6.5643835616438357"/>
    <n v="0"/>
    <n v="1"/>
    <n v="0"/>
    <n v="0"/>
    <n v="0"/>
    <n v="0"/>
    <n v="0"/>
    <n v="0"/>
    <n v="1"/>
    <n v="0"/>
    <n v="437"/>
    <n v="416"/>
    <n v="21"/>
    <n v="0"/>
    <x v="0"/>
    <x v="0"/>
    <x v="0"/>
    <x v="1"/>
    <x v="3"/>
    <x v="0"/>
    <n v="1"/>
    <n v="0"/>
    <n v="28"/>
    <n v="4"/>
    <n v="8"/>
    <n v="5"/>
    <n v="17"/>
    <n v="6"/>
    <x v="1"/>
  </r>
  <r>
    <x v="1322"/>
    <n v="54252"/>
    <n v="1"/>
    <n v="1"/>
    <n v="25"/>
    <n v="178"/>
    <n v="4"/>
    <n v="26"/>
    <n v="8"/>
    <n v="4"/>
    <n v="44"/>
    <n v="5"/>
    <n v="4"/>
    <n v="1"/>
    <n v="5"/>
    <n v="6"/>
    <n v="0"/>
    <n v="0"/>
    <n v="0"/>
    <n v="0"/>
    <n v="0"/>
    <x v="0"/>
    <n v="0"/>
    <n v="3"/>
    <n v="11"/>
    <n v="0"/>
    <n v="64"/>
    <n v="2556"/>
    <n v="7.0027397260273974"/>
    <n v="0"/>
    <n v="0"/>
    <n v="1"/>
    <n v="0"/>
    <n v="0"/>
    <n v="0"/>
    <n v="0"/>
    <n v="1"/>
    <n v="0"/>
    <n v="0"/>
    <n v="220"/>
    <n v="176"/>
    <n v="44"/>
    <n v="0"/>
    <x v="0"/>
    <x v="0"/>
    <x v="1"/>
    <x v="0"/>
    <x v="2"/>
    <x v="2"/>
    <n v="0"/>
    <n v="0"/>
    <n v="21"/>
    <n v="8"/>
    <n v="5"/>
    <n v="4"/>
    <n v="17"/>
    <n v="6"/>
    <x v="1"/>
  </r>
  <r>
    <x v="1323"/>
    <n v="55521"/>
    <n v="1"/>
    <n v="2"/>
    <n v="11"/>
    <n v="416"/>
    <n v="0"/>
    <n v="26"/>
    <n v="0"/>
    <n v="0"/>
    <n v="4"/>
    <n v="9"/>
    <n v="6"/>
    <n v="3"/>
    <n v="6"/>
    <n v="7"/>
    <n v="0"/>
    <n v="0"/>
    <n v="0"/>
    <n v="1"/>
    <n v="0"/>
    <x v="1"/>
    <n v="0"/>
    <n v="3"/>
    <n v="11"/>
    <n v="1"/>
    <n v="65"/>
    <n v="2409"/>
    <n v="6.6"/>
    <n v="0"/>
    <n v="0"/>
    <n v="1"/>
    <n v="0"/>
    <n v="0"/>
    <n v="0"/>
    <n v="0"/>
    <n v="0"/>
    <n v="0"/>
    <n v="1"/>
    <n v="442"/>
    <n v="438"/>
    <n v="4"/>
    <n v="1"/>
    <x v="0"/>
    <x v="0"/>
    <x v="1"/>
    <x v="1"/>
    <x v="2"/>
    <x v="2"/>
    <n v="0"/>
    <n v="0"/>
    <n v="31"/>
    <n v="9"/>
    <n v="9"/>
    <n v="5"/>
    <n v="23"/>
    <n v="8"/>
    <x v="2"/>
  </r>
  <r>
    <x v="1324"/>
    <n v="18589"/>
    <n v="0"/>
    <n v="0"/>
    <n v="89"/>
    <n v="6"/>
    <n v="4"/>
    <n v="25"/>
    <n v="15"/>
    <n v="12"/>
    <n v="13"/>
    <n v="2"/>
    <n v="2"/>
    <n v="1"/>
    <n v="3"/>
    <n v="7"/>
    <n v="0"/>
    <n v="0"/>
    <n v="0"/>
    <n v="0"/>
    <n v="0"/>
    <x v="0"/>
    <n v="0"/>
    <n v="3"/>
    <n v="11"/>
    <n v="0"/>
    <n v="51"/>
    <n v="2702"/>
    <n v="7.4027397260273968"/>
    <n v="0"/>
    <n v="0"/>
    <n v="1"/>
    <n v="0"/>
    <n v="0"/>
    <n v="0"/>
    <n v="0"/>
    <n v="1"/>
    <n v="0"/>
    <n v="0"/>
    <n v="62"/>
    <n v="49"/>
    <n v="13"/>
    <n v="0"/>
    <x v="1"/>
    <x v="1"/>
    <x v="1"/>
    <x v="0"/>
    <x v="0"/>
    <x v="1"/>
    <n v="1"/>
    <n v="0"/>
    <n v="15"/>
    <n v="1.9999999999999996"/>
    <n v="2"/>
    <n v="2"/>
    <n v="6"/>
    <n v="0"/>
    <x v="4"/>
  </r>
  <r>
    <x v="1325"/>
    <n v="21255"/>
    <n v="1"/>
    <n v="0"/>
    <n v="56"/>
    <n v="29"/>
    <n v="0"/>
    <n v="25"/>
    <n v="2"/>
    <n v="2"/>
    <n v="3"/>
    <n v="4"/>
    <n v="2"/>
    <n v="1"/>
    <n v="4"/>
    <n v="4"/>
    <n v="0"/>
    <n v="0"/>
    <n v="0"/>
    <n v="0"/>
    <n v="0"/>
    <x v="0"/>
    <n v="0"/>
    <n v="3"/>
    <n v="11"/>
    <n v="0"/>
    <n v="46"/>
    <n v="2318"/>
    <n v="6.3506849315068497"/>
    <n v="0"/>
    <n v="0"/>
    <n v="0"/>
    <n v="1"/>
    <n v="0"/>
    <n v="0"/>
    <n v="0"/>
    <n v="0"/>
    <n v="1"/>
    <n v="0"/>
    <n v="58"/>
    <n v="55"/>
    <n v="3"/>
    <n v="0"/>
    <x v="0"/>
    <x v="0"/>
    <x v="2"/>
    <x v="1"/>
    <x v="0"/>
    <x v="0"/>
    <n v="1"/>
    <n v="0"/>
    <n v="15"/>
    <n v="5"/>
    <n v="2"/>
    <n v="2"/>
    <n v="9"/>
    <n v="1"/>
    <x v="3"/>
  </r>
  <r>
    <x v="1326"/>
    <n v="24711"/>
    <n v="0"/>
    <n v="0"/>
    <n v="86"/>
    <n v="10"/>
    <n v="7"/>
    <n v="25"/>
    <n v="6"/>
    <n v="3"/>
    <n v="7"/>
    <n v="1"/>
    <n v="3"/>
    <n v="0"/>
    <n v="3"/>
    <n v="7"/>
    <n v="0"/>
    <n v="0"/>
    <n v="0"/>
    <n v="0"/>
    <n v="0"/>
    <x v="0"/>
    <n v="0"/>
    <n v="3"/>
    <n v="11"/>
    <n v="0"/>
    <n v="38"/>
    <n v="2231"/>
    <n v="6.1123287671232873"/>
    <n v="0"/>
    <n v="1"/>
    <n v="0"/>
    <n v="0"/>
    <n v="0"/>
    <n v="0"/>
    <n v="0"/>
    <n v="1"/>
    <n v="0"/>
    <n v="0"/>
    <n v="51"/>
    <n v="44"/>
    <n v="7"/>
    <n v="0"/>
    <x v="1"/>
    <x v="1"/>
    <x v="0"/>
    <x v="0"/>
    <x v="0"/>
    <x v="3"/>
    <n v="1"/>
    <n v="0"/>
    <n v="14"/>
    <n v="1.9999999999999996"/>
    <n v="2"/>
    <n v="2"/>
    <n v="6"/>
    <n v="0"/>
    <x v="4"/>
  </r>
  <r>
    <x v="1327"/>
    <n v="27038"/>
    <n v="0"/>
    <n v="0"/>
    <n v="64"/>
    <n v="1"/>
    <n v="26"/>
    <n v="25"/>
    <n v="17"/>
    <n v="23"/>
    <n v="15"/>
    <n v="1"/>
    <n v="3"/>
    <n v="0"/>
    <n v="3"/>
    <n v="9"/>
    <n v="0"/>
    <n v="0"/>
    <n v="0"/>
    <n v="0"/>
    <n v="0"/>
    <x v="0"/>
    <n v="0"/>
    <n v="3"/>
    <n v="11"/>
    <n v="1"/>
    <n v="54"/>
    <n v="2808"/>
    <n v="7.6931506849315072"/>
    <n v="0"/>
    <n v="0"/>
    <n v="0"/>
    <n v="0"/>
    <n v="1"/>
    <n v="0"/>
    <n v="0"/>
    <n v="1"/>
    <n v="0"/>
    <n v="0"/>
    <n v="92"/>
    <n v="77"/>
    <n v="15"/>
    <n v="0"/>
    <x v="1"/>
    <x v="1"/>
    <x v="4"/>
    <x v="0"/>
    <x v="0"/>
    <x v="1"/>
    <n v="1"/>
    <n v="0"/>
    <n v="16"/>
    <n v="4"/>
    <n v="3"/>
    <n v="3"/>
    <n v="10"/>
    <n v="2"/>
    <x v="3"/>
  </r>
  <r>
    <x v="1328"/>
    <n v="30732"/>
    <n v="1"/>
    <n v="0"/>
    <n v="44"/>
    <n v="155"/>
    <n v="1"/>
    <n v="25"/>
    <n v="0"/>
    <n v="1"/>
    <n v="3"/>
    <n v="4"/>
    <n v="4"/>
    <n v="1"/>
    <n v="4"/>
    <n v="8"/>
    <n v="0"/>
    <n v="0"/>
    <n v="0"/>
    <n v="0"/>
    <n v="0"/>
    <x v="0"/>
    <n v="0"/>
    <n v="3"/>
    <n v="11"/>
    <n v="0"/>
    <n v="40"/>
    <n v="2699"/>
    <n v="7.3945205479452056"/>
    <n v="0"/>
    <n v="1"/>
    <n v="0"/>
    <n v="0"/>
    <n v="0"/>
    <n v="0"/>
    <n v="0"/>
    <n v="0"/>
    <n v="0"/>
    <n v="1"/>
    <n v="182"/>
    <n v="179"/>
    <n v="3"/>
    <n v="0"/>
    <x v="0"/>
    <x v="0"/>
    <x v="0"/>
    <x v="1"/>
    <x v="0"/>
    <x v="3"/>
    <n v="1"/>
    <n v="0"/>
    <n v="21"/>
    <n v="6"/>
    <n v="5"/>
    <n v="4"/>
    <n v="15"/>
    <n v="4"/>
    <x v="3"/>
  </r>
  <r>
    <x v="1329"/>
    <n v="30753"/>
    <n v="1"/>
    <n v="1"/>
    <n v="85"/>
    <n v="12"/>
    <n v="5"/>
    <n v="25"/>
    <n v="0"/>
    <n v="9"/>
    <n v="30"/>
    <n v="2"/>
    <n v="1"/>
    <n v="1"/>
    <n v="3"/>
    <n v="5"/>
    <n v="0"/>
    <n v="0"/>
    <n v="0"/>
    <n v="0"/>
    <n v="0"/>
    <x v="0"/>
    <n v="0"/>
    <n v="3"/>
    <n v="11"/>
    <n v="0"/>
    <n v="53"/>
    <n v="2512"/>
    <n v="6.882191780821918"/>
    <n v="0"/>
    <n v="0"/>
    <n v="0"/>
    <n v="1"/>
    <n v="0"/>
    <n v="1"/>
    <n v="0"/>
    <n v="0"/>
    <n v="0"/>
    <n v="0"/>
    <n v="51"/>
    <n v="21"/>
    <n v="30"/>
    <n v="0"/>
    <x v="0"/>
    <x v="0"/>
    <x v="2"/>
    <x v="1"/>
    <x v="0"/>
    <x v="1"/>
    <n v="1"/>
    <n v="0"/>
    <n v="12"/>
    <n v="1.9999999999999996"/>
    <n v="1"/>
    <n v="2"/>
    <n v="5"/>
    <n v="0"/>
    <x v="4"/>
  </r>
  <r>
    <x v="1330"/>
    <n v="31160"/>
    <n v="1"/>
    <n v="0"/>
    <n v="59"/>
    <n v="16"/>
    <n v="3"/>
    <n v="25"/>
    <n v="6"/>
    <n v="1"/>
    <n v="13"/>
    <n v="2"/>
    <n v="2"/>
    <n v="0"/>
    <n v="3"/>
    <n v="8"/>
    <n v="0"/>
    <n v="0"/>
    <n v="0"/>
    <n v="0"/>
    <n v="0"/>
    <x v="0"/>
    <n v="0"/>
    <n v="3"/>
    <n v="11"/>
    <n v="0"/>
    <n v="45"/>
    <n v="2445"/>
    <n v="6.6986301369863011"/>
    <n v="0"/>
    <n v="0"/>
    <n v="1"/>
    <n v="0"/>
    <n v="0"/>
    <n v="0"/>
    <n v="0"/>
    <n v="0"/>
    <n v="1"/>
    <n v="0"/>
    <n v="51"/>
    <n v="38"/>
    <n v="13"/>
    <n v="0"/>
    <x v="0"/>
    <x v="0"/>
    <x v="1"/>
    <x v="1"/>
    <x v="0"/>
    <x v="0"/>
    <n v="1"/>
    <n v="0"/>
    <n v="15"/>
    <n v="4"/>
    <n v="2"/>
    <n v="2"/>
    <n v="8"/>
    <n v="1"/>
    <x v="3"/>
  </r>
  <r>
    <x v="1331"/>
    <n v="31395"/>
    <n v="1"/>
    <n v="1"/>
    <n v="80"/>
    <n v="23"/>
    <n v="1"/>
    <n v="25"/>
    <n v="0"/>
    <n v="8"/>
    <n v="7"/>
    <n v="4"/>
    <n v="2"/>
    <n v="1"/>
    <n v="3"/>
    <n v="6"/>
    <n v="0"/>
    <n v="0"/>
    <n v="0"/>
    <n v="0"/>
    <n v="0"/>
    <x v="0"/>
    <n v="0"/>
    <n v="3"/>
    <n v="11"/>
    <n v="0"/>
    <n v="64"/>
    <n v="2622"/>
    <n v="7.183561643835616"/>
    <n v="1"/>
    <n v="0"/>
    <n v="0"/>
    <n v="0"/>
    <n v="0"/>
    <n v="1"/>
    <n v="0"/>
    <n v="0"/>
    <n v="0"/>
    <n v="0"/>
    <n v="57"/>
    <n v="50"/>
    <n v="7"/>
    <n v="0"/>
    <x v="0"/>
    <x v="0"/>
    <x v="3"/>
    <x v="1"/>
    <x v="0"/>
    <x v="2"/>
    <n v="1"/>
    <n v="0"/>
    <n v="16"/>
    <n v="1.9999999999999996"/>
    <n v="3"/>
    <n v="2"/>
    <n v="7"/>
    <n v="1"/>
    <x v="3"/>
  </r>
  <r>
    <x v="1332"/>
    <n v="34941"/>
    <n v="1"/>
    <n v="1"/>
    <n v="26"/>
    <n v="39"/>
    <n v="2"/>
    <n v="25"/>
    <n v="4"/>
    <n v="3"/>
    <n v="24"/>
    <n v="2"/>
    <n v="3"/>
    <n v="0"/>
    <n v="3"/>
    <n v="8"/>
    <n v="0"/>
    <n v="0"/>
    <n v="0"/>
    <n v="0"/>
    <n v="0"/>
    <x v="0"/>
    <n v="0"/>
    <n v="3"/>
    <n v="11"/>
    <n v="0"/>
    <n v="64"/>
    <n v="2639"/>
    <n v="7.2301369863013702"/>
    <n v="0"/>
    <n v="0"/>
    <n v="0"/>
    <n v="1"/>
    <n v="0"/>
    <n v="0"/>
    <n v="0"/>
    <n v="0"/>
    <n v="1"/>
    <n v="0"/>
    <n v="73"/>
    <n v="49"/>
    <n v="24"/>
    <n v="0"/>
    <x v="0"/>
    <x v="0"/>
    <x v="2"/>
    <x v="1"/>
    <x v="0"/>
    <x v="2"/>
    <n v="0"/>
    <n v="0"/>
    <n v="16"/>
    <n v="8"/>
    <n v="3"/>
    <n v="3"/>
    <n v="14"/>
    <n v="4"/>
    <x v="3"/>
  </r>
  <r>
    <x v="1333"/>
    <n v="36317"/>
    <n v="0"/>
    <n v="1"/>
    <n v="53"/>
    <n v="87"/>
    <n v="3"/>
    <n v="25"/>
    <n v="3"/>
    <n v="2"/>
    <n v="13"/>
    <n v="2"/>
    <n v="3"/>
    <n v="0"/>
    <n v="4"/>
    <n v="7"/>
    <n v="0"/>
    <n v="0"/>
    <n v="0"/>
    <n v="0"/>
    <n v="0"/>
    <x v="0"/>
    <n v="0"/>
    <n v="3"/>
    <n v="11"/>
    <n v="0"/>
    <n v="55"/>
    <n v="2562"/>
    <n v="7.0191780821917806"/>
    <n v="0"/>
    <n v="0"/>
    <n v="0"/>
    <n v="1"/>
    <n v="0"/>
    <n v="0"/>
    <n v="0"/>
    <n v="1"/>
    <n v="0"/>
    <n v="0"/>
    <n v="120"/>
    <n v="107"/>
    <n v="13"/>
    <n v="0"/>
    <x v="0"/>
    <x v="0"/>
    <x v="2"/>
    <x v="0"/>
    <x v="3"/>
    <x v="1"/>
    <n v="1"/>
    <n v="0"/>
    <n v="16"/>
    <n v="5"/>
    <n v="3"/>
    <n v="3"/>
    <n v="11"/>
    <n v="2"/>
    <x v="3"/>
  </r>
  <r>
    <x v="1334"/>
    <n v="36959"/>
    <n v="1"/>
    <n v="0"/>
    <n v="56"/>
    <n v="25"/>
    <n v="6"/>
    <n v="25"/>
    <n v="6"/>
    <n v="0"/>
    <n v="0"/>
    <n v="2"/>
    <n v="2"/>
    <n v="0"/>
    <n v="3"/>
    <n v="8"/>
    <n v="0"/>
    <n v="0"/>
    <n v="0"/>
    <n v="0"/>
    <n v="0"/>
    <x v="0"/>
    <n v="0"/>
    <n v="3"/>
    <n v="11"/>
    <n v="0"/>
    <n v="39"/>
    <n v="2429"/>
    <n v="6.6547945205479451"/>
    <n v="0"/>
    <n v="1"/>
    <n v="0"/>
    <n v="0"/>
    <n v="0"/>
    <n v="0"/>
    <n v="0"/>
    <n v="0"/>
    <n v="1"/>
    <n v="0"/>
    <n v="62"/>
    <n v="62"/>
    <n v="0"/>
    <n v="0"/>
    <x v="0"/>
    <x v="0"/>
    <x v="0"/>
    <x v="1"/>
    <x v="3"/>
    <x v="3"/>
    <n v="1"/>
    <n v="0"/>
    <n v="15"/>
    <n v="5"/>
    <n v="2"/>
    <n v="2"/>
    <n v="9"/>
    <n v="1"/>
    <x v="3"/>
  </r>
  <r>
    <x v="1335"/>
    <n v="39858"/>
    <n v="1"/>
    <n v="0"/>
    <n v="67"/>
    <n v="15"/>
    <n v="20"/>
    <n v="25"/>
    <n v="2"/>
    <n v="7"/>
    <n v="26"/>
    <n v="1"/>
    <n v="2"/>
    <n v="0"/>
    <n v="4"/>
    <n v="6"/>
    <n v="0"/>
    <n v="0"/>
    <n v="0"/>
    <n v="0"/>
    <n v="0"/>
    <x v="0"/>
    <n v="0"/>
    <n v="3"/>
    <n v="11"/>
    <n v="1"/>
    <n v="51"/>
    <n v="2680"/>
    <n v="7.3424657534246576"/>
    <n v="0"/>
    <n v="0"/>
    <n v="1"/>
    <n v="0"/>
    <n v="0"/>
    <n v="0"/>
    <n v="0"/>
    <n v="0"/>
    <n v="1"/>
    <n v="0"/>
    <n v="69"/>
    <n v="43"/>
    <n v="26"/>
    <n v="0"/>
    <x v="0"/>
    <x v="0"/>
    <x v="1"/>
    <x v="1"/>
    <x v="3"/>
    <x v="1"/>
    <n v="1"/>
    <n v="0"/>
    <n v="13"/>
    <n v="4"/>
    <n v="1"/>
    <n v="2"/>
    <n v="7"/>
    <n v="1"/>
    <x v="3"/>
  </r>
  <r>
    <x v="1336"/>
    <n v="45204"/>
    <n v="1"/>
    <n v="0"/>
    <n v="93"/>
    <n v="30"/>
    <n v="11"/>
    <n v="25"/>
    <n v="29"/>
    <n v="1"/>
    <n v="18"/>
    <n v="1"/>
    <n v="1"/>
    <n v="1"/>
    <n v="4"/>
    <n v="3"/>
    <n v="0"/>
    <n v="0"/>
    <n v="0"/>
    <n v="0"/>
    <n v="0"/>
    <x v="0"/>
    <n v="0"/>
    <n v="3"/>
    <n v="11"/>
    <n v="0"/>
    <n v="32"/>
    <n v="2238"/>
    <n v="6.1315068493150688"/>
    <n v="0"/>
    <n v="0"/>
    <n v="0"/>
    <n v="1"/>
    <n v="0"/>
    <n v="1"/>
    <n v="0"/>
    <n v="0"/>
    <n v="0"/>
    <n v="0"/>
    <n v="96"/>
    <n v="78"/>
    <n v="18"/>
    <n v="0"/>
    <x v="0"/>
    <x v="0"/>
    <x v="2"/>
    <x v="1"/>
    <x v="3"/>
    <x v="3"/>
    <n v="1"/>
    <n v="1"/>
    <n v="10"/>
    <n v="0.99999999999999978"/>
    <n v="0"/>
    <n v="3"/>
    <n v="4"/>
    <n v="0"/>
    <x v="4"/>
  </r>
  <r>
    <x v="1337"/>
    <n v="49166"/>
    <n v="0"/>
    <n v="1"/>
    <n v="17"/>
    <n v="224"/>
    <n v="2"/>
    <n v="25"/>
    <n v="7"/>
    <n v="0"/>
    <n v="110"/>
    <n v="2"/>
    <n v="5"/>
    <n v="3"/>
    <n v="3"/>
    <n v="6"/>
    <n v="0"/>
    <n v="0"/>
    <n v="0"/>
    <n v="0"/>
    <n v="0"/>
    <x v="0"/>
    <n v="0"/>
    <n v="3"/>
    <n v="11"/>
    <n v="0"/>
    <n v="46"/>
    <n v="2540"/>
    <n v="6.9589041095890414"/>
    <n v="0"/>
    <n v="0"/>
    <n v="1"/>
    <n v="0"/>
    <n v="0"/>
    <n v="0"/>
    <n v="0"/>
    <n v="1"/>
    <n v="0"/>
    <n v="0"/>
    <n v="258"/>
    <n v="148"/>
    <n v="110"/>
    <n v="0"/>
    <x v="0"/>
    <x v="0"/>
    <x v="1"/>
    <x v="0"/>
    <x v="3"/>
    <x v="0"/>
    <n v="0"/>
    <n v="0"/>
    <n v="19"/>
    <n v="9"/>
    <n v="4"/>
    <n v="4"/>
    <n v="17"/>
    <n v="6"/>
    <x v="1"/>
  </r>
  <r>
    <x v="1338"/>
    <n v="50616"/>
    <n v="0"/>
    <n v="1"/>
    <n v="71"/>
    <n v="30"/>
    <n v="2"/>
    <n v="25"/>
    <n v="0"/>
    <n v="1"/>
    <n v="9"/>
    <n v="1"/>
    <n v="1"/>
    <n v="1"/>
    <n v="4"/>
    <n v="2"/>
    <n v="0"/>
    <n v="0"/>
    <n v="0"/>
    <n v="0"/>
    <n v="0"/>
    <x v="0"/>
    <n v="0"/>
    <n v="3"/>
    <n v="11"/>
    <n v="0"/>
    <n v="70"/>
    <n v="2236"/>
    <n v="6.1260273972602741"/>
    <n v="0"/>
    <n v="0"/>
    <n v="0"/>
    <n v="1"/>
    <n v="0"/>
    <n v="0"/>
    <n v="0"/>
    <n v="0"/>
    <n v="0"/>
    <n v="1"/>
    <n v="58"/>
    <n v="49"/>
    <n v="9"/>
    <n v="0"/>
    <x v="0"/>
    <x v="0"/>
    <x v="2"/>
    <x v="1"/>
    <x v="2"/>
    <x v="2"/>
    <n v="1"/>
    <n v="0"/>
    <n v="9"/>
    <n v="3.0000000000000004"/>
    <n v="0"/>
    <n v="2"/>
    <n v="5"/>
    <n v="0"/>
    <x v="4"/>
  </r>
  <r>
    <x v="1339"/>
    <n v="20180"/>
    <n v="0"/>
    <n v="0"/>
    <n v="27"/>
    <n v="18"/>
    <n v="42"/>
    <n v="24"/>
    <n v="15"/>
    <n v="20"/>
    <n v="18"/>
    <n v="1"/>
    <n v="2"/>
    <n v="1"/>
    <n v="4"/>
    <n v="7"/>
    <n v="0"/>
    <n v="0"/>
    <n v="0"/>
    <n v="0"/>
    <n v="0"/>
    <x v="0"/>
    <n v="0"/>
    <n v="3"/>
    <n v="11"/>
    <n v="0"/>
    <n v="44"/>
    <n v="2653"/>
    <n v="7.2684931506849315"/>
    <n v="0"/>
    <n v="0"/>
    <n v="1"/>
    <n v="0"/>
    <n v="0"/>
    <n v="0"/>
    <n v="0"/>
    <n v="1"/>
    <n v="0"/>
    <n v="0"/>
    <n v="119"/>
    <n v="101"/>
    <n v="18"/>
    <n v="0"/>
    <x v="1"/>
    <x v="1"/>
    <x v="1"/>
    <x v="0"/>
    <x v="0"/>
    <x v="0"/>
    <n v="0"/>
    <n v="0"/>
    <n v="15"/>
    <n v="8"/>
    <n v="2"/>
    <n v="3"/>
    <n v="13"/>
    <n v="3"/>
    <x v="3"/>
  </r>
  <r>
    <x v="1340"/>
    <n v="21474"/>
    <n v="1"/>
    <n v="0"/>
    <n v="0"/>
    <n v="6"/>
    <n v="16"/>
    <n v="24"/>
    <n v="11"/>
    <n v="0"/>
    <n v="34"/>
    <n v="2"/>
    <n v="3"/>
    <n v="1"/>
    <n v="2"/>
    <n v="7"/>
    <n v="0"/>
    <n v="0"/>
    <n v="1"/>
    <n v="0"/>
    <n v="0"/>
    <x v="1"/>
    <n v="0"/>
    <n v="3"/>
    <n v="11"/>
    <n v="1"/>
    <n v="31"/>
    <n v="2241"/>
    <n v="6.13972602739726"/>
    <n v="0"/>
    <n v="0"/>
    <n v="1"/>
    <n v="0"/>
    <n v="0"/>
    <n v="0"/>
    <n v="0"/>
    <n v="1"/>
    <n v="0"/>
    <n v="0"/>
    <n v="57"/>
    <n v="23"/>
    <n v="34"/>
    <n v="1"/>
    <x v="0"/>
    <x v="0"/>
    <x v="1"/>
    <x v="0"/>
    <x v="0"/>
    <x v="3"/>
    <n v="0"/>
    <n v="0"/>
    <n v="15"/>
    <n v="10"/>
    <n v="2"/>
    <n v="2"/>
    <n v="14"/>
    <n v="4"/>
    <x v="3"/>
  </r>
  <r>
    <x v="1341"/>
    <n v="22123"/>
    <n v="0"/>
    <n v="0"/>
    <n v="77"/>
    <n v="3"/>
    <n v="3"/>
    <n v="24"/>
    <n v="34"/>
    <n v="7"/>
    <n v="31"/>
    <n v="1"/>
    <n v="2"/>
    <n v="1"/>
    <n v="3"/>
    <n v="5"/>
    <n v="0"/>
    <n v="0"/>
    <n v="0"/>
    <n v="0"/>
    <n v="0"/>
    <x v="0"/>
    <n v="0"/>
    <n v="3"/>
    <n v="11"/>
    <n v="0"/>
    <n v="60"/>
    <n v="2253"/>
    <n v="6.1726027397260275"/>
    <n v="0"/>
    <n v="0"/>
    <n v="0"/>
    <n v="0"/>
    <n v="1"/>
    <n v="0"/>
    <n v="1"/>
    <n v="0"/>
    <n v="0"/>
    <n v="0"/>
    <n v="71"/>
    <n v="40"/>
    <n v="31"/>
    <n v="0"/>
    <x v="1"/>
    <x v="1"/>
    <x v="4"/>
    <x v="2"/>
    <x v="0"/>
    <x v="1"/>
    <n v="1"/>
    <n v="0"/>
    <n v="12"/>
    <n v="3.0000000000000004"/>
    <n v="1"/>
    <n v="3"/>
    <n v="7"/>
    <n v="1"/>
    <x v="3"/>
  </r>
  <r>
    <x v="1342"/>
    <n v="28440"/>
    <n v="1"/>
    <n v="0"/>
    <n v="87"/>
    <n v="38"/>
    <n v="1"/>
    <n v="24"/>
    <n v="0"/>
    <n v="0"/>
    <n v="0"/>
    <n v="1"/>
    <n v="2"/>
    <n v="0"/>
    <n v="3"/>
    <n v="8"/>
    <n v="0"/>
    <n v="0"/>
    <n v="0"/>
    <n v="0"/>
    <n v="0"/>
    <x v="0"/>
    <n v="0"/>
    <n v="3"/>
    <n v="11"/>
    <n v="0"/>
    <n v="46"/>
    <n v="2516"/>
    <n v="6.8931506849315065"/>
    <n v="0"/>
    <n v="0"/>
    <n v="0"/>
    <n v="1"/>
    <n v="0"/>
    <n v="0"/>
    <n v="0"/>
    <n v="0"/>
    <n v="0"/>
    <n v="1"/>
    <n v="63"/>
    <n v="63"/>
    <n v="0"/>
    <n v="0"/>
    <x v="0"/>
    <x v="0"/>
    <x v="2"/>
    <x v="1"/>
    <x v="0"/>
    <x v="0"/>
    <n v="1"/>
    <n v="0"/>
    <n v="14"/>
    <n v="1.9999999999999996"/>
    <n v="2"/>
    <n v="2"/>
    <n v="6"/>
    <n v="0"/>
    <x v="4"/>
  </r>
  <r>
    <x v="1343"/>
    <n v="29236"/>
    <n v="1"/>
    <n v="0"/>
    <n v="30"/>
    <n v="37"/>
    <n v="4"/>
    <n v="24"/>
    <n v="16"/>
    <n v="9"/>
    <n v="9"/>
    <n v="2"/>
    <n v="4"/>
    <n v="0"/>
    <n v="3"/>
    <n v="9"/>
    <n v="0"/>
    <n v="0"/>
    <n v="0"/>
    <n v="0"/>
    <n v="0"/>
    <x v="0"/>
    <n v="0"/>
    <n v="3"/>
    <n v="11"/>
    <n v="0"/>
    <n v="33"/>
    <n v="2423"/>
    <n v="6.6383561643835618"/>
    <n v="0"/>
    <n v="0"/>
    <n v="1"/>
    <n v="0"/>
    <n v="0"/>
    <n v="0"/>
    <n v="0"/>
    <n v="1"/>
    <n v="0"/>
    <n v="0"/>
    <n v="90"/>
    <n v="81"/>
    <n v="9"/>
    <n v="0"/>
    <x v="0"/>
    <x v="0"/>
    <x v="1"/>
    <x v="0"/>
    <x v="0"/>
    <x v="3"/>
    <n v="0"/>
    <n v="0"/>
    <n v="18"/>
    <n v="7"/>
    <n v="4"/>
    <n v="3"/>
    <n v="14"/>
    <n v="4"/>
    <x v="3"/>
  </r>
  <r>
    <x v="1344"/>
    <n v="29819"/>
    <n v="1"/>
    <n v="0"/>
    <n v="77"/>
    <n v="9"/>
    <n v="1"/>
    <n v="24"/>
    <n v="2"/>
    <n v="1"/>
    <n v="2"/>
    <n v="3"/>
    <n v="3"/>
    <n v="0"/>
    <n v="3"/>
    <n v="6"/>
    <n v="0"/>
    <n v="0"/>
    <n v="0"/>
    <n v="0"/>
    <n v="0"/>
    <x v="0"/>
    <n v="0"/>
    <n v="3"/>
    <n v="11"/>
    <n v="0"/>
    <n v="49"/>
    <n v="2407"/>
    <n v="6.5945205479452058"/>
    <n v="1"/>
    <n v="0"/>
    <n v="0"/>
    <n v="0"/>
    <n v="0"/>
    <n v="0"/>
    <n v="0"/>
    <n v="1"/>
    <n v="0"/>
    <n v="0"/>
    <n v="37"/>
    <n v="35"/>
    <n v="2"/>
    <n v="0"/>
    <x v="0"/>
    <x v="0"/>
    <x v="3"/>
    <x v="0"/>
    <x v="0"/>
    <x v="0"/>
    <n v="1"/>
    <n v="0"/>
    <n v="15"/>
    <n v="3.0000000000000004"/>
    <n v="2"/>
    <n v="1"/>
    <n v="6"/>
    <n v="0"/>
    <x v="4"/>
  </r>
  <r>
    <x v="1345"/>
    <n v="30351"/>
    <n v="1"/>
    <n v="0"/>
    <n v="19"/>
    <n v="14"/>
    <n v="0"/>
    <n v="24"/>
    <n v="3"/>
    <n v="3"/>
    <n v="2"/>
    <n v="1"/>
    <n v="3"/>
    <n v="0"/>
    <n v="2"/>
    <n v="9"/>
    <n v="0"/>
    <n v="0"/>
    <n v="0"/>
    <n v="0"/>
    <n v="0"/>
    <x v="0"/>
    <n v="0"/>
    <n v="3"/>
    <n v="11"/>
    <n v="1"/>
    <n v="46"/>
    <n v="2547"/>
    <n v="6.978082191780822"/>
    <n v="0"/>
    <n v="0"/>
    <n v="0"/>
    <n v="1"/>
    <n v="0"/>
    <n v="0"/>
    <n v="0"/>
    <n v="0"/>
    <n v="0"/>
    <n v="1"/>
    <n v="44"/>
    <n v="42"/>
    <n v="2"/>
    <n v="0"/>
    <x v="0"/>
    <x v="0"/>
    <x v="2"/>
    <x v="1"/>
    <x v="0"/>
    <x v="0"/>
    <n v="0"/>
    <n v="0"/>
    <n v="15"/>
    <n v="9"/>
    <n v="2"/>
    <n v="2"/>
    <n v="13"/>
    <n v="3"/>
    <x v="3"/>
  </r>
  <r>
    <x v="1346"/>
    <n v="30351"/>
    <n v="1"/>
    <n v="0"/>
    <n v="19"/>
    <n v="14"/>
    <n v="0"/>
    <n v="24"/>
    <n v="3"/>
    <n v="3"/>
    <n v="2"/>
    <n v="1"/>
    <n v="3"/>
    <n v="0"/>
    <n v="2"/>
    <n v="9"/>
    <n v="0"/>
    <n v="0"/>
    <n v="0"/>
    <n v="0"/>
    <n v="0"/>
    <x v="0"/>
    <n v="0"/>
    <n v="3"/>
    <n v="11"/>
    <n v="0"/>
    <n v="46"/>
    <n v="2547"/>
    <n v="6.978082191780822"/>
    <n v="0"/>
    <n v="0"/>
    <n v="0"/>
    <n v="1"/>
    <n v="0"/>
    <n v="0"/>
    <n v="0"/>
    <n v="0"/>
    <n v="0"/>
    <n v="1"/>
    <n v="44"/>
    <n v="42"/>
    <n v="2"/>
    <n v="0"/>
    <x v="0"/>
    <x v="0"/>
    <x v="2"/>
    <x v="1"/>
    <x v="0"/>
    <x v="0"/>
    <n v="0"/>
    <n v="0"/>
    <n v="15"/>
    <n v="9"/>
    <n v="2"/>
    <n v="2"/>
    <n v="13"/>
    <n v="3"/>
    <x v="3"/>
  </r>
  <r>
    <x v="1347"/>
    <n v="31928"/>
    <n v="1"/>
    <n v="0"/>
    <n v="5"/>
    <n v="33"/>
    <n v="4"/>
    <n v="24"/>
    <n v="4"/>
    <n v="2"/>
    <n v="5"/>
    <n v="2"/>
    <n v="3"/>
    <n v="0"/>
    <n v="4"/>
    <n v="7"/>
    <n v="0"/>
    <n v="0"/>
    <n v="0"/>
    <n v="0"/>
    <n v="0"/>
    <x v="0"/>
    <n v="0"/>
    <n v="3"/>
    <n v="11"/>
    <n v="0"/>
    <n v="31"/>
    <n v="2252"/>
    <n v="6.1698630136986301"/>
    <n v="0"/>
    <n v="0"/>
    <n v="0"/>
    <n v="1"/>
    <n v="0"/>
    <n v="0"/>
    <n v="0"/>
    <n v="1"/>
    <n v="0"/>
    <n v="0"/>
    <n v="67"/>
    <n v="62"/>
    <n v="5"/>
    <n v="0"/>
    <x v="0"/>
    <x v="0"/>
    <x v="2"/>
    <x v="0"/>
    <x v="0"/>
    <x v="3"/>
    <n v="0"/>
    <n v="0"/>
    <n v="16"/>
    <n v="10"/>
    <n v="3"/>
    <n v="2"/>
    <n v="15"/>
    <n v="4"/>
    <x v="3"/>
  </r>
  <r>
    <x v="1348"/>
    <n v="34176"/>
    <n v="1"/>
    <n v="0"/>
    <n v="12"/>
    <n v="5"/>
    <n v="7"/>
    <n v="24"/>
    <n v="19"/>
    <n v="14"/>
    <n v="20"/>
    <n v="4"/>
    <n v="3"/>
    <n v="0"/>
    <n v="4"/>
    <n v="6"/>
    <n v="0"/>
    <n v="0"/>
    <n v="0"/>
    <n v="0"/>
    <n v="0"/>
    <x v="0"/>
    <n v="0"/>
    <n v="3"/>
    <n v="11"/>
    <n v="0"/>
    <n v="32"/>
    <n v="2207"/>
    <n v="6.0465753424657533"/>
    <n v="0"/>
    <n v="0"/>
    <n v="1"/>
    <n v="0"/>
    <n v="0"/>
    <n v="0"/>
    <n v="0"/>
    <n v="1"/>
    <n v="0"/>
    <n v="0"/>
    <n v="69"/>
    <n v="49"/>
    <n v="20"/>
    <n v="0"/>
    <x v="0"/>
    <x v="0"/>
    <x v="1"/>
    <x v="0"/>
    <x v="0"/>
    <x v="3"/>
    <n v="0"/>
    <n v="0"/>
    <n v="17"/>
    <n v="9"/>
    <n v="3"/>
    <n v="2"/>
    <n v="14"/>
    <n v="4"/>
    <x v="3"/>
  </r>
  <r>
    <x v="1349"/>
    <n v="38702"/>
    <n v="1"/>
    <n v="0"/>
    <n v="71"/>
    <n v="13"/>
    <n v="11"/>
    <n v="24"/>
    <n v="13"/>
    <n v="8"/>
    <n v="40"/>
    <n v="2"/>
    <n v="3"/>
    <n v="0"/>
    <n v="4"/>
    <n v="6"/>
    <n v="0"/>
    <n v="0"/>
    <n v="0"/>
    <n v="0"/>
    <n v="0"/>
    <x v="0"/>
    <n v="0"/>
    <n v="3"/>
    <n v="11"/>
    <n v="0"/>
    <n v="42"/>
    <n v="2491"/>
    <n v="6.8246575342465752"/>
    <n v="0"/>
    <n v="0"/>
    <n v="0"/>
    <n v="1"/>
    <n v="0"/>
    <n v="1"/>
    <n v="0"/>
    <n v="0"/>
    <n v="0"/>
    <n v="0"/>
    <n v="69"/>
    <n v="29"/>
    <n v="40"/>
    <n v="0"/>
    <x v="0"/>
    <x v="0"/>
    <x v="2"/>
    <x v="1"/>
    <x v="3"/>
    <x v="0"/>
    <n v="1"/>
    <n v="0"/>
    <n v="15"/>
    <n v="3.0000000000000004"/>
    <n v="2"/>
    <n v="2"/>
    <n v="7"/>
    <n v="1"/>
    <x v="3"/>
  </r>
  <r>
    <x v="1350"/>
    <n v="41580"/>
    <n v="1"/>
    <n v="1"/>
    <n v="15"/>
    <n v="56"/>
    <n v="5"/>
    <n v="24"/>
    <n v="4"/>
    <n v="0"/>
    <n v="3"/>
    <n v="3"/>
    <n v="2"/>
    <n v="1"/>
    <n v="3"/>
    <n v="5"/>
    <n v="0"/>
    <n v="0"/>
    <n v="0"/>
    <n v="0"/>
    <n v="0"/>
    <x v="0"/>
    <n v="0"/>
    <n v="3"/>
    <n v="11"/>
    <n v="0"/>
    <n v="42"/>
    <n v="2725"/>
    <n v="7.4657534246575343"/>
    <n v="0"/>
    <n v="0"/>
    <n v="0"/>
    <n v="1"/>
    <n v="0"/>
    <n v="0"/>
    <n v="0"/>
    <n v="1"/>
    <n v="0"/>
    <n v="0"/>
    <n v="89"/>
    <n v="86"/>
    <n v="3"/>
    <n v="0"/>
    <x v="0"/>
    <x v="0"/>
    <x v="2"/>
    <x v="0"/>
    <x v="3"/>
    <x v="0"/>
    <n v="0"/>
    <n v="0"/>
    <n v="14"/>
    <n v="9"/>
    <n v="2"/>
    <n v="3"/>
    <n v="14"/>
    <n v="4"/>
    <x v="3"/>
  </r>
  <r>
    <x v="1351"/>
    <n v="42213"/>
    <n v="0"/>
    <n v="1"/>
    <n v="96"/>
    <n v="309"/>
    <n v="3"/>
    <n v="24"/>
    <n v="4"/>
    <n v="3"/>
    <n v="20"/>
    <n v="2"/>
    <n v="5"/>
    <n v="1"/>
    <n v="7"/>
    <n v="7"/>
    <n v="0"/>
    <n v="0"/>
    <n v="0"/>
    <n v="1"/>
    <n v="0"/>
    <x v="1"/>
    <n v="0"/>
    <n v="3"/>
    <n v="11"/>
    <n v="0"/>
    <n v="63"/>
    <n v="2419"/>
    <n v="6.6273972602739724"/>
    <n v="0"/>
    <n v="0"/>
    <n v="0"/>
    <n v="1"/>
    <n v="0"/>
    <n v="0"/>
    <n v="0"/>
    <n v="1"/>
    <n v="0"/>
    <n v="0"/>
    <n v="343"/>
    <n v="323"/>
    <n v="20"/>
    <n v="1"/>
    <x v="0"/>
    <x v="0"/>
    <x v="2"/>
    <x v="0"/>
    <x v="3"/>
    <x v="2"/>
    <n v="1"/>
    <n v="1"/>
    <n v="22"/>
    <n v="0.99999999999999978"/>
    <n v="5"/>
    <n v="4"/>
    <n v="10"/>
    <n v="2"/>
    <x v="3"/>
  </r>
  <r>
    <x v="1352"/>
    <n v="43050"/>
    <n v="1"/>
    <n v="0"/>
    <n v="10"/>
    <n v="30"/>
    <n v="5"/>
    <n v="24"/>
    <n v="6"/>
    <n v="3"/>
    <n v="8"/>
    <n v="2"/>
    <n v="2"/>
    <n v="0"/>
    <n v="4"/>
    <n v="5"/>
    <n v="0"/>
    <n v="0"/>
    <n v="0"/>
    <n v="0"/>
    <n v="0"/>
    <x v="0"/>
    <n v="0"/>
    <n v="3"/>
    <n v="11"/>
    <n v="0"/>
    <n v="47"/>
    <n v="2262"/>
    <n v="6.1972602739726028"/>
    <n v="0"/>
    <n v="1"/>
    <n v="0"/>
    <n v="0"/>
    <n v="0"/>
    <n v="1"/>
    <n v="0"/>
    <n v="0"/>
    <n v="0"/>
    <n v="0"/>
    <n v="68"/>
    <n v="60"/>
    <n v="8"/>
    <n v="0"/>
    <x v="0"/>
    <x v="0"/>
    <x v="0"/>
    <x v="1"/>
    <x v="3"/>
    <x v="0"/>
    <n v="0"/>
    <n v="0"/>
    <n v="13"/>
    <n v="9"/>
    <n v="1"/>
    <n v="2"/>
    <n v="12"/>
    <n v="3"/>
    <x v="3"/>
  </r>
  <r>
    <x v="1353"/>
    <n v="50447"/>
    <n v="2"/>
    <n v="0"/>
    <n v="4"/>
    <n v="85"/>
    <n v="7"/>
    <n v="24"/>
    <n v="2"/>
    <n v="3"/>
    <n v="27"/>
    <n v="1"/>
    <n v="3"/>
    <n v="1"/>
    <n v="3"/>
    <n v="6"/>
    <n v="0"/>
    <n v="0"/>
    <n v="0"/>
    <n v="0"/>
    <n v="0"/>
    <x v="0"/>
    <n v="0"/>
    <n v="3"/>
    <n v="11"/>
    <n v="0"/>
    <n v="50"/>
    <n v="2228"/>
    <n v="6.1041095890410961"/>
    <n v="0"/>
    <n v="1"/>
    <n v="0"/>
    <n v="0"/>
    <n v="0"/>
    <n v="0"/>
    <n v="0"/>
    <n v="1"/>
    <n v="0"/>
    <n v="0"/>
    <n v="121"/>
    <n v="94"/>
    <n v="27"/>
    <n v="0"/>
    <x v="0"/>
    <x v="0"/>
    <x v="0"/>
    <x v="0"/>
    <x v="2"/>
    <x v="0"/>
    <n v="0"/>
    <n v="0"/>
    <n v="14"/>
    <n v="10"/>
    <n v="2"/>
    <n v="3"/>
    <n v="15"/>
    <n v="4"/>
    <x v="3"/>
  </r>
  <r>
    <x v="1354"/>
    <n v="50523"/>
    <n v="1"/>
    <n v="1"/>
    <n v="89"/>
    <n v="51"/>
    <n v="4"/>
    <n v="24"/>
    <n v="4"/>
    <n v="7"/>
    <n v="1"/>
    <n v="2"/>
    <n v="2"/>
    <n v="0"/>
    <n v="4"/>
    <n v="6"/>
    <n v="0"/>
    <n v="0"/>
    <n v="0"/>
    <n v="0"/>
    <n v="0"/>
    <x v="0"/>
    <n v="0"/>
    <n v="3"/>
    <n v="11"/>
    <n v="0"/>
    <n v="60"/>
    <n v="2345"/>
    <n v="6.4246575342465757"/>
    <n v="0"/>
    <n v="0"/>
    <n v="0"/>
    <n v="1"/>
    <n v="0"/>
    <n v="1"/>
    <n v="0"/>
    <n v="0"/>
    <n v="0"/>
    <n v="0"/>
    <n v="90"/>
    <n v="89"/>
    <n v="1"/>
    <n v="0"/>
    <x v="0"/>
    <x v="0"/>
    <x v="2"/>
    <x v="1"/>
    <x v="2"/>
    <x v="1"/>
    <n v="1"/>
    <n v="0"/>
    <n v="14"/>
    <n v="1.9999999999999996"/>
    <n v="2"/>
    <n v="3"/>
    <n v="7"/>
    <n v="1"/>
    <x v="3"/>
  </r>
  <r>
    <x v="1355"/>
    <n v="50611"/>
    <n v="0"/>
    <n v="1"/>
    <n v="98"/>
    <n v="459"/>
    <n v="0"/>
    <n v="24"/>
    <n v="6"/>
    <n v="0"/>
    <n v="4"/>
    <n v="6"/>
    <n v="4"/>
    <n v="5"/>
    <n v="7"/>
    <n v="6"/>
    <n v="0"/>
    <n v="0"/>
    <n v="0"/>
    <n v="1"/>
    <n v="0"/>
    <x v="1"/>
    <n v="0"/>
    <n v="3"/>
    <n v="11"/>
    <n v="1"/>
    <n v="60"/>
    <n v="2792"/>
    <n v="7.6493150684931503"/>
    <n v="1"/>
    <n v="0"/>
    <n v="0"/>
    <n v="0"/>
    <n v="0"/>
    <n v="0"/>
    <n v="0"/>
    <n v="0"/>
    <n v="0"/>
    <n v="1"/>
    <n v="489"/>
    <n v="485"/>
    <n v="4"/>
    <n v="1"/>
    <x v="0"/>
    <x v="0"/>
    <x v="3"/>
    <x v="1"/>
    <x v="2"/>
    <x v="1"/>
    <n v="1"/>
    <n v="1"/>
    <n v="28"/>
    <n v="0.99999999999999978"/>
    <n v="8"/>
    <n v="5"/>
    <n v="14"/>
    <n v="4"/>
    <x v="3"/>
  </r>
  <r>
    <x v="1356"/>
    <n v="50611"/>
    <n v="0"/>
    <n v="1"/>
    <n v="98"/>
    <n v="459"/>
    <n v="0"/>
    <n v="24"/>
    <n v="6"/>
    <n v="0"/>
    <n v="4"/>
    <n v="6"/>
    <n v="4"/>
    <n v="5"/>
    <n v="7"/>
    <n v="6"/>
    <n v="0"/>
    <n v="0"/>
    <n v="0"/>
    <n v="1"/>
    <n v="0"/>
    <x v="1"/>
    <n v="0"/>
    <n v="3"/>
    <n v="11"/>
    <n v="0"/>
    <n v="60"/>
    <n v="2792"/>
    <n v="7.6493150684931503"/>
    <n v="1"/>
    <n v="0"/>
    <n v="0"/>
    <n v="0"/>
    <n v="0"/>
    <n v="0"/>
    <n v="0"/>
    <n v="0"/>
    <n v="0"/>
    <n v="1"/>
    <n v="489"/>
    <n v="485"/>
    <n v="4"/>
    <n v="1"/>
    <x v="0"/>
    <x v="0"/>
    <x v="3"/>
    <x v="1"/>
    <x v="2"/>
    <x v="1"/>
    <n v="1"/>
    <n v="1"/>
    <n v="28"/>
    <n v="0.99999999999999978"/>
    <n v="8"/>
    <n v="5"/>
    <n v="14"/>
    <n v="4"/>
    <x v="3"/>
  </r>
  <r>
    <x v="1357"/>
    <n v="57091"/>
    <n v="0"/>
    <n v="1"/>
    <n v="82"/>
    <n v="462"/>
    <n v="0"/>
    <n v="24"/>
    <n v="6"/>
    <n v="0"/>
    <n v="4"/>
    <n v="2"/>
    <n v="9"/>
    <n v="2"/>
    <n v="5"/>
    <n v="7"/>
    <n v="0"/>
    <n v="0"/>
    <n v="0"/>
    <n v="1"/>
    <n v="0"/>
    <x v="1"/>
    <n v="0"/>
    <n v="3"/>
    <n v="11"/>
    <n v="1"/>
    <n v="48"/>
    <n v="2742"/>
    <n v="7.5123287671232877"/>
    <n v="0"/>
    <n v="1"/>
    <n v="0"/>
    <n v="0"/>
    <n v="0"/>
    <n v="0"/>
    <n v="0"/>
    <n v="0"/>
    <n v="0"/>
    <n v="1"/>
    <n v="492"/>
    <n v="488"/>
    <n v="4"/>
    <n v="1"/>
    <x v="0"/>
    <x v="0"/>
    <x v="0"/>
    <x v="1"/>
    <x v="2"/>
    <x v="0"/>
    <n v="1"/>
    <n v="0"/>
    <n v="25"/>
    <n v="1.9999999999999996"/>
    <n v="7"/>
    <n v="5"/>
    <n v="14"/>
    <n v="4"/>
    <x v="3"/>
  </r>
  <r>
    <x v="1358"/>
    <n v="57954"/>
    <n v="1"/>
    <n v="1"/>
    <n v="52"/>
    <n v="456"/>
    <n v="4"/>
    <n v="24"/>
    <n v="0"/>
    <n v="0"/>
    <n v="9"/>
    <n v="7"/>
    <n v="8"/>
    <n v="2"/>
    <n v="6"/>
    <n v="7"/>
    <n v="0"/>
    <n v="0"/>
    <n v="0"/>
    <n v="1"/>
    <n v="0"/>
    <x v="1"/>
    <n v="0"/>
    <n v="3"/>
    <n v="11"/>
    <n v="0"/>
    <n v="43"/>
    <n v="2170"/>
    <n v="5.9452054794520546"/>
    <n v="0"/>
    <n v="0"/>
    <n v="0"/>
    <n v="1"/>
    <n v="0"/>
    <n v="0"/>
    <n v="0"/>
    <n v="0"/>
    <n v="1"/>
    <n v="0"/>
    <n v="484"/>
    <n v="475"/>
    <n v="9"/>
    <n v="1"/>
    <x v="0"/>
    <x v="0"/>
    <x v="2"/>
    <x v="1"/>
    <x v="2"/>
    <x v="0"/>
    <n v="1"/>
    <n v="0"/>
    <n v="30"/>
    <n v="5"/>
    <n v="8"/>
    <n v="5"/>
    <n v="18"/>
    <n v="6"/>
    <x v="1"/>
  </r>
  <r>
    <x v="1359"/>
    <n v="60504"/>
    <n v="0"/>
    <n v="1"/>
    <n v="73"/>
    <n v="458"/>
    <n v="0"/>
    <n v="24"/>
    <n v="6"/>
    <n v="4"/>
    <n v="34"/>
    <n v="2"/>
    <n v="6"/>
    <n v="2"/>
    <n v="8"/>
    <n v="6"/>
    <n v="0"/>
    <n v="0"/>
    <n v="0"/>
    <n v="0"/>
    <n v="0"/>
    <x v="0"/>
    <n v="0"/>
    <n v="3"/>
    <n v="11"/>
    <n v="0"/>
    <n v="49"/>
    <n v="2301"/>
    <n v="6.3041095890410963"/>
    <n v="0"/>
    <n v="0"/>
    <n v="1"/>
    <n v="0"/>
    <n v="0"/>
    <n v="0"/>
    <n v="0"/>
    <n v="0"/>
    <n v="0"/>
    <n v="1"/>
    <n v="492"/>
    <n v="458"/>
    <n v="34"/>
    <n v="0"/>
    <x v="0"/>
    <x v="0"/>
    <x v="1"/>
    <x v="1"/>
    <x v="2"/>
    <x v="0"/>
    <n v="1"/>
    <n v="0"/>
    <n v="24"/>
    <n v="3.0000000000000004"/>
    <n v="6"/>
    <n v="5"/>
    <n v="14"/>
    <n v="4"/>
    <x v="3"/>
  </r>
  <r>
    <x v="1360"/>
    <n v="16927"/>
    <n v="1"/>
    <n v="1"/>
    <n v="50"/>
    <n v="20"/>
    <n v="2"/>
    <n v="23"/>
    <n v="3"/>
    <n v="1"/>
    <n v="4"/>
    <n v="5"/>
    <n v="3"/>
    <n v="0"/>
    <n v="4"/>
    <n v="8"/>
    <n v="0"/>
    <n v="0"/>
    <n v="0"/>
    <n v="0"/>
    <n v="0"/>
    <x v="0"/>
    <n v="0"/>
    <n v="3"/>
    <n v="11"/>
    <n v="0"/>
    <n v="44"/>
    <n v="2663"/>
    <n v="7.2958904109589042"/>
    <n v="0"/>
    <n v="1"/>
    <n v="0"/>
    <n v="0"/>
    <n v="0"/>
    <n v="0"/>
    <n v="0"/>
    <n v="0"/>
    <n v="0"/>
    <n v="1"/>
    <n v="49"/>
    <n v="45"/>
    <n v="4"/>
    <n v="0"/>
    <x v="0"/>
    <x v="0"/>
    <x v="0"/>
    <x v="1"/>
    <x v="0"/>
    <x v="0"/>
    <n v="1"/>
    <n v="0"/>
    <n v="20"/>
    <n v="5"/>
    <n v="4"/>
    <n v="2"/>
    <n v="11"/>
    <n v="2"/>
    <x v="3"/>
  </r>
  <r>
    <x v="1361"/>
    <n v="17649"/>
    <n v="1"/>
    <n v="0"/>
    <n v="70"/>
    <n v="15"/>
    <n v="1"/>
    <n v="23"/>
    <n v="0"/>
    <n v="5"/>
    <n v="1"/>
    <n v="3"/>
    <n v="3"/>
    <n v="0"/>
    <n v="3"/>
    <n v="8"/>
    <n v="0"/>
    <n v="0"/>
    <n v="0"/>
    <n v="0"/>
    <n v="0"/>
    <x v="0"/>
    <n v="0"/>
    <n v="3"/>
    <n v="11"/>
    <n v="0"/>
    <n v="44"/>
    <n v="2388"/>
    <n v="6.5424657534246577"/>
    <n v="0"/>
    <n v="1"/>
    <n v="0"/>
    <n v="0"/>
    <n v="0"/>
    <n v="0"/>
    <n v="0"/>
    <n v="1"/>
    <n v="0"/>
    <n v="0"/>
    <n v="44"/>
    <n v="43"/>
    <n v="1"/>
    <n v="0"/>
    <x v="0"/>
    <x v="0"/>
    <x v="0"/>
    <x v="0"/>
    <x v="0"/>
    <x v="0"/>
    <n v="1"/>
    <n v="0"/>
    <n v="17"/>
    <n v="3.0000000000000004"/>
    <n v="3"/>
    <n v="2"/>
    <n v="8"/>
    <n v="1"/>
    <x v="3"/>
  </r>
  <r>
    <x v="1362"/>
    <n v="19444"/>
    <n v="1"/>
    <n v="0"/>
    <n v="8"/>
    <n v="16"/>
    <n v="0"/>
    <n v="23"/>
    <n v="3"/>
    <n v="2"/>
    <n v="10"/>
    <n v="3"/>
    <n v="4"/>
    <n v="1"/>
    <n v="2"/>
    <n v="7"/>
    <n v="0"/>
    <n v="0"/>
    <n v="0"/>
    <n v="0"/>
    <n v="0"/>
    <x v="0"/>
    <n v="0"/>
    <n v="3"/>
    <n v="11"/>
    <n v="1"/>
    <n v="38"/>
    <n v="2286"/>
    <n v="6.2630136986301368"/>
    <n v="0"/>
    <n v="0"/>
    <n v="0"/>
    <n v="1"/>
    <n v="0"/>
    <n v="0"/>
    <n v="0"/>
    <n v="1"/>
    <n v="0"/>
    <n v="0"/>
    <n v="44"/>
    <n v="34"/>
    <n v="10"/>
    <n v="0"/>
    <x v="0"/>
    <x v="0"/>
    <x v="2"/>
    <x v="0"/>
    <x v="0"/>
    <x v="3"/>
    <n v="0"/>
    <n v="0"/>
    <n v="17"/>
    <n v="10"/>
    <n v="3"/>
    <n v="2"/>
    <n v="15"/>
    <n v="4"/>
    <x v="3"/>
  </r>
  <r>
    <x v="1363"/>
    <n v="21645"/>
    <n v="1"/>
    <n v="0"/>
    <n v="75"/>
    <n v="14"/>
    <n v="0"/>
    <n v="23"/>
    <n v="4"/>
    <n v="5"/>
    <n v="19"/>
    <n v="3"/>
    <n v="3"/>
    <n v="0"/>
    <n v="3"/>
    <n v="9"/>
    <n v="0"/>
    <n v="0"/>
    <n v="0"/>
    <n v="0"/>
    <n v="0"/>
    <x v="0"/>
    <n v="0"/>
    <n v="3"/>
    <n v="11"/>
    <n v="1"/>
    <n v="41"/>
    <n v="2823"/>
    <n v="7.7342465753424658"/>
    <n v="0"/>
    <n v="0"/>
    <n v="0"/>
    <n v="1"/>
    <n v="0"/>
    <n v="0"/>
    <n v="0"/>
    <n v="1"/>
    <n v="0"/>
    <n v="0"/>
    <n v="46"/>
    <n v="27"/>
    <n v="19"/>
    <n v="0"/>
    <x v="0"/>
    <x v="0"/>
    <x v="2"/>
    <x v="0"/>
    <x v="0"/>
    <x v="0"/>
    <n v="1"/>
    <n v="0"/>
    <n v="18"/>
    <n v="3.0000000000000004"/>
    <n v="4"/>
    <n v="2"/>
    <n v="9"/>
    <n v="1"/>
    <x v="3"/>
  </r>
  <r>
    <x v="1364"/>
    <n v="27161"/>
    <n v="1"/>
    <n v="0"/>
    <n v="41"/>
    <n v="7"/>
    <n v="4"/>
    <n v="23"/>
    <n v="7"/>
    <n v="0"/>
    <n v="11"/>
    <n v="1"/>
    <n v="1"/>
    <n v="0"/>
    <n v="3"/>
    <n v="7"/>
    <n v="0"/>
    <n v="0"/>
    <n v="0"/>
    <n v="0"/>
    <n v="0"/>
    <x v="0"/>
    <n v="0"/>
    <n v="3"/>
    <n v="11"/>
    <n v="0"/>
    <n v="34"/>
    <n v="2403"/>
    <n v="6.5835616438356164"/>
    <n v="0"/>
    <n v="1"/>
    <n v="0"/>
    <n v="0"/>
    <n v="0"/>
    <n v="0"/>
    <n v="0"/>
    <n v="0"/>
    <n v="1"/>
    <n v="0"/>
    <n v="41"/>
    <n v="30"/>
    <n v="11"/>
    <n v="0"/>
    <x v="0"/>
    <x v="0"/>
    <x v="0"/>
    <x v="1"/>
    <x v="0"/>
    <x v="3"/>
    <n v="1"/>
    <n v="0"/>
    <n v="12"/>
    <n v="6"/>
    <n v="1"/>
    <n v="1"/>
    <n v="8"/>
    <n v="1"/>
    <x v="3"/>
  </r>
  <r>
    <x v="1365"/>
    <n v="27450"/>
    <n v="0"/>
    <n v="0"/>
    <n v="57"/>
    <n v="37"/>
    <n v="12"/>
    <n v="23"/>
    <n v="8"/>
    <n v="11"/>
    <n v="52"/>
    <n v="1"/>
    <n v="2"/>
    <n v="1"/>
    <n v="3"/>
    <n v="7"/>
    <n v="0"/>
    <n v="0"/>
    <n v="0"/>
    <n v="0"/>
    <n v="0"/>
    <x v="0"/>
    <n v="0"/>
    <n v="3"/>
    <n v="11"/>
    <n v="0"/>
    <n v="69"/>
    <n v="2599"/>
    <n v="7.1205479452054794"/>
    <n v="0"/>
    <n v="1"/>
    <n v="0"/>
    <n v="0"/>
    <n v="0"/>
    <n v="0"/>
    <n v="0"/>
    <n v="0"/>
    <n v="1"/>
    <n v="0"/>
    <n v="91"/>
    <n v="39"/>
    <n v="52"/>
    <n v="0"/>
    <x v="1"/>
    <x v="1"/>
    <x v="0"/>
    <x v="1"/>
    <x v="0"/>
    <x v="2"/>
    <n v="1"/>
    <n v="0"/>
    <n v="14"/>
    <n v="5"/>
    <n v="2"/>
    <n v="3"/>
    <n v="10"/>
    <n v="2"/>
    <x v="3"/>
  </r>
  <r>
    <x v="1366"/>
    <n v="31788"/>
    <n v="1"/>
    <n v="0"/>
    <n v="15"/>
    <n v="16"/>
    <n v="7"/>
    <n v="23"/>
    <n v="0"/>
    <n v="8"/>
    <n v="6"/>
    <n v="3"/>
    <n v="3"/>
    <n v="0"/>
    <n v="4"/>
    <n v="5"/>
    <n v="0"/>
    <n v="0"/>
    <n v="0"/>
    <n v="0"/>
    <n v="0"/>
    <x v="0"/>
    <n v="1"/>
    <n v="3"/>
    <n v="11"/>
    <n v="0"/>
    <n v="37"/>
    <n v="2260"/>
    <n v="6.1917808219178081"/>
    <n v="0"/>
    <n v="0"/>
    <n v="1"/>
    <n v="0"/>
    <n v="0"/>
    <n v="0"/>
    <n v="0"/>
    <n v="0"/>
    <n v="1"/>
    <n v="0"/>
    <n v="54"/>
    <n v="48"/>
    <n v="6"/>
    <n v="0"/>
    <x v="0"/>
    <x v="0"/>
    <x v="1"/>
    <x v="1"/>
    <x v="0"/>
    <x v="3"/>
    <n v="0"/>
    <n v="0"/>
    <n v="15"/>
    <n v="9"/>
    <n v="2"/>
    <n v="2"/>
    <n v="13"/>
    <n v="3"/>
    <x v="3"/>
  </r>
  <r>
    <x v="1367"/>
    <n v="32146"/>
    <n v="1"/>
    <n v="0"/>
    <n v="16"/>
    <n v="26"/>
    <n v="3"/>
    <n v="23"/>
    <n v="4"/>
    <n v="7"/>
    <n v="3"/>
    <n v="2"/>
    <n v="2"/>
    <n v="0"/>
    <n v="4"/>
    <n v="6"/>
    <n v="0"/>
    <n v="0"/>
    <n v="0"/>
    <n v="0"/>
    <n v="0"/>
    <x v="0"/>
    <n v="0"/>
    <n v="3"/>
    <n v="11"/>
    <n v="0"/>
    <n v="37"/>
    <n v="2207"/>
    <n v="6.0465753424657533"/>
    <n v="0"/>
    <n v="1"/>
    <n v="0"/>
    <n v="0"/>
    <n v="0"/>
    <n v="1"/>
    <n v="0"/>
    <n v="0"/>
    <n v="0"/>
    <n v="0"/>
    <n v="63"/>
    <n v="60"/>
    <n v="3"/>
    <n v="0"/>
    <x v="0"/>
    <x v="0"/>
    <x v="0"/>
    <x v="1"/>
    <x v="0"/>
    <x v="3"/>
    <n v="0"/>
    <n v="0"/>
    <n v="14"/>
    <n v="9"/>
    <n v="2"/>
    <n v="2"/>
    <n v="13"/>
    <n v="3"/>
    <x v="3"/>
  </r>
  <r>
    <x v="1368"/>
    <n v="35544"/>
    <n v="1"/>
    <n v="0"/>
    <n v="77"/>
    <n v="30"/>
    <n v="5"/>
    <n v="23"/>
    <n v="4"/>
    <n v="1"/>
    <n v="4"/>
    <n v="1"/>
    <n v="2"/>
    <n v="0"/>
    <n v="3"/>
    <n v="7"/>
    <n v="0"/>
    <n v="0"/>
    <n v="0"/>
    <n v="0"/>
    <n v="0"/>
    <x v="0"/>
    <n v="0"/>
    <n v="3"/>
    <n v="11"/>
    <n v="0"/>
    <n v="42"/>
    <n v="2272"/>
    <n v="6.2246575342465755"/>
    <n v="0"/>
    <n v="0"/>
    <n v="1"/>
    <n v="0"/>
    <n v="0"/>
    <n v="0"/>
    <n v="0"/>
    <n v="0"/>
    <n v="1"/>
    <n v="0"/>
    <n v="63"/>
    <n v="59"/>
    <n v="4"/>
    <n v="0"/>
    <x v="0"/>
    <x v="0"/>
    <x v="1"/>
    <x v="1"/>
    <x v="3"/>
    <x v="0"/>
    <n v="1"/>
    <n v="0"/>
    <n v="13"/>
    <n v="3.0000000000000004"/>
    <n v="1"/>
    <n v="2"/>
    <n v="6"/>
    <n v="0"/>
    <x v="4"/>
  </r>
  <r>
    <x v="1369"/>
    <n v="35893"/>
    <n v="1"/>
    <n v="1"/>
    <n v="80"/>
    <n v="158"/>
    <n v="0"/>
    <n v="23"/>
    <n v="0"/>
    <n v="0"/>
    <n v="18"/>
    <n v="6"/>
    <n v="3"/>
    <n v="1"/>
    <n v="5"/>
    <n v="8"/>
    <n v="0"/>
    <n v="0"/>
    <n v="0"/>
    <n v="0"/>
    <n v="0"/>
    <x v="0"/>
    <n v="0"/>
    <n v="3"/>
    <n v="11"/>
    <n v="0"/>
    <n v="52"/>
    <n v="2781"/>
    <n v="7.6191780821917812"/>
    <n v="0"/>
    <n v="0"/>
    <n v="1"/>
    <n v="0"/>
    <n v="0"/>
    <n v="0"/>
    <n v="0"/>
    <n v="1"/>
    <n v="0"/>
    <n v="0"/>
    <n v="181"/>
    <n v="163"/>
    <n v="18"/>
    <n v="0"/>
    <x v="0"/>
    <x v="0"/>
    <x v="1"/>
    <x v="0"/>
    <x v="3"/>
    <x v="1"/>
    <n v="1"/>
    <n v="0"/>
    <n v="23"/>
    <n v="1.9999999999999996"/>
    <n v="6"/>
    <n v="3"/>
    <n v="11"/>
    <n v="2"/>
    <x v="3"/>
  </r>
  <r>
    <x v="1370"/>
    <n v="38201"/>
    <n v="0"/>
    <n v="1"/>
    <n v="19"/>
    <n v="233"/>
    <n v="0"/>
    <n v="23"/>
    <n v="0"/>
    <n v="0"/>
    <n v="12"/>
    <n v="4"/>
    <n v="5"/>
    <n v="1"/>
    <n v="5"/>
    <n v="8"/>
    <n v="0"/>
    <n v="0"/>
    <n v="0"/>
    <n v="0"/>
    <n v="0"/>
    <x v="0"/>
    <n v="0"/>
    <n v="3"/>
    <n v="11"/>
    <n v="0"/>
    <n v="60"/>
    <n v="2616"/>
    <n v="7.1671232876712327"/>
    <n v="0"/>
    <n v="0"/>
    <n v="0"/>
    <n v="1"/>
    <n v="0"/>
    <n v="0"/>
    <n v="0"/>
    <n v="0"/>
    <n v="0"/>
    <n v="1"/>
    <n v="256"/>
    <n v="244"/>
    <n v="12"/>
    <n v="0"/>
    <x v="0"/>
    <x v="0"/>
    <x v="2"/>
    <x v="1"/>
    <x v="3"/>
    <x v="1"/>
    <n v="0"/>
    <n v="0"/>
    <n v="23"/>
    <n v="9"/>
    <n v="6"/>
    <n v="4"/>
    <n v="19"/>
    <n v="7"/>
    <x v="2"/>
  </r>
  <r>
    <x v="1371"/>
    <n v="40662"/>
    <n v="1"/>
    <n v="0"/>
    <n v="0"/>
    <n v="40"/>
    <n v="2"/>
    <n v="23"/>
    <n v="0"/>
    <n v="4"/>
    <n v="23"/>
    <n v="2"/>
    <n v="2"/>
    <n v="1"/>
    <n v="3"/>
    <n v="4"/>
    <n v="0"/>
    <n v="0"/>
    <n v="0"/>
    <n v="0"/>
    <n v="0"/>
    <x v="0"/>
    <n v="0"/>
    <n v="3"/>
    <n v="11"/>
    <n v="0"/>
    <n v="41"/>
    <n v="2630"/>
    <n v="7.2054794520547949"/>
    <n v="0"/>
    <n v="1"/>
    <n v="0"/>
    <n v="0"/>
    <n v="0"/>
    <n v="0"/>
    <n v="0"/>
    <n v="0"/>
    <n v="1"/>
    <n v="0"/>
    <n v="69"/>
    <n v="46"/>
    <n v="23"/>
    <n v="0"/>
    <x v="0"/>
    <x v="0"/>
    <x v="0"/>
    <x v="1"/>
    <x v="3"/>
    <x v="0"/>
    <n v="0"/>
    <n v="0"/>
    <n v="12"/>
    <n v="10"/>
    <n v="1"/>
    <n v="2"/>
    <n v="13"/>
    <n v="3"/>
    <x v="3"/>
  </r>
  <r>
    <x v="1372"/>
    <n v="41120"/>
    <n v="1"/>
    <n v="1"/>
    <n v="80"/>
    <n v="24"/>
    <n v="2"/>
    <n v="23"/>
    <n v="0"/>
    <n v="8"/>
    <n v="24"/>
    <n v="3"/>
    <n v="2"/>
    <n v="1"/>
    <n v="3"/>
    <n v="6"/>
    <n v="0"/>
    <n v="0"/>
    <n v="0"/>
    <n v="0"/>
    <n v="0"/>
    <x v="0"/>
    <n v="0"/>
    <n v="3"/>
    <n v="11"/>
    <n v="0"/>
    <n v="52"/>
    <n v="2394"/>
    <n v="6.558904109589041"/>
    <n v="0"/>
    <n v="1"/>
    <n v="0"/>
    <n v="0"/>
    <n v="0"/>
    <n v="0"/>
    <n v="0"/>
    <n v="1"/>
    <n v="0"/>
    <n v="0"/>
    <n v="57"/>
    <n v="33"/>
    <n v="24"/>
    <n v="0"/>
    <x v="0"/>
    <x v="0"/>
    <x v="0"/>
    <x v="0"/>
    <x v="3"/>
    <x v="1"/>
    <n v="1"/>
    <n v="0"/>
    <n v="15"/>
    <n v="1.9999999999999996"/>
    <n v="2"/>
    <n v="2"/>
    <n v="6"/>
    <n v="0"/>
    <x v="4"/>
  </r>
  <r>
    <x v="1373"/>
    <n v="46891"/>
    <n v="0"/>
    <n v="1"/>
    <n v="91"/>
    <n v="43"/>
    <n v="12"/>
    <n v="23"/>
    <n v="29"/>
    <n v="15"/>
    <n v="61"/>
    <n v="1"/>
    <n v="2"/>
    <n v="1"/>
    <n v="4"/>
    <n v="4"/>
    <n v="0"/>
    <n v="0"/>
    <n v="0"/>
    <n v="0"/>
    <n v="0"/>
    <x v="0"/>
    <n v="0"/>
    <n v="3"/>
    <n v="11"/>
    <n v="0"/>
    <n v="55"/>
    <n v="2460"/>
    <n v="6.7397260273972606"/>
    <n v="0"/>
    <n v="1"/>
    <n v="0"/>
    <n v="0"/>
    <n v="0"/>
    <n v="1"/>
    <n v="0"/>
    <n v="0"/>
    <n v="0"/>
    <n v="0"/>
    <n v="122"/>
    <n v="61"/>
    <n v="61"/>
    <n v="0"/>
    <x v="0"/>
    <x v="0"/>
    <x v="0"/>
    <x v="1"/>
    <x v="3"/>
    <x v="1"/>
    <n v="1"/>
    <n v="1"/>
    <n v="12"/>
    <n v="0.99999999999999978"/>
    <n v="1"/>
    <n v="3"/>
    <n v="5"/>
    <n v="0"/>
    <x v="4"/>
  </r>
  <r>
    <x v="1374"/>
    <n v="48526"/>
    <n v="1"/>
    <n v="0"/>
    <n v="32"/>
    <n v="23"/>
    <n v="17"/>
    <n v="23"/>
    <n v="43"/>
    <n v="20"/>
    <n v="9"/>
    <n v="1"/>
    <n v="2"/>
    <n v="1"/>
    <n v="4"/>
    <n v="3"/>
    <n v="0"/>
    <n v="0"/>
    <n v="0"/>
    <n v="0"/>
    <n v="0"/>
    <x v="0"/>
    <n v="0"/>
    <n v="3"/>
    <n v="11"/>
    <n v="0"/>
    <n v="41"/>
    <n v="2346"/>
    <n v="6.4273972602739722"/>
    <n v="0"/>
    <n v="0"/>
    <n v="1"/>
    <n v="0"/>
    <n v="0"/>
    <n v="0"/>
    <n v="0"/>
    <n v="1"/>
    <n v="0"/>
    <n v="0"/>
    <n v="126"/>
    <n v="117"/>
    <n v="9"/>
    <n v="0"/>
    <x v="0"/>
    <x v="0"/>
    <x v="1"/>
    <x v="0"/>
    <x v="3"/>
    <x v="0"/>
    <n v="1"/>
    <n v="0"/>
    <n v="11"/>
    <n v="7"/>
    <n v="0"/>
    <n v="3"/>
    <n v="10"/>
    <n v="2"/>
    <x v="3"/>
  </r>
  <r>
    <x v="1375"/>
    <n v="51651"/>
    <n v="0"/>
    <n v="1"/>
    <n v="32"/>
    <n v="293"/>
    <n v="6"/>
    <n v="23"/>
    <n v="13"/>
    <n v="6"/>
    <n v="92"/>
    <n v="4"/>
    <n v="6"/>
    <n v="2"/>
    <n v="5"/>
    <n v="8"/>
    <n v="0"/>
    <n v="0"/>
    <n v="0"/>
    <n v="0"/>
    <n v="0"/>
    <x v="0"/>
    <n v="0"/>
    <n v="3"/>
    <n v="11"/>
    <n v="0"/>
    <n v="60"/>
    <n v="2758"/>
    <n v="7.5561643835616437"/>
    <n v="0"/>
    <n v="1"/>
    <n v="0"/>
    <n v="0"/>
    <n v="0"/>
    <n v="0"/>
    <n v="0"/>
    <n v="1"/>
    <n v="0"/>
    <n v="0"/>
    <n v="341"/>
    <n v="249"/>
    <n v="92"/>
    <n v="0"/>
    <x v="0"/>
    <x v="0"/>
    <x v="0"/>
    <x v="0"/>
    <x v="2"/>
    <x v="1"/>
    <n v="1"/>
    <n v="0"/>
    <n v="25"/>
    <n v="7"/>
    <n v="7"/>
    <n v="4"/>
    <n v="18"/>
    <n v="6"/>
    <x v="1"/>
  </r>
  <r>
    <x v="1376"/>
    <n v="16626"/>
    <n v="2"/>
    <n v="0"/>
    <n v="76"/>
    <n v="8"/>
    <n v="3"/>
    <n v="22"/>
    <n v="21"/>
    <n v="1"/>
    <n v="13"/>
    <n v="3"/>
    <n v="3"/>
    <n v="0"/>
    <n v="3"/>
    <n v="9"/>
    <n v="0"/>
    <n v="0"/>
    <n v="0"/>
    <n v="0"/>
    <n v="0"/>
    <x v="0"/>
    <n v="0"/>
    <n v="3"/>
    <n v="11"/>
    <n v="0"/>
    <n v="49"/>
    <n v="2324"/>
    <n v="6.3671232876712329"/>
    <n v="0"/>
    <n v="0"/>
    <n v="0"/>
    <n v="1"/>
    <n v="0"/>
    <n v="0"/>
    <n v="0"/>
    <n v="1"/>
    <n v="0"/>
    <n v="0"/>
    <n v="55"/>
    <n v="42"/>
    <n v="13"/>
    <n v="0"/>
    <x v="0"/>
    <x v="0"/>
    <x v="2"/>
    <x v="0"/>
    <x v="0"/>
    <x v="0"/>
    <n v="1"/>
    <n v="0"/>
    <n v="18"/>
    <n v="3.0000000000000004"/>
    <n v="4"/>
    <n v="2"/>
    <n v="9"/>
    <n v="1"/>
    <x v="3"/>
  </r>
  <r>
    <x v="1377"/>
    <n v="20193"/>
    <n v="0"/>
    <n v="0"/>
    <n v="18"/>
    <n v="8"/>
    <n v="8"/>
    <n v="22"/>
    <n v="24"/>
    <n v="11"/>
    <n v="9"/>
    <n v="1"/>
    <n v="1"/>
    <n v="1"/>
    <n v="4"/>
    <n v="4"/>
    <n v="0"/>
    <n v="0"/>
    <n v="0"/>
    <n v="0"/>
    <n v="0"/>
    <x v="0"/>
    <n v="0"/>
    <n v="3"/>
    <n v="11"/>
    <n v="0"/>
    <n v="29"/>
    <n v="2737"/>
    <n v="7.4986301369863018"/>
    <n v="0"/>
    <n v="0"/>
    <n v="0"/>
    <n v="1"/>
    <n v="0"/>
    <n v="1"/>
    <n v="0"/>
    <n v="0"/>
    <n v="0"/>
    <n v="0"/>
    <n v="73"/>
    <n v="64"/>
    <n v="9"/>
    <n v="0"/>
    <x v="1"/>
    <x v="1"/>
    <x v="2"/>
    <x v="1"/>
    <x v="0"/>
    <x v="4"/>
    <n v="0"/>
    <n v="0"/>
    <n v="11"/>
    <n v="9"/>
    <n v="0"/>
    <n v="3"/>
    <n v="12"/>
    <n v="3"/>
    <x v="3"/>
  </r>
  <r>
    <x v="1378"/>
    <n v="27215"/>
    <n v="2"/>
    <n v="1"/>
    <n v="50"/>
    <n v="30"/>
    <n v="5"/>
    <n v="22"/>
    <n v="8"/>
    <n v="9"/>
    <n v="28"/>
    <n v="4"/>
    <n v="2"/>
    <n v="1"/>
    <n v="4"/>
    <n v="6"/>
    <n v="0"/>
    <n v="0"/>
    <n v="0"/>
    <n v="0"/>
    <n v="0"/>
    <x v="0"/>
    <n v="0"/>
    <n v="3"/>
    <n v="11"/>
    <n v="0"/>
    <n v="59"/>
    <n v="2681"/>
    <n v="7.3452054794520549"/>
    <n v="1"/>
    <n v="0"/>
    <n v="0"/>
    <n v="0"/>
    <n v="0"/>
    <n v="0"/>
    <n v="0"/>
    <n v="1"/>
    <n v="0"/>
    <n v="0"/>
    <n v="74"/>
    <n v="46"/>
    <n v="28"/>
    <n v="0"/>
    <x v="0"/>
    <x v="0"/>
    <x v="3"/>
    <x v="0"/>
    <x v="0"/>
    <x v="1"/>
    <n v="1"/>
    <n v="0"/>
    <n v="17"/>
    <n v="5"/>
    <n v="3"/>
    <n v="3"/>
    <n v="11"/>
    <n v="2"/>
    <x v="3"/>
  </r>
  <r>
    <x v="1379"/>
    <n v="28567"/>
    <n v="1"/>
    <n v="0"/>
    <n v="57"/>
    <n v="11"/>
    <n v="3"/>
    <n v="22"/>
    <n v="2"/>
    <n v="2"/>
    <n v="6"/>
    <n v="2"/>
    <n v="2"/>
    <n v="0"/>
    <n v="3"/>
    <n v="6"/>
    <n v="0"/>
    <n v="0"/>
    <n v="0"/>
    <n v="0"/>
    <n v="0"/>
    <x v="0"/>
    <n v="0"/>
    <n v="3"/>
    <n v="11"/>
    <n v="0"/>
    <n v="38"/>
    <n v="2536"/>
    <n v="6.9479452054794519"/>
    <n v="0"/>
    <n v="0"/>
    <n v="1"/>
    <n v="0"/>
    <n v="0"/>
    <n v="0"/>
    <n v="0"/>
    <n v="1"/>
    <n v="0"/>
    <n v="0"/>
    <n v="40"/>
    <n v="34"/>
    <n v="6"/>
    <n v="0"/>
    <x v="0"/>
    <x v="0"/>
    <x v="1"/>
    <x v="0"/>
    <x v="0"/>
    <x v="3"/>
    <n v="1"/>
    <n v="0"/>
    <n v="13"/>
    <n v="5"/>
    <n v="1"/>
    <n v="1"/>
    <n v="7"/>
    <n v="1"/>
    <x v="3"/>
  </r>
  <r>
    <x v="1380"/>
    <n v="30015"/>
    <n v="1"/>
    <n v="0"/>
    <n v="28"/>
    <n v="25"/>
    <n v="0"/>
    <n v="22"/>
    <n v="2"/>
    <n v="3"/>
    <n v="5"/>
    <n v="2"/>
    <n v="1"/>
    <n v="0"/>
    <n v="4"/>
    <n v="5"/>
    <n v="0"/>
    <n v="0"/>
    <n v="0"/>
    <n v="0"/>
    <n v="0"/>
    <x v="0"/>
    <n v="0"/>
    <n v="3"/>
    <n v="11"/>
    <n v="0"/>
    <n v="50"/>
    <n v="2306"/>
    <n v="6.3178082191780822"/>
    <n v="0"/>
    <n v="0"/>
    <n v="1"/>
    <n v="0"/>
    <n v="0"/>
    <n v="0"/>
    <n v="0"/>
    <n v="1"/>
    <n v="0"/>
    <n v="0"/>
    <n v="52"/>
    <n v="47"/>
    <n v="5"/>
    <n v="0"/>
    <x v="0"/>
    <x v="0"/>
    <x v="1"/>
    <x v="0"/>
    <x v="0"/>
    <x v="0"/>
    <n v="0"/>
    <n v="0"/>
    <n v="12"/>
    <n v="8"/>
    <n v="1"/>
    <n v="2"/>
    <n v="11"/>
    <n v="2"/>
    <x v="3"/>
  </r>
  <r>
    <x v="1381"/>
    <n v="33622"/>
    <n v="1"/>
    <n v="1"/>
    <n v="22"/>
    <n v="39"/>
    <n v="1"/>
    <n v="22"/>
    <n v="3"/>
    <n v="4"/>
    <n v="12"/>
    <n v="3"/>
    <n v="2"/>
    <n v="0"/>
    <n v="4"/>
    <n v="7"/>
    <n v="0"/>
    <n v="0"/>
    <n v="0"/>
    <n v="0"/>
    <n v="0"/>
    <x v="0"/>
    <n v="0"/>
    <n v="3"/>
    <n v="11"/>
    <n v="0"/>
    <n v="48"/>
    <n v="2601"/>
    <n v="7.1260273972602741"/>
    <n v="0"/>
    <n v="1"/>
    <n v="0"/>
    <n v="0"/>
    <n v="0"/>
    <n v="0"/>
    <n v="0"/>
    <n v="1"/>
    <n v="0"/>
    <n v="0"/>
    <n v="69"/>
    <n v="57"/>
    <n v="12"/>
    <n v="0"/>
    <x v="0"/>
    <x v="0"/>
    <x v="0"/>
    <x v="0"/>
    <x v="0"/>
    <x v="0"/>
    <n v="0"/>
    <n v="0"/>
    <n v="16"/>
    <n v="8"/>
    <n v="3"/>
    <n v="2"/>
    <n v="13"/>
    <n v="3"/>
    <x v="3"/>
  </r>
  <r>
    <x v="1382"/>
    <n v="34377"/>
    <n v="0"/>
    <n v="1"/>
    <n v="55"/>
    <n v="62"/>
    <n v="0"/>
    <n v="22"/>
    <n v="3"/>
    <n v="1"/>
    <n v="26"/>
    <n v="2"/>
    <n v="2"/>
    <n v="2"/>
    <n v="2"/>
    <n v="7"/>
    <n v="0"/>
    <n v="0"/>
    <n v="0"/>
    <n v="0"/>
    <n v="0"/>
    <x v="0"/>
    <n v="0"/>
    <n v="3"/>
    <n v="11"/>
    <n v="0"/>
    <n v="57"/>
    <n v="2685"/>
    <n v="7.3561643835616435"/>
    <n v="0"/>
    <n v="0"/>
    <n v="1"/>
    <n v="0"/>
    <n v="0"/>
    <n v="0"/>
    <n v="0"/>
    <n v="1"/>
    <n v="0"/>
    <n v="0"/>
    <n v="88"/>
    <n v="62"/>
    <n v="26"/>
    <n v="0"/>
    <x v="0"/>
    <x v="0"/>
    <x v="1"/>
    <x v="0"/>
    <x v="0"/>
    <x v="1"/>
    <n v="1"/>
    <n v="0"/>
    <n v="15"/>
    <n v="5"/>
    <n v="2"/>
    <n v="3"/>
    <n v="10"/>
    <n v="2"/>
    <x v="3"/>
  </r>
  <r>
    <x v="1383"/>
    <n v="35523"/>
    <n v="1"/>
    <n v="0"/>
    <n v="8"/>
    <n v="11"/>
    <n v="5"/>
    <n v="22"/>
    <n v="12"/>
    <n v="5"/>
    <n v="11"/>
    <n v="2"/>
    <n v="3"/>
    <n v="0"/>
    <n v="3"/>
    <n v="7"/>
    <n v="0"/>
    <n v="0"/>
    <n v="0"/>
    <n v="0"/>
    <n v="0"/>
    <x v="0"/>
    <n v="0"/>
    <n v="3"/>
    <n v="11"/>
    <n v="0"/>
    <n v="39"/>
    <n v="2428"/>
    <n v="6.6520547945205477"/>
    <n v="0"/>
    <n v="1"/>
    <n v="0"/>
    <n v="0"/>
    <n v="0"/>
    <n v="1"/>
    <n v="0"/>
    <n v="0"/>
    <n v="0"/>
    <n v="0"/>
    <n v="55"/>
    <n v="44"/>
    <n v="11"/>
    <n v="0"/>
    <x v="0"/>
    <x v="0"/>
    <x v="0"/>
    <x v="1"/>
    <x v="3"/>
    <x v="3"/>
    <n v="0"/>
    <n v="0"/>
    <n v="15"/>
    <n v="10"/>
    <n v="2"/>
    <n v="2"/>
    <n v="14"/>
    <n v="4"/>
    <x v="3"/>
  </r>
  <r>
    <x v="1384"/>
    <n v="38179"/>
    <n v="1"/>
    <n v="1"/>
    <n v="30"/>
    <n v="38"/>
    <n v="4"/>
    <n v="22"/>
    <n v="4"/>
    <n v="2"/>
    <n v="20"/>
    <n v="4"/>
    <n v="3"/>
    <n v="1"/>
    <n v="3"/>
    <n v="7"/>
    <n v="0"/>
    <n v="0"/>
    <n v="0"/>
    <n v="0"/>
    <n v="0"/>
    <x v="0"/>
    <n v="0"/>
    <n v="3"/>
    <n v="11"/>
    <n v="0"/>
    <n v="54"/>
    <n v="2631"/>
    <n v="7.2082191780821914"/>
    <n v="0"/>
    <n v="1"/>
    <n v="0"/>
    <n v="0"/>
    <n v="0"/>
    <n v="0"/>
    <n v="0"/>
    <n v="0"/>
    <n v="1"/>
    <n v="0"/>
    <n v="70"/>
    <n v="50"/>
    <n v="20"/>
    <n v="0"/>
    <x v="0"/>
    <x v="0"/>
    <x v="0"/>
    <x v="1"/>
    <x v="3"/>
    <x v="1"/>
    <n v="0"/>
    <n v="0"/>
    <n v="18"/>
    <n v="7"/>
    <n v="4"/>
    <n v="3"/>
    <n v="14"/>
    <n v="4"/>
    <x v="3"/>
  </r>
  <r>
    <x v="1385"/>
    <n v="38578"/>
    <n v="1"/>
    <n v="1"/>
    <n v="2"/>
    <n v="38"/>
    <n v="4"/>
    <n v="22"/>
    <n v="3"/>
    <n v="3"/>
    <n v="3"/>
    <n v="3"/>
    <n v="3"/>
    <n v="0"/>
    <n v="3"/>
    <n v="8"/>
    <n v="0"/>
    <n v="0"/>
    <n v="0"/>
    <n v="0"/>
    <n v="0"/>
    <x v="0"/>
    <n v="0"/>
    <n v="3"/>
    <n v="11"/>
    <n v="1"/>
    <n v="48"/>
    <n v="2531"/>
    <n v="6.934246575342466"/>
    <n v="0"/>
    <n v="0"/>
    <n v="1"/>
    <n v="0"/>
    <n v="0"/>
    <n v="0"/>
    <n v="0"/>
    <n v="0"/>
    <n v="0"/>
    <n v="1"/>
    <n v="70"/>
    <n v="67"/>
    <n v="3"/>
    <n v="0"/>
    <x v="0"/>
    <x v="0"/>
    <x v="1"/>
    <x v="1"/>
    <x v="3"/>
    <x v="0"/>
    <n v="0"/>
    <n v="0"/>
    <n v="17"/>
    <n v="10"/>
    <n v="3"/>
    <n v="3"/>
    <n v="16"/>
    <n v="5"/>
    <x v="1"/>
  </r>
  <r>
    <x v="1386"/>
    <n v="38578"/>
    <n v="1"/>
    <n v="1"/>
    <n v="2"/>
    <n v="38"/>
    <n v="4"/>
    <n v="22"/>
    <n v="3"/>
    <n v="3"/>
    <n v="3"/>
    <n v="3"/>
    <n v="3"/>
    <n v="0"/>
    <n v="3"/>
    <n v="8"/>
    <n v="0"/>
    <n v="0"/>
    <n v="0"/>
    <n v="0"/>
    <n v="0"/>
    <x v="0"/>
    <n v="0"/>
    <n v="3"/>
    <n v="11"/>
    <n v="0"/>
    <n v="48"/>
    <n v="2531"/>
    <n v="6.934246575342466"/>
    <n v="0"/>
    <n v="0"/>
    <n v="1"/>
    <n v="0"/>
    <n v="0"/>
    <n v="0"/>
    <n v="0"/>
    <n v="0"/>
    <n v="0"/>
    <n v="1"/>
    <n v="70"/>
    <n v="67"/>
    <n v="3"/>
    <n v="0"/>
    <x v="0"/>
    <x v="0"/>
    <x v="1"/>
    <x v="1"/>
    <x v="3"/>
    <x v="0"/>
    <n v="0"/>
    <n v="0"/>
    <n v="17"/>
    <n v="10"/>
    <n v="3"/>
    <n v="3"/>
    <n v="16"/>
    <n v="5"/>
    <x v="1"/>
  </r>
  <r>
    <x v="1387"/>
    <n v="41275"/>
    <n v="1"/>
    <n v="2"/>
    <n v="33"/>
    <n v="24"/>
    <n v="4"/>
    <n v="22"/>
    <n v="0"/>
    <n v="2"/>
    <n v="9"/>
    <n v="4"/>
    <n v="3"/>
    <n v="1"/>
    <n v="3"/>
    <n v="5"/>
    <n v="0"/>
    <n v="0"/>
    <n v="0"/>
    <n v="0"/>
    <n v="0"/>
    <x v="0"/>
    <n v="0"/>
    <n v="3"/>
    <n v="11"/>
    <n v="0"/>
    <n v="60"/>
    <n v="2256"/>
    <n v="6.1808219178082195"/>
    <n v="0"/>
    <n v="0"/>
    <n v="0"/>
    <n v="1"/>
    <n v="0"/>
    <n v="0"/>
    <n v="0"/>
    <n v="0"/>
    <n v="1"/>
    <n v="0"/>
    <n v="52"/>
    <n v="43"/>
    <n v="9"/>
    <n v="0"/>
    <x v="0"/>
    <x v="0"/>
    <x v="2"/>
    <x v="1"/>
    <x v="3"/>
    <x v="1"/>
    <n v="1"/>
    <n v="0"/>
    <n v="16"/>
    <n v="7"/>
    <n v="3"/>
    <n v="2"/>
    <n v="12"/>
    <n v="3"/>
    <x v="3"/>
  </r>
  <r>
    <x v="1388"/>
    <n v="44911"/>
    <n v="0"/>
    <n v="1"/>
    <n v="11"/>
    <n v="159"/>
    <n v="0"/>
    <n v="22"/>
    <n v="2"/>
    <n v="1"/>
    <n v="31"/>
    <n v="3"/>
    <n v="4"/>
    <n v="1"/>
    <n v="4"/>
    <n v="7"/>
    <n v="0"/>
    <n v="0"/>
    <n v="0"/>
    <n v="0"/>
    <n v="0"/>
    <x v="0"/>
    <n v="0"/>
    <n v="3"/>
    <n v="11"/>
    <n v="0"/>
    <n v="61"/>
    <n v="2630"/>
    <n v="7.2054794520547949"/>
    <n v="0"/>
    <n v="0"/>
    <n v="0"/>
    <n v="1"/>
    <n v="0"/>
    <n v="0"/>
    <n v="0"/>
    <n v="1"/>
    <n v="0"/>
    <n v="0"/>
    <n v="184"/>
    <n v="153"/>
    <n v="31"/>
    <n v="0"/>
    <x v="0"/>
    <x v="0"/>
    <x v="2"/>
    <x v="0"/>
    <x v="3"/>
    <x v="2"/>
    <n v="0"/>
    <n v="0"/>
    <n v="19"/>
    <n v="9"/>
    <n v="4"/>
    <n v="4"/>
    <n v="17"/>
    <n v="6"/>
    <x v="1"/>
  </r>
  <r>
    <x v="1389"/>
    <n v="51287"/>
    <n v="1"/>
    <n v="1"/>
    <n v="10"/>
    <n v="117"/>
    <n v="0"/>
    <n v="22"/>
    <n v="13"/>
    <n v="0"/>
    <n v="30"/>
    <n v="3"/>
    <n v="4"/>
    <n v="1"/>
    <n v="3"/>
    <n v="7"/>
    <n v="0"/>
    <n v="0"/>
    <n v="0"/>
    <n v="0"/>
    <n v="0"/>
    <x v="0"/>
    <n v="0"/>
    <n v="3"/>
    <n v="11"/>
    <n v="0"/>
    <n v="52"/>
    <n v="2248"/>
    <n v="6.1589041095890407"/>
    <n v="0"/>
    <n v="1"/>
    <n v="0"/>
    <n v="0"/>
    <n v="0"/>
    <n v="0"/>
    <n v="0"/>
    <n v="1"/>
    <n v="0"/>
    <n v="0"/>
    <n v="152"/>
    <n v="122"/>
    <n v="30"/>
    <n v="0"/>
    <x v="0"/>
    <x v="0"/>
    <x v="0"/>
    <x v="0"/>
    <x v="2"/>
    <x v="1"/>
    <n v="0"/>
    <n v="0"/>
    <n v="18"/>
    <n v="9"/>
    <n v="4"/>
    <n v="3"/>
    <n v="16"/>
    <n v="5"/>
    <x v="1"/>
  </r>
  <r>
    <x v="1390"/>
    <n v="51650"/>
    <n v="0"/>
    <n v="1"/>
    <n v="81"/>
    <n v="152"/>
    <n v="3"/>
    <n v="22"/>
    <n v="2"/>
    <n v="5"/>
    <n v="7"/>
    <n v="1"/>
    <n v="4"/>
    <n v="1"/>
    <n v="4"/>
    <n v="5"/>
    <n v="0"/>
    <n v="0"/>
    <n v="0"/>
    <n v="0"/>
    <n v="0"/>
    <x v="0"/>
    <n v="0"/>
    <n v="3"/>
    <n v="11"/>
    <n v="0"/>
    <n v="44"/>
    <n v="2208"/>
    <n v="6.0493150684931507"/>
    <n v="0"/>
    <n v="1"/>
    <n v="0"/>
    <n v="0"/>
    <n v="0"/>
    <n v="0"/>
    <n v="0"/>
    <n v="0"/>
    <n v="0"/>
    <n v="1"/>
    <n v="184"/>
    <n v="177"/>
    <n v="7"/>
    <n v="0"/>
    <x v="0"/>
    <x v="0"/>
    <x v="0"/>
    <x v="1"/>
    <x v="2"/>
    <x v="0"/>
    <n v="1"/>
    <n v="0"/>
    <n v="15"/>
    <n v="1.9999999999999996"/>
    <n v="2"/>
    <n v="4"/>
    <n v="8"/>
    <n v="1"/>
    <x v="3"/>
  </r>
  <r>
    <x v="1391"/>
    <n v="19514"/>
    <n v="1"/>
    <n v="1"/>
    <n v="47"/>
    <n v="14"/>
    <n v="3"/>
    <n v="21"/>
    <n v="2"/>
    <n v="1"/>
    <n v="28"/>
    <n v="4"/>
    <n v="3"/>
    <n v="1"/>
    <n v="2"/>
    <n v="8"/>
    <n v="0"/>
    <n v="0"/>
    <n v="1"/>
    <n v="0"/>
    <n v="0"/>
    <x v="1"/>
    <n v="0"/>
    <n v="3"/>
    <n v="11"/>
    <n v="1"/>
    <n v="52"/>
    <n v="2313"/>
    <n v="6.3369863013698629"/>
    <n v="0"/>
    <n v="1"/>
    <n v="0"/>
    <n v="0"/>
    <n v="0"/>
    <n v="0"/>
    <n v="0"/>
    <n v="1"/>
    <n v="0"/>
    <n v="0"/>
    <n v="41"/>
    <n v="13"/>
    <n v="28"/>
    <n v="1"/>
    <x v="0"/>
    <x v="0"/>
    <x v="0"/>
    <x v="0"/>
    <x v="0"/>
    <x v="1"/>
    <n v="1"/>
    <n v="0"/>
    <n v="18"/>
    <n v="6"/>
    <n v="4"/>
    <n v="1"/>
    <n v="11"/>
    <n v="2"/>
    <x v="3"/>
  </r>
  <r>
    <x v="1392"/>
    <n v="19514"/>
    <n v="1"/>
    <n v="1"/>
    <n v="47"/>
    <n v="14"/>
    <n v="3"/>
    <n v="21"/>
    <n v="2"/>
    <n v="1"/>
    <n v="28"/>
    <n v="4"/>
    <n v="3"/>
    <n v="1"/>
    <n v="2"/>
    <n v="8"/>
    <n v="0"/>
    <n v="0"/>
    <n v="1"/>
    <n v="0"/>
    <n v="0"/>
    <x v="1"/>
    <n v="0"/>
    <n v="3"/>
    <n v="11"/>
    <n v="0"/>
    <n v="52"/>
    <n v="2313"/>
    <n v="6.3369863013698629"/>
    <n v="0"/>
    <n v="1"/>
    <n v="0"/>
    <n v="0"/>
    <n v="0"/>
    <n v="0"/>
    <n v="0"/>
    <n v="1"/>
    <n v="0"/>
    <n v="0"/>
    <n v="41"/>
    <n v="13"/>
    <n v="28"/>
    <n v="1"/>
    <x v="0"/>
    <x v="0"/>
    <x v="0"/>
    <x v="0"/>
    <x v="0"/>
    <x v="1"/>
    <n v="1"/>
    <n v="0"/>
    <n v="18"/>
    <n v="6"/>
    <n v="4"/>
    <n v="1"/>
    <n v="11"/>
    <n v="2"/>
    <x v="3"/>
  </r>
  <r>
    <x v="1393"/>
    <n v="23976"/>
    <n v="1"/>
    <n v="0"/>
    <n v="68"/>
    <n v="14"/>
    <n v="1"/>
    <n v="21"/>
    <n v="2"/>
    <n v="3"/>
    <n v="25"/>
    <n v="3"/>
    <n v="3"/>
    <n v="1"/>
    <n v="3"/>
    <n v="7"/>
    <n v="0"/>
    <n v="0"/>
    <n v="0"/>
    <n v="0"/>
    <n v="0"/>
    <x v="0"/>
    <n v="0"/>
    <n v="3"/>
    <n v="11"/>
    <n v="0"/>
    <n v="36"/>
    <n v="2343"/>
    <n v="6.419178082191781"/>
    <n v="0"/>
    <n v="0"/>
    <n v="0"/>
    <n v="1"/>
    <n v="0"/>
    <n v="0"/>
    <n v="0"/>
    <n v="1"/>
    <n v="0"/>
    <n v="0"/>
    <n v="41"/>
    <n v="16"/>
    <n v="25"/>
    <n v="0"/>
    <x v="0"/>
    <x v="0"/>
    <x v="2"/>
    <x v="0"/>
    <x v="0"/>
    <x v="3"/>
    <n v="1"/>
    <n v="0"/>
    <n v="17"/>
    <n v="4"/>
    <n v="3"/>
    <n v="1"/>
    <n v="8"/>
    <n v="1"/>
    <x v="3"/>
  </r>
  <r>
    <x v="1394"/>
    <n v="24279"/>
    <n v="0"/>
    <n v="0"/>
    <n v="6"/>
    <n v="16"/>
    <n v="36"/>
    <n v="21"/>
    <n v="20"/>
    <n v="62"/>
    <n v="108"/>
    <n v="1"/>
    <n v="4"/>
    <n v="1"/>
    <n v="3"/>
    <n v="8"/>
    <n v="0"/>
    <n v="0"/>
    <n v="0"/>
    <n v="0"/>
    <n v="0"/>
    <x v="0"/>
    <n v="0"/>
    <n v="3"/>
    <n v="11"/>
    <n v="0"/>
    <n v="30"/>
    <n v="2706"/>
    <n v="7.4136986301369863"/>
    <n v="0"/>
    <n v="1"/>
    <n v="0"/>
    <n v="0"/>
    <n v="0"/>
    <n v="0"/>
    <n v="1"/>
    <n v="0"/>
    <n v="0"/>
    <n v="0"/>
    <n v="155"/>
    <n v="47"/>
    <n v="108"/>
    <n v="0"/>
    <x v="1"/>
    <x v="1"/>
    <x v="0"/>
    <x v="2"/>
    <x v="0"/>
    <x v="4"/>
    <n v="0"/>
    <n v="0"/>
    <n v="17"/>
    <n v="10"/>
    <n v="3"/>
    <n v="3"/>
    <n v="16"/>
    <n v="5"/>
    <x v="1"/>
  </r>
  <r>
    <x v="1395"/>
    <n v="27116"/>
    <n v="1"/>
    <n v="1"/>
    <n v="78"/>
    <n v="12"/>
    <n v="1"/>
    <n v="21"/>
    <n v="2"/>
    <n v="2"/>
    <n v="3"/>
    <n v="2"/>
    <n v="2"/>
    <n v="0"/>
    <n v="3"/>
    <n v="7"/>
    <n v="0"/>
    <n v="0"/>
    <n v="0"/>
    <n v="0"/>
    <n v="0"/>
    <x v="0"/>
    <n v="0"/>
    <n v="3"/>
    <n v="11"/>
    <n v="0"/>
    <n v="59"/>
    <n v="2278"/>
    <n v="6.2410958904109588"/>
    <n v="0"/>
    <n v="1"/>
    <n v="0"/>
    <n v="0"/>
    <n v="0"/>
    <n v="0"/>
    <n v="0"/>
    <n v="1"/>
    <n v="0"/>
    <n v="0"/>
    <n v="38"/>
    <n v="35"/>
    <n v="3"/>
    <n v="0"/>
    <x v="0"/>
    <x v="0"/>
    <x v="0"/>
    <x v="0"/>
    <x v="0"/>
    <x v="1"/>
    <n v="1"/>
    <n v="0"/>
    <n v="14"/>
    <n v="3.0000000000000004"/>
    <n v="2"/>
    <n v="1"/>
    <n v="6"/>
    <n v="0"/>
    <x v="4"/>
  </r>
  <r>
    <x v="1396"/>
    <n v="27203"/>
    <n v="1"/>
    <n v="1"/>
    <n v="92"/>
    <n v="13"/>
    <n v="2"/>
    <n v="21"/>
    <n v="4"/>
    <n v="0"/>
    <n v="24"/>
    <n v="2"/>
    <n v="1"/>
    <n v="1"/>
    <n v="2"/>
    <n v="8"/>
    <n v="0"/>
    <n v="0"/>
    <n v="0"/>
    <n v="0"/>
    <n v="0"/>
    <x v="0"/>
    <n v="0"/>
    <n v="3"/>
    <n v="11"/>
    <n v="0"/>
    <n v="70"/>
    <n v="2851"/>
    <n v="7.8109589041095893"/>
    <n v="0"/>
    <n v="0"/>
    <n v="0"/>
    <n v="1"/>
    <n v="0"/>
    <n v="0"/>
    <n v="0"/>
    <n v="1"/>
    <n v="0"/>
    <n v="0"/>
    <n v="40"/>
    <n v="16"/>
    <n v="24"/>
    <n v="0"/>
    <x v="0"/>
    <x v="0"/>
    <x v="2"/>
    <x v="0"/>
    <x v="0"/>
    <x v="2"/>
    <n v="1"/>
    <n v="1"/>
    <n v="14"/>
    <n v="0.99999999999999978"/>
    <n v="2"/>
    <n v="1"/>
    <n v="4"/>
    <n v="0"/>
    <x v="4"/>
  </r>
  <r>
    <x v="1397"/>
    <n v="33249"/>
    <n v="1"/>
    <n v="0"/>
    <n v="11"/>
    <n v="6"/>
    <n v="10"/>
    <n v="21"/>
    <n v="19"/>
    <n v="14"/>
    <n v="42"/>
    <n v="2"/>
    <n v="2"/>
    <n v="1"/>
    <n v="3"/>
    <n v="6"/>
    <n v="0"/>
    <n v="0"/>
    <n v="0"/>
    <n v="0"/>
    <n v="0"/>
    <x v="0"/>
    <n v="0"/>
    <n v="3"/>
    <n v="11"/>
    <n v="0"/>
    <n v="45"/>
    <n v="2653"/>
    <n v="7.2684931506849315"/>
    <n v="0"/>
    <n v="0"/>
    <n v="1"/>
    <n v="0"/>
    <n v="0"/>
    <n v="0"/>
    <n v="0"/>
    <n v="1"/>
    <n v="0"/>
    <n v="0"/>
    <n v="70"/>
    <n v="28"/>
    <n v="42"/>
    <n v="0"/>
    <x v="0"/>
    <x v="0"/>
    <x v="1"/>
    <x v="0"/>
    <x v="0"/>
    <x v="0"/>
    <n v="0"/>
    <n v="0"/>
    <n v="14"/>
    <n v="9"/>
    <n v="2"/>
    <n v="3"/>
    <n v="14"/>
    <n v="4"/>
    <x v="3"/>
  </r>
  <r>
    <x v="1398"/>
    <n v="34053"/>
    <n v="0"/>
    <n v="1"/>
    <n v="14"/>
    <n v="63"/>
    <n v="0"/>
    <n v="21"/>
    <n v="7"/>
    <n v="0"/>
    <n v="12"/>
    <n v="1"/>
    <n v="3"/>
    <n v="0"/>
    <n v="3"/>
    <n v="8"/>
    <n v="0"/>
    <n v="0"/>
    <n v="0"/>
    <n v="0"/>
    <n v="0"/>
    <x v="0"/>
    <n v="0"/>
    <n v="3"/>
    <n v="11"/>
    <n v="0"/>
    <n v="52"/>
    <n v="2816"/>
    <n v="7.7150684931506852"/>
    <n v="0"/>
    <n v="0"/>
    <n v="0"/>
    <n v="1"/>
    <n v="0"/>
    <n v="0"/>
    <n v="0"/>
    <n v="0"/>
    <n v="1"/>
    <n v="0"/>
    <n v="91"/>
    <n v="79"/>
    <n v="12"/>
    <n v="0"/>
    <x v="0"/>
    <x v="0"/>
    <x v="2"/>
    <x v="1"/>
    <x v="0"/>
    <x v="1"/>
    <n v="0"/>
    <n v="0"/>
    <n v="15"/>
    <n v="9"/>
    <n v="2"/>
    <n v="3"/>
    <n v="14"/>
    <n v="4"/>
    <x v="3"/>
  </r>
  <r>
    <x v="1399"/>
    <n v="36947"/>
    <n v="1"/>
    <n v="1"/>
    <n v="49"/>
    <n v="88"/>
    <n v="3"/>
    <n v="21"/>
    <n v="4"/>
    <n v="1"/>
    <n v="29"/>
    <n v="4"/>
    <n v="3"/>
    <n v="0"/>
    <n v="4"/>
    <n v="9"/>
    <n v="0"/>
    <n v="0"/>
    <n v="0"/>
    <n v="0"/>
    <n v="0"/>
    <x v="0"/>
    <n v="0"/>
    <n v="3"/>
    <n v="11"/>
    <n v="0"/>
    <n v="53"/>
    <n v="2850"/>
    <n v="7.8082191780821919"/>
    <n v="0"/>
    <n v="1"/>
    <n v="0"/>
    <n v="0"/>
    <n v="0"/>
    <n v="0"/>
    <n v="0"/>
    <n v="0"/>
    <n v="0"/>
    <n v="1"/>
    <n v="117"/>
    <n v="88"/>
    <n v="29"/>
    <n v="0"/>
    <x v="0"/>
    <x v="0"/>
    <x v="0"/>
    <x v="1"/>
    <x v="3"/>
    <x v="1"/>
    <n v="1"/>
    <n v="0"/>
    <n v="20"/>
    <n v="6"/>
    <n v="4"/>
    <n v="3"/>
    <n v="13"/>
    <n v="3"/>
    <x v="3"/>
  </r>
  <r>
    <x v="1400"/>
    <n v="37697"/>
    <n v="1"/>
    <n v="0"/>
    <n v="82"/>
    <n v="34"/>
    <n v="6"/>
    <n v="21"/>
    <n v="11"/>
    <n v="4"/>
    <n v="8"/>
    <n v="1"/>
    <n v="2"/>
    <n v="1"/>
    <n v="3"/>
    <n v="6"/>
    <n v="0"/>
    <n v="0"/>
    <n v="0"/>
    <n v="0"/>
    <n v="0"/>
    <x v="0"/>
    <n v="0"/>
    <n v="3"/>
    <n v="11"/>
    <n v="0"/>
    <n v="44"/>
    <n v="2301"/>
    <n v="6.3041095890410963"/>
    <n v="0"/>
    <n v="0"/>
    <n v="1"/>
    <n v="0"/>
    <n v="0"/>
    <n v="0"/>
    <n v="0"/>
    <n v="1"/>
    <n v="0"/>
    <n v="0"/>
    <n v="76"/>
    <n v="68"/>
    <n v="8"/>
    <n v="0"/>
    <x v="0"/>
    <x v="0"/>
    <x v="1"/>
    <x v="0"/>
    <x v="3"/>
    <x v="0"/>
    <n v="1"/>
    <n v="0"/>
    <n v="13"/>
    <n v="1.9999999999999996"/>
    <n v="1"/>
    <n v="3"/>
    <n v="6"/>
    <n v="0"/>
    <x v="4"/>
  </r>
  <r>
    <x v="1401"/>
    <n v="38872"/>
    <n v="1"/>
    <n v="0"/>
    <n v="93"/>
    <n v="23"/>
    <n v="3"/>
    <n v="21"/>
    <n v="3"/>
    <n v="19"/>
    <n v="22"/>
    <n v="2"/>
    <n v="3"/>
    <n v="0"/>
    <n v="3"/>
    <n v="8"/>
    <n v="0"/>
    <n v="0"/>
    <n v="0"/>
    <n v="0"/>
    <n v="0"/>
    <x v="0"/>
    <n v="0"/>
    <n v="3"/>
    <n v="11"/>
    <n v="0"/>
    <n v="32"/>
    <n v="2554"/>
    <n v="6.9972602739726026"/>
    <n v="0"/>
    <n v="1"/>
    <n v="0"/>
    <n v="0"/>
    <n v="0"/>
    <n v="0"/>
    <n v="0"/>
    <n v="1"/>
    <n v="0"/>
    <n v="0"/>
    <n v="69"/>
    <n v="47"/>
    <n v="22"/>
    <n v="0"/>
    <x v="0"/>
    <x v="0"/>
    <x v="0"/>
    <x v="0"/>
    <x v="3"/>
    <x v="3"/>
    <n v="1"/>
    <n v="1"/>
    <n v="16"/>
    <n v="0.99999999999999978"/>
    <n v="3"/>
    <n v="2"/>
    <n v="6"/>
    <n v="0"/>
    <x v="4"/>
  </r>
  <r>
    <x v="1402"/>
    <n v="40321"/>
    <n v="1"/>
    <n v="1"/>
    <n v="59"/>
    <n v="44"/>
    <n v="4"/>
    <n v="21"/>
    <n v="6"/>
    <n v="0"/>
    <n v="27"/>
    <n v="2"/>
    <n v="3"/>
    <n v="0"/>
    <n v="3"/>
    <n v="7"/>
    <n v="0"/>
    <n v="0"/>
    <n v="0"/>
    <n v="0"/>
    <n v="0"/>
    <x v="0"/>
    <n v="0"/>
    <n v="3"/>
    <n v="11"/>
    <n v="0"/>
    <n v="48"/>
    <n v="2494"/>
    <n v="6.8328767123287673"/>
    <n v="0"/>
    <n v="1"/>
    <n v="0"/>
    <n v="0"/>
    <n v="0"/>
    <n v="0"/>
    <n v="0"/>
    <n v="1"/>
    <n v="0"/>
    <n v="0"/>
    <n v="75"/>
    <n v="48"/>
    <n v="27"/>
    <n v="0"/>
    <x v="0"/>
    <x v="0"/>
    <x v="0"/>
    <x v="0"/>
    <x v="3"/>
    <x v="0"/>
    <n v="1"/>
    <n v="0"/>
    <n v="15"/>
    <n v="4"/>
    <n v="2"/>
    <n v="3"/>
    <n v="9"/>
    <n v="1"/>
    <x v="3"/>
  </r>
  <r>
    <x v="1403"/>
    <n v="41335"/>
    <n v="1"/>
    <n v="0"/>
    <n v="24"/>
    <n v="112"/>
    <n v="19"/>
    <n v="21"/>
    <n v="16"/>
    <n v="14"/>
    <n v="5"/>
    <n v="3"/>
    <n v="4"/>
    <n v="1"/>
    <n v="4"/>
    <n v="7"/>
    <n v="0"/>
    <n v="0"/>
    <n v="0"/>
    <n v="0"/>
    <n v="0"/>
    <x v="0"/>
    <n v="0"/>
    <n v="3"/>
    <n v="11"/>
    <n v="0"/>
    <n v="52"/>
    <n v="2344"/>
    <n v="6.4219178082191783"/>
    <n v="1"/>
    <n v="0"/>
    <n v="0"/>
    <n v="0"/>
    <n v="0"/>
    <n v="0"/>
    <n v="0"/>
    <n v="0"/>
    <n v="1"/>
    <n v="0"/>
    <n v="182"/>
    <n v="177"/>
    <n v="5"/>
    <n v="0"/>
    <x v="0"/>
    <x v="0"/>
    <x v="3"/>
    <x v="1"/>
    <x v="3"/>
    <x v="1"/>
    <n v="0"/>
    <n v="0"/>
    <n v="19"/>
    <n v="8"/>
    <n v="4"/>
    <n v="4"/>
    <n v="16"/>
    <n v="5"/>
    <x v="1"/>
  </r>
  <r>
    <x v="1404"/>
    <n v="42473"/>
    <n v="1"/>
    <n v="1"/>
    <n v="72"/>
    <n v="93"/>
    <n v="1"/>
    <n v="21"/>
    <n v="0"/>
    <n v="4"/>
    <n v="25"/>
    <n v="3"/>
    <n v="2"/>
    <n v="1"/>
    <n v="4"/>
    <n v="5"/>
    <n v="0"/>
    <n v="0"/>
    <n v="0"/>
    <n v="0"/>
    <n v="0"/>
    <x v="0"/>
    <n v="0"/>
    <n v="3"/>
    <n v="11"/>
    <n v="0"/>
    <n v="44"/>
    <n v="2291"/>
    <n v="6.2767123287671236"/>
    <n v="0"/>
    <n v="0"/>
    <n v="1"/>
    <n v="0"/>
    <n v="0"/>
    <n v="0"/>
    <n v="0"/>
    <n v="0"/>
    <n v="0"/>
    <n v="1"/>
    <n v="119"/>
    <n v="94"/>
    <n v="25"/>
    <n v="0"/>
    <x v="0"/>
    <x v="0"/>
    <x v="1"/>
    <x v="1"/>
    <x v="3"/>
    <x v="0"/>
    <n v="1"/>
    <n v="0"/>
    <n v="15"/>
    <n v="3.0000000000000004"/>
    <n v="2"/>
    <n v="3"/>
    <n v="8"/>
    <n v="1"/>
    <x v="3"/>
  </r>
  <r>
    <x v="1405"/>
    <n v="44325"/>
    <n v="0"/>
    <n v="1"/>
    <n v="69"/>
    <n v="516"/>
    <n v="0"/>
    <n v="21"/>
    <n v="0"/>
    <n v="0"/>
    <n v="5"/>
    <n v="4"/>
    <n v="8"/>
    <n v="2"/>
    <n v="7"/>
    <n v="8"/>
    <n v="0"/>
    <n v="0"/>
    <n v="0"/>
    <n v="1"/>
    <n v="0"/>
    <x v="1"/>
    <n v="0"/>
    <n v="3"/>
    <n v="11"/>
    <n v="0"/>
    <n v="48"/>
    <n v="2638"/>
    <n v="7.2273972602739729"/>
    <n v="0"/>
    <n v="1"/>
    <n v="0"/>
    <n v="0"/>
    <n v="0"/>
    <n v="0"/>
    <n v="0"/>
    <n v="0"/>
    <n v="0"/>
    <n v="1"/>
    <n v="537"/>
    <n v="532"/>
    <n v="5"/>
    <n v="1"/>
    <x v="0"/>
    <x v="0"/>
    <x v="0"/>
    <x v="1"/>
    <x v="3"/>
    <x v="0"/>
    <n v="1"/>
    <n v="0"/>
    <n v="29"/>
    <n v="4"/>
    <n v="8"/>
    <n v="5"/>
    <n v="17"/>
    <n v="6"/>
    <x v="1"/>
  </r>
  <r>
    <x v="1406"/>
    <n v="46374"/>
    <n v="0"/>
    <n v="1"/>
    <n v="1"/>
    <n v="408"/>
    <n v="0"/>
    <n v="21"/>
    <n v="0"/>
    <n v="0"/>
    <n v="17"/>
    <n v="3"/>
    <n v="7"/>
    <n v="1"/>
    <n v="7"/>
    <n v="8"/>
    <n v="1"/>
    <n v="0"/>
    <n v="0"/>
    <n v="1"/>
    <n v="0"/>
    <x v="1"/>
    <n v="0"/>
    <n v="3"/>
    <n v="11"/>
    <n v="1"/>
    <n v="46"/>
    <n v="2263"/>
    <n v="6.2"/>
    <n v="0"/>
    <n v="1"/>
    <n v="0"/>
    <n v="0"/>
    <n v="0"/>
    <n v="0"/>
    <n v="0"/>
    <n v="0"/>
    <n v="0"/>
    <n v="1"/>
    <n v="429"/>
    <n v="412"/>
    <n v="17"/>
    <n v="2"/>
    <x v="0"/>
    <x v="0"/>
    <x v="0"/>
    <x v="1"/>
    <x v="3"/>
    <x v="0"/>
    <n v="0"/>
    <n v="0"/>
    <n v="26"/>
    <n v="10"/>
    <n v="7"/>
    <n v="5"/>
    <n v="22"/>
    <n v="8"/>
    <x v="2"/>
  </r>
  <r>
    <x v="1407"/>
    <n v="48767"/>
    <n v="1"/>
    <n v="2"/>
    <n v="79"/>
    <n v="28"/>
    <n v="1"/>
    <n v="21"/>
    <n v="3"/>
    <n v="0"/>
    <n v="10"/>
    <n v="3"/>
    <n v="2"/>
    <n v="1"/>
    <n v="3"/>
    <n v="5"/>
    <n v="0"/>
    <n v="0"/>
    <n v="0"/>
    <n v="0"/>
    <n v="0"/>
    <x v="0"/>
    <n v="0"/>
    <n v="3"/>
    <n v="11"/>
    <n v="0"/>
    <n v="70"/>
    <n v="2338"/>
    <n v="6.4054794520547942"/>
    <n v="0"/>
    <n v="0"/>
    <n v="1"/>
    <n v="0"/>
    <n v="0"/>
    <n v="0"/>
    <n v="0"/>
    <n v="0"/>
    <n v="0"/>
    <n v="1"/>
    <n v="53"/>
    <n v="43"/>
    <n v="10"/>
    <n v="0"/>
    <x v="0"/>
    <x v="0"/>
    <x v="1"/>
    <x v="1"/>
    <x v="3"/>
    <x v="2"/>
    <n v="1"/>
    <n v="0"/>
    <n v="14"/>
    <n v="3.0000000000000004"/>
    <n v="2"/>
    <n v="2"/>
    <n v="7"/>
    <n v="1"/>
    <x v="3"/>
  </r>
  <r>
    <x v="1408"/>
    <n v="50127"/>
    <n v="0"/>
    <n v="1"/>
    <n v="88"/>
    <n v="274"/>
    <n v="0"/>
    <n v="21"/>
    <n v="4"/>
    <n v="6"/>
    <n v="15"/>
    <n v="1"/>
    <n v="5"/>
    <n v="1"/>
    <n v="6"/>
    <n v="6"/>
    <n v="0"/>
    <n v="0"/>
    <n v="0"/>
    <n v="1"/>
    <n v="0"/>
    <x v="1"/>
    <n v="0"/>
    <n v="3"/>
    <n v="11"/>
    <n v="0"/>
    <n v="58"/>
    <n v="2190"/>
    <n v="6"/>
    <n v="0"/>
    <n v="0"/>
    <n v="0"/>
    <n v="1"/>
    <n v="0"/>
    <n v="0"/>
    <n v="0"/>
    <n v="1"/>
    <n v="0"/>
    <n v="0"/>
    <n v="305"/>
    <n v="290"/>
    <n v="15"/>
    <n v="1"/>
    <x v="0"/>
    <x v="0"/>
    <x v="2"/>
    <x v="0"/>
    <x v="2"/>
    <x v="1"/>
    <n v="1"/>
    <n v="0"/>
    <n v="19"/>
    <n v="1.9999999999999996"/>
    <n v="4"/>
    <n v="4"/>
    <n v="10"/>
    <n v="2"/>
    <x v="3"/>
  </r>
  <r>
    <x v="1409"/>
    <n v="50785"/>
    <n v="1"/>
    <n v="1"/>
    <n v="27"/>
    <n v="64"/>
    <n v="1"/>
    <n v="21"/>
    <n v="0"/>
    <n v="1"/>
    <n v="27"/>
    <n v="2"/>
    <n v="2"/>
    <n v="1"/>
    <n v="3"/>
    <n v="6"/>
    <n v="0"/>
    <n v="0"/>
    <n v="0"/>
    <n v="0"/>
    <n v="0"/>
    <x v="0"/>
    <n v="0"/>
    <n v="3"/>
    <n v="11"/>
    <n v="0"/>
    <n v="58"/>
    <n v="2451"/>
    <n v="6.7150684931506852"/>
    <n v="0"/>
    <n v="0"/>
    <n v="1"/>
    <n v="0"/>
    <n v="0"/>
    <n v="0"/>
    <n v="0"/>
    <n v="1"/>
    <n v="0"/>
    <n v="0"/>
    <n v="87"/>
    <n v="60"/>
    <n v="27"/>
    <n v="0"/>
    <x v="0"/>
    <x v="0"/>
    <x v="1"/>
    <x v="0"/>
    <x v="2"/>
    <x v="1"/>
    <n v="0"/>
    <n v="0"/>
    <n v="14"/>
    <n v="8"/>
    <n v="2"/>
    <n v="3"/>
    <n v="13"/>
    <n v="3"/>
    <x v="3"/>
  </r>
  <r>
    <x v="1410"/>
    <n v="53154"/>
    <n v="0"/>
    <n v="1"/>
    <n v="50"/>
    <n v="129"/>
    <n v="0"/>
    <n v="21"/>
    <n v="0"/>
    <n v="1"/>
    <n v="7"/>
    <n v="1"/>
    <n v="3"/>
    <n v="1"/>
    <n v="4"/>
    <n v="4"/>
    <n v="0"/>
    <n v="0"/>
    <n v="0"/>
    <n v="0"/>
    <n v="0"/>
    <x v="0"/>
    <n v="0"/>
    <n v="3"/>
    <n v="11"/>
    <n v="0"/>
    <n v="61"/>
    <n v="2179"/>
    <n v="5.9698630136986299"/>
    <n v="0"/>
    <n v="1"/>
    <n v="0"/>
    <n v="0"/>
    <n v="0"/>
    <n v="0"/>
    <n v="0"/>
    <n v="1"/>
    <n v="0"/>
    <n v="0"/>
    <n v="151"/>
    <n v="144"/>
    <n v="7"/>
    <n v="0"/>
    <x v="0"/>
    <x v="0"/>
    <x v="0"/>
    <x v="0"/>
    <x v="2"/>
    <x v="2"/>
    <n v="1"/>
    <n v="0"/>
    <n v="13"/>
    <n v="5"/>
    <n v="1"/>
    <n v="3"/>
    <n v="9"/>
    <n v="1"/>
    <x v="3"/>
  </r>
  <r>
    <x v="1411"/>
    <n v="57288"/>
    <n v="0"/>
    <n v="1"/>
    <n v="27"/>
    <n v="527"/>
    <n v="0"/>
    <n v="21"/>
    <n v="0"/>
    <n v="0"/>
    <n v="60"/>
    <n v="3"/>
    <n v="8"/>
    <n v="1"/>
    <n v="8"/>
    <n v="6"/>
    <n v="0"/>
    <n v="0"/>
    <n v="0"/>
    <n v="1"/>
    <n v="0"/>
    <x v="1"/>
    <n v="0"/>
    <n v="3"/>
    <n v="11"/>
    <n v="0"/>
    <n v="57"/>
    <n v="2163"/>
    <n v="5.9260273972602739"/>
    <n v="0"/>
    <n v="0"/>
    <n v="0"/>
    <n v="1"/>
    <n v="0"/>
    <n v="0"/>
    <n v="0"/>
    <n v="0"/>
    <n v="1"/>
    <n v="0"/>
    <n v="548"/>
    <n v="488"/>
    <n v="60"/>
    <n v="1"/>
    <x v="0"/>
    <x v="0"/>
    <x v="2"/>
    <x v="1"/>
    <x v="2"/>
    <x v="1"/>
    <n v="0"/>
    <n v="0"/>
    <n v="26"/>
    <n v="8"/>
    <n v="7"/>
    <n v="5"/>
    <n v="20"/>
    <n v="7"/>
    <x v="2"/>
  </r>
  <r>
    <x v="1412"/>
    <n v="64866"/>
    <n v="0"/>
    <n v="1"/>
    <n v="9"/>
    <n v="508"/>
    <n v="5"/>
    <n v="21"/>
    <n v="7"/>
    <n v="5"/>
    <n v="10"/>
    <n v="4"/>
    <n v="7"/>
    <n v="3"/>
    <n v="7"/>
    <n v="5"/>
    <n v="0"/>
    <n v="0"/>
    <n v="0"/>
    <n v="1"/>
    <n v="0"/>
    <x v="1"/>
    <n v="0"/>
    <n v="3"/>
    <n v="11"/>
    <n v="0"/>
    <n v="70"/>
    <n v="2313"/>
    <n v="6.3369863013698629"/>
    <n v="0"/>
    <n v="0"/>
    <n v="0"/>
    <n v="0"/>
    <n v="1"/>
    <n v="0"/>
    <n v="0"/>
    <n v="0"/>
    <n v="1"/>
    <n v="0"/>
    <n v="546"/>
    <n v="536"/>
    <n v="10"/>
    <n v="1"/>
    <x v="0"/>
    <x v="0"/>
    <x v="4"/>
    <x v="1"/>
    <x v="2"/>
    <x v="2"/>
    <n v="0"/>
    <n v="0"/>
    <n v="26"/>
    <n v="10"/>
    <n v="7"/>
    <n v="5"/>
    <n v="22"/>
    <n v="8"/>
    <x v="2"/>
  </r>
  <r>
    <x v="1413"/>
    <n v="18793"/>
    <n v="1"/>
    <n v="0"/>
    <n v="14"/>
    <n v="4"/>
    <n v="16"/>
    <n v="20"/>
    <n v="0"/>
    <n v="17"/>
    <n v="20"/>
    <n v="3"/>
    <n v="2"/>
    <n v="0"/>
    <n v="4"/>
    <n v="8"/>
    <n v="0"/>
    <n v="0"/>
    <n v="0"/>
    <n v="0"/>
    <n v="0"/>
    <x v="0"/>
    <n v="0"/>
    <n v="3"/>
    <n v="11"/>
    <n v="0"/>
    <n v="49"/>
    <n v="2692"/>
    <n v="7.375342465753425"/>
    <n v="0"/>
    <n v="1"/>
    <n v="0"/>
    <n v="0"/>
    <n v="0"/>
    <n v="0"/>
    <n v="0"/>
    <n v="1"/>
    <n v="0"/>
    <n v="0"/>
    <n v="57"/>
    <n v="37"/>
    <n v="20"/>
    <n v="0"/>
    <x v="0"/>
    <x v="0"/>
    <x v="0"/>
    <x v="0"/>
    <x v="0"/>
    <x v="0"/>
    <n v="0"/>
    <n v="0"/>
    <n v="17"/>
    <n v="9"/>
    <n v="3"/>
    <n v="2"/>
    <n v="14"/>
    <n v="4"/>
    <x v="3"/>
  </r>
  <r>
    <x v="1414"/>
    <n v="22212"/>
    <n v="1"/>
    <n v="0"/>
    <n v="49"/>
    <n v="5"/>
    <n v="9"/>
    <n v="20"/>
    <n v="6"/>
    <n v="8"/>
    <n v="21"/>
    <n v="2"/>
    <n v="2"/>
    <n v="0"/>
    <n v="4"/>
    <n v="6"/>
    <n v="0"/>
    <n v="0"/>
    <n v="0"/>
    <n v="0"/>
    <n v="0"/>
    <x v="0"/>
    <n v="0"/>
    <n v="3"/>
    <n v="11"/>
    <n v="0"/>
    <n v="45"/>
    <n v="2361"/>
    <n v="6.4684931506849317"/>
    <n v="0"/>
    <n v="1"/>
    <n v="0"/>
    <n v="0"/>
    <n v="0"/>
    <n v="1"/>
    <n v="0"/>
    <n v="0"/>
    <n v="0"/>
    <n v="0"/>
    <n v="48"/>
    <n v="27"/>
    <n v="21"/>
    <n v="0"/>
    <x v="0"/>
    <x v="0"/>
    <x v="0"/>
    <x v="1"/>
    <x v="0"/>
    <x v="0"/>
    <n v="1"/>
    <n v="0"/>
    <n v="14"/>
    <n v="6"/>
    <n v="2"/>
    <n v="2"/>
    <n v="10"/>
    <n v="2"/>
    <x v="3"/>
  </r>
  <r>
    <x v="1415"/>
    <n v="26646"/>
    <n v="1"/>
    <n v="0"/>
    <n v="26"/>
    <n v="11"/>
    <n v="4"/>
    <n v="20"/>
    <n v="10"/>
    <n v="3"/>
    <n v="5"/>
    <n v="2"/>
    <n v="2"/>
    <n v="0"/>
    <n v="4"/>
    <n v="6"/>
    <n v="0"/>
    <n v="0"/>
    <n v="0"/>
    <n v="0"/>
    <n v="0"/>
    <x v="0"/>
    <n v="0"/>
    <n v="3"/>
    <n v="11"/>
    <n v="0"/>
    <n v="36"/>
    <n v="2298"/>
    <n v="6.2958904109589042"/>
    <n v="0"/>
    <n v="0"/>
    <n v="0"/>
    <n v="1"/>
    <n v="0"/>
    <n v="0"/>
    <n v="0"/>
    <n v="1"/>
    <n v="0"/>
    <n v="0"/>
    <n v="48"/>
    <n v="43"/>
    <n v="5"/>
    <n v="0"/>
    <x v="0"/>
    <x v="0"/>
    <x v="2"/>
    <x v="0"/>
    <x v="0"/>
    <x v="3"/>
    <n v="0"/>
    <n v="0"/>
    <n v="14"/>
    <n v="8"/>
    <n v="2"/>
    <n v="2"/>
    <n v="12"/>
    <n v="3"/>
    <x v="3"/>
  </r>
  <r>
    <x v="1416"/>
    <n v="30631"/>
    <n v="1"/>
    <n v="0"/>
    <n v="75"/>
    <n v="15"/>
    <n v="6"/>
    <n v="20"/>
    <n v="4"/>
    <n v="5"/>
    <n v="20"/>
    <n v="1"/>
    <n v="3"/>
    <n v="1"/>
    <n v="2"/>
    <n v="7"/>
    <n v="0"/>
    <n v="0"/>
    <n v="0"/>
    <n v="0"/>
    <n v="0"/>
    <x v="0"/>
    <n v="0"/>
    <n v="3"/>
    <n v="11"/>
    <n v="0"/>
    <n v="46"/>
    <n v="2511"/>
    <n v="6.8794520547945206"/>
    <n v="0"/>
    <n v="1"/>
    <n v="0"/>
    <n v="0"/>
    <n v="0"/>
    <n v="0"/>
    <n v="0"/>
    <n v="1"/>
    <n v="0"/>
    <n v="0"/>
    <n v="50"/>
    <n v="30"/>
    <n v="20"/>
    <n v="0"/>
    <x v="0"/>
    <x v="0"/>
    <x v="0"/>
    <x v="0"/>
    <x v="0"/>
    <x v="0"/>
    <n v="1"/>
    <n v="0"/>
    <n v="14"/>
    <n v="3.0000000000000004"/>
    <n v="2"/>
    <n v="2"/>
    <n v="7"/>
    <n v="1"/>
    <x v="3"/>
  </r>
  <r>
    <x v="1417"/>
    <n v="31560"/>
    <n v="1"/>
    <n v="0"/>
    <n v="98"/>
    <n v="62"/>
    <n v="1"/>
    <n v="20"/>
    <n v="4"/>
    <n v="0"/>
    <n v="7"/>
    <n v="2"/>
    <n v="2"/>
    <n v="1"/>
    <n v="3"/>
    <n v="8"/>
    <n v="0"/>
    <n v="0"/>
    <n v="0"/>
    <n v="0"/>
    <n v="0"/>
    <x v="0"/>
    <n v="0"/>
    <n v="3"/>
    <n v="11"/>
    <n v="0"/>
    <n v="46"/>
    <n v="2529"/>
    <n v="6.9287671232876713"/>
    <n v="0"/>
    <n v="0"/>
    <n v="1"/>
    <n v="0"/>
    <n v="0"/>
    <n v="0"/>
    <n v="0"/>
    <n v="0"/>
    <n v="0"/>
    <n v="1"/>
    <n v="87"/>
    <n v="80"/>
    <n v="7"/>
    <n v="0"/>
    <x v="0"/>
    <x v="0"/>
    <x v="1"/>
    <x v="1"/>
    <x v="0"/>
    <x v="0"/>
    <n v="1"/>
    <n v="1"/>
    <n v="16"/>
    <n v="0.99999999999999978"/>
    <n v="3"/>
    <n v="3"/>
    <n v="7"/>
    <n v="1"/>
    <x v="3"/>
  </r>
  <r>
    <x v="1418"/>
    <n v="31615"/>
    <n v="1"/>
    <n v="0"/>
    <n v="82"/>
    <n v="2"/>
    <n v="3"/>
    <n v="20"/>
    <n v="6"/>
    <n v="11"/>
    <n v="9"/>
    <n v="2"/>
    <n v="2"/>
    <n v="0"/>
    <n v="3"/>
    <n v="7"/>
    <n v="0"/>
    <n v="0"/>
    <n v="0"/>
    <n v="0"/>
    <n v="0"/>
    <x v="0"/>
    <n v="0"/>
    <n v="3"/>
    <n v="11"/>
    <n v="0"/>
    <n v="44"/>
    <n v="2629"/>
    <n v="7.2027397260273975"/>
    <n v="1"/>
    <n v="0"/>
    <n v="0"/>
    <n v="0"/>
    <n v="0"/>
    <n v="0"/>
    <n v="0"/>
    <n v="1"/>
    <n v="0"/>
    <n v="0"/>
    <n v="42"/>
    <n v="33"/>
    <n v="9"/>
    <n v="0"/>
    <x v="0"/>
    <x v="0"/>
    <x v="3"/>
    <x v="0"/>
    <x v="0"/>
    <x v="0"/>
    <n v="1"/>
    <n v="0"/>
    <n v="14"/>
    <n v="1.9999999999999996"/>
    <n v="2"/>
    <n v="1"/>
    <n v="5"/>
    <n v="0"/>
    <x v="4"/>
  </r>
  <r>
    <x v="1419"/>
    <n v="31761"/>
    <n v="1"/>
    <n v="0"/>
    <n v="96"/>
    <n v="19"/>
    <n v="1"/>
    <n v="20"/>
    <n v="16"/>
    <n v="14"/>
    <n v="28"/>
    <n v="2"/>
    <n v="3"/>
    <n v="0"/>
    <n v="4"/>
    <n v="5"/>
    <n v="0"/>
    <n v="0"/>
    <n v="0"/>
    <n v="0"/>
    <n v="0"/>
    <x v="0"/>
    <n v="0"/>
    <n v="3"/>
    <n v="11"/>
    <n v="0"/>
    <n v="36"/>
    <n v="2244"/>
    <n v="6.1479452054794521"/>
    <n v="0"/>
    <n v="1"/>
    <n v="0"/>
    <n v="0"/>
    <n v="0"/>
    <n v="0"/>
    <n v="0"/>
    <n v="1"/>
    <n v="0"/>
    <n v="0"/>
    <n v="70"/>
    <n v="42"/>
    <n v="28"/>
    <n v="0"/>
    <x v="0"/>
    <x v="0"/>
    <x v="0"/>
    <x v="0"/>
    <x v="0"/>
    <x v="3"/>
    <n v="1"/>
    <n v="1"/>
    <n v="14"/>
    <n v="0.99999999999999978"/>
    <n v="2"/>
    <n v="3"/>
    <n v="6"/>
    <n v="0"/>
    <x v="4"/>
  </r>
  <r>
    <x v="1420"/>
    <n v="31814"/>
    <n v="1"/>
    <n v="0"/>
    <n v="73"/>
    <n v="35"/>
    <n v="3"/>
    <n v="20"/>
    <n v="4"/>
    <n v="1"/>
    <n v="20"/>
    <n v="2"/>
    <n v="2"/>
    <n v="0"/>
    <n v="3"/>
    <n v="9"/>
    <n v="0"/>
    <n v="0"/>
    <n v="1"/>
    <n v="0"/>
    <n v="0"/>
    <x v="1"/>
    <n v="0"/>
    <n v="3"/>
    <n v="11"/>
    <n v="0"/>
    <n v="47"/>
    <n v="2664"/>
    <n v="7.2986301369863016"/>
    <n v="0"/>
    <n v="1"/>
    <n v="0"/>
    <n v="0"/>
    <n v="0"/>
    <n v="0"/>
    <n v="0"/>
    <n v="1"/>
    <n v="0"/>
    <n v="0"/>
    <n v="63"/>
    <n v="43"/>
    <n v="20"/>
    <n v="1"/>
    <x v="0"/>
    <x v="0"/>
    <x v="0"/>
    <x v="0"/>
    <x v="0"/>
    <x v="0"/>
    <n v="1"/>
    <n v="0"/>
    <n v="16"/>
    <n v="3.0000000000000004"/>
    <n v="3"/>
    <n v="2"/>
    <n v="8"/>
    <n v="1"/>
    <x v="3"/>
  </r>
  <r>
    <x v="1421"/>
    <n v="34469"/>
    <n v="1"/>
    <n v="1"/>
    <n v="58"/>
    <n v="19"/>
    <n v="6"/>
    <n v="20"/>
    <n v="0"/>
    <n v="5"/>
    <n v="12"/>
    <n v="3"/>
    <n v="1"/>
    <n v="1"/>
    <n v="4"/>
    <n v="4"/>
    <n v="0"/>
    <n v="0"/>
    <n v="0"/>
    <n v="0"/>
    <n v="0"/>
    <x v="0"/>
    <n v="0"/>
    <n v="3"/>
    <n v="11"/>
    <n v="0"/>
    <n v="72"/>
    <n v="2215"/>
    <n v="6.0684931506849313"/>
    <n v="0"/>
    <n v="1"/>
    <n v="0"/>
    <n v="0"/>
    <n v="0"/>
    <n v="0"/>
    <n v="0"/>
    <n v="0"/>
    <n v="0"/>
    <n v="1"/>
    <n v="50"/>
    <n v="38"/>
    <n v="12"/>
    <n v="0"/>
    <x v="0"/>
    <x v="0"/>
    <x v="0"/>
    <x v="1"/>
    <x v="0"/>
    <x v="2"/>
    <n v="1"/>
    <n v="0"/>
    <n v="13"/>
    <n v="5"/>
    <n v="1"/>
    <n v="2"/>
    <n v="8"/>
    <n v="1"/>
    <x v="3"/>
  </r>
  <r>
    <x v="1422"/>
    <n v="35790"/>
    <n v="1"/>
    <n v="0"/>
    <n v="54"/>
    <n v="12"/>
    <n v="6"/>
    <n v="20"/>
    <n v="30"/>
    <n v="1"/>
    <n v="3"/>
    <n v="2"/>
    <n v="2"/>
    <n v="0"/>
    <n v="3"/>
    <n v="7"/>
    <n v="0"/>
    <n v="0"/>
    <n v="0"/>
    <n v="0"/>
    <n v="0"/>
    <x v="0"/>
    <n v="0"/>
    <n v="3"/>
    <n v="11"/>
    <n v="0"/>
    <n v="43"/>
    <n v="2702"/>
    <n v="7.4027397260273968"/>
    <n v="0"/>
    <n v="0"/>
    <n v="1"/>
    <n v="0"/>
    <n v="0"/>
    <n v="0"/>
    <n v="0"/>
    <n v="1"/>
    <n v="0"/>
    <n v="0"/>
    <n v="69"/>
    <n v="66"/>
    <n v="3"/>
    <n v="0"/>
    <x v="0"/>
    <x v="0"/>
    <x v="1"/>
    <x v="0"/>
    <x v="3"/>
    <x v="0"/>
    <n v="1"/>
    <n v="0"/>
    <n v="14"/>
    <n v="5"/>
    <n v="2"/>
    <n v="2"/>
    <n v="9"/>
    <n v="1"/>
    <x v="3"/>
  </r>
  <r>
    <x v="1423"/>
    <n v="37633"/>
    <n v="1"/>
    <n v="1"/>
    <n v="49"/>
    <n v="13"/>
    <n v="4"/>
    <n v="20"/>
    <n v="0"/>
    <n v="0"/>
    <n v="1"/>
    <n v="2"/>
    <n v="1"/>
    <n v="0"/>
    <n v="3"/>
    <n v="9"/>
    <n v="0"/>
    <n v="0"/>
    <n v="0"/>
    <n v="0"/>
    <n v="0"/>
    <x v="0"/>
    <n v="0"/>
    <n v="3"/>
    <n v="11"/>
    <n v="0"/>
    <n v="63"/>
    <n v="2806"/>
    <n v="7.6876712328767125"/>
    <n v="0"/>
    <n v="1"/>
    <n v="0"/>
    <n v="0"/>
    <n v="0"/>
    <n v="0"/>
    <n v="0"/>
    <n v="0"/>
    <n v="0"/>
    <n v="1"/>
    <n v="37"/>
    <n v="36"/>
    <n v="1"/>
    <n v="0"/>
    <x v="0"/>
    <x v="0"/>
    <x v="0"/>
    <x v="1"/>
    <x v="3"/>
    <x v="2"/>
    <n v="1"/>
    <n v="0"/>
    <n v="15"/>
    <n v="6"/>
    <n v="2"/>
    <n v="1"/>
    <n v="9"/>
    <n v="1"/>
    <x v="3"/>
  </r>
  <r>
    <x v="1424"/>
    <n v="41473"/>
    <n v="1"/>
    <n v="0"/>
    <n v="80"/>
    <n v="21"/>
    <n v="8"/>
    <n v="20"/>
    <n v="15"/>
    <n v="3"/>
    <n v="9"/>
    <n v="1"/>
    <n v="2"/>
    <n v="0"/>
    <n v="3"/>
    <n v="7"/>
    <n v="0"/>
    <n v="0"/>
    <n v="0"/>
    <n v="0"/>
    <n v="0"/>
    <x v="0"/>
    <n v="0"/>
    <n v="3"/>
    <n v="11"/>
    <n v="0"/>
    <n v="35"/>
    <n v="2534"/>
    <n v="6.9424657534246572"/>
    <n v="0"/>
    <n v="0"/>
    <n v="1"/>
    <n v="0"/>
    <n v="0"/>
    <n v="1"/>
    <n v="0"/>
    <n v="0"/>
    <n v="0"/>
    <n v="0"/>
    <n v="67"/>
    <n v="58"/>
    <n v="9"/>
    <n v="0"/>
    <x v="0"/>
    <x v="0"/>
    <x v="1"/>
    <x v="1"/>
    <x v="3"/>
    <x v="3"/>
    <n v="1"/>
    <n v="0"/>
    <n v="13"/>
    <n v="1.9999999999999996"/>
    <n v="1"/>
    <n v="2"/>
    <n v="5"/>
    <n v="0"/>
    <x v="4"/>
  </r>
  <r>
    <x v="1425"/>
    <n v="42693"/>
    <n v="1"/>
    <n v="0"/>
    <n v="29"/>
    <n v="8"/>
    <n v="4"/>
    <n v="20"/>
    <n v="6"/>
    <n v="3"/>
    <n v="16"/>
    <n v="1"/>
    <n v="1"/>
    <n v="0"/>
    <n v="3"/>
    <n v="5"/>
    <n v="0"/>
    <n v="0"/>
    <n v="0"/>
    <n v="0"/>
    <n v="0"/>
    <x v="0"/>
    <n v="0"/>
    <n v="3"/>
    <n v="11"/>
    <n v="0"/>
    <n v="42"/>
    <n v="2181"/>
    <n v="5.9753424657534246"/>
    <n v="0"/>
    <n v="1"/>
    <n v="0"/>
    <n v="0"/>
    <n v="0"/>
    <n v="0"/>
    <n v="0"/>
    <n v="1"/>
    <n v="0"/>
    <n v="0"/>
    <n v="41"/>
    <n v="25"/>
    <n v="16"/>
    <n v="0"/>
    <x v="0"/>
    <x v="0"/>
    <x v="0"/>
    <x v="0"/>
    <x v="3"/>
    <x v="0"/>
    <n v="0"/>
    <n v="0"/>
    <n v="10"/>
    <n v="8"/>
    <n v="0"/>
    <n v="1"/>
    <n v="9"/>
    <n v="1"/>
    <x v="3"/>
  </r>
  <r>
    <x v="1426"/>
    <n v="44393"/>
    <n v="1"/>
    <n v="1"/>
    <n v="86"/>
    <n v="24"/>
    <n v="2"/>
    <n v="20"/>
    <n v="2"/>
    <n v="2"/>
    <n v="10"/>
    <n v="2"/>
    <n v="1"/>
    <n v="0"/>
    <n v="4"/>
    <n v="4"/>
    <n v="0"/>
    <n v="0"/>
    <n v="0"/>
    <n v="0"/>
    <n v="0"/>
    <x v="0"/>
    <n v="0"/>
    <n v="3"/>
    <n v="11"/>
    <n v="0"/>
    <n v="55"/>
    <n v="2470"/>
    <n v="6.7671232876712333"/>
    <n v="0"/>
    <n v="1"/>
    <n v="0"/>
    <n v="0"/>
    <n v="0"/>
    <n v="0"/>
    <n v="0"/>
    <n v="1"/>
    <n v="0"/>
    <n v="0"/>
    <n v="50"/>
    <n v="40"/>
    <n v="10"/>
    <n v="0"/>
    <x v="0"/>
    <x v="0"/>
    <x v="0"/>
    <x v="0"/>
    <x v="3"/>
    <x v="1"/>
    <n v="1"/>
    <n v="0"/>
    <n v="11"/>
    <n v="1.9999999999999996"/>
    <n v="0"/>
    <n v="2"/>
    <n v="3.9999999999999996"/>
    <n v="0"/>
    <x v="4"/>
  </r>
  <r>
    <x v="1427"/>
    <n v="46094"/>
    <n v="1"/>
    <n v="1"/>
    <n v="62"/>
    <n v="12"/>
    <n v="2"/>
    <n v="20"/>
    <n v="3"/>
    <n v="2"/>
    <n v="5"/>
    <n v="1"/>
    <n v="1"/>
    <n v="0"/>
    <n v="3"/>
    <n v="7"/>
    <n v="0"/>
    <n v="0"/>
    <n v="0"/>
    <n v="0"/>
    <n v="0"/>
    <x v="0"/>
    <n v="0"/>
    <n v="3"/>
    <n v="11"/>
    <n v="0"/>
    <n v="47"/>
    <n v="2178"/>
    <n v="5.9671232876712326"/>
    <n v="0"/>
    <n v="1"/>
    <n v="0"/>
    <n v="0"/>
    <n v="0"/>
    <n v="1"/>
    <n v="0"/>
    <n v="0"/>
    <n v="0"/>
    <n v="0"/>
    <n v="39"/>
    <n v="34"/>
    <n v="5"/>
    <n v="0"/>
    <x v="0"/>
    <x v="0"/>
    <x v="0"/>
    <x v="1"/>
    <x v="3"/>
    <x v="0"/>
    <n v="1"/>
    <n v="0"/>
    <n v="12"/>
    <n v="4"/>
    <n v="1"/>
    <n v="1"/>
    <n v="6"/>
    <n v="0"/>
    <x v="4"/>
  </r>
  <r>
    <x v="1428"/>
    <n v="47570"/>
    <n v="1"/>
    <n v="1"/>
    <n v="3"/>
    <n v="67"/>
    <n v="1"/>
    <n v="20"/>
    <n v="0"/>
    <n v="2"/>
    <n v="31"/>
    <n v="3"/>
    <n v="2"/>
    <n v="2"/>
    <n v="2"/>
    <n v="7"/>
    <n v="0"/>
    <n v="0"/>
    <n v="0"/>
    <n v="0"/>
    <n v="0"/>
    <x v="0"/>
    <n v="0"/>
    <n v="3"/>
    <n v="11"/>
    <n v="1"/>
    <n v="71"/>
    <n v="2555"/>
    <n v="7"/>
    <n v="0"/>
    <n v="0"/>
    <n v="0"/>
    <n v="0"/>
    <n v="1"/>
    <n v="0"/>
    <n v="0"/>
    <n v="0"/>
    <n v="1"/>
    <n v="0"/>
    <n v="90"/>
    <n v="59"/>
    <n v="31"/>
    <n v="0"/>
    <x v="0"/>
    <x v="0"/>
    <x v="4"/>
    <x v="1"/>
    <x v="3"/>
    <x v="2"/>
    <n v="0"/>
    <n v="0"/>
    <n v="16"/>
    <n v="10"/>
    <n v="3"/>
    <n v="3"/>
    <n v="16"/>
    <n v="5"/>
    <x v="1"/>
  </r>
  <r>
    <x v="1429"/>
    <n v="17144"/>
    <n v="1"/>
    <n v="1"/>
    <n v="96"/>
    <n v="18"/>
    <n v="2"/>
    <n v="19"/>
    <n v="0"/>
    <n v="2"/>
    <n v="6"/>
    <n v="5"/>
    <n v="3"/>
    <n v="0"/>
    <n v="4"/>
    <n v="7"/>
    <n v="0"/>
    <n v="0"/>
    <n v="0"/>
    <n v="0"/>
    <n v="0"/>
    <x v="0"/>
    <n v="0"/>
    <n v="3"/>
    <n v="11"/>
    <n v="0"/>
    <n v="60"/>
    <n v="2293"/>
    <n v="6.2821917808219174"/>
    <n v="0"/>
    <n v="0"/>
    <n v="0"/>
    <n v="1"/>
    <n v="0"/>
    <n v="0"/>
    <n v="0"/>
    <n v="0"/>
    <n v="1"/>
    <n v="0"/>
    <n v="41"/>
    <n v="35"/>
    <n v="6"/>
    <n v="0"/>
    <x v="0"/>
    <x v="0"/>
    <x v="2"/>
    <x v="1"/>
    <x v="0"/>
    <x v="1"/>
    <n v="1"/>
    <n v="1"/>
    <n v="19"/>
    <n v="0.99999999999999978"/>
    <n v="4"/>
    <n v="1"/>
    <n v="6"/>
    <n v="0"/>
    <x v="4"/>
  </r>
  <r>
    <x v="1430"/>
    <n v="18222"/>
    <n v="0"/>
    <n v="0"/>
    <n v="70"/>
    <n v="12"/>
    <n v="4"/>
    <n v="19"/>
    <n v="12"/>
    <n v="6"/>
    <n v="14"/>
    <n v="1"/>
    <n v="2"/>
    <n v="0"/>
    <n v="3"/>
    <n v="8"/>
    <n v="0"/>
    <n v="0"/>
    <n v="0"/>
    <n v="0"/>
    <n v="0"/>
    <x v="0"/>
    <n v="0"/>
    <n v="3"/>
    <n v="11"/>
    <n v="0"/>
    <n v="30"/>
    <n v="2704"/>
    <n v="7.4082191780821915"/>
    <n v="0"/>
    <n v="1"/>
    <n v="0"/>
    <n v="0"/>
    <n v="0"/>
    <n v="0"/>
    <n v="0"/>
    <n v="1"/>
    <n v="0"/>
    <n v="0"/>
    <n v="53"/>
    <n v="39"/>
    <n v="14"/>
    <n v="0"/>
    <x v="1"/>
    <x v="1"/>
    <x v="0"/>
    <x v="0"/>
    <x v="0"/>
    <x v="4"/>
    <n v="1"/>
    <n v="0"/>
    <n v="14"/>
    <n v="3.0000000000000004"/>
    <n v="2"/>
    <n v="2"/>
    <n v="7"/>
    <n v="1"/>
    <x v="3"/>
  </r>
  <r>
    <x v="1431"/>
    <n v="18358"/>
    <n v="1"/>
    <n v="0"/>
    <n v="49"/>
    <n v="6"/>
    <n v="8"/>
    <n v="19"/>
    <n v="16"/>
    <n v="4"/>
    <n v="4"/>
    <n v="3"/>
    <n v="3"/>
    <n v="0"/>
    <n v="4"/>
    <n v="7"/>
    <n v="0"/>
    <n v="0"/>
    <n v="0"/>
    <n v="0"/>
    <n v="0"/>
    <x v="0"/>
    <n v="0"/>
    <n v="3"/>
    <n v="11"/>
    <n v="0"/>
    <n v="31"/>
    <n v="2380"/>
    <n v="6.5205479452054798"/>
    <n v="0"/>
    <n v="0"/>
    <n v="1"/>
    <n v="0"/>
    <n v="0"/>
    <n v="0"/>
    <n v="0"/>
    <n v="1"/>
    <n v="0"/>
    <n v="0"/>
    <n v="53"/>
    <n v="49"/>
    <n v="4"/>
    <n v="0"/>
    <x v="0"/>
    <x v="0"/>
    <x v="1"/>
    <x v="0"/>
    <x v="0"/>
    <x v="3"/>
    <n v="1"/>
    <n v="0"/>
    <n v="17"/>
    <n v="6"/>
    <n v="3"/>
    <n v="2"/>
    <n v="11"/>
    <n v="2"/>
    <x v="3"/>
  </r>
  <r>
    <x v="1432"/>
    <n v="21059"/>
    <n v="1"/>
    <n v="0"/>
    <n v="40"/>
    <n v="8"/>
    <n v="3"/>
    <n v="19"/>
    <n v="3"/>
    <n v="3"/>
    <n v="8"/>
    <n v="3"/>
    <n v="3"/>
    <n v="0"/>
    <n v="3"/>
    <n v="6"/>
    <n v="0"/>
    <n v="0"/>
    <n v="0"/>
    <n v="0"/>
    <n v="0"/>
    <x v="0"/>
    <n v="0"/>
    <n v="3"/>
    <n v="11"/>
    <n v="0"/>
    <n v="38"/>
    <n v="2332"/>
    <n v="6.3890410958904109"/>
    <n v="0"/>
    <n v="1"/>
    <n v="0"/>
    <n v="0"/>
    <n v="0"/>
    <n v="0"/>
    <n v="0"/>
    <n v="0"/>
    <n v="1"/>
    <n v="0"/>
    <n v="36"/>
    <n v="28"/>
    <n v="8"/>
    <n v="0"/>
    <x v="0"/>
    <x v="0"/>
    <x v="0"/>
    <x v="1"/>
    <x v="0"/>
    <x v="3"/>
    <n v="1"/>
    <n v="0"/>
    <n v="15"/>
    <n v="6"/>
    <n v="2"/>
    <n v="1"/>
    <n v="9"/>
    <n v="1"/>
    <x v="3"/>
  </r>
  <r>
    <x v="1433"/>
    <n v="22070"/>
    <n v="1"/>
    <n v="0"/>
    <n v="11"/>
    <n v="10"/>
    <n v="7"/>
    <n v="19"/>
    <n v="8"/>
    <n v="2"/>
    <n v="21"/>
    <n v="2"/>
    <n v="2"/>
    <n v="2"/>
    <n v="2"/>
    <n v="6"/>
    <n v="0"/>
    <n v="0"/>
    <n v="0"/>
    <n v="0"/>
    <n v="0"/>
    <x v="0"/>
    <n v="0"/>
    <n v="3"/>
    <n v="11"/>
    <n v="0"/>
    <n v="50"/>
    <n v="2427"/>
    <n v="6.6493150684931503"/>
    <n v="0"/>
    <n v="0"/>
    <n v="0"/>
    <n v="1"/>
    <n v="0"/>
    <n v="0"/>
    <n v="0"/>
    <n v="1"/>
    <n v="0"/>
    <n v="0"/>
    <n v="46"/>
    <n v="25"/>
    <n v="21"/>
    <n v="0"/>
    <x v="0"/>
    <x v="0"/>
    <x v="2"/>
    <x v="0"/>
    <x v="0"/>
    <x v="0"/>
    <n v="0"/>
    <n v="0"/>
    <n v="14"/>
    <n v="9"/>
    <n v="2"/>
    <n v="2"/>
    <n v="13"/>
    <n v="3"/>
    <x v="3"/>
  </r>
  <r>
    <x v="1434"/>
    <n v="22944"/>
    <n v="1"/>
    <n v="0"/>
    <n v="67"/>
    <n v="19"/>
    <n v="3"/>
    <n v="19"/>
    <n v="4"/>
    <n v="5"/>
    <n v="26"/>
    <n v="3"/>
    <n v="3"/>
    <n v="0"/>
    <n v="3"/>
    <n v="7"/>
    <n v="0"/>
    <n v="0"/>
    <n v="0"/>
    <n v="0"/>
    <n v="0"/>
    <x v="0"/>
    <n v="0"/>
    <n v="3"/>
    <n v="11"/>
    <n v="0"/>
    <n v="39"/>
    <n v="2347"/>
    <n v="6.4301369863013695"/>
    <n v="0"/>
    <n v="0"/>
    <n v="1"/>
    <n v="0"/>
    <n v="0"/>
    <n v="0"/>
    <n v="0"/>
    <n v="0"/>
    <n v="1"/>
    <n v="0"/>
    <n v="50"/>
    <n v="24"/>
    <n v="26"/>
    <n v="0"/>
    <x v="0"/>
    <x v="0"/>
    <x v="1"/>
    <x v="1"/>
    <x v="0"/>
    <x v="3"/>
    <n v="1"/>
    <n v="0"/>
    <n v="16"/>
    <n v="4"/>
    <n v="3"/>
    <n v="2"/>
    <n v="9"/>
    <n v="1"/>
    <x v="3"/>
  </r>
  <r>
    <x v="1435"/>
    <n v="22979"/>
    <n v="1"/>
    <n v="0"/>
    <n v="29"/>
    <n v="16"/>
    <n v="17"/>
    <n v="19"/>
    <n v="20"/>
    <n v="21"/>
    <n v="22"/>
    <n v="3"/>
    <n v="3"/>
    <n v="2"/>
    <n v="2"/>
    <n v="8"/>
    <n v="0"/>
    <n v="0"/>
    <n v="0"/>
    <n v="0"/>
    <n v="0"/>
    <x v="0"/>
    <n v="0"/>
    <n v="3"/>
    <n v="11"/>
    <n v="1"/>
    <n v="50"/>
    <n v="2820"/>
    <n v="7.7260273972602738"/>
    <n v="0"/>
    <n v="1"/>
    <n v="0"/>
    <n v="0"/>
    <n v="0"/>
    <n v="0"/>
    <n v="0"/>
    <n v="1"/>
    <n v="0"/>
    <n v="0"/>
    <n v="93"/>
    <n v="71"/>
    <n v="22"/>
    <n v="0"/>
    <x v="0"/>
    <x v="0"/>
    <x v="0"/>
    <x v="0"/>
    <x v="0"/>
    <x v="0"/>
    <n v="0"/>
    <n v="0"/>
    <n v="18"/>
    <n v="8"/>
    <n v="4"/>
    <n v="3"/>
    <n v="15"/>
    <n v="4"/>
    <x v="3"/>
  </r>
  <r>
    <x v="1436"/>
    <n v="23559"/>
    <n v="1"/>
    <n v="0"/>
    <n v="87"/>
    <n v="25"/>
    <n v="5"/>
    <n v="19"/>
    <n v="7"/>
    <n v="0"/>
    <n v="23"/>
    <n v="3"/>
    <n v="3"/>
    <n v="0"/>
    <n v="3"/>
    <n v="7"/>
    <n v="0"/>
    <n v="0"/>
    <n v="0"/>
    <n v="0"/>
    <n v="0"/>
    <x v="0"/>
    <n v="0"/>
    <n v="3"/>
    <n v="11"/>
    <n v="0"/>
    <n v="47"/>
    <n v="2520"/>
    <n v="6.904109589041096"/>
    <n v="0"/>
    <n v="1"/>
    <n v="0"/>
    <n v="0"/>
    <n v="0"/>
    <n v="1"/>
    <n v="0"/>
    <n v="0"/>
    <n v="0"/>
    <n v="0"/>
    <n v="56"/>
    <n v="33"/>
    <n v="23"/>
    <n v="0"/>
    <x v="0"/>
    <x v="0"/>
    <x v="0"/>
    <x v="1"/>
    <x v="0"/>
    <x v="0"/>
    <n v="1"/>
    <n v="0"/>
    <n v="16"/>
    <n v="1.9999999999999996"/>
    <n v="3"/>
    <n v="2"/>
    <n v="7"/>
    <n v="1"/>
    <x v="3"/>
  </r>
  <r>
    <x v="1437"/>
    <n v="26091"/>
    <n v="1"/>
    <n v="1"/>
    <n v="84"/>
    <n v="15"/>
    <n v="10"/>
    <n v="19"/>
    <n v="8"/>
    <n v="17"/>
    <n v="20"/>
    <n v="3"/>
    <n v="2"/>
    <n v="1"/>
    <n v="3"/>
    <n v="5"/>
    <n v="0"/>
    <n v="0"/>
    <n v="0"/>
    <n v="0"/>
    <n v="0"/>
    <x v="0"/>
    <n v="0"/>
    <n v="3"/>
    <n v="11"/>
    <n v="0"/>
    <n v="63"/>
    <n v="2283"/>
    <n v="6.2547945205479456"/>
    <n v="0"/>
    <n v="0"/>
    <n v="0"/>
    <n v="1"/>
    <n v="0"/>
    <n v="0"/>
    <n v="0"/>
    <n v="1"/>
    <n v="0"/>
    <n v="0"/>
    <n v="69"/>
    <n v="49"/>
    <n v="20"/>
    <n v="0"/>
    <x v="0"/>
    <x v="0"/>
    <x v="2"/>
    <x v="0"/>
    <x v="0"/>
    <x v="2"/>
    <n v="1"/>
    <n v="0"/>
    <n v="14"/>
    <n v="1.9999999999999996"/>
    <n v="2"/>
    <n v="2"/>
    <n v="6"/>
    <n v="0"/>
    <x v="4"/>
  </r>
  <r>
    <x v="1438"/>
    <n v="27071"/>
    <n v="1"/>
    <n v="0"/>
    <n v="90"/>
    <n v="8"/>
    <n v="3"/>
    <n v="19"/>
    <n v="0"/>
    <n v="2"/>
    <n v="3"/>
    <n v="2"/>
    <n v="2"/>
    <n v="0"/>
    <n v="3"/>
    <n v="6"/>
    <n v="0"/>
    <n v="0"/>
    <n v="0"/>
    <n v="0"/>
    <n v="0"/>
    <x v="0"/>
    <n v="0"/>
    <n v="3"/>
    <n v="11"/>
    <n v="0"/>
    <n v="52"/>
    <n v="2226"/>
    <n v="6.0986301369863014"/>
    <n v="1"/>
    <n v="0"/>
    <n v="0"/>
    <n v="0"/>
    <n v="0"/>
    <n v="0"/>
    <n v="0"/>
    <n v="0"/>
    <n v="1"/>
    <n v="0"/>
    <n v="32"/>
    <n v="29"/>
    <n v="3"/>
    <n v="0"/>
    <x v="0"/>
    <x v="0"/>
    <x v="3"/>
    <x v="1"/>
    <x v="0"/>
    <x v="1"/>
    <n v="1"/>
    <n v="0"/>
    <n v="13"/>
    <n v="0.99999999999999978"/>
    <n v="1"/>
    <n v="1"/>
    <n v="3"/>
    <n v="0"/>
    <x v="4"/>
  </r>
  <r>
    <x v="1439"/>
    <n v="28427"/>
    <n v="1"/>
    <n v="0"/>
    <n v="67"/>
    <n v="18"/>
    <n v="3"/>
    <n v="19"/>
    <n v="3"/>
    <n v="3"/>
    <n v="6"/>
    <n v="2"/>
    <n v="2"/>
    <n v="0"/>
    <n v="3"/>
    <n v="8"/>
    <n v="0"/>
    <n v="0"/>
    <n v="0"/>
    <n v="0"/>
    <n v="0"/>
    <x v="0"/>
    <n v="0"/>
    <n v="3"/>
    <n v="11"/>
    <n v="0"/>
    <n v="37"/>
    <n v="2624"/>
    <n v="7.1890410958904107"/>
    <n v="0"/>
    <n v="0"/>
    <n v="0"/>
    <n v="1"/>
    <n v="0"/>
    <n v="0"/>
    <n v="0"/>
    <n v="1"/>
    <n v="0"/>
    <n v="0"/>
    <n v="46"/>
    <n v="40"/>
    <n v="6"/>
    <n v="0"/>
    <x v="0"/>
    <x v="0"/>
    <x v="2"/>
    <x v="0"/>
    <x v="0"/>
    <x v="3"/>
    <n v="1"/>
    <n v="0"/>
    <n v="15"/>
    <n v="4"/>
    <n v="2"/>
    <n v="2"/>
    <n v="8"/>
    <n v="1"/>
    <x v="3"/>
  </r>
  <r>
    <x v="1440"/>
    <n v="28510"/>
    <n v="1"/>
    <n v="1"/>
    <n v="72"/>
    <n v="44"/>
    <n v="5"/>
    <n v="19"/>
    <n v="0"/>
    <n v="4"/>
    <n v="19"/>
    <n v="3"/>
    <n v="2"/>
    <n v="0"/>
    <n v="4"/>
    <n v="5"/>
    <n v="0"/>
    <n v="0"/>
    <n v="0"/>
    <n v="0"/>
    <n v="0"/>
    <x v="0"/>
    <n v="0"/>
    <n v="3"/>
    <n v="11"/>
    <n v="0"/>
    <n v="39"/>
    <n v="2601"/>
    <n v="7.1260273972602741"/>
    <n v="1"/>
    <n v="0"/>
    <n v="0"/>
    <n v="0"/>
    <n v="0"/>
    <n v="0"/>
    <n v="0"/>
    <n v="1"/>
    <n v="0"/>
    <n v="0"/>
    <n v="72"/>
    <n v="53"/>
    <n v="19"/>
    <n v="0"/>
    <x v="0"/>
    <x v="0"/>
    <x v="3"/>
    <x v="0"/>
    <x v="0"/>
    <x v="3"/>
    <n v="1"/>
    <n v="0"/>
    <n v="14"/>
    <n v="3.0000000000000004"/>
    <n v="2"/>
    <n v="3"/>
    <n v="8"/>
    <n v="1"/>
    <x v="3"/>
  </r>
  <r>
    <x v="1441"/>
    <n v="33402"/>
    <n v="1"/>
    <n v="1"/>
    <n v="60"/>
    <n v="26"/>
    <n v="2"/>
    <n v="19"/>
    <n v="10"/>
    <n v="5"/>
    <n v="8"/>
    <n v="3"/>
    <n v="2"/>
    <n v="1"/>
    <n v="3"/>
    <n v="8"/>
    <n v="0"/>
    <n v="0"/>
    <n v="0"/>
    <n v="0"/>
    <n v="0"/>
    <x v="0"/>
    <n v="0"/>
    <n v="3"/>
    <n v="11"/>
    <n v="0"/>
    <n v="68"/>
    <n v="2505"/>
    <n v="6.8630136986301373"/>
    <n v="0"/>
    <n v="0"/>
    <n v="0"/>
    <n v="1"/>
    <n v="0"/>
    <n v="0"/>
    <n v="0"/>
    <n v="1"/>
    <n v="0"/>
    <n v="0"/>
    <n v="62"/>
    <n v="54"/>
    <n v="8"/>
    <n v="0"/>
    <x v="0"/>
    <x v="0"/>
    <x v="2"/>
    <x v="0"/>
    <x v="0"/>
    <x v="2"/>
    <n v="1"/>
    <n v="0"/>
    <n v="17"/>
    <n v="4"/>
    <n v="3"/>
    <n v="2"/>
    <n v="9"/>
    <n v="1"/>
    <x v="3"/>
  </r>
  <r>
    <x v="1442"/>
    <n v="33812"/>
    <n v="1"/>
    <n v="0"/>
    <n v="86"/>
    <n v="4"/>
    <n v="17"/>
    <n v="19"/>
    <n v="30"/>
    <n v="24"/>
    <n v="39"/>
    <n v="2"/>
    <n v="2"/>
    <n v="1"/>
    <n v="3"/>
    <n v="6"/>
    <n v="0"/>
    <n v="0"/>
    <n v="0"/>
    <n v="0"/>
    <n v="0"/>
    <x v="0"/>
    <n v="0"/>
    <n v="3"/>
    <n v="11"/>
    <n v="0"/>
    <n v="35"/>
    <n v="2762"/>
    <n v="7.5671232876712331"/>
    <n v="0"/>
    <n v="0"/>
    <n v="1"/>
    <n v="0"/>
    <n v="0"/>
    <n v="1"/>
    <n v="0"/>
    <n v="0"/>
    <n v="0"/>
    <n v="0"/>
    <n v="94"/>
    <n v="55"/>
    <n v="39"/>
    <n v="0"/>
    <x v="0"/>
    <x v="0"/>
    <x v="1"/>
    <x v="1"/>
    <x v="0"/>
    <x v="3"/>
    <n v="1"/>
    <n v="0"/>
    <n v="14"/>
    <n v="1.9999999999999996"/>
    <n v="2"/>
    <n v="3"/>
    <n v="7"/>
    <n v="1"/>
    <x v="3"/>
  </r>
  <r>
    <x v="1443"/>
    <n v="37401"/>
    <n v="1"/>
    <n v="0"/>
    <n v="14"/>
    <n v="19"/>
    <n v="3"/>
    <n v="19"/>
    <n v="3"/>
    <n v="1"/>
    <n v="3"/>
    <n v="2"/>
    <n v="2"/>
    <n v="0"/>
    <n v="3"/>
    <n v="7"/>
    <n v="0"/>
    <n v="0"/>
    <n v="0"/>
    <n v="0"/>
    <n v="0"/>
    <x v="0"/>
    <n v="0"/>
    <n v="3"/>
    <n v="11"/>
    <n v="0"/>
    <n v="47"/>
    <n v="2213"/>
    <n v="6.0630136986301366"/>
    <n v="0"/>
    <n v="1"/>
    <n v="0"/>
    <n v="0"/>
    <n v="0"/>
    <n v="0"/>
    <n v="0"/>
    <n v="0"/>
    <n v="0"/>
    <n v="1"/>
    <n v="45"/>
    <n v="42"/>
    <n v="3"/>
    <n v="0"/>
    <x v="0"/>
    <x v="0"/>
    <x v="0"/>
    <x v="1"/>
    <x v="3"/>
    <x v="0"/>
    <n v="0"/>
    <n v="0"/>
    <n v="14"/>
    <n v="9"/>
    <n v="2"/>
    <n v="2"/>
    <n v="13"/>
    <n v="3"/>
    <x v="3"/>
  </r>
  <r>
    <x v="1444"/>
    <n v="38961"/>
    <n v="1"/>
    <n v="0"/>
    <n v="60"/>
    <n v="19"/>
    <n v="7"/>
    <n v="19"/>
    <n v="0"/>
    <n v="1"/>
    <n v="24"/>
    <n v="1"/>
    <n v="2"/>
    <n v="1"/>
    <n v="2"/>
    <n v="7"/>
    <n v="0"/>
    <n v="0"/>
    <n v="0"/>
    <n v="0"/>
    <n v="0"/>
    <x v="0"/>
    <n v="0"/>
    <n v="3"/>
    <n v="11"/>
    <n v="0"/>
    <n v="47"/>
    <n v="2340"/>
    <n v="6.4109589041095889"/>
    <n v="0"/>
    <n v="1"/>
    <n v="0"/>
    <n v="0"/>
    <n v="0"/>
    <n v="0"/>
    <n v="0"/>
    <n v="0"/>
    <n v="1"/>
    <n v="0"/>
    <n v="46"/>
    <n v="22"/>
    <n v="24"/>
    <n v="0"/>
    <x v="0"/>
    <x v="0"/>
    <x v="0"/>
    <x v="1"/>
    <x v="3"/>
    <x v="0"/>
    <n v="1"/>
    <n v="0"/>
    <n v="13"/>
    <n v="4"/>
    <n v="1"/>
    <n v="2"/>
    <n v="7"/>
    <n v="1"/>
    <x v="3"/>
  </r>
  <r>
    <x v="1445"/>
    <n v="41850"/>
    <n v="1"/>
    <n v="1"/>
    <n v="51"/>
    <n v="53"/>
    <n v="5"/>
    <n v="19"/>
    <n v="2"/>
    <n v="13"/>
    <n v="4"/>
    <n v="3"/>
    <n v="3"/>
    <n v="0"/>
    <n v="3"/>
    <n v="8"/>
    <n v="0"/>
    <n v="0"/>
    <n v="0"/>
    <n v="0"/>
    <n v="0"/>
    <x v="0"/>
    <n v="0"/>
    <n v="3"/>
    <n v="11"/>
    <n v="0"/>
    <n v="40"/>
    <n v="2711"/>
    <n v="7.4273972602739722"/>
    <n v="0"/>
    <n v="1"/>
    <n v="0"/>
    <n v="0"/>
    <n v="0"/>
    <n v="0"/>
    <n v="0"/>
    <n v="1"/>
    <n v="0"/>
    <n v="0"/>
    <n v="92"/>
    <n v="88"/>
    <n v="4"/>
    <n v="0"/>
    <x v="0"/>
    <x v="0"/>
    <x v="0"/>
    <x v="0"/>
    <x v="3"/>
    <x v="3"/>
    <n v="1"/>
    <n v="0"/>
    <n v="17"/>
    <n v="5"/>
    <n v="3"/>
    <n v="3"/>
    <n v="11"/>
    <n v="2"/>
    <x v="3"/>
  </r>
  <r>
    <x v="1446"/>
    <n v="47353"/>
    <n v="0"/>
    <n v="1"/>
    <n v="93"/>
    <n v="184"/>
    <n v="2"/>
    <n v="19"/>
    <n v="8"/>
    <n v="8"/>
    <n v="4"/>
    <n v="3"/>
    <n v="2"/>
    <n v="2"/>
    <n v="6"/>
    <n v="5"/>
    <n v="0"/>
    <n v="0"/>
    <n v="0"/>
    <n v="0"/>
    <n v="0"/>
    <x v="0"/>
    <n v="0"/>
    <n v="3"/>
    <n v="11"/>
    <n v="0"/>
    <n v="60"/>
    <n v="2387"/>
    <n v="6.5397260273972604"/>
    <n v="0"/>
    <n v="1"/>
    <n v="0"/>
    <n v="0"/>
    <n v="0"/>
    <n v="0"/>
    <n v="0"/>
    <n v="0"/>
    <n v="1"/>
    <n v="0"/>
    <n v="221"/>
    <n v="217"/>
    <n v="4"/>
    <n v="0"/>
    <x v="0"/>
    <x v="0"/>
    <x v="0"/>
    <x v="1"/>
    <x v="3"/>
    <x v="1"/>
    <n v="1"/>
    <n v="1"/>
    <n v="18"/>
    <n v="0.99999999999999978"/>
    <n v="4"/>
    <n v="4"/>
    <n v="9"/>
    <n v="1"/>
    <x v="3"/>
  </r>
  <r>
    <x v="1447"/>
    <n v="49389"/>
    <n v="1"/>
    <n v="1"/>
    <n v="55"/>
    <n v="40"/>
    <n v="0"/>
    <n v="19"/>
    <n v="2"/>
    <n v="1"/>
    <n v="3"/>
    <n v="1"/>
    <n v="2"/>
    <n v="0"/>
    <n v="3"/>
    <n v="7"/>
    <n v="0"/>
    <n v="0"/>
    <n v="0"/>
    <n v="0"/>
    <n v="0"/>
    <x v="0"/>
    <n v="0"/>
    <n v="3"/>
    <n v="11"/>
    <n v="0"/>
    <n v="69"/>
    <n v="2463"/>
    <n v="6.7479452054794518"/>
    <n v="0"/>
    <n v="0"/>
    <n v="1"/>
    <n v="0"/>
    <n v="0"/>
    <n v="0"/>
    <n v="0"/>
    <n v="0"/>
    <n v="1"/>
    <n v="0"/>
    <n v="62"/>
    <n v="59"/>
    <n v="3"/>
    <n v="0"/>
    <x v="0"/>
    <x v="0"/>
    <x v="1"/>
    <x v="1"/>
    <x v="3"/>
    <x v="2"/>
    <n v="1"/>
    <n v="0"/>
    <n v="13"/>
    <n v="5"/>
    <n v="1"/>
    <n v="2"/>
    <n v="8"/>
    <n v="1"/>
    <x v="3"/>
  </r>
  <r>
    <x v="1448"/>
    <n v="51111"/>
    <n v="1"/>
    <n v="1"/>
    <n v="83"/>
    <n v="22"/>
    <n v="0"/>
    <n v="19"/>
    <n v="6"/>
    <n v="5"/>
    <n v="3"/>
    <n v="2"/>
    <n v="2"/>
    <n v="0"/>
    <n v="3"/>
    <n v="6"/>
    <n v="0"/>
    <n v="0"/>
    <n v="0"/>
    <n v="0"/>
    <n v="0"/>
    <x v="0"/>
    <n v="0"/>
    <n v="3"/>
    <n v="11"/>
    <n v="0"/>
    <n v="39"/>
    <n v="2169"/>
    <n v="5.9424657534246572"/>
    <n v="0"/>
    <n v="1"/>
    <n v="0"/>
    <n v="0"/>
    <n v="0"/>
    <n v="1"/>
    <n v="0"/>
    <n v="0"/>
    <n v="0"/>
    <n v="0"/>
    <n v="52"/>
    <n v="49"/>
    <n v="3"/>
    <n v="0"/>
    <x v="0"/>
    <x v="0"/>
    <x v="0"/>
    <x v="1"/>
    <x v="2"/>
    <x v="3"/>
    <n v="1"/>
    <n v="0"/>
    <n v="13"/>
    <n v="1.9999999999999996"/>
    <n v="1"/>
    <n v="2"/>
    <n v="5"/>
    <n v="0"/>
    <x v="4"/>
  </r>
  <r>
    <x v="1449"/>
    <n v="55249"/>
    <n v="0"/>
    <n v="1"/>
    <n v="81"/>
    <n v="97"/>
    <n v="1"/>
    <n v="19"/>
    <n v="2"/>
    <n v="0"/>
    <n v="11"/>
    <n v="1"/>
    <n v="2"/>
    <n v="1"/>
    <n v="4"/>
    <n v="3"/>
    <n v="0"/>
    <n v="0"/>
    <n v="0"/>
    <n v="0"/>
    <n v="0"/>
    <x v="0"/>
    <n v="0"/>
    <n v="3"/>
    <n v="11"/>
    <n v="0"/>
    <n v="64"/>
    <n v="2232"/>
    <n v="6.1150684931506847"/>
    <n v="0"/>
    <n v="0"/>
    <n v="0"/>
    <n v="1"/>
    <n v="0"/>
    <n v="0"/>
    <n v="0"/>
    <n v="0"/>
    <n v="1"/>
    <n v="0"/>
    <n v="119"/>
    <n v="108"/>
    <n v="11"/>
    <n v="0"/>
    <x v="0"/>
    <x v="0"/>
    <x v="2"/>
    <x v="1"/>
    <x v="2"/>
    <x v="2"/>
    <n v="1"/>
    <n v="0"/>
    <n v="11"/>
    <n v="1.9999999999999996"/>
    <n v="0"/>
    <n v="3"/>
    <n v="5"/>
    <n v="0"/>
    <x v="4"/>
  </r>
  <r>
    <x v="1450"/>
    <n v="56850"/>
    <n v="0"/>
    <n v="1"/>
    <n v="83"/>
    <n v="34"/>
    <n v="1"/>
    <n v="19"/>
    <n v="2"/>
    <n v="7"/>
    <n v="0"/>
    <n v="1"/>
    <n v="1"/>
    <n v="1"/>
    <n v="3"/>
    <n v="2"/>
    <n v="0"/>
    <n v="0"/>
    <n v="0"/>
    <n v="0"/>
    <n v="0"/>
    <x v="0"/>
    <n v="0"/>
    <n v="3"/>
    <n v="11"/>
    <n v="0"/>
    <n v="49"/>
    <n v="2257"/>
    <n v="6.183561643835616"/>
    <n v="0"/>
    <n v="1"/>
    <n v="0"/>
    <n v="0"/>
    <n v="0"/>
    <n v="0"/>
    <n v="0"/>
    <n v="0"/>
    <n v="1"/>
    <n v="0"/>
    <n v="63"/>
    <n v="63"/>
    <n v="0"/>
    <n v="0"/>
    <x v="0"/>
    <x v="0"/>
    <x v="0"/>
    <x v="1"/>
    <x v="2"/>
    <x v="0"/>
    <n v="1"/>
    <n v="0"/>
    <n v="8"/>
    <n v="1.9999999999999996"/>
    <n v="0"/>
    <n v="2"/>
    <n v="3.9999999999999996"/>
    <n v="0"/>
    <x v="4"/>
  </r>
  <r>
    <x v="1451"/>
    <n v="7500"/>
    <n v="1"/>
    <n v="0"/>
    <n v="63"/>
    <n v="10"/>
    <n v="17"/>
    <n v="18"/>
    <n v="8"/>
    <n v="26"/>
    <n v="40"/>
    <n v="4"/>
    <n v="3"/>
    <n v="2"/>
    <n v="2"/>
    <n v="9"/>
    <n v="0"/>
    <n v="0"/>
    <n v="0"/>
    <n v="0"/>
    <n v="0"/>
    <x v="0"/>
    <n v="0"/>
    <n v="3"/>
    <n v="11"/>
    <n v="0"/>
    <n v="28"/>
    <n v="2732"/>
    <n v="7.484931506849315"/>
    <n v="0"/>
    <n v="0"/>
    <n v="1"/>
    <n v="0"/>
    <n v="0"/>
    <n v="0"/>
    <n v="1"/>
    <n v="0"/>
    <n v="0"/>
    <n v="0"/>
    <n v="79"/>
    <n v="39"/>
    <n v="40"/>
    <n v="0"/>
    <x v="0"/>
    <x v="0"/>
    <x v="1"/>
    <x v="2"/>
    <x v="0"/>
    <x v="4"/>
    <n v="1"/>
    <n v="0"/>
    <n v="20"/>
    <n v="4"/>
    <n v="4"/>
    <n v="3"/>
    <n v="11"/>
    <n v="2"/>
    <x v="3"/>
  </r>
  <r>
    <x v="1452"/>
    <n v="16269"/>
    <n v="1"/>
    <n v="0"/>
    <n v="75"/>
    <n v="19"/>
    <n v="3"/>
    <n v="18"/>
    <n v="3"/>
    <n v="1"/>
    <n v="0"/>
    <n v="3"/>
    <n v="3"/>
    <n v="0"/>
    <n v="3"/>
    <n v="8"/>
    <n v="0"/>
    <n v="0"/>
    <n v="0"/>
    <n v="0"/>
    <n v="0"/>
    <x v="0"/>
    <n v="0"/>
    <n v="3"/>
    <n v="11"/>
    <n v="0"/>
    <n v="36"/>
    <n v="2462"/>
    <n v="6.7452054794520544"/>
    <n v="0"/>
    <n v="0"/>
    <n v="1"/>
    <n v="0"/>
    <n v="0"/>
    <n v="0"/>
    <n v="0"/>
    <n v="0"/>
    <n v="0"/>
    <n v="1"/>
    <n v="44"/>
    <n v="44"/>
    <n v="0"/>
    <n v="0"/>
    <x v="0"/>
    <x v="0"/>
    <x v="1"/>
    <x v="1"/>
    <x v="0"/>
    <x v="3"/>
    <n v="1"/>
    <n v="0"/>
    <n v="17"/>
    <n v="3.0000000000000004"/>
    <n v="3"/>
    <n v="2"/>
    <n v="8"/>
    <n v="1"/>
    <x v="3"/>
  </r>
  <r>
    <x v="1453"/>
    <n v="21024"/>
    <n v="0"/>
    <n v="0"/>
    <n v="89"/>
    <n v="36"/>
    <n v="4"/>
    <n v="18"/>
    <n v="6"/>
    <n v="2"/>
    <n v="18"/>
    <n v="1"/>
    <n v="2"/>
    <n v="0"/>
    <n v="4"/>
    <n v="7"/>
    <n v="0"/>
    <n v="0"/>
    <n v="0"/>
    <n v="0"/>
    <n v="0"/>
    <x v="0"/>
    <n v="0"/>
    <n v="3"/>
    <n v="11"/>
    <n v="0"/>
    <n v="44"/>
    <n v="2519"/>
    <n v="6.9013698630136986"/>
    <n v="0"/>
    <n v="0"/>
    <n v="0"/>
    <n v="1"/>
    <n v="0"/>
    <n v="0"/>
    <n v="0"/>
    <n v="0"/>
    <n v="1"/>
    <n v="0"/>
    <n v="66"/>
    <n v="48"/>
    <n v="18"/>
    <n v="0"/>
    <x v="1"/>
    <x v="1"/>
    <x v="2"/>
    <x v="1"/>
    <x v="0"/>
    <x v="0"/>
    <n v="1"/>
    <n v="0"/>
    <n v="14"/>
    <n v="1.9999999999999996"/>
    <n v="2"/>
    <n v="2"/>
    <n v="6"/>
    <n v="0"/>
    <x v="4"/>
  </r>
  <r>
    <x v="1454"/>
    <n v="21846"/>
    <n v="1"/>
    <n v="0"/>
    <n v="38"/>
    <n v="7"/>
    <n v="17"/>
    <n v="18"/>
    <n v="6"/>
    <n v="10"/>
    <n v="26"/>
    <n v="4"/>
    <n v="4"/>
    <n v="0"/>
    <n v="3"/>
    <n v="8"/>
    <n v="0"/>
    <n v="0"/>
    <n v="0"/>
    <n v="0"/>
    <n v="0"/>
    <x v="0"/>
    <n v="0"/>
    <n v="3"/>
    <n v="11"/>
    <n v="0"/>
    <n v="34"/>
    <n v="2409"/>
    <n v="6.6"/>
    <n v="1"/>
    <n v="0"/>
    <n v="0"/>
    <n v="0"/>
    <n v="0"/>
    <n v="0"/>
    <n v="0"/>
    <n v="1"/>
    <n v="0"/>
    <n v="0"/>
    <n v="58"/>
    <n v="32"/>
    <n v="26"/>
    <n v="0"/>
    <x v="0"/>
    <x v="0"/>
    <x v="3"/>
    <x v="0"/>
    <x v="0"/>
    <x v="3"/>
    <n v="1"/>
    <n v="0"/>
    <n v="19"/>
    <n v="7"/>
    <n v="4"/>
    <n v="2"/>
    <n v="13"/>
    <n v="3"/>
    <x v="3"/>
  </r>
  <r>
    <x v="1455"/>
    <n v="23228"/>
    <n v="1"/>
    <n v="0"/>
    <n v="71"/>
    <n v="13"/>
    <n v="2"/>
    <n v="18"/>
    <n v="6"/>
    <n v="1"/>
    <n v="0"/>
    <n v="2"/>
    <n v="2"/>
    <n v="0"/>
    <n v="3"/>
    <n v="8"/>
    <n v="0"/>
    <n v="0"/>
    <n v="0"/>
    <n v="0"/>
    <n v="0"/>
    <x v="0"/>
    <n v="0"/>
    <n v="3"/>
    <n v="11"/>
    <n v="0"/>
    <n v="51"/>
    <n v="2313"/>
    <n v="6.3369863013698629"/>
    <n v="0"/>
    <n v="0"/>
    <n v="0"/>
    <n v="1"/>
    <n v="0"/>
    <n v="0"/>
    <n v="0"/>
    <n v="1"/>
    <n v="0"/>
    <n v="0"/>
    <n v="40"/>
    <n v="40"/>
    <n v="0"/>
    <n v="0"/>
    <x v="0"/>
    <x v="0"/>
    <x v="2"/>
    <x v="0"/>
    <x v="0"/>
    <x v="1"/>
    <n v="1"/>
    <n v="0"/>
    <n v="15"/>
    <n v="3.0000000000000004"/>
    <n v="2"/>
    <n v="1"/>
    <n v="6"/>
    <n v="0"/>
    <x v="4"/>
  </r>
  <r>
    <x v="1456"/>
    <n v="23910"/>
    <n v="1"/>
    <n v="0"/>
    <n v="80"/>
    <n v="16"/>
    <n v="12"/>
    <n v="18"/>
    <n v="7"/>
    <n v="1"/>
    <n v="13"/>
    <n v="1"/>
    <n v="2"/>
    <n v="0"/>
    <n v="3"/>
    <n v="7"/>
    <n v="0"/>
    <n v="0"/>
    <n v="0"/>
    <n v="0"/>
    <n v="0"/>
    <x v="0"/>
    <n v="0"/>
    <n v="3"/>
    <n v="11"/>
    <n v="0"/>
    <n v="51"/>
    <n v="2770"/>
    <n v="7.5890410958904111"/>
    <n v="1"/>
    <n v="0"/>
    <n v="0"/>
    <n v="0"/>
    <n v="0"/>
    <n v="0"/>
    <n v="0"/>
    <n v="1"/>
    <n v="0"/>
    <n v="0"/>
    <n v="54"/>
    <n v="41"/>
    <n v="13"/>
    <n v="0"/>
    <x v="0"/>
    <x v="0"/>
    <x v="3"/>
    <x v="0"/>
    <x v="0"/>
    <x v="1"/>
    <n v="1"/>
    <n v="0"/>
    <n v="13"/>
    <n v="1.9999999999999996"/>
    <n v="1"/>
    <n v="2"/>
    <n v="5"/>
    <n v="0"/>
    <x v="4"/>
  </r>
  <r>
    <x v="1457"/>
    <n v="23957"/>
    <n v="1"/>
    <n v="0"/>
    <n v="47"/>
    <n v="2"/>
    <n v="1"/>
    <n v="18"/>
    <n v="20"/>
    <n v="11"/>
    <n v="16"/>
    <n v="1"/>
    <n v="2"/>
    <n v="0"/>
    <n v="3"/>
    <n v="6"/>
    <n v="0"/>
    <n v="0"/>
    <n v="0"/>
    <n v="0"/>
    <n v="0"/>
    <x v="0"/>
    <n v="0"/>
    <n v="3"/>
    <n v="11"/>
    <n v="1"/>
    <n v="45"/>
    <n v="2768"/>
    <n v="7.5835616438356164"/>
    <n v="0"/>
    <n v="1"/>
    <n v="0"/>
    <n v="0"/>
    <n v="0"/>
    <n v="0"/>
    <n v="0"/>
    <n v="1"/>
    <n v="0"/>
    <n v="0"/>
    <n v="52"/>
    <n v="36"/>
    <n v="16"/>
    <n v="0"/>
    <x v="0"/>
    <x v="0"/>
    <x v="0"/>
    <x v="0"/>
    <x v="0"/>
    <x v="0"/>
    <n v="1"/>
    <n v="0"/>
    <n v="12"/>
    <n v="6"/>
    <n v="1"/>
    <n v="2"/>
    <n v="9"/>
    <n v="1"/>
    <x v="3"/>
  </r>
  <r>
    <x v="1458"/>
    <n v="25271"/>
    <n v="1"/>
    <n v="0"/>
    <n v="45"/>
    <n v="10"/>
    <n v="1"/>
    <n v="18"/>
    <n v="10"/>
    <n v="4"/>
    <n v="7"/>
    <n v="1"/>
    <n v="1"/>
    <n v="1"/>
    <n v="2"/>
    <n v="9"/>
    <n v="0"/>
    <n v="0"/>
    <n v="0"/>
    <n v="0"/>
    <n v="0"/>
    <x v="0"/>
    <n v="0"/>
    <n v="3"/>
    <n v="11"/>
    <n v="0"/>
    <n v="37"/>
    <n v="2730"/>
    <n v="7.4794520547945202"/>
    <n v="0"/>
    <n v="1"/>
    <n v="0"/>
    <n v="0"/>
    <n v="0"/>
    <n v="0"/>
    <n v="0"/>
    <n v="1"/>
    <n v="0"/>
    <n v="0"/>
    <n v="43"/>
    <n v="36"/>
    <n v="7"/>
    <n v="0"/>
    <x v="0"/>
    <x v="0"/>
    <x v="0"/>
    <x v="0"/>
    <x v="0"/>
    <x v="3"/>
    <n v="1"/>
    <n v="0"/>
    <n v="14"/>
    <n v="6"/>
    <n v="2"/>
    <n v="1"/>
    <n v="9"/>
    <n v="1"/>
    <x v="3"/>
  </r>
  <r>
    <x v="1459"/>
    <n v="25851"/>
    <n v="1"/>
    <n v="0"/>
    <n v="45"/>
    <n v="9"/>
    <n v="4"/>
    <n v="18"/>
    <n v="7"/>
    <n v="5"/>
    <n v="5"/>
    <n v="2"/>
    <n v="2"/>
    <n v="0"/>
    <n v="3"/>
    <n v="7"/>
    <n v="0"/>
    <n v="0"/>
    <n v="0"/>
    <n v="0"/>
    <n v="0"/>
    <x v="0"/>
    <n v="0"/>
    <n v="3"/>
    <n v="11"/>
    <n v="0"/>
    <n v="42"/>
    <n v="2662"/>
    <n v="7.2931506849315069"/>
    <n v="0"/>
    <n v="0"/>
    <n v="0"/>
    <n v="1"/>
    <n v="0"/>
    <n v="0"/>
    <n v="0"/>
    <n v="1"/>
    <n v="0"/>
    <n v="0"/>
    <n v="43"/>
    <n v="38"/>
    <n v="5"/>
    <n v="0"/>
    <x v="0"/>
    <x v="0"/>
    <x v="2"/>
    <x v="0"/>
    <x v="0"/>
    <x v="0"/>
    <n v="1"/>
    <n v="0"/>
    <n v="14"/>
    <n v="6"/>
    <n v="2"/>
    <n v="1"/>
    <n v="9"/>
    <n v="1"/>
    <x v="3"/>
  </r>
  <r>
    <x v="1460"/>
    <n v="26067"/>
    <n v="1"/>
    <n v="0"/>
    <n v="49"/>
    <n v="22"/>
    <n v="2"/>
    <n v="18"/>
    <n v="0"/>
    <n v="2"/>
    <n v="12"/>
    <n v="3"/>
    <n v="3"/>
    <n v="0"/>
    <n v="3"/>
    <n v="8"/>
    <n v="0"/>
    <n v="0"/>
    <n v="0"/>
    <n v="0"/>
    <n v="0"/>
    <x v="0"/>
    <n v="0"/>
    <n v="3"/>
    <n v="11"/>
    <n v="0"/>
    <n v="46"/>
    <n v="2396"/>
    <n v="6.5643835616438357"/>
    <n v="0"/>
    <n v="1"/>
    <n v="0"/>
    <n v="0"/>
    <n v="0"/>
    <n v="0"/>
    <n v="0"/>
    <n v="1"/>
    <n v="0"/>
    <n v="0"/>
    <n v="44"/>
    <n v="32"/>
    <n v="12"/>
    <n v="0"/>
    <x v="0"/>
    <x v="0"/>
    <x v="0"/>
    <x v="0"/>
    <x v="0"/>
    <x v="0"/>
    <n v="1"/>
    <n v="0"/>
    <n v="17"/>
    <n v="6"/>
    <n v="3"/>
    <n v="2"/>
    <n v="11"/>
    <n v="2"/>
    <x v="3"/>
  </r>
  <r>
    <x v="1461"/>
    <n v="29543"/>
    <n v="2"/>
    <n v="0"/>
    <n v="47"/>
    <n v="17"/>
    <n v="3"/>
    <n v="18"/>
    <n v="3"/>
    <n v="4"/>
    <n v="18"/>
    <n v="2"/>
    <n v="3"/>
    <n v="1"/>
    <n v="2"/>
    <n v="7"/>
    <n v="0"/>
    <n v="0"/>
    <n v="0"/>
    <n v="0"/>
    <n v="0"/>
    <x v="0"/>
    <n v="0"/>
    <n v="3"/>
    <n v="11"/>
    <n v="0"/>
    <n v="52"/>
    <n v="2248"/>
    <n v="6.1589041095890407"/>
    <n v="0"/>
    <n v="1"/>
    <n v="0"/>
    <n v="0"/>
    <n v="0"/>
    <n v="0"/>
    <n v="0"/>
    <n v="0"/>
    <n v="1"/>
    <n v="0"/>
    <n v="45"/>
    <n v="27"/>
    <n v="18"/>
    <n v="0"/>
    <x v="0"/>
    <x v="0"/>
    <x v="0"/>
    <x v="1"/>
    <x v="0"/>
    <x v="1"/>
    <n v="1"/>
    <n v="0"/>
    <n v="15"/>
    <n v="6"/>
    <n v="2"/>
    <n v="2"/>
    <n v="10"/>
    <n v="2"/>
    <x v="3"/>
  </r>
  <r>
    <x v="1462"/>
    <n v="33462"/>
    <n v="1"/>
    <n v="0"/>
    <n v="78"/>
    <n v="22"/>
    <n v="3"/>
    <n v="18"/>
    <n v="0"/>
    <n v="0"/>
    <n v="11"/>
    <n v="1"/>
    <n v="2"/>
    <n v="0"/>
    <n v="3"/>
    <n v="7"/>
    <n v="0"/>
    <n v="0"/>
    <n v="0"/>
    <n v="0"/>
    <n v="0"/>
    <x v="0"/>
    <n v="0"/>
    <n v="3"/>
    <n v="11"/>
    <n v="0"/>
    <n v="41"/>
    <n v="2485"/>
    <n v="6.8082191780821919"/>
    <n v="1"/>
    <n v="0"/>
    <n v="0"/>
    <n v="0"/>
    <n v="0"/>
    <n v="0"/>
    <n v="0"/>
    <n v="0"/>
    <n v="1"/>
    <n v="0"/>
    <n v="43"/>
    <n v="32"/>
    <n v="11"/>
    <n v="0"/>
    <x v="0"/>
    <x v="0"/>
    <x v="3"/>
    <x v="1"/>
    <x v="0"/>
    <x v="0"/>
    <n v="1"/>
    <n v="0"/>
    <n v="13"/>
    <n v="3.0000000000000004"/>
    <n v="1"/>
    <n v="1"/>
    <n v="5"/>
    <n v="0"/>
    <x v="4"/>
  </r>
  <r>
    <x v="1463"/>
    <n v="33569"/>
    <n v="1"/>
    <n v="0"/>
    <n v="10"/>
    <n v="16"/>
    <n v="2"/>
    <n v="18"/>
    <n v="3"/>
    <n v="0"/>
    <n v="24"/>
    <n v="1"/>
    <n v="1"/>
    <n v="1"/>
    <n v="2"/>
    <n v="8"/>
    <n v="0"/>
    <n v="0"/>
    <n v="1"/>
    <n v="0"/>
    <n v="0"/>
    <x v="1"/>
    <n v="0"/>
    <n v="3"/>
    <n v="11"/>
    <n v="1"/>
    <n v="37"/>
    <n v="2415"/>
    <n v="6.6164383561643838"/>
    <n v="0"/>
    <n v="1"/>
    <n v="0"/>
    <n v="0"/>
    <n v="0"/>
    <n v="0"/>
    <n v="0"/>
    <n v="0"/>
    <n v="0"/>
    <n v="1"/>
    <n v="39"/>
    <n v="15"/>
    <n v="24"/>
    <n v="1"/>
    <x v="0"/>
    <x v="0"/>
    <x v="0"/>
    <x v="1"/>
    <x v="0"/>
    <x v="3"/>
    <n v="0"/>
    <n v="0"/>
    <n v="13"/>
    <n v="9"/>
    <n v="1"/>
    <n v="1"/>
    <n v="11"/>
    <n v="2"/>
    <x v="3"/>
  </r>
  <r>
    <x v="1464"/>
    <n v="33986"/>
    <n v="1"/>
    <n v="0"/>
    <n v="43"/>
    <n v="16"/>
    <n v="2"/>
    <n v="18"/>
    <n v="2"/>
    <n v="1"/>
    <n v="5"/>
    <n v="1"/>
    <n v="1"/>
    <n v="0"/>
    <n v="3"/>
    <n v="7"/>
    <n v="0"/>
    <n v="0"/>
    <n v="0"/>
    <n v="0"/>
    <n v="0"/>
    <x v="0"/>
    <n v="0"/>
    <n v="3"/>
    <n v="11"/>
    <n v="0"/>
    <n v="50"/>
    <n v="2631"/>
    <n v="7.2082191780821914"/>
    <n v="1"/>
    <n v="0"/>
    <n v="0"/>
    <n v="0"/>
    <n v="0"/>
    <n v="0"/>
    <n v="0"/>
    <n v="1"/>
    <n v="0"/>
    <n v="0"/>
    <n v="39"/>
    <n v="34"/>
    <n v="5"/>
    <n v="0"/>
    <x v="0"/>
    <x v="0"/>
    <x v="3"/>
    <x v="0"/>
    <x v="0"/>
    <x v="0"/>
    <n v="1"/>
    <n v="0"/>
    <n v="12"/>
    <n v="6"/>
    <n v="1"/>
    <n v="1"/>
    <n v="8"/>
    <n v="1"/>
    <x v="3"/>
  </r>
  <r>
    <x v="1465"/>
    <n v="38236"/>
    <n v="1"/>
    <n v="1"/>
    <n v="2"/>
    <n v="58"/>
    <n v="0"/>
    <n v="18"/>
    <n v="2"/>
    <n v="0"/>
    <n v="10"/>
    <n v="4"/>
    <n v="3"/>
    <n v="0"/>
    <n v="4"/>
    <n v="7"/>
    <n v="0"/>
    <n v="0"/>
    <n v="0"/>
    <n v="0"/>
    <n v="0"/>
    <x v="0"/>
    <n v="0"/>
    <n v="3"/>
    <n v="11"/>
    <n v="0"/>
    <n v="52"/>
    <n v="2441"/>
    <n v="6.6876712328767125"/>
    <n v="0"/>
    <n v="0"/>
    <n v="1"/>
    <n v="0"/>
    <n v="0"/>
    <n v="0"/>
    <n v="0"/>
    <n v="0"/>
    <n v="0"/>
    <n v="1"/>
    <n v="78"/>
    <n v="68"/>
    <n v="10"/>
    <n v="0"/>
    <x v="0"/>
    <x v="0"/>
    <x v="1"/>
    <x v="1"/>
    <x v="3"/>
    <x v="1"/>
    <n v="0"/>
    <n v="0"/>
    <n v="18"/>
    <n v="10"/>
    <n v="4"/>
    <n v="3"/>
    <n v="17"/>
    <n v="6"/>
    <x v="1"/>
  </r>
  <r>
    <x v="1466"/>
    <n v="39190"/>
    <n v="1"/>
    <n v="0"/>
    <n v="91"/>
    <n v="68"/>
    <n v="8"/>
    <n v="18"/>
    <n v="19"/>
    <n v="8"/>
    <n v="12"/>
    <n v="2"/>
    <n v="2"/>
    <n v="1"/>
    <n v="4"/>
    <n v="5"/>
    <n v="0"/>
    <n v="0"/>
    <n v="0"/>
    <n v="0"/>
    <n v="0"/>
    <x v="0"/>
    <n v="0"/>
    <n v="3"/>
    <n v="11"/>
    <n v="0"/>
    <n v="46"/>
    <n v="2223"/>
    <n v="6.0904109589041093"/>
    <n v="0"/>
    <n v="0"/>
    <n v="1"/>
    <n v="0"/>
    <n v="0"/>
    <n v="0"/>
    <n v="0"/>
    <n v="0"/>
    <n v="0"/>
    <n v="1"/>
    <n v="121"/>
    <n v="109"/>
    <n v="12"/>
    <n v="0"/>
    <x v="0"/>
    <x v="0"/>
    <x v="1"/>
    <x v="1"/>
    <x v="3"/>
    <x v="0"/>
    <n v="1"/>
    <n v="1"/>
    <n v="14"/>
    <n v="0.99999999999999978"/>
    <n v="2"/>
    <n v="3"/>
    <n v="6"/>
    <n v="0"/>
    <x v="4"/>
  </r>
  <r>
    <x v="1467"/>
    <n v="39435"/>
    <n v="1"/>
    <n v="0"/>
    <n v="16"/>
    <n v="71"/>
    <n v="0"/>
    <n v="18"/>
    <n v="0"/>
    <n v="0"/>
    <n v="13"/>
    <n v="1"/>
    <n v="3"/>
    <n v="1"/>
    <n v="2"/>
    <n v="7"/>
    <n v="0"/>
    <n v="0"/>
    <n v="0"/>
    <n v="0"/>
    <n v="0"/>
    <x v="0"/>
    <n v="0"/>
    <n v="3"/>
    <n v="11"/>
    <n v="0"/>
    <n v="47"/>
    <n v="2486"/>
    <n v="6.8109589041095893"/>
    <n v="0"/>
    <n v="0"/>
    <n v="0"/>
    <n v="1"/>
    <n v="0"/>
    <n v="0"/>
    <n v="0"/>
    <n v="0"/>
    <n v="0"/>
    <n v="1"/>
    <n v="89"/>
    <n v="76"/>
    <n v="13"/>
    <n v="0"/>
    <x v="0"/>
    <x v="0"/>
    <x v="2"/>
    <x v="1"/>
    <x v="3"/>
    <x v="0"/>
    <n v="0"/>
    <n v="0"/>
    <n v="14"/>
    <n v="9"/>
    <n v="2"/>
    <n v="3"/>
    <n v="14"/>
    <n v="4"/>
    <x v="3"/>
  </r>
  <r>
    <x v="1468"/>
    <n v="39771"/>
    <n v="1"/>
    <n v="0"/>
    <n v="92"/>
    <n v="6"/>
    <n v="2"/>
    <n v="18"/>
    <n v="2"/>
    <n v="8"/>
    <n v="14"/>
    <n v="1"/>
    <n v="2"/>
    <n v="0"/>
    <n v="3"/>
    <n v="4"/>
    <n v="0"/>
    <n v="0"/>
    <n v="0"/>
    <n v="0"/>
    <n v="0"/>
    <x v="0"/>
    <n v="0"/>
    <n v="3"/>
    <n v="11"/>
    <n v="0"/>
    <n v="43"/>
    <n v="2364"/>
    <n v="6.4767123287671229"/>
    <n v="0"/>
    <n v="0"/>
    <n v="0"/>
    <n v="1"/>
    <n v="0"/>
    <n v="0"/>
    <n v="0"/>
    <n v="1"/>
    <n v="0"/>
    <n v="0"/>
    <n v="36"/>
    <n v="22"/>
    <n v="14"/>
    <n v="0"/>
    <x v="0"/>
    <x v="0"/>
    <x v="2"/>
    <x v="0"/>
    <x v="3"/>
    <x v="0"/>
    <n v="1"/>
    <n v="1"/>
    <n v="10"/>
    <n v="0.99999999999999978"/>
    <n v="0"/>
    <n v="1"/>
    <n v="1.9999999999999998"/>
    <n v="0"/>
    <x v="4"/>
  </r>
  <r>
    <x v="1469"/>
    <n v="45688"/>
    <n v="0"/>
    <n v="1"/>
    <n v="20"/>
    <n v="279"/>
    <n v="0"/>
    <n v="18"/>
    <n v="0"/>
    <n v="0"/>
    <n v="9"/>
    <n v="2"/>
    <n v="3"/>
    <n v="1"/>
    <n v="8"/>
    <n v="4"/>
    <n v="0"/>
    <n v="0"/>
    <n v="0"/>
    <n v="1"/>
    <n v="0"/>
    <x v="1"/>
    <n v="0"/>
    <n v="3"/>
    <n v="11"/>
    <n v="0"/>
    <n v="52"/>
    <n v="2314"/>
    <n v="6.3397260273972602"/>
    <n v="0"/>
    <n v="1"/>
    <n v="0"/>
    <n v="0"/>
    <n v="0"/>
    <n v="0"/>
    <n v="0"/>
    <n v="1"/>
    <n v="0"/>
    <n v="0"/>
    <n v="297"/>
    <n v="288"/>
    <n v="9"/>
    <n v="1"/>
    <x v="0"/>
    <x v="0"/>
    <x v="0"/>
    <x v="0"/>
    <x v="3"/>
    <x v="1"/>
    <n v="0"/>
    <n v="0"/>
    <n v="18"/>
    <n v="8"/>
    <n v="4"/>
    <n v="4"/>
    <n v="16"/>
    <n v="5"/>
    <x v="1"/>
  </r>
  <r>
    <x v="1470"/>
    <n v="45759"/>
    <n v="1"/>
    <n v="1"/>
    <n v="13"/>
    <n v="42"/>
    <n v="1"/>
    <n v="18"/>
    <n v="3"/>
    <n v="0"/>
    <n v="4"/>
    <n v="2"/>
    <n v="2"/>
    <n v="0"/>
    <n v="3"/>
    <n v="7"/>
    <n v="0"/>
    <n v="0"/>
    <n v="0"/>
    <n v="0"/>
    <n v="0"/>
    <x v="0"/>
    <n v="0"/>
    <n v="3"/>
    <n v="11"/>
    <n v="0"/>
    <n v="56"/>
    <n v="2650"/>
    <n v="7.2602739726027394"/>
    <n v="0"/>
    <n v="1"/>
    <n v="0"/>
    <n v="0"/>
    <n v="0"/>
    <n v="0"/>
    <n v="0"/>
    <n v="0"/>
    <n v="0"/>
    <n v="1"/>
    <n v="64"/>
    <n v="60"/>
    <n v="4"/>
    <n v="0"/>
    <x v="0"/>
    <x v="0"/>
    <x v="0"/>
    <x v="1"/>
    <x v="3"/>
    <x v="1"/>
    <n v="0"/>
    <n v="0"/>
    <n v="14"/>
    <n v="9"/>
    <n v="2"/>
    <n v="2"/>
    <n v="13"/>
    <n v="3"/>
    <x v="3"/>
  </r>
  <r>
    <x v="1471"/>
    <n v="48985"/>
    <n v="0"/>
    <n v="1"/>
    <n v="13"/>
    <n v="19"/>
    <n v="13"/>
    <n v="18"/>
    <n v="10"/>
    <n v="7"/>
    <n v="8"/>
    <n v="1"/>
    <n v="1"/>
    <n v="1"/>
    <n v="3"/>
    <n v="3"/>
    <n v="0"/>
    <n v="0"/>
    <n v="0"/>
    <n v="0"/>
    <n v="0"/>
    <x v="0"/>
    <n v="0"/>
    <n v="3"/>
    <n v="11"/>
    <n v="0"/>
    <n v="52"/>
    <n v="2518"/>
    <n v="6.8986301369863012"/>
    <n v="0"/>
    <n v="1"/>
    <n v="0"/>
    <n v="0"/>
    <n v="0"/>
    <n v="1"/>
    <n v="0"/>
    <n v="0"/>
    <n v="0"/>
    <n v="0"/>
    <n v="67"/>
    <n v="59"/>
    <n v="8"/>
    <n v="0"/>
    <x v="0"/>
    <x v="0"/>
    <x v="0"/>
    <x v="1"/>
    <x v="3"/>
    <x v="1"/>
    <n v="0"/>
    <n v="0"/>
    <n v="9"/>
    <n v="9"/>
    <n v="0"/>
    <n v="2"/>
    <n v="11"/>
    <n v="2"/>
    <x v="3"/>
  </r>
  <r>
    <x v="1472"/>
    <n v="57420"/>
    <n v="0"/>
    <n v="1"/>
    <n v="22"/>
    <n v="280"/>
    <n v="0"/>
    <n v="18"/>
    <n v="0"/>
    <n v="0"/>
    <n v="24"/>
    <n v="3"/>
    <n v="5"/>
    <n v="1"/>
    <n v="6"/>
    <n v="7"/>
    <n v="0"/>
    <n v="0"/>
    <n v="0"/>
    <n v="1"/>
    <n v="0"/>
    <x v="1"/>
    <n v="0"/>
    <n v="3"/>
    <n v="11"/>
    <n v="0"/>
    <n v="49"/>
    <n v="2528"/>
    <n v="6.9260273972602739"/>
    <n v="0"/>
    <n v="0"/>
    <n v="0"/>
    <n v="1"/>
    <n v="0"/>
    <n v="0"/>
    <n v="0"/>
    <n v="0"/>
    <n v="1"/>
    <n v="0"/>
    <n v="298"/>
    <n v="274"/>
    <n v="24"/>
    <n v="1"/>
    <x v="0"/>
    <x v="0"/>
    <x v="2"/>
    <x v="1"/>
    <x v="2"/>
    <x v="0"/>
    <n v="0"/>
    <n v="0"/>
    <n v="22"/>
    <n v="8"/>
    <n v="5"/>
    <n v="4"/>
    <n v="17"/>
    <n v="6"/>
    <x v="1"/>
  </r>
  <r>
    <x v="1473"/>
    <n v="61923"/>
    <n v="0"/>
    <n v="2"/>
    <n v="94"/>
    <n v="92"/>
    <n v="4"/>
    <n v="18"/>
    <n v="3"/>
    <n v="3"/>
    <n v="6"/>
    <n v="1"/>
    <n v="2"/>
    <n v="1"/>
    <n v="4"/>
    <n v="3"/>
    <n v="0"/>
    <n v="0"/>
    <n v="0"/>
    <n v="0"/>
    <n v="0"/>
    <x v="0"/>
    <n v="0"/>
    <n v="3"/>
    <n v="11"/>
    <n v="0"/>
    <n v="59"/>
    <n v="2497"/>
    <n v="6.8410958904109593"/>
    <n v="0"/>
    <n v="1"/>
    <n v="0"/>
    <n v="0"/>
    <n v="0"/>
    <n v="0"/>
    <n v="0"/>
    <n v="0"/>
    <n v="1"/>
    <n v="0"/>
    <n v="120"/>
    <n v="114"/>
    <n v="6"/>
    <n v="0"/>
    <x v="0"/>
    <x v="0"/>
    <x v="0"/>
    <x v="1"/>
    <x v="2"/>
    <x v="1"/>
    <n v="1"/>
    <n v="1"/>
    <n v="11"/>
    <n v="0.99999999999999978"/>
    <n v="0"/>
    <n v="3"/>
    <n v="4"/>
    <n v="0"/>
    <x v="4"/>
  </r>
  <r>
    <x v="1474"/>
    <n v="7500"/>
    <n v="1"/>
    <n v="0"/>
    <n v="98"/>
    <n v="5"/>
    <n v="17"/>
    <n v="17"/>
    <n v="13"/>
    <n v="14"/>
    <n v="34"/>
    <n v="4"/>
    <n v="2"/>
    <n v="1"/>
    <n v="3"/>
    <n v="9"/>
    <n v="0"/>
    <n v="0"/>
    <n v="0"/>
    <n v="0"/>
    <n v="0"/>
    <x v="0"/>
    <n v="0"/>
    <n v="3"/>
    <n v="11"/>
    <n v="0"/>
    <n v="35"/>
    <n v="2856"/>
    <n v="7.8246575342465752"/>
    <n v="0"/>
    <n v="0"/>
    <n v="0"/>
    <n v="1"/>
    <n v="0"/>
    <n v="1"/>
    <n v="0"/>
    <n v="0"/>
    <n v="0"/>
    <n v="0"/>
    <n v="66"/>
    <n v="32"/>
    <n v="34"/>
    <n v="0"/>
    <x v="0"/>
    <x v="0"/>
    <x v="2"/>
    <x v="1"/>
    <x v="0"/>
    <x v="3"/>
    <n v="1"/>
    <n v="1"/>
    <n v="19"/>
    <n v="0.99999999999999978"/>
    <n v="4"/>
    <n v="2"/>
    <n v="7"/>
    <n v="1"/>
    <x v="3"/>
  </r>
  <r>
    <x v="1475"/>
    <n v="13260"/>
    <n v="1"/>
    <n v="1"/>
    <n v="48"/>
    <n v="9"/>
    <n v="4"/>
    <n v="17"/>
    <n v="10"/>
    <n v="2"/>
    <n v="7"/>
    <n v="4"/>
    <n v="3"/>
    <n v="0"/>
    <n v="3"/>
    <n v="8"/>
    <n v="0"/>
    <n v="0"/>
    <n v="0"/>
    <n v="0"/>
    <n v="0"/>
    <x v="0"/>
    <n v="0"/>
    <n v="3"/>
    <n v="11"/>
    <n v="0"/>
    <n v="50"/>
    <n v="2469"/>
    <n v="6.7643835616438359"/>
    <n v="0"/>
    <n v="1"/>
    <n v="0"/>
    <n v="0"/>
    <n v="0"/>
    <n v="0"/>
    <n v="0"/>
    <n v="1"/>
    <n v="0"/>
    <n v="0"/>
    <n v="42"/>
    <n v="35"/>
    <n v="7"/>
    <n v="0"/>
    <x v="0"/>
    <x v="0"/>
    <x v="0"/>
    <x v="0"/>
    <x v="0"/>
    <x v="0"/>
    <n v="1"/>
    <n v="0"/>
    <n v="18"/>
    <n v="6"/>
    <n v="4"/>
    <n v="1"/>
    <n v="11"/>
    <n v="2"/>
    <x v="3"/>
  </r>
  <r>
    <x v="1476"/>
    <n v="17323"/>
    <n v="0"/>
    <n v="0"/>
    <n v="38"/>
    <n v="3"/>
    <n v="14"/>
    <n v="17"/>
    <n v="6"/>
    <n v="1"/>
    <n v="5"/>
    <n v="1"/>
    <n v="1"/>
    <n v="0"/>
    <n v="3"/>
    <n v="8"/>
    <n v="0"/>
    <n v="0"/>
    <n v="0"/>
    <n v="0"/>
    <n v="0"/>
    <x v="0"/>
    <n v="0"/>
    <n v="3"/>
    <n v="11"/>
    <n v="0"/>
    <n v="33"/>
    <n v="2786"/>
    <n v="7.6328767123287671"/>
    <n v="0"/>
    <n v="1"/>
    <n v="0"/>
    <n v="0"/>
    <n v="0"/>
    <n v="0"/>
    <n v="0"/>
    <n v="1"/>
    <n v="0"/>
    <n v="0"/>
    <n v="41"/>
    <n v="36"/>
    <n v="5"/>
    <n v="0"/>
    <x v="1"/>
    <x v="1"/>
    <x v="0"/>
    <x v="0"/>
    <x v="0"/>
    <x v="3"/>
    <n v="1"/>
    <n v="0"/>
    <n v="13"/>
    <n v="7"/>
    <n v="1"/>
    <n v="1"/>
    <n v="9"/>
    <n v="1"/>
    <x v="3"/>
  </r>
  <r>
    <x v="1477"/>
    <n v="20895"/>
    <n v="1"/>
    <n v="0"/>
    <n v="24"/>
    <n v="18"/>
    <n v="3"/>
    <n v="17"/>
    <n v="3"/>
    <n v="0"/>
    <n v="4"/>
    <n v="1"/>
    <n v="2"/>
    <n v="0"/>
    <n v="3"/>
    <n v="9"/>
    <n v="0"/>
    <n v="0"/>
    <n v="0"/>
    <n v="0"/>
    <n v="0"/>
    <x v="0"/>
    <n v="0"/>
    <n v="3"/>
    <n v="11"/>
    <n v="0"/>
    <n v="47"/>
    <n v="2790"/>
    <n v="7.6438356164383565"/>
    <n v="0"/>
    <n v="1"/>
    <n v="0"/>
    <n v="0"/>
    <n v="0"/>
    <n v="0"/>
    <n v="0"/>
    <n v="1"/>
    <n v="0"/>
    <n v="0"/>
    <n v="41"/>
    <n v="37"/>
    <n v="4"/>
    <n v="0"/>
    <x v="0"/>
    <x v="0"/>
    <x v="0"/>
    <x v="0"/>
    <x v="0"/>
    <x v="0"/>
    <n v="0"/>
    <n v="0"/>
    <n v="15"/>
    <n v="8"/>
    <n v="2"/>
    <n v="1"/>
    <n v="11"/>
    <n v="2"/>
    <x v="3"/>
  </r>
  <r>
    <x v="1478"/>
    <n v="21359"/>
    <n v="1"/>
    <n v="0"/>
    <n v="1"/>
    <n v="12"/>
    <n v="2"/>
    <n v="17"/>
    <n v="6"/>
    <n v="1"/>
    <n v="10"/>
    <n v="2"/>
    <n v="2"/>
    <n v="0"/>
    <n v="3"/>
    <n v="8"/>
    <n v="0"/>
    <n v="0"/>
    <n v="0"/>
    <n v="0"/>
    <n v="0"/>
    <x v="0"/>
    <n v="0"/>
    <n v="3"/>
    <n v="11"/>
    <n v="1"/>
    <n v="48"/>
    <n v="2594"/>
    <n v="7.1068493150684935"/>
    <n v="0"/>
    <n v="0"/>
    <n v="1"/>
    <n v="0"/>
    <n v="0"/>
    <n v="0"/>
    <n v="0"/>
    <n v="1"/>
    <n v="0"/>
    <n v="0"/>
    <n v="38"/>
    <n v="28"/>
    <n v="10"/>
    <n v="0"/>
    <x v="0"/>
    <x v="0"/>
    <x v="1"/>
    <x v="0"/>
    <x v="0"/>
    <x v="0"/>
    <n v="0"/>
    <n v="0"/>
    <n v="15"/>
    <n v="10"/>
    <n v="2"/>
    <n v="1"/>
    <n v="13"/>
    <n v="3"/>
    <x v="3"/>
  </r>
  <r>
    <x v="1479"/>
    <n v="27238"/>
    <n v="1"/>
    <n v="1"/>
    <n v="39"/>
    <n v="37"/>
    <n v="0"/>
    <n v="17"/>
    <n v="0"/>
    <n v="0"/>
    <n v="3"/>
    <n v="3"/>
    <n v="3"/>
    <n v="0"/>
    <n v="3"/>
    <n v="9"/>
    <n v="0"/>
    <n v="0"/>
    <n v="0"/>
    <n v="0"/>
    <n v="0"/>
    <x v="0"/>
    <n v="0"/>
    <n v="3"/>
    <n v="11"/>
    <n v="0"/>
    <n v="58"/>
    <n v="2594"/>
    <n v="7.1068493150684935"/>
    <n v="0"/>
    <n v="0"/>
    <n v="1"/>
    <n v="0"/>
    <n v="0"/>
    <n v="0"/>
    <n v="0"/>
    <n v="0"/>
    <n v="0"/>
    <n v="1"/>
    <n v="54"/>
    <n v="51"/>
    <n v="3"/>
    <n v="0"/>
    <x v="0"/>
    <x v="0"/>
    <x v="1"/>
    <x v="1"/>
    <x v="0"/>
    <x v="1"/>
    <n v="1"/>
    <n v="0"/>
    <n v="18"/>
    <n v="7"/>
    <n v="4"/>
    <n v="2"/>
    <n v="13"/>
    <n v="3"/>
    <x v="3"/>
  </r>
  <r>
    <x v="1480"/>
    <n v="27244"/>
    <n v="1"/>
    <n v="0"/>
    <n v="84"/>
    <n v="6"/>
    <n v="5"/>
    <n v="17"/>
    <n v="3"/>
    <n v="24"/>
    <n v="46"/>
    <n v="2"/>
    <n v="2"/>
    <n v="2"/>
    <n v="2"/>
    <n v="7"/>
    <n v="0"/>
    <n v="0"/>
    <n v="0"/>
    <n v="0"/>
    <n v="0"/>
    <x v="0"/>
    <n v="0"/>
    <n v="3"/>
    <n v="11"/>
    <n v="0"/>
    <n v="41"/>
    <n v="2273"/>
    <n v="6.2273972602739729"/>
    <n v="0"/>
    <n v="1"/>
    <n v="0"/>
    <n v="0"/>
    <n v="0"/>
    <n v="0"/>
    <n v="0"/>
    <n v="1"/>
    <n v="0"/>
    <n v="0"/>
    <n v="55"/>
    <n v="9"/>
    <n v="46"/>
    <n v="0"/>
    <x v="0"/>
    <x v="0"/>
    <x v="0"/>
    <x v="0"/>
    <x v="0"/>
    <x v="0"/>
    <n v="1"/>
    <n v="0"/>
    <n v="15"/>
    <n v="1.9999999999999996"/>
    <n v="2"/>
    <n v="2"/>
    <n v="6"/>
    <n v="0"/>
    <x v="4"/>
  </r>
  <r>
    <x v="1481"/>
    <n v="28087"/>
    <n v="1"/>
    <n v="1"/>
    <n v="77"/>
    <n v="53"/>
    <n v="8"/>
    <n v="17"/>
    <n v="13"/>
    <n v="0"/>
    <n v="21"/>
    <n v="3"/>
    <n v="2"/>
    <n v="2"/>
    <n v="2"/>
    <n v="7"/>
    <n v="0"/>
    <n v="0"/>
    <n v="0"/>
    <n v="0"/>
    <n v="0"/>
    <x v="0"/>
    <n v="0"/>
    <n v="3"/>
    <n v="11"/>
    <n v="0"/>
    <n v="62"/>
    <n v="2724"/>
    <n v="7.463013698630137"/>
    <n v="0"/>
    <n v="0"/>
    <n v="0"/>
    <n v="1"/>
    <n v="0"/>
    <n v="0"/>
    <n v="0"/>
    <n v="1"/>
    <n v="0"/>
    <n v="0"/>
    <n v="91"/>
    <n v="70"/>
    <n v="21"/>
    <n v="0"/>
    <x v="0"/>
    <x v="0"/>
    <x v="2"/>
    <x v="0"/>
    <x v="0"/>
    <x v="2"/>
    <n v="1"/>
    <n v="0"/>
    <n v="16"/>
    <n v="3.0000000000000004"/>
    <n v="3"/>
    <n v="3"/>
    <n v="9"/>
    <n v="1"/>
    <x v="3"/>
  </r>
  <r>
    <x v="1482"/>
    <n v="28587"/>
    <n v="1"/>
    <n v="0"/>
    <n v="42"/>
    <n v="22"/>
    <n v="4"/>
    <n v="17"/>
    <n v="12"/>
    <n v="10"/>
    <n v="13"/>
    <n v="3"/>
    <n v="2"/>
    <n v="0"/>
    <n v="4"/>
    <n v="6"/>
    <n v="0"/>
    <n v="0"/>
    <n v="0"/>
    <n v="0"/>
    <n v="0"/>
    <x v="0"/>
    <n v="0"/>
    <n v="3"/>
    <n v="11"/>
    <n v="0"/>
    <n v="42"/>
    <n v="2296"/>
    <n v="6.2904109589041095"/>
    <n v="0"/>
    <n v="0"/>
    <n v="0"/>
    <n v="1"/>
    <n v="0"/>
    <n v="0"/>
    <n v="0"/>
    <n v="1"/>
    <n v="0"/>
    <n v="0"/>
    <n v="65"/>
    <n v="52"/>
    <n v="13"/>
    <n v="0"/>
    <x v="0"/>
    <x v="0"/>
    <x v="2"/>
    <x v="0"/>
    <x v="0"/>
    <x v="0"/>
    <n v="1"/>
    <n v="0"/>
    <n v="15"/>
    <n v="6"/>
    <n v="2"/>
    <n v="2"/>
    <n v="10"/>
    <n v="2"/>
    <x v="3"/>
  </r>
  <r>
    <x v="1483"/>
    <n v="29103"/>
    <n v="1"/>
    <n v="0"/>
    <n v="38"/>
    <n v="16"/>
    <n v="0"/>
    <n v="17"/>
    <n v="6"/>
    <n v="3"/>
    <n v="6"/>
    <n v="2"/>
    <n v="1"/>
    <n v="0"/>
    <n v="3"/>
    <n v="9"/>
    <n v="0"/>
    <n v="0"/>
    <n v="0"/>
    <n v="0"/>
    <n v="0"/>
    <x v="0"/>
    <n v="0"/>
    <n v="3"/>
    <n v="11"/>
    <n v="0"/>
    <n v="35"/>
    <n v="2830"/>
    <n v="7.7534246575342465"/>
    <n v="0"/>
    <n v="0"/>
    <n v="0"/>
    <n v="1"/>
    <n v="0"/>
    <n v="0"/>
    <n v="0"/>
    <n v="1"/>
    <n v="0"/>
    <n v="0"/>
    <n v="42"/>
    <n v="36"/>
    <n v="6"/>
    <n v="0"/>
    <x v="0"/>
    <x v="0"/>
    <x v="2"/>
    <x v="0"/>
    <x v="0"/>
    <x v="3"/>
    <n v="1"/>
    <n v="0"/>
    <n v="15"/>
    <n v="7"/>
    <n v="2"/>
    <n v="1"/>
    <n v="10"/>
    <n v="2"/>
    <x v="3"/>
  </r>
  <r>
    <x v="1484"/>
    <n v="32765"/>
    <n v="1"/>
    <n v="0"/>
    <n v="49"/>
    <n v="13"/>
    <n v="3"/>
    <n v="17"/>
    <n v="7"/>
    <n v="3"/>
    <n v="3"/>
    <n v="2"/>
    <n v="2"/>
    <n v="0"/>
    <n v="4"/>
    <n v="5"/>
    <n v="0"/>
    <n v="0"/>
    <n v="0"/>
    <n v="0"/>
    <n v="0"/>
    <x v="0"/>
    <n v="0"/>
    <n v="3"/>
    <n v="11"/>
    <n v="0"/>
    <n v="41"/>
    <n v="2285"/>
    <n v="6.2602739726027394"/>
    <n v="0"/>
    <n v="1"/>
    <n v="0"/>
    <n v="0"/>
    <n v="0"/>
    <n v="0"/>
    <n v="0"/>
    <n v="0"/>
    <n v="1"/>
    <n v="0"/>
    <n v="43"/>
    <n v="40"/>
    <n v="3"/>
    <n v="0"/>
    <x v="0"/>
    <x v="0"/>
    <x v="0"/>
    <x v="1"/>
    <x v="0"/>
    <x v="0"/>
    <n v="1"/>
    <n v="0"/>
    <n v="13"/>
    <n v="6"/>
    <n v="1"/>
    <n v="1"/>
    <n v="8"/>
    <n v="1"/>
    <x v="3"/>
  </r>
  <r>
    <x v="1485"/>
    <n v="36781"/>
    <n v="1"/>
    <n v="0"/>
    <n v="16"/>
    <n v="29"/>
    <n v="1"/>
    <n v="17"/>
    <n v="0"/>
    <n v="3"/>
    <n v="13"/>
    <n v="1"/>
    <n v="2"/>
    <n v="1"/>
    <n v="2"/>
    <n v="8"/>
    <n v="0"/>
    <n v="0"/>
    <n v="0"/>
    <n v="0"/>
    <n v="0"/>
    <x v="0"/>
    <n v="0"/>
    <n v="3"/>
    <n v="11"/>
    <n v="1"/>
    <n v="41"/>
    <n v="2239"/>
    <n v="6.1342465753424653"/>
    <n v="0"/>
    <n v="1"/>
    <n v="0"/>
    <n v="0"/>
    <n v="0"/>
    <n v="0"/>
    <n v="0"/>
    <n v="1"/>
    <n v="0"/>
    <n v="0"/>
    <n v="50"/>
    <n v="37"/>
    <n v="13"/>
    <n v="0"/>
    <x v="0"/>
    <x v="0"/>
    <x v="0"/>
    <x v="0"/>
    <x v="3"/>
    <x v="0"/>
    <n v="0"/>
    <n v="0"/>
    <n v="14"/>
    <n v="9"/>
    <n v="2"/>
    <n v="2"/>
    <n v="13"/>
    <n v="3"/>
    <x v="3"/>
  </r>
  <r>
    <x v="1486"/>
    <n v="38054"/>
    <n v="1"/>
    <n v="1"/>
    <n v="24"/>
    <n v="23"/>
    <n v="2"/>
    <n v="17"/>
    <n v="2"/>
    <n v="1"/>
    <n v="0"/>
    <n v="2"/>
    <n v="2"/>
    <n v="0"/>
    <n v="3"/>
    <n v="7"/>
    <n v="0"/>
    <n v="0"/>
    <n v="0"/>
    <n v="0"/>
    <n v="0"/>
    <x v="0"/>
    <n v="0"/>
    <n v="3"/>
    <n v="11"/>
    <n v="0"/>
    <n v="70"/>
    <n v="2218"/>
    <n v="6.0767123287671234"/>
    <n v="1"/>
    <n v="0"/>
    <n v="0"/>
    <n v="0"/>
    <n v="0"/>
    <n v="0"/>
    <n v="0"/>
    <n v="0"/>
    <n v="1"/>
    <n v="0"/>
    <n v="45"/>
    <n v="45"/>
    <n v="0"/>
    <n v="0"/>
    <x v="0"/>
    <x v="0"/>
    <x v="3"/>
    <x v="1"/>
    <x v="3"/>
    <x v="2"/>
    <n v="0"/>
    <n v="0"/>
    <n v="14"/>
    <n v="8"/>
    <n v="2"/>
    <n v="2"/>
    <n v="12"/>
    <n v="3"/>
    <x v="3"/>
  </r>
  <r>
    <x v="1487"/>
    <n v="38741"/>
    <n v="1"/>
    <n v="1"/>
    <n v="60"/>
    <n v="7"/>
    <n v="10"/>
    <n v="17"/>
    <n v="8"/>
    <n v="6"/>
    <n v="13"/>
    <n v="2"/>
    <n v="2"/>
    <n v="0"/>
    <n v="3"/>
    <n v="7"/>
    <n v="0"/>
    <n v="0"/>
    <n v="0"/>
    <n v="0"/>
    <n v="0"/>
    <x v="0"/>
    <n v="0"/>
    <n v="3"/>
    <n v="11"/>
    <n v="0"/>
    <n v="62"/>
    <n v="2250"/>
    <n v="6.1643835616438354"/>
    <n v="0"/>
    <n v="0"/>
    <n v="1"/>
    <n v="0"/>
    <n v="0"/>
    <n v="1"/>
    <n v="0"/>
    <n v="0"/>
    <n v="0"/>
    <n v="0"/>
    <n v="48"/>
    <n v="35"/>
    <n v="13"/>
    <n v="0"/>
    <x v="0"/>
    <x v="0"/>
    <x v="1"/>
    <x v="1"/>
    <x v="3"/>
    <x v="2"/>
    <n v="1"/>
    <n v="0"/>
    <n v="14"/>
    <n v="4"/>
    <n v="2"/>
    <n v="2"/>
    <n v="8"/>
    <n v="1"/>
    <x v="3"/>
  </r>
  <r>
    <x v="1488"/>
    <n v="40304"/>
    <n v="1"/>
    <n v="0"/>
    <n v="82"/>
    <n v="37"/>
    <n v="0"/>
    <n v="17"/>
    <n v="0"/>
    <n v="0"/>
    <n v="3"/>
    <n v="1"/>
    <n v="2"/>
    <n v="0"/>
    <n v="3"/>
    <n v="7"/>
    <n v="0"/>
    <n v="0"/>
    <n v="0"/>
    <n v="0"/>
    <n v="0"/>
    <x v="0"/>
    <n v="0"/>
    <n v="3"/>
    <n v="11"/>
    <n v="0"/>
    <n v="53"/>
    <n v="2431"/>
    <n v="6.6602739726027398"/>
    <n v="0"/>
    <n v="0"/>
    <n v="1"/>
    <n v="0"/>
    <n v="0"/>
    <n v="0"/>
    <n v="0"/>
    <n v="0"/>
    <n v="0"/>
    <n v="1"/>
    <n v="54"/>
    <n v="51"/>
    <n v="3"/>
    <n v="0"/>
    <x v="0"/>
    <x v="0"/>
    <x v="1"/>
    <x v="1"/>
    <x v="3"/>
    <x v="1"/>
    <n v="1"/>
    <n v="0"/>
    <n v="13"/>
    <n v="1.9999999999999996"/>
    <n v="1"/>
    <n v="2"/>
    <n v="5"/>
    <n v="0"/>
    <x v="4"/>
  </r>
  <r>
    <x v="1489"/>
    <n v="40760"/>
    <n v="0"/>
    <n v="1"/>
    <n v="64"/>
    <n v="70"/>
    <n v="0"/>
    <n v="17"/>
    <n v="0"/>
    <n v="0"/>
    <n v="6"/>
    <n v="2"/>
    <n v="2"/>
    <n v="1"/>
    <n v="3"/>
    <n v="6"/>
    <n v="0"/>
    <n v="0"/>
    <n v="0"/>
    <n v="0"/>
    <n v="0"/>
    <x v="0"/>
    <n v="0"/>
    <n v="3"/>
    <n v="11"/>
    <n v="0"/>
    <n v="55"/>
    <n v="2462"/>
    <n v="6.7452054794520544"/>
    <n v="0"/>
    <n v="0"/>
    <n v="1"/>
    <n v="0"/>
    <n v="0"/>
    <n v="0"/>
    <n v="0"/>
    <n v="0"/>
    <n v="0"/>
    <n v="1"/>
    <n v="87"/>
    <n v="81"/>
    <n v="6"/>
    <n v="0"/>
    <x v="0"/>
    <x v="0"/>
    <x v="1"/>
    <x v="1"/>
    <x v="3"/>
    <x v="1"/>
    <n v="1"/>
    <n v="0"/>
    <n v="14"/>
    <n v="4"/>
    <n v="2"/>
    <n v="3"/>
    <n v="9"/>
    <n v="1"/>
    <x v="3"/>
  </r>
  <r>
    <x v="1490"/>
    <n v="43018"/>
    <n v="0"/>
    <n v="1"/>
    <n v="46"/>
    <n v="35"/>
    <n v="4"/>
    <n v="17"/>
    <n v="7"/>
    <n v="6"/>
    <n v="64"/>
    <n v="1"/>
    <n v="2"/>
    <n v="2"/>
    <n v="2"/>
    <n v="5"/>
    <n v="0"/>
    <n v="0"/>
    <n v="0"/>
    <n v="0"/>
    <n v="0"/>
    <x v="0"/>
    <n v="0"/>
    <n v="3"/>
    <n v="11"/>
    <n v="0"/>
    <n v="46"/>
    <n v="2399"/>
    <n v="6.5726027397260278"/>
    <n v="0"/>
    <n v="0"/>
    <n v="0"/>
    <n v="1"/>
    <n v="0"/>
    <n v="0"/>
    <n v="0"/>
    <n v="0"/>
    <n v="1"/>
    <n v="0"/>
    <n v="69"/>
    <n v="5"/>
    <n v="64"/>
    <n v="0"/>
    <x v="0"/>
    <x v="0"/>
    <x v="2"/>
    <x v="1"/>
    <x v="3"/>
    <x v="0"/>
    <n v="1"/>
    <n v="0"/>
    <n v="12"/>
    <n v="6"/>
    <n v="1"/>
    <n v="2"/>
    <n v="9"/>
    <n v="1"/>
    <x v="3"/>
  </r>
  <r>
    <x v="1491"/>
    <n v="44964"/>
    <n v="1"/>
    <n v="1"/>
    <n v="35"/>
    <n v="19"/>
    <n v="1"/>
    <n v="17"/>
    <n v="2"/>
    <n v="0"/>
    <n v="2"/>
    <n v="1"/>
    <n v="1"/>
    <n v="0"/>
    <n v="3"/>
    <n v="8"/>
    <n v="0"/>
    <n v="0"/>
    <n v="0"/>
    <n v="0"/>
    <n v="0"/>
    <x v="0"/>
    <n v="0"/>
    <n v="3"/>
    <n v="11"/>
    <n v="0"/>
    <n v="40"/>
    <n v="2719"/>
    <n v="7.4493150684931511"/>
    <n v="0"/>
    <n v="0"/>
    <n v="0"/>
    <n v="1"/>
    <n v="0"/>
    <n v="0"/>
    <n v="0"/>
    <n v="1"/>
    <n v="0"/>
    <n v="0"/>
    <n v="39"/>
    <n v="37"/>
    <n v="2"/>
    <n v="0"/>
    <x v="0"/>
    <x v="0"/>
    <x v="2"/>
    <x v="0"/>
    <x v="3"/>
    <x v="3"/>
    <n v="1"/>
    <n v="0"/>
    <n v="13"/>
    <n v="7"/>
    <n v="1"/>
    <n v="1"/>
    <n v="9"/>
    <n v="1"/>
    <x v="3"/>
  </r>
  <r>
    <x v="1492"/>
    <n v="46931"/>
    <n v="2"/>
    <n v="1"/>
    <n v="94"/>
    <n v="41"/>
    <n v="0"/>
    <n v="17"/>
    <n v="3"/>
    <n v="1"/>
    <n v="16"/>
    <n v="2"/>
    <n v="1"/>
    <n v="1"/>
    <n v="3"/>
    <n v="3"/>
    <n v="0"/>
    <n v="0"/>
    <n v="0"/>
    <n v="0"/>
    <n v="0"/>
    <x v="0"/>
    <n v="0"/>
    <n v="3"/>
    <n v="11"/>
    <n v="0"/>
    <n v="43"/>
    <n v="2225"/>
    <n v="6.095890410958904"/>
    <n v="0"/>
    <n v="0"/>
    <n v="0"/>
    <n v="1"/>
    <n v="0"/>
    <n v="0"/>
    <n v="0"/>
    <n v="1"/>
    <n v="0"/>
    <n v="0"/>
    <n v="62"/>
    <n v="46"/>
    <n v="16"/>
    <n v="0"/>
    <x v="0"/>
    <x v="0"/>
    <x v="2"/>
    <x v="0"/>
    <x v="3"/>
    <x v="0"/>
    <n v="1"/>
    <n v="1"/>
    <n v="10"/>
    <n v="0.99999999999999978"/>
    <n v="0"/>
    <n v="2"/>
    <n v="3"/>
    <n v="0"/>
    <x v="4"/>
  </r>
  <r>
    <x v="1493"/>
    <n v="51717"/>
    <n v="0"/>
    <n v="1"/>
    <n v="55"/>
    <n v="98"/>
    <n v="1"/>
    <n v="17"/>
    <n v="0"/>
    <n v="1"/>
    <n v="5"/>
    <n v="1"/>
    <n v="3"/>
    <n v="0"/>
    <n v="4"/>
    <n v="7"/>
    <n v="0"/>
    <n v="0"/>
    <n v="0"/>
    <n v="1"/>
    <n v="0"/>
    <x v="1"/>
    <n v="0"/>
    <n v="3"/>
    <n v="11"/>
    <n v="0"/>
    <n v="55"/>
    <n v="2472"/>
    <n v="6.7726027397260271"/>
    <n v="0"/>
    <n v="0"/>
    <n v="0"/>
    <n v="1"/>
    <n v="0"/>
    <n v="0"/>
    <n v="0"/>
    <n v="0"/>
    <n v="0"/>
    <n v="1"/>
    <n v="117"/>
    <n v="112"/>
    <n v="5"/>
    <n v="1"/>
    <x v="0"/>
    <x v="0"/>
    <x v="2"/>
    <x v="1"/>
    <x v="2"/>
    <x v="1"/>
    <n v="1"/>
    <n v="0"/>
    <n v="15"/>
    <n v="5"/>
    <n v="2"/>
    <n v="3"/>
    <n v="10"/>
    <n v="2"/>
    <x v="3"/>
  </r>
  <r>
    <x v="1494"/>
    <n v="52190"/>
    <n v="1"/>
    <n v="1"/>
    <n v="39"/>
    <n v="42"/>
    <n v="0"/>
    <n v="17"/>
    <n v="0"/>
    <n v="0"/>
    <n v="18"/>
    <n v="3"/>
    <n v="2"/>
    <n v="1"/>
    <n v="3"/>
    <n v="5"/>
    <n v="0"/>
    <n v="0"/>
    <n v="1"/>
    <n v="0"/>
    <n v="0"/>
    <x v="1"/>
    <n v="0"/>
    <n v="3"/>
    <n v="11"/>
    <n v="0"/>
    <n v="44"/>
    <n v="2211"/>
    <n v="6.0575342465753428"/>
    <n v="0"/>
    <n v="0"/>
    <n v="0"/>
    <n v="1"/>
    <n v="0"/>
    <n v="0"/>
    <n v="0"/>
    <n v="0"/>
    <n v="0"/>
    <n v="1"/>
    <n v="59"/>
    <n v="41"/>
    <n v="18"/>
    <n v="1"/>
    <x v="0"/>
    <x v="0"/>
    <x v="2"/>
    <x v="1"/>
    <x v="2"/>
    <x v="0"/>
    <n v="1"/>
    <n v="0"/>
    <n v="14"/>
    <n v="7"/>
    <n v="2"/>
    <n v="2"/>
    <n v="11"/>
    <n v="2"/>
    <x v="3"/>
  </r>
  <r>
    <x v="1495"/>
    <n v="54730"/>
    <n v="0"/>
    <n v="1"/>
    <n v="64"/>
    <n v="318"/>
    <n v="3"/>
    <n v="17"/>
    <n v="4"/>
    <n v="7"/>
    <n v="56"/>
    <n v="5"/>
    <n v="4"/>
    <n v="1"/>
    <n v="8"/>
    <n v="4"/>
    <n v="0"/>
    <n v="0"/>
    <n v="0"/>
    <n v="0"/>
    <n v="0"/>
    <x v="0"/>
    <n v="0"/>
    <n v="3"/>
    <n v="11"/>
    <n v="0"/>
    <n v="45"/>
    <n v="2477"/>
    <n v="6.7863013698630139"/>
    <n v="0"/>
    <n v="1"/>
    <n v="0"/>
    <n v="0"/>
    <n v="0"/>
    <n v="0"/>
    <n v="0"/>
    <n v="0"/>
    <n v="1"/>
    <n v="0"/>
    <n v="349"/>
    <n v="293"/>
    <n v="56"/>
    <n v="0"/>
    <x v="0"/>
    <x v="0"/>
    <x v="0"/>
    <x v="1"/>
    <x v="2"/>
    <x v="0"/>
    <n v="1"/>
    <n v="0"/>
    <n v="22"/>
    <n v="4"/>
    <n v="5"/>
    <n v="5"/>
    <n v="14"/>
    <n v="4"/>
    <x v="3"/>
  </r>
  <r>
    <x v="1496"/>
    <n v="9722"/>
    <n v="1"/>
    <n v="0"/>
    <n v="7"/>
    <n v="6"/>
    <n v="17"/>
    <n v="16"/>
    <n v="6"/>
    <n v="16"/>
    <n v="42"/>
    <n v="4"/>
    <n v="3"/>
    <n v="1"/>
    <n v="3"/>
    <n v="8"/>
    <n v="0"/>
    <n v="0"/>
    <n v="0"/>
    <n v="0"/>
    <n v="0"/>
    <x v="0"/>
    <n v="0"/>
    <n v="3"/>
    <n v="11"/>
    <n v="1"/>
    <n v="47"/>
    <n v="2794"/>
    <n v="7.6547945205479451"/>
    <n v="0"/>
    <n v="0"/>
    <n v="0"/>
    <n v="1"/>
    <n v="0"/>
    <n v="0"/>
    <n v="1"/>
    <n v="0"/>
    <n v="0"/>
    <n v="0"/>
    <n v="61"/>
    <n v="19"/>
    <n v="42"/>
    <n v="0"/>
    <x v="0"/>
    <x v="0"/>
    <x v="2"/>
    <x v="2"/>
    <x v="0"/>
    <x v="0"/>
    <n v="0"/>
    <n v="0"/>
    <n v="19"/>
    <n v="10"/>
    <n v="4"/>
    <n v="2"/>
    <n v="16"/>
    <n v="5"/>
    <x v="1"/>
  </r>
  <r>
    <x v="1497"/>
    <n v="15345"/>
    <n v="1"/>
    <n v="0"/>
    <n v="51"/>
    <n v="5"/>
    <n v="2"/>
    <n v="16"/>
    <n v="3"/>
    <n v="2"/>
    <n v="19"/>
    <n v="2"/>
    <n v="1"/>
    <n v="1"/>
    <n v="2"/>
    <n v="8"/>
    <n v="0"/>
    <n v="0"/>
    <n v="0"/>
    <n v="0"/>
    <n v="0"/>
    <x v="0"/>
    <n v="0"/>
    <n v="3"/>
    <n v="11"/>
    <n v="1"/>
    <n v="36"/>
    <n v="2826"/>
    <n v="7.7424657534246579"/>
    <n v="0"/>
    <n v="0"/>
    <n v="0"/>
    <n v="1"/>
    <n v="0"/>
    <n v="0"/>
    <n v="0"/>
    <n v="1"/>
    <n v="0"/>
    <n v="0"/>
    <n v="28"/>
    <n v="9"/>
    <n v="19"/>
    <n v="0"/>
    <x v="0"/>
    <x v="0"/>
    <x v="2"/>
    <x v="0"/>
    <x v="0"/>
    <x v="3"/>
    <n v="1"/>
    <n v="0"/>
    <n v="14"/>
    <n v="5"/>
    <n v="2"/>
    <n v="0"/>
    <n v="7"/>
    <n v="1"/>
    <x v="3"/>
  </r>
  <r>
    <x v="1498"/>
    <n v="16185"/>
    <n v="1"/>
    <n v="0"/>
    <n v="71"/>
    <n v="5"/>
    <n v="11"/>
    <n v="16"/>
    <n v="21"/>
    <n v="8"/>
    <n v="45"/>
    <n v="2"/>
    <n v="2"/>
    <n v="2"/>
    <n v="2"/>
    <n v="8"/>
    <n v="0"/>
    <n v="0"/>
    <n v="0"/>
    <n v="0"/>
    <n v="0"/>
    <x v="0"/>
    <n v="0"/>
    <n v="3"/>
    <n v="11"/>
    <n v="0"/>
    <n v="30"/>
    <n v="2487"/>
    <n v="6.8136986301369866"/>
    <n v="0"/>
    <n v="0"/>
    <n v="1"/>
    <n v="0"/>
    <n v="0"/>
    <n v="0"/>
    <n v="1"/>
    <n v="0"/>
    <n v="0"/>
    <n v="0"/>
    <n v="61"/>
    <n v="16"/>
    <n v="45"/>
    <n v="0"/>
    <x v="0"/>
    <x v="0"/>
    <x v="1"/>
    <x v="2"/>
    <x v="0"/>
    <x v="4"/>
    <n v="1"/>
    <n v="0"/>
    <n v="16"/>
    <n v="3.0000000000000004"/>
    <n v="3"/>
    <n v="2"/>
    <n v="8"/>
    <n v="1"/>
    <x v="3"/>
  </r>
  <r>
    <x v="1499"/>
    <n v="17345"/>
    <n v="1"/>
    <n v="0"/>
    <n v="79"/>
    <n v="4"/>
    <n v="9"/>
    <n v="16"/>
    <n v="17"/>
    <n v="0"/>
    <n v="12"/>
    <n v="2"/>
    <n v="2"/>
    <n v="1"/>
    <n v="2"/>
    <n v="8"/>
    <n v="0"/>
    <n v="0"/>
    <n v="0"/>
    <n v="0"/>
    <n v="0"/>
    <x v="0"/>
    <n v="0"/>
    <n v="3"/>
    <n v="11"/>
    <n v="0"/>
    <n v="42"/>
    <n v="2762"/>
    <n v="7.5671232876712331"/>
    <n v="0"/>
    <n v="1"/>
    <n v="0"/>
    <n v="0"/>
    <n v="0"/>
    <n v="0"/>
    <n v="0"/>
    <n v="1"/>
    <n v="0"/>
    <n v="0"/>
    <n v="46"/>
    <n v="34"/>
    <n v="12"/>
    <n v="0"/>
    <x v="0"/>
    <x v="0"/>
    <x v="0"/>
    <x v="0"/>
    <x v="0"/>
    <x v="0"/>
    <n v="1"/>
    <n v="0"/>
    <n v="15"/>
    <n v="3.0000000000000004"/>
    <n v="2"/>
    <n v="2"/>
    <n v="7"/>
    <n v="1"/>
    <x v="3"/>
  </r>
  <r>
    <x v="1500"/>
    <n v="17459"/>
    <n v="1"/>
    <n v="0"/>
    <n v="12"/>
    <n v="6"/>
    <n v="4"/>
    <n v="16"/>
    <n v="3"/>
    <n v="10"/>
    <n v="30"/>
    <n v="3"/>
    <n v="3"/>
    <n v="1"/>
    <n v="2"/>
    <n v="7"/>
    <n v="0"/>
    <n v="0"/>
    <n v="0"/>
    <n v="0"/>
    <n v="0"/>
    <x v="0"/>
    <n v="0"/>
    <n v="3"/>
    <n v="11"/>
    <n v="1"/>
    <n v="45"/>
    <n v="2442"/>
    <n v="6.6904109589041099"/>
    <n v="0"/>
    <n v="0"/>
    <n v="0"/>
    <n v="1"/>
    <n v="0"/>
    <n v="0"/>
    <n v="0"/>
    <n v="0"/>
    <n v="1"/>
    <n v="0"/>
    <n v="39"/>
    <n v="9"/>
    <n v="30"/>
    <n v="0"/>
    <x v="0"/>
    <x v="0"/>
    <x v="2"/>
    <x v="1"/>
    <x v="0"/>
    <x v="0"/>
    <n v="0"/>
    <n v="0"/>
    <n v="16"/>
    <n v="9"/>
    <n v="3"/>
    <n v="1"/>
    <n v="13"/>
    <n v="3"/>
    <x v="3"/>
  </r>
  <r>
    <x v="1501"/>
    <n v="19329"/>
    <n v="1"/>
    <n v="0"/>
    <n v="39"/>
    <n v="24"/>
    <n v="1"/>
    <n v="16"/>
    <n v="12"/>
    <n v="2"/>
    <n v="5"/>
    <n v="3"/>
    <n v="4"/>
    <n v="0"/>
    <n v="3"/>
    <n v="8"/>
    <n v="0"/>
    <n v="0"/>
    <n v="0"/>
    <n v="0"/>
    <n v="0"/>
    <x v="0"/>
    <n v="0"/>
    <n v="3"/>
    <n v="11"/>
    <n v="0"/>
    <n v="52"/>
    <n v="2356"/>
    <n v="6.4547945205479449"/>
    <n v="0"/>
    <n v="1"/>
    <n v="0"/>
    <n v="0"/>
    <n v="0"/>
    <n v="0"/>
    <n v="0"/>
    <n v="1"/>
    <n v="0"/>
    <n v="0"/>
    <n v="55"/>
    <n v="50"/>
    <n v="5"/>
    <n v="0"/>
    <x v="0"/>
    <x v="0"/>
    <x v="0"/>
    <x v="0"/>
    <x v="0"/>
    <x v="1"/>
    <n v="1"/>
    <n v="0"/>
    <n v="18"/>
    <n v="7"/>
    <n v="4"/>
    <n v="2"/>
    <n v="13"/>
    <n v="3"/>
    <x v="3"/>
  </r>
  <r>
    <x v="1502"/>
    <n v="21675"/>
    <n v="1"/>
    <n v="0"/>
    <n v="55"/>
    <n v="4"/>
    <n v="0"/>
    <n v="16"/>
    <n v="17"/>
    <n v="4"/>
    <n v="4"/>
    <n v="3"/>
    <n v="4"/>
    <n v="0"/>
    <n v="3"/>
    <n v="7"/>
    <n v="0"/>
    <n v="0"/>
    <n v="0"/>
    <n v="0"/>
    <n v="0"/>
    <x v="0"/>
    <n v="0"/>
    <n v="3"/>
    <n v="11"/>
    <n v="0"/>
    <n v="44"/>
    <n v="2177"/>
    <n v="5.9643835616438352"/>
    <n v="0"/>
    <n v="0"/>
    <n v="0"/>
    <n v="1"/>
    <n v="0"/>
    <n v="0"/>
    <n v="0"/>
    <n v="1"/>
    <n v="0"/>
    <n v="0"/>
    <n v="41"/>
    <n v="37"/>
    <n v="4"/>
    <n v="0"/>
    <x v="0"/>
    <x v="0"/>
    <x v="2"/>
    <x v="0"/>
    <x v="0"/>
    <x v="0"/>
    <n v="1"/>
    <n v="0"/>
    <n v="17"/>
    <n v="5"/>
    <n v="3"/>
    <n v="1"/>
    <n v="9"/>
    <n v="1"/>
    <x v="3"/>
  </r>
  <r>
    <x v="1503"/>
    <n v="24639"/>
    <n v="1"/>
    <n v="1"/>
    <n v="3"/>
    <n v="20"/>
    <n v="3"/>
    <n v="16"/>
    <n v="0"/>
    <n v="4"/>
    <n v="1"/>
    <n v="3"/>
    <n v="2"/>
    <n v="0"/>
    <n v="4"/>
    <n v="6"/>
    <n v="0"/>
    <n v="0"/>
    <n v="0"/>
    <n v="0"/>
    <n v="0"/>
    <x v="0"/>
    <n v="0"/>
    <n v="3"/>
    <n v="11"/>
    <n v="0"/>
    <n v="47"/>
    <n v="2311"/>
    <n v="6.3315068493150681"/>
    <n v="0"/>
    <n v="1"/>
    <n v="0"/>
    <n v="0"/>
    <n v="0"/>
    <n v="0"/>
    <n v="0"/>
    <n v="1"/>
    <n v="0"/>
    <n v="0"/>
    <n v="43"/>
    <n v="42"/>
    <n v="1"/>
    <n v="0"/>
    <x v="0"/>
    <x v="0"/>
    <x v="0"/>
    <x v="0"/>
    <x v="0"/>
    <x v="0"/>
    <n v="0"/>
    <n v="0"/>
    <n v="15"/>
    <n v="10"/>
    <n v="2"/>
    <n v="1"/>
    <n v="13"/>
    <n v="3"/>
    <x v="3"/>
  </r>
  <r>
    <x v="1504"/>
    <n v="26290"/>
    <n v="1"/>
    <n v="1"/>
    <n v="49"/>
    <n v="15"/>
    <n v="8"/>
    <n v="16"/>
    <n v="11"/>
    <n v="5"/>
    <n v="22"/>
    <n v="4"/>
    <n v="2"/>
    <n v="0"/>
    <n v="4"/>
    <n v="6"/>
    <n v="0"/>
    <n v="0"/>
    <n v="0"/>
    <n v="0"/>
    <n v="0"/>
    <x v="0"/>
    <n v="0"/>
    <n v="3"/>
    <n v="11"/>
    <n v="0"/>
    <n v="48"/>
    <n v="2692"/>
    <n v="7.375342465753425"/>
    <n v="0"/>
    <n v="0"/>
    <n v="0"/>
    <n v="1"/>
    <n v="0"/>
    <n v="0"/>
    <n v="0"/>
    <n v="1"/>
    <n v="0"/>
    <n v="0"/>
    <n v="55"/>
    <n v="33"/>
    <n v="22"/>
    <n v="0"/>
    <x v="0"/>
    <x v="0"/>
    <x v="2"/>
    <x v="0"/>
    <x v="0"/>
    <x v="0"/>
    <n v="1"/>
    <n v="0"/>
    <n v="16"/>
    <n v="6"/>
    <n v="3"/>
    <n v="2"/>
    <n v="11"/>
    <n v="2"/>
    <x v="3"/>
  </r>
  <r>
    <x v="1505"/>
    <n v="26759"/>
    <n v="1"/>
    <n v="0"/>
    <n v="65"/>
    <n v="25"/>
    <n v="3"/>
    <n v="16"/>
    <n v="8"/>
    <n v="5"/>
    <n v="2"/>
    <n v="2"/>
    <n v="2"/>
    <n v="1"/>
    <n v="3"/>
    <n v="6"/>
    <n v="0"/>
    <n v="0"/>
    <n v="0"/>
    <n v="0"/>
    <n v="0"/>
    <x v="0"/>
    <n v="0"/>
    <n v="3"/>
    <n v="11"/>
    <n v="0"/>
    <n v="48"/>
    <n v="2301"/>
    <n v="6.3041095890410963"/>
    <n v="1"/>
    <n v="0"/>
    <n v="0"/>
    <n v="0"/>
    <n v="0"/>
    <n v="0"/>
    <n v="0"/>
    <n v="1"/>
    <n v="0"/>
    <n v="0"/>
    <n v="57"/>
    <n v="55"/>
    <n v="2"/>
    <n v="0"/>
    <x v="0"/>
    <x v="0"/>
    <x v="3"/>
    <x v="0"/>
    <x v="0"/>
    <x v="0"/>
    <n v="1"/>
    <n v="0"/>
    <n v="14"/>
    <n v="4"/>
    <n v="2"/>
    <n v="2"/>
    <n v="8"/>
    <n v="1"/>
    <x v="3"/>
  </r>
  <r>
    <x v="1506"/>
    <n v="27943"/>
    <n v="1"/>
    <n v="1"/>
    <n v="89"/>
    <n v="12"/>
    <n v="1"/>
    <n v="16"/>
    <n v="4"/>
    <n v="1"/>
    <n v="3"/>
    <n v="3"/>
    <n v="2"/>
    <n v="0"/>
    <n v="3"/>
    <n v="8"/>
    <n v="0"/>
    <n v="0"/>
    <n v="0"/>
    <n v="0"/>
    <n v="0"/>
    <x v="0"/>
    <n v="0"/>
    <n v="3"/>
    <n v="11"/>
    <n v="0"/>
    <n v="53"/>
    <n v="2599"/>
    <n v="7.1205479452054794"/>
    <n v="0"/>
    <n v="0"/>
    <n v="0"/>
    <n v="1"/>
    <n v="0"/>
    <n v="0"/>
    <n v="0"/>
    <n v="1"/>
    <n v="0"/>
    <n v="0"/>
    <n v="34"/>
    <n v="31"/>
    <n v="3"/>
    <n v="0"/>
    <x v="0"/>
    <x v="0"/>
    <x v="2"/>
    <x v="0"/>
    <x v="0"/>
    <x v="1"/>
    <n v="1"/>
    <n v="0"/>
    <n v="16"/>
    <n v="1.9999999999999996"/>
    <n v="3"/>
    <n v="1"/>
    <n v="6"/>
    <n v="0"/>
    <x v="4"/>
  </r>
  <r>
    <x v="1507"/>
    <n v="30023"/>
    <n v="1"/>
    <n v="0"/>
    <n v="28"/>
    <n v="11"/>
    <n v="0"/>
    <n v="16"/>
    <n v="7"/>
    <n v="6"/>
    <n v="21"/>
    <n v="1"/>
    <n v="2"/>
    <n v="0"/>
    <n v="3"/>
    <n v="8"/>
    <n v="0"/>
    <n v="0"/>
    <n v="0"/>
    <n v="0"/>
    <n v="0"/>
    <x v="0"/>
    <n v="0"/>
    <n v="3"/>
    <n v="11"/>
    <n v="0"/>
    <n v="48"/>
    <n v="2256"/>
    <n v="6.1808219178082195"/>
    <n v="0"/>
    <n v="1"/>
    <n v="0"/>
    <n v="0"/>
    <n v="0"/>
    <n v="0"/>
    <n v="0"/>
    <n v="1"/>
    <n v="0"/>
    <n v="0"/>
    <n v="40"/>
    <n v="19"/>
    <n v="21"/>
    <n v="0"/>
    <x v="0"/>
    <x v="0"/>
    <x v="0"/>
    <x v="0"/>
    <x v="0"/>
    <x v="0"/>
    <n v="0"/>
    <n v="0"/>
    <n v="14"/>
    <n v="8"/>
    <n v="2"/>
    <n v="1"/>
    <n v="11"/>
    <n v="2"/>
    <x v="3"/>
  </r>
  <r>
    <x v="1508"/>
    <n v="30675"/>
    <n v="1"/>
    <n v="0"/>
    <n v="14"/>
    <n v="10"/>
    <n v="2"/>
    <n v="16"/>
    <n v="11"/>
    <n v="2"/>
    <n v="21"/>
    <n v="1"/>
    <n v="1"/>
    <n v="0"/>
    <n v="3"/>
    <n v="8"/>
    <n v="0"/>
    <n v="0"/>
    <n v="0"/>
    <n v="0"/>
    <n v="0"/>
    <x v="0"/>
    <n v="0"/>
    <n v="3"/>
    <n v="11"/>
    <n v="0"/>
    <n v="48"/>
    <n v="2753"/>
    <n v="7.5424657534246577"/>
    <n v="0"/>
    <n v="1"/>
    <n v="0"/>
    <n v="0"/>
    <n v="0"/>
    <n v="0"/>
    <n v="0"/>
    <n v="1"/>
    <n v="0"/>
    <n v="0"/>
    <n v="41"/>
    <n v="20"/>
    <n v="21"/>
    <n v="0"/>
    <x v="0"/>
    <x v="0"/>
    <x v="0"/>
    <x v="0"/>
    <x v="0"/>
    <x v="0"/>
    <n v="0"/>
    <n v="0"/>
    <n v="13"/>
    <n v="9"/>
    <n v="1"/>
    <n v="1"/>
    <n v="11"/>
    <n v="2"/>
    <x v="3"/>
  </r>
  <r>
    <x v="1509"/>
    <n v="31158"/>
    <n v="1"/>
    <n v="0"/>
    <n v="62"/>
    <n v="25"/>
    <n v="6"/>
    <n v="16"/>
    <n v="20"/>
    <n v="0"/>
    <n v="5"/>
    <n v="2"/>
    <n v="2"/>
    <n v="0"/>
    <n v="3"/>
    <n v="8"/>
    <n v="0"/>
    <n v="0"/>
    <n v="0"/>
    <n v="0"/>
    <n v="0"/>
    <x v="0"/>
    <n v="0"/>
    <n v="3"/>
    <n v="11"/>
    <n v="0"/>
    <n v="35"/>
    <n v="2677"/>
    <n v="7.3342465753424655"/>
    <n v="0"/>
    <n v="1"/>
    <n v="0"/>
    <n v="0"/>
    <n v="0"/>
    <n v="0"/>
    <n v="0"/>
    <n v="1"/>
    <n v="0"/>
    <n v="0"/>
    <n v="67"/>
    <n v="62"/>
    <n v="5"/>
    <n v="0"/>
    <x v="0"/>
    <x v="0"/>
    <x v="0"/>
    <x v="0"/>
    <x v="0"/>
    <x v="3"/>
    <n v="1"/>
    <n v="0"/>
    <n v="15"/>
    <n v="4"/>
    <n v="2"/>
    <n v="2"/>
    <n v="8"/>
    <n v="1"/>
    <x v="3"/>
  </r>
  <r>
    <x v="1510"/>
    <n v="33235"/>
    <n v="1"/>
    <n v="0"/>
    <n v="71"/>
    <n v="45"/>
    <n v="0"/>
    <n v="16"/>
    <n v="2"/>
    <n v="1"/>
    <n v="6"/>
    <n v="1"/>
    <n v="3"/>
    <n v="0"/>
    <n v="3"/>
    <n v="7"/>
    <n v="0"/>
    <n v="0"/>
    <n v="0"/>
    <n v="0"/>
    <n v="0"/>
    <x v="0"/>
    <n v="0"/>
    <n v="3"/>
    <n v="11"/>
    <n v="0"/>
    <n v="34"/>
    <n v="2303"/>
    <n v="6.3095890410958901"/>
    <n v="0"/>
    <n v="0"/>
    <n v="0"/>
    <n v="1"/>
    <n v="0"/>
    <n v="0"/>
    <n v="0"/>
    <n v="1"/>
    <n v="0"/>
    <n v="0"/>
    <n v="64"/>
    <n v="58"/>
    <n v="6"/>
    <n v="0"/>
    <x v="0"/>
    <x v="0"/>
    <x v="2"/>
    <x v="0"/>
    <x v="0"/>
    <x v="3"/>
    <n v="1"/>
    <n v="0"/>
    <n v="14"/>
    <n v="3.0000000000000004"/>
    <n v="2"/>
    <n v="2"/>
    <n v="7"/>
    <n v="1"/>
    <x v="3"/>
  </r>
  <r>
    <x v="1511"/>
    <n v="33438"/>
    <n v="1"/>
    <n v="1"/>
    <n v="81"/>
    <n v="62"/>
    <n v="1"/>
    <n v="16"/>
    <n v="3"/>
    <n v="2"/>
    <n v="6"/>
    <n v="4"/>
    <n v="2"/>
    <n v="1"/>
    <n v="4"/>
    <n v="5"/>
    <n v="0"/>
    <n v="0"/>
    <n v="0"/>
    <n v="0"/>
    <n v="0"/>
    <x v="0"/>
    <n v="0"/>
    <n v="3"/>
    <n v="11"/>
    <n v="0"/>
    <n v="62"/>
    <n v="2439"/>
    <n v="6.6821917808219178"/>
    <n v="0"/>
    <n v="0"/>
    <n v="0"/>
    <n v="0"/>
    <n v="1"/>
    <n v="0"/>
    <n v="0"/>
    <n v="0"/>
    <n v="0"/>
    <n v="1"/>
    <n v="84"/>
    <n v="78"/>
    <n v="6"/>
    <n v="0"/>
    <x v="0"/>
    <x v="0"/>
    <x v="4"/>
    <x v="1"/>
    <x v="0"/>
    <x v="2"/>
    <n v="1"/>
    <n v="0"/>
    <n v="16"/>
    <n v="1.9999999999999996"/>
    <n v="3"/>
    <n v="3"/>
    <n v="8"/>
    <n v="1"/>
    <x v="3"/>
  </r>
  <r>
    <x v="1512"/>
    <n v="33629"/>
    <n v="1"/>
    <n v="1"/>
    <n v="49"/>
    <n v="132"/>
    <n v="0"/>
    <n v="16"/>
    <n v="0"/>
    <n v="0"/>
    <n v="4"/>
    <n v="5"/>
    <n v="3"/>
    <n v="1"/>
    <n v="4"/>
    <n v="9"/>
    <n v="0"/>
    <n v="0"/>
    <n v="0"/>
    <n v="0"/>
    <n v="0"/>
    <x v="0"/>
    <n v="0"/>
    <n v="3"/>
    <n v="11"/>
    <n v="0"/>
    <n v="57"/>
    <n v="2849"/>
    <n v="7.8054794520547945"/>
    <n v="0"/>
    <n v="0"/>
    <n v="0"/>
    <n v="1"/>
    <n v="0"/>
    <n v="0"/>
    <n v="0"/>
    <n v="0"/>
    <n v="0"/>
    <n v="1"/>
    <n v="148"/>
    <n v="144"/>
    <n v="4"/>
    <n v="0"/>
    <x v="0"/>
    <x v="0"/>
    <x v="2"/>
    <x v="1"/>
    <x v="0"/>
    <x v="1"/>
    <n v="1"/>
    <n v="0"/>
    <n v="22"/>
    <n v="6"/>
    <n v="5"/>
    <n v="3"/>
    <n v="14"/>
    <n v="4"/>
    <x v="3"/>
  </r>
  <r>
    <x v="1513"/>
    <n v="34728"/>
    <n v="1"/>
    <n v="0"/>
    <n v="2"/>
    <n v="14"/>
    <n v="0"/>
    <n v="16"/>
    <n v="0"/>
    <n v="0"/>
    <n v="6"/>
    <n v="1"/>
    <n v="1"/>
    <n v="1"/>
    <n v="2"/>
    <n v="6"/>
    <n v="0"/>
    <n v="0"/>
    <n v="0"/>
    <n v="0"/>
    <n v="0"/>
    <x v="0"/>
    <n v="0"/>
    <n v="3"/>
    <n v="11"/>
    <n v="1"/>
    <n v="34"/>
    <n v="2493"/>
    <n v="6.8301369863013699"/>
    <n v="0"/>
    <n v="0"/>
    <n v="0"/>
    <n v="1"/>
    <n v="0"/>
    <n v="0"/>
    <n v="0"/>
    <n v="1"/>
    <n v="0"/>
    <n v="0"/>
    <n v="30"/>
    <n v="24"/>
    <n v="6"/>
    <n v="0"/>
    <x v="0"/>
    <x v="0"/>
    <x v="2"/>
    <x v="0"/>
    <x v="0"/>
    <x v="3"/>
    <n v="0"/>
    <n v="0"/>
    <n v="11"/>
    <n v="10"/>
    <n v="0"/>
    <n v="1"/>
    <n v="11"/>
    <n v="2"/>
    <x v="3"/>
  </r>
  <r>
    <x v="1514"/>
    <n v="36138"/>
    <n v="1"/>
    <n v="1"/>
    <n v="48"/>
    <n v="130"/>
    <n v="0"/>
    <n v="16"/>
    <n v="0"/>
    <n v="0"/>
    <n v="5"/>
    <n v="5"/>
    <n v="3"/>
    <n v="1"/>
    <n v="4"/>
    <n v="7"/>
    <n v="0"/>
    <n v="0"/>
    <n v="0"/>
    <n v="1"/>
    <n v="0"/>
    <x v="1"/>
    <n v="0"/>
    <n v="3"/>
    <n v="11"/>
    <n v="0"/>
    <n v="50"/>
    <n v="2507"/>
    <n v="6.8684931506849312"/>
    <n v="0"/>
    <n v="1"/>
    <n v="0"/>
    <n v="0"/>
    <n v="0"/>
    <n v="0"/>
    <n v="0"/>
    <n v="0"/>
    <n v="1"/>
    <n v="0"/>
    <n v="146"/>
    <n v="141"/>
    <n v="5"/>
    <n v="1"/>
    <x v="0"/>
    <x v="0"/>
    <x v="0"/>
    <x v="1"/>
    <x v="3"/>
    <x v="0"/>
    <n v="1"/>
    <n v="0"/>
    <n v="20"/>
    <n v="6"/>
    <n v="4"/>
    <n v="3"/>
    <n v="13"/>
    <n v="3"/>
    <x v="3"/>
  </r>
  <r>
    <x v="1515"/>
    <n v="36927"/>
    <n v="1"/>
    <n v="1"/>
    <n v="46"/>
    <n v="51"/>
    <n v="0"/>
    <n v="16"/>
    <n v="0"/>
    <n v="0"/>
    <n v="4"/>
    <n v="2"/>
    <n v="3"/>
    <n v="0"/>
    <n v="3"/>
    <n v="8"/>
    <n v="0"/>
    <n v="0"/>
    <n v="0"/>
    <n v="0"/>
    <n v="0"/>
    <x v="0"/>
    <n v="0"/>
    <n v="3"/>
    <n v="11"/>
    <n v="0"/>
    <n v="65"/>
    <n v="2186"/>
    <n v="5.9890410958904106"/>
    <n v="0"/>
    <n v="0"/>
    <n v="1"/>
    <n v="0"/>
    <n v="0"/>
    <n v="0"/>
    <n v="0"/>
    <n v="0"/>
    <n v="1"/>
    <n v="0"/>
    <n v="67"/>
    <n v="63"/>
    <n v="4"/>
    <n v="0"/>
    <x v="0"/>
    <x v="0"/>
    <x v="1"/>
    <x v="1"/>
    <x v="3"/>
    <x v="2"/>
    <n v="1"/>
    <n v="0"/>
    <n v="16"/>
    <n v="6"/>
    <n v="3"/>
    <n v="2"/>
    <n v="11"/>
    <n v="2"/>
    <x v="3"/>
  </r>
  <r>
    <x v="1516"/>
    <n v="36957"/>
    <n v="1"/>
    <n v="1"/>
    <n v="43"/>
    <n v="100"/>
    <n v="2"/>
    <n v="16"/>
    <n v="2"/>
    <n v="1"/>
    <n v="31"/>
    <n v="4"/>
    <n v="3"/>
    <n v="2"/>
    <n v="2"/>
    <n v="9"/>
    <n v="0"/>
    <n v="0"/>
    <n v="0"/>
    <n v="0"/>
    <n v="0"/>
    <x v="0"/>
    <n v="0"/>
    <n v="3"/>
    <n v="11"/>
    <n v="1"/>
    <n v="67"/>
    <n v="2820"/>
    <n v="7.7260273972602738"/>
    <n v="1"/>
    <n v="0"/>
    <n v="0"/>
    <n v="0"/>
    <n v="0"/>
    <n v="0"/>
    <n v="0"/>
    <n v="0"/>
    <n v="0"/>
    <n v="1"/>
    <n v="121"/>
    <n v="90"/>
    <n v="31"/>
    <n v="0"/>
    <x v="0"/>
    <x v="0"/>
    <x v="3"/>
    <x v="1"/>
    <x v="3"/>
    <x v="2"/>
    <n v="1"/>
    <n v="0"/>
    <n v="20"/>
    <n v="6"/>
    <n v="4"/>
    <n v="3"/>
    <n v="13"/>
    <n v="3"/>
    <x v="3"/>
  </r>
  <r>
    <x v="1517"/>
    <n v="37085"/>
    <n v="1"/>
    <n v="1"/>
    <n v="65"/>
    <n v="39"/>
    <n v="1"/>
    <n v="16"/>
    <n v="2"/>
    <n v="0"/>
    <n v="3"/>
    <n v="4"/>
    <n v="3"/>
    <n v="0"/>
    <n v="3"/>
    <n v="8"/>
    <n v="0"/>
    <n v="0"/>
    <n v="0"/>
    <n v="0"/>
    <n v="0"/>
    <x v="0"/>
    <n v="0"/>
    <n v="3"/>
    <n v="11"/>
    <n v="0"/>
    <n v="45"/>
    <n v="2162"/>
    <n v="5.9232876712328766"/>
    <n v="0"/>
    <n v="1"/>
    <n v="0"/>
    <n v="0"/>
    <n v="0"/>
    <n v="0"/>
    <n v="0"/>
    <n v="1"/>
    <n v="0"/>
    <n v="0"/>
    <n v="58"/>
    <n v="55"/>
    <n v="3"/>
    <n v="0"/>
    <x v="0"/>
    <x v="0"/>
    <x v="0"/>
    <x v="0"/>
    <x v="3"/>
    <x v="0"/>
    <n v="1"/>
    <n v="0"/>
    <n v="18"/>
    <n v="4"/>
    <n v="4"/>
    <n v="2"/>
    <n v="10"/>
    <n v="2"/>
    <x v="3"/>
  </r>
  <r>
    <x v="1518"/>
    <n v="37334"/>
    <n v="1"/>
    <n v="1"/>
    <n v="44"/>
    <n v="26"/>
    <n v="1"/>
    <n v="16"/>
    <n v="2"/>
    <n v="2"/>
    <n v="15"/>
    <n v="4"/>
    <n v="3"/>
    <n v="0"/>
    <n v="4"/>
    <n v="4"/>
    <n v="0"/>
    <n v="0"/>
    <n v="0"/>
    <n v="0"/>
    <n v="0"/>
    <x v="0"/>
    <n v="0"/>
    <n v="3"/>
    <n v="11"/>
    <n v="0"/>
    <n v="62"/>
    <n v="2282"/>
    <n v="6.2520547945205482"/>
    <n v="0"/>
    <n v="0"/>
    <n v="0"/>
    <n v="1"/>
    <n v="0"/>
    <n v="0"/>
    <n v="0"/>
    <n v="0"/>
    <n v="0"/>
    <n v="1"/>
    <n v="47"/>
    <n v="32"/>
    <n v="15"/>
    <n v="0"/>
    <x v="0"/>
    <x v="0"/>
    <x v="2"/>
    <x v="1"/>
    <x v="3"/>
    <x v="2"/>
    <n v="1"/>
    <n v="0"/>
    <n v="15"/>
    <n v="6"/>
    <n v="2"/>
    <n v="2"/>
    <n v="10"/>
    <n v="2"/>
    <x v="3"/>
  </r>
  <r>
    <x v="1519"/>
    <n v="42011"/>
    <n v="1"/>
    <n v="0"/>
    <n v="46"/>
    <n v="131"/>
    <n v="0"/>
    <n v="16"/>
    <n v="2"/>
    <n v="1"/>
    <n v="39"/>
    <n v="4"/>
    <n v="3"/>
    <n v="1"/>
    <n v="4"/>
    <n v="8"/>
    <n v="0"/>
    <n v="0"/>
    <n v="0"/>
    <n v="0"/>
    <n v="0"/>
    <x v="0"/>
    <n v="0"/>
    <n v="3"/>
    <n v="11"/>
    <n v="0"/>
    <n v="42"/>
    <n v="2619"/>
    <n v="7.1753424657534248"/>
    <n v="0"/>
    <n v="0"/>
    <n v="0"/>
    <n v="1"/>
    <n v="0"/>
    <n v="0"/>
    <n v="0"/>
    <n v="1"/>
    <n v="0"/>
    <n v="0"/>
    <n v="150"/>
    <n v="111"/>
    <n v="39"/>
    <n v="0"/>
    <x v="0"/>
    <x v="0"/>
    <x v="2"/>
    <x v="0"/>
    <x v="3"/>
    <x v="0"/>
    <n v="1"/>
    <n v="0"/>
    <n v="20"/>
    <n v="6"/>
    <n v="4"/>
    <n v="3"/>
    <n v="13"/>
    <n v="3"/>
    <x v="3"/>
  </r>
  <r>
    <x v="1520"/>
    <n v="42386"/>
    <n v="1"/>
    <n v="0"/>
    <n v="43"/>
    <n v="65"/>
    <n v="4"/>
    <n v="16"/>
    <n v="0"/>
    <n v="4"/>
    <n v="11"/>
    <n v="1"/>
    <n v="3"/>
    <n v="0"/>
    <n v="3"/>
    <n v="8"/>
    <n v="0"/>
    <n v="0"/>
    <n v="0"/>
    <n v="0"/>
    <n v="0"/>
    <x v="0"/>
    <n v="0"/>
    <n v="3"/>
    <n v="11"/>
    <n v="0"/>
    <n v="34"/>
    <n v="2691"/>
    <n v="7.3726027397260276"/>
    <n v="0"/>
    <n v="0"/>
    <n v="0"/>
    <n v="1"/>
    <n v="0"/>
    <n v="0"/>
    <n v="0"/>
    <n v="0"/>
    <n v="1"/>
    <n v="0"/>
    <n v="89"/>
    <n v="78"/>
    <n v="11"/>
    <n v="0"/>
    <x v="0"/>
    <x v="0"/>
    <x v="2"/>
    <x v="1"/>
    <x v="3"/>
    <x v="3"/>
    <n v="1"/>
    <n v="0"/>
    <n v="15"/>
    <n v="6"/>
    <n v="2"/>
    <n v="3"/>
    <n v="11"/>
    <n v="2"/>
    <x v="3"/>
  </r>
  <r>
    <x v="1521"/>
    <n v="46423"/>
    <n v="1"/>
    <n v="1"/>
    <n v="6"/>
    <n v="68"/>
    <n v="0"/>
    <n v="16"/>
    <n v="0"/>
    <n v="0"/>
    <n v="8"/>
    <n v="3"/>
    <n v="2"/>
    <n v="0"/>
    <n v="4"/>
    <n v="7"/>
    <n v="0"/>
    <n v="0"/>
    <n v="0"/>
    <n v="0"/>
    <n v="0"/>
    <x v="0"/>
    <n v="0"/>
    <n v="3"/>
    <n v="11"/>
    <n v="0"/>
    <n v="48"/>
    <n v="2443"/>
    <n v="6.6931506849315072"/>
    <n v="0"/>
    <n v="0"/>
    <n v="1"/>
    <n v="0"/>
    <n v="0"/>
    <n v="0"/>
    <n v="0"/>
    <n v="0"/>
    <n v="1"/>
    <n v="0"/>
    <n v="84"/>
    <n v="76"/>
    <n v="8"/>
    <n v="0"/>
    <x v="0"/>
    <x v="0"/>
    <x v="1"/>
    <x v="1"/>
    <x v="3"/>
    <x v="0"/>
    <n v="0"/>
    <n v="0"/>
    <n v="16"/>
    <n v="10"/>
    <n v="3"/>
    <n v="3"/>
    <n v="16"/>
    <n v="5"/>
    <x v="1"/>
  </r>
  <r>
    <x v="1522"/>
    <n v="47821"/>
    <n v="1"/>
    <n v="1"/>
    <n v="54"/>
    <n v="9"/>
    <n v="0"/>
    <n v="16"/>
    <n v="6"/>
    <n v="6"/>
    <n v="10"/>
    <n v="1"/>
    <n v="1"/>
    <n v="0"/>
    <n v="3"/>
    <n v="8"/>
    <n v="0"/>
    <n v="0"/>
    <n v="0"/>
    <n v="0"/>
    <n v="0"/>
    <x v="0"/>
    <n v="0"/>
    <n v="3"/>
    <n v="11"/>
    <n v="0"/>
    <n v="53"/>
    <n v="2411"/>
    <n v="6.6054794520547944"/>
    <n v="0"/>
    <n v="0"/>
    <n v="0"/>
    <n v="1"/>
    <n v="0"/>
    <n v="1"/>
    <n v="0"/>
    <n v="0"/>
    <n v="0"/>
    <n v="0"/>
    <n v="37"/>
    <n v="27"/>
    <n v="10"/>
    <n v="0"/>
    <x v="0"/>
    <x v="0"/>
    <x v="2"/>
    <x v="1"/>
    <x v="3"/>
    <x v="1"/>
    <n v="1"/>
    <n v="0"/>
    <n v="13"/>
    <n v="5"/>
    <n v="1"/>
    <n v="1"/>
    <n v="7"/>
    <n v="1"/>
    <x v="3"/>
  </r>
  <r>
    <x v="1523"/>
    <n v="49572"/>
    <n v="1"/>
    <n v="1"/>
    <n v="25"/>
    <n v="35"/>
    <n v="1"/>
    <n v="16"/>
    <n v="0"/>
    <n v="1"/>
    <n v="1"/>
    <n v="2"/>
    <n v="2"/>
    <n v="0"/>
    <n v="3"/>
    <n v="7"/>
    <n v="0"/>
    <n v="0"/>
    <n v="0"/>
    <n v="0"/>
    <n v="0"/>
    <x v="0"/>
    <n v="0"/>
    <n v="3"/>
    <n v="11"/>
    <n v="0"/>
    <n v="62"/>
    <n v="2355"/>
    <n v="6.4520547945205475"/>
    <n v="0"/>
    <n v="1"/>
    <n v="0"/>
    <n v="0"/>
    <n v="0"/>
    <n v="0"/>
    <n v="0"/>
    <n v="0"/>
    <n v="1"/>
    <n v="0"/>
    <n v="53"/>
    <n v="52"/>
    <n v="1"/>
    <n v="0"/>
    <x v="0"/>
    <x v="0"/>
    <x v="0"/>
    <x v="1"/>
    <x v="3"/>
    <x v="2"/>
    <n v="0"/>
    <n v="0"/>
    <n v="14"/>
    <n v="8"/>
    <n v="2"/>
    <n v="2"/>
    <n v="12"/>
    <n v="3"/>
    <x v="3"/>
  </r>
  <r>
    <x v="1524"/>
    <n v="50616"/>
    <n v="0"/>
    <n v="1"/>
    <n v="56"/>
    <n v="128"/>
    <n v="0"/>
    <n v="16"/>
    <n v="0"/>
    <n v="1"/>
    <n v="4"/>
    <n v="2"/>
    <n v="4"/>
    <n v="0"/>
    <n v="4"/>
    <n v="7"/>
    <n v="0"/>
    <n v="0"/>
    <n v="0"/>
    <n v="0"/>
    <n v="0"/>
    <x v="0"/>
    <n v="0"/>
    <n v="3"/>
    <n v="11"/>
    <n v="0"/>
    <n v="52"/>
    <n v="2231"/>
    <n v="6.1123287671232873"/>
    <n v="1"/>
    <n v="0"/>
    <n v="0"/>
    <n v="0"/>
    <n v="0"/>
    <n v="0"/>
    <n v="0"/>
    <n v="0"/>
    <n v="0"/>
    <n v="1"/>
    <n v="145"/>
    <n v="141"/>
    <n v="4"/>
    <n v="0"/>
    <x v="0"/>
    <x v="0"/>
    <x v="3"/>
    <x v="1"/>
    <x v="2"/>
    <x v="1"/>
    <n v="1"/>
    <n v="0"/>
    <n v="17"/>
    <n v="5"/>
    <n v="3"/>
    <n v="3"/>
    <n v="11"/>
    <n v="2"/>
    <x v="3"/>
  </r>
  <r>
    <x v="1525"/>
    <n v="54348"/>
    <n v="1"/>
    <n v="1"/>
    <n v="51"/>
    <n v="70"/>
    <n v="0"/>
    <n v="16"/>
    <n v="0"/>
    <n v="0"/>
    <n v="4"/>
    <n v="2"/>
    <n v="2"/>
    <n v="0"/>
    <n v="4"/>
    <n v="6"/>
    <n v="0"/>
    <n v="0"/>
    <n v="0"/>
    <n v="0"/>
    <n v="0"/>
    <x v="0"/>
    <n v="0"/>
    <n v="3"/>
    <n v="11"/>
    <n v="0"/>
    <n v="67"/>
    <n v="2180"/>
    <n v="5.9726027397260273"/>
    <n v="0"/>
    <n v="1"/>
    <n v="0"/>
    <n v="0"/>
    <n v="0"/>
    <n v="0"/>
    <n v="0"/>
    <n v="0"/>
    <n v="1"/>
    <n v="0"/>
    <n v="86"/>
    <n v="82"/>
    <n v="4"/>
    <n v="0"/>
    <x v="0"/>
    <x v="0"/>
    <x v="0"/>
    <x v="1"/>
    <x v="2"/>
    <x v="2"/>
    <n v="1"/>
    <n v="0"/>
    <n v="14"/>
    <n v="5"/>
    <n v="2"/>
    <n v="3"/>
    <n v="10"/>
    <n v="2"/>
    <x v="3"/>
  </r>
  <r>
    <x v="1526"/>
    <n v="54414"/>
    <n v="1"/>
    <n v="1"/>
    <n v="49"/>
    <n v="109"/>
    <n v="18"/>
    <n v="16"/>
    <n v="24"/>
    <n v="26"/>
    <n v="18"/>
    <n v="4"/>
    <n v="3"/>
    <n v="1"/>
    <n v="5"/>
    <n v="4"/>
    <n v="0"/>
    <n v="0"/>
    <n v="0"/>
    <n v="0"/>
    <n v="0"/>
    <x v="0"/>
    <n v="0"/>
    <n v="3"/>
    <n v="11"/>
    <n v="0"/>
    <n v="57"/>
    <n v="2681"/>
    <n v="7.3452054794520549"/>
    <n v="0"/>
    <n v="0"/>
    <n v="0"/>
    <n v="1"/>
    <n v="0"/>
    <n v="0"/>
    <n v="0"/>
    <n v="1"/>
    <n v="0"/>
    <n v="0"/>
    <n v="193"/>
    <n v="175"/>
    <n v="18"/>
    <n v="0"/>
    <x v="0"/>
    <x v="0"/>
    <x v="2"/>
    <x v="0"/>
    <x v="2"/>
    <x v="1"/>
    <n v="1"/>
    <n v="0"/>
    <n v="17"/>
    <n v="6"/>
    <n v="3"/>
    <n v="4"/>
    <n v="13"/>
    <n v="3"/>
    <x v="3"/>
  </r>
  <r>
    <x v="1527"/>
    <n v="64587"/>
    <n v="1"/>
    <n v="1"/>
    <n v="49"/>
    <n v="66"/>
    <n v="0"/>
    <n v="16"/>
    <n v="0"/>
    <n v="6"/>
    <n v="20"/>
    <n v="2"/>
    <n v="1"/>
    <n v="1"/>
    <n v="4"/>
    <n v="3"/>
    <n v="0"/>
    <n v="0"/>
    <n v="0"/>
    <n v="0"/>
    <n v="0"/>
    <x v="0"/>
    <n v="0"/>
    <n v="3"/>
    <n v="11"/>
    <n v="0"/>
    <n v="66"/>
    <n v="2166"/>
    <n v="5.934246575342466"/>
    <n v="1"/>
    <n v="0"/>
    <n v="0"/>
    <n v="0"/>
    <n v="0"/>
    <n v="0"/>
    <n v="0"/>
    <n v="1"/>
    <n v="0"/>
    <n v="0"/>
    <n v="88"/>
    <n v="68"/>
    <n v="20"/>
    <n v="0"/>
    <x v="0"/>
    <x v="0"/>
    <x v="3"/>
    <x v="0"/>
    <x v="2"/>
    <x v="2"/>
    <n v="1"/>
    <n v="0"/>
    <n v="11"/>
    <n v="6"/>
    <n v="0"/>
    <n v="3"/>
    <n v="9"/>
    <n v="1"/>
    <x v="3"/>
  </r>
  <r>
    <x v="1528"/>
    <n v="12393"/>
    <n v="0"/>
    <n v="0"/>
    <n v="38"/>
    <n v="5"/>
    <n v="6"/>
    <n v="15"/>
    <n v="11"/>
    <n v="7"/>
    <n v="13"/>
    <n v="1"/>
    <n v="2"/>
    <n v="0"/>
    <n v="3"/>
    <n v="9"/>
    <n v="0"/>
    <n v="0"/>
    <n v="0"/>
    <n v="0"/>
    <n v="0"/>
    <x v="0"/>
    <n v="0"/>
    <n v="3"/>
    <n v="11"/>
    <n v="0"/>
    <n v="42"/>
    <n v="2731"/>
    <n v="7.4821917808219176"/>
    <n v="0"/>
    <n v="1"/>
    <n v="0"/>
    <n v="0"/>
    <n v="0"/>
    <n v="1"/>
    <n v="0"/>
    <n v="0"/>
    <n v="0"/>
    <n v="0"/>
    <n v="44"/>
    <n v="31"/>
    <n v="13"/>
    <n v="0"/>
    <x v="1"/>
    <x v="1"/>
    <x v="0"/>
    <x v="1"/>
    <x v="0"/>
    <x v="0"/>
    <n v="1"/>
    <n v="0"/>
    <n v="15"/>
    <n v="7"/>
    <n v="2"/>
    <n v="2"/>
    <n v="11"/>
    <n v="2"/>
    <x v="3"/>
  </r>
  <r>
    <x v="1529"/>
    <n v="13624"/>
    <n v="1"/>
    <n v="0"/>
    <n v="93"/>
    <n v="10"/>
    <n v="2"/>
    <n v="15"/>
    <n v="2"/>
    <n v="1"/>
    <n v="6"/>
    <n v="2"/>
    <n v="2"/>
    <n v="0"/>
    <n v="3"/>
    <n v="6"/>
    <n v="0"/>
    <n v="0"/>
    <n v="0"/>
    <n v="0"/>
    <n v="0"/>
    <x v="0"/>
    <n v="0"/>
    <n v="3"/>
    <n v="11"/>
    <n v="0"/>
    <n v="44"/>
    <n v="2684"/>
    <n v="7.353424657534247"/>
    <n v="0"/>
    <n v="1"/>
    <n v="0"/>
    <n v="0"/>
    <n v="0"/>
    <n v="0"/>
    <n v="0"/>
    <n v="1"/>
    <n v="0"/>
    <n v="0"/>
    <n v="30"/>
    <n v="24"/>
    <n v="6"/>
    <n v="0"/>
    <x v="0"/>
    <x v="0"/>
    <x v="0"/>
    <x v="0"/>
    <x v="0"/>
    <x v="0"/>
    <n v="1"/>
    <n v="1"/>
    <n v="13"/>
    <n v="0.99999999999999978"/>
    <n v="1"/>
    <n v="1"/>
    <n v="3"/>
    <n v="0"/>
    <x v="4"/>
  </r>
  <r>
    <x v="1530"/>
    <n v="15072"/>
    <n v="2"/>
    <n v="0"/>
    <n v="96"/>
    <n v="8"/>
    <n v="2"/>
    <n v="15"/>
    <n v="0"/>
    <n v="10"/>
    <n v="18"/>
    <n v="4"/>
    <n v="3"/>
    <n v="1"/>
    <n v="3"/>
    <n v="5"/>
    <n v="0"/>
    <n v="0"/>
    <n v="0"/>
    <n v="0"/>
    <n v="0"/>
    <x v="0"/>
    <n v="0"/>
    <n v="3"/>
    <n v="11"/>
    <n v="0"/>
    <n v="40"/>
    <n v="2574"/>
    <n v="7.0520547945205481"/>
    <n v="0"/>
    <n v="1"/>
    <n v="0"/>
    <n v="0"/>
    <n v="0"/>
    <n v="0"/>
    <n v="0"/>
    <n v="1"/>
    <n v="0"/>
    <n v="0"/>
    <n v="35"/>
    <n v="17"/>
    <n v="18"/>
    <n v="0"/>
    <x v="0"/>
    <x v="0"/>
    <x v="0"/>
    <x v="0"/>
    <x v="0"/>
    <x v="3"/>
    <n v="1"/>
    <n v="1"/>
    <n v="16"/>
    <n v="0.99999999999999978"/>
    <n v="3"/>
    <n v="1"/>
    <n v="5"/>
    <n v="0"/>
    <x v="4"/>
  </r>
  <r>
    <x v="1531"/>
    <n v="22585"/>
    <n v="0"/>
    <n v="0"/>
    <n v="23"/>
    <n v="3"/>
    <n v="9"/>
    <n v="15"/>
    <n v="13"/>
    <n v="2"/>
    <n v="39"/>
    <n v="1"/>
    <n v="1"/>
    <n v="1"/>
    <n v="2"/>
    <n v="9"/>
    <n v="0"/>
    <n v="0"/>
    <n v="1"/>
    <n v="0"/>
    <n v="0"/>
    <x v="1"/>
    <n v="0"/>
    <n v="3"/>
    <n v="11"/>
    <n v="1"/>
    <n v="50"/>
    <n v="2627"/>
    <n v="7.1972602739726028"/>
    <n v="0"/>
    <n v="0"/>
    <n v="1"/>
    <n v="0"/>
    <n v="0"/>
    <n v="0"/>
    <n v="0"/>
    <n v="1"/>
    <n v="0"/>
    <n v="0"/>
    <n v="42"/>
    <n v="3"/>
    <n v="39"/>
    <n v="1"/>
    <x v="1"/>
    <x v="1"/>
    <x v="1"/>
    <x v="0"/>
    <x v="0"/>
    <x v="0"/>
    <n v="0"/>
    <n v="0"/>
    <n v="14"/>
    <n v="8"/>
    <n v="2"/>
    <n v="1"/>
    <n v="11"/>
    <n v="2"/>
    <x v="3"/>
  </r>
  <r>
    <x v="1532"/>
    <n v="23724"/>
    <n v="1"/>
    <n v="0"/>
    <n v="65"/>
    <n v="5"/>
    <n v="23"/>
    <n v="15"/>
    <n v="0"/>
    <n v="18"/>
    <n v="14"/>
    <n v="2"/>
    <n v="2"/>
    <n v="0"/>
    <n v="3"/>
    <n v="8"/>
    <n v="0"/>
    <n v="0"/>
    <n v="0"/>
    <n v="0"/>
    <n v="0"/>
    <x v="0"/>
    <n v="0"/>
    <n v="3"/>
    <n v="11"/>
    <n v="0"/>
    <n v="41"/>
    <n v="2696"/>
    <n v="7.3863013698630136"/>
    <n v="0"/>
    <n v="0"/>
    <n v="0"/>
    <n v="1"/>
    <n v="0"/>
    <n v="0"/>
    <n v="1"/>
    <n v="0"/>
    <n v="0"/>
    <n v="0"/>
    <n v="61"/>
    <n v="47"/>
    <n v="14"/>
    <n v="0"/>
    <x v="0"/>
    <x v="0"/>
    <x v="2"/>
    <x v="2"/>
    <x v="0"/>
    <x v="0"/>
    <n v="1"/>
    <n v="0"/>
    <n v="15"/>
    <n v="4"/>
    <n v="2"/>
    <n v="2"/>
    <n v="8"/>
    <n v="1"/>
    <x v="3"/>
  </r>
  <r>
    <x v="1533"/>
    <n v="26224"/>
    <n v="1"/>
    <n v="0"/>
    <n v="39"/>
    <n v="4"/>
    <n v="7"/>
    <n v="15"/>
    <n v="13"/>
    <n v="9"/>
    <n v="15"/>
    <n v="3"/>
    <n v="2"/>
    <n v="1"/>
    <n v="3"/>
    <n v="6"/>
    <n v="0"/>
    <n v="0"/>
    <n v="0"/>
    <n v="0"/>
    <n v="0"/>
    <x v="0"/>
    <n v="0"/>
    <n v="3"/>
    <n v="11"/>
    <n v="0"/>
    <n v="42"/>
    <n v="2549"/>
    <n v="6.9835616438356167"/>
    <n v="0"/>
    <n v="1"/>
    <n v="0"/>
    <n v="0"/>
    <n v="0"/>
    <n v="1"/>
    <n v="0"/>
    <n v="0"/>
    <n v="0"/>
    <n v="0"/>
    <n v="48"/>
    <n v="33"/>
    <n v="15"/>
    <n v="0"/>
    <x v="0"/>
    <x v="0"/>
    <x v="0"/>
    <x v="1"/>
    <x v="0"/>
    <x v="0"/>
    <n v="1"/>
    <n v="0"/>
    <n v="15"/>
    <n v="7"/>
    <n v="2"/>
    <n v="2"/>
    <n v="11"/>
    <n v="2"/>
    <x v="3"/>
  </r>
  <r>
    <x v="1534"/>
    <n v="26642"/>
    <n v="1"/>
    <n v="0"/>
    <n v="71"/>
    <n v="13"/>
    <n v="2"/>
    <n v="15"/>
    <n v="2"/>
    <n v="2"/>
    <n v="8"/>
    <n v="2"/>
    <n v="2"/>
    <n v="0"/>
    <n v="3"/>
    <n v="6"/>
    <n v="0"/>
    <n v="0"/>
    <n v="0"/>
    <n v="0"/>
    <n v="0"/>
    <x v="0"/>
    <n v="0"/>
    <n v="3"/>
    <n v="11"/>
    <n v="0"/>
    <n v="53"/>
    <n v="2279"/>
    <n v="6.2438356164383562"/>
    <n v="1"/>
    <n v="0"/>
    <n v="0"/>
    <n v="0"/>
    <n v="0"/>
    <n v="0"/>
    <n v="0"/>
    <n v="0"/>
    <n v="0"/>
    <n v="1"/>
    <n v="34"/>
    <n v="26"/>
    <n v="8"/>
    <n v="0"/>
    <x v="0"/>
    <x v="0"/>
    <x v="3"/>
    <x v="1"/>
    <x v="0"/>
    <x v="1"/>
    <n v="1"/>
    <n v="0"/>
    <n v="13"/>
    <n v="3.0000000000000004"/>
    <n v="1"/>
    <n v="1"/>
    <n v="5"/>
    <n v="0"/>
    <x v="4"/>
  </r>
  <r>
    <x v="1535"/>
    <n v="29009"/>
    <n v="1"/>
    <n v="0"/>
    <n v="19"/>
    <n v="6"/>
    <n v="6"/>
    <n v="15"/>
    <n v="10"/>
    <n v="5"/>
    <n v="2"/>
    <n v="2"/>
    <n v="2"/>
    <n v="0"/>
    <n v="3"/>
    <n v="6"/>
    <n v="0"/>
    <n v="0"/>
    <n v="0"/>
    <n v="0"/>
    <n v="0"/>
    <x v="0"/>
    <n v="0"/>
    <n v="3"/>
    <n v="11"/>
    <n v="0"/>
    <n v="39"/>
    <n v="2371"/>
    <n v="6.4958904109589044"/>
    <n v="0"/>
    <n v="1"/>
    <n v="0"/>
    <n v="0"/>
    <n v="0"/>
    <n v="0"/>
    <n v="0"/>
    <n v="1"/>
    <n v="0"/>
    <n v="0"/>
    <n v="42"/>
    <n v="40"/>
    <n v="2"/>
    <n v="0"/>
    <x v="0"/>
    <x v="0"/>
    <x v="0"/>
    <x v="0"/>
    <x v="0"/>
    <x v="3"/>
    <n v="0"/>
    <n v="0"/>
    <n v="13"/>
    <n v="9"/>
    <n v="1"/>
    <n v="1"/>
    <n v="11"/>
    <n v="2"/>
    <x v="3"/>
  </r>
  <r>
    <x v="1536"/>
    <n v="30545"/>
    <n v="1"/>
    <n v="0"/>
    <n v="71"/>
    <n v="4"/>
    <n v="12"/>
    <n v="15"/>
    <n v="19"/>
    <n v="7"/>
    <n v="12"/>
    <n v="2"/>
    <n v="2"/>
    <n v="0"/>
    <n v="3"/>
    <n v="7"/>
    <n v="0"/>
    <n v="0"/>
    <n v="0"/>
    <n v="0"/>
    <n v="0"/>
    <x v="0"/>
    <n v="0"/>
    <n v="3"/>
    <n v="11"/>
    <n v="0"/>
    <n v="41"/>
    <n v="2779"/>
    <n v="7.6136986301369864"/>
    <n v="0"/>
    <n v="0"/>
    <n v="0"/>
    <n v="1"/>
    <n v="0"/>
    <n v="0"/>
    <n v="0"/>
    <n v="1"/>
    <n v="0"/>
    <n v="0"/>
    <n v="57"/>
    <n v="45"/>
    <n v="12"/>
    <n v="0"/>
    <x v="0"/>
    <x v="0"/>
    <x v="2"/>
    <x v="0"/>
    <x v="0"/>
    <x v="0"/>
    <n v="1"/>
    <n v="0"/>
    <n v="14"/>
    <n v="3.0000000000000004"/>
    <n v="2"/>
    <n v="2"/>
    <n v="7"/>
    <n v="1"/>
    <x v="3"/>
  </r>
  <r>
    <x v="1537"/>
    <n v="30828"/>
    <n v="1"/>
    <n v="0"/>
    <n v="16"/>
    <n v="16"/>
    <n v="11"/>
    <n v="15"/>
    <n v="2"/>
    <n v="0"/>
    <n v="12"/>
    <n v="2"/>
    <n v="1"/>
    <n v="1"/>
    <n v="4"/>
    <n v="3"/>
    <n v="0"/>
    <n v="0"/>
    <n v="0"/>
    <n v="0"/>
    <n v="0"/>
    <x v="0"/>
    <n v="0"/>
    <n v="3"/>
    <n v="11"/>
    <n v="0"/>
    <n v="40"/>
    <n v="2427"/>
    <n v="6.6493150684931503"/>
    <n v="0"/>
    <n v="0"/>
    <n v="1"/>
    <n v="0"/>
    <n v="0"/>
    <n v="0"/>
    <n v="0"/>
    <n v="1"/>
    <n v="0"/>
    <n v="0"/>
    <n v="44"/>
    <n v="32"/>
    <n v="12"/>
    <n v="0"/>
    <x v="0"/>
    <x v="0"/>
    <x v="1"/>
    <x v="0"/>
    <x v="0"/>
    <x v="3"/>
    <n v="0"/>
    <n v="0"/>
    <n v="11"/>
    <n v="9"/>
    <n v="0"/>
    <n v="2"/>
    <n v="11"/>
    <n v="2"/>
    <x v="3"/>
  </r>
  <r>
    <x v="1538"/>
    <n v="31590"/>
    <n v="1"/>
    <n v="0"/>
    <n v="40"/>
    <n v="6"/>
    <n v="2"/>
    <n v="15"/>
    <n v="6"/>
    <n v="6"/>
    <n v="3"/>
    <n v="1"/>
    <n v="1"/>
    <n v="0"/>
    <n v="3"/>
    <n v="8"/>
    <n v="0"/>
    <n v="0"/>
    <n v="0"/>
    <n v="0"/>
    <n v="0"/>
    <x v="0"/>
    <n v="0"/>
    <n v="3"/>
    <n v="11"/>
    <n v="0"/>
    <n v="48"/>
    <n v="2535"/>
    <n v="6.9452054794520546"/>
    <n v="0"/>
    <n v="0"/>
    <n v="0"/>
    <n v="1"/>
    <n v="0"/>
    <n v="0"/>
    <n v="0"/>
    <n v="1"/>
    <n v="0"/>
    <n v="0"/>
    <n v="35"/>
    <n v="32"/>
    <n v="3"/>
    <n v="0"/>
    <x v="0"/>
    <x v="0"/>
    <x v="2"/>
    <x v="0"/>
    <x v="0"/>
    <x v="0"/>
    <n v="1"/>
    <n v="0"/>
    <n v="13"/>
    <n v="6"/>
    <n v="1"/>
    <n v="1"/>
    <n v="8"/>
    <n v="1"/>
    <x v="3"/>
  </r>
  <r>
    <x v="1539"/>
    <n v="32011"/>
    <n v="1"/>
    <n v="0"/>
    <n v="89"/>
    <n v="99"/>
    <n v="0"/>
    <n v="15"/>
    <n v="2"/>
    <n v="1"/>
    <n v="5"/>
    <n v="3"/>
    <n v="2"/>
    <n v="1"/>
    <n v="4"/>
    <n v="7"/>
    <n v="0"/>
    <n v="0"/>
    <n v="0"/>
    <n v="0"/>
    <n v="0"/>
    <x v="0"/>
    <n v="0"/>
    <n v="3"/>
    <n v="11"/>
    <n v="0"/>
    <n v="49"/>
    <n v="2470"/>
    <n v="6.7671232876712333"/>
    <n v="0"/>
    <n v="1"/>
    <n v="0"/>
    <n v="0"/>
    <n v="0"/>
    <n v="0"/>
    <n v="0"/>
    <n v="0"/>
    <n v="0"/>
    <n v="1"/>
    <n v="117"/>
    <n v="112"/>
    <n v="5"/>
    <n v="0"/>
    <x v="0"/>
    <x v="0"/>
    <x v="0"/>
    <x v="1"/>
    <x v="0"/>
    <x v="0"/>
    <n v="1"/>
    <n v="0"/>
    <n v="17"/>
    <n v="1.9999999999999996"/>
    <n v="3"/>
    <n v="3"/>
    <n v="8"/>
    <n v="1"/>
    <x v="3"/>
  </r>
  <r>
    <x v="1540"/>
    <n v="32218"/>
    <n v="0"/>
    <n v="0"/>
    <n v="27"/>
    <n v="10"/>
    <n v="24"/>
    <n v="15"/>
    <n v="13"/>
    <n v="1"/>
    <n v="30"/>
    <n v="1"/>
    <n v="2"/>
    <n v="1"/>
    <n v="3"/>
    <n v="7"/>
    <n v="0"/>
    <n v="0"/>
    <n v="1"/>
    <n v="0"/>
    <n v="0"/>
    <x v="1"/>
    <n v="0"/>
    <n v="3"/>
    <n v="11"/>
    <n v="1"/>
    <n v="60"/>
    <n v="2293"/>
    <n v="6.2821917808219174"/>
    <n v="0"/>
    <n v="0"/>
    <n v="1"/>
    <n v="0"/>
    <n v="0"/>
    <n v="1"/>
    <n v="0"/>
    <n v="0"/>
    <n v="0"/>
    <n v="0"/>
    <n v="63"/>
    <n v="33"/>
    <n v="30"/>
    <n v="1"/>
    <x v="1"/>
    <x v="1"/>
    <x v="1"/>
    <x v="1"/>
    <x v="0"/>
    <x v="1"/>
    <n v="0"/>
    <n v="0"/>
    <n v="14"/>
    <n v="8"/>
    <n v="2"/>
    <n v="2"/>
    <n v="12"/>
    <n v="3"/>
    <x v="3"/>
  </r>
  <r>
    <x v="1541"/>
    <n v="32880"/>
    <n v="1"/>
    <n v="0"/>
    <n v="76"/>
    <n v="8"/>
    <n v="4"/>
    <n v="15"/>
    <n v="7"/>
    <n v="6"/>
    <n v="2"/>
    <n v="1"/>
    <n v="1"/>
    <n v="0"/>
    <n v="3"/>
    <n v="8"/>
    <n v="0"/>
    <n v="0"/>
    <n v="0"/>
    <n v="0"/>
    <n v="0"/>
    <x v="0"/>
    <n v="0"/>
    <n v="3"/>
    <n v="11"/>
    <n v="0"/>
    <n v="34"/>
    <n v="2731"/>
    <n v="7.4821917808219176"/>
    <n v="0"/>
    <n v="1"/>
    <n v="0"/>
    <n v="0"/>
    <n v="0"/>
    <n v="0"/>
    <n v="0"/>
    <n v="1"/>
    <n v="0"/>
    <n v="0"/>
    <n v="40"/>
    <n v="38"/>
    <n v="2"/>
    <n v="0"/>
    <x v="0"/>
    <x v="0"/>
    <x v="0"/>
    <x v="0"/>
    <x v="0"/>
    <x v="3"/>
    <n v="1"/>
    <n v="0"/>
    <n v="13"/>
    <n v="3.0000000000000004"/>
    <n v="1"/>
    <n v="1"/>
    <n v="5"/>
    <n v="0"/>
    <x v="4"/>
  </r>
  <r>
    <x v="1542"/>
    <n v="32892"/>
    <n v="1"/>
    <n v="0"/>
    <n v="78"/>
    <n v="26"/>
    <n v="0"/>
    <n v="15"/>
    <n v="2"/>
    <n v="1"/>
    <n v="2"/>
    <n v="2"/>
    <n v="3"/>
    <n v="0"/>
    <n v="3"/>
    <n v="8"/>
    <n v="0"/>
    <n v="0"/>
    <n v="0"/>
    <n v="0"/>
    <n v="0"/>
    <x v="0"/>
    <n v="0"/>
    <n v="3"/>
    <n v="11"/>
    <n v="0"/>
    <n v="49"/>
    <n v="2194"/>
    <n v="6.0109589041095894"/>
    <n v="0"/>
    <n v="0"/>
    <n v="0"/>
    <n v="1"/>
    <n v="0"/>
    <n v="0"/>
    <n v="0"/>
    <n v="0"/>
    <n v="0"/>
    <n v="1"/>
    <n v="44"/>
    <n v="42"/>
    <n v="2"/>
    <n v="0"/>
    <x v="0"/>
    <x v="0"/>
    <x v="2"/>
    <x v="1"/>
    <x v="0"/>
    <x v="0"/>
    <n v="1"/>
    <n v="0"/>
    <n v="16"/>
    <n v="3.0000000000000004"/>
    <n v="3"/>
    <n v="2"/>
    <n v="8"/>
    <n v="1"/>
    <x v="3"/>
  </r>
  <r>
    <x v="1543"/>
    <n v="33996"/>
    <n v="0"/>
    <n v="0"/>
    <n v="46"/>
    <n v="40"/>
    <n v="2"/>
    <n v="15"/>
    <n v="8"/>
    <n v="0"/>
    <n v="6"/>
    <n v="1"/>
    <n v="1"/>
    <n v="1"/>
    <n v="3"/>
    <n v="4"/>
    <n v="0"/>
    <n v="0"/>
    <n v="0"/>
    <n v="0"/>
    <n v="0"/>
    <x v="0"/>
    <n v="0"/>
    <n v="3"/>
    <n v="11"/>
    <n v="0"/>
    <n v="31"/>
    <n v="2450"/>
    <n v="6.7123287671232879"/>
    <n v="0"/>
    <n v="0"/>
    <n v="1"/>
    <n v="0"/>
    <n v="0"/>
    <n v="0"/>
    <n v="0"/>
    <n v="0"/>
    <n v="0"/>
    <n v="1"/>
    <n v="65"/>
    <n v="59"/>
    <n v="6"/>
    <n v="0"/>
    <x v="1"/>
    <x v="1"/>
    <x v="1"/>
    <x v="1"/>
    <x v="0"/>
    <x v="3"/>
    <n v="1"/>
    <n v="0"/>
    <n v="10"/>
    <n v="6"/>
    <n v="0"/>
    <n v="2"/>
    <n v="8"/>
    <n v="1"/>
    <x v="3"/>
  </r>
  <r>
    <x v="1544"/>
    <n v="34026"/>
    <n v="1"/>
    <n v="1"/>
    <n v="11"/>
    <n v="18"/>
    <n v="6"/>
    <n v="15"/>
    <n v="12"/>
    <n v="8"/>
    <n v="17"/>
    <n v="3"/>
    <n v="2"/>
    <n v="1"/>
    <n v="3"/>
    <n v="5"/>
    <n v="0"/>
    <n v="0"/>
    <n v="0"/>
    <n v="0"/>
    <n v="0"/>
    <x v="0"/>
    <n v="0"/>
    <n v="3"/>
    <n v="11"/>
    <n v="0"/>
    <n v="70"/>
    <n v="2487"/>
    <n v="6.8136986301369866"/>
    <n v="0"/>
    <n v="0"/>
    <n v="0"/>
    <n v="1"/>
    <n v="0"/>
    <n v="0"/>
    <n v="0"/>
    <n v="1"/>
    <n v="0"/>
    <n v="0"/>
    <n v="59"/>
    <n v="42"/>
    <n v="17"/>
    <n v="0"/>
    <x v="0"/>
    <x v="0"/>
    <x v="2"/>
    <x v="0"/>
    <x v="0"/>
    <x v="2"/>
    <n v="0"/>
    <n v="0"/>
    <n v="14"/>
    <n v="9"/>
    <n v="2"/>
    <n v="2"/>
    <n v="13"/>
    <n v="3"/>
    <x v="3"/>
  </r>
  <r>
    <x v="1545"/>
    <n v="34350"/>
    <n v="1"/>
    <n v="0"/>
    <n v="81"/>
    <n v="16"/>
    <n v="3"/>
    <n v="15"/>
    <n v="2"/>
    <n v="1"/>
    <n v="11"/>
    <n v="1"/>
    <n v="1"/>
    <n v="0"/>
    <n v="3"/>
    <n v="7"/>
    <n v="0"/>
    <n v="0"/>
    <n v="0"/>
    <n v="0"/>
    <n v="0"/>
    <x v="0"/>
    <n v="0"/>
    <n v="3"/>
    <n v="11"/>
    <n v="0"/>
    <n v="41"/>
    <n v="2412"/>
    <n v="6.6082191780821917"/>
    <n v="0"/>
    <n v="0"/>
    <n v="0"/>
    <n v="1"/>
    <n v="0"/>
    <n v="0"/>
    <n v="0"/>
    <n v="1"/>
    <n v="0"/>
    <n v="0"/>
    <n v="37"/>
    <n v="26"/>
    <n v="11"/>
    <n v="0"/>
    <x v="0"/>
    <x v="0"/>
    <x v="2"/>
    <x v="0"/>
    <x v="0"/>
    <x v="0"/>
    <n v="1"/>
    <n v="0"/>
    <n v="12"/>
    <n v="1.9999999999999996"/>
    <n v="1"/>
    <n v="1"/>
    <n v="3.9999999999999996"/>
    <n v="0"/>
    <x v="4"/>
  </r>
  <r>
    <x v="1546"/>
    <n v="34853"/>
    <n v="1"/>
    <n v="1"/>
    <n v="75"/>
    <n v="9"/>
    <n v="3"/>
    <n v="15"/>
    <n v="2"/>
    <n v="3"/>
    <n v="2"/>
    <n v="2"/>
    <n v="2"/>
    <n v="0"/>
    <n v="3"/>
    <n v="6"/>
    <n v="0"/>
    <n v="0"/>
    <n v="0"/>
    <n v="0"/>
    <n v="0"/>
    <x v="0"/>
    <n v="0"/>
    <n v="3"/>
    <n v="11"/>
    <n v="0"/>
    <n v="47"/>
    <n v="2347"/>
    <n v="6.4301369863013695"/>
    <n v="0"/>
    <n v="0"/>
    <n v="1"/>
    <n v="0"/>
    <n v="0"/>
    <n v="0"/>
    <n v="0"/>
    <n v="1"/>
    <n v="0"/>
    <n v="0"/>
    <n v="32"/>
    <n v="30"/>
    <n v="2"/>
    <n v="0"/>
    <x v="0"/>
    <x v="0"/>
    <x v="1"/>
    <x v="0"/>
    <x v="0"/>
    <x v="0"/>
    <n v="1"/>
    <n v="0"/>
    <n v="13"/>
    <n v="3.0000000000000004"/>
    <n v="1"/>
    <n v="1"/>
    <n v="5"/>
    <n v="0"/>
    <x v="4"/>
  </r>
  <r>
    <x v="1547"/>
    <n v="34984"/>
    <n v="1"/>
    <n v="1"/>
    <n v="40"/>
    <n v="8"/>
    <n v="4"/>
    <n v="15"/>
    <n v="3"/>
    <n v="5"/>
    <n v="3"/>
    <n v="2"/>
    <n v="1"/>
    <n v="0"/>
    <n v="3"/>
    <n v="7"/>
    <n v="0"/>
    <n v="0"/>
    <n v="0"/>
    <n v="0"/>
    <n v="0"/>
    <x v="0"/>
    <n v="0"/>
    <n v="3"/>
    <n v="11"/>
    <n v="0"/>
    <n v="45"/>
    <n v="2820"/>
    <n v="7.7260273972602738"/>
    <n v="0"/>
    <n v="0"/>
    <n v="0"/>
    <n v="1"/>
    <n v="0"/>
    <n v="1"/>
    <n v="0"/>
    <n v="0"/>
    <n v="0"/>
    <n v="0"/>
    <n v="35"/>
    <n v="32"/>
    <n v="3"/>
    <n v="0"/>
    <x v="0"/>
    <x v="0"/>
    <x v="2"/>
    <x v="1"/>
    <x v="0"/>
    <x v="0"/>
    <n v="1"/>
    <n v="0"/>
    <n v="13"/>
    <n v="6"/>
    <n v="1"/>
    <n v="1"/>
    <n v="8"/>
    <n v="1"/>
    <x v="3"/>
  </r>
  <r>
    <x v="1548"/>
    <n v="36038"/>
    <n v="1"/>
    <n v="0"/>
    <n v="82"/>
    <n v="23"/>
    <n v="0"/>
    <n v="15"/>
    <n v="0"/>
    <n v="2"/>
    <n v="7"/>
    <n v="2"/>
    <n v="3"/>
    <n v="0"/>
    <n v="3"/>
    <n v="6"/>
    <n v="0"/>
    <n v="0"/>
    <n v="0"/>
    <n v="0"/>
    <n v="0"/>
    <x v="0"/>
    <n v="0"/>
    <n v="3"/>
    <n v="11"/>
    <n v="0"/>
    <n v="39"/>
    <n v="2553"/>
    <n v="6.9945205479452053"/>
    <n v="0"/>
    <n v="0"/>
    <n v="1"/>
    <n v="0"/>
    <n v="0"/>
    <n v="0"/>
    <n v="0"/>
    <n v="0"/>
    <n v="0"/>
    <n v="1"/>
    <n v="40"/>
    <n v="33"/>
    <n v="7"/>
    <n v="0"/>
    <x v="0"/>
    <x v="0"/>
    <x v="1"/>
    <x v="1"/>
    <x v="3"/>
    <x v="3"/>
    <n v="1"/>
    <n v="0"/>
    <n v="14"/>
    <n v="1.9999999999999996"/>
    <n v="2"/>
    <n v="1"/>
    <n v="5"/>
    <n v="0"/>
    <x v="4"/>
  </r>
  <r>
    <x v="1549"/>
    <n v="41728"/>
    <n v="1"/>
    <n v="0"/>
    <n v="92"/>
    <n v="13"/>
    <n v="6"/>
    <n v="15"/>
    <n v="3"/>
    <n v="5"/>
    <n v="13"/>
    <n v="1"/>
    <n v="2"/>
    <n v="0"/>
    <n v="2"/>
    <n v="10"/>
    <n v="0"/>
    <n v="0"/>
    <n v="0"/>
    <n v="0"/>
    <n v="0"/>
    <x v="0"/>
    <n v="0"/>
    <n v="3"/>
    <n v="11"/>
    <n v="0"/>
    <n v="52"/>
    <n v="2560"/>
    <n v="7.0136986301369859"/>
    <n v="0"/>
    <n v="0"/>
    <n v="0"/>
    <n v="1"/>
    <n v="0"/>
    <n v="0"/>
    <n v="0"/>
    <n v="1"/>
    <n v="0"/>
    <n v="0"/>
    <n v="42"/>
    <n v="29"/>
    <n v="13"/>
    <n v="0"/>
    <x v="0"/>
    <x v="0"/>
    <x v="2"/>
    <x v="0"/>
    <x v="3"/>
    <x v="1"/>
    <n v="1"/>
    <n v="1"/>
    <n v="15"/>
    <n v="0.99999999999999978"/>
    <n v="2"/>
    <n v="1"/>
    <n v="4"/>
    <n v="0"/>
    <x v="4"/>
  </r>
  <r>
    <x v="1550"/>
    <n v="42192"/>
    <n v="0"/>
    <n v="0"/>
    <n v="40"/>
    <n v="40"/>
    <n v="15"/>
    <n v="15"/>
    <n v="17"/>
    <n v="6"/>
    <n v="7"/>
    <n v="1"/>
    <n v="2"/>
    <n v="1"/>
    <n v="3"/>
    <n v="4"/>
    <n v="0"/>
    <n v="0"/>
    <n v="0"/>
    <n v="0"/>
    <n v="0"/>
    <x v="0"/>
    <n v="0"/>
    <n v="3"/>
    <n v="11"/>
    <n v="0"/>
    <n v="72"/>
    <n v="2455"/>
    <n v="6.7260273972602738"/>
    <n v="0"/>
    <n v="1"/>
    <n v="0"/>
    <n v="0"/>
    <n v="0"/>
    <n v="0"/>
    <n v="0"/>
    <n v="1"/>
    <n v="0"/>
    <n v="0"/>
    <n v="93"/>
    <n v="86"/>
    <n v="7"/>
    <n v="0"/>
    <x v="1"/>
    <x v="1"/>
    <x v="0"/>
    <x v="0"/>
    <x v="3"/>
    <x v="2"/>
    <n v="1"/>
    <n v="0"/>
    <n v="11"/>
    <n v="6"/>
    <n v="0"/>
    <n v="3"/>
    <n v="9"/>
    <n v="1"/>
    <x v="3"/>
  </r>
  <r>
    <x v="1551"/>
    <n v="48877"/>
    <n v="0"/>
    <n v="1"/>
    <n v="27"/>
    <n v="102"/>
    <n v="1"/>
    <n v="15"/>
    <n v="2"/>
    <n v="0"/>
    <n v="24"/>
    <n v="1"/>
    <n v="3"/>
    <n v="0"/>
    <n v="4"/>
    <n v="7"/>
    <n v="0"/>
    <n v="0"/>
    <n v="0"/>
    <n v="0"/>
    <n v="0"/>
    <x v="0"/>
    <n v="0"/>
    <n v="3"/>
    <n v="11"/>
    <n v="0"/>
    <n v="54"/>
    <n v="2334"/>
    <n v="6.3945205479452056"/>
    <n v="1"/>
    <n v="0"/>
    <n v="0"/>
    <n v="0"/>
    <n v="0"/>
    <n v="0"/>
    <n v="0"/>
    <n v="1"/>
    <n v="0"/>
    <n v="0"/>
    <n v="120"/>
    <n v="96"/>
    <n v="24"/>
    <n v="0"/>
    <x v="0"/>
    <x v="0"/>
    <x v="3"/>
    <x v="0"/>
    <x v="3"/>
    <x v="1"/>
    <n v="0"/>
    <n v="0"/>
    <n v="15"/>
    <n v="8"/>
    <n v="2"/>
    <n v="3"/>
    <n v="13"/>
    <n v="3"/>
    <x v="3"/>
  </r>
  <r>
    <x v="1552"/>
    <n v="59041"/>
    <n v="1"/>
    <n v="1"/>
    <n v="25"/>
    <n v="69"/>
    <n v="2"/>
    <n v="15"/>
    <n v="2"/>
    <n v="2"/>
    <n v="6"/>
    <n v="2"/>
    <n v="2"/>
    <n v="0"/>
    <n v="4"/>
    <n v="5"/>
    <n v="0"/>
    <n v="0"/>
    <n v="0"/>
    <n v="0"/>
    <n v="0"/>
    <x v="0"/>
    <n v="0"/>
    <n v="3"/>
    <n v="11"/>
    <n v="0"/>
    <n v="47"/>
    <n v="2212"/>
    <n v="6.0602739726027401"/>
    <n v="0"/>
    <n v="1"/>
    <n v="0"/>
    <n v="0"/>
    <n v="0"/>
    <n v="0"/>
    <n v="0"/>
    <n v="1"/>
    <n v="0"/>
    <n v="0"/>
    <n v="90"/>
    <n v="84"/>
    <n v="6"/>
    <n v="0"/>
    <x v="0"/>
    <x v="0"/>
    <x v="0"/>
    <x v="0"/>
    <x v="2"/>
    <x v="0"/>
    <n v="0"/>
    <n v="0"/>
    <n v="13"/>
    <n v="8"/>
    <n v="1"/>
    <n v="3"/>
    <n v="12"/>
    <n v="3"/>
    <x v="3"/>
  </r>
  <r>
    <x v="1553"/>
    <n v="60432"/>
    <n v="0"/>
    <n v="1"/>
    <n v="61"/>
    <n v="365"/>
    <n v="3"/>
    <n v="15"/>
    <n v="4"/>
    <n v="3"/>
    <n v="11"/>
    <n v="5"/>
    <n v="7"/>
    <n v="2"/>
    <n v="5"/>
    <n v="6"/>
    <n v="0"/>
    <n v="0"/>
    <n v="0"/>
    <n v="0"/>
    <n v="0"/>
    <x v="0"/>
    <n v="0"/>
    <n v="3"/>
    <n v="11"/>
    <n v="0"/>
    <n v="47"/>
    <n v="2271"/>
    <n v="6.2219178082191782"/>
    <n v="0"/>
    <n v="1"/>
    <n v="0"/>
    <n v="0"/>
    <n v="0"/>
    <n v="0"/>
    <n v="0"/>
    <n v="0"/>
    <n v="1"/>
    <n v="0"/>
    <n v="390"/>
    <n v="379"/>
    <n v="11"/>
    <n v="0"/>
    <x v="0"/>
    <x v="0"/>
    <x v="0"/>
    <x v="1"/>
    <x v="2"/>
    <x v="0"/>
    <n v="1"/>
    <n v="0"/>
    <n v="25"/>
    <n v="4"/>
    <n v="7"/>
    <n v="5"/>
    <n v="16"/>
    <n v="5"/>
    <x v="1"/>
  </r>
  <r>
    <x v="1554"/>
    <n v="7500"/>
    <n v="0"/>
    <n v="0"/>
    <n v="24"/>
    <n v="3"/>
    <n v="18"/>
    <n v="14"/>
    <n v="15"/>
    <n v="22"/>
    <n v="50"/>
    <n v="3"/>
    <n v="3"/>
    <n v="1"/>
    <n v="3"/>
    <n v="9"/>
    <n v="0"/>
    <n v="0"/>
    <n v="0"/>
    <n v="0"/>
    <n v="0"/>
    <x v="0"/>
    <n v="0"/>
    <n v="3"/>
    <n v="11"/>
    <n v="1"/>
    <n v="24"/>
    <n v="2756"/>
    <n v="7.5506849315068489"/>
    <n v="0"/>
    <n v="1"/>
    <n v="0"/>
    <n v="0"/>
    <n v="0"/>
    <n v="1"/>
    <n v="0"/>
    <n v="0"/>
    <n v="0"/>
    <n v="0"/>
    <n v="72"/>
    <n v="22"/>
    <n v="50"/>
    <n v="0"/>
    <x v="1"/>
    <x v="1"/>
    <x v="0"/>
    <x v="1"/>
    <x v="0"/>
    <x v="4"/>
    <n v="0"/>
    <n v="0"/>
    <n v="19"/>
    <n v="8"/>
    <n v="4"/>
    <n v="3"/>
    <n v="15"/>
    <n v="4"/>
    <x v="3"/>
  </r>
  <r>
    <x v="1555"/>
    <n v="12571"/>
    <n v="1"/>
    <n v="0"/>
    <n v="86"/>
    <n v="3"/>
    <n v="5"/>
    <n v="14"/>
    <n v="2"/>
    <n v="12"/>
    <n v="17"/>
    <n v="4"/>
    <n v="3"/>
    <n v="1"/>
    <n v="3"/>
    <n v="6"/>
    <n v="0"/>
    <n v="0"/>
    <n v="0"/>
    <n v="0"/>
    <n v="0"/>
    <x v="0"/>
    <n v="0"/>
    <n v="3"/>
    <n v="11"/>
    <n v="0"/>
    <n v="44"/>
    <n v="2321"/>
    <n v="6.3589041095890408"/>
    <n v="1"/>
    <n v="0"/>
    <n v="0"/>
    <n v="0"/>
    <n v="0"/>
    <n v="0"/>
    <n v="0"/>
    <n v="1"/>
    <n v="0"/>
    <n v="0"/>
    <n v="36"/>
    <n v="19"/>
    <n v="17"/>
    <n v="0"/>
    <x v="0"/>
    <x v="0"/>
    <x v="3"/>
    <x v="0"/>
    <x v="0"/>
    <x v="0"/>
    <n v="1"/>
    <n v="0"/>
    <n v="17"/>
    <n v="1.9999999999999996"/>
    <n v="3"/>
    <n v="1"/>
    <n v="6"/>
    <n v="0"/>
    <x v="4"/>
  </r>
  <r>
    <x v="1556"/>
    <n v="14906"/>
    <n v="0"/>
    <n v="0"/>
    <n v="86"/>
    <n v="7"/>
    <n v="7"/>
    <n v="14"/>
    <n v="7"/>
    <n v="16"/>
    <n v="15"/>
    <n v="3"/>
    <n v="2"/>
    <n v="1"/>
    <n v="3"/>
    <n v="7"/>
    <n v="0"/>
    <n v="0"/>
    <n v="0"/>
    <n v="0"/>
    <n v="0"/>
    <x v="0"/>
    <n v="0"/>
    <n v="3"/>
    <n v="11"/>
    <n v="0"/>
    <n v="34"/>
    <n v="2713"/>
    <n v="7.4328767123287669"/>
    <n v="0"/>
    <n v="0"/>
    <n v="1"/>
    <n v="0"/>
    <n v="0"/>
    <n v="0"/>
    <n v="1"/>
    <n v="0"/>
    <n v="0"/>
    <n v="0"/>
    <n v="51"/>
    <n v="36"/>
    <n v="15"/>
    <n v="0"/>
    <x v="1"/>
    <x v="1"/>
    <x v="1"/>
    <x v="2"/>
    <x v="0"/>
    <x v="3"/>
    <n v="1"/>
    <n v="0"/>
    <n v="16"/>
    <n v="1.9999999999999996"/>
    <n v="3"/>
    <n v="2"/>
    <n v="7"/>
    <n v="1"/>
    <x v="3"/>
  </r>
  <r>
    <x v="1557"/>
    <n v="17256"/>
    <n v="1"/>
    <n v="0"/>
    <n v="10"/>
    <n v="6"/>
    <n v="4"/>
    <n v="14"/>
    <n v="8"/>
    <n v="8"/>
    <n v="22"/>
    <n v="2"/>
    <n v="2"/>
    <n v="1"/>
    <n v="2"/>
    <n v="8"/>
    <n v="0"/>
    <n v="0"/>
    <n v="1"/>
    <n v="0"/>
    <n v="0"/>
    <x v="1"/>
    <n v="0"/>
    <n v="3"/>
    <n v="11"/>
    <n v="0"/>
    <n v="28"/>
    <n v="2377"/>
    <n v="6.5123287671232877"/>
    <n v="0"/>
    <n v="1"/>
    <n v="0"/>
    <n v="0"/>
    <n v="0"/>
    <n v="0"/>
    <n v="1"/>
    <n v="0"/>
    <n v="0"/>
    <n v="0"/>
    <n v="40"/>
    <n v="18"/>
    <n v="22"/>
    <n v="1"/>
    <x v="0"/>
    <x v="0"/>
    <x v="0"/>
    <x v="2"/>
    <x v="0"/>
    <x v="4"/>
    <n v="0"/>
    <n v="0"/>
    <n v="15"/>
    <n v="9"/>
    <n v="2"/>
    <n v="1"/>
    <n v="12"/>
    <n v="3"/>
    <x v="3"/>
  </r>
  <r>
    <x v="1558"/>
    <n v="21355"/>
    <n v="1"/>
    <n v="0"/>
    <n v="5"/>
    <n v="5"/>
    <n v="13"/>
    <n v="14"/>
    <n v="0"/>
    <n v="5"/>
    <n v="31"/>
    <n v="2"/>
    <n v="2"/>
    <n v="1"/>
    <n v="2"/>
    <n v="6"/>
    <n v="0"/>
    <n v="0"/>
    <n v="1"/>
    <n v="0"/>
    <n v="0"/>
    <x v="1"/>
    <n v="0"/>
    <n v="3"/>
    <n v="11"/>
    <n v="1"/>
    <n v="35"/>
    <n v="2472"/>
    <n v="6.7726027397260271"/>
    <n v="0"/>
    <n v="1"/>
    <n v="0"/>
    <n v="0"/>
    <n v="0"/>
    <n v="0"/>
    <n v="0"/>
    <n v="1"/>
    <n v="0"/>
    <n v="0"/>
    <n v="37"/>
    <n v="6"/>
    <n v="31"/>
    <n v="1"/>
    <x v="0"/>
    <x v="0"/>
    <x v="0"/>
    <x v="0"/>
    <x v="0"/>
    <x v="3"/>
    <n v="0"/>
    <n v="0"/>
    <n v="13"/>
    <n v="10"/>
    <n v="1"/>
    <n v="1"/>
    <n v="12"/>
    <n v="3"/>
    <x v="3"/>
  </r>
  <r>
    <x v="1559"/>
    <n v="22148"/>
    <n v="0"/>
    <n v="0"/>
    <n v="16"/>
    <n v="15"/>
    <n v="5"/>
    <n v="14"/>
    <n v="0"/>
    <n v="4"/>
    <n v="11"/>
    <n v="1"/>
    <n v="1"/>
    <n v="0"/>
    <n v="3"/>
    <n v="7"/>
    <n v="0"/>
    <n v="0"/>
    <n v="0"/>
    <n v="0"/>
    <n v="0"/>
    <x v="0"/>
    <n v="0"/>
    <n v="3"/>
    <n v="11"/>
    <n v="0"/>
    <n v="37"/>
    <n v="2236"/>
    <n v="6.1260273972602741"/>
    <n v="0"/>
    <n v="0"/>
    <n v="1"/>
    <n v="0"/>
    <n v="0"/>
    <n v="0"/>
    <n v="0"/>
    <n v="1"/>
    <n v="0"/>
    <n v="0"/>
    <n v="38"/>
    <n v="27"/>
    <n v="11"/>
    <n v="0"/>
    <x v="1"/>
    <x v="1"/>
    <x v="1"/>
    <x v="0"/>
    <x v="0"/>
    <x v="3"/>
    <n v="0"/>
    <n v="0"/>
    <n v="12"/>
    <n v="9"/>
    <n v="1"/>
    <n v="1"/>
    <n v="11"/>
    <n v="2"/>
    <x v="3"/>
  </r>
  <r>
    <x v="1560"/>
    <n v="23626"/>
    <n v="1"/>
    <n v="0"/>
    <n v="84"/>
    <n v="27"/>
    <n v="2"/>
    <n v="14"/>
    <n v="0"/>
    <n v="0"/>
    <n v="0"/>
    <n v="3"/>
    <n v="3"/>
    <n v="1"/>
    <n v="3"/>
    <n v="5"/>
    <n v="0"/>
    <n v="0"/>
    <n v="0"/>
    <n v="0"/>
    <n v="0"/>
    <x v="0"/>
    <n v="0"/>
    <n v="3"/>
    <n v="11"/>
    <n v="0"/>
    <n v="50"/>
    <n v="2195"/>
    <n v="6.0136986301369859"/>
    <n v="0"/>
    <n v="1"/>
    <n v="0"/>
    <n v="0"/>
    <n v="0"/>
    <n v="0"/>
    <n v="0"/>
    <n v="0"/>
    <n v="0"/>
    <n v="1"/>
    <n v="43"/>
    <n v="43"/>
    <n v="0"/>
    <n v="0"/>
    <x v="0"/>
    <x v="0"/>
    <x v="0"/>
    <x v="1"/>
    <x v="0"/>
    <x v="0"/>
    <n v="1"/>
    <n v="0"/>
    <n v="15"/>
    <n v="1.9999999999999996"/>
    <n v="2"/>
    <n v="1"/>
    <n v="5"/>
    <n v="0"/>
    <x v="4"/>
  </r>
  <r>
    <x v="1561"/>
    <n v="23718"/>
    <n v="1"/>
    <n v="0"/>
    <n v="76"/>
    <n v="6"/>
    <n v="3"/>
    <n v="14"/>
    <n v="15"/>
    <n v="7"/>
    <n v="36"/>
    <n v="3"/>
    <n v="3"/>
    <n v="1"/>
    <n v="2"/>
    <n v="7"/>
    <n v="0"/>
    <n v="0"/>
    <n v="0"/>
    <n v="0"/>
    <n v="0"/>
    <x v="0"/>
    <n v="0"/>
    <n v="3"/>
    <n v="11"/>
    <n v="0"/>
    <n v="44"/>
    <n v="2459"/>
    <n v="6.7369863013698632"/>
    <n v="0"/>
    <n v="1"/>
    <n v="0"/>
    <n v="0"/>
    <n v="0"/>
    <n v="1"/>
    <n v="0"/>
    <n v="0"/>
    <n v="0"/>
    <n v="0"/>
    <n v="45"/>
    <n v="9"/>
    <n v="36"/>
    <n v="0"/>
    <x v="0"/>
    <x v="0"/>
    <x v="0"/>
    <x v="1"/>
    <x v="0"/>
    <x v="0"/>
    <n v="1"/>
    <n v="0"/>
    <n v="16"/>
    <n v="3.0000000000000004"/>
    <n v="3"/>
    <n v="2"/>
    <n v="8"/>
    <n v="1"/>
    <x v="3"/>
  </r>
  <r>
    <x v="1562"/>
    <n v="28320"/>
    <n v="0"/>
    <n v="1"/>
    <n v="68"/>
    <n v="19"/>
    <n v="1"/>
    <n v="14"/>
    <n v="3"/>
    <n v="2"/>
    <n v="4"/>
    <n v="1"/>
    <n v="1"/>
    <n v="0"/>
    <n v="3"/>
    <n v="8"/>
    <n v="0"/>
    <n v="0"/>
    <n v="0"/>
    <n v="0"/>
    <n v="0"/>
    <x v="0"/>
    <n v="0"/>
    <n v="3"/>
    <n v="11"/>
    <n v="0"/>
    <n v="70"/>
    <n v="2690"/>
    <n v="7.3698630136986303"/>
    <n v="0"/>
    <n v="0"/>
    <n v="0"/>
    <n v="1"/>
    <n v="0"/>
    <n v="0"/>
    <n v="0"/>
    <n v="1"/>
    <n v="0"/>
    <n v="0"/>
    <n v="39"/>
    <n v="35"/>
    <n v="4"/>
    <n v="0"/>
    <x v="0"/>
    <x v="0"/>
    <x v="2"/>
    <x v="0"/>
    <x v="0"/>
    <x v="2"/>
    <n v="1"/>
    <n v="0"/>
    <n v="13"/>
    <n v="4"/>
    <n v="1"/>
    <n v="1"/>
    <n v="6"/>
    <n v="0"/>
    <x v="4"/>
  </r>
  <r>
    <x v="1563"/>
    <n v="29315"/>
    <n v="1"/>
    <n v="1"/>
    <n v="55"/>
    <n v="13"/>
    <n v="2"/>
    <n v="14"/>
    <n v="8"/>
    <n v="7"/>
    <n v="4"/>
    <n v="4"/>
    <n v="2"/>
    <n v="0"/>
    <n v="4"/>
    <n v="6"/>
    <n v="0"/>
    <n v="0"/>
    <n v="0"/>
    <n v="0"/>
    <n v="0"/>
    <x v="0"/>
    <n v="0"/>
    <n v="3"/>
    <n v="11"/>
    <n v="0"/>
    <n v="60"/>
    <n v="2243"/>
    <n v="6.1452054794520548"/>
    <n v="0"/>
    <n v="1"/>
    <n v="0"/>
    <n v="0"/>
    <n v="0"/>
    <n v="0"/>
    <n v="0"/>
    <n v="1"/>
    <n v="0"/>
    <n v="0"/>
    <n v="44"/>
    <n v="40"/>
    <n v="4"/>
    <n v="0"/>
    <x v="0"/>
    <x v="0"/>
    <x v="0"/>
    <x v="0"/>
    <x v="0"/>
    <x v="1"/>
    <n v="1"/>
    <n v="0"/>
    <n v="16"/>
    <n v="5"/>
    <n v="3"/>
    <n v="2"/>
    <n v="10"/>
    <n v="2"/>
    <x v="3"/>
  </r>
  <r>
    <x v="1564"/>
    <n v="29440"/>
    <n v="1"/>
    <n v="1"/>
    <n v="95"/>
    <n v="17"/>
    <n v="8"/>
    <n v="14"/>
    <n v="10"/>
    <n v="4"/>
    <n v="3"/>
    <n v="2"/>
    <n v="1"/>
    <n v="0"/>
    <n v="4"/>
    <n v="7"/>
    <n v="0"/>
    <n v="0"/>
    <n v="0"/>
    <n v="0"/>
    <n v="0"/>
    <x v="0"/>
    <n v="0"/>
    <n v="3"/>
    <n v="11"/>
    <n v="0"/>
    <n v="60"/>
    <n v="2481"/>
    <n v="6.7972602739726025"/>
    <n v="0"/>
    <n v="1"/>
    <n v="0"/>
    <n v="0"/>
    <n v="0"/>
    <n v="0"/>
    <n v="0"/>
    <n v="1"/>
    <n v="0"/>
    <n v="0"/>
    <n v="53"/>
    <n v="50"/>
    <n v="3"/>
    <n v="0"/>
    <x v="0"/>
    <x v="0"/>
    <x v="0"/>
    <x v="0"/>
    <x v="0"/>
    <x v="1"/>
    <n v="1"/>
    <n v="1"/>
    <n v="14"/>
    <n v="0.99999999999999978"/>
    <n v="2"/>
    <n v="2"/>
    <n v="5"/>
    <n v="0"/>
    <x v="4"/>
  </r>
  <r>
    <x v="1565"/>
    <n v="30279"/>
    <n v="1"/>
    <n v="0"/>
    <n v="13"/>
    <n v="10"/>
    <n v="4"/>
    <n v="14"/>
    <n v="4"/>
    <n v="4"/>
    <n v="1"/>
    <n v="1"/>
    <n v="1"/>
    <n v="0"/>
    <n v="3"/>
    <n v="8"/>
    <n v="0"/>
    <n v="0"/>
    <n v="0"/>
    <n v="0"/>
    <n v="0"/>
    <x v="0"/>
    <n v="0"/>
    <n v="3"/>
    <n v="11"/>
    <n v="0"/>
    <n v="31"/>
    <n v="2705"/>
    <n v="7.4109589041095889"/>
    <n v="0"/>
    <n v="0"/>
    <n v="1"/>
    <n v="0"/>
    <n v="0"/>
    <n v="0"/>
    <n v="0"/>
    <n v="1"/>
    <n v="0"/>
    <n v="0"/>
    <n v="36"/>
    <n v="35"/>
    <n v="1"/>
    <n v="0"/>
    <x v="0"/>
    <x v="0"/>
    <x v="1"/>
    <x v="0"/>
    <x v="0"/>
    <x v="3"/>
    <n v="0"/>
    <n v="0"/>
    <n v="13"/>
    <n v="9"/>
    <n v="1"/>
    <n v="1"/>
    <n v="11"/>
    <n v="2"/>
    <x v="3"/>
  </r>
  <r>
    <x v="1566"/>
    <n v="30992"/>
    <n v="1"/>
    <n v="0"/>
    <n v="83"/>
    <n v="17"/>
    <n v="0"/>
    <n v="14"/>
    <n v="7"/>
    <n v="3"/>
    <n v="2"/>
    <n v="1"/>
    <n v="1"/>
    <n v="0"/>
    <n v="3"/>
    <n v="7"/>
    <n v="0"/>
    <n v="0"/>
    <n v="0"/>
    <n v="0"/>
    <n v="0"/>
    <x v="0"/>
    <n v="0"/>
    <n v="3"/>
    <n v="11"/>
    <n v="0"/>
    <n v="44"/>
    <n v="2592"/>
    <n v="7.1013698630136988"/>
    <n v="1"/>
    <n v="0"/>
    <n v="0"/>
    <n v="0"/>
    <n v="0"/>
    <n v="0"/>
    <n v="0"/>
    <n v="1"/>
    <n v="0"/>
    <n v="0"/>
    <n v="41"/>
    <n v="39"/>
    <n v="2"/>
    <n v="0"/>
    <x v="0"/>
    <x v="0"/>
    <x v="3"/>
    <x v="0"/>
    <x v="0"/>
    <x v="0"/>
    <n v="1"/>
    <n v="0"/>
    <n v="12"/>
    <n v="1.9999999999999996"/>
    <n v="1"/>
    <n v="1"/>
    <n v="3.9999999999999996"/>
    <n v="0"/>
    <x v="4"/>
  </r>
  <r>
    <x v="1567"/>
    <n v="34043"/>
    <n v="1"/>
    <n v="0"/>
    <n v="97"/>
    <n v="20"/>
    <n v="2"/>
    <n v="14"/>
    <n v="3"/>
    <n v="0"/>
    <n v="10"/>
    <n v="1"/>
    <n v="2"/>
    <n v="0"/>
    <n v="2"/>
    <n v="9"/>
    <n v="0"/>
    <n v="0"/>
    <n v="0"/>
    <n v="0"/>
    <n v="0"/>
    <x v="0"/>
    <n v="0"/>
    <n v="3"/>
    <n v="11"/>
    <n v="0"/>
    <n v="42"/>
    <n v="2406"/>
    <n v="6.5917808219178085"/>
    <n v="0"/>
    <n v="0"/>
    <n v="0"/>
    <n v="1"/>
    <n v="0"/>
    <n v="0"/>
    <n v="0"/>
    <n v="0"/>
    <n v="0"/>
    <n v="1"/>
    <n v="39"/>
    <n v="29"/>
    <n v="10"/>
    <n v="0"/>
    <x v="0"/>
    <x v="0"/>
    <x v="2"/>
    <x v="1"/>
    <x v="0"/>
    <x v="0"/>
    <n v="1"/>
    <n v="1"/>
    <n v="14"/>
    <n v="0.99999999999999978"/>
    <n v="2"/>
    <n v="1"/>
    <n v="4"/>
    <n v="0"/>
    <x v="4"/>
  </r>
  <r>
    <x v="1568"/>
    <n v="35797"/>
    <n v="0"/>
    <n v="1"/>
    <n v="16"/>
    <n v="27"/>
    <n v="1"/>
    <n v="14"/>
    <n v="4"/>
    <n v="1"/>
    <n v="21"/>
    <n v="2"/>
    <n v="2"/>
    <n v="0"/>
    <n v="3"/>
    <n v="8"/>
    <n v="0"/>
    <n v="0"/>
    <n v="0"/>
    <n v="0"/>
    <n v="0"/>
    <x v="0"/>
    <n v="0"/>
    <n v="3"/>
    <n v="11"/>
    <n v="0"/>
    <n v="45"/>
    <n v="2780"/>
    <n v="7.6164383561643838"/>
    <n v="0"/>
    <n v="1"/>
    <n v="0"/>
    <n v="0"/>
    <n v="0"/>
    <n v="0"/>
    <n v="0"/>
    <n v="1"/>
    <n v="0"/>
    <n v="0"/>
    <n v="47"/>
    <n v="26"/>
    <n v="21"/>
    <n v="0"/>
    <x v="0"/>
    <x v="0"/>
    <x v="0"/>
    <x v="0"/>
    <x v="3"/>
    <x v="0"/>
    <n v="0"/>
    <n v="0"/>
    <n v="15"/>
    <n v="9"/>
    <n v="2"/>
    <n v="2"/>
    <n v="13"/>
    <n v="3"/>
    <x v="3"/>
  </r>
  <r>
    <x v="1569"/>
    <n v="35924"/>
    <n v="1"/>
    <n v="1"/>
    <n v="56"/>
    <n v="8"/>
    <n v="0"/>
    <n v="14"/>
    <n v="2"/>
    <n v="3"/>
    <n v="7"/>
    <n v="1"/>
    <n v="1"/>
    <n v="0"/>
    <n v="3"/>
    <n v="5"/>
    <n v="0"/>
    <n v="0"/>
    <n v="0"/>
    <n v="0"/>
    <n v="0"/>
    <x v="0"/>
    <n v="0"/>
    <n v="3"/>
    <n v="11"/>
    <n v="0"/>
    <n v="51"/>
    <n v="2257"/>
    <n v="6.183561643835616"/>
    <n v="0"/>
    <n v="0"/>
    <n v="0"/>
    <n v="1"/>
    <n v="0"/>
    <n v="0"/>
    <n v="0"/>
    <n v="0"/>
    <n v="1"/>
    <n v="0"/>
    <n v="27"/>
    <n v="20"/>
    <n v="7"/>
    <n v="0"/>
    <x v="0"/>
    <x v="0"/>
    <x v="2"/>
    <x v="1"/>
    <x v="3"/>
    <x v="1"/>
    <n v="1"/>
    <n v="0"/>
    <n v="10"/>
    <n v="5"/>
    <n v="0"/>
    <n v="0"/>
    <n v="5"/>
    <n v="0"/>
    <x v="4"/>
  </r>
  <r>
    <x v="1570"/>
    <n v="36790"/>
    <n v="0"/>
    <n v="0"/>
    <n v="14"/>
    <n v="3"/>
    <n v="3"/>
    <n v="14"/>
    <n v="15"/>
    <n v="21"/>
    <n v="10"/>
    <n v="1"/>
    <n v="2"/>
    <n v="1"/>
    <n v="2"/>
    <n v="9"/>
    <n v="0"/>
    <n v="0"/>
    <n v="0"/>
    <n v="0"/>
    <n v="0"/>
    <x v="0"/>
    <n v="0"/>
    <n v="3"/>
    <n v="11"/>
    <n v="1"/>
    <n v="37"/>
    <n v="2644"/>
    <n v="7.2438356164383562"/>
    <n v="0"/>
    <n v="1"/>
    <n v="0"/>
    <n v="0"/>
    <n v="0"/>
    <n v="0"/>
    <n v="0"/>
    <n v="1"/>
    <n v="0"/>
    <n v="0"/>
    <n v="56"/>
    <n v="46"/>
    <n v="10"/>
    <n v="0"/>
    <x v="1"/>
    <x v="1"/>
    <x v="0"/>
    <x v="0"/>
    <x v="3"/>
    <x v="3"/>
    <n v="0"/>
    <n v="0"/>
    <n v="15"/>
    <n v="9"/>
    <n v="2"/>
    <n v="2"/>
    <n v="13"/>
    <n v="3"/>
    <x v="3"/>
  </r>
  <r>
    <x v="1571"/>
    <n v="38452"/>
    <n v="1"/>
    <n v="1"/>
    <n v="62"/>
    <n v="56"/>
    <n v="0"/>
    <n v="14"/>
    <n v="0"/>
    <n v="0"/>
    <n v="2"/>
    <n v="3"/>
    <n v="3"/>
    <n v="0"/>
    <n v="3"/>
    <n v="7"/>
    <n v="0"/>
    <n v="0"/>
    <n v="0"/>
    <n v="0"/>
    <n v="0"/>
    <x v="0"/>
    <n v="0"/>
    <n v="3"/>
    <n v="11"/>
    <n v="0"/>
    <n v="65"/>
    <n v="2250"/>
    <n v="6.1643835616438354"/>
    <n v="0"/>
    <n v="1"/>
    <n v="0"/>
    <n v="0"/>
    <n v="0"/>
    <n v="0"/>
    <n v="0"/>
    <n v="0"/>
    <n v="1"/>
    <n v="0"/>
    <n v="70"/>
    <n v="68"/>
    <n v="2"/>
    <n v="0"/>
    <x v="0"/>
    <x v="0"/>
    <x v="0"/>
    <x v="1"/>
    <x v="3"/>
    <x v="2"/>
    <n v="1"/>
    <n v="0"/>
    <n v="16"/>
    <n v="4"/>
    <n v="3"/>
    <n v="3"/>
    <n v="10"/>
    <n v="2"/>
    <x v="3"/>
  </r>
  <r>
    <x v="1572"/>
    <n v="38643"/>
    <n v="1"/>
    <n v="1"/>
    <n v="45"/>
    <n v="22"/>
    <n v="2"/>
    <n v="14"/>
    <n v="0"/>
    <n v="1"/>
    <n v="10"/>
    <n v="2"/>
    <n v="2"/>
    <n v="0"/>
    <n v="3"/>
    <n v="7"/>
    <n v="0"/>
    <n v="0"/>
    <n v="0"/>
    <n v="0"/>
    <n v="0"/>
    <x v="0"/>
    <n v="1"/>
    <n v="3"/>
    <n v="11"/>
    <n v="0"/>
    <n v="42"/>
    <n v="2371"/>
    <n v="6.4958904109589044"/>
    <n v="0"/>
    <n v="0"/>
    <n v="1"/>
    <n v="0"/>
    <n v="0"/>
    <n v="0"/>
    <n v="0"/>
    <n v="1"/>
    <n v="0"/>
    <n v="0"/>
    <n v="39"/>
    <n v="29"/>
    <n v="10"/>
    <n v="0"/>
    <x v="0"/>
    <x v="0"/>
    <x v="1"/>
    <x v="0"/>
    <x v="3"/>
    <x v="0"/>
    <n v="1"/>
    <n v="0"/>
    <n v="14"/>
    <n v="6"/>
    <n v="2"/>
    <n v="1"/>
    <n v="9"/>
    <n v="1"/>
    <x v="3"/>
  </r>
  <r>
    <x v="1573"/>
    <n v="38853"/>
    <n v="1"/>
    <n v="1"/>
    <n v="90"/>
    <n v="29"/>
    <n v="0"/>
    <n v="14"/>
    <n v="0"/>
    <n v="0"/>
    <n v="2"/>
    <n v="2"/>
    <n v="2"/>
    <n v="0"/>
    <n v="3"/>
    <n v="7"/>
    <n v="0"/>
    <n v="0"/>
    <n v="0"/>
    <n v="0"/>
    <n v="0"/>
    <x v="0"/>
    <n v="0"/>
    <n v="3"/>
    <n v="11"/>
    <n v="0"/>
    <n v="50"/>
    <n v="2196"/>
    <n v="6.0164383561643833"/>
    <n v="0"/>
    <n v="1"/>
    <n v="0"/>
    <n v="0"/>
    <n v="0"/>
    <n v="0"/>
    <n v="0"/>
    <n v="0"/>
    <n v="0"/>
    <n v="1"/>
    <n v="43"/>
    <n v="41"/>
    <n v="2"/>
    <n v="0"/>
    <x v="0"/>
    <x v="0"/>
    <x v="0"/>
    <x v="1"/>
    <x v="3"/>
    <x v="0"/>
    <n v="1"/>
    <n v="0"/>
    <n v="14"/>
    <n v="0.99999999999999978"/>
    <n v="2"/>
    <n v="1"/>
    <n v="4"/>
    <n v="0"/>
    <x v="4"/>
  </r>
  <r>
    <x v="1574"/>
    <n v="38998"/>
    <n v="1"/>
    <n v="1"/>
    <n v="92"/>
    <n v="34"/>
    <n v="1"/>
    <n v="14"/>
    <n v="0"/>
    <n v="0"/>
    <n v="5"/>
    <n v="3"/>
    <n v="2"/>
    <n v="0"/>
    <n v="3"/>
    <n v="8"/>
    <n v="0"/>
    <n v="0"/>
    <n v="0"/>
    <n v="0"/>
    <n v="0"/>
    <x v="0"/>
    <n v="1"/>
    <n v="3"/>
    <n v="11"/>
    <n v="0"/>
    <n v="66"/>
    <n v="2762"/>
    <n v="7.5671232876712331"/>
    <n v="0"/>
    <n v="1"/>
    <n v="0"/>
    <n v="0"/>
    <n v="0"/>
    <n v="0"/>
    <n v="0"/>
    <n v="1"/>
    <n v="0"/>
    <n v="0"/>
    <n v="49"/>
    <n v="44"/>
    <n v="5"/>
    <n v="0"/>
    <x v="0"/>
    <x v="0"/>
    <x v="0"/>
    <x v="0"/>
    <x v="3"/>
    <x v="2"/>
    <n v="1"/>
    <n v="1"/>
    <n v="16"/>
    <n v="0.99999999999999978"/>
    <n v="3"/>
    <n v="2"/>
    <n v="6"/>
    <n v="0"/>
    <x v="4"/>
  </r>
  <r>
    <x v="1575"/>
    <n v="44359"/>
    <n v="1"/>
    <n v="1"/>
    <n v="19"/>
    <n v="20"/>
    <n v="0"/>
    <n v="14"/>
    <n v="7"/>
    <n v="3"/>
    <n v="1"/>
    <n v="3"/>
    <n v="2"/>
    <n v="0"/>
    <n v="4"/>
    <n v="3"/>
    <n v="0"/>
    <n v="0"/>
    <n v="0"/>
    <n v="0"/>
    <n v="0"/>
    <x v="0"/>
    <n v="0"/>
    <n v="3"/>
    <n v="11"/>
    <n v="0"/>
    <n v="42"/>
    <n v="2171"/>
    <n v="5.9479452054794519"/>
    <n v="0"/>
    <n v="1"/>
    <n v="0"/>
    <n v="0"/>
    <n v="0"/>
    <n v="0"/>
    <n v="0"/>
    <n v="1"/>
    <n v="0"/>
    <n v="0"/>
    <n v="44"/>
    <n v="43"/>
    <n v="1"/>
    <n v="0"/>
    <x v="0"/>
    <x v="0"/>
    <x v="0"/>
    <x v="0"/>
    <x v="3"/>
    <x v="0"/>
    <n v="0"/>
    <n v="0"/>
    <n v="12"/>
    <n v="9"/>
    <n v="1"/>
    <n v="2"/>
    <n v="12"/>
    <n v="3"/>
    <x v="3"/>
  </r>
  <r>
    <x v="1576"/>
    <n v="46910"/>
    <n v="1"/>
    <n v="1"/>
    <n v="36"/>
    <n v="48"/>
    <n v="0"/>
    <n v="14"/>
    <n v="0"/>
    <n v="0"/>
    <n v="6"/>
    <n v="2"/>
    <n v="2"/>
    <n v="0"/>
    <n v="3"/>
    <n v="6"/>
    <n v="0"/>
    <n v="0"/>
    <n v="0"/>
    <n v="0"/>
    <n v="0"/>
    <x v="0"/>
    <n v="0"/>
    <n v="3"/>
    <n v="11"/>
    <n v="0"/>
    <n v="56"/>
    <n v="2257"/>
    <n v="6.183561643835616"/>
    <n v="0"/>
    <n v="0"/>
    <n v="0"/>
    <n v="1"/>
    <n v="0"/>
    <n v="0"/>
    <n v="0"/>
    <n v="0"/>
    <n v="0"/>
    <n v="1"/>
    <n v="62"/>
    <n v="56"/>
    <n v="6"/>
    <n v="0"/>
    <x v="0"/>
    <x v="0"/>
    <x v="2"/>
    <x v="1"/>
    <x v="3"/>
    <x v="1"/>
    <n v="1"/>
    <n v="0"/>
    <n v="13"/>
    <n v="7"/>
    <n v="1"/>
    <n v="2"/>
    <n v="10"/>
    <n v="2"/>
    <x v="3"/>
  </r>
  <r>
    <x v="1577"/>
    <n v="8820"/>
    <n v="1"/>
    <n v="1"/>
    <n v="52"/>
    <n v="12"/>
    <n v="0"/>
    <n v="13"/>
    <n v="4"/>
    <n v="2"/>
    <n v="4"/>
    <n v="4"/>
    <n v="3"/>
    <n v="0"/>
    <n v="3"/>
    <n v="8"/>
    <n v="0"/>
    <n v="0"/>
    <n v="0"/>
    <n v="0"/>
    <n v="0"/>
    <x v="0"/>
    <n v="0"/>
    <n v="3"/>
    <n v="11"/>
    <n v="0"/>
    <n v="68"/>
    <n v="2623"/>
    <n v="7.1863013698630134"/>
    <n v="0"/>
    <n v="0"/>
    <n v="1"/>
    <n v="0"/>
    <n v="0"/>
    <n v="0"/>
    <n v="0"/>
    <n v="0"/>
    <n v="1"/>
    <n v="0"/>
    <n v="31"/>
    <n v="27"/>
    <n v="4"/>
    <n v="0"/>
    <x v="0"/>
    <x v="0"/>
    <x v="1"/>
    <x v="1"/>
    <x v="0"/>
    <x v="2"/>
    <n v="1"/>
    <n v="0"/>
    <n v="18"/>
    <n v="5"/>
    <n v="4"/>
    <n v="1"/>
    <n v="10"/>
    <n v="2"/>
    <x v="3"/>
  </r>
  <r>
    <x v="1578"/>
    <n v="15315"/>
    <n v="0"/>
    <n v="0"/>
    <n v="27"/>
    <n v="7"/>
    <n v="4"/>
    <n v="13"/>
    <n v="15"/>
    <n v="8"/>
    <n v="17"/>
    <n v="2"/>
    <n v="2"/>
    <n v="0"/>
    <n v="4"/>
    <n v="5"/>
    <n v="0"/>
    <n v="0"/>
    <n v="0"/>
    <n v="0"/>
    <n v="0"/>
    <x v="0"/>
    <n v="0"/>
    <n v="3"/>
    <n v="11"/>
    <n v="0"/>
    <n v="50"/>
    <n v="2489"/>
    <n v="6.8191780821917805"/>
    <n v="0"/>
    <n v="1"/>
    <n v="0"/>
    <n v="0"/>
    <n v="0"/>
    <n v="1"/>
    <n v="0"/>
    <n v="0"/>
    <n v="0"/>
    <n v="0"/>
    <n v="47"/>
    <n v="30"/>
    <n v="17"/>
    <n v="0"/>
    <x v="1"/>
    <x v="1"/>
    <x v="0"/>
    <x v="1"/>
    <x v="0"/>
    <x v="0"/>
    <n v="0"/>
    <n v="0"/>
    <n v="13"/>
    <n v="8"/>
    <n v="1"/>
    <n v="2"/>
    <n v="11"/>
    <n v="2"/>
    <x v="3"/>
  </r>
  <r>
    <x v="1579"/>
    <n v="18393"/>
    <n v="1"/>
    <n v="0"/>
    <n v="2"/>
    <n v="7"/>
    <n v="10"/>
    <n v="13"/>
    <n v="16"/>
    <n v="0"/>
    <n v="4"/>
    <n v="2"/>
    <n v="3"/>
    <n v="0"/>
    <n v="3"/>
    <n v="8"/>
    <n v="0"/>
    <n v="0"/>
    <n v="0"/>
    <n v="0"/>
    <n v="0"/>
    <x v="0"/>
    <n v="0"/>
    <n v="3"/>
    <n v="11"/>
    <n v="0"/>
    <n v="46"/>
    <n v="2251"/>
    <n v="6.1671232876712327"/>
    <n v="0"/>
    <n v="1"/>
    <n v="0"/>
    <n v="0"/>
    <n v="0"/>
    <n v="0"/>
    <n v="1"/>
    <n v="0"/>
    <n v="0"/>
    <n v="0"/>
    <n v="46"/>
    <n v="42"/>
    <n v="4"/>
    <n v="0"/>
    <x v="0"/>
    <x v="0"/>
    <x v="0"/>
    <x v="2"/>
    <x v="0"/>
    <x v="0"/>
    <n v="0"/>
    <n v="0"/>
    <n v="16"/>
    <n v="10"/>
    <n v="3"/>
    <n v="2"/>
    <n v="15"/>
    <n v="4"/>
    <x v="3"/>
  </r>
  <r>
    <x v="1580"/>
    <n v="22063"/>
    <n v="1"/>
    <n v="0"/>
    <n v="43"/>
    <n v="7"/>
    <n v="10"/>
    <n v="13"/>
    <n v="3"/>
    <n v="11"/>
    <n v="11"/>
    <n v="2"/>
    <n v="2"/>
    <n v="0"/>
    <n v="3"/>
    <n v="7"/>
    <n v="0"/>
    <n v="0"/>
    <n v="0"/>
    <n v="0"/>
    <n v="0"/>
    <x v="0"/>
    <n v="0"/>
    <n v="3"/>
    <n v="11"/>
    <n v="0"/>
    <n v="48"/>
    <n v="2484"/>
    <n v="6.8054794520547945"/>
    <n v="0"/>
    <n v="1"/>
    <n v="0"/>
    <n v="0"/>
    <n v="0"/>
    <n v="0"/>
    <n v="0"/>
    <n v="1"/>
    <n v="0"/>
    <n v="0"/>
    <n v="44"/>
    <n v="33"/>
    <n v="11"/>
    <n v="0"/>
    <x v="0"/>
    <x v="0"/>
    <x v="0"/>
    <x v="0"/>
    <x v="0"/>
    <x v="0"/>
    <n v="1"/>
    <n v="0"/>
    <n v="14"/>
    <n v="6"/>
    <n v="2"/>
    <n v="2"/>
    <n v="10"/>
    <n v="2"/>
    <x v="3"/>
  </r>
  <r>
    <x v="1581"/>
    <n v="23529"/>
    <n v="0"/>
    <n v="1"/>
    <n v="67"/>
    <n v="9"/>
    <n v="7"/>
    <n v="13"/>
    <n v="3"/>
    <n v="2"/>
    <n v="20"/>
    <n v="1"/>
    <n v="1"/>
    <n v="1"/>
    <n v="2"/>
    <n v="6"/>
    <n v="0"/>
    <n v="0"/>
    <n v="0"/>
    <n v="0"/>
    <n v="0"/>
    <x v="0"/>
    <n v="0"/>
    <n v="3"/>
    <n v="11"/>
    <n v="0"/>
    <n v="55"/>
    <n v="2697"/>
    <n v="7.3890410958904109"/>
    <n v="0"/>
    <n v="0"/>
    <n v="1"/>
    <n v="0"/>
    <n v="0"/>
    <n v="0"/>
    <n v="1"/>
    <n v="0"/>
    <n v="0"/>
    <n v="0"/>
    <n v="34"/>
    <n v="14"/>
    <n v="20"/>
    <n v="0"/>
    <x v="0"/>
    <x v="0"/>
    <x v="1"/>
    <x v="2"/>
    <x v="0"/>
    <x v="1"/>
    <n v="1"/>
    <n v="0"/>
    <n v="11"/>
    <n v="4"/>
    <n v="0"/>
    <n v="1"/>
    <n v="5"/>
    <n v="0"/>
    <x v="4"/>
  </r>
  <r>
    <x v="1582"/>
    <n v="26150"/>
    <n v="2"/>
    <n v="1"/>
    <n v="61"/>
    <n v="5"/>
    <n v="1"/>
    <n v="13"/>
    <n v="3"/>
    <n v="5"/>
    <n v="1"/>
    <n v="1"/>
    <n v="1"/>
    <n v="0"/>
    <n v="3"/>
    <n v="7"/>
    <n v="0"/>
    <n v="0"/>
    <n v="0"/>
    <n v="0"/>
    <n v="0"/>
    <x v="0"/>
    <n v="0"/>
    <n v="3"/>
    <n v="11"/>
    <n v="0"/>
    <n v="64"/>
    <n v="2634"/>
    <n v="7.2164383561643834"/>
    <n v="1"/>
    <n v="0"/>
    <n v="0"/>
    <n v="0"/>
    <n v="0"/>
    <n v="0"/>
    <n v="0"/>
    <n v="1"/>
    <n v="0"/>
    <n v="0"/>
    <n v="27"/>
    <n v="26"/>
    <n v="1"/>
    <n v="0"/>
    <x v="0"/>
    <x v="0"/>
    <x v="3"/>
    <x v="0"/>
    <x v="0"/>
    <x v="2"/>
    <n v="1"/>
    <n v="0"/>
    <n v="12"/>
    <n v="4"/>
    <n v="1"/>
    <n v="0"/>
    <n v="5"/>
    <n v="0"/>
    <x v="4"/>
  </r>
  <r>
    <x v="1583"/>
    <n v="26850"/>
    <n v="1"/>
    <n v="1"/>
    <n v="10"/>
    <n v="31"/>
    <n v="1"/>
    <n v="13"/>
    <n v="7"/>
    <n v="2"/>
    <n v="9"/>
    <n v="4"/>
    <n v="2"/>
    <n v="1"/>
    <n v="4"/>
    <n v="4"/>
    <n v="0"/>
    <n v="0"/>
    <n v="0"/>
    <n v="0"/>
    <n v="0"/>
    <x v="0"/>
    <n v="0"/>
    <n v="3"/>
    <n v="11"/>
    <n v="0"/>
    <n v="49"/>
    <n v="2231"/>
    <n v="6.1123287671232873"/>
    <n v="0"/>
    <n v="0"/>
    <n v="0"/>
    <n v="1"/>
    <n v="0"/>
    <n v="1"/>
    <n v="0"/>
    <n v="0"/>
    <n v="0"/>
    <n v="0"/>
    <n v="54"/>
    <n v="45"/>
    <n v="9"/>
    <n v="0"/>
    <x v="0"/>
    <x v="0"/>
    <x v="2"/>
    <x v="1"/>
    <x v="0"/>
    <x v="0"/>
    <n v="0"/>
    <n v="0"/>
    <n v="15"/>
    <n v="9"/>
    <n v="2"/>
    <n v="2"/>
    <n v="13"/>
    <n v="3"/>
    <x v="3"/>
  </r>
  <r>
    <x v="1584"/>
    <n v="27100"/>
    <n v="1"/>
    <n v="0"/>
    <n v="64"/>
    <n v="12"/>
    <n v="0"/>
    <n v="13"/>
    <n v="2"/>
    <n v="0"/>
    <n v="10"/>
    <n v="1"/>
    <n v="1"/>
    <n v="0"/>
    <n v="3"/>
    <n v="7"/>
    <n v="0"/>
    <n v="0"/>
    <n v="0"/>
    <n v="0"/>
    <n v="0"/>
    <x v="0"/>
    <n v="0"/>
    <n v="3"/>
    <n v="11"/>
    <n v="0"/>
    <n v="37"/>
    <n v="2609"/>
    <n v="7.1479452054794521"/>
    <n v="0"/>
    <n v="1"/>
    <n v="0"/>
    <n v="0"/>
    <n v="0"/>
    <n v="0"/>
    <n v="0"/>
    <n v="0"/>
    <n v="1"/>
    <n v="0"/>
    <n v="27"/>
    <n v="17"/>
    <n v="10"/>
    <n v="0"/>
    <x v="0"/>
    <x v="0"/>
    <x v="0"/>
    <x v="1"/>
    <x v="0"/>
    <x v="3"/>
    <n v="1"/>
    <n v="0"/>
    <n v="12"/>
    <n v="4"/>
    <n v="1"/>
    <n v="0"/>
    <n v="5"/>
    <n v="0"/>
    <x v="4"/>
  </r>
  <r>
    <x v="1585"/>
    <n v="27922"/>
    <n v="1"/>
    <n v="0"/>
    <n v="80"/>
    <n v="11"/>
    <n v="0"/>
    <n v="13"/>
    <n v="2"/>
    <n v="4"/>
    <n v="11"/>
    <n v="1"/>
    <n v="2"/>
    <n v="0"/>
    <n v="3"/>
    <n v="4"/>
    <n v="0"/>
    <n v="0"/>
    <n v="0"/>
    <n v="0"/>
    <n v="0"/>
    <x v="0"/>
    <n v="0"/>
    <n v="3"/>
    <n v="11"/>
    <n v="0"/>
    <n v="41"/>
    <n v="2209"/>
    <n v="6.0520547945205481"/>
    <n v="0"/>
    <n v="0"/>
    <n v="0"/>
    <n v="1"/>
    <n v="0"/>
    <n v="0"/>
    <n v="0"/>
    <n v="0"/>
    <n v="0"/>
    <n v="1"/>
    <n v="30"/>
    <n v="19"/>
    <n v="11"/>
    <n v="0"/>
    <x v="0"/>
    <x v="0"/>
    <x v="2"/>
    <x v="1"/>
    <x v="0"/>
    <x v="0"/>
    <n v="1"/>
    <n v="0"/>
    <n v="10"/>
    <n v="1.9999999999999996"/>
    <n v="0"/>
    <n v="1"/>
    <n v="2.9999999999999996"/>
    <n v="0"/>
    <x v="4"/>
  </r>
  <r>
    <x v="1586"/>
    <n v="28332"/>
    <n v="0"/>
    <n v="0"/>
    <n v="58"/>
    <n v="14"/>
    <n v="10"/>
    <n v="13"/>
    <n v="4"/>
    <n v="15"/>
    <n v="9"/>
    <n v="1"/>
    <n v="2"/>
    <n v="1"/>
    <n v="4"/>
    <n v="2"/>
    <n v="0"/>
    <n v="0"/>
    <n v="0"/>
    <n v="0"/>
    <n v="0"/>
    <x v="0"/>
    <n v="0"/>
    <n v="3"/>
    <n v="11"/>
    <n v="0"/>
    <n v="68"/>
    <n v="2219"/>
    <n v="6.0794520547945208"/>
    <n v="0"/>
    <n v="1"/>
    <n v="0"/>
    <n v="0"/>
    <n v="0"/>
    <n v="0"/>
    <n v="0"/>
    <n v="1"/>
    <n v="0"/>
    <n v="0"/>
    <n v="56"/>
    <n v="47"/>
    <n v="9"/>
    <n v="0"/>
    <x v="1"/>
    <x v="1"/>
    <x v="0"/>
    <x v="0"/>
    <x v="0"/>
    <x v="2"/>
    <n v="1"/>
    <n v="0"/>
    <n v="10"/>
    <n v="5"/>
    <n v="0"/>
    <n v="2"/>
    <n v="7"/>
    <n v="1"/>
    <x v="3"/>
  </r>
  <r>
    <x v="1587"/>
    <n v="28691"/>
    <n v="1"/>
    <n v="0"/>
    <n v="56"/>
    <n v="5"/>
    <n v="4"/>
    <n v="13"/>
    <n v="8"/>
    <n v="0"/>
    <n v="4"/>
    <n v="1"/>
    <n v="1"/>
    <n v="0"/>
    <n v="3"/>
    <n v="8"/>
    <n v="0"/>
    <n v="0"/>
    <n v="0"/>
    <n v="0"/>
    <n v="0"/>
    <x v="0"/>
    <n v="0"/>
    <n v="3"/>
    <n v="11"/>
    <n v="0"/>
    <n v="31"/>
    <n v="2519"/>
    <n v="6.9013698630136986"/>
    <n v="0"/>
    <n v="1"/>
    <n v="0"/>
    <n v="0"/>
    <n v="0"/>
    <n v="0"/>
    <n v="0"/>
    <n v="1"/>
    <n v="0"/>
    <n v="0"/>
    <n v="30"/>
    <n v="26"/>
    <n v="4"/>
    <n v="0"/>
    <x v="0"/>
    <x v="0"/>
    <x v="0"/>
    <x v="0"/>
    <x v="0"/>
    <x v="3"/>
    <n v="1"/>
    <n v="0"/>
    <n v="13"/>
    <n v="5"/>
    <n v="1"/>
    <n v="1"/>
    <n v="7"/>
    <n v="1"/>
    <x v="3"/>
  </r>
  <r>
    <x v="1588"/>
    <n v="29604"/>
    <n v="1"/>
    <n v="0"/>
    <n v="88"/>
    <n v="7"/>
    <n v="6"/>
    <n v="13"/>
    <n v="7"/>
    <n v="6"/>
    <n v="14"/>
    <n v="1"/>
    <n v="1"/>
    <n v="0"/>
    <n v="3"/>
    <n v="9"/>
    <n v="0"/>
    <n v="0"/>
    <n v="1"/>
    <n v="0"/>
    <n v="0"/>
    <x v="1"/>
    <n v="0"/>
    <n v="3"/>
    <n v="11"/>
    <n v="0"/>
    <n v="32"/>
    <n v="2362"/>
    <n v="6.4712328767123291"/>
    <n v="0"/>
    <n v="0"/>
    <n v="0"/>
    <n v="1"/>
    <n v="0"/>
    <n v="0"/>
    <n v="0"/>
    <n v="1"/>
    <n v="0"/>
    <n v="0"/>
    <n v="39"/>
    <n v="25"/>
    <n v="14"/>
    <n v="1"/>
    <x v="0"/>
    <x v="0"/>
    <x v="2"/>
    <x v="0"/>
    <x v="0"/>
    <x v="3"/>
    <n v="1"/>
    <n v="0"/>
    <n v="14"/>
    <n v="1.9999999999999996"/>
    <n v="2"/>
    <n v="1"/>
    <n v="5"/>
    <n v="0"/>
    <x v="4"/>
  </r>
  <r>
    <x v="1589"/>
    <n v="30368"/>
    <n v="0"/>
    <n v="1"/>
    <n v="97"/>
    <n v="35"/>
    <n v="0"/>
    <n v="13"/>
    <n v="2"/>
    <n v="0"/>
    <n v="2"/>
    <n v="2"/>
    <n v="2"/>
    <n v="0"/>
    <n v="3"/>
    <n v="8"/>
    <n v="0"/>
    <n v="0"/>
    <n v="0"/>
    <n v="0"/>
    <n v="0"/>
    <x v="0"/>
    <n v="0"/>
    <n v="3"/>
    <n v="11"/>
    <n v="0"/>
    <n v="43"/>
    <n v="2393"/>
    <n v="6.5561643835616437"/>
    <n v="0"/>
    <n v="1"/>
    <n v="0"/>
    <n v="0"/>
    <n v="0"/>
    <n v="0"/>
    <n v="0"/>
    <n v="1"/>
    <n v="0"/>
    <n v="0"/>
    <n v="50"/>
    <n v="48"/>
    <n v="2"/>
    <n v="0"/>
    <x v="0"/>
    <x v="0"/>
    <x v="0"/>
    <x v="0"/>
    <x v="0"/>
    <x v="0"/>
    <n v="1"/>
    <n v="1"/>
    <n v="15"/>
    <n v="0.99999999999999978"/>
    <n v="2"/>
    <n v="2"/>
    <n v="5"/>
    <n v="0"/>
    <x v="4"/>
  </r>
  <r>
    <x v="1590"/>
    <n v="30822"/>
    <n v="1"/>
    <n v="0"/>
    <n v="92"/>
    <n v="3"/>
    <n v="9"/>
    <n v="13"/>
    <n v="2"/>
    <n v="12"/>
    <n v="12"/>
    <n v="1"/>
    <n v="1"/>
    <n v="0"/>
    <n v="3"/>
    <n v="7"/>
    <n v="0"/>
    <n v="0"/>
    <n v="0"/>
    <n v="0"/>
    <n v="0"/>
    <x v="0"/>
    <n v="0"/>
    <n v="3"/>
    <n v="11"/>
    <n v="0"/>
    <n v="51"/>
    <n v="2539"/>
    <n v="6.956164383561644"/>
    <n v="0"/>
    <n v="0"/>
    <n v="1"/>
    <n v="0"/>
    <n v="0"/>
    <n v="0"/>
    <n v="0"/>
    <n v="1"/>
    <n v="0"/>
    <n v="0"/>
    <n v="39"/>
    <n v="27"/>
    <n v="12"/>
    <n v="0"/>
    <x v="0"/>
    <x v="0"/>
    <x v="1"/>
    <x v="0"/>
    <x v="0"/>
    <x v="1"/>
    <n v="1"/>
    <n v="1"/>
    <n v="12"/>
    <n v="0.99999999999999978"/>
    <n v="1"/>
    <n v="1"/>
    <n v="3"/>
    <n v="0"/>
    <x v="4"/>
  </r>
  <r>
    <x v="1591"/>
    <n v="31056"/>
    <n v="1"/>
    <n v="0"/>
    <n v="99"/>
    <n v="5"/>
    <n v="10"/>
    <n v="13"/>
    <n v="3"/>
    <n v="8"/>
    <n v="16"/>
    <n v="1"/>
    <n v="1"/>
    <n v="0"/>
    <n v="3"/>
    <n v="8"/>
    <n v="0"/>
    <n v="0"/>
    <n v="0"/>
    <n v="0"/>
    <n v="0"/>
    <x v="0"/>
    <n v="0"/>
    <n v="3"/>
    <n v="11"/>
    <n v="0"/>
    <n v="43"/>
    <n v="2682"/>
    <n v="7.3479452054794523"/>
    <n v="0"/>
    <n v="1"/>
    <n v="0"/>
    <n v="0"/>
    <n v="0"/>
    <n v="1"/>
    <n v="0"/>
    <n v="0"/>
    <n v="0"/>
    <n v="0"/>
    <n v="39"/>
    <n v="23"/>
    <n v="16"/>
    <n v="0"/>
    <x v="0"/>
    <x v="0"/>
    <x v="0"/>
    <x v="1"/>
    <x v="0"/>
    <x v="0"/>
    <n v="1"/>
    <n v="1"/>
    <n v="13"/>
    <n v="0.99999999999999978"/>
    <n v="1"/>
    <n v="1"/>
    <n v="3"/>
    <n v="0"/>
    <x v="4"/>
  </r>
  <r>
    <x v="1592"/>
    <n v="31535"/>
    <n v="1"/>
    <n v="0"/>
    <n v="95"/>
    <n v="15"/>
    <n v="4"/>
    <n v="13"/>
    <n v="0"/>
    <n v="0"/>
    <n v="19"/>
    <n v="1"/>
    <n v="1"/>
    <n v="1"/>
    <n v="2"/>
    <n v="7"/>
    <n v="0"/>
    <n v="0"/>
    <n v="1"/>
    <n v="0"/>
    <n v="0"/>
    <x v="1"/>
    <n v="0"/>
    <n v="3"/>
    <n v="11"/>
    <n v="0"/>
    <n v="40"/>
    <n v="2435"/>
    <n v="6.6712328767123283"/>
    <n v="0"/>
    <n v="1"/>
    <n v="0"/>
    <n v="0"/>
    <n v="0"/>
    <n v="0"/>
    <n v="0"/>
    <n v="0"/>
    <n v="1"/>
    <n v="0"/>
    <n v="32"/>
    <n v="13"/>
    <n v="19"/>
    <n v="1"/>
    <x v="0"/>
    <x v="0"/>
    <x v="0"/>
    <x v="1"/>
    <x v="0"/>
    <x v="3"/>
    <n v="1"/>
    <n v="1"/>
    <n v="12"/>
    <n v="0.99999999999999978"/>
    <n v="1"/>
    <n v="1"/>
    <n v="3"/>
    <n v="0"/>
    <x v="4"/>
  </r>
  <r>
    <x v="1593"/>
    <n v="32889"/>
    <n v="1"/>
    <n v="1"/>
    <n v="78"/>
    <n v="28"/>
    <n v="0"/>
    <n v="13"/>
    <n v="4"/>
    <n v="2"/>
    <n v="8"/>
    <n v="3"/>
    <n v="2"/>
    <n v="1"/>
    <n v="3"/>
    <n v="5"/>
    <n v="0"/>
    <n v="0"/>
    <n v="0"/>
    <n v="0"/>
    <n v="0"/>
    <x v="0"/>
    <n v="0"/>
    <n v="3"/>
    <n v="11"/>
    <n v="0"/>
    <n v="52"/>
    <n v="2455"/>
    <n v="6.7260273972602738"/>
    <n v="0"/>
    <n v="0"/>
    <n v="0"/>
    <n v="1"/>
    <n v="0"/>
    <n v="0"/>
    <n v="0"/>
    <n v="0"/>
    <n v="1"/>
    <n v="0"/>
    <n v="47"/>
    <n v="39"/>
    <n v="8"/>
    <n v="0"/>
    <x v="0"/>
    <x v="0"/>
    <x v="2"/>
    <x v="1"/>
    <x v="0"/>
    <x v="1"/>
    <n v="1"/>
    <n v="0"/>
    <n v="14"/>
    <n v="3.0000000000000004"/>
    <n v="2"/>
    <n v="2"/>
    <n v="7"/>
    <n v="1"/>
    <x v="3"/>
  </r>
  <r>
    <x v="1594"/>
    <n v="35178"/>
    <n v="1"/>
    <n v="0"/>
    <n v="10"/>
    <n v="23"/>
    <n v="1"/>
    <n v="13"/>
    <n v="2"/>
    <n v="2"/>
    <n v="18"/>
    <n v="1"/>
    <n v="1"/>
    <n v="1"/>
    <n v="2"/>
    <n v="7"/>
    <n v="0"/>
    <n v="0"/>
    <n v="1"/>
    <n v="0"/>
    <n v="0"/>
    <x v="1"/>
    <n v="0"/>
    <n v="3"/>
    <n v="11"/>
    <n v="1"/>
    <n v="49"/>
    <n v="2694"/>
    <n v="7.3808219178082188"/>
    <n v="0"/>
    <n v="1"/>
    <n v="0"/>
    <n v="0"/>
    <n v="0"/>
    <n v="0"/>
    <n v="0"/>
    <n v="0"/>
    <n v="1"/>
    <n v="0"/>
    <n v="41"/>
    <n v="23"/>
    <n v="18"/>
    <n v="1"/>
    <x v="0"/>
    <x v="0"/>
    <x v="0"/>
    <x v="1"/>
    <x v="3"/>
    <x v="0"/>
    <n v="0"/>
    <n v="0"/>
    <n v="12"/>
    <n v="9"/>
    <n v="1"/>
    <n v="1"/>
    <n v="11"/>
    <n v="2"/>
    <x v="3"/>
  </r>
  <r>
    <x v="1595"/>
    <n v="37760"/>
    <n v="1"/>
    <n v="0"/>
    <n v="54"/>
    <n v="26"/>
    <n v="3"/>
    <n v="13"/>
    <n v="2"/>
    <n v="10"/>
    <n v="0"/>
    <n v="1"/>
    <n v="2"/>
    <n v="0"/>
    <n v="3"/>
    <n v="6"/>
    <n v="0"/>
    <n v="0"/>
    <n v="0"/>
    <n v="0"/>
    <n v="0"/>
    <x v="0"/>
    <n v="0"/>
    <n v="3"/>
    <n v="11"/>
    <n v="0"/>
    <n v="48"/>
    <n v="2481"/>
    <n v="6.7972602739726025"/>
    <n v="1"/>
    <n v="0"/>
    <n v="0"/>
    <n v="0"/>
    <n v="0"/>
    <n v="0"/>
    <n v="0"/>
    <n v="0"/>
    <n v="1"/>
    <n v="0"/>
    <n v="54"/>
    <n v="54"/>
    <n v="0"/>
    <n v="0"/>
    <x v="0"/>
    <x v="0"/>
    <x v="3"/>
    <x v="1"/>
    <x v="3"/>
    <x v="0"/>
    <n v="1"/>
    <n v="0"/>
    <n v="12"/>
    <n v="5"/>
    <n v="1"/>
    <n v="2"/>
    <n v="8"/>
    <n v="1"/>
    <x v="3"/>
  </r>
  <r>
    <x v="1596"/>
    <n v="38415"/>
    <n v="1"/>
    <n v="1"/>
    <n v="91"/>
    <n v="22"/>
    <n v="1"/>
    <n v="13"/>
    <n v="4"/>
    <n v="0"/>
    <n v="4"/>
    <n v="2"/>
    <n v="1"/>
    <n v="0"/>
    <n v="3"/>
    <n v="7"/>
    <n v="0"/>
    <n v="0"/>
    <n v="0"/>
    <n v="0"/>
    <n v="0"/>
    <x v="0"/>
    <n v="0"/>
    <n v="3"/>
    <n v="11"/>
    <n v="0"/>
    <n v="42"/>
    <n v="2702"/>
    <n v="7.4027397260273968"/>
    <n v="0"/>
    <n v="1"/>
    <n v="0"/>
    <n v="0"/>
    <n v="0"/>
    <n v="0"/>
    <n v="0"/>
    <n v="1"/>
    <n v="0"/>
    <n v="0"/>
    <n v="40"/>
    <n v="36"/>
    <n v="4"/>
    <n v="0"/>
    <x v="0"/>
    <x v="0"/>
    <x v="0"/>
    <x v="0"/>
    <x v="3"/>
    <x v="0"/>
    <n v="1"/>
    <n v="1"/>
    <n v="13"/>
    <n v="0.99999999999999978"/>
    <n v="1"/>
    <n v="1"/>
    <n v="3"/>
    <n v="0"/>
    <x v="4"/>
  </r>
  <r>
    <x v="1597"/>
    <n v="38887"/>
    <n v="1"/>
    <n v="0"/>
    <n v="17"/>
    <n v="25"/>
    <n v="1"/>
    <n v="13"/>
    <n v="0"/>
    <n v="0"/>
    <n v="3"/>
    <n v="1"/>
    <n v="1"/>
    <n v="0"/>
    <n v="3"/>
    <n v="7"/>
    <n v="0"/>
    <n v="0"/>
    <n v="0"/>
    <n v="0"/>
    <n v="0"/>
    <x v="0"/>
    <n v="0"/>
    <n v="3"/>
    <n v="11"/>
    <n v="0"/>
    <n v="48"/>
    <n v="2278"/>
    <n v="6.2410958904109588"/>
    <n v="0"/>
    <n v="0"/>
    <n v="0"/>
    <n v="1"/>
    <n v="0"/>
    <n v="0"/>
    <n v="0"/>
    <n v="0"/>
    <n v="0"/>
    <n v="1"/>
    <n v="39"/>
    <n v="36"/>
    <n v="3"/>
    <n v="0"/>
    <x v="0"/>
    <x v="0"/>
    <x v="2"/>
    <x v="1"/>
    <x v="3"/>
    <x v="0"/>
    <n v="0"/>
    <n v="0"/>
    <n v="12"/>
    <n v="9"/>
    <n v="1"/>
    <n v="1"/>
    <n v="11"/>
    <n v="2"/>
    <x v="3"/>
  </r>
  <r>
    <x v="1598"/>
    <n v="40637"/>
    <n v="1"/>
    <n v="1"/>
    <n v="72"/>
    <n v="22"/>
    <n v="0"/>
    <n v="13"/>
    <n v="0"/>
    <n v="0"/>
    <n v="3"/>
    <n v="2"/>
    <n v="1"/>
    <n v="0"/>
    <n v="3"/>
    <n v="7"/>
    <n v="0"/>
    <n v="0"/>
    <n v="0"/>
    <n v="0"/>
    <n v="0"/>
    <x v="0"/>
    <n v="0"/>
    <n v="3"/>
    <n v="11"/>
    <n v="0"/>
    <n v="55"/>
    <n v="2506"/>
    <n v="6.8657534246575347"/>
    <n v="0"/>
    <n v="0"/>
    <n v="1"/>
    <n v="0"/>
    <n v="0"/>
    <n v="0"/>
    <n v="0"/>
    <n v="0"/>
    <n v="0"/>
    <n v="1"/>
    <n v="35"/>
    <n v="32"/>
    <n v="3"/>
    <n v="0"/>
    <x v="0"/>
    <x v="0"/>
    <x v="1"/>
    <x v="1"/>
    <x v="3"/>
    <x v="1"/>
    <n v="1"/>
    <n v="0"/>
    <n v="13"/>
    <n v="3.0000000000000004"/>
    <n v="1"/>
    <n v="1"/>
    <n v="5"/>
    <n v="0"/>
    <x v="4"/>
  </r>
  <r>
    <x v="1599"/>
    <n v="42769"/>
    <n v="0"/>
    <n v="1"/>
    <n v="15"/>
    <n v="71"/>
    <n v="0"/>
    <n v="13"/>
    <n v="3"/>
    <n v="1"/>
    <n v="0"/>
    <n v="2"/>
    <n v="1"/>
    <n v="1"/>
    <n v="4"/>
    <n v="4"/>
    <n v="0"/>
    <n v="0"/>
    <n v="0"/>
    <n v="0"/>
    <n v="0"/>
    <x v="0"/>
    <n v="0"/>
    <n v="3"/>
    <n v="11"/>
    <n v="0"/>
    <n v="58"/>
    <n v="2419"/>
    <n v="6.6273972602739724"/>
    <n v="0"/>
    <n v="1"/>
    <n v="0"/>
    <n v="0"/>
    <n v="0"/>
    <n v="0"/>
    <n v="0"/>
    <n v="0"/>
    <n v="0"/>
    <n v="1"/>
    <n v="88"/>
    <n v="88"/>
    <n v="0"/>
    <n v="0"/>
    <x v="0"/>
    <x v="0"/>
    <x v="0"/>
    <x v="1"/>
    <x v="3"/>
    <x v="1"/>
    <n v="0"/>
    <n v="0"/>
    <n v="12"/>
    <n v="9"/>
    <n v="1"/>
    <n v="3"/>
    <n v="13"/>
    <n v="3"/>
    <x v="3"/>
  </r>
  <r>
    <x v="1600"/>
    <n v="58217"/>
    <n v="2"/>
    <n v="1"/>
    <n v="84"/>
    <n v="68"/>
    <n v="1"/>
    <n v="13"/>
    <n v="3"/>
    <n v="5"/>
    <n v="13"/>
    <n v="1"/>
    <n v="2"/>
    <n v="0"/>
    <n v="4"/>
    <n v="6"/>
    <n v="0"/>
    <n v="0"/>
    <n v="0"/>
    <n v="0"/>
    <n v="0"/>
    <x v="0"/>
    <n v="0"/>
    <n v="3"/>
    <n v="11"/>
    <n v="0"/>
    <n v="69"/>
    <n v="2748"/>
    <n v="7.5287671232876709"/>
    <n v="0"/>
    <n v="0"/>
    <n v="1"/>
    <n v="0"/>
    <n v="0"/>
    <n v="0"/>
    <n v="0"/>
    <n v="0"/>
    <n v="1"/>
    <n v="0"/>
    <n v="90"/>
    <n v="77"/>
    <n v="13"/>
    <n v="0"/>
    <x v="0"/>
    <x v="0"/>
    <x v="1"/>
    <x v="1"/>
    <x v="2"/>
    <x v="2"/>
    <n v="1"/>
    <n v="0"/>
    <n v="13"/>
    <n v="1.9999999999999996"/>
    <n v="1"/>
    <n v="3"/>
    <n v="6"/>
    <n v="0"/>
    <x v="4"/>
  </r>
  <r>
    <x v="1601"/>
    <n v="59892"/>
    <n v="0"/>
    <n v="1"/>
    <n v="26"/>
    <n v="73"/>
    <n v="0"/>
    <n v="13"/>
    <n v="0"/>
    <n v="1"/>
    <n v="0"/>
    <n v="1"/>
    <n v="2"/>
    <n v="1"/>
    <n v="3"/>
    <n v="3"/>
    <n v="0"/>
    <n v="0"/>
    <n v="0"/>
    <n v="0"/>
    <n v="0"/>
    <x v="0"/>
    <n v="0"/>
    <n v="3"/>
    <n v="11"/>
    <n v="0"/>
    <n v="50"/>
    <n v="2398"/>
    <n v="6.5698630136986305"/>
    <n v="0"/>
    <n v="1"/>
    <n v="0"/>
    <n v="0"/>
    <n v="0"/>
    <n v="0"/>
    <n v="0"/>
    <n v="0"/>
    <n v="0"/>
    <n v="1"/>
    <n v="87"/>
    <n v="87"/>
    <n v="0"/>
    <n v="0"/>
    <x v="0"/>
    <x v="0"/>
    <x v="0"/>
    <x v="1"/>
    <x v="2"/>
    <x v="0"/>
    <n v="0"/>
    <n v="0"/>
    <n v="10"/>
    <n v="8"/>
    <n v="0"/>
    <n v="3"/>
    <n v="11"/>
    <n v="2"/>
    <x v="3"/>
  </r>
  <r>
    <x v="1602"/>
    <n v="4428"/>
    <n v="0"/>
    <n v="1"/>
    <n v="0"/>
    <n v="16"/>
    <n v="4"/>
    <n v="12"/>
    <n v="2"/>
    <n v="4"/>
    <n v="321"/>
    <n v="0"/>
    <n v="25"/>
    <n v="0"/>
    <n v="0"/>
    <n v="1"/>
    <n v="0"/>
    <n v="0"/>
    <n v="0"/>
    <n v="0"/>
    <n v="0"/>
    <x v="0"/>
    <n v="0"/>
    <n v="3"/>
    <n v="11"/>
    <n v="0"/>
    <n v="51"/>
    <n v="2426"/>
    <n v="6.646575342465753"/>
    <n v="0"/>
    <n v="1"/>
    <n v="0"/>
    <n v="0"/>
    <n v="0"/>
    <n v="0"/>
    <n v="0"/>
    <n v="1"/>
    <n v="0"/>
    <n v="0"/>
    <n v="38"/>
    <n v="-283"/>
    <n v="321"/>
    <n v="0"/>
    <x v="0"/>
    <x v="0"/>
    <x v="0"/>
    <x v="0"/>
    <x v="0"/>
    <x v="1"/>
    <n v="0"/>
    <n v="0"/>
    <n v="26"/>
    <n v="10"/>
    <n v="7"/>
    <n v="1"/>
    <n v="18"/>
    <n v="6"/>
    <x v="1"/>
  </r>
  <r>
    <x v="1603"/>
    <n v="6835"/>
    <n v="0"/>
    <n v="1"/>
    <n v="76"/>
    <n v="107"/>
    <n v="2"/>
    <n v="12"/>
    <n v="2"/>
    <n v="2"/>
    <n v="12"/>
    <n v="0"/>
    <n v="0"/>
    <n v="0"/>
    <n v="1"/>
    <n v="20"/>
    <n v="0"/>
    <n v="0"/>
    <n v="0"/>
    <n v="0"/>
    <n v="0"/>
    <x v="0"/>
    <n v="0"/>
    <n v="3"/>
    <n v="11"/>
    <n v="0"/>
    <n v="63"/>
    <n v="2727"/>
    <n v="7.4712328767123291"/>
    <n v="0"/>
    <n v="0"/>
    <n v="0"/>
    <n v="1"/>
    <n v="0"/>
    <n v="0"/>
    <n v="0"/>
    <n v="0"/>
    <n v="0"/>
    <n v="1"/>
    <n v="125"/>
    <n v="113"/>
    <n v="12"/>
    <n v="0"/>
    <x v="0"/>
    <x v="0"/>
    <x v="2"/>
    <x v="1"/>
    <x v="0"/>
    <x v="2"/>
    <n v="1"/>
    <n v="0"/>
    <n v="21"/>
    <n v="3.0000000000000004"/>
    <n v="5"/>
    <n v="3"/>
    <n v="11"/>
    <n v="2"/>
    <x v="3"/>
  </r>
  <r>
    <x v="1604"/>
    <n v="7500"/>
    <n v="1"/>
    <n v="0"/>
    <n v="19"/>
    <n v="7"/>
    <n v="0"/>
    <n v="12"/>
    <n v="13"/>
    <n v="7"/>
    <n v="32"/>
    <n v="5"/>
    <n v="4"/>
    <n v="1"/>
    <n v="2"/>
    <n v="9"/>
    <n v="0"/>
    <n v="0"/>
    <n v="1"/>
    <n v="0"/>
    <n v="0"/>
    <x v="1"/>
    <n v="0"/>
    <n v="3"/>
    <n v="11"/>
    <n v="1"/>
    <n v="44"/>
    <n v="2856"/>
    <n v="7.8246575342465752"/>
    <n v="0"/>
    <n v="1"/>
    <n v="0"/>
    <n v="0"/>
    <n v="0"/>
    <n v="0"/>
    <n v="0"/>
    <n v="1"/>
    <n v="0"/>
    <n v="0"/>
    <n v="39"/>
    <n v="7"/>
    <n v="32"/>
    <n v="1"/>
    <x v="0"/>
    <x v="0"/>
    <x v="0"/>
    <x v="0"/>
    <x v="0"/>
    <x v="0"/>
    <n v="0"/>
    <n v="0"/>
    <n v="21"/>
    <n v="9"/>
    <n v="5"/>
    <n v="1"/>
    <n v="15"/>
    <n v="4"/>
    <x v="3"/>
  </r>
  <r>
    <x v="1605"/>
    <n v="17003"/>
    <n v="1"/>
    <n v="0"/>
    <n v="37"/>
    <n v="2"/>
    <n v="5"/>
    <n v="12"/>
    <n v="4"/>
    <n v="8"/>
    <n v="7"/>
    <n v="3"/>
    <n v="2"/>
    <n v="0"/>
    <n v="4"/>
    <n v="5"/>
    <n v="0"/>
    <n v="0"/>
    <n v="0"/>
    <n v="0"/>
    <n v="0"/>
    <x v="0"/>
    <n v="0"/>
    <n v="3"/>
    <n v="11"/>
    <n v="0"/>
    <n v="45"/>
    <n v="2361"/>
    <n v="6.4684931506849317"/>
    <n v="0"/>
    <n v="1"/>
    <n v="0"/>
    <n v="0"/>
    <n v="0"/>
    <n v="1"/>
    <n v="0"/>
    <n v="0"/>
    <n v="0"/>
    <n v="0"/>
    <n v="31"/>
    <n v="24"/>
    <n v="7"/>
    <n v="0"/>
    <x v="0"/>
    <x v="0"/>
    <x v="0"/>
    <x v="1"/>
    <x v="0"/>
    <x v="0"/>
    <n v="1"/>
    <n v="0"/>
    <n v="14"/>
    <n v="7"/>
    <n v="2"/>
    <n v="1"/>
    <n v="10"/>
    <n v="2"/>
    <x v="3"/>
  </r>
  <r>
    <x v="1606"/>
    <n v="19414"/>
    <n v="1"/>
    <n v="0"/>
    <n v="32"/>
    <n v="2"/>
    <n v="3"/>
    <n v="12"/>
    <n v="3"/>
    <n v="5"/>
    <n v="7"/>
    <n v="1"/>
    <n v="1"/>
    <n v="0"/>
    <n v="3"/>
    <n v="8"/>
    <n v="0"/>
    <n v="0"/>
    <n v="0"/>
    <n v="0"/>
    <n v="0"/>
    <x v="0"/>
    <n v="0"/>
    <n v="3"/>
    <n v="11"/>
    <n v="0"/>
    <n v="39"/>
    <n v="2415"/>
    <n v="6.6164383561643838"/>
    <n v="0"/>
    <n v="0"/>
    <n v="0"/>
    <n v="1"/>
    <n v="0"/>
    <n v="1"/>
    <n v="0"/>
    <n v="0"/>
    <n v="0"/>
    <n v="0"/>
    <n v="25"/>
    <n v="18"/>
    <n v="7"/>
    <n v="0"/>
    <x v="0"/>
    <x v="0"/>
    <x v="2"/>
    <x v="1"/>
    <x v="0"/>
    <x v="3"/>
    <n v="1"/>
    <n v="0"/>
    <n v="13"/>
    <n v="7"/>
    <n v="1"/>
    <n v="0"/>
    <n v="8"/>
    <n v="1"/>
    <x v="3"/>
  </r>
  <r>
    <x v="1607"/>
    <n v="22518"/>
    <n v="1"/>
    <n v="0"/>
    <n v="36"/>
    <n v="11"/>
    <n v="7"/>
    <n v="12"/>
    <n v="2"/>
    <n v="2"/>
    <n v="27"/>
    <n v="2"/>
    <n v="2"/>
    <n v="1"/>
    <n v="2"/>
    <n v="5"/>
    <n v="0"/>
    <n v="0"/>
    <n v="1"/>
    <n v="0"/>
    <n v="0"/>
    <x v="1"/>
    <n v="0"/>
    <n v="3"/>
    <n v="11"/>
    <n v="1"/>
    <n v="34"/>
    <n v="2774"/>
    <n v="7.6"/>
    <n v="0"/>
    <n v="1"/>
    <n v="0"/>
    <n v="0"/>
    <n v="0"/>
    <n v="0"/>
    <n v="0"/>
    <n v="1"/>
    <n v="0"/>
    <n v="0"/>
    <n v="34"/>
    <n v="7"/>
    <n v="27"/>
    <n v="1"/>
    <x v="0"/>
    <x v="0"/>
    <x v="0"/>
    <x v="0"/>
    <x v="0"/>
    <x v="3"/>
    <n v="1"/>
    <n v="0"/>
    <n v="12"/>
    <n v="7"/>
    <n v="1"/>
    <n v="1"/>
    <n v="9"/>
    <n v="1"/>
    <x v="3"/>
  </r>
  <r>
    <x v="1608"/>
    <n v="24762"/>
    <n v="1"/>
    <n v="0"/>
    <n v="16"/>
    <n v="6"/>
    <n v="10"/>
    <n v="12"/>
    <n v="3"/>
    <n v="15"/>
    <n v="40"/>
    <n v="3"/>
    <n v="3"/>
    <n v="1"/>
    <n v="2"/>
    <n v="8"/>
    <n v="0"/>
    <n v="0"/>
    <n v="1"/>
    <n v="0"/>
    <n v="0"/>
    <x v="1"/>
    <n v="0"/>
    <n v="3"/>
    <n v="11"/>
    <n v="1"/>
    <n v="48"/>
    <n v="2298"/>
    <n v="6.2958904109589042"/>
    <n v="0"/>
    <n v="0"/>
    <n v="1"/>
    <n v="0"/>
    <n v="0"/>
    <n v="0"/>
    <n v="0"/>
    <n v="1"/>
    <n v="0"/>
    <n v="0"/>
    <n v="46"/>
    <n v="6"/>
    <n v="40"/>
    <n v="1"/>
    <x v="0"/>
    <x v="0"/>
    <x v="1"/>
    <x v="0"/>
    <x v="0"/>
    <x v="0"/>
    <n v="0"/>
    <n v="0"/>
    <n v="17"/>
    <n v="9"/>
    <n v="3"/>
    <n v="2"/>
    <n v="14"/>
    <n v="4"/>
    <x v="3"/>
  </r>
  <r>
    <x v="1609"/>
    <n v="25224"/>
    <n v="1"/>
    <n v="0"/>
    <n v="36"/>
    <n v="4"/>
    <n v="9"/>
    <n v="12"/>
    <n v="11"/>
    <n v="2"/>
    <n v="8"/>
    <n v="2"/>
    <n v="1"/>
    <n v="1"/>
    <n v="3"/>
    <n v="3"/>
    <n v="0"/>
    <n v="0"/>
    <n v="0"/>
    <n v="0"/>
    <n v="0"/>
    <x v="0"/>
    <n v="0"/>
    <n v="3"/>
    <n v="11"/>
    <n v="0"/>
    <n v="48"/>
    <n v="2264"/>
    <n v="6.2027397260273975"/>
    <n v="0"/>
    <n v="1"/>
    <n v="0"/>
    <n v="0"/>
    <n v="0"/>
    <n v="0"/>
    <n v="1"/>
    <n v="0"/>
    <n v="0"/>
    <n v="0"/>
    <n v="38"/>
    <n v="30"/>
    <n v="8"/>
    <n v="0"/>
    <x v="0"/>
    <x v="0"/>
    <x v="0"/>
    <x v="2"/>
    <x v="0"/>
    <x v="0"/>
    <n v="1"/>
    <n v="0"/>
    <n v="10"/>
    <n v="7"/>
    <n v="0"/>
    <n v="1"/>
    <n v="8"/>
    <n v="1"/>
    <x v="3"/>
  </r>
  <r>
    <x v="1610"/>
    <n v="25959"/>
    <n v="1"/>
    <n v="1"/>
    <n v="1"/>
    <n v="4"/>
    <n v="2"/>
    <n v="12"/>
    <n v="7"/>
    <n v="5"/>
    <n v="26"/>
    <n v="2"/>
    <n v="1"/>
    <n v="2"/>
    <n v="2"/>
    <n v="6"/>
    <n v="0"/>
    <n v="0"/>
    <n v="0"/>
    <n v="0"/>
    <n v="0"/>
    <x v="0"/>
    <n v="0"/>
    <n v="3"/>
    <n v="11"/>
    <n v="1"/>
    <n v="50"/>
    <n v="2659"/>
    <n v="7.2849315068493148"/>
    <n v="1"/>
    <n v="0"/>
    <n v="0"/>
    <n v="0"/>
    <n v="0"/>
    <n v="1"/>
    <n v="0"/>
    <n v="0"/>
    <n v="0"/>
    <n v="0"/>
    <n v="30"/>
    <n v="4"/>
    <n v="26"/>
    <n v="0"/>
    <x v="0"/>
    <x v="0"/>
    <x v="3"/>
    <x v="1"/>
    <x v="0"/>
    <x v="0"/>
    <n v="0"/>
    <n v="0"/>
    <n v="13"/>
    <n v="10"/>
    <n v="1"/>
    <n v="1"/>
    <n v="12"/>
    <n v="3"/>
    <x v="3"/>
  </r>
  <r>
    <x v="1611"/>
    <n v="30298"/>
    <n v="0"/>
    <n v="0"/>
    <n v="48"/>
    <n v="6"/>
    <n v="3"/>
    <n v="12"/>
    <n v="6"/>
    <n v="1"/>
    <n v="0"/>
    <n v="1"/>
    <n v="1"/>
    <n v="1"/>
    <n v="3"/>
    <n v="3"/>
    <n v="0"/>
    <n v="0"/>
    <n v="0"/>
    <n v="0"/>
    <n v="0"/>
    <x v="0"/>
    <n v="0"/>
    <n v="3"/>
    <n v="11"/>
    <n v="0"/>
    <n v="35"/>
    <n v="2200"/>
    <n v="6.0273972602739727"/>
    <n v="0"/>
    <n v="0"/>
    <n v="1"/>
    <n v="0"/>
    <n v="0"/>
    <n v="0"/>
    <n v="0"/>
    <n v="0"/>
    <n v="0"/>
    <n v="1"/>
    <n v="28"/>
    <n v="28"/>
    <n v="0"/>
    <n v="0"/>
    <x v="1"/>
    <x v="1"/>
    <x v="1"/>
    <x v="1"/>
    <x v="0"/>
    <x v="3"/>
    <n v="1"/>
    <n v="0"/>
    <n v="9"/>
    <n v="6"/>
    <n v="0"/>
    <n v="0"/>
    <n v="6"/>
    <n v="0"/>
    <x v="4"/>
  </r>
  <r>
    <x v="1612"/>
    <n v="30372"/>
    <n v="1"/>
    <n v="1"/>
    <n v="33"/>
    <n v="15"/>
    <n v="0"/>
    <n v="12"/>
    <n v="7"/>
    <n v="3"/>
    <n v="7"/>
    <n v="3"/>
    <n v="2"/>
    <n v="0"/>
    <n v="3"/>
    <n v="7"/>
    <n v="0"/>
    <n v="0"/>
    <n v="0"/>
    <n v="0"/>
    <n v="0"/>
    <x v="0"/>
    <n v="0"/>
    <n v="3"/>
    <n v="11"/>
    <n v="0"/>
    <n v="49"/>
    <n v="2710"/>
    <n v="7.4246575342465757"/>
    <n v="0"/>
    <n v="0"/>
    <n v="0"/>
    <n v="0"/>
    <n v="1"/>
    <n v="0"/>
    <n v="0"/>
    <n v="1"/>
    <n v="0"/>
    <n v="0"/>
    <n v="37"/>
    <n v="30"/>
    <n v="7"/>
    <n v="0"/>
    <x v="0"/>
    <x v="0"/>
    <x v="4"/>
    <x v="0"/>
    <x v="0"/>
    <x v="0"/>
    <n v="1"/>
    <n v="0"/>
    <n v="15"/>
    <n v="7"/>
    <n v="2"/>
    <n v="1"/>
    <n v="10"/>
    <n v="2"/>
    <x v="3"/>
  </r>
  <r>
    <x v="1613"/>
    <n v="30390"/>
    <n v="0"/>
    <n v="0"/>
    <n v="5"/>
    <n v="10"/>
    <n v="12"/>
    <n v="12"/>
    <n v="25"/>
    <n v="1"/>
    <n v="20"/>
    <n v="1"/>
    <n v="2"/>
    <n v="0"/>
    <n v="3"/>
    <n v="6"/>
    <n v="0"/>
    <n v="0"/>
    <n v="0"/>
    <n v="0"/>
    <n v="0"/>
    <x v="0"/>
    <n v="0"/>
    <n v="3"/>
    <n v="11"/>
    <n v="0"/>
    <n v="33"/>
    <n v="2459"/>
    <n v="6.7369863013698632"/>
    <n v="0"/>
    <n v="1"/>
    <n v="0"/>
    <n v="0"/>
    <n v="0"/>
    <n v="1"/>
    <n v="0"/>
    <n v="0"/>
    <n v="0"/>
    <n v="0"/>
    <n v="60"/>
    <n v="40"/>
    <n v="20"/>
    <n v="0"/>
    <x v="1"/>
    <x v="1"/>
    <x v="0"/>
    <x v="1"/>
    <x v="0"/>
    <x v="3"/>
    <n v="0"/>
    <n v="0"/>
    <n v="12"/>
    <n v="10"/>
    <n v="1"/>
    <n v="2"/>
    <n v="13"/>
    <n v="3"/>
    <x v="3"/>
  </r>
  <r>
    <x v="1614"/>
    <n v="30630"/>
    <n v="1"/>
    <n v="1"/>
    <n v="67"/>
    <n v="27"/>
    <n v="1"/>
    <n v="12"/>
    <n v="2"/>
    <n v="0"/>
    <n v="10"/>
    <n v="2"/>
    <n v="2"/>
    <n v="0"/>
    <n v="3"/>
    <n v="7"/>
    <n v="0"/>
    <n v="0"/>
    <n v="0"/>
    <n v="0"/>
    <n v="0"/>
    <x v="0"/>
    <n v="0"/>
    <n v="3"/>
    <n v="11"/>
    <n v="0"/>
    <n v="55"/>
    <n v="2312"/>
    <n v="6.3342465753424655"/>
    <n v="1"/>
    <n v="0"/>
    <n v="0"/>
    <n v="0"/>
    <n v="0"/>
    <n v="0"/>
    <n v="0"/>
    <n v="1"/>
    <n v="0"/>
    <n v="0"/>
    <n v="42"/>
    <n v="32"/>
    <n v="10"/>
    <n v="0"/>
    <x v="0"/>
    <x v="0"/>
    <x v="3"/>
    <x v="0"/>
    <x v="0"/>
    <x v="1"/>
    <n v="1"/>
    <n v="0"/>
    <n v="14"/>
    <n v="4"/>
    <n v="2"/>
    <n v="1"/>
    <n v="7"/>
    <n v="1"/>
    <x v="3"/>
  </r>
  <r>
    <x v="1615"/>
    <n v="31385"/>
    <n v="1"/>
    <n v="0"/>
    <n v="56"/>
    <n v="3"/>
    <n v="2"/>
    <n v="12"/>
    <n v="0"/>
    <n v="1"/>
    <n v="9"/>
    <n v="1"/>
    <n v="1"/>
    <n v="0"/>
    <n v="2"/>
    <n v="8"/>
    <n v="0"/>
    <n v="0"/>
    <n v="1"/>
    <n v="0"/>
    <n v="0"/>
    <x v="1"/>
    <n v="0"/>
    <n v="3"/>
    <n v="11"/>
    <n v="1"/>
    <n v="36"/>
    <n v="2730"/>
    <n v="7.4794520547945202"/>
    <n v="0"/>
    <n v="0"/>
    <n v="1"/>
    <n v="0"/>
    <n v="0"/>
    <n v="0"/>
    <n v="0"/>
    <n v="0"/>
    <n v="1"/>
    <n v="0"/>
    <n v="18"/>
    <n v="9"/>
    <n v="9"/>
    <n v="1"/>
    <x v="0"/>
    <x v="0"/>
    <x v="1"/>
    <x v="1"/>
    <x v="0"/>
    <x v="3"/>
    <n v="1"/>
    <n v="0"/>
    <n v="12"/>
    <n v="5"/>
    <n v="1"/>
    <n v="0"/>
    <n v="6"/>
    <n v="0"/>
    <x v="4"/>
  </r>
  <r>
    <x v="1616"/>
    <n v="31632"/>
    <n v="0"/>
    <n v="0"/>
    <n v="92"/>
    <n v="17"/>
    <n v="8"/>
    <n v="12"/>
    <n v="11"/>
    <n v="15"/>
    <n v="32"/>
    <n v="1"/>
    <n v="2"/>
    <n v="1"/>
    <n v="2"/>
    <n v="7"/>
    <n v="0"/>
    <n v="0"/>
    <n v="0"/>
    <n v="0"/>
    <n v="0"/>
    <x v="0"/>
    <n v="0"/>
    <n v="3"/>
    <n v="11"/>
    <n v="0"/>
    <n v="49"/>
    <n v="2509"/>
    <n v="6.8739726027397259"/>
    <n v="0"/>
    <n v="0"/>
    <n v="1"/>
    <n v="0"/>
    <n v="0"/>
    <n v="0"/>
    <n v="0"/>
    <n v="1"/>
    <n v="0"/>
    <n v="0"/>
    <n v="63"/>
    <n v="31"/>
    <n v="32"/>
    <n v="0"/>
    <x v="1"/>
    <x v="1"/>
    <x v="1"/>
    <x v="0"/>
    <x v="0"/>
    <x v="0"/>
    <n v="1"/>
    <n v="1"/>
    <n v="13"/>
    <n v="0.99999999999999978"/>
    <n v="1"/>
    <n v="2"/>
    <n v="4"/>
    <n v="0"/>
    <x v="4"/>
  </r>
  <r>
    <x v="1617"/>
    <n v="32871"/>
    <n v="1"/>
    <n v="1"/>
    <n v="28"/>
    <n v="22"/>
    <n v="2"/>
    <n v="12"/>
    <n v="0"/>
    <n v="2"/>
    <n v="5"/>
    <n v="1"/>
    <n v="1"/>
    <n v="0"/>
    <n v="3"/>
    <n v="4"/>
    <n v="0"/>
    <n v="0"/>
    <n v="0"/>
    <n v="0"/>
    <n v="0"/>
    <x v="0"/>
    <n v="0"/>
    <n v="3"/>
    <n v="11"/>
    <n v="0"/>
    <n v="69"/>
    <n v="2636"/>
    <n v="7.2219178082191782"/>
    <n v="0"/>
    <n v="1"/>
    <n v="0"/>
    <n v="0"/>
    <n v="0"/>
    <n v="0"/>
    <n v="0"/>
    <n v="1"/>
    <n v="0"/>
    <n v="0"/>
    <n v="38"/>
    <n v="33"/>
    <n v="5"/>
    <n v="0"/>
    <x v="0"/>
    <x v="0"/>
    <x v="0"/>
    <x v="0"/>
    <x v="0"/>
    <x v="2"/>
    <n v="0"/>
    <n v="0"/>
    <n v="9"/>
    <n v="8"/>
    <n v="0"/>
    <n v="1"/>
    <n v="9"/>
    <n v="1"/>
    <x v="3"/>
  </r>
  <r>
    <x v="1618"/>
    <n v="32952"/>
    <n v="1"/>
    <n v="0"/>
    <n v="36"/>
    <n v="38"/>
    <n v="0"/>
    <n v="12"/>
    <n v="3"/>
    <n v="1"/>
    <n v="1"/>
    <n v="1"/>
    <n v="2"/>
    <n v="0"/>
    <n v="3"/>
    <n v="7"/>
    <n v="0"/>
    <n v="0"/>
    <n v="0"/>
    <n v="0"/>
    <n v="0"/>
    <x v="0"/>
    <n v="0"/>
    <n v="3"/>
    <n v="11"/>
    <n v="0"/>
    <n v="43"/>
    <n v="2369"/>
    <n v="6.4904109589041097"/>
    <n v="1"/>
    <n v="0"/>
    <n v="0"/>
    <n v="0"/>
    <n v="0"/>
    <n v="0"/>
    <n v="0"/>
    <n v="1"/>
    <n v="0"/>
    <n v="0"/>
    <n v="54"/>
    <n v="53"/>
    <n v="1"/>
    <n v="0"/>
    <x v="0"/>
    <x v="0"/>
    <x v="3"/>
    <x v="0"/>
    <x v="0"/>
    <x v="0"/>
    <n v="1"/>
    <n v="0"/>
    <n v="13"/>
    <n v="7"/>
    <n v="1"/>
    <n v="2"/>
    <n v="10"/>
    <n v="2"/>
    <x v="3"/>
  </r>
  <r>
    <x v="1619"/>
    <n v="33039"/>
    <n v="1"/>
    <n v="0"/>
    <n v="4"/>
    <n v="30"/>
    <n v="8"/>
    <n v="12"/>
    <n v="8"/>
    <n v="8"/>
    <n v="12"/>
    <n v="1"/>
    <n v="2"/>
    <n v="0"/>
    <n v="4"/>
    <n v="5"/>
    <n v="0"/>
    <n v="0"/>
    <n v="0"/>
    <n v="0"/>
    <n v="0"/>
    <x v="0"/>
    <n v="0"/>
    <n v="3"/>
    <n v="11"/>
    <n v="0"/>
    <n v="42"/>
    <n v="2452"/>
    <n v="6.7178082191780826"/>
    <n v="0"/>
    <n v="1"/>
    <n v="0"/>
    <n v="0"/>
    <n v="0"/>
    <n v="0"/>
    <n v="0"/>
    <n v="1"/>
    <n v="0"/>
    <n v="0"/>
    <n v="66"/>
    <n v="54"/>
    <n v="12"/>
    <n v="0"/>
    <x v="0"/>
    <x v="0"/>
    <x v="0"/>
    <x v="0"/>
    <x v="0"/>
    <x v="0"/>
    <n v="0"/>
    <n v="0"/>
    <n v="12"/>
    <n v="10"/>
    <n v="1"/>
    <n v="2"/>
    <n v="13"/>
    <n v="3"/>
    <x v="3"/>
  </r>
  <r>
    <x v="1620"/>
    <n v="33419"/>
    <n v="0"/>
    <n v="1"/>
    <n v="76"/>
    <n v="56"/>
    <n v="0"/>
    <n v="12"/>
    <n v="0"/>
    <n v="0"/>
    <n v="18"/>
    <n v="2"/>
    <n v="2"/>
    <n v="0"/>
    <n v="4"/>
    <n v="7"/>
    <n v="0"/>
    <n v="0"/>
    <n v="0"/>
    <n v="0"/>
    <n v="0"/>
    <x v="0"/>
    <n v="0"/>
    <n v="3"/>
    <n v="11"/>
    <n v="0"/>
    <n v="58"/>
    <n v="2475"/>
    <n v="6.7808219178082192"/>
    <n v="0"/>
    <n v="0"/>
    <n v="1"/>
    <n v="0"/>
    <n v="0"/>
    <n v="0"/>
    <n v="0"/>
    <n v="0"/>
    <n v="0"/>
    <n v="1"/>
    <n v="68"/>
    <n v="50"/>
    <n v="18"/>
    <n v="0"/>
    <x v="0"/>
    <x v="0"/>
    <x v="1"/>
    <x v="1"/>
    <x v="0"/>
    <x v="1"/>
    <n v="1"/>
    <n v="0"/>
    <n v="15"/>
    <n v="3.0000000000000004"/>
    <n v="2"/>
    <n v="2"/>
    <n v="7"/>
    <n v="1"/>
    <x v="3"/>
  </r>
  <r>
    <x v="1621"/>
    <n v="33562"/>
    <n v="1"/>
    <n v="2"/>
    <n v="33"/>
    <n v="21"/>
    <n v="12"/>
    <n v="12"/>
    <n v="0"/>
    <n v="3"/>
    <n v="3"/>
    <n v="3"/>
    <n v="2"/>
    <n v="0"/>
    <n v="4"/>
    <n v="4"/>
    <n v="0"/>
    <n v="0"/>
    <n v="0"/>
    <n v="0"/>
    <n v="0"/>
    <x v="0"/>
    <n v="0"/>
    <n v="3"/>
    <n v="11"/>
    <n v="0"/>
    <n v="57"/>
    <n v="2163"/>
    <n v="5.9260273972602739"/>
    <n v="0"/>
    <n v="1"/>
    <n v="0"/>
    <n v="0"/>
    <n v="0"/>
    <n v="0"/>
    <n v="0"/>
    <n v="0"/>
    <n v="1"/>
    <n v="0"/>
    <n v="48"/>
    <n v="45"/>
    <n v="3"/>
    <n v="0"/>
    <x v="0"/>
    <x v="0"/>
    <x v="0"/>
    <x v="1"/>
    <x v="0"/>
    <x v="1"/>
    <n v="1"/>
    <n v="0"/>
    <n v="13"/>
    <n v="7"/>
    <n v="1"/>
    <n v="2"/>
    <n v="10"/>
    <n v="2"/>
    <x v="3"/>
  </r>
  <r>
    <x v="1622"/>
    <n v="35246"/>
    <n v="1"/>
    <n v="1"/>
    <n v="53"/>
    <n v="36"/>
    <n v="0"/>
    <n v="12"/>
    <n v="2"/>
    <n v="2"/>
    <n v="10"/>
    <n v="4"/>
    <n v="3"/>
    <n v="1"/>
    <n v="3"/>
    <n v="5"/>
    <n v="0"/>
    <n v="0"/>
    <n v="0"/>
    <n v="0"/>
    <n v="0"/>
    <x v="0"/>
    <n v="0"/>
    <n v="3"/>
    <n v="11"/>
    <n v="0"/>
    <n v="62"/>
    <n v="2233"/>
    <n v="6.117808219178082"/>
    <n v="1"/>
    <n v="0"/>
    <n v="0"/>
    <n v="0"/>
    <n v="0"/>
    <n v="0"/>
    <n v="0"/>
    <n v="1"/>
    <n v="0"/>
    <n v="0"/>
    <n v="52"/>
    <n v="42"/>
    <n v="10"/>
    <n v="0"/>
    <x v="0"/>
    <x v="0"/>
    <x v="3"/>
    <x v="0"/>
    <x v="3"/>
    <x v="2"/>
    <n v="1"/>
    <n v="0"/>
    <n v="16"/>
    <n v="5"/>
    <n v="3"/>
    <n v="2"/>
    <n v="10"/>
    <n v="2"/>
    <x v="3"/>
  </r>
  <r>
    <x v="1623"/>
    <n v="35340"/>
    <n v="1"/>
    <n v="1"/>
    <n v="1"/>
    <n v="27"/>
    <n v="0"/>
    <n v="12"/>
    <n v="0"/>
    <n v="1"/>
    <n v="5"/>
    <n v="2"/>
    <n v="2"/>
    <n v="0"/>
    <n v="3"/>
    <n v="5"/>
    <n v="0"/>
    <n v="0"/>
    <n v="0"/>
    <n v="0"/>
    <n v="0"/>
    <x v="0"/>
    <n v="0"/>
    <n v="3"/>
    <n v="11"/>
    <n v="0"/>
    <n v="64"/>
    <n v="2159"/>
    <n v="5.9150684931506845"/>
    <n v="0"/>
    <n v="0"/>
    <n v="0"/>
    <n v="0"/>
    <n v="1"/>
    <n v="0"/>
    <n v="0"/>
    <n v="0"/>
    <n v="0"/>
    <n v="1"/>
    <n v="40"/>
    <n v="35"/>
    <n v="5"/>
    <n v="0"/>
    <x v="0"/>
    <x v="0"/>
    <x v="4"/>
    <x v="1"/>
    <x v="3"/>
    <x v="2"/>
    <n v="0"/>
    <n v="0"/>
    <n v="12"/>
    <n v="10"/>
    <n v="1"/>
    <n v="1"/>
    <n v="12"/>
    <n v="3"/>
    <x v="3"/>
  </r>
  <r>
    <x v="1624"/>
    <n v="35704"/>
    <n v="1"/>
    <n v="1"/>
    <n v="54"/>
    <n v="30"/>
    <n v="9"/>
    <n v="12"/>
    <n v="2"/>
    <n v="11"/>
    <n v="30"/>
    <n v="3"/>
    <n v="2"/>
    <n v="0"/>
    <n v="4"/>
    <n v="4"/>
    <n v="0"/>
    <n v="0"/>
    <n v="0"/>
    <n v="0"/>
    <n v="0"/>
    <x v="0"/>
    <n v="0"/>
    <n v="3"/>
    <n v="11"/>
    <n v="0"/>
    <n v="68"/>
    <n v="2336"/>
    <n v="6.4"/>
    <n v="0"/>
    <n v="1"/>
    <n v="0"/>
    <n v="0"/>
    <n v="0"/>
    <n v="0"/>
    <n v="0"/>
    <n v="1"/>
    <n v="0"/>
    <n v="0"/>
    <n v="64"/>
    <n v="34"/>
    <n v="30"/>
    <n v="0"/>
    <x v="0"/>
    <x v="0"/>
    <x v="0"/>
    <x v="0"/>
    <x v="3"/>
    <x v="2"/>
    <n v="1"/>
    <n v="0"/>
    <n v="13"/>
    <n v="5"/>
    <n v="1"/>
    <n v="2"/>
    <n v="8"/>
    <n v="1"/>
    <x v="3"/>
  </r>
  <r>
    <x v="1625"/>
    <n v="36921"/>
    <n v="1"/>
    <n v="1"/>
    <n v="74"/>
    <n v="17"/>
    <n v="1"/>
    <n v="12"/>
    <n v="3"/>
    <n v="1"/>
    <n v="4"/>
    <n v="2"/>
    <n v="2"/>
    <n v="0"/>
    <n v="3"/>
    <n v="7"/>
    <n v="0"/>
    <n v="0"/>
    <n v="0"/>
    <n v="0"/>
    <n v="0"/>
    <x v="0"/>
    <n v="0"/>
    <n v="3"/>
    <n v="11"/>
    <n v="0"/>
    <n v="55"/>
    <n v="2495"/>
    <n v="6.8356164383561646"/>
    <n v="1"/>
    <n v="0"/>
    <n v="0"/>
    <n v="0"/>
    <n v="0"/>
    <n v="0"/>
    <n v="0"/>
    <n v="0"/>
    <n v="0"/>
    <n v="1"/>
    <n v="34"/>
    <n v="30"/>
    <n v="4"/>
    <n v="0"/>
    <x v="0"/>
    <x v="0"/>
    <x v="3"/>
    <x v="1"/>
    <x v="3"/>
    <x v="1"/>
    <n v="1"/>
    <n v="0"/>
    <n v="14"/>
    <n v="3.0000000000000004"/>
    <n v="2"/>
    <n v="1"/>
    <n v="6"/>
    <n v="0"/>
    <x v="4"/>
  </r>
  <r>
    <x v="1626"/>
    <n v="36997"/>
    <n v="1"/>
    <n v="1"/>
    <n v="72"/>
    <n v="43"/>
    <n v="4"/>
    <n v="12"/>
    <n v="8"/>
    <n v="0"/>
    <n v="27"/>
    <n v="5"/>
    <n v="2"/>
    <n v="1"/>
    <n v="4"/>
    <n v="5"/>
    <n v="0"/>
    <n v="0"/>
    <n v="0"/>
    <n v="0"/>
    <n v="0"/>
    <x v="0"/>
    <n v="0"/>
    <n v="3"/>
    <n v="11"/>
    <n v="0"/>
    <n v="52"/>
    <n v="2672"/>
    <n v="7.3205479452054796"/>
    <n v="1"/>
    <n v="0"/>
    <n v="0"/>
    <n v="0"/>
    <n v="0"/>
    <n v="0"/>
    <n v="0"/>
    <n v="1"/>
    <n v="0"/>
    <n v="0"/>
    <n v="67"/>
    <n v="40"/>
    <n v="27"/>
    <n v="0"/>
    <x v="0"/>
    <x v="0"/>
    <x v="3"/>
    <x v="0"/>
    <x v="3"/>
    <x v="1"/>
    <n v="1"/>
    <n v="0"/>
    <n v="17"/>
    <n v="3.0000000000000004"/>
    <n v="3"/>
    <n v="2"/>
    <n v="8"/>
    <n v="1"/>
    <x v="3"/>
  </r>
  <r>
    <x v="1627"/>
    <n v="41658"/>
    <n v="1"/>
    <n v="1"/>
    <n v="30"/>
    <n v="8"/>
    <n v="4"/>
    <n v="12"/>
    <n v="15"/>
    <n v="4"/>
    <n v="29"/>
    <n v="2"/>
    <n v="1"/>
    <n v="1"/>
    <n v="2"/>
    <n v="4"/>
    <n v="0"/>
    <n v="0"/>
    <n v="0"/>
    <n v="0"/>
    <n v="0"/>
    <x v="0"/>
    <n v="0"/>
    <n v="3"/>
    <n v="11"/>
    <n v="0"/>
    <n v="45"/>
    <n v="2756"/>
    <n v="7.5506849315068489"/>
    <n v="0"/>
    <n v="0"/>
    <n v="1"/>
    <n v="0"/>
    <n v="0"/>
    <n v="1"/>
    <n v="0"/>
    <n v="0"/>
    <n v="0"/>
    <n v="0"/>
    <n v="43"/>
    <n v="14"/>
    <n v="29"/>
    <n v="0"/>
    <x v="0"/>
    <x v="0"/>
    <x v="1"/>
    <x v="1"/>
    <x v="3"/>
    <x v="0"/>
    <n v="0"/>
    <n v="0"/>
    <n v="10"/>
    <n v="7"/>
    <n v="0"/>
    <n v="1"/>
    <n v="8"/>
    <n v="1"/>
    <x v="3"/>
  </r>
  <r>
    <x v="1628"/>
    <n v="43602"/>
    <n v="1"/>
    <n v="1"/>
    <n v="45"/>
    <n v="19"/>
    <n v="5"/>
    <n v="12"/>
    <n v="10"/>
    <n v="3"/>
    <n v="19"/>
    <n v="3"/>
    <n v="3"/>
    <n v="1"/>
    <n v="2"/>
    <n v="6"/>
    <n v="0"/>
    <n v="0"/>
    <n v="0"/>
    <n v="0"/>
    <n v="0"/>
    <x v="0"/>
    <n v="0"/>
    <n v="3"/>
    <n v="11"/>
    <n v="0"/>
    <n v="54"/>
    <n v="2329"/>
    <n v="6.3808219178082188"/>
    <n v="0"/>
    <n v="0"/>
    <n v="1"/>
    <n v="0"/>
    <n v="0"/>
    <n v="0"/>
    <n v="0"/>
    <n v="1"/>
    <n v="0"/>
    <n v="0"/>
    <n v="49"/>
    <n v="30"/>
    <n v="19"/>
    <n v="0"/>
    <x v="0"/>
    <x v="0"/>
    <x v="1"/>
    <x v="0"/>
    <x v="3"/>
    <x v="1"/>
    <n v="1"/>
    <n v="0"/>
    <n v="15"/>
    <n v="6"/>
    <n v="2"/>
    <n v="2"/>
    <n v="10"/>
    <n v="2"/>
    <x v="3"/>
  </r>
  <r>
    <x v="1629"/>
    <n v="47139"/>
    <n v="1"/>
    <n v="1"/>
    <n v="2"/>
    <n v="46"/>
    <n v="0"/>
    <n v="12"/>
    <n v="0"/>
    <n v="2"/>
    <n v="23"/>
    <n v="2"/>
    <n v="2"/>
    <n v="1"/>
    <n v="2"/>
    <n v="7"/>
    <n v="0"/>
    <n v="0"/>
    <n v="0"/>
    <n v="0"/>
    <n v="0"/>
    <x v="0"/>
    <n v="0"/>
    <n v="3"/>
    <n v="11"/>
    <n v="1"/>
    <n v="68"/>
    <n v="2274"/>
    <n v="6.2301369863013702"/>
    <n v="0"/>
    <n v="0"/>
    <n v="1"/>
    <n v="0"/>
    <n v="0"/>
    <n v="0"/>
    <n v="0"/>
    <n v="1"/>
    <n v="0"/>
    <n v="0"/>
    <n v="60"/>
    <n v="37"/>
    <n v="23"/>
    <n v="0"/>
    <x v="0"/>
    <x v="0"/>
    <x v="1"/>
    <x v="0"/>
    <x v="3"/>
    <x v="2"/>
    <n v="0"/>
    <n v="0"/>
    <n v="14"/>
    <n v="10"/>
    <n v="2"/>
    <n v="2"/>
    <n v="14"/>
    <n v="4"/>
    <x v="3"/>
  </r>
  <r>
    <x v="1630"/>
    <n v="52074"/>
    <n v="0"/>
    <n v="1"/>
    <n v="77"/>
    <n v="59"/>
    <n v="0"/>
    <n v="12"/>
    <n v="0"/>
    <n v="0"/>
    <n v="48"/>
    <n v="1"/>
    <n v="2"/>
    <n v="2"/>
    <n v="2"/>
    <n v="4"/>
    <n v="0"/>
    <n v="0"/>
    <n v="1"/>
    <n v="0"/>
    <n v="0"/>
    <x v="1"/>
    <n v="0"/>
    <n v="3"/>
    <n v="11"/>
    <n v="0"/>
    <n v="53"/>
    <n v="2245"/>
    <n v="6.1506849315068495"/>
    <n v="0"/>
    <n v="0"/>
    <n v="1"/>
    <n v="0"/>
    <n v="0"/>
    <n v="0"/>
    <n v="0"/>
    <n v="1"/>
    <n v="0"/>
    <n v="0"/>
    <n v="71"/>
    <n v="23"/>
    <n v="48"/>
    <n v="1"/>
    <x v="0"/>
    <x v="0"/>
    <x v="1"/>
    <x v="0"/>
    <x v="2"/>
    <x v="1"/>
    <n v="1"/>
    <n v="0"/>
    <n v="11"/>
    <n v="3.0000000000000004"/>
    <n v="0"/>
    <n v="3"/>
    <n v="6"/>
    <n v="0"/>
    <x v="4"/>
  </r>
  <r>
    <x v="1631"/>
    <n v="53312"/>
    <n v="0"/>
    <n v="0"/>
    <n v="32"/>
    <n v="241"/>
    <n v="0"/>
    <n v="12"/>
    <n v="0"/>
    <n v="0"/>
    <n v="25"/>
    <n v="1"/>
    <n v="5"/>
    <n v="1"/>
    <n v="5"/>
    <n v="7"/>
    <n v="0"/>
    <n v="0"/>
    <n v="0"/>
    <n v="0"/>
    <n v="0"/>
    <x v="0"/>
    <n v="0"/>
    <n v="3"/>
    <n v="11"/>
    <n v="0"/>
    <n v="69"/>
    <n v="2483"/>
    <n v="6.8027397260273972"/>
    <n v="0"/>
    <n v="1"/>
    <n v="0"/>
    <n v="0"/>
    <n v="0"/>
    <n v="0"/>
    <n v="0"/>
    <n v="0"/>
    <n v="0"/>
    <n v="1"/>
    <n v="253"/>
    <n v="228"/>
    <n v="25"/>
    <n v="0"/>
    <x v="1"/>
    <x v="1"/>
    <x v="0"/>
    <x v="1"/>
    <x v="2"/>
    <x v="2"/>
    <n v="1"/>
    <n v="0"/>
    <n v="19"/>
    <n v="7"/>
    <n v="4"/>
    <n v="4"/>
    <n v="15"/>
    <n v="4"/>
    <x v="3"/>
  </r>
  <r>
    <x v="1632"/>
    <n v="55761"/>
    <n v="0"/>
    <n v="1"/>
    <n v="97"/>
    <n v="136"/>
    <n v="1"/>
    <n v="12"/>
    <n v="0"/>
    <n v="3"/>
    <n v="32"/>
    <n v="2"/>
    <n v="4"/>
    <n v="1"/>
    <n v="3"/>
    <n v="6"/>
    <n v="0"/>
    <n v="0"/>
    <n v="0"/>
    <n v="1"/>
    <n v="0"/>
    <x v="1"/>
    <n v="0"/>
    <n v="3"/>
    <n v="11"/>
    <n v="0"/>
    <n v="56"/>
    <n v="2225"/>
    <n v="6.095890410958904"/>
    <n v="0"/>
    <n v="0"/>
    <n v="0"/>
    <n v="1"/>
    <n v="0"/>
    <n v="0"/>
    <n v="0"/>
    <n v="1"/>
    <n v="0"/>
    <n v="0"/>
    <n v="152"/>
    <n v="120"/>
    <n v="32"/>
    <n v="1"/>
    <x v="0"/>
    <x v="0"/>
    <x v="2"/>
    <x v="0"/>
    <x v="2"/>
    <x v="1"/>
    <n v="1"/>
    <n v="1"/>
    <n v="16"/>
    <n v="0.99999999999999978"/>
    <n v="3"/>
    <n v="3"/>
    <n v="7"/>
    <n v="1"/>
    <x v="3"/>
  </r>
  <r>
    <x v="1633"/>
    <n v="59062"/>
    <n v="2"/>
    <n v="1"/>
    <n v="74"/>
    <n v="46"/>
    <n v="1"/>
    <n v="12"/>
    <n v="3"/>
    <n v="0"/>
    <n v="9"/>
    <n v="2"/>
    <n v="2"/>
    <n v="0"/>
    <n v="3"/>
    <n v="4"/>
    <n v="0"/>
    <n v="0"/>
    <n v="0"/>
    <n v="0"/>
    <n v="0"/>
    <x v="0"/>
    <n v="0"/>
    <n v="3"/>
    <n v="11"/>
    <n v="0"/>
    <n v="53"/>
    <n v="2428"/>
    <n v="6.6520547945205477"/>
    <n v="0"/>
    <n v="1"/>
    <n v="0"/>
    <n v="0"/>
    <n v="0"/>
    <n v="0"/>
    <n v="0"/>
    <n v="0"/>
    <n v="0"/>
    <n v="1"/>
    <n v="62"/>
    <n v="53"/>
    <n v="9"/>
    <n v="0"/>
    <x v="0"/>
    <x v="0"/>
    <x v="0"/>
    <x v="1"/>
    <x v="2"/>
    <x v="1"/>
    <n v="1"/>
    <n v="0"/>
    <n v="11"/>
    <n v="3.0000000000000004"/>
    <n v="0"/>
    <n v="2"/>
    <n v="5"/>
    <n v="0"/>
    <x v="4"/>
  </r>
  <r>
    <x v="1634"/>
    <n v="7500"/>
    <n v="0"/>
    <n v="0"/>
    <n v="59"/>
    <n v="6"/>
    <n v="16"/>
    <n v="11"/>
    <n v="11"/>
    <n v="1"/>
    <n v="16"/>
    <n v="1"/>
    <n v="2"/>
    <n v="0"/>
    <n v="3"/>
    <n v="8"/>
    <n v="0"/>
    <n v="0"/>
    <n v="0"/>
    <n v="0"/>
    <n v="0"/>
    <x v="0"/>
    <n v="0"/>
    <n v="3"/>
    <n v="11"/>
    <n v="0"/>
    <n v="44"/>
    <n v="2752"/>
    <n v="7.5397260273972604"/>
    <n v="0"/>
    <n v="1"/>
    <n v="0"/>
    <n v="0"/>
    <n v="0"/>
    <n v="0"/>
    <n v="1"/>
    <n v="0"/>
    <n v="0"/>
    <n v="0"/>
    <n v="45"/>
    <n v="29"/>
    <n v="16"/>
    <n v="0"/>
    <x v="1"/>
    <x v="1"/>
    <x v="0"/>
    <x v="2"/>
    <x v="0"/>
    <x v="0"/>
    <n v="1"/>
    <n v="0"/>
    <n v="14"/>
    <n v="4"/>
    <n v="2"/>
    <n v="2"/>
    <n v="8"/>
    <n v="1"/>
    <x v="3"/>
  </r>
  <r>
    <x v="1635"/>
    <n v="7500"/>
    <n v="1"/>
    <n v="0"/>
    <n v="7"/>
    <n v="2"/>
    <n v="8"/>
    <n v="11"/>
    <n v="3"/>
    <n v="8"/>
    <n v="21"/>
    <n v="4"/>
    <n v="3"/>
    <n v="2"/>
    <n v="2"/>
    <n v="7"/>
    <n v="0"/>
    <n v="0"/>
    <n v="0"/>
    <n v="0"/>
    <n v="0"/>
    <x v="0"/>
    <n v="0"/>
    <n v="3"/>
    <n v="11"/>
    <n v="0"/>
    <n v="41"/>
    <n v="2577"/>
    <n v="7.0602739726027401"/>
    <n v="0"/>
    <n v="0"/>
    <n v="0"/>
    <n v="1"/>
    <n v="0"/>
    <n v="1"/>
    <n v="0"/>
    <n v="0"/>
    <n v="0"/>
    <n v="0"/>
    <n v="32"/>
    <n v="11"/>
    <n v="21"/>
    <n v="0"/>
    <x v="0"/>
    <x v="0"/>
    <x v="2"/>
    <x v="1"/>
    <x v="0"/>
    <x v="0"/>
    <n v="0"/>
    <n v="0"/>
    <n v="18"/>
    <n v="10"/>
    <n v="4"/>
    <n v="1"/>
    <n v="15"/>
    <n v="4"/>
    <x v="3"/>
  </r>
  <r>
    <x v="1636"/>
    <n v="10404"/>
    <n v="1"/>
    <n v="0"/>
    <n v="52"/>
    <n v="2"/>
    <n v="2"/>
    <n v="11"/>
    <n v="10"/>
    <n v="6"/>
    <n v="12"/>
    <n v="2"/>
    <n v="1"/>
    <n v="0"/>
    <n v="4"/>
    <n v="5"/>
    <n v="0"/>
    <n v="0"/>
    <n v="0"/>
    <n v="0"/>
    <n v="0"/>
    <x v="0"/>
    <n v="0"/>
    <n v="3"/>
    <n v="11"/>
    <n v="0"/>
    <n v="31"/>
    <n v="2215"/>
    <n v="6.0684931506849313"/>
    <n v="0"/>
    <n v="0"/>
    <n v="0"/>
    <n v="1"/>
    <n v="0"/>
    <n v="1"/>
    <n v="0"/>
    <n v="0"/>
    <n v="0"/>
    <n v="0"/>
    <n v="31"/>
    <n v="19"/>
    <n v="12"/>
    <n v="0"/>
    <x v="0"/>
    <x v="0"/>
    <x v="2"/>
    <x v="1"/>
    <x v="0"/>
    <x v="3"/>
    <n v="1"/>
    <n v="0"/>
    <n v="12"/>
    <n v="5"/>
    <n v="1"/>
    <n v="1"/>
    <n v="7"/>
    <n v="1"/>
    <x v="3"/>
  </r>
  <r>
    <x v="1637"/>
    <n v="14188"/>
    <n v="0"/>
    <n v="0"/>
    <n v="40"/>
    <n v="2"/>
    <n v="7"/>
    <n v="11"/>
    <n v="16"/>
    <n v="12"/>
    <n v="27"/>
    <n v="1"/>
    <n v="2"/>
    <n v="0"/>
    <n v="4"/>
    <n v="6"/>
    <n v="0"/>
    <n v="0"/>
    <n v="0"/>
    <n v="0"/>
    <n v="0"/>
    <x v="0"/>
    <n v="0"/>
    <n v="3"/>
    <n v="11"/>
    <n v="0"/>
    <n v="48"/>
    <n v="2645"/>
    <n v="7.2465753424657535"/>
    <n v="0"/>
    <n v="1"/>
    <n v="0"/>
    <n v="0"/>
    <n v="0"/>
    <n v="0"/>
    <n v="1"/>
    <n v="0"/>
    <n v="0"/>
    <n v="0"/>
    <n v="48"/>
    <n v="21"/>
    <n v="27"/>
    <n v="0"/>
    <x v="1"/>
    <x v="1"/>
    <x v="0"/>
    <x v="2"/>
    <x v="0"/>
    <x v="0"/>
    <n v="1"/>
    <n v="0"/>
    <n v="13"/>
    <n v="6"/>
    <n v="1"/>
    <n v="2"/>
    <n v="9"/>
    <n v="1"/>
    <x v="3"/>
  </r>
  <r>
    <x v="1638"/>
    <n v="14661"/>
    <n v="0"/>
    <n v="0"/>
    <n v="88"/>
    <n v="4"/>
    <n v="1"/>
    <n v="11"/>
    <n v="6"/>
    <n v="2"/>
    <n v="2"/>
    <n v="1"/>
    <n v="1"/>
    <n v="0"/>
    <n v="3"/>
    <n v="6"/>
    <n v="0"/>
    <n v="0"/>
    <n v="0"/>
    <n v="0"/>
    <n v="0"/>
    <x v="0"/>
    <n v="0"/>
    <n v="3"/>
    <n v="11"/>
    <n v="0"/>
    <n v="64"/>
    <n v="2703"/>
    <n v="7.4054794520547942"/>
    <n v="0"/>
    <n v="0"/>
    <n v="0"/>
    <n v="1"/>
    <n v="0"/>
    <n v="0"/>
    <n v="0"/>
    <n v="0"/>
    <n v="1"/>
    <n v="0"/>
    <n v="24"/>
    <n v="22"/>
    <n v="2"/>
    <n v="0"/>
    <x v="1"/>
    <x v="1"/>
    <x v="2"/>
    <x v="1"/>
    <x v="0"/>
    <x v="2"/>
    <n v="1"/>
    <n v="0"/>
    <n v="11"/>
    <n v="1.9999999999999996"/>
    <n v="0"/>
    <n v="0"/>
    <n v="1.9999999999999996"/>
    <n v="0"/>
    <x v="4"/>
  </r>
  <r>
    <x v="1639"/>
    <n v="15038"/>
    <n v="1"/>
    <n v="0"/>
    <n v="93"/>
    <n v="4"/>
    <n v="8"/>
    <n v="11"/>
    <n v="19"/>
    <n v="12"/>
    <n v="26"/>
    <n v="2"/>
    <n v="2"/>
    <n v="1"/>
    <n v="2"/>
    <n v="9"/>
    <n v="0"/>
    <n v="0"/>
    <n v="0"/>
    <n v="0"/>
    <n v="0"/>
    <x v="0"/>
    <n v="0"/>
    <n v="3"/>
    <n v="11"/>
    <n v="0"/>
    <n v="33"/>
    <n v="2675"/>
    <n v="7.3287671232876717"/>
    <n v="0"/>
    <n v="0"/>
    <n v="1"/>
    <n v="0"/>
    <n v="0"/>
    <n v="0"/>
    <n v="1"/>
    <n v="0"/>
    <n v="0"/>
    <n v="0"/>
    <n v="54"/>
    <n v="28"/>
    <n v="26"/>
    <n v="0"/>
    <x v="0"/>
    <x v="0"/>
    <x v="1"/>
    <x v="2"/>
    <x v="0"/>
    <x v="3"/>
    <n v="1"/>
    <n v="1"/>
    <n v="16"/>
    <n v="0.99999999999999978"/>
    <n v="3"/>
    <n v="2"/>
    <n v="6"/>
    <n v="0"/>
    <x v="4"/>
  </r>
  <r>
    <x v="1640"/>
    <n v="16813"/>
    <n v="0"/>
    <n v="0"/>
    <n v="49"/>
    <n v="4"/>
    <n v="8"/>
    <n v="11"/>
    <n v="12"/>
    <n v="2"/>
    <n v="13"/>
    <n v="1"/>
    <n v="2"/>
    <n v="0"/>
    <n v="3"/>
    <n v="7"/>
    <n v="0"/>
    <n v="0"/>
    <n v="1"/>
    <n v="0"/>
    <n v="0"/>
    <x v="1"/>
    <n v="0"/>
    <n v="3"/>
    <n v="11"/>
    <n v="0"/>
    <n v="70"/>
    <n v="2504"/>
    <n v="6.86027397260274"/>
    <n v="0"/>
    <n v="0"/>
    <n v="1"/>
    <n v="0"/>
    <n v="0"/>
    <n v="0"/>
    <n v="0"/>
    <n v="1"/>
    <n v="0"/>
    <n v="0"/>
    <n v="37"/>
    <n v="24"/>
    <n v="13"/>
    <n v="1"/>
    <x v="1"/>
    <x v="1"/>
    <x v="1"/>
    <x v="0"/>
    <x v="0"/>
    <x v="2"/>
    <n v="1"/>
    <n v="0"/>
    <n v="13"/>
    <n v="6"/>
    <n v="1"/>
    <n v="1"/>
    <n v="8"/>
    <n v="1"/>
    <x v="3"/>
  </r>
  <r>
    <x v="1641"/>
    <n v="17148"/>
    <n v="1"/>
    <n v="0"/>
    <n v="80"/>
    <n v="9"/>
    <n v="9"/>
    <n v="11"/>
    <n v="13"/>
    <n v="10"/>
    <n v="16"/>
    <n v="4"/>
    <n v="3"/>
    <n v="1"/>
    <n v="3"/>
    <n v="8"/>
    <n v="0"/>
    <n v="0"/>
    <n v="0"/>
    <n v="0"/>
    <n v="0"/>
    <x v="0"/>
    <n v="0"/>
    <n v="3"/>
    <n v="11"/>
    <n v="0"/>
    <n v="44"/>
    <n v="2311"/>
    <n v="6.3315068493150681"/>
    <n v="0"/>
    <n v="1"/>
    <n v="0"/>
    <n v="0"/>
    <n v="0"/>
    <n v="0"/>
    <n v="0"/>
    <n v="1"/>
    <n v="0"/>
    <n v="0"/>
    <n v="52"/>
    <n v="36"/>
    <n v="16"/>
    <n v="0"/>
    <x v="0"/>
    <x v="0"/>
    <x v="0"/>
    <x v="0"/>
    <x v="0"/>
    <x v="0"/>
    <n v="1"/>
    <n v="0"/>
    <n v="19"/>
    <n v="1.9999999999999996"/>
    <n v="4"/>
    <n v="2"/>
    <n v="8"/>
    <n v="1"/>
    <x v="3"/>
  </r>
  <r>
    <x v="1642"/>
    <n v="18746"/>
    <n v="1"/>
    <n v="0"/>
    <n v="41"/>
    <n v="2"/>
    <n v="10"/>
    <n v="11"/>
    <n v="12"/>
    <n v="9"/>
    <n v="20"/>
    <n v="2"/>
    <n v="3"/>
    <n v="0"/>
    <n v="3"/>
    <n v="6"/>
    <n v="0"/>
    <n v="0"/>
    <n v="0"/>
    <n v="0"/>
    <n v="0"/>
    <x v="0"/>
    <n v="0"/>
    <n v="3"/>
    <n v="11"/>
    <n v="0"/>
    <n v="28"/>
    <n v="2190"/>
    <n v="6"/>
    <n v="0"/>
    <n v="0"/>
    <n v="1"/>
    <n v="0"/>
    <n v="0"/>
    <n v="0"/>
    <n v="1"/>
    <n v="0"/>
    <n v="0"/>
    <n v="0"/>
    <n v="44"/>
    <n v="24"/>
    <n v="20"/>
    <n v="0"/>
    <x v="0"/>
    <x v="0"/>
    <x v="1"/>
    <x v="2"/>
    <x v="0"/>
    <x v="4"/>
    <n v="1"/>
    <n v="0"/>
    <n v="14"/>
    <n v="6"/>
    <n v="2"/>
    <n v="2"/>
    <n v="10"/>
    <n v="2"/>
    <x v="3"/>
  </r>
  <r>
    <x v="1643"/>
    <n v="21063"/>
    <n v="1"/>
    <n v="0"/>
    <n v="34"/>
    <n v="1"/>
    <n v="10"/>
    <n v="11"/>
    <n v="19"/>
    <n v="3"/>
    <n v="15"/>
    <n v="2"/>
    <n v="2"/>
    <n v="0"/>
    <n v="3"/>
    <n v="6"/>
    <n v="0"/>
    <n v="0"/>
    <n v="0"/>
    <n v="0"/>
    <n v="0"/>
    <x v="0"/>
    <n v="0"/>
    <n v="3"/>
    <n v="11"/>
    <n v="0"/>
    <n v="33"/>
    <n v="2436"/>
    <n v="6.6739726027397257"/>
    <n v="0"/>
    <n v="0"/>
    <n v="1"/>
    <n v="0"/>
    <n v="0"/>
    <n v="0"/>
    <n v="1"/>
    <n v="0"/>
    <n v="0"/>
    <n v="0"/>
    <n v="44"/>
    <n v="29"/>
    <n v="15"/>
    <n v="0"/>
    <x v="0"/>
    <x v="0"/>
    <x v="1"/>
    <x v="2"/>
    <x v="0"/>
    <x v="3"/>
    <n v="1"/>
    <n v="0"/>
    <n v="13"/>
    <n v="7"/>
    <n v="1"/>
    <n v="2"/>
    <n v="10"/>
    <n v="2"/>
    <x v="3"/>
  </r>
  <r>
    <x v="1644"/>
    <n v="22434"/>
    <n v="1"/>
    <n v="0"/>
    <n v="25"/>
    <n v="4"/>
    <n v="12"/>
    <n v="11"/>
    <n v="3"/>
    <n v="13"/>
    <n v="15"/>
    <n v="2"/>
    <n v="2"/>
    <n v="0"/>
    <n v="3"/>
    <n v="8"/>
    <n v="0"/>
    <n v="0"/>
    <n v="0"/>
    <n v="0"/>
    <n v="0"/>
    <x v="0"/>
    <n v="0"/>
    <n v="3"/>
    <n v="11"/>
    <n v="0"/>
    <n v="33"/>
    <n v="2660"/>
    <n v="7.2876712328767121"/>
    <n v="0"/>
    <n v="0"/>
    <n v="0"/>
    <n v="1"/>
    <n v="0"/>
    <n v="0"/>
    <n v="0"/>
    <n v="1"/>
    <n v="0"/>
    <n v="0"/>
    <n v="43"/>
    <n v="28"/>
    <n v="15"/>
    <n v="0"/>
    <x v="0"/>
    <x v="0"/>
    <x v="2"/>
    <x v="0"/>
    <x v="0"/>
    <x v="3"/>
    <n v="0"/>
    <n v="0"/>
    <n v="15"/>
    <n v="8"/>
    <n v="2"/>
    <n v="1"/>
    <n v="11"/>
    <n v="2"/>
    <x v="3"/>
  </r>
  <r>
    <x v="1645"/>
    <n v="22634"/>
    <n v="0"/>
    <n v="0"/>
    <n v="47"/>
    <n v="2"/>
    <n v="23"/>
    <n v="11"/>
    <n v="8"/>
    <n v="6"/>
    <n v="46"/>
    <n v="1"/>
    <n v="2"/>
    <n v="1"/>
    <n v="2"/>
    <n v="8"/>
    <n v="0"/>
    <n v="0"/>
    <n v="0"/>
    <n v="0"/>
    <n v="0"/>
    <x v="0"/>
    <n v="0"/>
    <n v="3"/>
    <n v="11"/>
    <n v="0"/>
    <n v="54"/>
    <n v="2688"/>
    <n v="7.3643835616438356"/>
    <n v="0"/>
    <n v="0"/>
    <n v="0"/>
    <n v="1"/>
    <n v="0"/>
    <n v="0"/>
    <n v="1"/>
    <n v="0"/>
    <n v="0"/>
    <n v="0"/>
    <n v="50"/>
    <n v="4"/>
    <n v="46"/>
    <n v="0"/>
    <x v="1"/>
    <x v="1"/>
    <x v="2"/>
    <x v="2"/>
    <x v="0"/>
    <x v="1"/>
    <n v="1"/>
    <n v="0"/>
    <n v="14"/>
    <n v="6"/>
    <n v="2"/>
    <n v="2"/>
    <n v="10"/>
    <n v="2"/>
    <x v="3"/>
  </r>
  <r>
    <x v="1646"/>
    <n v="23091"/>
    <n v="1"/>
    <n v="1"/>
    <n v="98"/>
    <n v="35"/>
    <n v="0"/>
    <n v="11"/>
    <n v="0"/>
    <n v="0"/>
    <n v="2"/>
    <n v="4"/>
    <n v="2"/>
    <n v="1"/>
    <n v="3"/>
    <n v="7"/>
    <n v="0"/>
    <n v="0"/>
    <n v="0"/>
    <n v="0"/>
    <n v="0"/>
    <x v="0"/>
    <n v="0"/>
    <n v="3"/>
    <n v="11"/>
    <n v="0"/>
    <n v="57"/>
    <n v="2191"/>
    <n v="6.0027397260273974"/>
    <n v="0"/>
    <n v="0"/>
    <n v="1"/>
    <n v="0"/>
    <n v="0"/>
    <n v="0"/>
    <n v="0"/>
    <n v="0"/>
    <n v="0"/>
    <n v="1"/>
    <n v="46"/>
    <n v="44"/>
    <n v="2"/>
    <n v="0"/>
    <x v="0"/>
    <x v="0"/>
    <x v="1"/>
    <x v="1"/>
    <x v="0"/>
    <x v="1"/>
    <n v="1"/>
    <n v="1"/>
    <n v="17"/>
    <n v="0.99999999999999978"/>
    <n v="3"/>
    <n v="2"/>
    <n v="6"/>
    <n v="0"/>
    <x v="4"/>
  </r>
  <r>
    <x v="1647"/>
    <n v="23539"/>
    <n v="0"/>
    <n v="0"/>
    <n v="13"/>
    <n v="4"/>
    <n v="24"/>
    <n v="11"/>
    <n v="16"/>
    <n v="1"/>
    <n v="25"/>
    <n v="1"/>
    <n v="2"/>
    <n v="0"/>
    <n v="4"/>
    <n v="6"/>
    <n v="0"/>
    <n v="0"/>
    <n v="0"/>
    <n v="0"/>
    <n v="0"/>
    <x v="0"/>
    <n v="0"/>
    <n v="3"/>
    <n v="11"/>
    <n v="0"/>
    <n v="63"/>
    <n v="2280"/>
    <n v="6.2465753424657535"/>
    <n v="0"/>
    <n v="1"/>
    <n v="0"/>
    <n v="0"/>
    <n v="0"/>
    <n v="0"/>
    <n v="0"/>
    <n v="1"/>
    <n v="0"/>
    <n v="0"/>
    <n v="56"/>
    <n v="31"/>
    <n v="25"/>
    <n v="0"/>
    <x v="1"/>
    <x v="1"/>
    <x v="0"/>
    <x v="0"/>
    <x v="0"/>
    <x v="2"/>
    <n v="0"/>
    <n v="0"/>
    <n v="13"/>
    <n v="9"/>
    <n v="1"/>
    <n v="2"/>
    <n v="12"/>
    <n v="3"/>
    <x v="3"/>
  </r>
  <r>
    <x v="1648"/>
    <n v="23616"/>
    <n v="1"/>
    <n v="0"/>
    <n v="76"/>
    <n v="4"/>
    <n v="22"/>
    <n v="11"/>
    <n v="3"/>
    <n v="7"/>
    <n v="32"/>
    <n v="2"/>
    <n v="3"/>
    <n v="0"/>
    <n v="3"/>
    <n v="8"/>
    <n v="0"/>
    <n v="0"/>
    <n v="0"/>
    <n v="0"/>
    <n v="0"/>
    <x v="0"/>
    <n v="0"/>
    <n v="3"/>
    <n v="11"/>
    <n v="1"/>
    <n v="38"/>
    <n v="2748"/>
    <n v="7.5287671232876709"/>
    <n v="0"/>
    <n v="0"/>
    <n v="1"/>
    <n v="0"/>
    <n v="0"/>
    <n v="1"/>
    <n v="0"/>
    <n v="0"/>
    <n v="0"/>
    <n v="0"/>
    <n v="47"/>
    <n v="15"/>
    <n v="32"/>
    <n v="0"/>
    <x v="0"/>
    <x v="0"/>
    <x v="1"/>
    <x v="1"/>
    <x v="0"/>
    <x v="3"/>
    <n v="1"/>
    <n v="0"/>
    <n v="16"/>
    <n v="3.0000000000000004"/>
    <n v="3"/>
    <n v="2"/>
    <n v="8"/>
    <n v="1"/>
    <x v="3"/>
  </r>
  <r>
    <x v="1649"/>
    <n v="24027"/>
    <n v="1"/>
    <n v="0"/>
    <n v="7"/>
    <n v="14"/>
    <n v="7"/>
    <n v="11"/>
    <n v="11"/>
    <n v="0"/>
    <n v="5"/>
    <n v="2"/>
    <n v="2"/>
    <n v="0"/>
    <n v="3"/>
    <n v="8"/>
    <n v="0"/>
    <n v="0"/>
    <n v="0"/>
    <n v="0"/>
    <n v="0"/>
    <x v="0"/>
    <n v="0"/>
    <n v="3"/>
    <n v="11"/>
    <n v="0"/>
    <n v="44"/>
    <n v="2544"/>
    <n v="6.9698630136986299"/>
    <n v="0"/>
    <n v="1"/>
    <n v="0"/>
    <n v="0"/>
    <n v="0"/>
    <n v="0"/>
    <n v="0"/>
    <n v="1"/>
    <n v="0"/>
    <n v="0"/>
    <n v="43"/>
    <n v="38"/>
    <n v="5"/>
    <n v="0"/>
    <x v="0"/>
    <x v="0"/>
    <x v="0"/>
    <x v="0"/>
    <x v="0"/>
    <x v="0"/>
    <n v="0"/>
    <n v="0"/>
    <n v="15"/>
    <n v="10"/>
    <n v="2"/>
    <n v="1"/>
    <n v="13"/>
    <n v="3"/>
    <x v="3"/>
  </r>
  <r>
    <x v="1650"/>
    <n v="25293"/>
    <n v="1"/>
    <n v="0"/>
    <n v="51"/>
    <n v="15"/>
    <n v="0"/>
    <n v="11"/>
    <n v="0"/>
    <n v="2"/>
    <n v="9"/>
    <n v="1"/>
    <n v="1"/>
    <n v="1"/>
    <n v="2"/>
    <n v="8"/>
    <n v="0"/>
    <n v="0"/>
    <n v="0"/>
    <n v="0"/>
    <n v="0"/>
    <x v="0"/>
    <n v="0"/>
    <n v="3"/>
    <n v="11"/>
    <n v="0"/>
    <n v="51"/>
    <n v="2446"/>
    <n v="6.7013698630136984"/>
    <n v="0"/>
    <n v="1"/>
    <n v="0"/>
    <n v="0"/>
    <n v="0"/>
    <n v="0"/>
    <n v="0"/>
    <n v="1"/>
    <n v="0"/>
    <n v="0"/>
    <n v="28"/>
    <n v="19"/>
    <n v="9"/>
    <n v="0"/>
    <x v="0"/>
    <x v="0"/>
    <x v="0"/>
    <x v="0"/>
    <x v="0"/>
    <x v="1"/>
    <n v="1"/>
    <n v="0"/>
    <n v="13"/>
    <n v="5"/>
    <n v="1"/>
    <n v="0"/>
    <n v="6"/>
    <n v="0"/>
    <x v="4"/>
  </r>
  <r>
    <x v="1651"/>
    <n v="25965"/>
    <n v="0"/>
    <n v="0"/>
    <n v="29"/>
    <n v="2"/>
    <n v="2"/>
    <n v="11"/>
    <n v="41"/>
    <n v="7"/>
    <n v="11"/>
    <n v="1"/>
    <n v="2"/>
    <n v="0"/>
    <n v="3"/>
    <n v="8"/>
    <n v="0"/>
    <n v="0"/>
    <n v="0"/>
    <n v="0"/>
    <n v="0"/>
    <x v="0"/>
    <n v="0"/>
    <n v="3"/>
    <n v="11"/>
    <n v="0"/>
    <n v="40"/>
    <n v="2819"/>
    <n v="7.7232876712328764"/>
    <n v="0"/>
    <n v="1"/>
    <n v="0"/>
    <n v="0"/>
    <n v="0"/>
    <n v="0"/>
    <n v="1"/>
    <n v="0"/>
    <n v="0"/>
    <n v="0"/>
    <n v="63"/>
    <n v="52"/>
    <n v="11"/>
    <n v="0"/>
    <x v="1"/>
    <x v="1"/>
    <x v="0"/>
    <x v="2"/>
    <x v="0"/>
    <x v="3"/>
    <n v="0"/>
    <n v="0"/>
    <n v="14"/>
    <n v="8"/>
    <n v="2"/>
    <n v="2"/>
    <n v="12"/>
    <n v="3"/>
    <x v="3"/>
  </r>
  <r>
    <x v="1652"/>
    <n v="26954"/>
    <n v="1"/>
    <n v="0"/>
    <n v="17"/>
    <n v="4"/>
    <n v="1"/>
    <n v="11"/>
    <n v="0"/>
    <n v="0"/>
    <n v="1"/>
    <n v="1"/>
    <n v="1"/>
    <n v="0"/>
    <n v="2"/>
    <n v="7"/>
    <n v="0"/>
    <n v="0"/>
    <n v="0"/>
    <n v="0"/>
    <n v="0"/>
    <x v="0"/>
    <n v="0"/>
    <n v="3"/>
    <n v="11"/>
    <n v="0"/>
    <n v="49"/>
    <n v="2211"/>
    <n v="6.0575342465753428"/>
    <n v="0"/>
    <n v="0"/>
    <n v="1"/>
    <n v="0"/>
    <n v="0"/>
    <n v="0"/>
    <n v="0"/>
    <n v="1"/>
    <n v="0"/>
    <n v="0"/>
    <n v="16"/>
    <n v="15"/>
    <n v="1"/>
    <n v="0"/>
    <x v="0"/>
    <x v="0"/>
    <x v="1"/>
    <x v="0"/>
    <x v="0"/>
    <x v="0"/>
    <n v="0"/>
    <n v="0"/>
    <n v="11"/>
    <n v="9"/>
    <n v="0"/>
    <n v="0"/>
    <n v="9"/>
    <n v="1"/>
    <x v="3"/>
  </r>
  <r>
    <x v="1653"/>
    <n v="27255"/>
    <n v="1"/>
    <n v="0"/>
    <n v="3"/>
    <n v="22"/>
    <n v="1"/>
    <n v="11"/>
    <n v="0"/>
    <n v="1"/>
    <n v="2"/>
    <n v="1"/>
    <n v="1"/>
    <n v="0"/>
    <n v="3"/>
    <n v="7"/>
    <n v="0"/>
    <n v="0"/>
    <n v="0"/>
    <n v="0"/>
    <n v="0"/>
    <x v="0"/>
    <n v="0"/>
    <n v="3"/>
    <n v="11"/>
    <n v="0"/>
    <n v="36"/>
    <n v="2393"/>
    <n v="6.5561643835616437"/>
    <n v="0"/>
    <n v="1"/>
    <n v="0"/>
    <n v="0"/>
    <n v="0"/>
    <n v="0"/>
    <n v="0"/>
    <n v="1"/>
    <n v="0"/>
    <n v="0"/>
    <n v="35"/>
    <n v="33"/>
    <n v="2"/>
    <n v="0"/>
    <x v="0"/>
    <x v="0"/>
    <x v="0"/>
    <x v="0"/>
    <x v="0"/>
    <x v="3"/>
    <n v="0"/>
    <n v="0"/>
    <n v="12"/>
    <n v="10"/>
    <n v="1"/>
    <n v="1"/>
    <n v="12"/>
    <n v="3"/>
    <x v="3"/>
  </r>
  <r>
    <x v="1654"/>
    <n v="30096"/>
    <n v="1"/>
    <n v="0"/>
    <n v="30"/>
    <n v="5"/>
    <n v="3"/>
    <n v="11"/>
    <n v="12"/>
    <n v="5"/>
    <n v="9"/>
    <n v="1"/>
    <n v="2"/>
    <n v="0"/>
    <n v="3"/>
    <n v="6"/>
    <n v="0"/>
    <n v="0"/>
    <n v="0"/>
    <n v="0"/>
    <n v="0"/>
    <x v="0"/>
    <n v="0"/>
    <n v="3"/>
    <n v="11"/>
    <n v="0"/>
    <n v="37"/>
    <n v="2197"/>
    <n v="6.0191780821917806"/>
    <n v="0"/>
    <n v="1"/>
    <n v="0"/>
    <n v="0"/>
    <n v="0"/>
    <n v="0"/>
    <n v="0"/>
    <n v="1"/>
    <n v="0"/>
    <n v="0"/>
    <n v="36"/>
    <n v="27"/>
    <n v="9"/>
    <n v="0"/>
    <x v="0"/>
    <x v="0"/>
    <x v="0"/>
    <x v="0"/>
    <x v="0"/>
    <x v="3"/>
    <n v="0"/>
    <n v="0"/>
    <n v="12"/>
    <n v="7"/>
    <n v="1"/>
    <n v="1"/>
    <n v="9"/>
    <n v="1"/>
    <x v="3"/>
  </r>
  <r>
    <x v="1655"/>
    <n v="31086"/>
    <n v="1"/>
    <n v="1"/>
    <n v="79"/>
    <n v="16"/>
    <n v="2"/>
    <n v="11"/>
    <n v="3"/>
    <n v="0"/>
    <n v="16"/>
    <n v="2"/>
    <n v="1"/>
    <n v="1"/>
    <n v="2"/>
    <n v="8"/>
    <n v="0"/>
    <n v="0"/>
    <n v="1"/>
    <n v="0"/>
    <n v="0"/>
    <x v="1"/>
    <n v="0"/>
    <n v="3"/>
    <n v="11"/>
    <n v="0"/>
    <n v="41"/>
    <n v="2580"/>
    <n v="7.0684931506849313"/>
    <n v="0"/>
    <n v="1"/>
    <n v="0"/>
    <n v="0"/>
    <n v="0"/>
    <n v="1"/>
    <n v="0"/>
    <n v="0"/>
    <n v="0"/>
    <n v="0"/>
    <n v="32"/>
    <n v="16"/>
    <n v="16"/>
    <n v="1"/>
    <x v="0"/>
    <x v="0"/>
    <x v="0"/>
    <x v="1"/>
    <x v="0"/>
    <x v="0"/>
    <n v="1"/>
    <n v="0"/>
    <n v="14"/>
    <n v="3.0000000000000004"/>
    <n v="2"/>
    <n v="1"/>
    <n v="6"/>
    <n v="0"/>
    <x v="4"/>
  </r>
  <r>
    <x v="1656"/>
    <n v="31454"/>
    <n v="1"/>
    <n v="1"/>
    <n v="40"/>
    <n v="28"/>
    <n v="0"/>
    <n v="11"/>
    <n v="0"/>
    <n v="0"/>
    <n v="9"/>
    <n v="3"/>
    <n v="2"/>
    <n v="0"/>
    <n v="3"/>
    <n v="8"/>
    <n v="0"/>
    <n v="0"/>
    <n v="0"/>
    <n v="0"/>
    <n v="0"/>
    <x v="0"/>
    <n v="0"/>
    <n v="3"/>
    <n v="11"/>
    <n v="0"/>
    <n v="60"/>
    <n v="2517"/>
    <n v="6.8958904109589039"/>
    <n v="0"/>
    <n v="1"/>
    <n v="0"/>
    <n v="0"/>
    <n v="0"/>
    <n v="0"/>
    <n v="0"/>
    <n v="1"/>
    <n v="0"/>
    <n v="0"/>
    <n v="39"/>
    <n v="30"/>
    <n v="9"/>
    <n v="0"/>
    <x v="0"/>
    <x v="0"/>
    <x v="0"/>
    <x v="0"/>
    <x v="0"/>
    <x v="1"/>
    <n v="1"/>
    <n v="0"/>
    <n v="16"/>
    <n v="6"/>
    <n v="3"/>
    <n v="1"/>
    <n v="10"/>
    <n v="2"/>
    <x v="3"/>
  </r>
  <r>
    <x v="1657"/>
    <n v="34824"/>
    <n v="0"/>
    <n v="0"/>
    <n v="65"/>
    <n v="4"/>
    <n v="2"/>
    <n v="11"/>
    <n v="2"/>
    <n v="0"/>
    <n v="4"/>
    <n v="1"/>
    <n v="1"/>
    <n v="0"/>
    <n v="2"/>
    <n v="6"/>
    <n v="0"/>
    <n v="0"/>
    <n v="0"/>
    <n v="0"/>
    <n v="0"/>
    <x v="0"/>
    <n v="0"/>
    <n v="3"/>
    <n v="11"/>
    <n v="0"/>
    <n v="25"/>
    <n v="2254"/>
    <n v="6.1753424657534248"/>
    <n v="0"/>
    <n v="0"/>
    <n v="1"/>
    <n v="0"/>
    <n v="0"/>
    <n v="0"/>
    <n v="0"/>
    <n v="1"/>
    <n v="0"/>
    <n v="0"/>
    <n v="19"/>
    <n v="15"/>
    <n v="4"/>
    <n v="0"/>
    <x v="1"/>
    <x v="1"/>
    <x v="1"/>
    <x v="0"/>
    <x v="0"/>
    <x v="4"/>
    <n v="1"/>
    <n v="0"/>
    <n v="10"/>
    <n v="4"/>
    <n v="0"/>
    <n v="0"/>
    <n v="4"/>
    <n v="0"/>
    <x v="4"/>
  </r>
  <r>
    <x v="1658"/>
    <n v="35788"/>
    <n v="1"/>
    <n v="1"/>
    <n v="34"/>
    <n v="23"/>
    <n v="2"/>
    <n v="11"/>
    <n v="3"/>
    <n v="1"/>
    <n v="4"/>
    <n v="2"/>
    <n v="2"/>
    <n v="0"/>
    <n v="3"/>
    <n v="6"/>
    <n v="0"/>
    <n v="0"/>
    <n v="0"/>
    <n v="0"/>
    <n v="0"/>
    <x v="0"/>
    <n v="0"/>
    <n v="3"/>
    <n v="11"/>
    <n v="0"/>
    <n v="49"/>
    <n v="2316"/>
    <n v="6.3452054794520549"/>
    <n v="0"/>
    <n v="1"/>
    <n v="0"/>
    <n v="0"/>
    <n v="0"/>
    <n v="0"/>
    <n v="0"/>
    <n v="1"/>
    <n v="0"/>
    <n v="0"/>
    <n v="40"/>
    <n v="36"/>
    <n v="4"/>
    <n v="0"/>
    <x v="0"/>
    <x v="0"/>
    <x v="0"/>
    <x v="0"/>
    <x v="3"/>
    <x v="0"/>
    <n v="1"/>
    <n v="0"/>
    <n v="13"/>
    <n v="7"/>
    <n v="1"/>
    <n v="1"/>
    <n v="9"/>
    <n v="1"/>
    <x v="3"/>
  </r>
  <r>
    <x v="1659"/>
    <n v="36975"/>
    <n v="1"/>
    <n v="0"/>
    <n v="50"/>
    <n v="10"/>
    <n v="6"/>
    <n v="11"/>
    <n v="0"/>
    <n v="4"/>
    <n v="2"/>
    <n v="1"/>
    <n v="1"/>
    <n v="0"/>
    <n v="3"/>
    <n v="7"/>
    <n v="0"/>
    <n v="0"/>
    <n v="0"/>
    <n v="0"/>
    <n v="0"/>
    <x v="0"/>
    <n v="0"/>
    <n v="3"/>
    <n v="11"/>
    <n v="0"/>
    <n v="42"/>
    <n v="2342"/>
    <n v="6.4164383561643836"/>
    <n v="0"/>
    <n v="0"/>
    <n v="1"/>
    <n v="0"/>
    <n v="0"/>
    <n v="1"/>
    <n v="0"/>
    <n v="0"/>
    <n v="0"/>
    <n v="0"/>
    <n v="31"/>
    <n v="29"/>
    <n v="2"/>
    <n v="0"/>
    <x v="0"/>
    <x v="0"/>
    <x v="1"/>
    <x v="1"/>
    <x v="3"/>
    <x v="0"/>
    <n v="1"/>
    <n v="0"/>
    <n v="12"/>
    <n v="5"/>
    <n v="1"/>
    <n v="1"/>
    <n v="7"/>
    <n v="1"/>
    <x v="3"/>
  </r>
  <r>
    <x v="1660"/>
    <n v="37368"/>
    <n v="1"/>
    <n v="0"/>
    <n v="4"/>
    <n v="3"/>
    <n v="2"/>
    <n v="11"/>
    <n v="2"/>
    <n v="2"/>
    <n v="10"/>
    <n v="1"/>
    <n v="1"/>
    <n v="0"/>
    <n v="2"/>
    <n v="6"/>
    <n v="0"/>
    <n v="0"/>
    <n v="1"/>
    <n v="0"/>
    <n v="0"/>
    <x v="1"/>
    <n v="0"/>
    <n v="3"/>
    <n v="11"/>
    <n v="0"/>
    <n v="45"/>
    <n v="2354"/>
    <n v="6.4493150684931511"/>
    <n v="0"/>
    <n v="1"/>
    <n v="0"/>
    <n v="0"/>
    <n v="0"/>
    <n v="0"/>
    <n v="0"/>
    <n v="0"/>
    <n v="1"/>
    <n v="0"/>
    <n v="20"/>
    <n v="10"/>
    <n v="10"/>
    <n v="1"/>
    <x v="0"/>
    <x v="0"/>
    <x v="0"/>
    <x v="1"/>
    <x v="3"/>
    <x v="0"/>
    <n v="0"/>
    <n v="0"/>
    <n v="10"/>
    <n v="10"/>
    <n v="0"/>
    <n v="0"/>
    <n v="10"/>
    <n v="2"/>
    <x v="3"/>
  </r>
  <r>
    <x v="1661"/>
    <n v="38196"/>
    <n v="1"/>
    <n v="1"/>
    <n v="20"/>
    <n v="30"/>
    <n v="0"/>
    <n v="11"/>
    <n v="0"/>
    <n v="0"/>
    <n v="3"/>
    <n v="3"/>
    <n v="2"/>
    <n v="0"/>
    <n v="4"/>
    <n v="5"/>
    <n v="0"/>
    <n v="0"/>
    <n v="0"/>
    <n v="0"/>
    <n v="0"/>
    <x v="0"/>
    <n v="0"/>
    <n v="3"/>
    <n v="11"/>
    <n v="0"/>
    <n v="49"/>
    <n v="2231"/>
    <n v="6.1123287671232873"/>
    <n v="0"/>
    <n v="1"/>
    <n v="0"/>
    <n v="0"/>
    <n v="0"/>
    <n v="0"/>
    <n v="0"/>
    <n v="0"/>
    <n v="1"/>
    <n v="0"/>
    <n v="41"/>
    <n v="38"/>
    <n v="3"/>
    <n v="0"/>
    <x v="0"/>
    <x v="0"/>
    <x v="0"/>
    <x v="1"/>
    <x v="3"/>
    <x v="0"/>
    <n v="0"/>
    <n v="0"/>
    <n v="14"/>
    <n v="8"/>
    <n v="2"/>
    <n v="1"/>
    <n v="11"/>
    <n v="2"/>
    <x v="3"/>
  </r>
  <r>
    <x v="1662"/>
    <n v="38197"/>
    <n v="1"/>
    <n v="0"/>
    <n v="86"/>
    <n v="23"/>
    <n v="0"/>
    <n v="11"/>
    <n v="2"/>
    <n v="1"/>
    <n v="3"/>
    <n v="1"/>
    <n v="1"/>
    <n v="0"/>
    <n v="3"/>
    <n v="5"/>
    <n v="0"/>
    <n v="0"/>
    <n v="0"/>
    <n v="0"/>
    <n v="0"/>
    <x v="0"/>
    <n v="0"/>
    <n v="3"/>
    <n v="11"/>
    <n v="0"/>
    <n v="34"/>
    <n v="2524"/>
    <n v="6.9150684931506845"/>
    <n v="0"/>
    <n v="0"/>
    <n v="0"/>
    <n v="1"/>
    <n v="0"/>
    <n v="0"/>
    <n v="0"/>
    <n v="0"/>
    <n v="0"/>
    <n v="1"/>
    <n v="37"/>
    <n v="34"/>
    <n v="3"/>
    <n v="0"/>
    <x v="0"/>
    <x v="0"/>
    <x v="2"/>
    <x v="1"/>
    <x v="3"/>
    <x v="3"/>
    <n v="1"/>
    <n v="0"/>
    <n v="10"/>
    <n v="1.9999999999999996"/>
    <n v="0"/>
    <n v="1"/>
    <n v="2.9999999999999996"/>
    <n v="0"/>
    <x v="4"/>
  </r>
  <r>
    <x v="1663"/>
    <n v="38823"/>
    <n v="0"/>
    <n v="1"/>
    <n v="56"/>
    <n v="70"/>
    <n v="0"/>
    <n v="11"/>
    <n v="2"/>
    <n v="8"/>
    <n v="23"/>
    <n v="1"/>
    <n v="2"/>
    <n v="1"/>
    <n v="3"/>
    <n v="6"/>
    <n v="0"/>
    <n v="0"/>
    <n v="0"/>
    <n v="0"/>
    <n v="0"/>
    <x v="0"/>
    <n v="0"/>
    <n v="3"/>
    <n v="11"/>
    <n v="0"/>
    <n v="71"/>
    <n v="2827"/>
    <n v="7.7452054794520544"/>
    <n v="0"/>
    <n v="0"/>
    <n v="0"/>
    <n v="1"/>
    <n v="0"/>
    <n v="0"/>
    <n v="0"/>
    <n v="1"/>
    <n v="0"/>
    <n v="0"/>
    <n v="91"/>
    <n v="68"/>
    <n v="23"/>
    <n v="0"/>
    <x v="0"/>
    <x v="0"/>
    <x v="2"/>
    <x v="0"/>
    <x v="3"/>
    <x v="2"/>
    <n v="1"/>
    <n v="0"/>
    <n v="13"/>
    <n v="5"/>
    <n v="1"/>
    <n v="3"/>
    <n v="9"/>
    <n v="1"/>
    <x v="3"/>
  </r>
  <r>
    <x v="1664"/>
    <n v="40706"/>
    <n v="2"/>
    <n v="1"/>
    <n v="37"/>
    <n v="59"/>
    <n v="0"/>
    <n v="11"/>
    <n v="4"/>
    <n v="2"/>
    <n v="5"/>
    <n v="4"/>
    <n v="3"/>
    <n v="0"/>
    <n v="4"/>
    <n v="7"/>
    <n v="0"/>
    <n v="0"/>
    <n v="0"/>
    <n v="0"/>
    <n v="0"/>
    <x v="0"/>
    <n v="0"/>
    <n v="3"/>
    <n v="11"/>
    <n v="0"/>
    <n v="52"/>
    <n v="2687"/>
    <n v="7.3616438356164382"/>
    <n v="0"/>
    <n v="0"/>
    <n v="0"/>
    <n v="1"/>
    <n v="0"/>
    <n v="0"/>
    <n v="0"/>
    <n v="0"/>
    <n v="0"/>
    <n v="1"/>
    <n v="76"/>
    <n v="71"/>
    <n v="5"/>
    <n v="0"/>
    <x v="0"/>
    <x v="0"/>
    <x v="2"/>
    <x v="1"/>
    <x v="3"/>
    <x v="1"/>
    <n v="1"/>
    <n v="0"/>
    <n v="18"/>
    <n v="7"/>
    <n v="4"/>
    <n v="3"/>
    <n v="14"/>
    <n v="4"/>
    <x v="3"/>
  </r>
  <r>
    <x v="1665"/>
    <n v="41154"/>
    <n v="0"/>
    <n v="1"/>
    <n v="98"/>
    <n v="44"/>
    <n v="2"/>
    <n v="11"/>
    <n v="2"/>
    <n v="3"/>
    <n v="7"/>
    <n v="1"/>
    <n v="1"/>
    <n v="0"/>
    <n v="4"/>
    <n v="5"/>
    <n v="0"/>
    <n v="0"/>
    <n v="0"/>
    <n v="0"/>
    <n v="0"/>
    <x v="0"/>
    <n v="0"/>
    <n v="3"/>
    <n v="11"/>
    <n v="0"/>
    <n v="42"/>
    <n v="2605"/>
    <n v="7.1369863013698627"/>
    <n v="0"/>
    <n v="0"/>
    <n v="0"/>
    <n v="1"/>
    <n v="0"/>
    <n v="0"/>
    <n v="0"/>
    <n v="1"/>
    <n v="0"/>
    <n v="0"/>
    <n v="62"/>
    <n v="55"/>
    <n v="7"/>
    <n v="0"/>
    <x v="0"/>
    <x v="0"/>
    <x v="2"/>
    <x v="0"/>
    <x v="3"/>
    <x v="0"/>
    <n v="1"/>
    <n v="1"/>
    <n v="11"/>
    <n v="0.99999999999999978"/>
    <n v="0"/>
    <n v="2"/>
    <n v="3"/>
    <n v="0"/>
    <x v="4"/>
  </r>
  <r>
    <x v="1666"/>
    <n v="42403"/>
    <n v="1"/>
    <n v="0"/>
    <n v="18"/>
    <n v="22"/>
    <n v="1"/>
    <n v="11"/>
    <n v="0"/>
    <n v="5"/>
    <n v="3"/>
    <n v="1"/>
    <n v="1"/>
    <n v="0"/>
    <n v="3"/>
    <n v="8"/>
    <n v="0"/>
    <n v="0"/>
    <n v="0"/>
    <n v="0"/>
    <n v="0"/>
    <x v="0"/>
    <n v="0"/>
    <n v="3"/>
    <n v="11"/>
    <n v="0"/>
    <n v="49"/>
    <n v="2359"/>
    <n v="6.463013698630137"/>
    <n v="0"/>
    <n v="1"/>
    <n v="0"/>
    <n v="0"/>
    <n v="0"/>
    <n v="0"/>
    <n v="0"/>
    <n v="0"/>
    <n v="0"/>
    <n v="1"/>
    <n v="39"/>
    <n v="36"/>
    <n v="3"/>
    <n v="0"/>
    <x v="0"/>
    <x v="0"/>
    <x v="0"/>
    <x v="1"/>
    <x v="3"/>
    <x v="0"/>
    <n v="0"/>
    <n v="0"/>
    <n v="13"/>
    <n v="9"/>
    <n v="1"/>
    <n v="1"/>
    <n v="11"/>
    <n v="2"/>
    <x v="3"/>
  </r>
  <r>
    <x v="1667"/>
    <n v="42523"/>
    <n v="0"/>
    <n v="0"/>
    <n v="96"/>
    <n v="14"/>
    <n v="36"/>
    <n v="11"/>
    <n v="3"/>
    <n v="26"/>
    <n v="35"/>
    <n v="1"/>
    <n v="1"/>
    <n v="1"/>
    <n v="4"/>
    <n v="2"/>
    <n v="0"/>
    <n v="0"/>
    <n v="0"/>
    <n v="0"/>
    <n v="0"/>
    <x v="0"/>
    <n v="0"/>
    <n v="3"/>
    <n v="11"/>
    <n v="0"/>
    <n v="56"/>
    <n v="2226"/>
    <n v="6.0986301369863014"/>
    <n v="0"/>
    <n v="1"/>
    <n v="0"/>
    <n v="0"/>
    <n v="0"/>
    <n v="0"/>
    <n v="0"/>
    <n v="1"/>
    <n v="0"/>
    <n v="0"/>
    <n v="90"/>
    <n v="55"/>
    <n v="35"/>
    <n v="0"/>
    <x v="1"/>
    <x v="1"/>
    <x v="0"/>
    <x v="0"/>
    <x v="3"/>
    <x v="1"/>
    <n v="1"/>
    <n v="1"/>
    <n v="9"/>
    <n v="0.99999999999999978"/>
    <n v="0"/>
    <n v="3"/>
    <n v="4"/>
    <n v="0"/>
    <x v="4"/>
  </r>
  <r>
    <x v="1668"/>
    <n v="42554"/>
    <n v="1"/>
    <n v="1"/>
    <n v="93"/>
    <n v="29"/>
    <n v="1"/>
    <n v="11"/>
    <n v="0"/>
    <n v="0"/>
    <n v="0"/>
    <n v="2"/>
    <n v="2"/>
    <n v="0"/>
    <n v="3"/>
    <n v="4"/>
    <n v="0"/>
    <n v="0"/>
    <n v="0"/>
    <n v="0"/>
    <n v="0"/>
    <x v="0"/>
    <n v="0"/>
    <n v="3"/>
    <n v="11"/>
    <n v="0"/>
    <n v="42"/>
    <n v="2692"/>
    <n v="7.375342465753425"/>
    <n v="0"/>
    <n v="0"/>
    <n v="0"/>
    <n v="1"/>
    <n v="0"/>
    <n v="0"/>
    <n v="0"/>
    <n v="1"/>
    <n v="0"/>
    <n v="0"/>
    <n v="41"/>
    <n v="41"/>
    <n v="0"/>
    <n v="0"/>
    <x v="0"/>
    <x v="0"/>
    <x v="2"/>
    <x v="0"/>
    <x v="3"/>
    <x v="0"/>
    <n v="1"/>
    <n v="1"/>
    <n v="11"/>
    <n v="0.99999999999999978"/>
    <n v="0"/>
    <n v="1"/>
    <n v="1.9999999999999998"/>
    <n v="0"/>
    <x v="4"/>
  </r>
  <r>
    <x v="1669"/>
    <n v="43586"/>
    <n v="0"/>
    <n v="1"/>
    <n v="26"/>
    <n v="99"/>
    <n v="2"/>
    <n v="11"/>
    <n v="4"/>
    <n v="0"/>
    <n v="16"/>
    <n v="3"/>
    <n v="3"/>
    <n v="0"/>
    <n v="4"/>
    <n v="8"/>
    <n v="0"/>
    <n v="0"/>
    <n v="0"/>
    <n v="0"/>
    <n v="0"/>
    <x v="0"/>
    <n v="0"/>
    <n v="3"/>
    <n v="11"/>
    <n v="0"/>
    <n v="40"/>
    <n v="2827"/>
    <n v="7.7452054794520544"/>
    <n v="0"/>
    <n v="1"/>
    <n v="0"/>
    <n v="0"/>
    <n v="0"/>
    <n v="0"/>
    <n v="0"/>
    <n v="1"/>
    <n v="0"/>
    <n v="0"/>
    <n v="116"/>
    <n v="100"/>
    <n v="16"/>
    <n v="0"/>
    <x v="0"/>
    <x v="0"/>
    <x v="0"/>
    <x v="0"/>
    <x v="3"/>
    <x v="3"/>
    <n v="0"/>
    <n v="0"/>
    <n v="18"/>
    <n v="8"/>
    <n v="4"/>
    <n v="3"/>
    <n v="15"/>
    <n v="4"/>
    <x v="3"/>
  </r>
  <r>
    <x v="1670"/>
    <n v="44931"/>
    <n v="0"/>
    <n v="1"/>
    <n v="0"/>
    <n v="78"/>
    <n v="0"/>
    <n v="11"/>
    <n v="0"/>
    <n v="0"/>
    <n v="7"/>
    <n v="1"/>
    <n v="2"/>
    <n v="1"/>
    <n v="3"/>
    <n v="5"/>
    <n v="0"/>
    <n v="0"/>
    <n v="0"/>
    <n v="0"/>
    <n v="0"/>
    <x v="0"/>
    <n v="0"/>
    <n v="3"/>
    <n v="11"/>
    <n v="0"/>
    <n v="53"/>
    <n v="2321"/>
    <n v="6.3589041095890408"/>
    <n v="0"/>
    <n v="0"/>
    <n v="0"/>
    <n v="1"/>
    <n v="0"/>
    <n v="0"/>
    <n v="0"/>
    <n v="1"/>
    <n v="0"/>
    <n v="0"/>
    <n v="89"/>
    <n v="82"/>
    <n v="7"/>
    <n v="0"/>
    <x v="0"/>
    <x v="0"/>
    <x v="2"/>
    <x v="0"/>
    <x v="3"/>
    <x v="1"/>
    <n v="0"/>
    <n v="0"/>
    <n v="12"/>
    <n v="10"/>
    <n v="1"/>
    <n v="3"/>
    <n v="14"/>
    <n v="4"/>
    <x v="3"/>
  </r>
  <r>
    <x v="1671"/>
    <n v="47472"/>
    <n v="1"/>
    <n v="1"/>
    <n v="39"/>
    <n v="56"/>
    <n v="0"/>
    <n v="11"/>
    <n v="0"/>
    <n v="0"/>
    <n v="8"/>
    <n v="2"/>
    <n v="2"/>
    <n v="0"/>
    <n v="4"/>
    <n v="5"/>
    <n v="0"/>
    <n v="0"/>
    <n v="0"/>
    <n v="0"/>
    <n v="0"/>
    <x v="0"/>
    <n v="0"/>
    <n v="3"/>
    <n v="11"/>
    <n v="0"/>
    <n v="54"/>
    <n v="2445"/>
    <n v="6.6986301369863011"/>
    <n v="0"/>
    <n v="0"/>
    <n v="0"/>
    <n v="1"/>
    <n v="0"/>
    <n v="0"/>
    <n v="0"/>
    <n v="0"/>
    <n v="0"/>
    <n v="1"/>
    <n v="67"/>
    <n v="59"/>
    <n v="8"/>
    <n v="0"/>
    <x v="0"/>
    <x v="0"/>
    <x v="2"/>
    <x v="1"/>
    <x v="3"/>
    <x v="1"/>
    <n v="1"/>
    <n v="0"/>
    <n v="13"/>
    <n v="7"/>
    <n v="1"/>
    <n v="2"/>
    <n v="10"/>
    <n v="2"/>
    <x v="3"/>
  </r>
  <r>
    <x v="1672"/>
    <n v="48006"/>
    <n v="1"/>
    <n v="1"/>
    <n v="55"/>
    <n v="23"/>
    <n v="0"/>
    <n v="11"/>
    <n v="3"/>
    <n v="2"/>
    <n v="2"/>
    <n v="1"/>
    <n v="1"/>
    <n v="0"/>
    <n v="3"/>
    <n v="6"/>
    <n v="0"/>
    <n v="0"/>
    <n v="0"/>
    <n v="0"/>
    <n v="0"/>
    <x v="0"/>
    <n v="0"/>
    <n v="3"/>
    <n v="11"/>
    <n v="0"/>
    <n v="55"/>
    <n v="2179"/>
    <n v="5.9698630136986299"/>
    <n v="0"/>
    <n v="1"/>
    <n v="0"/>
    <n v="0"/>
    <n v="0"/>
    <n v="0"/>
    <n v="0"/>
    <n v="1"/>
    <n v="0"/>
    <n v="0"/>
    <n v="39"/>
    <n v="37"/>
    <n v="2"/>
    <n v="0"/>
    <x v="0"/>
    <x v="0"/>
    <x v="0"/>
    <x v="0"/>
    <x v="3"/>
    <x v="1"/>
    <n v="1"/>
    <n v="0"/>
    <n v="11"/>
    <n v="5"/>
    <n v="0"/>
    <n v="1"/>
    <n v="6"/>
    <n v="0"/>
    <x v="4"/>
  </r>
  <r>
    <x v="1673"/>
    <n v="48794"/>
    <n v="1"/>
    <n v="1"/>
    <n v="97"/>
    <n v="25"/>
    <n v="0"/>
    <n v="11"/>
    <n v="3"/>
    <n v="0"/>
    <n v="15"/>
    <n v="1"/>
    <n v="1"/>
    <n v="0"/>
    <n v="3"/>
    <n v="4"/>
    <n v="0"/>
    <n v="0"/>
    <n v="0"/>
    <n v="0"/>
    <n v="0"/>
    <x v="0"/>
    <n v="0"/>
    <n v="3"/>
    <n v="11"/>
    <n v="0"/>
    <n v="67"/>
    <n v="2162"/>
    <n v="5.9232876712328766"/>
    <n v="0"/>
    <n v="0"/>
    <n v="0"/>
    <n v="1"/>
    <n v="0"/>
    <n v="0"/>
    <n v="0"/>
    <n v="1"/>
    <n v="0"/>
    <n v="0"/>
    <n v="39"/>
    <n v="24"/>
    <n v="15"/>
    <n v="0"/>
    <x v="0"/>
    <x v="0"/>
    <x v="2"/>
    <x v="0"/>
    <x v="3"/>
    <x v="2"/>
    <n v="1"/>
    <n v="1"/>
    <n v="9"/>
    <n v="0.99999999999999978"/>
    <n v="0"/>
    <n v="1"/>
    <n v="1.9999999999999998"/>
    <n v="0"/>
    <x v="4"/>
  </r>
  <r>
    <x v="1674"/>
    <n v="50737"/>
    <n v="0"/>
    <n v="1"/>
    <n v="61"/>
    <n v="78"/>
    <n v="0"/>
    <n v="11"/>
    <n v="0"/>
    <n v="0"/>
    <n v="10"/>
    <n v="1"/>
    <n v="2"/>
    <n v="0"/>
    <n v="4"/>
    <n v="6"/>
    <n v="0"/>
    <n v="0"/>
    <n v="0"/>
    <n v="1"/>
    <n v="0"/>
    <x v="1"/>
    <n v="0"/>
    <n v="3"/>
    <n v="11"/>
    <n v="0"/>
    <n v="65"/>
    <n v="2573"/>
    <n v="7.0493150684931507"/>
    <n v="0"/>
    <n v="1"/>
    <n v="0"/>
    <n v="0"/>
    <n v="0"/>
    <n v="0"/>
    <n v="0"/>
    <n v="1"/>
    <n v="0"/>
    <n v="0"/>
    <n v="89"/>
    <n v="79"/>
    <n v="10"/>
    <n v="1"/>
    <x v="0"/>
    <x v="0"/>
    <x v="0"/>
    <x v="0"/>
    <x v="2"/>
    <x v="2"/>
    <n v="1"/>
    <n v="0"/>
    <n v="13"/>
    <n v="4"/>
    <n v="1"/>
    <n v="3"/>
    <n v="8"/>
    <n v="1"/>
    <x v="3"/>
  </r>
  <r>
    <x v="1675"/>
    <n v="51124"/>
    <n v="1"/>
    <n v="1"/>
    <n v="79"/>
    <n v="26"/>
    <n v="1"/>
    <n v="11"/>
    <n v="0"/>
    <n v="1"/>
    <n v="4"/>
    <n v="2"/>
    <n v="1"/>
    <n v="0"/>
    <n v="3"/>
    <n v="3"/>
    <n v="0"/>
    <n v="0"/>
    <n v="0"/>
    <n v="0"/>
    <n v="0"/>
    <x v="0"/>
    <n v="0"/>
    <n v="3"/>
    <n v="11"/>
    <n v="0"/>
    <n v="65"/>
    <n v="2352"/>
    <n v="6.4438356164383563"/>
    <n v="0"/>
    <n v="0"/>
    <n v="1"/>
    <n v="0"/>
    <n v="0"/>
    <n v="0"/>
    <n v="0"/>
    <n v="0"/>
    <n v="1"/>
    <n v="0"/>
    <n v="39"/>
    <n v="35"/>
    <n v="4"/>
    <n v="0"/>
    <x v="0"/>
    <x v="0"/>
    <x v="1"/>
    <x v="1"/>
    <x v="2"/>
    <x v="2"/>
    <n v="1"/>
    <n v="0"/>
    <n v="9"/>
    <n v="3.0000000000000004"/>
    <n v="0"/>
    <n v="1"/>
    <n v="4"/>
    <n v="0"/>
    <x v="4"/>
  </r>
  <r>
    <x v="1676"/>
    <n v="54137"/>
    <n v="0"/>
    <n v="1"/>
    <n v="46"/>
    <n v="171"/>
    <n v="0"/>
    <n v="11"/>
    <n v="0"/>
    <n v="1"/>
    <n v="20"/>
    <n v="2"/>
    <n v="4"/>
    <n v="1"/>
    <n v="4"/>
    <n v="6"/>
    <n v="0"/>
    <n v="0"/>
    <n v="0"/>
    <n v="0"/>
    <n v="0"/>
    <x v="0"/>
    <n v="0"/>
    <n v="3"/>
    <n v="11"/>
    <n v="0"/>
    <n v="50"/>
    <n v="2476"/>
    <n v="6.7835616438356166"/>
    <n v="1"/>
    <n v="0"/>
    <n v="0"/>
    <n v="0"/>
    <n v="0"/>
    <n v="0"/>
    <n v="0"/>
    <n v="1"/>
    <n v="0"/>
    <n v="0"/>
    <n v="183"/>
    <n v="163"/>
    <n v="20"/>
    <n v="0"/>
    <x v="0"/>
    <x v="0"/>
    <x v="3"/>
    <x v="0"/>
    <x v="2"/>
    <x v="0"/>
    <n v="1"/>
    <n v="0"/>
    <n v="17"/>
    <n v="6"/>
    <n v="3"/>
    <n v="4"/>
    <n v="13"/>
    <n v="3"/>
    <x v="3"/>
  </r>
  <r>
    <x v="1677"/>
    <n v="58401"/>
    <n v="0"/>
    <n v="1"/>
    <n v="55"/>
    <n v="10"/>
    <n v="0"/>
    <n v="11"/>
    <n v="17"/>
    <n v="29"/>
    <n v="29"/>
    <n v="1"/>
    <n v="1"/>
    <n v="2"/>
    <n v="2"/>
    <n v="4"/>
    <n v="0"/>
    <n v="0"/>
    <n v="0"/>
    <n v="0"/>
    <n v="0"/>
    <x v="0"/>
    <n v="0"/>
    <n v="3"/>
    <n v="11"/>
    <n v="0"/>
    <n v="60"/>
    <n v="2229"/>
    <n v="6.1068493150684935"/>
    <n v="1"/>
    <n v="0"/>
    <n v="0"/>
    <n v="0"/>
    <n v="0"/>
    <n v="0"/>
    <n v="0"/>
    <n v="1"/>
    <n v="0"/>
    <n v="0"/>
    <n v="67"/>
    <n v="38"/>
    <n v="29"/>
    <n v="0"/>
    <x v="0"/>
    <x v="0"/>
    <x v="3"/>
    <x v="0"/>
    <x v="2"/>
    <x v="1"/>
    <n v="1"/>
    <n v="0"/>
    <n v="10"/>
    <n v="5"/>
    <n v="0"/>
    <n v="2"/>
    <n v="7"/>
    <n v="1"/>
    <x v="3"/>
  </r>
  <r>
    <x v="1678"/>
    <n v="7500"/>
    <n v="1"/>
    <n v="0"/>
    <n v="19"/>
    <n v="3"/>
    <n v="1"/>
    <n v="10"/>
    <n v="3"/>
    <n v="2"/>
    <n v="12"/>
    <n v="3"/>
    <n v="2"/>
    <n v="0"/>
    <n v="3"/>
    <n v="5"/>
    <n v="0"/>
    <n v="0"/>
    <n v="0"/>
    <n v="0"/>
    <n v="0"/>
    <x v="0"/>
    <n v="0"/>
    <n v="3"/>
    <n v="11"/>
    <n v="0"/>
    <n v="45"/>
    <n v="2429"/>
    <n v="6.6547945205479451"/>
    <n v="0"/>
    <n v="1"/>
    <n v="0"/>
    <n v="0"/>
    <n v="0"/>
    <n v="0"/>
    <n v="0"/>
    <n v="0"/>
    <n v="1"/>
    <n v="0"/>
    <n v="19"/>
    <n v="7"/>
    <n v="12"/>
    <n v="0"/>
    <x v="0"/>
    <x v="0"/>
    <x v="0"/>
    <x v="1"/>
    <x v="0"/>
    <x v="0"/>
    <n v="0"/>
    <n v="0"/>
    <n v="13"/>
    <n v="9"/>
    <n v="1"/>
    <n v="0"/>
    <n v="10"/>
    <n v="2"/>
    <x v="3"/>
  </r>
  <r>
    <x v="1679"/>
    <n v="7500"/>
    <n v="1"/>
    <n v="0"/>
    <n v="54"/>
    <n v="5"/>
    <n v="3"/>
    <n v="10"/>
    <n v="12"/>
    <n v="7"/>
    <n v="20"/>
    <n v="4"/>
    <n v="3"/>
    <n v="1"/>
    <n v="3"/>
    <n v="7"/>
    <n v="0"/>
    <n v="0"/>
    <n v="0"/>
    <n v="0"/>
    <n v="0"/>
    <x v="0"/>
    <n v="0"/>
    <n v="3"/>
    <n v="11"/>
    <n v="0"/>
    <n v="47"/>
    <n v="2344"/>
    <n v="6.4219178082191783"/>
    <n v="0"/>
    <n v="0"/>
    <n v="1"/>
    <n v="0"/>
    <n v="0"/>
    <n v="0"/>
    <n v="0"/>
    <n v="1"/>
    <n v="0"/>
    <n v="0"/>
    <n v="37"/>
    <n v="17"/>
    <n v="20"/>
    <n v="0"/>
    <x v="0"/>
    <x v="0"/>
    <x v="1"/>
    <x v="0"/>
    <x v="0"/>
    <x v="0"/>
    <n v="1"/>
    <n v="0"/>
    <n v="18"/>
    <n v="5"/>
    <n v="4"/>
    <n v="1"/>
    <n v="10"/>
    <n v="2"/>
    <x v="3"/>
  </r>
  <r>
    <x v="1680"/>
    <n v="10979"/>
    <n v="0"/>
    <n v="0"/>
    <n v="34"/>
    <n v="8"/>
    <n v="4"/>
    <n v="10"/>
    <n v="2"/>
    <n v="2"/>
    <n v="4"/>
    <n v="2"/>
    <n v="3"/>
    <n v="0"/>
    <n v="3"/>
    <n v="5"/>
    <n v="0"/>
    <n v="0"/>
    <n v="0"/>
    <n v="0"/>
    <n v="0"/>
    <x v="0"/>
    <n v="0"/>
    <n v="3"/>
    <n v="11"/>
    <n v="0"/>
    <n v="31"/>
    <n v="2197"/>
    <n v="6.0191780821917806"/>
    <n v="1"/>
    <n v="0"/>
    <n v="0"/>
    <n v="0"/>
    <n v="0"/>
    <n v="0"/>
    <n v="0"/>
    <n v="0"/>
    <n v="1"/>
    <n v="0"/>
    <n v="26"/>
    <n v="22"/>
    <n v="4"/>
    <n v="0"/>
    <x v="1"/>
    <x v="1"/>
    <x v="3"/>
    <x v="1"/>
    <x v="0"/>
    <x v="3"/>
    <n v="1"/>
    <n v="0"/>
    <n v="13"/>
    <n v="7"/>
    <n v="1"/>
    <n v="0"/>
    <n v="8"/>
    <n v="1"/>
    <x v="3"/>
  </r>
  <r>
    <x v="1681"/>
    <n v="16248"/>
    <n v="1"/>
    <n v="0"/>
    <n v="77"/>
    <n v="12"/>
    <n v="11"/>
    <n v="10"/>
    <n v="3"/>
    <n v="12"/>
    <n v="9"/>
    <n v="3"/>
    <n v="2"/>
    <n v="1"/>
    <n v="3"/>
    <n v="6"/>
    <n v="0"/>
    <n v="0"/>
    <n v="0"/>
    <n v="0"/>
    <n v="0"/>
    <x v="0"/>
    <n v="0"/>
    <n v="3"/>
    <n v="11"/>
    <n v="0"/>
    <n v="32"/>
    <n v="2209"/>
    <n v="6.0520547945205481"/>
    <n v="0"/>
    <n v="1"/>
    <n v="0"/>
    <n v="0"/>
    <n v="0"/>
    <n v="1"/>
    <n v="0"/>
    <n v="0"/>
    <n v="0"/>
    <n v="0"/>
    <n v="48"/>
    <n v="39"/>
    <n v="9"/>
    <n v="0"/>
    <x v="0"/>
    <x v="0"/>
    <x v="0"/>
    <x v="1"/>
    <x v="0"/>
    <x v="3"/>
    <n v="1"/>
    <n v="0"/>
    <n v="15"/>
    <n v="3.0000000000000004"/>
    <n v="2"/>
    <n v="2"/>
    <n v="7"/>
    <n v="1"/>
    <x v="3"/>
  </r>
  <r>
    <x v="1682"/>
    <n v="20981"/>
    <n v="0"/>
    <n v="0"/>
    <n v="14"/>
    <n v="2"/>
    <n v="12"/>
    <n v="10"/>
    <n v="6"/>
    <n v="13"/>
    <n v="30"/>
    <n v="1"/>
    <n v="3"/>
    <n v="1"/>
    <n v="2"/>
    <n v="8"/>
    <n v="0"/>
    <n v="0"/>
    <n v="0"/>
    <n v="0"/>
    <n v="0"/>
    <x v="0"/>
    <n v="0"/>
    <n v="3"/>
    <n v="11"/>
    <n v="1"/>
    <n v="43"/>
    <n v="2584"/>
    <n v="7.0794520547945208"/>
    <n v="0"/>
    <n v="0"/>
    <n v="0"/>
    <n v="1"/>
    <n v="0"/>
    <n v="1"/>
    <n v="0"/>
    <n v="0"/>
    <n v="0"/>
    <n v="0"/>
    <n v="43"/>
    <n v="13"/>
    <n v="30"/>
    <n v="0"/>
    <x v="1"/>
    <x v="1"/>
    <x v="2"/>
    <x v="1"/>
    <x v="0"/>
    <x v="0"/>
    <n v="0"/>
    <n v="0"/>
    <n v="15"/>
    <n v="9"/>
    <n v="2"/>
    <n v="1"/>
    <n v="12"/>
    <n v="3"/>
    <x v="3"/>
  </r>
  <r>
    <x v="1683"/>
    <n v="22554"/>
    <n v="1"/>
    <n v="1"/>
    <n v="38"/>
    <n v="27"/>
    <n v="0"/>
    <n v="10"/>
    <n v="0"/>
    <n v="0"/>
    <n v="4"/>
    <n v="4"/>
    <n v="2"/>
    <n v="0"/>
    <n v="4"/>
    <n v="5"/>
    <n v="0"/>
    <n v="0"/>
    <n v="0"/>
    <n v="0"/>
    <n v="0"/>
    <x v="0"/>
    <n v="0"/>
    <n v="3"/>
    <n v="11"/>
    <n v="0"/>
    <n v="65"/>
    <n v="2762"/>
    <n v="7.5671232876712331"/>
    <n v="0"/>
    <n v="1"/>
    <n v="0"/>
    <n v="0"/>
    <n v="0"/>
    <n v="0"/>
    <n v="0"/>
    <n v="0"/>
    <n v="0"/>
    <n v="1"/>
    <n v="37"/>
    <n v="33"/>
    <n v="4"/>
    <n v="0"/>
    <x v="0"/>
    <x v="0"/>
    <x v="0"/>
    <x v="1"/>
    <x v="0"/>
    <x v="2"/>
    <n v="1"/>
    <n v="0"/>
    <n v="15"/>
    <n v="7"/>
    <n v="2"/>
    <n v="1"/>
    <n v="10"/>
    <n v="2"/>
    <x v="3"/>
  </r>
  <r>
    <x v="1684"/>
    <n v="24683"/>
    <n v="1"/>
    <n v="0"/>
    <n v="98"/>
    <n v="8"/>
    <n v="4"/>
    <n v="10"/>
    <n v="6"/>
    <n v="7"/>
    <n v="6"/>
    <n v="2"/>
    <n v="2"/>
    <n v="0"/>
    <n v="4"/>
    <n v="5"/>
    <n v="0"/>
    <n v="0"/>
    <n v="0"/>
    <n v="0"/>
    <n v="0"/>
    <x v="0"/>
    <n v="0"/>
    <n v="3"/>
    <n v="11"/>
    <n v="0"/>
    <n v="30"/>
    <n v="2272"/>
    <n v="6.2246575342465755"/>
    <n v="0"/>
    <n v="1"/>
    <n v="0"/>
    <n v="0"/>
    <n v="0"/>
    <n v="1"/>
    <n v="0"/>
    <n v="0"/>
    <n v="0"/>
    <n v="0"/>
    <n v="35"/>
    <n v="29"/>
    <n v="6"/>
    <n v="0"/>
    <x v="0"/>
    <x v="0"/>
    <x v="0"/>
    <x v="1"/>
    <x v="0"/>
    <x v="4"/>
    <n v="1"/>
    <n v="1"/>
    <n v="13"/>
    <n v="0.99999999999999978"/>
    <n v="1"/>
    <n v="1"/>
    <n v="3"/>
    <n v="0"/>
    <x v="4"/>
  </r>
  <r>
    <x v="1685"/>
    <n v="24882"/>
    <n v="1"/>
    <n v="0"/>
    <n v="52"/>
    <n v="1"/>
    <n v="4"/>
    <n v="10"/>
    <n v="29"/>
    <n v="0"/>
    <n v="36"/>
    <n v="1"/>
    <n v="1"/>
    <n v="1"/>
    <n v="2"/>
    <n v="6"/>
    <n v="0"/>
    <n v="0"/>
    <n v="1"/>
    <n v="0"/>
    <n v="0"/>
    <x v="1"/>
    <n v="0"/>
    <n v="3"/>
    <n v="11"/>
    <n v="0"/>
    <n v="42"/>
    <n v="2817"/>
    <n v="7.7178082191780826"/>
    <n v="0"/>
    <n v="0"/>
    <n v="0"/>
    <n v="1"/>
    <n v="0"/>
    <n v="0"/>
    <n v="1"/>
    <n v="0"/>
    <n v="0"/>
    <n v="0"/>
    <n v="44"/>
    <n v="8"/>
    <n v="36"/>
    <n v="1"/>
    <x v="0"/>
    <x v="0"/>
    <x v="2"/>
    <x v="2"/>
    <x v="0"/>
    <x v="0"/>
    <n v="1"/>
    <n v="0"/>
    <n v="11"/>
    <n v="5"/>
    <n v="0"/>
    <n v="2"/>
    <n v="7"/>
    <n v="1"/>
    <x v="3"/>
  </r>
  <r>
    <x v="1686"/>
    <n v="26487"/>
    <n v="1"/>
    <n v="0"/>
    <n v="23"/>
    <n v="2"/>
    <n v="8"/>
    <n v="10"/>
    <n v="12"/>
    <n v="14"/>
    <n v="23"/>
    <n v="3"/>
    <n v="2"/>
    <n v="1"/>
    <n v="3"/>
    <n v="5"/>
    <n v="0"/>
    <n v="0"/>
    <n v="0"/>
    <n v="0"/>
    <n v="0"/>
    <x v="0"/>
    <n v="0"/>
    <n v="3"/>
    <n v="11"/>
    <n v="0"/>
    <n v="42"/>
    <n v="2564"/>
    <n v="7.0246575342465754"/>
    <n v="0"/>
    <n v="0"/>
    <n v="1"/>
    <n v="0"/>
    <n v="0"/>
    <n v="0"/>
    <n v="1"/>
    <n v="0"/>
    <n v="0"/>
    <n v="0"/>
    <n v="46"/>
    <n v="23"/>
    <n v="23"/>
    <n v="0"/>
    <x v="0"/>
    <x v="0"/>
    <x v="1"/>
    <x v="2"/>
    <x v="0"/>
    <x v="0"/>
    <n v="0"/>
    <n v="0"/>
    <n v="14"/>
    <n v="8"/>
    <n v="2"/>
    <n v="2"/>
    <n v="12"/>
    <n v="3"/>
    <x v="3"/>
  </r>
  <r>
    <x v="1687"/>
    <n v="28072"/>
    <n v="1"/>
    <n v="0"/>
    <n v="10"/>
    <n v="30"/>
    <n v="0"/>
    <n v="10"/>
    <n v="2"/>
    <n v="0"/>
    <n v="5"/>
    <n v="1"/>
    <n v="1"/>
    <n v="0"/>
    <n v="3"/>
    <n v="7"/>
    <n v="0"/>
    <n v="0"/>
    <n v="0"/>
    <n v="0"/>
    <n v="0"/>
    <x v="0"/>
    <n v="0"/>
    <n v="3"/>
    <n v="11"/>
    <n v="0"/>
    <n v="34"/>
    <n v="2515"/>
    <n v="6.8904109589041092"/>
    <n v="0"/>
    <n v="1"/>
    <n v="0"/>
    <n v="0"/>
    <n v="0"/>
    <n v="0"/>
    <n v="0"/>
    <n v="0"/>
    <n v="1"/>
    <n v="0"/>
    <n v="42"/>
    <n v="37"/>
    <n v="5"/>
    <n v="0"/>
    <x v="0"/>
    <x v="0"/>
    <x v="0"/>
    <x v="1"/>
    <x v="0"/>
    <x v="3"/>
    <n v="0"/>
    <n v="0"/>
    <n v="12"/>
    <n v="9"/>
    <n v="1"/>
    <n v="1"/>
    <n v="11"/>
    <n v="2"/>
    <x v="3"/>
  </r>
  <r>
    <x v="1688"/>
    <n v="28442"/>
    <n v="2"/>
    <n v="0"/>
    <n v="53"/>
    <n v="19"/>
    <n v="3"/>
    <n v="10"/>
    <n v="11"/>
    <n v="8"/>
    <n v="6"/>
    <n v="3"/>
    <n v="2"/>
    <n v="1"/>
    <n v="4"/>
    <n v="4"/>
    <n v="0"/>
    <n v="0"/>
    <n v="0"/>
    <n v="0"/>
    <n v="0"/>
    <x v="0"/>
    <n v="0"/>
    <n v="3"/>
    <n v="11"/>
    <n v="0"/>
    <n v="42"/>
    <n v="2284"/>
    <n v="6.2575342465753421"/>
    <n v="0"/>
    <n v="1"/>
    <n v="0"/>
    <n v="0"/>
    <n v="0"/>
    <n v="0"/>
    <n v="0"/>
    <n v="1"/>
    <n v="0"/>
    <n v="0"/>
    <n v="51"/>
    <n v="45"/>
    <n v="6"/>
    <n v="0"/>
    <x v="0"/>
    <x v="0"/>
    <x v="0"/>
    <x v="0"/>
    <x v="0"/>
    <x v="0"/>
    <n v="1"/>
    <n v="0"/>
    <n v="14"/>
    <n v="5"/>
    <n v="2"/>
    <n v="2"/>
    <n v="9"/>
    <n v="1"/>
    <x v="3"/>
  </r>
  <r>
    <x v="1689"/>
    <n v="28520"/>
    <n v="1"/>
    <n v="1"/>
    <n v="55"/>
    <n v="11"/>
    <n v="0"/>
    <n v="10"/>
    <n v="0"/>
    <n v="2"/>
    <n v="20"/>
    <n v="1"/>
    <n v="1"/>
    <n v="1"/>
    <n v="2"/>
    <n v="6"/>
    <n v="0"/>
    <n v="0"/>
    <n v="0"/>
    <n v="0"/>
    <n v="0"/>
    <x v="0"/>
    <n v="0"/>
    <n v="3"/>
    <n v="11"/>
    <n v="0"/>
    <n v="60"/>
    <n v="2539"/>
    <n v="6.956164383561644"/>
    <n v="0"/>
    <n v="1"/>
    <n v="0"/>
    <n v="0"/>
    <n v="0"/>
    <n v="0"/>
    <n v="0"/>
    <n v="0"/>
    <n v="1"/>
    <n v="0"/>
    <n v="23"/>
    <n v="3"/>
    <n v="20"/>
    <n v="0"/>
    <x v="0"/>
    <x v="0"/>
    <x v="0"/>
    <x v="1"/>
    <x v="0"/>
    <x v="1"/>
    <n v="1"/>
    <n v="0"/>
    <n v="11"/>
    <n v="5"/>
    <n v="0"/>
    <n v="0"/>
    <n v="5"/>
    <n v="0"/>
    <x v="4"/>
  </r>
  <r>
    <x v="1690"/>
    <n v="31163"/>
    <n v="1"/>
    <n v="0"/>
    <n v="54"/>
    <n v="2"/>
    <n v="3"/>
    <n v="10"/>
    <n v="11"/>
    <n v="2"/>
    <n v="10"/>
    <n v="1"/>
    <n v="1"/>
    <n v="0"/>
    <n v="3"/>
    <n v="6"/>
    <n v="0"/>
    <n v="0"/>
    <n v="0"/>
    <n v="0"/>
    <n v="0"/>
    <x v="0"/>
    <n v="0"/>
    <n v="3"/>
    <n v="11"/>
    <n v="0"/>
    <n v="47"/>
    <n v="2295"/>
    <n v="6.2876712328767121"/>
    <n v="1"/>
    <n v="0"/>
    <n v="0"/>
    <n v="0"/>
    <n v="0"/>
    <n v="1"/>
    <n v="0"/>
    <n v="0"/>
    <n v="0"/>
    <n v="0"/>
    <n v="28"/>
    <n v="18"/>
    <n v="10"/>
    <n v="0"/>
    <x v="0"/>
    <x v="0"/>
    <x v="3"/>
    <x v="1"/>
    <x v="0"/>
    <x v="0"/>
    <n v="1"/>
    <n v="0"/>
    <n v="11"/>
    <n v="5"/>
    <n v="0"/>
    <n v="0"/>
    <n v="5"/>
    <n v="0"/>
    <x v="4"/>
  </r>
  <r>
    <x v="1691"/>
    <n v="31353"/>
    <n v="1"/>
    <n v="1"/>
    <n v="24"/>
    <n v="10"/>
    <n v="0"/>
    <n v="10"/>
    <n v="3"/>
    <n v="1"/>
    <n v="7"/>
    <n v="2"/>
    <n v="1"/>
    <n v="1"/>
    <n v="2"/>
    <n v="8"/>
    <n v="0"/>
    <n v="0"/>
    <n v="0"/>
    <n v="0"/>
    <n v="0"/>
    <x v="0"/>
    <n v="0"/>
    <n v="3"/>
    <n v="11"/>
    <n v="0"/>
    <n v="43"/>
    <n v="2341"/>
    <n v="6.4136986301369863"/>
    <n v="0"/>
    <n v="1"/>
    <n v="0"/>
    <n v="0"/>
    <n v="0"/>
    <n v="0"/>
    <n v="0"/>
    <n v="1"/>
    <n v="0"/>
    <n v="0"/>
    <n v="24"/>
    <n v="17"/>
    <n v="7"/>
    <n v="0"/>
    <x v="0"/>
    <x v="0"/>
    <x v="0"/>
    <x v="0"/>
    <x v="0"/>
    <x v="0"/>
    <n v="0"/>
    <n v="0"/>
    <n v="14"/>
    <n v="8"/>
    <n v="2"/>
    <n v="0"/>
    <n v="10"/>
    <n v="2"/>
    <x v="3"/>
  </r>
  <r>
    <x v="1692"/>
    <n v="31353"/>
    <n v="1"/>
    <n v="1"/>
    <n v="24"/>
    <n v="10"/>
    <n v="0"/>
    <n v="10"/>
    <n v="3"/>
    <n v="1"/>
    <n v="7"/>
    <n v="2"/>
    <n v="1"/>
    <n v="1"/>
    <n v="2"/>
    <n v="8"/>
    <n v="0"/>
    <n v="0"/>
    <n v="0"/>
    <n v="0"/>
    <n v="0"/>
    <x v="0"/>
    <n v="0"/>
    <n v="3"/>
    <n v="11"/>
    <n v="1"/>
    <n v="43"/>
    <n v="2341"/>
    <n v="6.4136986301369863"/>
    <n v="0"/>
    <n v="1"/>
    <n v="0"/>
    <n v="0"/>
    <n v="0"/>
    <n v="0"/>
    <n v="0"/>
    <n v="1"/>
    <n v="0"/>
    <n v="0"/>
    <n v="24"/>
    <n v="17"/>
    <n v="7"/>
    <n v="0"/>
    <x v="0"/>
    <x v="0"/>
    <x v="0"/>
    <x v="0"/>
    <x v="0"/>
    <x v="0"/>
    <n v="0"/>
    <n v="0"/>
    <n v="14"/>
    <n v="8"/>
    <n v="2"/>
    <n v="0"/>
    <n v="10"/>
    <n v="2"/>
    <x v="3"/>
  </r>
  <r>
    <x v="1693"/>
    <n v="32144"/>
    <n v="1"/>
    <n v="1"/>
    <n v="76"/>
    <n v="41"/>
    <n v="0"/>
    <n v="10"/>
    <n v="0"/>
    <n v="0"/>
    <n v="3"/>
    <n v="4"/>
    <n v="2"/>
    <n v="1"/>
    <n v="3"/>
    <n v="7"/>
    <n v="0"/>
    <n v="0"/>
    <n v="0"/>
    <n v="1"/>
    <n v="0"/>
    <x v="1"/>
    <n v="0"/>
    <n v="3"/>
    <n v="11"/>
    <n v="0"/>
    <n v="66"/>
    <n v="2257"/>
    <n v="6.183561643835616"/>
    <n v="0"/>
    <n v="0"/>
    <n v="0"/>
    <n v="1"/>
    <n v="0"/>
    <n v="0"/>
    <n v="0"/>
    <n v="1"/>
    <n v="0"/>
    <n v="0"/>
    <n v="51"/>
    <n v="48"/>
    <n v="3"/>
    <n v="1"/>
    <x v="0"/>
    <x v="0"/>
    <x v="2"/>
    <x v="0"/>
    <x v="0"/>
    <x v="2"/>
    <n v="1"/>
    <n v="0"/>
    <n v="17"/>
    <n v="3.0000000000000004"/>
    <n v="3"/>
    <n v="2"/>
    <n v="8"/>
    <n v="1"/>
    <x v="3"/>
  </r>
  <r>
    <x v="1694"/>
    <n v="33456"/>
    <n v="1"/>
    <n v="1"/>
    <n v="58"/>
    <n v="7"/>
    <n v="3"/>
    <n v="10"/>
    <n v="8"/>
    <n v="1"/>
    <n v="7"/>
    <n v="2"/>
    <n v="1"/>
    <n v="0"/>
    <n v="3"/>
    <n v="7"/>
    <n v="0"/>
    <n v="0"/>
    <n v="0"/>
    <n v="0"/>
    <n v="0"/>
    <x v="0"/>
    <n v="0"/>
    <n v="3"/>
    <n v="11"/>
    <n v="0"/>
    <n v="55"/>
    <n v="2228"/>
    <n v="6.1041095890410961"/>
    <n v="0"/>
    <n v="0"/>
    <n v="0"/>
    <n v="1"/>
    <n v="0"/>
    <n v="0"/>
    <n v="0"/>
    <n v="1"/>
    <n v="0"/>
    <n v="0"/>
    <n v="29"/>
    <n v="22"/>
    <n v="7"/>
    <n v="0"/>
    <x v="0"/>
    <x v="0"/>
    <x v="2"/>
    <x v="0"/>
    <x v="0"/>
    <x v="1"/>
    <n v="1"/>
    <n v="0"/>
    <n v="13"/>
    <n v="5"/>
    <n v="1"/>
    <n v="1"/>
    <n v="7"/>
    <n v="1"/>
    <x v="3"/>
  </r>
  <r>
    <x v="1695"/>
    <n v="34738"/>
    <n v="1"/>
    <n v="0"/>
    <n v="51"/>
    <n v="3"/>
    <n v="2"/>
    <n v="10"/>
    <n v="3"/>
    <n v="0"/>
    <n v="2"/>
    <n v="1"/>
    <n v="1"/>
    <n v="0"/>
    <n v="3"/>
    <n v="6"/>
    <n v="0"/>
    <n v="0"/>
    <n v="0"/>
    <n v="0"/>
    <n v="0"/>
    <x v="0"/>
    <n v="0"/>
    <n v="3"/>
    <n v="11"/>
    <n v="0"/>
    <n v="36"/>
    <n v="2208"/>
    <n v="6.0493150684931507"/>
    <n v="0"/>
    <n v="0"/>
    <n v="1"/>
    <n v="0"/>
    <n v="0"/>
    <n v="0"/>
    <n v="0"/>
    <n v="1"/>
    <n v="0"/>
    <n v="0"/>
    <n v="18"/>
    <n v="16"/>
    <n v="2"/>
    <n v="0"/>
    <x v="0"/>
    <x v="0"/>
    <x v="1"/>
    <x v="0"/>
    <x v="0"/>
    <x v="3"/>
    <n v="1"/>
    <n v="0"/>
    <n v="11"/>
    <n v="5"/>
    <n v="0"/>
    <n v="0"/>
    <n v="5"/>
    <n v="0"/>
    <x v="4"/>
  </r>
  <r>
    <x v="1696"/>
    <n v="36026"/>
    <n v="2"/>
    <n v="1"/>
    <n v="34"/>
    <n v="20"/>
    <n v="4"/>
    <n v="10"/>
    <n v="6"/>
    <n v="4"/>
    <n v="17"/>
    <n v="2"/>
    <n v="2"/>
    <n v="0"/>
    <n v="3"/>
    <n v="6"/>
    <n v="0"/>
    <n v="0"/>
    <n v="0"/>
    <n v="0"/>
    <n v="0"/>
    <x v="0"/>
    <n v="0"/>
    <n v="3"/>
    <n v="11"/>
    <n v="0"/>
    <n v="48"/>
    <n v="2264"/>
    <n v="6.2027397260273975"/>
    <n v="0"/>
    <n v="1"/>
    <n v="0"/>
    <n v="0"/>
    <n v="0"/>
    <n v="0"/>
    <n v="0"/>
    <n v="1"/>
    <n v="0"/>
    <n v="0"/>
    <n v="44"/>
    <n v="27"/>
    <n v="17"/>
    <n v="0"/>
    <x v="0"/>
    <x v="0"/>
    <x v="0"/>
    <x v="0"/>
    <x v="3"/>
    <x v="0"/>
    <n v="1"/>
    <n v="0"/>
    <n v="13"/>
    <n v="7"/>
    <n v="1"/>
    <n v="2"/>
    <n v="10"/>
    <n v="2"/>
    <x v="3"/>
  </r>
  <r>
    <x v="1697"/>
    <n v="37244"/>
    <n v="1"/>
    <n v="1"/>
    <n v="90"/>
    <n v="18"/>
    <n v="2"/>
    <n v="10"/>
    <n v="0"/>
    <n v="0"/>
    <n v="25"/>
    <n v="1"/>
    <n v="1"/>
    <n v="1"/>
    <n v="2"/>
    <n v="7"/>
    <n v="0"/>
    <n v="0"/>
    <n v="1"/>
    <n v="0"/>
    <n v="0"/>
    <x v="1"/>
    <n v="0"/>
    <n v="3"/>
    <n v="11"/>
    <n v="0"/>
    <n v="65"/>
    <n v="2587"/>
    <n v="7.087671232876712"/>
    <n v="1"/>
    <n v="0"/>
    <n v="0"/>
    <n v="0"/>
    <n v="0"/>
    <n v="0"/>
    <n v="0"/>
    <n v="1"/>
    <n v="0"/>
    <n v="0"/>
    <n v="30"/>
    <n v="5"/>
    <n v="25"/>
    <n v="1"/>
    <x v="0"/>
    <x v="0"/>
    <x v="3"/>
    <x v="0"/>
    <x v="3"/>
    <x v="2"/>
    <n v="1"/>
    <n v="0"/>
    <n v="12"/>
    <n v="0.99999999999999978"/>
    <n v="1"/>
    <n v="1"/>
    <n v="3"/>
    <n v="0"/>
    <x v="4"/>
  </r>
  <r>
    <x v="1698"/>
    <n v="37758"/>
    <n v="1"/>
    <n v="1"/>
    <n v="49"/>
    <n v="27"/>
    <n v="2"/>
    <n v="10"/>
    <n v="0"/>
    <n v="0"/>
    <n v="1"/>
    <n v="2"/>
    <n v="1"/>
    <n v="0"/>
    <n v="3"/>
    <n v="8"/>
    <n v="0"/>
    <n v="0"/>
    <n v="0"/>
    <n v="0"/>
    <n v="0"/>
    <x v="0"/>
    <n v="0"/>
    <n v="3"/>
    <n v="11"/>
    <n v="0"/>
    <n v="54"/>
    <n v="2792"/>
    <n v="7.6493150684931503"/>
    <n v="0"/>
    <n v="0"/>
    <n v="0"/>
    <n v="1"/>
    <n v="0"/>
    <n v="0"/>
    <n v="0"/>
    <n v="1"/>
    <n v="0"/>
    <n v="0"/>
    <n v="39"/>
    <n v="38"/>
    <n v="1"/>
    <n v="0"/>
    <x v="0"/>
    <x v="0"/>
    <x v="2"/>
    <x v="0"/>
    <x v="3"/>
    <x v="1"/>
    <n v="1"/>
    <n v="0"/>
    <n v="14"/>
    <n v="6"/>
    <n v="2"/>
    <n v="1"/>
    <n v="9"/>
    <n v="1"/>
    <x v="3"/>
  </r>
  <r>
    <x v="1699"/>
    <n v="37971"/>
    <n v="1"/>
    <n v="0"/>
    <n v="97"/>
    <n v="5"/>
    <n v="4"/>
    <n v="10"/>
    <n v="2"/>
    <n v="2"/>
    <n v="7"/>
    <n v="1"/>
    <n v="1"/>
    <n v="0"/>
    <n v="3"/>
    <n v="8"/>
    <n v="0"/>
    <n v="0"/>
    <n v="0"/>
    <n v="0"/>
    <n v="0"/>
    <x v="0"/>
    <n v="0"/>
    <n v="3"/>
    <n v="11"/>
    <n v="0"/>
    <n v="47"/>
    <n v="2375"/>
    <n v="6.506849315068493"/>
    <n v="0"/>
    <n v="1"/>
    <n v="0"/>
    <n v="0"/>
    <n v="0"/>
    <n v="0"/>
    <n v="0"/>
    <n v="1"/>
    <n v="0"/>
    <n v="0"/>
    <n v="23"/>
    <n v="16"/>
    <n v="7"/>
    <n v="0"/>
    <x v="0"/>
    <x v="0"/>
    <x v="0"/>
    <x v="0"/>
    <x v="3"/>
    <x v="0"/>
    <n v="1"/>
    <n v="1"/>
    <n v="13"/>
    <n v="0.99999999999999978"/>
    <n v="1"/>
    <n v="0"/>
    <n v="1.9999999999999998"/>
    <n v="0"/>
    <x v="4"/>
  </r>
  <r>
    <x v="1700"/>
    <n v="38547"/>
    <n v="1"/>
    <n v="0"/>
    <n v="49"/>
    <n v="6"/>
    <n v="1"/>
    <n v="10"/>
    <n v="0"/>
    <n v="1"/>
    <n v="4"/>
    <n v="1"/>
    <n v="1"/>
    <n v="0"/>
    <n v="2"/>
    <n v="8"/>
    <n v="0"/>
    <n v="0"/>
    <n v="0"/>
    <n v="0"/>
    <n v="0"/>
    <x v="0"/>
    <n v="1"/>
    <n v="3"/>
    <n v="11"/>
    <n v="0"/>
    <n v="39"/>
    <n v="2464"/>
    <n v="6.7506849315068491"/>
    <n v="0"/>
    <n v="0"/>
    <n v="0"/>
    <n v="1"/>
    <n v="0"/>
    <n v="0"/>
    <n v="0"/>
    <n v="1"/>
    <n v="0"/>
    <n v="0"/>
    <n v="18"/>
    <n v="14"/>
    <n v="4"/>
    <n v="0"/>
    <x v="0"/>
    <x v="0"/>
    <x v="2"/>
    <x v="0"/>
    <x v="3"/>
    <x v="3"/>
    <n v="1"/>
    <n v="0"/>
    <n v="12"/>
    <n v="6"/>
    <n v="1"/>
    <n v="0"/>
    <n v="7"/>
    <n v="1"/>
    <x v="3"/>
  </r>
  <r>
    <x v="1701"/>
    <n v="39548"/>
    <n v="1"/>
    <n v="1"/>
    <n v="87"/>
    <n v="15"/>
    <n v="4"/>
    <n v="10"/>
    <n v="3"/>
    <n v="4"/>
    <n v="18"/>
    <n v="2"/>
    <n v="1"/>
    <n v="1"/>
    <n v="3"/>
    <n v="3"/>
    <n v="0"/>
    <n v="0"/>
    <n v="0"/>
    <n v="0"/>
    <n v="0"/>
    <x v="0"/>
    <n v="0"/>
    <n v="3"/>
    <n v="11"/>
    <n v="0"/>
    <n v="57"/>
    <n v="2249"/>
    <n v="6.161643835616438"/>
    <n v="0"/>
    <n v="0"/>
    <n v="1"/>
    <n v="0"/>
    <n v="0"/>
    <n v="1"/>
    <n v="0"/>
    <n v="0"/>
    <n v="0"/>
    <n v="0"/>
    <n v="36"/>
    <n v="18"/>
    <n v="18"/>
    <n v="0"/>
    <x v="0"/>
    <x v="0"/>
    <x v="1"/>
    <x v="1"/>
    <x v="3"/>
    <x v="1"/>
    <n v="1"/>
    <n v="0"/>
    <n v="10"/>
    <n v="1.9999999999999996"/>
    <n v="0"/>
    <n v="1"/>
    <n v="2.9999999999999996"/>
    <n v="0"/>
    <x v="4"/>
  </r>
  <r>
    <x v="1702"/>
    <n v="41967"/>
    <n v="1"/>
    <n v="1"/>
    <n v="66"/>
    <n v="23"/>
    <n v="4"/>
    <n v="10"/>
    <n v="0"/>
    <n v="2"/>
    <n v="15"/>
    <n v="1"/>
    <n v="1"/>
    <n v="0"/>
    <n v="3"/>
    <n v="4"/>
    <n v="0"/>
    <n v="0"/>
    <n v="0"/>
    <n v="0"/>
    <n v="0"/>
    <x v="0"/>
    <n v="0"/>
    <n v="3"/>
    <n v="11"/>
    <n v="0"/>
    <n v="39"/>
    <n v="2377"/>
    <n v="6.5123287671232877"/>
    <n v="0"/>
    <n v="0"/>
    <n v="1"/>
    <n v="0"/>
    <n v="0"/>
    <n v="0"/>
    <n v="0"/>
    <n v="1"/>
    <n v="0"/>
    <n v="0"/>
    <n v="39"/>
    <n v="24"/>
    <n v="15"/>
    <n v="0"/>
    <x v="0"/>
    <x v="0"/>
    <x v="1"/>
    <x v="0"/>
    <x v="3"/>
    <x v="3"/>
    <n v="1"/>
    <n v="0"/>
    <n v="9"/>
    <n v="4"/>
    <n v="0"/>
    <n v="1"/>
    <n v="5"/>
    <n v="0"/>
    <x v="4"/>
  </r>
  <r>
    <x v="1703"/>
    <n v="42394"/>
    <n v="1"/>
    <n v="0"/>
    <n v="69"/>
    <n v="15"/>
    <n v="2"/>
    <n v="10"/>
    <n v="0"/>
    <n v="1"/>
    <n v="4"/>
    <n v="1"/>
    <n v="1"/>
    <n v="0"/>
    <n v="3"/>
    <n v="7"/>
    <n v="0"/>
    <n v="0"/>
    <n v="0"/>
    <n v="0"/>
    <n v="0"/>
    <x v="0"/>
    <n v="0"/>
    <n v="3"/>
    <n v="11"/>
    <n v="0"/>
    <n v="48"/>
    <n v="2257"/>
    <n v="6.183561643835616"/>
    <n v="0"/>
    <n v="0"/>
    <n v="1"/>
    <n v="0"/>
    <n v="0"/>
    <n v="0"/>
    <n v="0"/>
    <n v="0"/>
    <n v="1"/>
    <n v="0"/>
    <n v="28"/>
    <n v="24"/>
    <n v="4"/>
    <n v="0"/>
    <x v="0"/>
    <x v="0"/>
    <x v="1"/>
    <x v="1"/>
    <x v="3"/>
    <x v="0"/>
    <n v="1"/>
    <n v="0"/>
    <n v="12"/>
    <n v="4"/>
    <n v="1"/>
    <n v="0"/>
    <n v="5"/>
    <n v="0"/>
    <x v="4"/>
  </r>
  <r>
    <x v="1704"/>
    <n v="44078"/>
    <n v="1"/>
    <n v="1"/>
    <n v="17"/>
    <n v="24"/>
    <n v="1"/>
    <n v="10"/>
    <n v="2"/>
    <n v="0"/>
    <n v="4"/>
    <n v="2"/>
    <n v="2"/>
    <n v="0"/>
    <n v="3"/>
    <n v="5"/>
    <n v="0"/>
    <n v="0"/>
    <n v="0"/>
    <n v="0"/>
    <n v="0"/>
    <x v="0"/>
    <n v="0"/>
    <n v="3"/>
    <n v="11"/>
    <n v="0"/>
    <n v="51"/>
    <n v="2169"/>
    <n v="5.9424657534246572"/>
    <n v="0"/>
    <n v="1"/>
    <n v="0"/>
    <n v="0"/>
    <n v="0"/>
    <n v="0"/>
    <n v="0"/>
    <n v="1"/>
    <n v="0"/>
    <n v="0"/>
    <n v="37"/>
    <n v="33"/>
    <n v="4"/>
    <n v="0"/>
    <x v="0"/>
    <x v="0"/>
    <x v="0"/>
    <x v="0"/>
    <x v="3"/>
    <x v="1"/>
    <n v="0"/>
    <n v="0"/>
    <n v="12"/>
    <n v="9"/>
    <n v="1"/>
    <n v="1"/>
    <n v="11"/>
    <n v="2"/>
    <x v="3"/>
  </r>
  <r>
    <x v="1705"/>
    <n v="45207"/>
    <n v="1"/>
    <n v="1"/>
    <n v="64"/>
    <n v="203"/>
    <n v="0"/>
    <n v="10"/>
    <n v="0"/>
    <n v="0"/>
    <n v="2"/>
    <n v="5"/>
    <n v="3"/>
    <n v="1"/>
    <n v="6"/>
    <n v="6"/>
    <n v="0"/>
    <n v="0"/>
    <n v="0"/>
    <n v="1"/>
    <n v="0"/>
    <x v="1"/>
    <n v="0"/>
    <n v="3"/>
    <n v="11"/>
    <n v="0"/>
    <n v="46"/>
    <n v="2755"/>
    <n v="7.5479452054794525"/>
    <n v="0"/>
    <n v="1"/>
    <n v="0"/>
    <n v="0"/>
    <n v="0"/>
    <n v="0"/>
    <n v="0"/>
    <n v="0"/>
    <n v="0"/>
    <n v="1"/>
    <n v="213"/>
    <n v="211"/>
    <n v="2"/>
    <n v="1"/>
    <x v="0"/>
    <x v="0"/>
    <x v="0"/>
    <x v="1"/>
    <x v="3"/>
    <x v="0"/>
    <n v="1"/>
    <n v="0"/>
    <n v="21"/>
    <n v="4"/>
    <n v="5"/>
    <n v="4"/>
    <n v="13"/>
    <n v="3"/>
    <x v="3"/>
  </r>
  <r>
    <x v="1706"/>
    <n v="45903"/>
    <n v="0"/>
    <n v="1"/>
    <n v="80"/>
    <n v="33"/>
    <n v="8"/>
    <n v="10"/>
    <n v="2"/>
    <n v="10"/>
    <n v="3"/>
    <n v="2"/>
    <n v="2"/>
    <n v="1"/>
    <n v="3"/>
    <n v="4"/>
    <n v="0"/>
    <n v="0"/>
    <n v="0"/>
    <n v="0"/>
    <n v="0"/>
    <x v="0"/>
    <n v="0"/>
    <n v="3"/>
    <n v="11"/>
    <n v="0"/>
    <n v="54"/>
    <n v="2226"/>
    <n v="6.0986301369863014"/>
    <n v="0"/>
    <n v="0"/>
    <n v="0"/>
    <n v="1"/>
    <n v="0"/>
    <n v="0"/>
    <n v="0"/>
    <n v="0"/>
    <n v="1"/>
    <n v="0"/>
    <n v="63"/>
    <n v="60"/>
    <n v="3"/>
    <n v="0"/>
    <x v="0"/>
    <x v="0"/>
    <x v="2"/>
    <x v="1"/>
    <x v="3"/>
    <x v="1"/>
    <n v="1"/>
    <n v="0"/>
    <n v="12"/>
    <n v="1.9999999999999996"/>
    <n v="1"/>
    <n v="2"/>
    <n v="5"/>
    <n v="0"/>
    <x v="4"/>
  </r>
  <r>
    <x v="1707"/>
    <n v="46831"/>
    <n v="1"/>
    <n v="1"/>
    <n v="84"/>
    <n v="22"/>
    <n v="2"/>
    <n v="10"/>
    <n v="6"/>
    <n v="4"/>
    <n v="34"/>
    <n v="2"/>
    <n v="1"/>
    <n v="2"/>
    <n v="2"/>
    <n v="4"/>
    <n v="0"/>
    <n v="0"/>
    <n v="0"/>
    <n v="0"/>
    <n v="0"/>
    <x v="0"/>
    <n v="0"/>
    <n v="3"/>
    <n v="11"/>
    <n v="0"/>
    <n v="51"/>
    <n v="2545"/>
    <n v="6.9726027397260273"/>
    <n v="0"/>
    <n v="1"/>
    <n v="0"/>
    <n v="0"/>
    <n v="0"/>
    <n v="1"/>
    <n v="0"/>
    <n v="0"/>
    <n v="0"/>
    <n v="0"/>
    <n v="44"/>
    <n v="10"/>
    <n v="34"/>
    <n v="0"/>
    <x v="0"/>
    <x v="0"/>
    <x v="0"/>
    <x v="1"/>
    <x v="3"/>
    <x v="1"/>
    <n v="1"/>
    <n v="0"/>
    <n v="11"/>
    <n v="1.9999999999999996"/>
    <n v="0"/>
    <n v="2"/>
    <n v="3.9999999999999996"/>
    <n v="0"/>
    <x v="4"/>
  </r>
  <r>
    <x v="1708"/>
    <n v="46984"/>
    <n v="1"/>
    <n v="1"/>
    <n v="71"/>
    <n v="19"/>
    <n v="1"/>
    <n v="10"/>
    <n v="2"/>
    <n v="1"/>
    <n v="8"/>
    <n v="1"/>
    <n v="1"/>
    <n v="0"/>
    <n v="3"/>
    <n v="5"/>
    <n v="0"/>
    <n v="0"/>
    <n v="0"/>
    <n v="0"/>
    <n v="0"/>
    <x v="0"/>
    <n v="0"/>
    <n v="3"/>
    <n v="11"/>
    <n v="0"/>
    <n v="64"/>
    <n v="2619"/>
    <n v="7.1753424657534248"/>
    <n v="0"/>
    <n v="0"/>
    <n v="0"/>
    <n v="0"/>
    <n v="1"/>
    <n v="0"/>
    <n v="0"/>
    <n v="1"/>
    <n v="0"/>
    <n v="0"/>
    <n v="33"/>
    <n v="25"/>
    <n v="8"/>
    <n v="0"/>
    <x v="0"/>
    <x v="0"/>
    <x v="4"/>
    <x v="0"/>
    <x v="3"/>
    <x v="2"/>
    <n v="1"/>
    <n v="0"/>
    <n v="10"/>
    <n v="3.0000000000000004"/>
    <n v="0"/>
    <n v="1"/>
    <n v="4"/>
    <n v="0"/>
    <x v="4"/>
  </r>
  <r>
    <x v="1709"/>
    <n v="48699"/>
    <n v="1"/>
    <n v="1"/>
    <n v="90"/>
    <n v="26"/>
    <n v="1"/>
    <n v="10"/>
    <n v="2"/>
    <n v="0"/>
    <n v="1"/>
    <n v="1"/>
    <n v="1"/>
    <n v="0"/>
    <n v="3"/>
    <n v="5"/>
    <n v="0"/>
    <n v="0"/>
    <n v="0"/>
    <n v="0"/>
    <n v="0"/>
    <x v="0"/>
    <n v="0"/>
    <n v="3"/>
    <n v="11"/>
    <n v="0"/>
    <n v="70"/>
    <n v="2563"/>
    <n v="7.021917808219178"/>
    <n v="0"/>
    <n v="1"/>
    <n v="0"/>
    <n v="0"/>
    <n v="0"/>
    <n v="0"/>
    <n v="0"/>
    <n v="0"/>
    <n v="0"/>
    <n v="1"/>
    <n v="39"/>
    <n v="38"/>
    <n v="1"/>
    <n v="0"/>
    <x v="0"/>
    <x v="0"/>
    <x v="0"/>
    <x v="1"/>
    <x v="3"/>
    <x v="2"/>
    <n v="1"/>
    <n v="0"/>
    <n v="10"/>
    <n v="0.99999999999999978"/>
    <n v="0"/>
    <n v="1"/>
    <n v="1.9999999999999998"/>
    <n v="0"/>
    <x v="4"/>
  </r>
  <r>
    <x v="1710"/>
    <n v="50116"/>
    <n v="1"/>
    <n v="1"/>
    <n v="68"/>
    <n v="54"/>
    <n v="0"/>
    <n v="10"/>
    <n v="0"/>
    <n v="0"/>
    <n v="2"/>
    <n v="2"/>
    <n v="1"/>
    <n v="0"/>
    <n v="4"/>
    <n v="5"/>
    <n v="0"/>
    <n v="0"/>
    <n v="0"/>
    <n v="1"/>
    <n v="0"/>
    <x v="1"/>
    <n v="0"/>
    <n v="3"/>
    <n v="11"/>
    <n v="0"/>
    <n v="63"/>
    <n v="2168"/>
    <n v="5.9397260273972599"/>
    <n v="0"/>
    <n v="0"/>
    <n v="0"/>
    <n v="1"/>
    <n v="0"/>
    <n v="0"/>
    <n v="0"/>
    <n v="1"/>
    <n v="0"/>
    <n v="0"/>
    <n v="64"/>
    <n v="62"/>
    <n v="2"/>
    <n v="1"/>
    <x v="0"/>
    <x v="0"/>
    <x v="2"/>
    <x v="0"/>
    <x v="2"/>
    <x v="2"/>
    <n v="1"/>
    <n v="0"/>
    <n v="12"/>
    <n v="4"/>
    <n v="1"/>
    <n v="2"/>
    <n v="7"/>
    <n v="1"/>
    <x v="3"/>
  </r>
  <r>
    <x v="1711"/>
    <n v="52854"/>
    <n v="1"/>
    <n v="1"/>
    <n v="43"/>
    <n v="105"/>
    <n v="0"/>
    <n v="10"/>
    <n v="0"/>
    <n v="1"/>
    <n v="0"/>
    <n v="2"/>
    <n v="2"/>
    <n v="1"/>
    <n v="4"/>
    <n v="5"/>
    <n v="0"/>
    <n v="0"/>
    <n v="0"/>
    <n v="0"/>
    <n v="0"/>
    <x v="0"/>
    <n v="0"/>
    <n v="3"/>
    <n v="11"/>
    <n v="0"/>
    <n v="61"/>
    <n v="2256"/>
    <n v="6.1808219178082195"/>
    <n v="0"/>
    <n v="1"/>
    <n v="0"/>
    <n v="0"/>
    <n v="0"/>
    <n v="0"/>
    <n v="0"/>
    <n v="0"/>
    <n v="0"/>
    <n v="1"/>
    <n v="116"/>
    <n v="116"/>
    <n v="0"/>
    <n v="0"/>
    <x v="0"/>
    <x v="0"/>
    <x v="0"/>
    <x v="1"/>
    <x v="2"/>
    <x v="2"/>
    <n v="1"/>
    <n v="0"/>
    <n v="14"/>
    <n v="6"/>
    <n v="2"/>
    <n v="3"/>
    <n v="11"/>
    <n v="2"/>
    <x v="3"/>
  </r>
  <r>
    <x v="1712"/>
    <n v="54162"/>
    <n v="1"/>
    <n v="1"/>
    <n v="31"/>
    <n v="5"/>
    <n v="6"/>
    <n v="10"/>
    <n v="6"/>
    <n v="5"/>
    <n v="10"/>
    <n v="1"/>
    <n v="1"/>
    <n v="0"/>
    <n v="3"/>
    <n v="4"/>
    <n v="0"/>
    <n v="0"/>
    <n v="0"/>
    <n v="0"/>
    <n v="0"/>
    <x v="0"/>
    <n v="0"/>
    <n v="3"/>
    <n v="11"/>
    <n v="0"/>
    <n v="42"/>
    <n v="2627"/>
    <n v="7.1972602739726028"/>
    <n v="0"/>
    <n v="0"/>
    <n v="0"/>
    <n v="0"/>
    <n v="1"/>
    <n v="0"/>
    <n v="0"/>
    <n v="1"/>
    <n v="0"/>
    <n v="0"/>
    <n v="32"/>
    <n v="22"/>
    <n v="10"/>
    <n v="0"/>
    <x v="0"/>
    <x v="0"/>
    <x v="4"/>
    <x v="0"/>
    <x v="2"/>
    <x v="0"/>
    <n v="1"/>
    <n v="0"/>
    <n v="9"/>
    <n v="7"/>
    <n v="0"/>
    <n v="1"/>
    <n v="8"/>
    <n v="1"/>
    <x v="3"/>
  </r>
  <r>
    <x v="1713"/>
    <n v="59385"/>
    <n v="1"/>
    <n v="1"/>
    <n v="85"/>
    <n v="135"/>
    <n v="0"/>
    <n v="10"/>
    <n v="0"/>
    <n v="4"/>
    <n v="36"/>
    <n v="2"/>
    <n v="3"/>
    <n v="1"/>
    <n v="4"/>
    <n v="5"/>
    <n v="0"/>
    <n v="0"/>
    <n v="0"/>
    <n v="0"/>
    <n v="0"/>
    <x v="0"/>
    <n v="0"/>
    <n v="3"/>
    <n v="11"/>
    <n v="0"/>
    <n v="69"/>
    <n v="2586"/>
    <n v="7.0849315068493155"/>
    <n v="0"/>
    <n v="0"/>
    <n v="0"/>
    <n v="1"/>
    <n v="0"/>
    <n v="0"/>
    <n v="0"/>
    <n v="0"/>
    <n v="1"/>
    <n v="0"/>
    <n v="149"/>
    <n v="113"/>
    <n v="36"/>
    <n v="0"/>
    <x v="0"/>
    <x v="0"/>
    <x v="2"/>
    <x v="1"/>
    <x v="2"/>
    <x v="2"/>
    <n v="1"/>
    <n v="0"/>
    <n v="15"/>
    <n v="1.9999999999999996"/>
    <n v="2"/>
    <n v="3"/>
    <n v="7"/>
    <n v="1"/>
    <x v="3"/>
  </r>
  <r>
    <x v="1714"/>
    <n v="13672"/>
    <n v="1"/>
    <n v="1"/>
    <n v="86"/>
    <n v="6"/>
    <n v="2"/>
    <n v="9"/>
    <n v="2"/>
    <n v="1"/>
    <n v="5"/>
    <n v="2"/>
    <n v="1"/>
    <n v="0"/>
    <n v="3"/>
    <n v="8"/>
    <n v="0"/>
    <n v="0"/>
    <n v="0"/>
    <n v="0"/>
    <n v="0"/>
    <x v="0"/>
    <n v="0"/>
    <n v="3"/>
    <n v="11"/>
    <n v="0"/>
    <n v="60"/>
    <n v="2597"/>
    <n v="7.1150684931506847"/>
    <n v="0"/>
    <n v="0"/>
    <n v="0"/>
    <n v="1"/>
    <n v="0"/>
    <n v="0"/>
    <n v="0"/>
    <n v="1"/>
    <n v="0"/>
    <n v="0"/>
    <n v="20"/>
    <n v="15"/>
    <n v="5"/>
    <n v="0"/>
    <x v="0"/>
    <x v="0"/>
    <x v="2"/>
    <x v="0"/>
    <x v="0"/>
    <x v="1"/>
    <n v="1"/>
    <n v="0"/>
    <n v="14"/>
    <n v="1.9999999999999996"/>
    <n v="2"/>
    <n v="0"/>
    <n v="3.9999999999999996"/>
    <n v="0"/>
    <x v="4"/>
  </r>
  <r>
    <x v="1715"/>
    <n v="14515"/>
    <n v="1"/>
    <n v="0"/>
    <n v="71"/>
    <n v="6"/>
    <n v="4"/>
    <n v="9"/>
    <n v="6"/>
    <n v="36"/>
    <n v="35"/>
    <n v="4"/>
    <n v="2"/>
    <n v="2"/>
    <n v="3"/>
    <n v="7"/>
    <n v="0"/>
    <n v="0"/>
    <n v="0"/>
    <n v="0"/>
    <n v="0"/>
    <x v="0"/>
    <n v="0"/>
    <n v="3"/>
    <n v="11"/>
    <n v="1"/>
    <n v="40"/>
    <n v="2756"/>
    <n v="7.5506849315068489"/>
    <n v="0"/>
    <n v="0"/>
    <n v="0"/>
    <n v="1"/>
    <n v="0"/>
    <n v="1"/>
    <n v="0"/>
    <n v="0"/>
    <n v="0"/>
    <n v="0"/>
    <n v="61"/>
    <n v="26"/>
    <n v="35"/>
    <n v="0"/>
    <x v="0"/>
    <x v="0"/>
    <x v="2"/>
    <x v="1"/>
    <x v="0"/>
    <x v="3"/>
    <n v="1"/>
    <n v="0"/>
    <n v="18"/>
    <n v="3.0000000000000004"/>
    <n v="4"/>
    <n v="2"/>
    <n v="9"/>
    <n v="1"/>
    <x v="3"/>
  </r>
  <r>
    <x v="1716"/>
    <n v="18351"/>
    <n v="0"/>
    <n v="0"/>
    <n v="1"/>
    <n v="1"/>
    <n v="12"/>
    <n v="9"/>
    <n v="0"/>
    <n v="14"/>
    <n v="7"/>
    <n v="1"/>
    <n v="2"/>
    <n v="0"/>
    <n v="3"/>
    <n v="7"/>
    <n v="0"/>
    <n v="0"/>
    <n v="0"/>
    <n v="0"/>
    <n v="0"/>
    <x v="0"/>
    <n v="0"/>
    <n v="3"/>
    <n v="11"/>
    <n v="0"/>
    <n v="30"/>
    <n v="2402"/>
    <n v="6.580821917808219"/>
    <n v="0"/>
    <n v="1"/>
    <n v="0"/>
    <n v="0"/>
    <n v="0"/>
    <n v="0"/>
    <n v="0"/>
    <n v="1"/>
    <n v="0"/>
    <n v="0"/>
    <n v="36"/>
    <n v="29"/>
    <n v="7"/>
    <n v="0"/>
    <x v="1"/>
    <x v="1"/>
    <x v="0"/>
    <x v="0"/>
    <x v="0"/>
    <x v="4"/>
    <n v="0"/>
    <n v="0"/>
    <n v="13"/>
    <n v="10"/>
    <n v="1"/>
    <n v="1"/>
    <n v="12"/>
    <n v="3"/>
    <x v="3"/>
  </r>
  <r>
    <x v="1717"/>
    <n v="19107"/>
    <n v="1"/>
    <n v="0"/>
    <n v="49"/>
    <n v="2"/>
    <n v="4"/>
    <n v="9"/>
    <n v="10"/>
    <n v="5"/>
    <n v="16"/>
    <n v="2"/>
    <n v="1"/>
    <n v="0"/>
    <n v="3"/>
    <n v="7"/>
    <n v="0"/>
    <n v="0"/>
    <n v="0"/>
    <n v="0"/>
    <n v="0"/>
    <x v="0"/>
    <n v="0"/>
    <n v="3"/>
    <n v="11"/>
    <n v="0"/>
    <n v="40"/>
    <n v="2470"/>
    <n v="6.7671232876712333"/>
    <n v="0"/>
    <n v="1"/>
    <n v="0"/>
    <n v="0"/>
    <n v="0"/>
    <n v="0"/>
    <n v="0"/>
    <n v="1"/>
    <n v="0"/>
    <n v="0"/>
    <n v="30"/>
    <n v="14"/>
    <n v="16"/>
    <n v="0"/>
    <x v="0"/>
    <x v="0"/>
    <x v="0"/>
    <x v="0"/>
    <x v="0"/>
    <x v="3"/>
    <n v="1"/>
    <n v="0"/>
    <n v="13"/>
    <n v="6"/>
    <n v="1"/>
    <n v="1"/>
    <n v="8"/>
    <n v="1"/>
    <x v="3"/>
  </r>
  <r>
    <x v="1718"/>
    <n v="19346"/>
    <n v="1"/>
    <n v="0"/>
    <n v="26"/>
    <n v="2"/>
    <n v="0"/>
    <n v="9"/>
    <n v="3"/>
    <n v="6"/>
    <n v="2"/>
    <n v="1"/>
    <n v="1"/>
    <n v="0"/>
    <n v="3"/>
    <n v="8"/>
    <n v="0"/>
    <n v="0"/>
    <n v="0"/>
    <n v="0"/>
    <n v="0"/>
    <x v="0"/>
    <n v="0"/>
    <n v="3"/>
    <n v="11"/>
    <n v="0"/>
    <n v="46"/>
    <n v="2309"/>
    <n v="6.3260273972602743"/>
    <n v="1"/>
    <n v="0"/>
    <n v="0"/>
    <n v="0"/>
    <n v="0"/>
    <n v="0"/>
    <n v="0"/>
    <n v="1"/>
    <n v="0"/>
    <n v="0"/>
    <n v="20"/>
    <n v="18"/>
    <n v="2"/>
    <n v="0"/>
    <x v="0"/>
    <x v="0"/>
    <x v="3"/>
    <x v="0"/>
    <x v="0"/>
    <x v="0"/>
    <n v="0"/>
    <n v="0"/>
    <n v="13"/>
    <n v="8"/>
    <n v="1"/>
    <n v="0"/>
    <n v="9"/>
    <n v="1"/>
    <x v="3"/>
  </r>
  <r>
    <x v="1719"/>
    <n v="19656"/>
    <n v="1"/>
    <n v="0"/>
    <n v="94"/>
    <n v="25"/>
    <n v="4"/>
    <n v="9"/>
    <n v="6"/>
    <n v="8"/>
    <n v="32"/>
    <n v="3"/>
    <n v="2"/>
    <n v="1"/>
    <n v="3"/>
    <n v="7"/>
    <n v="0"/>
    <n v="0"/>
    <n v="0"/>
    <n v="0"/>
    <n v="0"/>
    <x v="0"/>
    <n v="0"/>
    <n v="3"/>
    <n v="11"/>
    <n v="0"/>
    <n v="50"/>
    <n v="2665"/>
    <n v="7.3013698630136989"/>
    <n v="0"/>
    <n v="0"/>
    <n v="0"/>
    <n v="1"/>
    <n v="0"/>
    <n v="0"/>
    <n v="0"/>
    <n v="1"/>
    <n v="0"/>
    <n v="0"/>
    <n v="52"/>
    <n v="20"/>
    <n v="32"/>
    <n v="0"/>
    <x v="0"/>
    <x v="0"/>
    <x v="2"/>
    <x v="0"/>
    <x v="0"/>
    <x v="0"/>
    <n v="1"/>
    <n v="1"/>
    <n v="16"/>
    <n v="0.99999999999999978"/>
    <n v="3"/>
    <n v="2"/>
    <n v="6"/>
    <n v="0"/>
    <x v="4"/>
  </r>
  <r>
    <x v="1720"/>
    <n v="19789"/>
    <n v="1"/>
    <n v="0"/>
    <n v="24"/>
    <n v="2"/>
    <n v="5"/>
    <n v="9"/>
    <n v="28"/>
    <n v="6"/>
    <n v="28"/>
    <n v="3"/>
    <n v="2"/>
    <n v="1"/>
    <n v="3"/>
    <n v="5"/>
    <n v="0"/>
    <n v="0"/>
    <n v="1"/>
    <n v="0"/>
    <n v="0"/>
    <x v="1"/>
    <n v="0"/>
    <n v="3"/>
    <n v="11"/>
    <n v="0"/>
    <n v="45"/>
    <n v="2380"/>
    <n v="6.5205479452054798"/>
    <n v="0"/>
    <n v="0"/>
    <n v="0"/>
    <n v="1"/>
    <n v="0"/>
    <n v="1"/>
    <n v="0"/>
    <n v="0"/>
    <n v="0"/>
    <n v="0"/>
    <n v="50"/>
    <n v="22"/>
    <n v="28"/>
    <n v="1"/>
    <x v="0"/>
    <x v="0"/>
    <x v="2"/>
    <x v="1"/>
    <x v="0"/>
    <x v="0"/>
    <n v="0"/>
    <n v="0"/>
    <n v="14"/>
    <n v="8"/>
    <n v="2"/>
    <n v="2"/>
    <n v="12"/>
    <n v="3"/>
    <x v="3"/>
  </r>
  <r>
    <x v="1721"/>
    <n v="21840"/>
    <n v="1"/>
    <n v="0"/>
    <n v="80"/>
    <n v="17"/>
    <n v="0"/>
    <n v="9"/>
    <n v="0"/>
    <n v="0"/>
    <n v="1"/>
    <n v="1"/>
    <n v="1"/>
    <n v="0"/>
    <n v="3"/>
    <n v="9"/>
    <n v="0"/>
    <n v="0"/>
    <n v="0"/>
    <n v="0"/>
    <n v="0"/>
    <x v="0"/>
    <n v="0"/>
    <n v="3"/>
    <n v="11"/>
    <n v="0"/>
    <n v="37"/>
    <n v="2502"/>
    <n v="6.8547945205479452"/>
    <n v="0"/>
    <n v="0"/>
    <n v="0"/>
    <n v="1"/>
    <n v="0"/>
    <n v="0"/>
    <n v="0"/>
    <n v="0"/>
    <n v="0"/>
    <n v="1"/>
    <n v="26"/>
    <n v="25"/>
    <n v="1"/>
    <n v="0"/>
    <x v="0"/>
    <x v="0"/>
    <x v="2"/>
    <x v="1"/>
    <x v="0"/>
    <x v="3"/>
    <n v="1"/>
    <n v="0"/>
    <n v="14"/>
    <n v="1.9999999999999996"/>
    <n v="2"/>
    <n v="0"/>
    <n v="3.9999999999999996"/>
    <n v="0"/>
    <x v="4"/>
  </r>
  <r>
    <x v="1722"/>
    <n v="22010"/>
    <n v="1"/>
    <n v="0"/>
    <n v="51"/>
    <n v="11"/>
    <n v="2"/>
    <n v="9"/>
    <n v="3"/>
    <n v="0"/>
    <n v="8"/>
    <n v="2"/>
    <n v="2"/>
    <n v="0"/>
    <n v="3"/>
    <n v="8"/>
    <n v="0"/>
    <n v="0"/>
    <n v="0"/>
    <n v="0"/>
    <n v="0"/>
    <x v="0"/>
    <n v="0"/>
    <n v="3"/>
    <n v="11"/>
    <n v="0"/>
    <n v="37"/>
    <n v="2523"/>
    <n v="6.912328767123288"/>
    <n v="0"/>
    <n v="0"/>
    <n v="0"/>
    <n v="1"/>
    <n v="0"/>
    <n v="0"/>
    <n v="0"/>
    <n v="1"/>
    <n v="0"/>
    <n v="0"/>
    <n v="25"/>
    <n v="17"/>
    <n v="8"/>
    <n v="0"/>
    <x v="0"/>
    <x v="0"/>
    <x v="2"/>
    <x v="0"/>
    <x v="0"/>
    <x v="3"/>
    <n v="1"/>
    <n v="0"/>
    <n v="15"/>
    <n v="5"/>
    <n v="2"/>
    <n v="0"/>
    <n v="7"/>
    <n v="1"/>
    <x v="3"/>
  </r>
  <r>
    <x v="1723"/>
    <n v="22108"/>
    <n v="1"/>
    <n v="1"/>
    <n v="46"/>
    <n v="5"/>
    <n v="3"/>
    <n v="9"/>
    <n v="6"/>
    <n v="2"/>
    <n v="6"/>
    <n v="2"/>
    <n v="2"/>
    <n v="0"/>
    <n v="3"/>
    <n v="7"/>
    <n v="0"/>
    <n v="0"/>
    <n v="0"/>
    <n v="0"/>
    <n v="0"/>
    <x v="0"/>
    <n v="0"/>
    <n v="3"/>
    <n v="11"/>
    <n v="0"/>
    <n v="43"/>
    <n v="2211"/>
    <n v="6.0575342465753428"/>
    <n v="0"/>
    <n v="1"/>
    <n v="0"/>
    <n v="0"/>
    <n v="0"/>
    <n v="0"/>
    <n v="0"/>
    <n v="1"/>
    <n v="0"/>
    <n v="0"/>
    <n v="25"/>
    <n v="19"/>
    <n v="6"/>
    <n v="0"/>
    <x v="0"/>
    <x v="0"/>
    <x v="0"/>
    <x v="0"/>
    <x v="0"/>
    <x v="0"/>
    <n v="1"/>
    <n v="0"/>
    <n v="14"/>
    <n v="6"/>
    <n v="2"/>
    <n v="0"/>
    <n v="8"/>
    <n v="1"/>
    <x v="3"/>
  </r>
  <r>
    <x v="1724"/>
    <n v="22701"/>
    <n v="1"/>
    <n v="0"/>
    <n v="2"/>
    <n v="2"/>
    <n v="4"/>
    <n v="9"/>
    <n v="0"/>
    <n v="4"/>
    <n v="5"/>
    <n v="1"/>
    <n v="1"/>
    <n v="0"/>
    <n v="3"/>
    <n v="5"/>
    <n v="0"/>
    <n v="0"/>
    <n v="0"/>
    <n v="0"/>
    <n v="0"/>
    <x v="0"/>
    <n v="0"/>
    <n v="3"/>
    <n v="11"/>
    <n v="0"/>
    <n v="43"/>
    <n v="2456"/>
    <n v="6.7287671232876711"/>
    <n v="0"/>
    <n v="1"/>
    <n v="0"/>
    <n v="0"/>
    <n v="0"/>
    <n v="0"/>
    <n v="0"/>
    <n v="0"/>
    <n v="1"/>
    <n v="0"/>
    <n v="19"/>
    <n v="14"/>
    <n v="5"/>
    <n v="0"/>
    <x v="0"/>
    <x v="0"/>
    <x v="0"/>
    <x v="1"/>
    <x v="0"/>
    <x v="0"/>
    <n v="0"/>
    <n v="0"/>
    <n v="10"/>
    <n v="10"/>
    <n v="0"/>
    <n v="0"/>
    <n v="10"/>
    <n v="2"/>
    <x v="3"/>
  </r>
  <r>
    <x v="1725"/>
    <n v="23162"/>
    <n v="1"/>
    <n v="1"/>
    <n v="82"/>
    <n v="8"/>
    <n v="3"/>
    <n v="9"/>
    <n v="19"/>
    <n v="4"/>
    <n v="22"/>
    <n v="3"/>
    <n v="1"/>
    <n v="1"/>
    <n v="3"/>
    <n v="6"/>
    <n v="0"/>
    <n v="0"/>
    <n v="0"/>
    <n v="0"/>
    <n v="0"/>
    <x v="0"/>
    <n v="0"/>
    <n v="3"/>
    <n v="11"/>
    <n v="0"/>
    <n v="50"/>
    <n v="2349"/>
    <n v="6.4356164383561643"/>
    <n v="0"/>
    <n v="1"/>
    <n v="0"/>
    <n v="0"/>
    <n v="0"/>
    <n v="1"/>
    <n v="0"/>
    <n v="0"/>
    <n v="0"/>
    <n v="0"/>
    <n v="43"/>
    <n v="21"/>
    <n v="22"/>
    <n v="0"/>
    <x v="0"/>
    <x v="0"/>
    <x v="0"/>
    <x v="1"/>
    <x v="0"/>
    <x v="0"/>
    <n v="1"/>
    <n v="0"/>
    <n v="14"/>
    <n v="1.9999999999999996"/>
    <n v="2"/>
    <n v="1"/>
    <n v="5"/>
    <n v="0"/>
    <x v="4"/>
  </r>
  <r>
    <x v="1726"/>
    <n v="24221"/>
    <n v="0"/>
    <n v="0"/>
    <n v="94"/>
    <n v="8"/>
    <n v="9"/>
    <n v="9"/>
    <n v="2"/>
    <n v="5"/>
    <n v="22"/>
    <n v="1"/>
    <n v="1"/>
    <n v="1"/>
    <n v="3"/>
    <n v="4"/>
    <n v="0"/>
    <n v="0"/>
    <n v="0"/>
    <n v="0"/>
    <n v="0"/>
    <x v="0"/>
    <n v="0"/>
    <n v="3"/>
    <n v="11"/>
    <n v="0"/>
    <n v="61"/>
    <n v="2472"/>
    <n v="6.7726027397260271"/>
    <n v="0"/>
    <n v="0"/>
    <n v="0"/>
    <n v="1"/>
    <n v="0"/>
    <n v="0"/>
    <n v="0"/>
    <n v="1"/>
    <n v="0"/>
    <n v="0"/>
    <n v="33"/>
    <n v="11"/>
    <n v="22"/>
    <n v="0"/>
    <x v="1"/>
    <x v="1"/>
    <x v="2"/>
    <x v="0"/>
    <x v="0"/>
    <x v="2"/>
    <n v="1"/>
    <n v="1"/>
    <n v="10"/>
    <n v="0.99999999999999978"/>
    <n v="0"/>
    <n v="1"/>
    <n v="1.9999999999999998"/>
    <n v="0"/>
    <x v="4"/>
  </r>
  <r>
    <x v="1727"/>
    <n v="24480"/>
    <n v="1"/>
    <n v="0"/>
    <n v="46"/>
    <n v="4"/>
    <n v="19"/>
    <n v="9"/>
    <n v="28"/>
    <n v="25"/>
    <n v="17"/>
    <n v="3"/>
    <n v="3"/>
    <n v="0"/>
    <n v="4"/>
    <n v="7"/>
    <n v="0"/>
    <n v="0"/>
    <n v="0"/>
    <n v="0"/>
    <n v="0"/>
    <x v="0"/>
    <n v="0"/>
    <n v="3"/>
    <n v="11"/>
    <n v="0"/>
    <n v="39"/>
    <n v="2662"/>
    <n v="7.2931506849315069"/>
    <n v="0"/>
    <n v="1"/>
    <n v="0"/>
    <n v="0"/>
    <n v="0"/>
    <n v="0"/>
    <n v="1"/>
    <n v="0"/>
    <n v="0"/>
    <n v="0"/>
    <n v="85"/>
    <n v="68"/>
    <n v="17"/>
    <n v="0"/>
    <x v="0"/>
    <x v="0"/>
    <x v="0"/>
    <x v="2"/>
    <x v="0"/>
    <x v="3"/>
    <n v="1"/>
    <n v="0"/>
    <n v="17"/>
    <n v="6"/>
    <n v="3"/>
    <n v="3"/>
    <n v="12"/>
    <n v="3"/>
    <x v="3"/>
  </r>
  <r>
    <x v="1728"/>
    <n v="25804"/>
    <n v="1"/>
    <n v="0"/>
    <n v="34"/>
    <n v="8"/>
    <n v="7"/>
    <n v="9"/>
    <n v="13"/>
    <n v="6"/>
    <n v="12"/>
    <n v="2"/>
    <n v="2"/>
    <n v="0"/>
    <n v="3"/>
    <n v="8"/>
    <n v="0"/>
    <n v="0"/>
    <n v="0"/>
    <n v="0"/>
    <n v="0"/>
    <x v="0"/>
    <n v="0"/>
    <n v="3"/>
    <n v="11"/>
    <n v="0"/>
    <n v="42"/>
    <n v="2460"/>
    <n v="6.7397260273972606"/>
    <n v="0"/>
    <n v="1"/>
    <n v="0"/>
    <n v="0"/>
    <n v="0"/>
    <n v="1"/>
    <n v="0"/>
    <n v="0"/>
    <n v="0"/>
    <n v="0"/>
    <n v="43"/>
    <n v="31"/>
    <n v="12"/>
    <n v="0"/>
    <x v="0"/>
    <x v="0"/>
    <x v="0"/>
    <x v="1"/>
    <x v="0"/>
    <x v="0"/>
    <n v="1"/>
    <n v="0"/>
    <n v="15"/>
    <n v="7"/>
    <n v="2"/>
    <n v="1"/>
    <n v="10"/>
    <n v="2"/>
    <x v="3"/>
  </r>
  <r>
    <x v="1729"/>
    <n v="26095"/>
    <n v="1"/>
    <n v="0"/>
    <n v="77"/>
    <n v="11"/>
    <n v="7"/>
    <n v="9"/>
    <n v="3"/>
    <n v="1"/>
    <n v="11"/>
    <n v="1"/>
    <n v="1"/>
    <n v="0"/>
    <n v="3"/>
    <n v="7"/>
    <n v="0"/>
    <n v="0"/>
    <n v="0"/>
    <n v="0"/>
    <n v="0"/>
    <x v="0"/>
    <n v="0"/>
    <n v="3"/>
    <n v="11"/>
    <n v="0"/>
    <n v="30"/>
    <n v="2523"/>
    <n v="6.912328767123288"/>
    <n v="0"/>
    <n v="0"/>
    <n v="1"/>
    <n v="0"/>
    <n v="0"/>
    <n v="0"/>
    <n v="0"/>
    <n v="1"/>
    <n v="0"/>
    <n v="0"/>
    <n v="31"/>
    <n v="20"/>
    <n v="11"/>
    <n v="0"/>
    <x v="0"/>
    <x v="0"/>
    <x v="1"/>
    <x v="0"/>
    <x v="0"/>
    <x v="4"/>
    <n v="1"/>
    <n v="0"/>
    <n v="12"/>
    <n v="3.0000000000000004"/>
    <n v="1"/>
    <n v="1"/>
    <n v="5"/>
    <n v="0"/>
    <x v="4"/>
  </r>
  <r>
    <x v="1730"/>
    <n v="31626"/>
    <n v="1"/>
    <n v="0"/>
    <n v="12"/>
    <n v="39"/>
    <n v="1"/>
    <n v="9"/>
    <n v="2"/>
    <n v="1"/>
    <n v="34"/>
    <n v="1"/>
    <n v="2"/>
    <n v="1"/>
    <n v="2"/>
    <n v="7"/>
    <n v="0"/>
    <n v="0"/>
    <n v="1"/>
    <n v="0"/>
    <n v="0"/>
    <x v="1"/>
    <n v="0"/>
    <n v="3"/>
    <n v="11"/>
    <n v="1"/>
    <n v="42"/>
    <n v="2574"/>
    <n v="7.0520547945205481"/>
    <n v="0"/>
    <n v="0"/>
    <n v="1"/>
    <n v="0"/>
    <n v="0"/>
    <n v="0"/>
    <n v="0"/>
    <n v="0"/>
    <n v="0"/>
    <n v="1"/>
    <n v="52"/>
    <n v="18"/>
    <n v="34"/>
    <n v="1"/>
    <x v="0"/>
    <x v="0"/>
    <x v="1"/>
    <x v="1"/>
    <x v="0"/>
    <x v="0"/>
    <n v="0"/>
    <n v="0"/>
    <n v="13"/>
    <n v="9"/>
    <n v="1"/>
    <n v="2"/>
    <n v="12"/>
    <n v="3"/>
    <x v="3"/>
  </r>
  <r>
    <x v="1731"/>
    <n v="34320"/>
    <n v="1"/>
    <n v="0"/>
    <n v="66"/>
    <n v="4"/>
    <n v="1"/>
    <n v="9"/>
    <n v="3"/>
    <n v="0"/>
    <n v="0"/>
    <n v="1"/>
    <n v="1"/>
    <n v="0"/>
    <n v="2"/>
    <n v="8"/>
    <n v="0"/>
    <n v="0"/>
    <n v="0"/>
    <n v="0"/>
    <n v="0"/>
    <x v="0"/>
    <n v="0"/>
    <n v="3"/>
    <n v="11"/>
    <n v="0"/>
    <n v="34"/>
    <n v="2292"/>
    <n v="6.279452054794521"/>
    <n v="0"/>
    <n v="0"/>
    <n v="0"/>
    <n v="1"/>
    <n v="0"/>
    <n v="0"/>
    <n v="0"/>
    <n v="0"/>
    <n v="0"/>
    <n v="1"/>
    <n v="17"/>
    <n v="17"/>
    <n v="0"/>
    <n v="0"/>
    <x v="0"/>
    <x v="0"/>
    <x v="2"/>
    <x v="1"/>
    <x v="0"/>
    <x v="3"/>
    <n v="1"/>
    <n v="0"/>
    <n v="12"/>
    <n v="4"/>
    <n v="1"/>
    <n v="0"/>
    <n v="5"/>
    <n v="0"/>
    <x v="4"/>
  </r>
  <r>
    <x v="1732"/>
    <n v="34587"/>
    <n v="1"/>
    <n v="1"/>
    <n v="68"/>
    <n v="7"/>
    <n v="2"/>
    <n v="9"/>
    <n v="2"/>
    <n v="0"/>
    <n v="2"/>
    <n v="2"/>
    <n v="1"/>
    <n v="0"/>
    <n v="3"/>
    <n v="4"/>
    <n v="0"/>
    <n v="0"/>
    <n v="0"/>
    <n v="0"/>
    <n v="0"/>
    <x v="0"/>
    <n v="0"/>
    <n v="3"/>
    <n v="11"/>
    <n v="0"/>
    <n v="67"/>
    <n v="2203"/>
    <n v="6.0356164383561648"/>
    <n v="0"/>
    <n v="0"/>
    <n v="0"/>
    <n v="1"/>
    <n v="0"/>
    <n v="0"/>
    <n v="0"/>
    <n v="1"/>
    <n v="0"/>
    <n v="0"/>
    <n v="20"/>
    <n v="18"/>
    <n v="2"/>
    <n v="0"/>
    <x v="0"/>
    <x v="0"/>
    <x v="2"/>
    <x v="0"/>
    <x v="0"/>
    <x v="2"/>
    <n v="1"/>
    <n v="0"/>
    <n v="10"/>
    <n v="4"/>
    <n v="0"/>
    <n v="0"/>
    <n v="4"/>
    <n v="0"/>
    <x v="4"/>
  </r>
  <r>
    <x v="1733"/>
    <n v="35441"/>
    <n v="1"/>
    <n v="1"/>
    <n v="94"/>
    <n v="25"/>
    <n v="1"/>
    <n v="9"/>
    <n v="2"/>
    <n v="1"/>
    <n v="1"/>
    <n v="2"/>
    <n v="1"/>
    <n v="0"/>
    <n v="3"/>
    <n v="8"/>
    <n v="0"/>
    <n v="0"/>
    <n v="0"/>
    <n v="0"/>
    <n v="0"/>
    <x v="0"/>
    <n v="0"/>
    <n v="3"/>
    <n v="11"/>
    <n v="0"/>
    <n v="53"/>
    <n v="2659"/>
    <n v="7.2849315068493148"/>
    <n v="0"/>
    <n v="1"/>
    <n v="0"/>
    <n v="0"/>
    <n v="0"/>
    <n v="0"/>
    <n v="0"/>
    <n v="1"/>
    <n v="0"/>
    <n v="0"/>
    <n v="38"/>
    <n v="37"/>
    <n v="1"/>
    <n v="0"/>
    <x v="0"/>
    <x v="0"/>
    <x v="0"/>
    <x v="0"/>
    <x v="3"/>
    <x v="1"/>
    <n v="1"/>
    <n v="1"/>
    <n v="14"/>
    <n v="0.99999999999999978"/>
    <n v="2"/>
    <n v="1"/>
    <n v="4"/>
    <n v="0"/>
    <x v="4"/>
  </r>
  <r>
    <x v="1734"/>
    <n v="35701"/>
    <n v="0"/>
    <n v="0"/>
    <n v="36"/>
    <n v="21"/>
    <n v="1"/>
    <n v="9"/>
    <n v="7"/>
    <n v="3"/>
    <n v="5"/>
    <n v="1"/>
    <n v="1"/>
    <n v="0"/>
    <n v="3"/>
    <n v="6"/>
    <n v="0"/>
    <n v="0"/>
    <n v="0"/>
    <n v="0"/>
    <n v="0"/>
    <x v="0"/>
    <n v="0"/>
    <n v="3"/>
    <n v="11"/>
    <n v="0"/>
    <n v="61"/>
    <n v="2626"/>
    <n v="7.1945205479452055"/>
    <n v="0"/>
    <n v="1"/>
    <n v="0"/>
    <n v="0"/>
    <n v="0"/>
    <n v="0"/>
    <n v="0"/>
    <n v="1"/>
    <n v="0"/>
    <n v="0"/>
    <n v="41"/>
    <n v="36"/>
    <n v="5"/>
    <n v="0"/>
    <x v="1"/>
    <x v="1"/>
    <x v="0"/>
    <x v="0"/>
    <x v="3"/>
    <x v="2"/>
    <n v="1"/>
    <n v="0"/>
    <n v="11"/>
    <n v="7"/>
    <n v="0"/>
    <n v="1"/>
    <n v="8"/>
    <n v="1"/>
    <x v="3"/>
  </r>
  <r>
    <x v="1735"/>
    <n v="37126"/>
    <n v="1"/>
    <n v="0"/>
    <n v="9"/>
    <n v="45"/>
    <n v="3"/>
    <n v="9"/>
    <n v="4"/>
    <n v="4"/>
    <n v="7"/>
    <n v="1"/>
    <n v="1"/>
    <n v="2"/>
    <n v="2"/>
    <n v="6"/>
    <n v="0"/>
    <n v="0"/>
    <n v="1"/>
    <n v="0"/>
    <n v="0"/>
    <x v="1"/>
    <n v="0"/>
    <n v="3"/>
    <n v="11"/>
    <n v="1"/>
    <n v="49"/>
    <n v="2250"/>
    <n v="6.1643835616438354"/>
    <n v="0"/>
    <n v="1"/>
    <n v="0"/>
    <n v="0"/>
    <n v="0"/>
    <n v="0"/>
    <n v="0"/>
    <n v="0"/>
    <n v="0"/>
    <n v="1"/>
    <n v="65"/>
    <n v="58"/>
    <n v="7"/>
    <n v="1"/>
    <x v="0"/>
    <x v="0"/>
    <x v="0"/>
    <x v="1"/>
    <x v="3"/>
    <x v="0"/>
    <n v="0"/>
    <n v="0"/>
    <n v="12"/>
    <n v="10"/>
    <n v="1"/>
    <n v="2"/>
    <n v="13"/>
    <n v="3"/>
    <x v="3"/>
  </r>
  <r>
    <x v="1736"/>
    <n v="37235"/>
    <n v="1"/>
    <n v="0"/>
    <n v="68"/>
    <n v="20"/>
    <n v="2"/>
    <n v="9"/>
    <n v="4"/>
    <n v="6"/>
    <n v="20"/>
    <n v="1"/>
    <n v="1"/>
    <n v="1"/>
    <n v="2"/>
    <n v="4"/>
    <n v="0"/>
    <n v="0"/>
    <n v="0"/>
    <n v="0"/>
    <n v="0"/>
    <x v="0"/>
    <n v="0"/>
    <n v="3"/>
    <n v="11"/>
    <n v="0"/>
    <n v="36"/>
    <n v="2307"/>
    <n v="6.3205479452054796"/>
    <n v="0"/>
    <n v="0"/>
    <n v="0"/>
    <n v="1"/>
    <n v="0"/>
    <n v="0"/>
    <n v="0"/>
    <n v="1"/>
    <n v="0"/>
    <n v="0"/>
    <n v="41"/>
    <n v="21"/>
    <n v="20"/>
    <n v="0"/>
    <x v="0"/>
    <x v="0"/>
    <x v="2"/>
    <x v="0"/>
    <x v="3"/>
    <x v="3"/>
    <n v="1"/>
    <n v="0"/>
    <n v="9"/>
    <n v="4"/>
    <n v="0"/>
    <n v="1"/>
    <n v="5"/>
    <n v="0"/>
    <x v="4"/>
  </r>
  <r>
    <x v="1737"/>
    <n v="37395"/>
    <n v="1"/>
    <n v="0"/>
    <n v="47"/>
    <n v="18"/>
    <n v="0"/>
    <n v="9"/>
    <n v="0"/>
    <n v="1"/>
    <n v="11"/>
    <n v="1"/>
    <n v="1"/>
    <n v="0"/>
    <n v="3"/>
    <n v="6"/>
    <n v="0"/>
    <n v="0"/>
    <n v="0"/>
    <n v="0"/>
    <n v="0"/>
    <x v="0"/>
    <n v="0"/>
    <n v="3"/>
    <n v="11"/>
    <n v="0"/>
    <n v="44"/>
    <n v="2217"/>
    <n v="6.0739726027397261"/>
    <n v="0"/>
    <n v="0"/>
    <n v="0"/>
    <n v="1"/>
    <n v="0"/>
    <n v="0"/>
    <n v="0"/>
    <n v="0"/>
    <n v="0"/>
    <n v="1"/>
    <n v="28"/>
    <n v="17"/>
    <n v="11"/>
    <n v="0"/>
    <x v="0"/>
    <x v="0"/>
    <x v="2"/>
    <x v="1"/>
    <x v="3"/>
    <x v="0"/>
    <n v="1"/>
    <n v="0"/>
    <n v="11"/>
    <n v="6"/>
    <n v="0"/>
    <n v="0"/>
    <n v="6"/>
    <n v="0"/>
    <x v="4"/>
  </r>
  <r>
    <x v="1738"/>
    <n v="39062"/>
    <n v="1"/>
    <n v="0"/>
    <n v="28"/>
    <n v="23"/>
    <n v="0"/>
    <n v="9"/>
    <n v="0"/>
    <n v="0"/>
    <n v="12"/>
    <n v="1"/>
    <n v="1"/>
    <n v="0"/>
    <n v="3"/>
    <n v="4"/>
    <n v="0"/>
    <n v="0"/>
    <n v="1"/>
    <n v="0"/>
    <n v="0"/>
    <x v="1"/>
    <n v="0"/>
    <n v="3"/>
    <n v="11"/>
    <n v="0"/>
    <n v="37"/>
    <n v="2255"/>
    <n v="6.1780821917808222"/>
    <n v="0"/>
    <n v="0"/>
    <n v="1"/>
    <n v="0"/>
    <n v="0"/>
    <n v="0"/>
    <n v="0"/>
    <n v="1"/>
    <n v="0"/>
    <n v="0"/>
    <n v="32"/>
    <n v="20"/>
    <n v="12"/>
    <n v="1"/>
    <x v="0"/>
    <x v="0"/>
    <x v="1"/>
    <x v="0"/>
    <x v="3"/>
    <x v="3"/>
    <n v="0"/>
    <n v="0"/>
    <n v="9"/>
    <n v="8"/>
    <n v="0"/>
    <n v="1"/>
    <n v="9"/>
    <n v="1"/>
    <x v="3"/>
  </r>
  <r>
    <x v="1739"/>
    <n v="41021"/>
    <n v="1"/>
    <n v="0"/>
    <n v="12"/>
    <n v="14"/>
    <n v="7"/>
    <n v="9"/>
    <n v="6"/>
    <n v="16"/>
    <n v="12"/>
    <n v="2"/>
    <n v="2"/>
    <n v="0"/>
    <n v="3"/>
    <n v="6"/>
    <n v="0"/>
    <n v="0"/>
    <n v="0"/>
    <n v="0"/>
    <n v="0"/>
    <x v="0"/>
    <n v="0"/>
    <n v="3"/>
    <n v="11"/>
    <n v="1"/>
    <n v="51"/>
    <n v="2705"/>
    <n v="7.4109589041095889"/>
    <n v="0"/>
    <n v="0"/>
    <n v="0"/>
    <n v="1"/>
    <n v="0"/>
    <n v="0"/>
    <n v="0"/>
    <n v="0"/>
    <n v="1"/>
    <n v="0"/>
    <n v="52"/>
    <n v="40"/>
    <n v="12"/>
    <n v="0"/>
    <x v="0"/>
    <x v="0"/>
    <x v="2"/>
    <x v="1"/>
    <x v="3"/>
    <x v="1"/>
    <n v="0"/>
    <n v="0"/>
    <n v="13"/>
    <n v="9"/>
    <n v="1"/>
    <n v="2"/>
    <n v="12"/>
    <n v="3"/>
    <x v="3"/>
  </r>
  <r>
    <x v="1740"/>
    <n v="42169"/>
    <n v="1"/>
    <n v="1"/>
    <n v="20"/>
    <n v="19"/>
    <n v="0"/>
    <n v="9"/>
    <n v="0"/>
    <n v="0"/>
    <n v="2"/>
    <n v="2"/>
    <n v="1"/>
    <n v="0"/>
    <n v="3"/>
    <n v="8"/>
    <n v="0"/>
    <n v="0"/>
    <n v="0"/>
    <n v="0"/>
    <n v="0"/>
    <x v="0"/>
    <n v="0"/>
    <n v="3"/>
    <n v="11"/>
    <n v="0"/>
    <n v="51"/>
    <n v="2412"/>
    <n v="6.6082191780821917"/>
    <n v="0"/>
    <n v="1"/>
    <n v="0"/>
    <n v="0"/>
    <n v="0"/>
    <n v="0"/>
    <n v="0"/>
    <n v="0"/>
    <n v="1"/>
    <n v="0"/>
    <n v="28"/>
    <n v="26"/>
    <n v="2"/>
    <n v="0"/>
    <x v="0"/>
    <x v="0"/>
    <x v="0"/>
    <x v="1"/>
    <x v="3"/>
    <x v="1"/>
    <n v="0"/>
    <n v="0"/>
    <n v="14"/>
    <n v="8"/>
    <n v="2"/>
    <n v="0"/>
    <n v="10"/>
    <n v="2"/>
    <x v="3"/>
  </r>
  <r>
    <x v="1741"/>
    <n v="43776"/>
    <n v="1"/>
    <n v="0"/>
    <n v="77"/>
    <n v="8"/>
    <n v="0"/>
    <n v="9"/>
    <n v="2"/>
    <n v="1"/>
    <n v="3"/>
    <n v="1"/>
    <n v="1"/>
    <n v="0"/>
    <n v="2"/>
    <n v="6"/>
    <n v="0"/>
    <n v="0"/>
    <n v="0"/>
    <n v="0"/>
    <n v="0"/>
    <x v="0"/>
    <n v="0"/>
    <n v="3"/>
    <n v="11"/>
    <n v="0"/>
    <n v="37"/>
    <n v="2216"/>
    <n v="6.0712328767123287"/>
    <n v="0"/>
    <n v="0"/>
    <n v="0"/>
    <n v="1"/>
    <n v="0"/>
    <n v="0"/>
    <n v="0"/>
    <n v="1"/>
    <n v="0"/>
    <n v="0"/>
    <n v="20"/>
    <n v="17"/>
    <n v="3"/>
    <n v="0"/>
    <x v="0"/>
    <x v="0"/>
    <x v="2"/>
    <x v="0"/>
    <x v="3"/>
    <x v="3"/>
    <n v="1"/>
    <n v="0"/>
    <n v="10"/>
    <n v="3.0000000000000004"/>
    <n v="0"/>
    <n v="0"/>
    <n v="3.0000000000000004"/>
    <n v="0"/>
    <x v="4"/>
  </r>
  <r>
    <x v="1742"/>
    <n v="44155"/>
    <n v="1"/>
    <n v="1"/>
    <n v="24"/>
    <n v="22"/>
    <n v="1"/>
    <n v="9"/>
    <n v="0"/>
    <n v="0"/>
    <n v="14"/>
    <n v="1"/>
    <n v="1"/>
    <n v="1"/>
    <n v="2"/>
    <n v="4"/>
    <n v="0"/>
    <n v="0"/>
    <n v="0"/>
    <n v="0"/>
    <n v="0"/>
    <x v="0"/>
    <n v="0"/>
    <n v="3"/>
    <n v="11"/>
    <n v="0"/>
    <n v="63"/>
    <n v="2320"/>
    <n v="6.3561643835616435"/>
    <n v="0"/>
    <n v="1"/>
    <n v="0"/>
    <n v="0"/>
    <n v="0"/>
    <n v="0"/>
    <n v="0"/>
    <n v="0"/>
    <n v="0"/>
    <n v="1"/>
    <n v="32"/>
    <n v="18"/>
    <n v="14"/>
    <n v="0"/>
    <x v="0"/>
    <x v="0"/>
    <x v="0"/>
    <x v="1"/>
    <x v="3"/>
    <x v="2"/>
    <n v="0"/>
    <n v="0"/>
    <n v="9"/>
    <n v="8"/>
    <n v="0"/>
    <n v="1"/>
    <n v="9"/>
    <n v="1"/>
    <x v="3"/>
  </r>
  <r>
    <x v="1743"/>
    <n v="44300"/>
    <n v="1"/>
    <n v="1"/>
    <n v="65"/>
    <n v="30"/>
    <n v="0"/>
    <n v="9"/>
    <n v="0"/>
    <n v="0"/>
    <n v="3"/>
    <n v="2"/>
    <n v="1"/>
    <n v="0"/>
    <n v="3"/>
    <n v="6"/>
    <n v="0"/>
    <n v="0"/>
    <n v="0"/>
    <n v="0"/>
    <n v="0"/>
    <x v="0"/>
    <n v="0"/>
    <n v="3"/>
    <n v="11"/>
    <n v="0"/>
    <n v="55"/>
    <n v="2530"/>
    <n v="6.9315068493150687"/>
    <n v="0"/>
    <n v="1"/>
    <n v="0"/>
    <n v="0"/>
    <n v="0"/>
    <n v="0"/>
    <n v="0"/>
    <n v="1"/>
    <n v="0"/>
    <n v="0"/>
    <n v="39"/>
    <n v="36"/>
    <n v="3"/>
    <n v="0"/>
    <x v="0"/>
    <x v="0"/>
    <x v="0"/>
    <x v="0"/>
    <x v="3"/>
    <x v="1"/>
    <n v="1"/>
    <n v="0"/>
    <n v="12"/>
    <n v="4"/>
    <n v="1"/>
    <n v="1"/>
    <n v="6"/>
    <n v="0"/>
    <x v="4"/>
  </r>
  <r>
    <x v="1744"/>
    <n v="44635"/>
    <n v="1"/>
    <n v="1"/>
    <n v="25"/>
    <n v="56"/>
    <n v="0"/>
    <n v="9"/>
    <n v="0"/>
    <n v="0"/>
    <n v="3"/>
    <n v="2"/>
    <n v="2"/>
    <n v="0"/>
    <n v="3"/>
    <n v="7"/>
    <n v="0"/>
    <n v="0"/>
    <n v="0"/>
    <n v="0"/>
    <n v="0"/>
    <x v="0"/>
    <n v="0"/>
    <n v="3"/>
    <n v="11"/>
    <n v="0"/>
    <n v="49"/>
    <n v="2420"/>
    <n v="6.6301369863013697"/>
    <n v="1"/>
    <n v="0"/>
    <n v="0"/>
    <n v="0"/>
    <n v="0"/>
    <n v="0"/>
    <n v="0"/>
    <n v="0"/>
    <n v="1"/>
    <n v="0"/>
    <n v="65"/>
    <n v="62"/>
    <n v="3"/>
    <n v="0"/>
    <x v="0"/>
    <x v="0"/>
    <x v="3"/>
    <x v="1"/>
    <x v="3"/>
    <x v="0"/>
    <n v="0"/>
    <n v="0"/>
    <n v="14"/>
    <n v="8"/>
    <n v="2"/>
    <n v="2"/>
    <n v="12"/>
    <n v="3"/>
    <x v="3"/>
  </r>
  <r>
    <x v="1745"/>
    <n v="48918"/>
    <n v="1"/>
    <n v="1"/>
    <n v="21"/>
    <n v="52"/>
    <n v="0"/>
    <n v="9"/>
    <n v="0"/>
    <n v="0"/>
    <n v="1"/>
    <n v="2"/>
    <n v="1"/>
    <n v="0"/>
    <n v="4"/>
    <n v="4"/>
    <n v="0"/>
    <n v="0"/>
    <n v="0"/>
    <n v="0"/>
    <n v="0"/>
    <x v="0"/>
    <n v="0"/>
    <n v="3"/>
    <n v="11"/>
    <n v="0"/>
    <n v="57"/>
    <n v="2237"/>
    <n v="6.1287671232876715"/>
    <n v="0"/>
    <n v="0"/>
    <n v="1"/>
    <n v="0"/>
    <n v="0"/>
    <n v="0"/>
    <n v="0"/>
    <n v="0"/>
    <n v="0"/>
    <n v="1"/>
    <n v="61"/>
    <n v="60"/>
    <n v="1"/>
    <n v="0"/>
    <x v="0"/>
    <x v="0"/>
    <x v="1"/>
    <x v="1"/>
    <x v="3"/>
    <x v="1"/>
    <n v="0"/>
    <n v="0"/>
    <n v="11"/>
    <n v="8"/>
    <n v="0"/>
    <n v="2"/>
    <n v="10"/>
    <n v="2"/>
    <x v="3"/>
  </r>
  <r>
    <x v="1746"/>
    <n v="53233"/>
    <n v="0"/>
    <n v="1"/>
    <n v="18"/>
    <n v="28"/>
    <n v="0"/>
    <n v="9"/>
    <n v="3"/>
    <n v="0"/>
    <n v="0"/>
    <n v="1"/>
    <n v="1"/>
    <n v="0"/>
    <n v="3"/>
    <n v="4"/>
    <n v="0"/>
    <n v="0"/>
    <n v="0"/>
    <n v="0"/>
    <n v="0"/>
    <x v="0"/>
    <n v="0"/>
    <n v="3"/>
    <n v="11"/>
    <n v="0"/>
    <n v="63"/>
    <n v="2262"/>
    <n v="6.1972602739726028"/>
    <n v="0"/>
    <n v="1"/>
    <n v="0"/>
    <n v="0"/>
    <n v="0"/>
    <n v="1"/>
    <n v="0"/>
    <n v="0"/>
    <n v="0"/>
    <n v="0"/>
    <n v="40"/>
    <n v="40"/>
    <n v="0"/>
    <n v="0"/>
    <x v="0"/>
    <x v="0"/>
    <x v="0"/>
    <x v="1"/>
    <x v="2"/>
    <x v="2"/>
    <n v="0"/>
    <n v="0"/>
    <n v="9"/>
    <n v="9"/>
    <n v="0"/>
    <n v="1"/>
    <n v="10"/>
    <n v="2"/>
    <x v="3"/>
  </r>
  <r>
    <x v="1747"/>
    <n v="55563"/>
    <n v="0"/>
    <n v="1"/>
    <n v="22"/>
    <n v="29"/>
    <n v="1"/>
    <n v="9"/>
    <n v="2"/>
    <n v="0"/>
    <n v="2"/>
    <n v="1"/>
    <n v="2"/>
    <n v="0"/>
    <n v="3"/>
    <n v="3"/>
    <n v="0"/>
    <n v="0"/>
    <n v="0"/>
    <n v="0"/>
    <n v="0"/>
    <x v="0"/>
    <n v="0"/>
    <n v="3"/>
    <n v="11"/>
    <n v="0"/>
    <n v="42"/>
    <n v="2244"/>
    <n v="6.1479452054794521"/>
    <n v="1"/>
    <n v="0"/>
    <n v="0"/>
    <n v="0"/>
    <n v="0"/>
    <n v="0"/>
    <n v="0"/>
    <n v="1"/>
    <n v="0"/>
    <n v="0"/>
    <n v="41"/>
    <n v="39"/>
    <n v="2"/>
    <n v="0"/>
    <x v="0"/>
    <x v="0"/>
    <x v="3"/>
    <x v="0"/>
    <x v="2"/>
    <x v="0"/>
    <n v="0"/>
    <n v="0"/>
    <n v="9"/>
    <n v="8"/>
    <n v="0"/>
    <n v="1"/>
    <n v="9"/>
    <n v="1"/>
    <x v="3"/>
  </r>
  <r>
    <x v="1748"/>
    <n v="57236"/>
    <n v="1"/>
    <n v="1"/>
    <n v="22"/>
    <n v="105"/>
    <n v="0"/>
    <n v="9"/>
    <n v="2"/>
    <n v="1"/>
    <n v="4"/>
    <n v="3"/>
    <n v="2"/>
    <n v="1"/>
    <n v="4"/>
    <n v="3"/>
    <n v="0"/>
    <n v="0"/>
    <n v="0"/>
    <n v="0"/>
    <n v="0"/>
    <x v="0"/>
    <n v="0"/>
    <n v="3"/>
    <n v="11"/>
    <n v="0"/>
    <n v="55"/>
    <n v="2268"/>
    <n v="6.2136986301369861"/>
    <n v="0"/>
    <n v="1"/>
    <n v="0"/>
    <n v="0"/>
    <n v="0"/>
    <n v="0"/>
    <n v="0"/>
    <n v="0"/>
    <n v="0"/>
    <n v="1"/>
    <n v="117"/>
    <n v="113"/>
    <n v="4"/>
    <n v="0"/>
    <x v="0"/>
    <x v="0"/>
    <x v="0"/>
    <x v="1"/>
    <x v="2"/>
    <x v="1"/>
    <n v="0"/>
    <n v="0"/>
    <n v="13"/>
    <n v="8"/>
    <n v="1"/>
    <n v="3"/>
    <n v="12"/>
    <n v="3"/>
    <x v="3"/>
  </r>
  <r>
    <x v="1749"/>
    <n v="13533"/>
    <n v="1"/>
    <n v="0"/>
    <n v="45"/>
    <n v="12"/>
    <n v="3"/>
    <n v="8"/>
    <n v="8"/>
    <n v="0"/>
    <n v="17"/>
    <n v="2"/>
    <n v="2"/>
    <n v="0"/>
    <n v="3"/>
    <n v="7"/>
    <n v="0"/>
    <n v="0"/>
    <n v="0"/>
    <n v="0"/>
    <n v="0"/>
    <x v="0"/>
    <n v="0"/>
    <n v="3"/>
    <n v="11"/>
    <n v="0"/>
    <n v="41"/>
    <n v="2635"/>
    <n v="7.2191780821917808"/>
    <n v="1"/>
    <n v="0"/>
    <n v="0"/>
    <n v="0"/>
    <n v="0"/>
    <n v="1"/>
    <n v="0"/>
    <n v="0"/>
    <n v="0"/>
    <n v="0"/>
    <n v="31"/>
    <n v="14"/>
    <n v="17"/>
    <n v="0"/>
    <x v="0"/>
    <x v="0"/>
    <x v="3"/>
    <x v="1"/>
    <x v="0"/>
    <x v="0"/>
    <n v="1"/>
    <n v="0"/>
    <n v="14"/>
    <n v="6"/>
    <n v="2"/>
    <n v="1"/>
    <n v="9"/>
    <n v="1"/>
    <x v="3"/>
  </r>
  <r>
    <x v="1750"/>
    <n v="14796"/>
    <n v="1"/>
    <n v="0"/>
    <n v="1"/>
    <n v="13"/>
    <n v="3"/>
    <n v="8"/>
    <n v="7"/>
    <n v="4"/>
    <n v="16"/>
    <n v="2"/>
    <n v="1"/>
    <n v="0"/>
    <n v="3"/>
    <n v="9"/>
    <n v="0"/>
    <n v="0"/>
    <n v="0"/>
    <n v="0"/>
    <n v="0"/>
    <x v="0"/>
    <n v="0"/>
    <n v="3"/>
    <n v="11"/>
    <n v="1"/>
    <n v="36"/>
    <n v="2809"/>
    <n v="7.6958904109589037"/>
    <n v="0"/>
    <n v="1"/>
    <n v="0"/>
    <n v="0"/>
    <n v="0"/>
    <n v="1"/>
    <n v="0"/>
    <n v="0"/>
    <n v="0"/>
    <n v="0"/>
    <n v="35"/>
    <n v="19"/>
    <n v="16"/>
    <n v="0"/>
    <x v="0"/>
    <x v="0"/>
    <x v="0"/>
    <x v="1"/>
    <x v="0"/>
    <x v="3"/>
    <n v="0"/>
    <n v="0"/>
    <n v="15"/>
    <n v="10"/>
    <n v="2"/>
    <n v="1"/>
    <n v="13"/>
    <n v="3"/>
    <x v="3"/>
  </r>
  <r>
    <x v="1751"/>
    <n v="15287"/>
    <n v="1"/>
    <n v="0"/>
    <n v="60"/>
    <n v="1"/>
    <n v="2"/>
    <n v="8"/>
    <n v="4"/>
    <n v="3"/>
    <n v="13"/>
    <n v="2"/>
    <n v="1"/>
    <n v="1"/>
    <n v="2"/>
    <n v="7"/>
    <n v="0"/>
    <n v="0"/>
    <n v="1"/>
    <n v="0"/>
    <n v="0"/>
    <x v="1"/>
    <n v="0"/>
    <n v="3"/>
    <n v="11"/>
    <n v="1"/>
    <n v="41"/>
    <n v="2786"/>
    <n v="7.6328767123287671"/>
    <n v="1"/>
    <n v="0"/>
    <n v="0"/>
    <n v="0"/>
    <n v="0"/>
    <n v="0"/>
    <n v="0"/>
    <n v="1"/>
    <n v="0"/>
    <n v="0"/>
    <n v="18"/>
    <n v="5"/>
    <n v="13"/>
    <n v="1"/>
    <x v="0"/>
    <x v="0"/>
    <x v="3"/>
    <x v="0"/>
    <x v="0"/>
    <x v="0"/>
    <n v="1"/>
    <n v="0"/>
    <n v="13"/>
    <n v="4"/>
    <n v="1"/>
    <n v="0"/>
    <n v="5"/>
    <n v="0"/>
    <x v="4"/>
  </r>
  <r>
    <x v="1752"/>
    <n v="18929"/>
    <n v="0"/>
    <n v="0"/>
    <n v="15"/>
    <n v="32"/>
    <n v="0"/>
    <n v="8"/>
    <n v="23"/>
    <n v="4"/>
    <n v="18"/>
    <n v="1"/>
    <n v="1"/>
    <n v="0"/>
    <n v="4"/>
    <n v="6"/>
    <n v="0"/>
    <n v="0"/>
    <n v="0"/>
    <n v="0"/>
    <n v="0"/>
    <x v="0"/>
    <n v="0"/>
    <n v="3"/>
    <n v="11"/>
    <n v="0"/>
    <n v="30"/>
    <n v="2657"/>
    <n v="7.279452054794521"/>
    <n v="0"/>
    <n v="1"/>
    <n v="0"/>
    <n v="0"/>
    <n v="0"/>
    <n v="0"/>
    <n v="0"/>
    <n v="1"/>
    <n v="0"/>
    <n v="0"/>
    <n v="67"/>
    <n v="49"/>
    <n v="18"/>
    <n v="0"/>
    <x v="1"/>
    <x v="1"/>
    <x v="0"/>
    <x v="0"/>
    <x v="0"/>
    <x v="4"/>
    <n v="0"/>
    <n v="0"/>
    <n v="12"/>
    <n v="9"/>
    <n v="1"/>
    <n v="2"/>
    <n v="12"/>
    <n v="3"/>
    <x v="3"/>
  </r>
  <r>
    <x v="1753"/>
    <n v="21282"/>
    <n v="1"/>
    <n v="0"/>
    <n v="76"/>
    <n v="1"/>
    <n v="5"/>
    <n v="8"/>
    <n v="4"/>
    <n v="8"/>
    <n v="20"/>
    <n v="2"/>
    <n v="2"/>
    <n v="1"/>
    <n v="2"/>
    <n v="6"/>
    <n v="0"/>
    <n v="0"/>
    <n v="0"/>
    <n v="0"/>
    <n v="0"/>
    <x v="0"/>
    <n v="0"/>
    <n v="3"/>
    <n v="11"/>
    <n v="0"/>
    <n v="42"/>
    <n v="2208"/>
    <n v="6.0493150684931507"/>
    <n v="1"/>
    <n v="0"/>
    <n v="0"/>
    <n v="0"/>
    <n v="0"/>
    <n v="1"/>
    <n v="0"/>
    <n v="0"/>
    <n v="0"/>
    <n v="0"/>
    <n v="26"/>
    <n v="6"/>
    <n v="20"/>
    <n v="0"/>
    <x v="0"/>
    <x v="0"/>
    <x v="3"/>
    <x v="1"/>
    <x v="0"/>
    <x v="0"/>
    <n v="1"/>
    <n v="0"/>
    <n v="13"/>
    <n v="3.0000000000000004"/>
    <n v="1"/>
    <n v="0"/>
    <n v="4"/>
    <n v="0"/>
    <x v="4"/>
  </r>
  <r>
    <x v="1754"/>
    <n v="22327"/>
    <n v="1"/>
    <n v="0"/>
    <n v="94"/>
    <n v="5"/>
    <n v="4"/>
    <n v="8"/>
    <n v="2"/>
    <n v="0"/>
    <n v="5"/>
    <n v="1"/>
    <n v="1"/>
    <n v="0"/>
    <n v="3"/>
    <n v="5"/>
    <n v="0"/>
    <n v="0"/>
    <n v="0"/>
    <n v="0"/>
    <n v="0"/>
    <x v="0"/>
    <n v="0"/>
    <n v="3"/>
    <n v="11"/>
    <n v="0"/>
    <n v="35"/>
    <n v="2490"/>
    <n v="6.8219178082191778"/>
    <n v="0"/>
    <n v="0"/>
    <n v="1"/>
    <n v="0"/>
    <n v="0"/>
    <n v="0"/>
    <n v="0"/>
    <n v="1"/>
    <n v="0"/>
    <n v="0"/>
    <n v="19"/>
    <n v="14"/>
    <n v="5"/>
    <n v="0"/>
    <x v="0"/>
    <x v="0"/>
    <x v="1"/>
    <x v="0"/>
    <x v="0"/>
    <x v="3"/>
    <n v="1"/>
    <n v="1"/>
    <n v="10"/>
    <n v="0.99999999999999978"/>
    <n v="0"/>
    <n v="0"/>
    <n v="0.99999999999999978"/>
    <n v="0"/>
    <x v="4"/>
  </r>
  <r>
    <x v="1755"/>
    <n v="22448"/>
    <n v="1"/>
    <n v="0"/>
    <n v="86"/>
    <n v="3"/>
    <n v="1"/>
    <n v="8"/>
    <n v="23"/>
    <n v="2"/>
    <n v="18"/>
    <n v="3"/>
    <n v="2"/>
    <n v="1"/>
    <n v="3"/>
    <n v="3"/>
    <n v="0"/>
    <n v="0"/>
    <n v="0"/>
    <n v="0"/>
    <n v="0"/>
    <x v="0"/>
    <n v="0"/>
    <n v="3"/>
    <n v="11"/>
    <n v="0"/>
    <n v="38"/>
    <n v="2282"/>
    <n v="6.2520547945205482"/>
    <n v="0"/>
    <n v="1"/>
    <n v="0"/>
    <n v="0"/>
    <n v="0"/>
    <n v="0"/>
    <n v="0"/>
    <n v="1"/>
    <n v="0"/>
    <n v="0"/>
    <n v="37"/>
    <n v="19"/>
    <n v="18"/>
    <n v="0"/>
    <x v="0"/>
    <x v="0"/>
    <x v="0"/>
    <x v="0"/>
    <x v="0"/>
    <x v="3"/>
    <n v="1"/>
    <n v="0"/>
    <n v="12"/>
    <n v="1.9999999999999996"/>
    <n v="1"/>
    <n v="1"/>
    <n v="3.9999999999999996"/>
    <n v="0"/>
    <x v="4"/>
  </r>
  <r>
    <x v="1756"/>
    <n v="22574"/>
    <n v="2"/>
    <n v="1"/>
    <n v="28"/>
    <n v="25"/>
    <n v="0"/>
    <n v="8"/>
    <n v="2"/>
    <n v="0"/>
    <n v="2"/>
    <n v="2"/>
    <n v="2"/>
    <n v="0"/>
    <n v="3"/>
    <n v="7"/>
    <n v="0"/>
    <n v="0"/>
    <n v="0"/>
    <n v="0"/>
    <n v="0"/>
    <x v="0"/>
    <n v="0"/>
    <n v="3"/>
    <n v="11"/>
    <n v="0"/>
    <n v="53"/>
    <n v="2403"/>
    <n v="6.5835616438356164"/>
    <n v="0"/>
    <n v="1"/>
    <n v="0"/>
    <n v="0"/>
    <n v="0"/>
    <n v="0"/>
    <n v="0"/>
    <n v="1"/>
    <n v="0"/>
    <n v="0"/>
    <n v="35"/>
    <n v="33"/>
    <n v="2"/>
    <n v="0"/>
    <x v="0"/>
    <x v="0"/>
    <x v="0"/>
    <x v="0"/>
    <x v="0"/>
    <x v="1"/>
    <n v="0"/>
    <n v="0"/>
    <n v="14"/>
    <n v="8"/>
    <n v="2"/>
    <n v="1"/>
    <n v="11"/>
    <n v="2"/>
    <x v="3"/>
  </r>
  <r>
    <x v="1757"/>
    <n v="22775"/>
    <n v="1"/>
    <n v="0"/>
    <n v="40"/>
    <n v="5"/>
    <n v="1"/>
    <n v="8"/>
    <n v="0"/>
    <n v="0"/>
    <n v="1"/>
    <n v="1"/>
    <n v="1"/>
    <n v="0"/>
    <n v="2"/>
    <n v="8"/>
    <n v="0"/>
    <n v="0"/>
    <n v="0"/>
    <n v="0"/>
    <n v="0"/>
    <x v="0"/>
    <n v="0"/>
    <n v="3"/>
    <n v="11"/>
    <n v="0"/>
    <n v="42"/>
    <n v="2534"/>
    <n v="6.9424657534246572"/>
    <n v="0"/>
    <n v="0"/>
    <n v="0"/>
    <n v="1"/>
    <n v="0"/>
    <n v="0"/>
    <n v="0"/>
    <n v="1"/>
    <n v="0"/>
    <n v="0"/>
    <n v="14"/>
    <n v="13"/>
    <n v="1"/>
    <n v="0"/>
    <x v="0"/>
    <x v="0"/>
    <x v="2"/>
    <x v="0"/>
    <x v="0"/>
    <x v="0"/>
    <n v="1"/>
    <n v="0"/>
    <n v="12"/>
    <n v="6"/>
    <n v="1"/>
    <n v="0"/>
    <n v="7"/>
    <n v="1"/>
    <x v="3"/>
  </r>
  <r>
    <x v="1758"/>
    <n v="23148"/>
    <n v="0"/>
    <n v="0"/>
    <n v="83"/>
    <n v="4"/>
    <n v="6"/>
    <n v="8"/>
    <n v="6"/>
    <n v="3"/>
    <n v="10"/>
    <n v="1"/>
    <n v="2"/>
    <n v="0"/>
    <n v="3"/>
    <n v="7"/>
    <n v="0"/>
    <n v="0"/>
    <n v="0"/>
    <n v="0"/>
    <n v="0"/>
    <x v="0"/>
    <n v="0"/>
    <n v="3"/>
    <n v="11"/>
    <n v="0"/>
    <n v="35"/>
    <n v="2290"/>
    <n v="6.2739726027397262"/>
    <n v="0"/>
    <n v="1"/>
    <n v="0"/>
    <n v="0"/>
    <n v="0"/>
    <n v="1"/>
    <n v="0"/>
    <n v="0"/>
    <n v="0"/>
    <n v="0"/>
    <n v="27"/>
    <n v="17"/>
    <n v="10"/>
    <n v="0"/>
    <x v="1"/>
    <x v="1"/>
    <x v="0"/>
    <x v="1"/>
    <x v="0"/>
    <x v="3"/>
    <n v="1"/>
    <n v="0"/>
    <n v="13"/>
    <n v="1.9999999999999996"/>
    <n v="1"/>
    <n v="0"/>
    <n v="2.9999999999999996"/>
    <n v="0"/>
    <x v="4"/>
  </r>
  <r>
    <x v="1759"/>
    <n v="24206"/>
    <n v="1"/>
    <n v="0"/>
    <n v="66"/>
    <n v="7"/>
    <n v="2"/>
    <n v="8"/>
    <n v="3"/>
    <n v="2"/>
    <n v="3"/>
    <n v="1"/>
    <n v="1"/>
    <n v="0"/>
    <n v="3"/>
    <n v="6"/>
    <n v="0"/>
    <n v="0"/>
    <n v="0"/>
    <n v="0"/>
    <n v="0"/>
    <x v="0"/>
    <n v="0"/>
    <n v="3"/>
    <n v="11"/>
    <n v="0"/>
    <n v="50"/>
    <n v="2637"/>
    <n v="7.2246575342465755"/>
    <n v="0"/>
    <n v="0"/>
    <n v="1"/>
    <n v="0"/>
    <n v="0"/>
    <n v="0"/>
    <n v="0"/>
    <n v="1"/>
    <n v="0"/>
    <n v="0"/>
    <n v="22"/>
    <n v="19"/>
    <n v="3"/>
    <n v="0"/>
    <x v="0"/>
    <x v="0"/>
    <x v="1"/>
    <x v="0"/>
    <x v="0"/>
    <x v="0"/>
    <n v="1"/>
    <n v="0"/>
    <n v="11"/>
    <n v="4"/>
    <n v="0"/>
    <n v="0"/>
    <n v="4"/>
    <n v="0"/>
    <x v="4"/>
  </r>
  <r>
    <x v="1760"/>
    <n v="24434"/>
    <n v="2"/>
    <n v="0"/>
    <n v="9"/>
    <n v="3"/>
    <n v="2"/>
    <n v="8"/>
    <n v="20"/>
    <n v="0"/>
    <n v="17"/>
    <n v="2"/>
    <n v="2"/>
    <n v="1"/>
    <n v="2"/>
    <n v="7"/>
    <n v="0"/>
    <n v="0"/>
    <n v="0"/>
    <n v="0"/>
    <n v="0"/>
    <x v="0"/>
    <n v="0"/>
    <n v="3"/>
    <n v="11"/>
    <n v="0"/>
    <n v="48"/>
    <n v="2201"/>
    <n v="6.0301369863013701"/>
    <n v="0"/>
    <n v="1"/>
    <n v="0"/>
    <n v="0"/>
    <n v="0"/>
    <n v="0"/>
    <n v="0"/>
    <n v="1"/>
    <n v="0"/>
    <n v="0"/>
    <n v="33"/>
    <n v="16"/>
    <n v="17"/>
    <n v="0"/>
    <x v="0"/>
    <x v="0"/>
    <x v="0"/>
    <x v="0"/>
    <x v="0"/>
    <x v="0"/>
    <n v="0"/>
    <n v="0"/>
    <n v="14"/>
    <n v="10"/>
    <n v="2"/>
    <n v="1"/>
    <n v="13"/>
    <n v="3"/>
    <x v="3"/>
  </r>
  <r>
    <x v="1761"/>
    <n v="25008"/>
    <n v="1"/>
    <n v="0"/>
    <n v="72"/>
    <n v="2"/>
    <n v="8"/>
    <n v="8"/>
    <n v="6"/>
    <n v="1"/>
    <n v="9"/>
    <n v="2"/>
    <n v="1"/>
    <n v="0"/>
    <n v="3"/>
    <n v="8"/>
    <n v="0"/>
    <n v="0"/>
    <n v="0"/>
    <n v="0"/>
    <n v="0"/>
    <x v="0"/>
    <n v="0"/>
    <n v="3"/>
    <n v="11"/>
    <n v="0"/>
    <n v="32"/>
    <n v="2306"/>
    <n v="6.3178082191780822"/>
    <n v="0"/>
    <n v="0"/>
    <n v="1"/>
    <n v="0"/>
    <n v="0"/>
    <n v="0"/>
    <n v="0"/>
    <n v="1"/>
    <n v="0"/>
    <n v="0"/>
    <n v="25"/>
    <n v="16"/>
    <n v="9"/>
    <n v="0"/>
    <x v="0"/>
    <x v="0"/>
    <x v="1"/>
    <x v="0"/>
    <x v="0"/>
    <x v="3"/>
    <n v="1"/>
    <n v="0"/>
    <n v="14"/>
    <n v="3.0000000000000004"/>
    <n v="2"/>
    <n v="0"/>
    <n v="5"/>
    <n v="0"/>
    <x v="4"/>
  </r>
  <r>
    <x v="1762"/>
    <n v="25315"/>
    <n v="1"/>
    <n v="0"/>
    <n v="46"/>
    <n v="1"/>
    <n v="9"/>
    <n v="8"/>
    <n v="11"/>
    <n v="3"/>
    <n v="22"/>
    <n v="3"/>
    <n v="3"/>
    <n v="0"/>
    <n v="3"/>
    <n v="8"/>
    <n v="0"/>
    <n v="0"/>
    <n v="0"/>
    <n v="0"/>
    <n v="0"/>
    <x v="0"/>
    <n v="0"/>
    <n v="3"/>
    <n v="11"/>
    <n v="0"/>
    <n v="43"/>
    <n v="2393"/>
    <n v="6.5561643835616437"/>
    <n v="0"/>
    <n v="0"/>
    <n v="0"/>
    <n v="1"/>
    <n v="0"/>
    <n v="1"/>
    <n v="0"/>
    <n v="0"/>
    <n v="0"/>
    <n v="0"/>
    <n v="32"/>
    <n v="10"/>
    <n v="22"/>
    <n v="0"/>
    <x v="0"/>
    <x v="0"/>
    <x v="2"/>
    <x v="1"/>
    <x v="0"/>
    <x v="0"/>
    <n v="1"/>
    <n v="0"/>
    <n v="17"/>
    <n v="6"/>
    <n v="3"/>
    <n v="1"/>
    <n v="10"/>
    <n v="2"/>
    <x v="3"/>
  </r>
  <r>
    <x v="1763"/>
    <n v="25818"/>
    <n v="1"/>
    <n v="0"/>
    <n v="51"/>
    <n v="5"/>
    <n v="2"/>
    <n v="8"/>
    <n v="2"/>
    <n v="2"/>
    <n v="9"/>
    <n v="1"/>
    <n v="0"/>
    <n v="1"/>
    <n v="2"/>
    <n v="7"/>
    <n v="0"/>
    <n v="0"/>
    <n v="0"/>
    <n v="0"/>
    <n v="0"/>
    <x v="0"/>
    <n v="0"/>
    <n v="3"/>
    <n v="11"/>
    <n v="0"/>
    <n v="49"/>
    <n v="2778"/>
    <n v="7.6109589041095891"/>
    <n v="1"/>
    <n v="0"/>
    <n v="0"/>
    <n v="0"/>
    <n v="0"/>
    <n v="0"/>
    <n v="0"/>
    <n v="1"/>
    <n v="0"/>
    <n v="0"/>
    <n v="19"/>
    <n v="10"/>
    <n v="9"/>
    <n v="0"/>
    <x v="0"/>
    <x v="0"/>
    <x v="3"/>
    <x v="0"/>
    <x v="0"/>
    <x v="0"/>
    <n v="1"/>
    <n v="0"/>
    <n v="11"/>
    <n v="5"/>
    <n v="0"/>
    <n v="0"/>
    <n v="5"/>
    <n v="0"/>
    <x v="4"/>
  </r>
  <r>
    <x v="1764"/>
    <n v="26576"/>
    <n v="1"/>
    <n v="0"/>
    <n v="40"/>
    <n v="10"/>
    <n v="0"/>
    <n v="8"/>
    <n v="0"/>
    <n v="0"/>
    <n v="9"/>
    <n v="1"/>
    <n v="1"/>
    <n v="0"/>
    <n v="2"/>
    <n v="9"/>
    <n v="0"/>
    <n v="0"/>
    <n v="1"/>
    <n v="0"/>
    <n v="0"/>
    <x v="1"/>
    <n v="0"/>
    <n v="3"/>
    <n v="11"/>
    <n v="1"/>
    <n v="34"/>
    <n v="2783"/>
    <n v="7.624657534246575"/>
    <n v="0"/>
    <n v="0"/>
    <n v="1"/>
    <n v="0"/>
    <n v="0"/>
    <n v="0"/>
    <n v="0"/>
    <n v="1"/>
    <n v="0"/>
    <n v="0"/>
    <n v="18"/>
    <n v="9"/>
    <n v="9"/>
    <n v="1"/>
    <x v="0"/>
    <x v="0"/>
    <x v="1"/>
    <x v="0"/>
    <x v="0"/>
    <x v="3"/>
    <n v="1"/>
    <n v="0"/>
    <n v="13"/>
    <n v="6"/>
    <n v="1"/>
    <n v="0"/>
    <n v="7"/>
    <n v="1"/>
    <x v="3"/>
  </r>
  <r>
    <x v="1765"/>
    <n v="26872"/>
    <n v="0"/>
    <n v="0"/>
    <n v="0"/>
    <n v="3"/>
    <n v="10"/>
    <n v="8"/>
    <n v="3"/>
    <n v="16"/>
    <n v="32"/>
    <n v="1"/>
    <n v="1"/>
    <n v="1"/>
    <n v="2"/>
    <n v="6"/>
    <n v="0"/>
    <n v="0"/>
    <n v="0"/>
    <n v="0"/>
    <n v="0"/>
    <x v="0"/>
    <n v="0"/>
    <n v="3"/>
    <n v="11"/>
    <n v="0"/>
    <n v="39"/>
    <n v="2415"/>
    <n v="6.6164383561643838"/>
    <n v="0"/>
    <n v="1"/>
    <n v="0"/>
    <n v="0"/>
    <n v="0"/>
    <n v="0"/>
    <n v="0"/>
    <n v="1"/>
    <n v="0"/>
    <n v="0"/>
    <n v="40"/>
    <n v="8"/>
    <n v="32"/>
    <n v="0"/>
    <x v="1"/>
    <x v="1"/>
    <x v="0"/>
    <x v="0"/>
    <x v="0"/>
    <x v="3"/>
    <n v="0"/>
    <n v="0"/>
    <n v="11"/>
    <n v="10"/>
    <n v="0"/>
    <n v="1"/>
    <n v="11"/>
    <n v="2"/>
    <x v="3"/>
  </r>
  <r>
    <x v="1766"/>
    <n v="27938"/>
    <n v="1"/>
    <n v="0"/>
    <n v="31"/>
    <n v="13"/>
    <n v="0"/>
    <n v="8"/>
    <n v="2"/>
    <n v="1"/>
    <n v="5"/>
    <n v="1"/>
    <n v="1"/>
    <n v="0"/>
    <n v="4"/>
    <n v="3"/>
    <n v="0"/>
    <n v="0"/>
    <n v="0"/>
    <n v="0"/>
    <n v="0"/>
    <x v="0"/>
    <n v="0"/>
    <n v="3"/>
    <n v="11"/>
    <n v="0"/>
    <n v="32"/>
    <n v="2221"/>
    <n v="6.0849315068493155"/>
    <n v="0"/>
    <n v="0"/>
    <n v="1"/>
    <n v="0"/>
    <n v="0"/>
    <n v="0"/>
    <n v="0"/>
    <n v="1"/>
    <n v="0"/>
    <n v="0"/>
    <n v="24"/>
    <n v="19"/>
    <n v="5"/>
    <n v="0"/>
    <x v="0"/>
    <x v="0"/>
    <x v="1"/>
    <x v="0"/>
    <x v="0"/>
    <x v="3"/>
    <n v="1"/>
    <n v="0"/>
    <n v="9"/>
    <n v="7"/>
    <n v="0"/>
    <n v="0"/>
    <n v="7"/>
    <n v="1"/>
    <x v="3"/>
  </r>
  <r>
    <x v="1767"/>
    <n v="29732"/>
    <n v="1"/>
    <n v="0"/>
    <n v="23"/>
    <n v="25"/>
    <n v="0"/>
    <n v="8"/>
    <n v="0"/>
    <n v="1"/>
    <n v="4"/>
    <n v="1"/>
    <n v="2"/>
    <n v="0"/>
    <n v="2"/>
    <n v="9"/>
    <n v="0"/>
    <n v="0"/>
    <n v="0"/>
    <n v="0"/>
    <n v="0"/>
    <x v="0"/>
    <n v="0"/>
    <n v="3"/>
    <n v="11"/>
    <n v="0"/>
    <n v="49"/>
    <n v="2255"/>
    <n v="6.1780821917808222"/>
    <n v="0"/>
    <n v="0"/>
    <n v="0"/>
    <n v="1"/>
    <n v="0"/>
    <n v="0"/>
    <n v="0"/>
    <n v="0"/>
    <n v="0"/>
    <n v="1"/>
    <n v="34"/>
    <n v="30"/>
    <n v="4"/>
    <n v="0"/>
    <x v="0"/>
    <x v="0"/>
    <x v="2"/>
    <x v="1"/>
    <x v="0"/>
    <x v="0"/>
    <n v="0"/>
    <n v="0"/>
    <n v="14"/>
    <n v="8"/>
    <n v="2"/>
    <n v="1"/>
    <n v="11"/>
    <n v="2"/>
    <x v="3"/>
  </r>
  <r>
    <x v="1768"/>
    <n v="30467"/>
    <n v="1"/>
    <n v="0"/>
    <n v="8"/>
    <n v="1"/>
    <n v="3"/>
    <n v="8"/>
    <n v="2"/>
    <n v="5"/>
    <n v="5"/>
    <n v="1"/>
    <n v="1"/>
    <n v="0"/>
    <n v="2"/>
    <n v="7"/>
    <n v="0"/>
    <n v="0"/>
    <n v="0"/>
    <n v="0"/>
    <n v="0"/>
    <x v="0"/>
    <n v="0"/>
    <n v="3"/>
    <n v="11"/>
    <n v="0"/>
    <n v="48"/>
    <n v="2261"/>
    <n v="6.1945205479452055"/>
    <n v="0"/>
    <n v="1"/>
    <n v="0"/>
    <n v="0"/>
    <n v="0"/>
    <n v="0"/>
    <n v="0"/>
    <n v="1"/>
    <n v="0"/>
    <n v="0"/>
    <n v="19"/>
    <n v="14"/>
    <n v="5"/>
    <n v="0"/>
    <x v="0"/>
    <x v="0"/>
    <x v="0"/>
    <x v="0"/>
    <x v="0"/>
    <x v="0"/>
    <n v="0"/>
    <n v="0"/>
    <n v="11"/>
    <n v="10"/>
    <n v="0"/>
    <n v="0"/>
    <n v="10"/>
    <n v="2"/>
    <x v="3"/>
  </r>
  <r>
    <x v="1769"/>
    <n v="30899"/>
    <n v="1"/>
    <n v="0"/>
    <n v="35"/>
    <n v="24"/>
    <n v="0"/>
    <n v="8"/>
    <n v="0"/>
    <n v="0"/>
    <n v="1"/>
    <n v="2"/>
    <n v="1"/>
    <n v="0"/>
    <n v="3"/>
    <n v="6"/>
    <n v="0"/>
    <n v="0"/>
    <n v="0"/>
    <n v="0"/>
    <n v="0"/>
    <x v="0"/>
    <n v="0"/>
    <n v="3"/>
    <n v="11"/>
    <n v="0"/>
    <n v="46"/>
    <n v="2783"/>
    <n v="7.624657534246575"/>
    <n v="0"/>
    <n v="0"/>
    <n v="1"/>
    <n v="0"/>
    <n v="0"/>
    <n v="0"/>
    <n v="0"/>
    <n v="0"/>
    <n v="0"/>
    <n v="1"/>
    <n v="32"/>
    <n v="31"/>
    <n v="1"/>
    <n v="0"/>
    <x v="0"/>
    <x v="0"/>
    <x v="1"/>
    <x v="1"/>
    <x v="0"/>
    <x v="0"/>
    <n v="1"/>
    <n v="0"/>
    <n v="12"/>
    <n v="7"/>
    <n v="1"/>
    <n v="1"/>
    <n v="9"/>
    <n v="1"/>
    <x v="3"/>
  </r>
  <r>
    <x v="1770"/>
    <n v="33444"/>
    <n v="1"/>
    <n v="1"/>
    <n v="24"/>
    <n v="8"/>
    <n v="0"/>
    <n v="8"/>
    <n v="0"/>
    <n v="0"/>
    <n v="2"/>
    <n v="1"/>
    <n v="1"/>
    <n v="0"/>
    <n v="2"/>
    <n v="8"/>
    <n v="0"/>
    <n v="0"/>
    <n v="0"/>
    <n v="0"/>
    <n v="0"/>
    <x v="0"/>
    <n v="0"/>
    <n v="3"/>
    <n v="11"/>
    <n v="0"/>
    <n v="68"/>
    <n v="2762"/>
    <n v="7.5671232876712331"/>
    <n v="0"/>
    <n v="1"/>
    <n v="0"/>
    <n v="0"/>
    <n v="0"/>
    <n v="0"/>
    <n v="0"/>
    <n v="0"/>
    <n v="1"/>
    <n v="0"/>
    <n v="16"/>
    <n v="14"/>
    <n v="2"/>
    <n v="0"/>
    <x v="0"/>
    <x v="0"/>
    <x v="0"/>
    <x v="1"/>
    <x v="0"/>
    <x v="2"/>
    <n v="0"/>
    <n v="0"/>
    <n v="12"/>
    <n v="8"/>
    <n v="1"/>
    <n v="0"/>
    <n v="9"/>
    <n v="1"/>
    <x v="3"/>
  </r>
  <r>
    <x v="1771"/>
    <n v="35682"/>
    <n v="1"/>
    <n v="0"/>
    <n v="34"/>
    <n v="23"/>
    <n v="0"/>
    <n v="8"/>
    <n v="6"/>
    <n v="2"/>
    <n v="18"/>
    <n v="1"/>
    <n v="1"/>
    <n v="1"/>
    <n v="3"/>
    <n v="2"/>
    <n v="0"/>
    <n v="0"/>
    <n v="0"/>
    <n v="0"/>
    <n v="0"/>
    <x v="0"/>
    <n v="0"/>
    <n v="3"/>
    <n v="11"/>
    <n v="0"/>
    <n v="50"/>
    <n v="2161"/>
    <n v="5.9205479452054792"/>
    <n v="1"/>
    <n v="0"/>
    <n v="0"/>
    <n v="0"/>
    <n v="0"/>
    <n v="0"/>
    <n v="0"/>
    <n v="0"/>
    <n v="0"/>
    <n v="1"/>
    <n v="39"/>
    <n v="21"/>
    <n v="18"/>
    <n v="0"/>
    <x v="0"/>
    <x v="0"/>
    <x v="3"/>
    <x v="1"/>
    <x v="3"/>
    <x v="0"/>
    <n v="1"/>
    <n v="0"/>
    <n v="8"/>
    <n v="7"/>
    <n v="0"/>
    <n v="1"/>
    <n v="8"/>
    <n v="1"/>
    <x v="3"/>
  </r>
  <r>
    <x v="1772"/>
    <n v="35860"/>
    <n v="1"/>
    <n v="1"/>
    <n v="37"/>
    <n v="15"/>
    <n v="0"/>
    <n v="8"/>
    <n v="4"/>
    <n v="2"/>
    <n v="20"/>
    <n v="2"/>
    <n v="1"/>
    <n v="1"/>
    <n v="2"/>
    <n v="5"/>
    <n v="0"/>
    <n v="0"/>
    <n v="1"/>
    <n v="0"/>
    <n v="0"/>
    <x v="1"/>
    <n v="0"/>
    <n v="3"/>
    <n v="11"/>
    <n v="1"/>
    <n v="47"/>
    <n v="2200"/>
    <n v="6.0273972602739727"/>
    <n v="0"/>
    <n v="0"/>
    <n v="1"/>
    <n v="0"/>
    <n v="0"/>
    <n v="0"/>
    <n v="0"/>
    <n v="0"/>
    <n v="0"/>
    <n v="1"/>
    <n v="29"/>
    <n v="9"/>
    <n v="20"/>
    <n v="1"/>
    <x v="0"/>
    <x v="0"/>
    <x v="1"/>
    <x v="1"/>
    <x v="3"/>
    <x v="0"/>
    <n v="1"/>
    <n v="0"/>
    <n v="11"/>
    <n v="7"/>
    <n v="0"/>
    <n v="1"/>
    <n v="8"/>
    <n v="1"/>
    <x v="3"/>
  </r>
  <r>
    <x v="1773"/>
    <n v="35860"/>
    <n v="1"/>
    <n v="1"/>
    <n v="37"/>
    <n v="15"/>
    <n v="0"/>
    <n v="8"/>
    <n v="4"/>
    <n v="2"/>
    <n v="20"/>
    <n v="2"/>
    <n v="1"/>
    <n v="1"/>
    <n v="2"/>
    <n v="5"/>
    <n v="0"/>
    <n v="0"/>
    <n v="1"/>
    <n v="0"/>
    <n v="0"/>
    <x v="1"/>
    <n v="0"/>
    <n v="3"/>
    <n v="11"/>
    <n v="0"/>
    <n v="47"/>
    <n v="2200"/>
    <n v="6.0273972602739727"/>
    <n v="1"/>
    <n v="0"/>
    <n v="0"/>
    <n v="0"/>
    <n v="0"/>
    <n v="0"/>
    <n v="0"/>
    <n v="0"/>
    <n v="0"/>
    <n v="1"/>
    <n v="29"/>
    <n v="9"/>
    <n v="20"/>
    <n v="1"/>
    <x v="0"/>
    <x v="0"/>
    <x v="3"/>
    <x v="1"/>
    <x v="3"/>
    <x v="0"/>
    <n v="1"/>
    <n v="0"/>
    <n v="11"/>
    <n v="7"/>
    <n v="0"/>
    <n v="1"/>
    <n v="8"/>
    <n v="1"/>
    <x v="3"/>
  </r>
  <r>
    <x v="1774"/>
    <n v="35860"/>
    <n v="1"/>
    <n v="1"/>
    <n v="37"/>
    <n v="15"/>
    <n v="0"/>
    <n v="8"/>
    <n v="4"/>
    <n v="2"/>
    <n v="20"/>
    <n v="2"/>
    <n v="1"/>
    <n v="1"/>
    <n v="2"/>
    <n v="5"/>
    <n v="0"/>
    <n v="0"/>
    <n v="1"/>
    <n v="0"/>
    <n v="0"/>
    <x v="1"/>
    <n v="0"/>
    <n v="3"/>
    <n v="11"/>
    <n v="1"/>
    <n v="47"/>
    <n v="2200"/>
    <n v="6.0273972602739727"/>
    <n v="1"/>
    <n v="0"/>
    <n v="0"/>
    <n v="0"/>
    <n v="0"/>
    <n v="0"/>
    <n v="0"/>
    <n v="0"/>
    <n v="0"/>
    <n v="1"/>
    <n v="29"/>
    <n v="9"/>
    <n v="20"/>
    <n v="1"/>
    <x v="0"/>
    <x v="0"/>
    <x v="3"/>
    <x v="1"/>
    <x v="3"/>
    <x v="0"/>
    <n v="1"/>
    <n v="0"/>
    <n v="11"/>
    <n v="7"/>
    <n v="0"/>
    <n v="1"/>
    <n v="8"/>
    <n v="1"/>
    <x v="3"/>
  </r>
  <r>
    <x v="1775"/>
    <n v="37406"/>
    <n v="1"/>
    <n v="0"/>
    <n v="18"/>
    <n v="2"/>
    <n v="0"/>
    <n v="8"/>
    <n v="2"/>
    <n v="2"/>
    <n v="3"/>
    <n v="1"/>
    <n v="1"/>
    <n v="0"/>
    <n v="2"/>
    <n v="8"/>
    <n v="0"/>
    <n v="0"/>
    <n v="0"/>
    <n v="0"/>
    <n v="0"/>
    <x v="0"/>
    <n v="0"/>
    <n v="3"/>
    <n v="11"/>
    <n v="1"/>
    <n v="40"/>
    <n v="2421"/>
    <n v="6.6328767123287671"/>
    <n v="0"/>
    <n v="1"/>
    <n v="0"/>
    <n v="0"/>
    <n v="0"/>
    <n v="0"/>
    <n v="0"/>
    <n v="1"/>
    <n v="0"/>
    <n v="0"/>
    <n v="14"/>
    <n v="11"/>
    <n v="3"/>
    <n v="0"/>
    <x v="0"/>
    <x v="0"/>
    <x v="0"/>
    <x v="0"/>
    <x v="3"/>
    <x v="3"/>
    <n v="0"/>
    <n v="0"/>
    <n v="12"/>
    <n v="9"/>
    <n v="1"/>
    <n v="0"/>
    <n v="10"/>
    <n v="2"/>
    <x v="3"/>
  </r>
  <r>
    <x v="1776"/>
    <n v="37859"/>
    <n v="1"/>
    <n v="2"/>
    <n v="75"/>
    <n v="22"/>
    <n v="1"/>
    <n v="8"/>
    <n v="2"/>
    <n v="1"/>
    <n v="2"/>
    <n v="2"/>
    <n v="1"/>
    <n v="0"/>
    <n v="3"/>
    <n v="8"/>
    <n v="0"/>
    <n v="0"/>
    <n v="0"/>
    <n v="0"/>
    <n v="0"/>
    <x v="0"/>
    <n v="0"/>
    <n v="3"/>
    <n v="11"/>
    <n v="0"/>
    <n v="58"/>
    <n v="2692"/>
    <n v="7.375342465753425"/>
    <n v="1"/>
    <n v="0"/>
    <n v="0"/>
    <n v="0"/>
    <n v="0"/>
    <n v="0"/>
    <n v="0"/>
    <n v="1"/>
    <n v="0"/>
    <n v="0"/>
    <n v="34"/>
    <n v="32"/>
    <n v="2"/>
    <n v="0"/>
    <x v="0"/>
    <x v="0"/>
    <x v="3"/>
    <x v="0"/>
    <x v="3"/>
    <x v="1"/>
    <n v="1"/>
    <n v="0"/>
    <n v="14"/>
    <n v="3.0000000000000004"/>
    <n v="2"/>
    <n v="1"/>
    <n v="6"/>
    <n v="0"/>
    <x v="4"/>
  </r>
  <r>
    <x v="1777"/>
    <n v="38590"/>
    <n v="1"/>
    <n v="0"/>
    <n v="65"/>
    <n v="3"/>
    <n v="1"/>
    <n v="8"/>
    <n v="4"/>
    <n v="3"/>
    <n v="3"/>
    <n v="1"/>
    <n v="1"/>
    <n v="0"/>
    <n v="2"/>
    <n v="8"/>
    <n v="0"/>
    <n v="0"/>
    <n v="0"/>
    <n v="0"/>
    <n v="0"/>
    <x v="0"/>
    <n v="0"/>
    <n v="3"/>
    <n v="11"/>
    <n v="0"/>
    <n v="49"/>
    <n v="2569"/>
    <n v="7.0383561643835613"/>
    <n v="0"/>
    <n v="0"/>
    <n v="0"/>
    <n v="1"/>
    <n v="0"/>
    <n v="0"/>
    <n v="0"/>
    <n v="1"/>
    <n v="0"/>
    <n v="0"/>
    <n v="19"/>
    <n v="16"/>
    <n v="3"/>
    <n v="0"/>
    <x v="0"/>
    <x v="0"/>
    <x v="2"/>
    <x v="0"/>
    <x v="3"/>
    <x v="0"/>
    <n v="1"/>
    <n v="0"/>
    <n v="12"/>
    <n v="4"/>
    <n v="1"/>
    <n v="0"/>
    <n v="5"/>
    <n v="0"/>
    <x v="4"/>
  </r>
  <r>
    <x v="1778"/>
    <n v="40479"/>
    <n v="1"/>
    <n v="0"/>
    <n v="95"/>
    <n v="5"/>
    <n v="0"/>
    <n v="8"/>
    <n v="2"/>
    <n v="0"/>
    <n v="0"/>
    <n v="1"/>
    <n v="0"/>
    <n v="0"/>
    <n v="3"/>
    <n v="4"/>
    <n v="0"/>
    <n v="0"/>
    <n v="0"/>
    <n v="0"/>
    <n v="0"/>
    <x v="0"/>
    <n v="0"/>
    <n v="3"/>
    <n v="11"/>
    <n v="0"/>
    <n v="38"/>
    <n v="2475"/>
    <n v="6.7808219178082192"/>
    <n v="0"/>
    <n v="0"/>
    <n v="0"/>
    <n v="1"/>
    <n v="0"/>
    <n v="0"/>
    <n v="0"/>
    <n v="1"/>
    <n v="0"/>
    <n v="0"/>
    <n v="15"/>
    <n v="15"/>
    <n v="0"/>
    <n v="0"/>
    <x v="0"/>
    <x v="0"/>
    <x v="2"/>
    <x v="0"/>
    <x v="3"/>
    <x v="3"/>
    <n v="1"/>
    <n v="1"/>
    <n v="8"/>
    <n v="0.99999999999999978"/>
    <n v="0"/>
    <n v="0"/>
    <n v="0.99999999999999978"/>
    <n v="0"/>
    <x v="4"/>
  </r>
  <r>
    <x v="1779"/>
    <n v="41986"/>
    <n v="0"/>
    <n v="1"/>
    <n v="15"/>
    <n v="27"/>
    <n v="5"/>
    <n v="8"/>
    <n v="8"/>
    <n v="3"/>
    <n v="12"/>
    <n v="3"/>
    <n v="3"/>
    <n v="0"/>
    <n v="4"/>
    <n v="4"/>
    <n v="0"/>
    <n v="0"/>
    <n v="0"/>
    <n v="0"/>
    <n v="0"/>
    <x v="0"/>
    <n v="0"/>
    <n v="3"/>
    <n v="11"/>
    <n v="0"/>
    <n v="42"/>
    <n v="2299"/>
    <n v="6.2986301369863016"/>
    <n v="1"/>
    <n v="0"/>
    <n v="0"/>
    <n v="0"/>
    <n v="0"/>
    <n v="0"/>
    <n v="0"/>
    <n v="1"/>
    <n v="0"/>
    <n v="0"/>
    <n v="51"/>
    <n v="39"/>
    <n v="12"/>
    <n v="0"/>
    <x v="0"/>
    <x v="0"/>
    <x v="3"/>
    <x v="0"/>
    <x v="3"/>
    <x v="0"/>
    <n v="0"/>
    <n v="0"/>
    <n v="14"/>
    <n v="9"/>
    <n v="2"/>
    <n v="2"/>
    <n v="13"/>
    <n v="3"/>
    <x v="3"/>
  </r>
  <r>
    <x v="1780"/>
    <n v="42231"/>
    <n v="1"/>
    <n v="1"/>
    <n v="99"/>
    <n v="24"/>
    <n v="0"/>
    <n v="8"/>
    <n v="0"/>
    <n v="1"/>
    <n v="4"/>
    <n v="1"/>
    <n v="1"/>
    <n v="0"/>
    <n v="3"/>
    <n v="5"/>
    <n v="0"/>
    <n v="0"/>
    <n v="0"/>
    <n v="0"/>
    <n v="0"/>
    <x v="0"/>
    <n v="0"/>
    <n v="3"/>
    <n v="11"/>
    <n v="0"/>
    <n v="51"/>
    <n v="2255"/>
    <n v="6.1780821917808222"/>
    <n v="0"/>
    <n v="1"/>
    <n v="0"/>
    <n v="0"/>
    <n v="0"/>
    <n v="0"/>
    <n v="0"/>
    <n v="1"/>
    <n v="0"/>
    <n v="0"/>
    <n v="33"/>
    <n v="29"/>
    <n v="4"/>
    <n v="0"/>
    <x v="0"/>
    <x v="0"/>
    <x v="0"/>
    <x v="0"/>
    <x v="3"/>
    <x v="1"/>
    <n v="1"/>
    <n v="1"/>
    <n v="10"/>
    <n v="0.99999999999999978"/>
    <n v="0"/>
    <n v="1"/>
    <n v="1.9999999999999998"/>
    <n v="0"/>
    <x v="4"/>
  </r>
  <r>
    <x v="1781"/>
    <n v="44319"/>
    <n v="1"/>
    <n v="1"/>
    <n v="18"/>
    <n v="26"/>
    <n v="0"/>
    <n v="8"/>
    <n v="0"/>
    <n v="0"/>
    <n v="3"/>
    <n v="2"/>
    <n v="2"/>
    <n v="0"/>
    <n v="3"/>
    <n v="5"/>
    <n v="0"/>
    <n v="0"/>
    <n v="0"/>
    <n v="0"/>
    <n v="0"/>
    <x v="0"/>
    <n v="0"/>
    <n v="3"/>
    <n v="11"/>
    <n v="0"/>
    <n v="45"/>
    <n v="2232"/>
    <n v="6.1150684931506847"/>
    <n v="0"/>
    <n v="1"/>
    <n v="0"/>
    <n v="0"/>
    <n v="0"/>
    <n v="0"/>
    <n v="0"/>
    <n v="0"/>
    <n v="1"/>
    <n v="0"/>
    <n v="34"/>
    <n v="31"/>
    <n v="3"/>
    <n v="0"/>
    <x v="0"/>
    <x v="0"/>
    <x v="0"/>
    <x v="1"/>
    <x v="3"/>
    <x v="0"/>
    <n v="0"/>
    <n v="0"/>
    <n v="12"/>
    <n v="9"/>
    <n v="1"/>
    <n v="1"/>
    <n v="11"/>
    <n v="2"/>
    <x v="3"/>
  </r>
  <r>
    <x v="1782"/>
    <n v="44503"/>
    <n v="1"/>
    <n v="1"/>
    <n v="83"/>
    <n v="31"/>
    <n v="1"/>
    <n v="8"/>
    <n v="0"/>
    <n v="0"/>
    <n v="8"/>
    <n v="2"/>
    <n v="2"/>
    <n v="0"/>
    <n v="3"/>
    <n v="6"/>
    <n v="0"/>
    <n v="0"/>
    <n v="0"/>
    <n v="0"/>
    <n v="0"/>
    <x v="0"/>
    <n v="0"/>
    <n v="3"/>
    <n v="11"/>
    <n v="0"/>
    <n v="48"/>
    <n v="2233"/>
    <n v="6.117808219178082"/>
    <n v="0"/>
    <n v="0"/>
    <n v="1"/>
    <n v="0"/>
    <n v="0"/>
    <n v="0"/>
    <n v="0"/>
    <n v="1"/>
    <n v="0"/>
    <n v="0"/>
    <n v="40"/>
    <n v="32"/>
    <n v="8"/>
    <n v="0"/>
    <x v="0"/>
    <x v="0"/>
    <x v="1"/>
    <x v="0"/>
    <x v="3"/>
    <x v="0"/>
    <n v="1"/>
    <n v="0"/>
    <n v="13"/>
    <n v="1.9999999999999996"/>
    <n v="1"/>
    <n v="1"/>
    <n v="3.9999999999999996"/>
    <n v="0"/>
    <x v="4"/>
  </r>
  <r>
    <x v="1783"/>
    <n v="46106"/>
    <n v="1"/>
    <n v="1"/>
    <n v="84"/>
    <n v="30"/>
    <n v="0"/>
    <n v="8"/>
    <n v="2"/>
    <n v="0"/>
    <n v="14"/>
    <n v="1"/>
    <n v="1"/>
    <n v="1"/>
    <n v="2"/>
    <n v="6"/>
    <n v="0"/>
    <n v="0"/>
    <n v="0"/>
    <n v="0"/>
    <n v="0"/>
    <x v="0"/>
    <n v="0"/>
    <n v="3"/>
    <n v="11"/>
    <n v="0"/>
    <n v="44"/>
    <n v="2208"/>
    <n v="6.0493150684931507"/>
    <n v="0"/>
    <n v="0"/>
    <n v="0"/>
    <n v="1"/>
    <n v="0"/>
    <n v="0"/>
    <n v="0"/>
    <n v="0"/>
    <n v="1"/>
    <n v="0"/>
    <n v="40"/>
    <n v="26"/>
    <n v="14"/>
    <n v="0"/>
    <x v="0"/>
    <x v="0"/>
    <x v="2"/>
    <x v="1"/>
    <x v="3"/>
    <x v="0"/>
    <n v="1"/>
    <n v="0"/>
    <n v="11"/>
    <n v="1.9999999999999996"/>
    <n v="0"/>
    <n v="1"/>
    <n v="2.9999999999999996"/>
    <n v="0"/>
    <x v="4"/>
  </r>
  <r>
    <x v="1784"/>
    <n v="50870"/>
    <n v="0"/>
    <n v="1"/>
    <n v="13"/>
    <n v="53"/>
    <n v="0"/>
    <n v="8"/>
    <n v="0"/>
    <n v="0"/>
    <n v="2"/>
    <n v="1"/>
    <n v="2"/>
    <n v="0"/>
    <n v="3"/>
    <n v="5"/>
    <n v="0"/>
    <n v="0"/>
    <n v="0"/>
    <n v="0"/>
    <n v="0"/>
    <x v="0"/>
    <n v="0"/>
    <n v="3"/>
    <n v="11"/>
    <n v="0"/>
    <n v="68"/>
    <n v="2169"/>
    <n v="5.9424657534246572"/>
    <n v="0"/>
    <n v="1"/>
    <n v="0"/>
    <n v="0"/>
    <n v="0"/>
    <n v="0"/>
    <n v="0"/>
    <n v="0"/>
    <n v="0"/>
    <n v="1"/>
    <n v="61"/>
    <n v="59"/>
    <n v="2"/>
    <n v="0"/>
    <x v="0"/>
    <x v="0"/>
    <x v="0"/>
    <x v="1"/>
    <x v="2"/>
    <x v="2"/>
    <n v="0"/>
    <n v="0"/>
    <n v="11"/>
    <n v="9"/>
    <n v="0"/>
    <n v="2"/>
    <n v="11"/>
    <n v="2"/>
    <x v="3"/>
  </r>
  <r>
    <x v="1785"/>
    <n v="53204"/>
    <n v="1"/>
    <n v="1"/>
    <n v="40"/>
    <n v="29"/>
    <n v="0"/>
    <n v="8"/>
    <n v="2"/>
    <n v="0"/>
    <n v="6"/>
    <n v="1"/>
    <n v="1"/>
    <n v="0"/>
    <n v="3"/>
    <n v="4"/>
    <n v="0"/>
    <n v="0"/>
    <n v="0"/>
    <n v="0"/>
    <n v="0"/>
    <x v="0"/>
    <n v="0"/>
    <n v="3"/>
    <n v="11"/>
    <n v="0"/>
    <n v="44"/>
    <n v="2260"/>
    <n v="6.1917808219178081"/>
    <n v="0"/>
    <n v="1"/>
    <n v="0"/>
    <n v="0"/>
    <n v="0"/>
    <n v="0"/>
    <n v="0"/>
    <n v="0"/>
    <n v="1"/>
    <n v="0"/>
    <n v="39"/>
    <n v="33"/>
    <n v="6"/>
    <n v="0"/>
    <x v="0"/>
    <x v="0"/>
    <x v="0"/>
    <x v="1"/>
    <x v="2"/>
    <x v="0"/>
    <n v="1"/>
    <n v="0"/>
    <n v="9"/>
    <n v="6"/>
    <n v="0"/>
    <n v="1"/>
    <n v="7"/>
    <n v="1"/>
    <x v="3"/>
  </r>
  <r>
    <x v="1786"/>
    <n v="54132"/>
    <n v="0"/>
    <n v="1"/>
    <n v="81"/>
    <n v="30"/>
    <n v="1"/>
    <n v="8"/>
    <n v="0"/>
    <n v="0"/>
    <n v="3"/>
    <n v="1"/>
    <n v="1"/>
    <n v="0"/>
    <n v="3"/>
    <n v="7"/>
    <n v="0"/>
    <n v="0"/>
    <n v="0"/>
    <n v="0"/>
    <n v="0"/>
    <x v="0"/>
    <n v="0"/>
    <n v="3"/>
    <n v="11"/>
    <n v="0"/>
    <n v="51"/>
    <n v="2292"/>
    <n v="6.279452054794521"/>
    <n v="0"/>
    <n v="0"/>
    <n v="0"/>
    <n v="1"/>
    <n v="0"/>
    <n v="0"/>
    <n v="0"/>
    <n v="0"/>
    <n v="0"/>
    <n v="1"/>
    <n v="39"/>
    <n v="36"/>
    <n v="3"/>
    <n v="0"/>
    <x v="0"/>
    <x v="0"/>
    <x v="2"/>
    <x v="1"/>
    <x v="2"/>
    <x v="1"/>
    <n v="1"/>
    <n v="0"/>
    <n v="12"/>
    <n v="1.9999999999999996"/>
    <n v="1"/>
    <n v="1"/>
    <n v="3.9999999999999996"/>
    <n v="0"/>
    <x v="4"/>
  </r>
  <r>
    <x v="1787"/>
    <n v="5305"/>
    <n v="0"/>
    <n v="1"/>
    <n v="12"/>
    <n v="12"/>
    <n v="4"/>
    <n v="7"/>
    <n v="1"/>
    <n v="3"/>
    <n v="5"/>
    <n v="0"/>
    <n v="1"/>
    <n v="0"/>
    <n v="0"/>
    <n v="13"/>
    <n v="0"/>
    <n v="0"/>
    <n v="0"/>
    <n v="0"/>
    <n v="0"/>
    <x v="0"/>
    <n v="0"/>
    <n v="3"/>
    <n v="11"/>
    <n v="0"/>
    <n v="44"/>
    <n v="2493"/>
    <n v="6.8301369863013699"/>
    <n v="0"/>
    <n v="1"/>
    <n v="0"/>
    <n v="0"/>
    <n v="0"/>
    <n v="0"/>
    <n v="0"/>
    <n v="1"/>
    <n v="0"/>
    <n v="0"/>
    <n v="27"/>
    <n v="22"/>
    <n v="5"/>
    <n v="0"/>
    <x v="0"/>
    <x v="0"/>
    <x v="0"/>
    <x v="0"/>
    <x v="0"/>
    <x v="0"/>
    <n v="0"/>
    <n v="0"/>
    <n v="14"/>
    <n v="9"/>
    <n v="2"/>
    <n v="0"/>
    <n v="11"/>
    <n v="2"/>
    <x v="3"/>
  </r>
  <r>
    <x v="1788"/>
    <n v="9255"/>
    <n v="1"/>
    <n v="0"/>
    <n v="91"/>
    <n v="9"/>
    <n v="0"/>
    <n v="7"/>
    <n v="2"/>
    <n v="0"/>
    <n v="4"/>
    <n v="1"/>
    <n v="1"/>
    <n v="1"/>
    <n v="2"/>
    <n v="8"/>
    <n v="0"/>
    <n v="0"/>
    <n v="0"/>
    <n v="0"/>
    <n v="0"/>
    <x v="0"/>
    <n v="0"/>
    <n v="3"/>
    <n v="11"/>
    <n v="0"/>
    <n v="31"/>
    <n v="2350"/>
    <n v="6.4383561643835616"/>
    <n v="0"/>
    <n v="0"/>
    <n v="1"/>
    <n v="0"/>
    <n v="0"/>
    <n v="0"/>
    <n v="0"/>
    <n v="1"/>
    <n v="0"/>
    <n v="0"/>
    <n v="18"/>
    <n v="14"/>
    <n v="4"/>
    <n v="0"/>
    <x v="0"/>
    <x v="0"/>
    <x v="1"/>
    <x v="0"/>
    <x v="0"/>
    <x v="3"/>
    <n v="1"/>
    <n v="1"/>
    <n v="13"/>
    <n v="0.99999999999999978"/>
    <n v="1"/>
    <n v="0"/>
    <n v="1.9999999999999998"/>
    <n v="0"/>
    <x v="4"/>
  </r>
  <r>
    <x v="1789"/>
    <n v="10245"/>
    <n v="1"/>
    <n v="0"/>
    <n v="32"/>
    <n v="4"/>
    <n v="7"/>
    <n v="7"/>
    <n v="6"/>
    <n v="4"/>
    <n v="13"/>
    <n v="3"/>
    <n v="1"/>
    <n v="2"/>
    <n v="2"/>
    <n v="5"/>
    <n v="0"/>
    <n v="0"/>
    <n v="0"/>
    <n v="0"/>
    <n v="0"/>
    <x v="0"/>
    <n v="0"/>
    <n v="3"/>
    <n v="11"/>
    <n v="0"/>
    <n v="49"/>
    <n v="2569"/>
    <n v="7.0383561643835613"/>
    <n v="0"/>
    <n v="0"/>
    <n v="1"/>
    <n v="0"/>
    <n v="0"/>
    <n v="0"/>
    <n v="0"/>
    <n v="1"/>
    <n v="0"/>
    <n v="0"/>
    <n v="28"/>
    <n v="15"/>
    <n v="13"/>
    <n v="0"/>
    <x v="0"/>
    <x v="0"/>
    <x v="1"/>
    <x v="0"/>
    <x v="0"/>
    <x v="0"/>
    <n v="1"/>
    <n v="0"/>
    <n v="13"/>
    <n v="7"/>
    <n v="1"/>
    <n v="0"/>
    <n v="8"/>
    <n v="1"/>
    <x v="3"/>
  </r>
  <r>
    <x v="1790"/>
    <n v="13084"/>
    <n v="0"/>
    <n v="0"/>
    <n v="29"/>
    <n v="2"/>
    <n v="0"/>
    <n v="7"/>
    <n v="3"/>
    <n v="7"/>
    <n v="10"/>
    <n v="1"/>
    <n v="1"/>
    <n v="0"/>
    <n v="3"/>
    <n v="6"/>
    <n v="0"/>
    <n v="0"/>
    <n v="0"/>
    <n v="0"/>
    <n v="0"/>
    <x v="0"/>
    <n v="0"/>
    <n v="3"/>
    <n v="11"/>
    <n v="0"/>
    <n v="68"/>
    <n v="2398"/>
    <n v="6.5698630136986305"/>
    <n v="0"/>
    <n v="0"/>
    <n v="0"/>
    <n v="1"/>
    <n v="0"/>
    <n v="0"/>
    <n v="1"/>
    <n v="0"/>
    <n v="0"/>
    <n v="0"/>
    <n v="19"/>
    <n v="9"/>
    <n v="10"/>
    <n v="0"/>
    <x v="1"/>
    <x v="1"/>
    <x v="2"/>
    <x v="2"/>
    <x v="0"/>
    <x v="2"/>
    <n v="0"/>
    <n v="0"/>
    <n v="11"/>
    <n v="8"/>
    <n v="0"/>
    <n v="0"/>
    <n v="8"/>
    <n v="1"/>
    <x v="3"/>
  </r>
  <r>
    <x v="1791"/>
    <n v="18227"/>
    <n v="1"/>
    <n v="0"/>
    <n v="21"/>
    <n v="1"/>
    <n v="2"/>
    <n v="7"/>
    <n v="4"/>
    <n v="3"/>
    <n v="11"/>
    <n v="1"/>
    <n v="0"/>
    <n v="1"/>
    <n v="2"/>
    <n v="8"/>
    <n v="0"/>
    <n v="0"/>
    <n v="0"/>
    <n v="0"/>
    <n v="0"/>
    <x v="0"/>
    <n v="0"/>
    <n v="3"/>
    <n v="11"/>
    <n v="0"/>
    <n v="33"/>
    <n v="2757"/>
    <n v="7.5534246575342463"/>
    <n v="0"/>
    <n v="0"/>
    <n v="0"/>
    <n v="1"/>
    <n v="0"/>
    <n v="0"/>
    <n v="0"/>
    <n v="1"/>
    <n v="0"/>
    <n v="0"/>
    <n v="17"/>
    <n v="6"/>
    <n v="11"/>
    <n v="0"/>
    <x v="0"/>
    <x v="0"/>
    <x v="2"/>
    <x v="0"/>
    <x v="0"/>
    <x v="3"/>
    <n v="0"/>
    <n v="0"/>
    <n v="12"/>
    <n v="8"/>
    <n v="1"/>
    <n v="0"/>
    <n v="9"/>
    <n v="1"/>
    <x v="3"/>
  </r>
  <r>
    <x v="1792"/>
    <n v="18690"/>
    <n v="0"/>
    <n v="0"/>
    <n v="77"/>
    <n v="6"/>
    <n v="1"/>
    <n v="7"/>
    <n v="23"/>
    <n v="4"/>
    <n v="19"/>
    <n v="1"/>
    <n v="1"/>
    <n v="1"/>
    <n v="2"/>
    <n v="8"/>
    <n v="0"/>
    <n v="0"/>
    <n v="0"/>
    <n v="0"/>
    <n v="0"/>
    <x v="0"/>
    <n v="0"/>
    <n v="3"/>
    <n v="11"/>
    <n v="0"/>
    <n v="61"/>
    <n v="2707"/>
    <n v="7.4164383561643836"/>
    <n v="0"/>
    <n v="1"/>
    <n v="0"/>
    <n v="0"/>
    <n v="0"/>
    <n v="0"/>
    <n v="0"/>
    <n v="1"/>
    <n v="0"/>
    <n v="0"/>
    <n v="41"/>
    <n v="22"/>
    <n v="19"/>
    <n v="0"/>
    <x v="1"/>
    <x v="1"/>
    <x v="0"/>
    <x v="0"/>
    <x v="0"/>
    <x v="2"/>
    <n v="1"/>
    <n v="0"/>
    <n v="13"/>
    <n v="3.0000000000000004"/>
    <n v="1"/>
    <n v="1"/>
    <n v="5"/>
    <n v="0"/>
    <x v="4"/>
  </r>
  <r>
    <x v="1793"/>
    <n v="19510"/>
    <n v="2"/>
    <n v="0"/>
    <n v="63"/>
    <n v="9"/>
    <n v="0"/>
    <n v="7"/>
    <n v="3"/>
    <n v="4"/>
    <n v="7"/>
    <n v="2"/>
    <n v="1"/>
    <n v="0"/>
    <n v="3"/>
    <n v="7"/>
    <n v="0"/>
    <n v="0"/>
    <n v="0"/>
    <n v="0"/>
    <n v="0"/>
    <x v="0"/>
    <n v="0"/>
    <n v="3"/>
    <n v="11"/>
    <n v="0"/>
    <n v="35"/>
    <n v="2457"/>
    <n v="6.7315068493150685"/>
    <n v="0"/>
    <n v="1"/>
    <n v="0"/>
    <n v="0"/>
    <n v="0"/>
    <n v="0"/>
    <n v="0"/>
    <n v="0"/>
    <n v="1"/>
    <n v="0"/>
    <n v="23"/>
    <n v="16"/>
    <n v="7"/>
    <n v="0"/>
    <x v="0"/>
    <x v="0"/>
    <x v="0"/>
    <x v="1"/>
    <x v="0"/>
    <x v="3"/>
    <n v="1"/>
    <n v="0"/>
    <n v="13"/>
    <n v="4"/>
    <n v="1"/>
    <n v="0"/>
    <n v="5"/>
    <n v="0"/>
    <x v="4"/>
  </r>
  <r>
    <x v="1794"/>
    <n v="20194"/>
    <n v="1"/>
    <n v="0"/>
    <n v="64"/>
    <n v="0"/>
    <n v="4"/>
    <n v="7"/>
    <n v="11"/>
    <n v="10"/>
    <n v="15"/>
    <n v="2"/>
    <n v="2"/>
    <n v="0"/>
    <n v="3"/>
    <n v="6"/>
    <n v="0"/>
    <n v="0"/>
    <n v="0"/>
    <n v="0"/>
    <n v="0"/>
    <x v="0"/>
    <n v="0"/>
    <n v="3"/>
    <n v="11"/>
    <n v="0"/>
    <n v="41"/>
    <n v="2718"/>
    <n v="7.4465753424657537"/>
    <n v="0"/>
    <n v="0"/>
    <n v="1"/>
    <n v="0"/>
    <n v="0"/>
    <n v="0"/>
    <n v="1"/>
    <n v="0"/>
    <n v="0"/>
    <n v="0"/>
    <n v="32"/>
    <n v="17"/>
    <n v="15"/>
    <n v="0"/>
    <x v="0"/>
    <x v="0"/>
    <x v="1"/>
    <x v="2"/>
    <x v="0"/>
    <x v="0"/>
    <n v="1"/>
    <n v="0"/>
    <n v="13"/>
    <n v="4"/>
    <n v="1"/>
    <n v="1"/>
    <n v="6"/>
    <n v="0"/>
    <x v="4"/>
  </r>
  <r>
    <x v="1795"/>
    <n v="21918"/>
    <n v="1"/>
    <n v="0"/>
    <n v="37"/>
    <n v="1"/>
    <n v="6"/>
    <n v="7"/>
    <n v="11"/>
    <n v="5"/>
    <n v="3"/>
    <n v="2"/>
    <n v="2"/>
    <n v="0"/>
    <n v="3"/>
    <n v="6"/>
    <n v="0"/>
    <n v="0"/>
    <n v="0"/>
    <n v="0"/>
    <n v="0"/>
    <x v="0"/>
    <n v="0"/>
    <n v="3"/>
    <n v="11"/>
    <n v="0"/>
    <n v="51"/>
    <n v="2386"/>
    <n v="6.536986301369863"/>
    <n v="0"/>
    <n v="0"/>
    <n v="0"/>
    <n v="1"/>
    <n v="0"/>
    <n v="0"/>
    <n v="0"/>
    <n v="1"/>
    <n v="0"/>
    <n v="0"/>
    <n v="30"/>
    <n v="27"/>
    <n v="3"/>
    <n v="0"/>
    <x v="0"/>
    <x v="0"/>
    <x v="2"/>
    <x v="0"/>
    <x v="0"/>
    <x v="1"/>
    <n v="1"/>
    <n v="0"/>
    <n v="13"/>
    <n v="7"/>
    <n v="1"/>
    <n v="1"/>
    <n v="9"/>
    <n v="1"/>
    <x v="3"/>
  </r>
  <r>
    <x v="1796"/>
    <n v="21955"/>
    <n v="1"/>
    <n v="0"/>
    <n v="81"/>
    <n v="5"/>
    <n v="1"/>
    <n v="7"/>
    <n v="17"/>
    <n v="14"/>
    <n v="11"/>
    <n v="2"/>
    <n v="2"/>
    <n v="1"/>
    <n v="3"/>
    <n v="6"/>
    <n v="0"/>
    <n v="0"/>
    <n v="0"/>
    <n v="0"/>
    <n v="0"/>
    <x v="0"/>
    <n v="0"/>
    <n v="3"/>
    <n v="11"/>
    <n v="0"/>
    <n v="34"/>
    <n v="2454"/>
    <n v="6.7232876712328764"/>
    <n v="0"/>
    <n v="1"/>
    <n v="0"/>
    <n v="0"/>
    <n v="0"/>
    <n v="1"/>
    <n v="0"/>
    <n v="0"/>
    <n v="0"/>
    <n v="0"/>
    <n v="44"/>
    <n v="33"/>
    <n v="11"/>
    <n v="0"/>
    <x v="0"/>
    <x v="0"/>
    <x v="0"/>
    <x v="1"/>
    <x v="0"/>
    <x v="3"/>
    <n v="1"/>
    <n v="0"/>
    <n v="14"/>
    <n v="1.9999999999999996"/>
    <n v="2"/>
    <n v="2"/>
    <n v="6"/>
    <n v="0"/>
    <x v="4"/>
  </r>
  <r>
    <x v="1797"/>
    <n v="22304"/>
    <n v="0"/>
    <n v="0"/>
    <n v="91"/>
    <n v="3"/>
    <n v="2"/>
    <n v="7"/>
    <n v="0"/>
    <n v="4"/>
    <n v="2"/>
    <n v="1"/>
    <n v="1"/>
    <n v="0"/>
    <n v="2"/>
    <n v="8"/>
    <n v="0"/>
    <n v="0"/>
    <n v="0"/>
    <n v="0"/>
    <n v="0"/>
    <x v="0"/>
    <n v="0"/>
    <n v="3"/>
    <n v="11"/>
    <n v="0"/>
    <n v="64"/>
    <n v="2853"/>
    <n v="7.816438356164384"/>
    <n v="1"/>
    <n v="0"/>
    <n v="0"/>
    <n v="0"/>
    <n v="0"/>
    <n v="0"/>
    <n v="0"/>
    <n v="1"/>
    <n v="0"/>
    <n v="0"/>
    <n v="16"/>
    <n v="14"/>
    <n v="2"/>
    <n v="0"/>
    <x v="1"/>
    <x v="1"/>
    <x v="3"/>
    <x v="0"/>
    <x v="0"/>
    <x v="2"/>
    <n v="1"/>
    <n v="1"/>
    <n v="12"/>
    <n v="0.99999999999999978"/>
    <n v="1"/>
    <n v="0"/>
    <n v="1.9999999999999998"/>
    <n v="0"/>
    <x v="4"/>
  </r>
  <r>
    <x v="1798"/>
    <n v="22804"/>
    <n v="1"/>
    <n v="0"/>
    <n v="75"/>
    <n v="14"/>
    <n v="1"/>
    <n v="7"/>
    <n v="2"/>
    <n v="1"/>
    <n v="1"/>
    <n v="1"/>
    <n v="2"/>
    <n v="0"/>
    <n v="2"/>
    <n v="9"/>
    <n v="0"/>
    <n v="0"/>
    <n v="0"/>
    <n v="0"/>
    <n v="0"/>
    <x v="0"/>
    <n v="0"/>
    <n v="3"/>
    <n v="11"/>
    <n v="0"/>
    <n v="49"/>
    <n v="2492"/>
    <n v="6.8273972602739725"/>
    <n v="0"/>
    <n v="0"/>
    <n v="1"/>
    <n v="0"/>
    <n v="0"/>
    <n v="0"/>
    <n v="0"/>
    <n v="1"/>
    <n v="0"/>
    <n v="0"/>
    <n v="25"/>
    <n v="24"/>
    <n v="1"/>
    <n v="0"/>
    <x v="0"/>
    <x v="0"/>
    <x v="1"/>
    <x v="0"/>
    <x v="0"/>
    <x v="0"/>
    <n v="1"/>
    <n v="0"/>
    <n v="14"/>
    <n v="3.0000000000000004"/>
    <n v="2"/>
    <n v="0"/>
    <n v="5"/>
    <n v="0"/>
    <x v="4"/>
  </r>
  <r>
    <x v="1799"/>
    <n v="23331"/>
    <n v="1"/>
    <n v="0"/>
    <n v="92"/>
    <n v="5"/>
    <n v="36"/>
    <n v="7"/>
    <n v="0"/>
    <n v="10"/>
    <n v="45"/>
    <n v="2"/>
    <n v="3"/>
    <n v="0"/>
    <n v="3"/>
    <n v="8"/>
    <n v="0"/>
    <n v="0"/>
    <n v="0"/>
    <n v="0"/>
    <n v="0"/>
    <x v="0"/>
    <n v="0"/>
    <n v="3"/>
    <n v="11"/>
    <n v="0"/>
    <n v="32"/>
    <n v="2822"/>
    <n v="7.7315068493150685"/>
    <n v="0"/>
    <n v="1"/>
    <n v="0"/>
    <n v="0"/>
    <n v="0"/>
    <n v="1"/>
    <n v="0"/>
    <n v="0"/>
    <n v="0"/>
    <n v="0"/>
    <n v="58"/>
    <n v="13"/>
    <n v="45"/>
    <n v="0"/>
    <x v="0"/>
    <x v="0"/>
    <x v="0"/>
    <x v="1"/>
    <x v="0"/>
    <x v="3"/>
    <n v="1"/>
    <n v="1"/>
    <n v="16"/>
    <n v="0.99999999999999978"/>
    <n v="3"/>
    <n v="2"/>
    <n v="6"/>
    <n v="0"/>
    <x v="4"/>
  </r>
  <r>
    <x v="1800"/>
    <n v="24163"/>
    <n v="1"/>
    <n v="1"/>
    <n v="3"/>
    <n v="4"/>
    <n v="1"/>
    <n v="7"/>
    <n v="2"/>
    <n v="1"/>
    <n v="2"/>
    <n v="2"/>
    <n v="1"/>
    <n v="0"/>
    <n v="3"/>
    <n v="4"/>
    <n v="0"/>
    <n v="0"/>
    <n v="0"/>
    <n v="0"/>
    <n v="0"/>
    <x v="0"/>
    <n v="0"/>
    <n v="3"/>
    <n v="11"/>
    <n v="0"/>
    <n v="50"/>
    <n v="2419"/>
    <n v="6.6273972602739724"/>
    <n v="0"/>
    <n v="0"/>
    <n v="1"/>
    <n v="0"/>
    <n v="0"/>
    <n v="0"/>
    <n v="0"/>
    <n v="1"/>
    <n v="0"/>
    <n v="0"/>
    <n v="15"/>
    <n v="13"/>
    <n v="2"/>
    <n v="0"/>
    <x v="0"/>
    <x v="0"/>
    <x v="1"/>
    <x v="0"/>
    <x v="0"/>
    <x v="0"/>
    <n v="0"/>
    <n v="0"/>
    <n v="10"/>
    <n v="10"/>
    <n v="0"/>
    <n v="0"/>
    <n v="10"/>
    <n v="2"/>
    <x v="3"/>
  </r>
  <r>
    <x v="1801"/>
    <n v="24884"/>
    <n v="1"/>
    <n v="0"/>
    <n v="32"/>
    <n v="3"/>
    <n v="6"/>
    <n v="7"/>
    <n v="0"/>
    <n v="0"/>
    <n v="3"/>
    <n v="1"/>
    <n v="0"/>
    <n v="0"/>
    <n v="3"/>
    <n v="7"/>
    <n v="0"/>
    <n v="0"/>
    <n v="0"/>
    <n v="0"/>
    <n v="0"/>
    <x v="0"/>
    <n v="0"/>
    <n v="3"/>
    <n v="11"/>
    <n v="0"/>
    <n v="48"/>
    <n v="2736"/>
    <n v="7.4958904109589044"/>
    <n v="0"/>
    <n v="1"/>
    <n v="0"/>
    <n v="0"/>
    <n v="0"/>
    <n v="1"/>
    <n v="0"/>
    <n v="0"/>
    <n v="0"/>
    <n v="0"/>
    <n v="16"/>
    <n v="13"/>
    <n v="3"/>
    <n v="0"/>
    <x v="0"/>
    <x v="0"/>
    <x v="0"/>
    <x v="1"/>
    <x v="0"/>
    <x v="0"/>
    <n v="1"/>
    <n v="0"/>
    <n v="11"/>
    <n v="7"/>
    <n v="0"/>
    <n v="0"/>
    <n v="7"/>
    <n v="1"/>
    <x v="3"/>
  </r>
  <r>
    <x v="1802"/>
    <n v="25130"/>
    <n v="1"/>
    <n v="0"/>
    <n v="10"/>
    <n v="2"/>
    <n v="5"/>
    <n v="7"/>
    <n v="0"/>
    <n v="18"/>
    <n v="18"/>
    <n v="2"/>
    <n v="2"/>
    <n v="0"/>
    <n v="3"/>
    <n v="7"/>
    <n v="0"/>
    <n v="0"/>
    <n v="0"/>
    <n v="0"/>
    <n v="0"/>
    <x v="0"/>
    <n v="0"/>
    <n v="3"/>
    <n v="11"/>
    <n v="0"/>
    <n v="40"/>
    <n v="2429"/>
    <n v="6.6547945205479451"/>
    <n v="0"/>
    <n v="0"/>
    <n v="0"/>
    <n v="1"/>
    <n v="0"/>
    <n v="1"/>
    <n v="0"/>
    <n v="0"/>
    <n v="0"/>
    <n v="0"/>
    <n v="32"/>
    <n v="14"/>
    <n v="18"/>
    <n v="0"/>
    <x v="0"/>
    <x v="0"/>
    <x v="2"/>
    <x v="1"/>
    <x v="0"/>
    <x v="3"/>
    <n v="0"/>
    <n v="0"/>
    <n v="14"/>
    <n v="9"/>
    <n v="2"/>
    <n v="1"/>
    <n v="12"/>
    <n v="3"/>
    <x v="3"/>
  </r>
  <r>
    <x v="1803"/>
    <n v="26907"/>
    <n v="1"/>
    <n v="1"/>
    <n v="10"/>
    <n v="9"/>
    <n v="1"/>
    <n v="7"/>
    <n v="0"/>
    <n v="3"/>
    <n v="2"/>
    <n v="2"/>
    <n v="1"/>
    <n v="0"/>
    <n v="3"/>
    <n v="7"/>
    <n v="0"/>
    <n v="0"/>
    <n v="0"/>
    <n v="0"/>
    <n v="0"/>
    <x v="0"/>
    <n v="0"/>
    <n v="3"/>
    <n v="11"/>
    <n v="0"/>
    <n v="44"/>
    <n v="2472"/>
    <n v="6.7726027397260271"/>
    <n v="0"/>
    <n v="0"/>
    <n v="0"/>
    <n v="1"/>
    <n v="0"/>
    <n v="1"/>
    <n v="0"/>
    <n v="0"/>
    <n v="0"/>
    <n v="0"/>
    <n v="20"/>
    <n v="18"/>
    <n v="2"/>
    <n v="0"/>
    <x v="0"/>
    <x v="0"/>
    <x v="2"/>
    <x v="1"/>
    <x v="0"/>
    <x v="0"/>
    <n v="0"/>
    <n v="0"/>
    <n v="13"/>
    <n v="9"/>
    <n v="1"/>
    <n v="0"/>
    <n v="10"/>
    <n v="2"/>
    <x v="3"/>
  </r>
  <r>
    <x v="1804"/>
    <n v="27190"/>
    <n v="1"/>
    <n v="0"/>
    <n v="13"/>
    <n v="1"/>
    <n v="6"/>
    <n v="7"/>
    <n v="0"/>
    <n v="1"/>
    <n v="3"/>
    <n v="1"/>
    <n v="1"/>
    <n v="0"/>
    <n v="2"/>
    <n v="8"/>
    <n v="0"/>
    <n v="0"/>
    <n v="1"/>
    <n v="0"/>
    <n v="0"/>
    <x v="1"/>
    <n v="0"/>
    <n v="3"/>
    <n v="11"/>
    <n v="1"/>
    <n v="47"/>
    <n v="2477"/>
    <n v="6.7863013698630139"/>
    <n v="0"/>
    <n v="0"/>
    <n v="0"/>
    <n v="1"/>
    <n v="0"/>
    <n v="0"/>
    <n v="1"/>
    <n v="0"/>
    <n v="0"/>
    <n v="0"/>
    <n v="15"/>
    <n v="12"/>
    <n v="3"/>
    <n v="1"/>
    <x v="0"/>
    <x v="0"/>
    <x v="2"/>
    <x v="2"/>
    <x v="0"/>
    <x v="0"/>
    <n v="0"/>
    <n v="0"/>
    <n v="12"/>
    <n v="9"/>
    <n v="1"/>
    <n v="0"/>
    <n v="10"/>
    <n v="2"/>
    <x v="3"/>
  </r>
  <r>
    <x v="1805"/>
    <n v="28249"/>
    <n v="0"/>
    <n v="0"/>
    <n v="80"/>
    <n v="1"/>
    <n v="9"/>
    <n v="7"/>
    <n v="2"/>
    <n v="14"/>
    <n v="10"/>
    <n v="1"/>
    <n v="2"/>
    <n v="0"/>
    <n v="3"/>
    <n v="6"/>
    <n v="0"/>
    <n v="0"/>
    <n v="0"/>
    <n v="0"/>
    <n v="0"/>
    <x v="0"/>
    <n v="0"/>
    <n v="3"/>
    <n v="11"/>
    <n v="0"/>
    <n v="59"/>
    <n v="2173"/>
    <n v="5.9534246575342467"/>
    <n v="0"/>
    <n v="1"/>
    <n v="0"/>
    <n v="0"/>
    <n v="0"/>
    <n v="0"/>
    <n v="1"/>
    <n v="0"/>
    <n v="0"/>
    <n v="0"/>
    <n v="33"/>
    <n v="23"/>
    <n v="10"/>
    <n v="0"/>
    <x v="1"/>
    <x v="1"/>
    <x v="0"/>
    <x v="2"/>
    <x v="0"/>
    <x v="1"/>
    <n v="1"/>
    <n v="0"/>
    <n v="12"/>
    <n v="1.9999999999999996"/>
    <n v="1"/>
    <n v="1"/>
    <n v="3.9999999999999996"/>
    <n v="0"/>
    <x v="4"/>
  </r>
  <r>
    <x v="1806"/>
    <n v="28839"/>
    <n v="1"/>
    <n v="1"/>
    <n v="86"/>
    <n v="24"/>
    <n v="0"/>
    <n v="7"/>
    <n v="0"/>
    <n v="0"/>
    <n v="1"/>
    <n v="2"/>
    <n v="2"/>
    <n v="0"/>
    <n v="3"/>
    <n v="5"/>
    <n v="0"/>
    <n v="0"/>
    <n v="0"/>
    <n v="0"/>
    <n v="0"/>
    <x v="0"/>
    <n v="0"/>
    <n v="3"/>
    <n v="11"/>
    <n v="0"/>
    <n v="64"/>
    <n v="2269"/>
    <n v="6.2164383561643834"/>
    <n v="0"/>
    <n v="0"/>
    <n v="0"/>
    <n v="1"/>
    <n v="0"/>
    <n v="0"/>
    <n v="0"/>
    <n v="0"/>
    <n v="1"/>
    <n v="0"/>
    <n v="31"/>
    <n v="30"/>
    <n v="1"/>
    <n v="0"/>
    <x v="0"/>
    <x v="0"/>
    <x v="2"/>
    <x v="1"/>
    <x v="0"/>
    <x v="2"/>
    <n v="1"/>
    <n v="0"/>
    <n v="12"/>
    <n v="1.9999999999999996"/>
    <n v="1"/>
    <n v="1"/>
    <n v="3.9999999999999996"/>
    <n v="0"/>
    <x v="4"/>
  </r>
  <r>
    <x v="1807"/>
    <n v="29478"/>
    <n v="1"/>
    <n v="0"/>
    <n v="59"/>
    <n v="8"/>
    <n v="0"/>
    <n v="7"/>
    <n v="3"/>
    <n v="1"/>
    <n v="1"/>
    <n v="1"/>
    <n v="1"/>
    <n v="0"/>
    <n v="3"/>
    <n v="6"/>
    <n v="0"/>
    <n v="0"/>
    <n v="0"/>
    <n v="0"/>
    <n v="0"/>
    <x v="0"/>
    <n v="0"/>
    <n v="3"/>
    <n v="11"/>
    <n v="0"/>
    <n v="44"/>
    <n v="2322"/>
    <n v="6.3616438356164382"/>
    <n v="0"/>
    <n v="0"/>
    <n v="0"/>
    <n v="1"/>
    <n v="0"/>
    <n v="0"/>
    <n v="0"/>
    <n v="1"/>
    <n v="0"/>
    <n v="0"/>
    <n v="19"/>
    <n v="18"/>
    <n v="1"/>
    <n v="0"/>
    <x v="0"/>
    <x v="0"/>
    <x v="2"/>
    <x v="0"/>
    <x v="0"/>
    <x v="0"/>
    <n v="1"/>
    <n v="0"/>
    <n v="11"/>
    <n v="4"/>
    <n v="0"/>
    <n v="0"/>
    <n v="4"/>
    <n v="0"/>
    <x v="4"/>
  </r>
  <r>
    <x v="1808"/>
    <n v="29938"/>
    <n v="1"/>
    <n v="0"/>
    <n v="52"/>
    <n v="3"/>
    <n v="3"/>
    <n v="7"/>
    <n v="0"/>
    <n v="2"/>
    <n v="11"/>
    <n v="2"/>
    <n v="1"/>
    <n v="0"/>
    <n v="3"/>
    <n v="6"/>
    <n v="0"/>
    <n v="0"/>
    <n v="0"/>
    <n v="0"/>
    <n v="0"/>
    <x v="0"/>
    <n v="0"/>
    <n v="3"/>
    <n v="11"/>
    <n v="0"/>
    <n v="35"/>
    <n v="2404"/>
    <n v="6.5863013698630137"/>
    <n v="0"/>
    <n v="0"/>
    <n v="1"/>
    <n v="0"/>
    <n v="0"/>
    <n v="0"/>
    <n v="0"/>
    <n v="1"/>
    <n v="0"/>
    <n v="0"/>
    <n v="15"/>
    <n v="4"/>
    <n v="11"/>
    <n v="0"/>
    <x v="0"/>
    <x v="0"/>
    <x v="1"/>
    <x v="0"/>
    <x v="0"/>
    <x v="3"/>
    <n v="1"/>
    <n v="0"/>
    <n v="12"/>
    <n v="5"/>
    <n v="1"/>
    <n v="0"/>
    <n v="6"/>
    <n v="0"/>
    <x v="4"/>
  </r>
  <r>
    <x v="1809"/>
    <n v="30833"/>
    <n v="1"/>
    <n v="1"/>
    <n v="33"/>
    <n v="11"/>
    <n v="0"/>
    <n v="7"/>
    <n v="3"/>
    <n v="1"/>
    <n v="6"/>
    <n v="2"/>
    <n v="1"/>
    <n v="0"/>
    <n v="3"/>
    <n v="5"/>
    <n v="0"/>
    <n v="0"/>
    <n v="0"/>
    <n v="0"/>
    <n v="0"/>
    <x v="0"/>
    <n v="0"/>
    <n v="3"/>
    <n v="11"/>
    <n v="0"/>
    <n v="69"/>
    <n v="2507"/>
    <n v="6.8684931506849312"/>
    <n v="0"/>
    <n v="1"/>
    <n v="0"/>
    <n v="0"/>
    <n v="0"/>
    <n v="0"/>
    <n v="0"/>
    <n v="1"/>
    <n v="0"/>
    <n v="0"/>
    <n v="22"/>
    <n v="16"/>
    <n v="6"/>
    <n v="0"/>
    <x v="0"/>
    <x v="0"/>
    <x v="0"/>
    <x v="0"/>
    <x v="0"/>
    <x v="2"/>
    <n v="1"/>
    <n v="0"/>
    <n v="11"/>
    <n v="7"/>
    <n v="0"/>
    <n v="0"/>
    <n v="7"/>
    <n v="1"/>
    <x v="3"/>
  </r>
  <r>
    <x v="1810"/>
    <n v="31859"/>
    <n v="1"/>
    <n v="0"/>
    <n v="3"/>
    <n v="3"/>
    <n v="4"/>
    <n v="7"/>
    <n v="15"/>
    <n v="8"/>
    <n v="11"/>
    <n v="1"/>
    <n v="1"/>
    <n v="0"/>
    <n v="3"/>
    <n v="7"/>
    <n v="0"/>
    <n v="0"/>
    <n v="0"/>
    <n v="0"/>
    <n v="0"/>
    <x v="0"/>
    <n v="0"/>
    <n v="3"/>
    <n v="11"/>
    <n v="0"/>
    <n v="40"/>
    <n v="2281"/>
    <n v="6.2493150684931509"/>
    <n v="0"/>
    <n v="0"/>
    <n v="1"/>
    <n v="0"/>
    <n v="0"/>
    <n v="1"/>
    <n v="0"/>
    <n v="0"/>
    <n v="0"/>
    <n v="0"/>
    <n v="37"/>
    <n v="26"/>
    <n v="11"/>
    <n v="0"/>
    <x v="0"/>
    <x v="0"/>
    <x v="1"/>
    <x v="1"/>
    <x v="0"/>
    <x v="3"/>
    <n v="0"/>
    <n v="0"/>
    <n v="12"/>
    <n v="10"/>
    <n v="1"/>
    <n v="1"/>
    <n v="12"/>
    <n v="3"/>
    <x v="3"/>
  </r>
  <r>
    <x v="1811"/>
    <n v="33697"/>
    <n v="1"/>
    <n v="0"/>
    <n v="34"/>
    <n v="4"/>
    <n v="3"/>
    <n v="7"/>
    <n v="0"/>
    <n v="3"/>
    <n v="11"/>
    <n v="1"/>
    <n v="1"/>
    <n v="0"/>
    <n v="2"/>
    <n v="7"/>
    <n v="0"/>
    <n v="0"/>
    <n v="1"/>
    <n v="0"/>
    <n v="0"/>
    <x v="1"/>
    <n v="0"/>
    <n v="3"/>
    <n v="11"/>
    <n v="0"/>
    <n v="50"/>
    <n v="2446"/>
    <n v="6.7013698630136984"/>
    <n v="0"/>
    <n v="0"/>
    <n v="1"/>
    <n v="0"/>
    <n v="0"/>
    <n v="0"/>
    <n v="0"/>
    <n v="1"/>
    <n v="0"/>
    <n v="0"/>
    <n v="17"/>
    <n v="6"/>
    <n v="11"/>
    <n v="1"/>
    <x v="0"/>
    <x v="0"/>
    <x v="1"/>
    <x v="0"/>
    <x v="0"/>
    <x v="0"/>
    <n v="1"/>
    <n v="0"/>
    <n v="11"/>
    <n v="7"/>
    <n v="0"/>
    <n v="0"/>
    <n v="7"/>
    <n v="1"/>
    <x v="3"/>
  </r>
  <r>
    <x v="1812"/>
    <n v="34176"/>
    <n v="0"/>
    <n v="1"/>
    <n v="9"/>
    <n v="11"/>
    <n v="2"/>
    <n v="7"/>
    <n v="4"/>
    <n v="2"/>
    <n v="2"/>
    <n v="1"/>
    <n v="1"/>
    <n v="0"/>
    <n v="3"/>
    <n v="3"/>
    <n v="0"/>
    <n v="0"/>
    <n v="0"/>
    <n v="0"/>
    <n v="0"/>
    <x v="0"/>
    <n v="0"/>
    <n v="3"/>
    <n v="11"/>
    <n v="0"/>
    <n v="45"/>
    <n v="2317"/>
    <n v="6.3479452054794523"/>
    <n v="0"/>
    <n v="0"/>
    <n v="0"/>
    <n v="1"/>
    <n v="0"/>
    <n v="0"/>
    <n v="0"/>
    <n v="0"/>
    <n v="1"/>
    <n v="0"/>
    <n v="26"/>
    <n v="24"/>
    <n v="2"/>
    <n v="0"/>
    <x v="0"/>
    <x v="0"/>
    <x v="2"/>
    <x v="1"/>
    <x v="0"/>
    <x v="0"/>
    <n v="0"/>
    <n v="0"/>
    <n v="8"/>
    <n v="10"/>
    <n v="0"/>
    <n v="0"/>
    <n v="10"/>
    <n v="2"/>
    <x v="3"/>
  </r>
  <r>
    <x v="1813"/>
    <n v="34421"/>
    <n v="1"/>
    <n v="0"/>
    <n v="81"/>
    <n v="3"/>
    <n v="3"/>
    <n v="7"/>
    <n v="6"/>
    <n v="2"/>
    <n v="9"/>
    <n v="1"/>
    <n v="1"/>
    <n v="0"/>
    <n v="2"/>
    <n v="7"/>
    <n v="0"/>
    <n v="0"/>
    <n v="0"/>
    <n v="0"/>
    <n v="0"/>
    <x v="0"/>
    <n v="0"/>
    <n v="3"/>
    <n v="11"/>
    <n v="0"/>
    <n v="46"/>
    <n v="2522"/>
    <n v="6.9095890410958907"/>
    <n v="0"/>
    <n v="1"/>
    <n v="0"/>
    <n v="0"/>
    <n v="0"/>
    <n v="0"/>
    <n v="0"/>
    <n v="1"/>
    <n v="0"/>
    <n v="0"/>
    <n v="21"/>
    <n v="12"/>
    <n v="9"/>
    <n v="0"/>
    <x v="0"/>
    <x v="0"/>
    <x v="0"/>
    <x v="0"/>
    <x v="0"/>
    <x v="0"/>
    <n v="1"/>
    <n v="0"/>
    <n v="11"/>
    <n v="1.9999999999999996"/>
    <n v="0"/>
    <n v="0"/>
    <n v="1.9999999999999996"/>
    <n v="0"/>
    <x v="4"/>
  </r>
  <r>
    <x v="1814"/>
    <n v="35388"/>
    <n v="1"/>
    <n v="0"/>
    <n v="20"/>
    <n v="6"/>
    <n v="4"/>
    <n v="7"/>
    <n v="4"/>
    <n v="3"/>
    <n v="8"/>
    <n v="1"/>
    <n v="1"/>
    <n v="0"/>
    <n v="3"/>
    <n v="7"/>
    <n v="0"/>
    <n v="0"/>
    <n v="0"/>
    <n v="0"/>
    <n v="0"/>
    <x v="0"/>
    <n v="0"/>
    <n v="3"/>
    <n v="11"/>
    <n v="0"/>
    <n v="32"/>
    <n v="2638"/>
    <n v="7.2273972602739729"/>
    <n v="1"/>
    <n v="0"/>
    <n v="0"/>
    <n v="0"/>
    <n v="0"/>
    <n v="1"/>
    <n v="0"/>
    <n v="0"/>
    <n v="0"/>
    <n v="0"/>
    <n v="24"/>
    <n v="16"/>
    <n v="8"/>
    <n v="0"/>
    <x v="0"/>
    <x v="0"/>
    <x v="3"/>
    <x v="1"/>
    <x v="3"/>
    <x v="3"/>
    <n v="0"/>
    <n v="0"/>
    <n v="12"/>
    <n v="8"/>
    <n v="1"/>
    <n v="0"/>
    <n v="9"/>
    <n v="1"/>
    <x v="3"/>
  </r>
  <r>
    <x v="1815"/>
    <n v="35684"/>
    <n v="1"/>
    <n v="0"/>
    <n v="66"/>
    <n v="10"/>
    <n v="4"/>
    <n v="7"/>
    <n v="0"/>
    <n v="6"/>
    <n v="3"/>
    <n v="1"/>
    <n v="1"/>
    <n v="0"/>
    <n v="3"/>
    <n v="6"/>
    <n v="0"/>
    <n v="0"/>
    <n v="0"/>
    <n v="0"/>
    <n v="0"/>
    <x v="0"/>
    <n v="0"/>
    <n v="3"/>
    <n v="11"/>
    <n v="0"/>
    <n v="36"/>
    <n v="2227"/>
    <n v="6.1013698630136988"/>
    <n v="0"/>
    <n v="1"/>
    <n v="0"/>
    <n v="0"/>
    <n v="0"/>
    <n v="1"/>
    <n v="0"/>
    <n v="0"/>
    <n v="0"/>
    <n v="0"/>
    <n v="27"/>
    <n v="24"/>
    <n v="3"/>
    <n v="0"/>
    <x v="0"/>
    <x v="0"/>
    <x v="0"/>
    <x v="1"/>
    <x v="3"/>
    <x v="3"/>
    <n v="1"/>
    <n v="0"/>
    <n v="11"/>
    <n v="4"/>
    <n v="0"/>
    <n v="0"/>
    <n v="4"/>
    <n v="0"/>
    <x v="4"/>
  </r>
  <r>
    <x v="1816"/>
    <n v="38576"/>
    <n v="0"/>
    <n v="1"/>
    <n v="2"/>
    <n v="34"/>
    <n v="0"/>
    <n v="7"/>
    <n v="0"/>
    <n v="0"/>
    <n v="0"/>
    <n v="1"/>
    <n v="1"/>
    <n v="0"/>
    <n v="3"/>
    <n v="7"/>
    <n v="0"/>
    <n v="0"/>
    <n v="0"/>
    <n v="0"/>
    <n v="0"/>
    <x v="0"/>
    <n v="0"/>
    <n v="3"/>
    <n v="11"/>
    <n v="0"/>
    <n v="47"/>
    <n v="2276"/>
    <n v="6.2356164383561641"/>
    <n v="0"/>
    <n v="1"/>
    <n v="0"/>
    <n v="0"/>
    <n v="0"/>
    <n v="0"/>
    <n v="0"/>
    <n v="0"/>
    <n v="1"/>
    <n v="0"/>
    <n v="41"/>
    <n v="41"/>
    <n v="0"/>
    <n v="0"/>
    <x v="0"/>
    <x v="0"/>
    <x v="0"/>
    <x v="1"/>
    <x v="3"/>
    <x v="0"/>
    <n v="0"/>
    <n v="0"/>
    <n v="12"/>
    <n v="10"/>
    <n v="1"/>
    <n v="1"/>
    <n v="12"/>
    <n v="3"/>
    <x v="3"/>
  </r>
  <r>
    <x v="1817"/>
    <n v="38829"/>
    <n v="0"/>
    <n v="1"/>
    <n v="86"/>
    <n v="76"/>
    <n v="0"/>
    <n v="7"/>
    <n v="0"/>
    <n v="0"/>
    <n v="16"/>
    <n v="1"/>
    <n v="3"/>
    <n v="2"/>
    <n v="2"/>
    <n v="5"/>
    <n v="0"/>
    <n v="0"/>
    <n v="0"/>
    <n v="0"/>
    <n v="0"/>
    <x v="0"/>
    <n v="0"/>
    <n v="3"/>
    <n v="11"/>
    <n v="0"/>
    <n v="61"/>
    <n v="2243"/>
    <n v="6.1452054794520548"/>
    <n v="0"/>
    <n v="1"/>
    <n v="0"/>
    <n v="0"/>
    <n v="0"/>
    <n v="0"/>
    <n v="0"/>
    <n v="0"/>
    <n v="0"/>
    <n v="1"/>
    <n v="83"/>
    <n v="67"/>
    <n v="16"/>
    <n v="0"/>
    <x v="0"/>
    <x v="0"/>
    <x v="0"/>
    <x v="1"/>
    <x v="3"/>
    <x v="2"/>
    <n v="1"/>
    <n v="0"/>
    <n v="13"/>
    <n v="1.9999999999999996"/>
    <n v="1"/>
    <n v="3"/>
    <n v="6"/>
    <n v="0"/>
    <x v="4"/>
  </r>
  <r>
    <x v="1818"/>
    <n v="39453"/>
    <n v="1"/>
    <n v="0"/>
    <n v="64"/>
    <n v="46"/>
    <n v="0"/>
    <n v="7"/>
    <n v="0"/>
    <n v="0"/>
    <n v="2"/>
    <n v="2"/>
    <n v="2"/>
    <n v="0"/>
    <n v="3"/>
    <n v="6"/>
    <n v="0"/>
    <n v="0"/>
    <n v="0"/>
    <n v="0"/>
    <n v="0"/>
    <x v="0"/>
    <n v="0"/>
    <n v="3"/>
    <n v="11"/>
    <n v="0"/>
    <n v="37"/>
    <n v="2246"/>
    <n v="6.1534246575342468"/>
    <n v="0"/>
    <n v="0"/>
    <n v="0"/>
    <n v="1"/>
    <n v="0"/>
    <n v="0"/>
    <n v="0"/>
    <n v="1"/>
    <n v="0"/>
    <n v="0"/>
    <n v="53"/>
    <n v="51"/>
    <n v="2"/>
    <n v="0"/>
    <x v="0"/>
    <x v="0"/>
    <x v="2"/>
    <x v="0"/>
    <x v="3"/>
    <x v="3"/>
    <n v="1"/>
    <n v="0"/>
    <n v="13"/>
    <n v="4"/>
    <n v="1"/>
    <n v="2"/>
    <n v="7"/>
    <n v="1"/>
    <x v="3"/>
  </r>
  <r>
    <x v="1819"/>
    <n v="40049"/>
    <n v="0"/>
    <n v="1"/>
    <n v="23"/>
    <n v="13"/>
    <n v="6"/>
    <n v="7"/>
    <n v="0"/>
    <n v="3"/>
    <n v="3"/>
    <n v="1"/>
    <n v="1"/>
    <n v="0"/>
    <n v="3"/>
    <n v="6"/>
    <n v="0"/>
    <n v="0"/>
    <n v="0"/>
    <n v="0"/>
    <n v="0"/>
    <x v="0"/>
    <n v="0"/>
    <n v="3"/>
    <n v="11"/>
    <n v="0"/>
    <n v="68"/>
    <n v="2415"/>
    <n v="6.6164383561643838"/>
    <n v="0"/>
    <n v="0"/>
    <n v="0"/>
    <n v="0"/>
    <n v="1"/>
    <n v="0"/>
    <n v="0"/>
    <n v="1"/>
    <n v="0"/>
    <n v="0"/>
    <n v="29"/>
    <n v="26"/>
    <n v="3"/>
    <n v="0"/>
    <x v="0"/>
    <x v="0"/>
    <x v="4"/>
    <x v="0"/>
    <x v="3"/>
    <x v="2"/>
    <n v="0"/>
    <n v="0"/>
    <n v="11"/>
    <n v="8"/>
    <n v="0"/>
    <n v="1"/>
    <n v="9"/>
    <n v="1"/>
    <x v="3"/>
  </r>
  <r>
    <x v="1820"/>
    <n v="40211"/>
    <n v="1"/>
    <n v="1"/>
    <n v="30"/>
    <n v="51"/>
    <n v="1"/>
    <n v="7"/>
    <n v="2"/>
    <n v="1"/>
    <n v="25"/>
    <n v="2"/>
    <n v="2"/>
    <n v="1"/>
    <n v="2"/>
    <n v="8"/>
    <n v="0"/>
    <n v="0"/>
    <n v="1"/>
    <n v="0"/>
    <n v="0"/>
    <x v="1"/>
    <n v="0"/>
    <n v="3"/>
    <n v="11"/>
    <n v="0"/>
    <n v="39"/>
    <n v="2493"/>
    <n v="6.8301369863013699"/>
    <n v="0"/>
    <n v="1"/>
    <n v="0"/>
    <n v="0"/>
    <n v="0"/>
    <n v="0"/>
    <n v="0"/>
    <n v="1"/>
    <n v="0"/>
    <n v="0"/>
    <n v="62"/>
    <n v="37"/>
    <n v="25"/>
    <n v="1"/>
    <x v="0"/>
    <x v="0"/>
    <x v="0"/>
    <x v="0"/>
    <x v="3"/>
    <x v="3"/>
    <n v="0"/>
    <n v="0"/>
    <n v="15"/>
    <n v="7"/>
    <n v="2"/>
    <n v="2"/>
    <n v="11"/>
    <n v="2"/>
    <x v="3"/>
  </r>
  <r>
    <x v="1821"/>
    <n v="40851"/>
    <n v="1"/>
    <n v="1"/>
    <n v="63"/>
    <n v="23"/>
    <n v="1"/>
    <n v="7"/>
    <n v="0"/>
    <n v="4"/>
    <n v="24"/>
    <n v="1"/>
    <n v="1"/>
    <n v="1"/>
    <n v="2"/>
    <n v="7"/>
    <n v="0"/>
    <n v="0"/>
    <n v="0"/>
    <n v="0"/>
    <n v="0"/>
    <x v="0"/>
    <n v="0"/>
    <n v="3"/>
    <n v="11"/>
    <n v="0"/>
    <n v="49"/>
    <n v="2652"/>
    <n v="7.2657534246575342"/>
    <n v="1"/>
    <n v="0"/>
    <n v="0"/>
    <n v="0"/>
    <n v="0"/>
    <n v="0"/>
    <n v="0"/>
    <n v="1"/>
    <n v="0"/>
    <n v="0"/>
    <n v="35"/>
    <n v="11"/>
    <n v="24"/>
    <n v="0"/>
    <x v="0"/>
    <x v="0"/>
    <x v="3"/>
    <x v="0"/>
    <x v="3"/>
    <x v="0"/>
    <n v="1"/>
    <n v="0"/>
    <n v="12"/>
    <n v="4"/>
    <n v="1"/>
    <n v="1"/>
    <n v="6"/>
    <n v="0"/>
    <x v="4"/>
  </r>
  <r>
    <x v="1822"/>
    <n v="43142"/>
    <n v="1"/>
    <n v="1"/>
    <n v="84"/>
    <n v="5"/>
    <n v="1"/>
    <n v="7"/>
    <n v="2"/>
    <n v="1"/>
    <n v="4"/>
    <n v="1"/>
    <n v="1"/>
    <n v="0"/>
    <n v="2"/>
    <n v="7"/>
    <n v="0"/>
    <n v="0"/>
    <n v="0"/>
    <n v="0"/>
    <n v="0"/>
    <x v="0"/>
    <n v="0"/>
    <n v="3"/>
    <n v="11"/>
    <n v="0"/>
    <n v="51"/>
    <n v="2290"/>
    <n v="6.2739726027397262"/>
    <n v="0"/>
    <n v="1"/>
    <n v="0"/>
    <n v="0"/>
    <n v="0"/>
    <n v="0"/>
    <n v="0"/>
    <n v="0"/>
    <n v="1"/>
    <n v="0"/>
    <n v="16"/>
    <n v="12"/>
    <n v="4"/>
    <n v="0"/>
    <x v="0"/>
    <x v="0"/>
    <x v="0"/>
    <x v="1"/>
    <x v="3"/>
    <x v="1"/>
    <n v="1"/>
    <n v="0"/>
    <n v="11"/>
    <n v="1.9999999999999996"/>
    <n v="0"/>
    <n v="0"/>
    <n v="1.9999999999999996"/>
    <n v="0"/>
    <x v="4"/>
  </r>
  <r>
    <x v="1823"/>
    <n v="43269"/>
    <n v="1"/>
    <n v="0"/>
    <n v="61"/>
    <n v="10"/>
    <n v="1"/>
    <n v="7"/>
    <n v="0"/>
    <n v="0"/>
    <n v="1"/>
    <n v="1"/>
    <n v="1"/>
    <n v="0"/>
    <n v="2"/>
    <n v="8"/>
    <n v="0"/>
    <n v="0"/>
    <n v="0"/>
    <n v="0"/>
    <n v="0"/>
    <x v="0"/>
    <n v="0"/>
    <n v="3"/>
    <n v="11"/>
    <n v="0"/>
    <n v="48"/>
    <n v="2445"/>
    <n v="6.6986301369863011"/>
    <n v="0"/>
    <n v="1"/>
    <n v="0"/>
    <n v="0"/>
    <n v="0"/>
    <n v="0"/>
    <n v="0"/>
    <n v="0"/>
    <n v="0"/>
    <n v="1"/>
    <n v="18"/>
    <n v="17"/>
    <n v="1"/>
    <n v="0"/>
    <x v="0"/>
    <x v="0"/>
    <x v="0"/>
    <x v="1"/>
    <x v="3"/>
    <x v="0"/>
    <n v="1"/>
    <n v="0"/>
    <n v="12"/>
    <n v="4"/>
    <n v="1"/>
    <n v="0"/>
    <n v="5"/>
    <n v="0"/>
    <x v="4"/>
  </r>
  <r>
    <x v="1824"/>
    <n v="44794"/>
    <n v="0"/>
    <n v="1"/>
    <n v="99"/>
    <n v="54"/>
    <n v="0"/>
    <n v="7"/>
    <n v="0"/>
    <n v="0"/>
    <n v="4"/>
    <n v="1"/>
    <n v="2"/>
    <n v="0"/>
    <n v="3"/>
    <n v="6"/>
    <n v="0"/>
    <n v="0"/>
    <n v="0"/>
    <n v="0"/>
    <n v="0"/>
    <x v="0"/>
    <n v="0"/>
    <n v="3"/>
    <n v="11"/>
    <n v="0"/>
    <n v="54"/>
    <n v="2180"/>
    <n v="5.9726027397260273"/>
    <n v="0"/>
    <n v="1"/>
    <n v="0"/>
    <n v="0"/>
    <n v="0"/>
    <n v="0"/>
    <n v="0"/>
    <n v="1"/>
    <n v="0"/>
    <n v="0"/>
    <n v="61"/>
    <n v="57"/>
    <n v="4"/>
    <n v="0"/>
    <x v="0"/>
    <x v="0"/>
    <x v="0"/>
    <x v="0"/>
    <x v="3"/>
    <x v="1"/>
    <n v="1"/>
    <n v="1"/>
    <n v="12"/>
    <n v="0.99999999999999978"/>
    <n v="1"/>
    <n v="2"/>
    <n v="4"/>
    <n v="0"/>
    <x v="4"/>
  </r>
  <r>
    <x v="1825"/>
    <n v="45057"/>
    <n v="1"/>
    <n v="0"/>
    <n v="80"/>
    <n v="37"/>
    <n v="0"/>
    <n v="7"/>
    <n v="3"/>
    <n v="0"/>
    <n v="3"/>
    <n v="1"/>
    <n v="2"/>
    <n v="0"/>
    <n v="3"/>
    <n v="5"/>
    <n v="0"/>
    <n v="0"/>
    <n v="0"/>
    <n v="0"/>
    <n v="0"/>
    <x v="0"/>
    <n v="0"/>
    <n v="3"/>
    <n v="11"/>
    <n v="0"/>
    <n v="41"/>
    <n v="2369"/>
    <n v="6.4904109589041097"/>
    <n v="0"/>
    <n v="1"/>
    <n v="0"/>
    <n v="0"/>
    <n v="0"/>
    <n v="0"/>
    <n v="0"/>
    <n v="0"/>
    <n v="1"/>
    <n v="0"/>
    <n v="47"/>
    <n v="44"/>
    <n v="3"/>
    <n v="0"/>
    <x v="0"/>
    <x v="0"/>
    <x v="0"/>
    <x v="1"/>
    <x v="3"/>
    <x v="0"/>
    <n v="1"/>
    <n v="0"/>
    <n v="11"/>
    <n v="1.9999999999999996"/>
    <n v="0"/>
    <n v="2"/>
    <n v="3.9999999999999996"/>
    <n v="0"/>
    <x v="4"/>
  </r>
  <r>
    <x v="1826"/>
    <n v="45894"/>
    <n v="0"/>
    <n v="2"/>
    <n v="15"/>
    <n v="27"/>
    <n v="2"/>
    <n v="7"/>
    <n v="0"/>
    <n v="2"/>
    <n v="13"/>
    <n v="1"/>
    <n v="1"/>
    <n v="0"/>
    <n v="3"/>
    <n v="5"/>
    <n v="0"/>
    <n v="0"/>
    <n v="0"/>
    <n v="0"/>
    <n v="0"/>
    <x v="0"/>
    <n v="0"/>
    <n v="3"/>
    <n v="11"/>
    <n v="0"/>
    <n v="46"/>
    <n v="2281"/>
    <n v="6.2493150684931509"/>
    <n v="0"/>
    <n v="1"/>
    <n v="0"/>
    <n v="0"/>
    <n v="0"/>
    <n v="1"/>
    <n v="0"/>
    <n v="0"/>
    <n v="0"/>
    <n v="0"/>
    <n v="38"/>
    <n v="25"/>
    <n v="13"/>
    <n v="0"/>
    <x v="0"/>
    <x v="0"/>
    <x v="0"/>
    <x v="1"/>
    <x v="3"/>
    <x v="0"/>
    <n v="0"/>
    <n v="0"/>
    <n v="10"/>
    <n v="9"/>
    <n v="0"/>
    <n v="1"/>
    <n v="10"/>
    <n v="2"/>
    <x v="3"/>
  </r>
  <r>
    <x v="1827"/>
    <n v="48686"/>
    <n v="1"/>
    <n v="2"/>
    <n v="8"/>
    <n v="10"/>
    <n v="0"/>
    <n v="7"/>
    <n v="2"/>
    <n v="0"/>
    <n v="1"/>
    <n v="1"/>
    <n v="1"/>
    <n v="0"/>
    <n v="2"/>
    <n v="8"/>
    <n v="0"/>
    <n v="0"/>
    <n v="0"/>
    <n v="0"/>
    <n v="0"/>
    <x v="0"/>
    <n v="0"/>
    <n v="3"/>
    <n v="11"/>
    <n v="0"/>
    <n v="67"/>
    <n v="2366"/>
    <n v="6.4821917808219176"/>
    <n v="0"/>
    <n v="1"/>
    <n v="0"/>
    <n v="0"/>
    <n v="0"/>
    <n v="0"/>
    <n v="0"/>
    <n v="1"/>
    <n v="0"/>
    <n v="0"/>
    <n v="19"/>
    <n v="18"/>
    <n v="1"/>
    <n v="0"/>
    <x v="0"/>
    <x v="0"/>
    <x v="0"/>
    <x v="0"/>
    <x v="3"/>
    <x v="2"/>
    <n v="0"/>
    <n v="0"/>
    <n v="12"/>
    <n v="10"/>
    <n v="1"/>
    <n v="0"/>
    <n v="11"/>
    <n v="2"/>
    <x v="3"/>
  </r>
  <r>
    <x v="1828"/>
    <n v="50943"/>
    <n v="0"/>
    <n v="1"/>
    <n v="49"/>
    <n v="31"/>
    <n v="0"/>
    <n v="7"/>
    <n v="2"/>
    <n v="0"/>
    <n v="6"/>
    <n v="1"/>
    <n v="1"/>
    <n v="0"/>
    <n v="3"/>
    <n v="5"/>
    <n v="0"/>
    <n v="0"/>
    <n v="0"/>
    <n v="0"/>
    <n v="0"/>
    <x v="0"/>
    <n v="0"/>
    <n v="3"/>
    <n v="11"/>
    <n v="0"/>
    <n v="64"/>
    <n v="2532"/>
    <n v="6.9369863013698634"/>
    <n v="0"/>
    <n v="0"/>
    <n v="0"/>
    <n v="1"/>
    <n v="0"/>
    <n v="0"/>
    <n v="0"/>
    <n v="0"/>
    <n v="1"/>
    <n v="0"/>
    <n v="40"/>
    <n v="34"/>
    <n v="6"/>
    <n v="0"/>
    <x v="0"/>
    <x v="0"/>
    <x v="2"/>
    <x v="1"/>
    <x v="2"/>
    <x v="2"/>
    <n v="1"/>
    <n v="0"/>
    <n v="10"/>
    <n v="6"/>
    <n v="0"/>
    <n v="1"/>
    <n v="7"/>
    <n v="1"/>
    <x v="3"/>
  </r>
  <r>
    <x v="1829"/>
    <n v="51141"/>
    <n v="0"/>
    <n v="0"/>
    <n v="96"/>
    <n v="144"/>
    <n v="0"/>
    <n v="7"/>
    <n v="0"/>
    <n v="0"/>
    <n v="6"/>
    <n v="1"/>
    <n v="3"/>
    <n v="1"/>
    <n v="4"/>
    <n v="5"/>
    <n v="0"/>
    <n v="0"/>
    <n v="0"/>
    <n v="0"/>
    <n v="0"/>
    <x v="0"/>
    <n v="0"/>
    <n v="3"/>
    <n v="11"/>
    <n v="0"/>
    <n v="80"/>
    <n v="2515"/>
    <n v="6.8904109589041092"/>
    <n v="0"/>
    <n v="0"/>
    <n v="1"/>
    <n v="0"/>
    <n v="0"/>
    <n v="0"/>
    <n v="0"/>
    <n v="0"/>
    <n v="0"/>
    <n v="1"/>
    <n v="151"/>
    <n v="145"/>
    <n v="6"/>
    <n v="0"/>
    <x v="1"/>
    <x v="1"/>
    <x v="1"/>
    <x v="1"/>
    <x v="2"/>
    <x v="2"/>
    <n v="1"/>
    <n v="1"/>
    <n v="14"/>
    <n v="0.99999999999999978"/>
    <n v="2"/>
    <n v="3"/>
    <n v="6"/>
    <n v="0"/>
    <x v="4"/>
  </r>
  <r>
    <x v="1830"/>
    <n v="51813"/>
    <n v="1"/>
    <n v="1"/>
    <n v="37"/>
    <n v="51"/>
    <n v="2"/>
    <n v="7"/>
    <n v="0"/>
    <n v="1"/>
    <n v="2"/>
    <n v="2"/>
    <n v="2"/>
    <n v="0"/>
    <n v="3"/>
    <n v="7"/>
    <n v="0"/>
    <n v="0"/>
    <n v="0"/>
    <n v="0"/>
    <n v="0"/>
    <x v="0"/>
    <n v="0"/>
    <n v="3"/>
    <n v="11"/>
    <n v="0"/>
    <n v="48"/>
    <n v="2603"/>
    <n v="7.1315068493150688"/>
    <n v="1"/>
    <n v="0"/>
    <n v="0"/>
    <n v="0"/>
    <n v="0"/>
    <n v="0"/>
    <n v="0"/>
    <n v="1"/>
    <n v="0"/>
    <n v="0"/>
    <n v="61"/>
    <n v="59"/>
    <n v="2"/>
    <n v="0"/>
    <x v="0"/>
    <x v="0"/>
    <x v="3"/>
    <x v="0"/>
    <x v="2"/>
    <x v="0"/>
    <n v="1"/>
    <n v="0"/>
    <n v="14"/>
    <n v="7"/>
    <n v="2"/>
    <n v="2"/>
    <n v="11"/>
    <n v="2"/>
    <x v="3"/>
  </r>
  <r>
    <x v="1831"/>
    <n v="60199"/>
    <n v="1"/>
    <n v="2"/>
    <n v="49"/>
    <n v="8"/>
    <n v="1"/>
    <n v="7"/>
    <n v="2"/>
    <n v="0"/>
    <n v="0"/>
    <n v="1"/>
    <n v="0"/>
    <n v="0"/>
    <n v="3"/>
    <n v="4"/>
    <n v="0"/>
    <n v="0"/>
    <n v="0"/>
    <n v="0"/>
    <n v="0"/>
    <x v="0"/>
    <n v="0"/>
    <n v="3"/>
    <n v="11"/>
    <n v="0"/>
    <n v="42"/>
    <n v="2449"/>
    <n v="6.7095890410958905"/>
    <n v="0"/>
    <n v="0"/>
    <n v="1"/>
    <n v="0"/>
    <n v="0"/>
    <n v="0"/>
    <n v="0"/>
    <n v="1"/>
    <n v="0"/>
    <n v="0"/>
    <n v="18"/>
    <n v="18"/>
    <n v="0"/>
    <n v="0"/>
    <x v="0"/>
    <x v="0"/>
    <x v="1"/>
    <x v="0"/>
    <x v="2"/>
    <x v="0"/>
    <n v="1"/>
    <n v="0"/>
    <n v="8"/>
    <n v="6"/>
    <n v="0"/>
    <n v="0"/>
    <n v="6"/>
    <n v="0"/>
    <x v="4"/>
  </r>
  <r>
    <x v="1832"/>
    <n v="5648"/>
    <n v="1"/>
    <n v="1"/>
    <n v="68"/>
    <n v="28"/>
    <n v="0"/>
    <n v="6"/>
    <n v="1"/>
    <n v="1"/>
    <n v="13"/>
    <n v="1"/>
    <n v="1"/>
    <n v="0"/>
    <n v="0"/>
    <n v="20"/>
    <n v="0"/>
    <n v="0"/>
    <n v="1"/>
    <n v="0"/>
    <n v="0"/>
    <x v="1"/>
    <n v="0"/>
    <n v="3"/>
    <n v="11"/>
    <n v="0"/>
    <n v="70"/>
    <n v="2267"/>
    <n v="6.2109589041095887"/>
    <n v="0"/>
    <n v="0"/>
    <n v="0"/>
    <n v="1"/>
    <n v="0"/>
    <n v="0"/>
    <n v="0"/>
    <n v="0"/>
    <n v="0"/>
    <n v="1"/>
    <n v="36"/>
    <n v="23"/>
    <n v="13"/>
    <n v="1"/>
    <x v="0"/>
    <x v="0"/>
    <x v="2"/>
    <x v="1"/>
    <x v="0"/>
    <x v="2"/>
    <n v="1"/>
    <n v="0"/>
    <n v="22"/>
    <n v="4"/>
    <n v="5"/>
    <n v="1"/>
    <n v="10"/>
    <n v="2"/>
    <x v="3"/>
  </r>
  <r>
    <x v="1833"/>
    <n v="16531"/>
    <n v="1"/>
    <n v="0"/>
    <n v="43"/>
    <n v="2"/>
    <n v="13"/>
    <n v="6"/>
    <n v="7"/>
    <n v="5"/>
    <n v="11"/>
    <n v="3"/>
    <n v="3"/>
    <n v="0"/>
    <n v="3"/>
    <n v="7"/>
    <n v="0"/>
    <n v="0"/>
    <n v="0"/>
    <n v="0"/>
    <n v="0"/>
    <x v="0"/>
    <n v="0"/>
    <n v="3"/>
    <n v="11"/>
    <n v="0"/>
    <n v="42"/>
    <n v="2170"/>
    <n v="5.9452054794520546"/>
    <n v="0"/>
    <n v="0"/>
    <n v="0"/>
    <n v="1"/>
    <n v="0"/>
    <n v="0"/>
    <n v="0"/>
    <n v="1"/>
    <n v="0"/>
    <n v="0"/>
    <n v="33"/>
    <n v="22"/>
    <n v="11"/>
    <n v="0"/>
    <x v="0"/>
    <x v="0"/>
    <x v="2"/>
    <x v="0"/>
    <x v="0"/>
    <x v="0"/>
    <n v="1"/>
    <n v="0"/>
    <n v="16"/>
    <n v="6"/>
    <n v="3"/>
    <n v="1"/>
    <n v="10"/>
    <n v="2"/>
    <x v="3"/>
  </r>
  <r>
    <x v="1834"/>
    <n v="18988"/>
    <n v="1"/>
    <n v="0"/>
    <n v="43"/>
    <n v="6"/>
    <n v="0"/>
    <n v="6"/>
    <n v="2"/>
    <n v="1"/>
    <n v="1"/>
    <n v="2"/>
    <n v="1"/>
    <n v="0"/>
    <n v="3"/>
    <n v="7"/>
    <n v="0"/>
    <n v="0"/>
    <n v="0"/>
    <n v="0"/>
    <n v="0"/>
    <x v="0"/>
    <n v="0"/>
    <n v="3"/>
    <n v="11"/>
    <n v="0"/>
    <n v="36"/>
    <n v="2196"/>
    <n v="6.0164383561643833"/>
    <n v="0"/>
    <n v="1"/>
    <n v="0"/>
    <n v="0"/>
    <n v="0"/>
    <n v="0"/>
    <n v="0"/>
    <n v="0"/>
    <n v="0"/>
    <n v="1"/>
    <n v="15"/>
    <n v="14"/>
    <n v="1"/>
    <n v="0"/>
    <x v="0"/>
    <x v="0"/>
    <x v="0"/>
    <x v="1"/>
    <x v="0"/>
    <x v="3"/>
    <n v="1"/>
    <n v="0"/>
    <n v="13"/>
    <n v="6"/>
    <n v="1"/>
    <n v="0"/>
    <n v="7"/>
    <n v="1"/>
    <x v="3"/>
  </r>
  <r>
    <x v="1835"/>
    <n v="20518"/>
    <n v="1"/>
    <n v="0"/>
    <n v="58"/>
    <n v="4"/>
    <n v="1"/>
    <n v="6"/>
    <n v="4"/>
    <n v="1"/>
    <n v="9"/>
    <n v="1"/>
    <n v="1"/>
    <n v="1"/>
    <n v="2"/>
    <n v="5"/>
    <n v="0"/>
    <n v="0"/>
    <n v="0"/>
    <n v="0"/>
    <n v="0"/>
    <x v="0"/>
    <n v="0"/>
    <n v="3"/>
    <n v="11"/>
    <n v="0"/>
    <n v="32"/>
    <n v="2201"/>
    <n v="6.0301369863013701"/>
    <n v="0"/>
    <n v="0"/>
    <n v="1"/>
    <n v="0"/>
    <n v="0"/>
    <n v="0"/>
    <n v="0"/>
    <n v="1"/>
    <n v="0"/>
    <n v="0"/>
    <n v="16"/>
    <n v="7"/>
    <n v="9"/>
    <n v="0"/>
    <x v="0"/>
    <x v="0"/>
    <x v="1"/>
    <x v="0"/>
    <x v="0"/>
    <x v="3"/>
    <n v="1"/>
    <n v="0"/>
    <n v="10"/>
    <n v="5"/>
    <n v="0"/>
    <n v="0"/>
    <n v="5"/>
    <n v="0"/>
    <x v="4"/>
  </r>
  <r>
    <x v="1836"/>
    <n v="20587"/>
    <n v="1"/>
    <n v="0"/>
    <n v="39"/>
    <n v="2"/>
    <n v="3"/>
    <n v="6"/>
    <n v="4"/>
    <n v="1"/>
    <n v="9"/>
    <n v="1"/>
    <n v="1"/>
    <n v="1"/>
    <n v="2"/>
    <n v="7"/>
    <n v="0"/>
    <n v="0"/>
    <n v="0"/>
    <n v="0"/>
    <n v="0"/>
    <x v="0"/>
    <n v="0"/>
    <n v="3"/>
    <n v="11"/>
    <n v="0"/>
    <n v="50"/>
    <n v="2208"/>
    <n v="6.0493150684931507"/>
    <n v="0"/>
    <n v="0"/>
    <n v="1"/>
    <n v="0"/>
    <n v="0"/>
    <n v="0"/>
    <n v="0"/>
    <n v="1"/>
    <n v="0"/>
    <n v="0"/>
    <n v="16"/>
    <n v="7"/>
    <n v="9"/>
    <n v="0"/>
    <x v="0"/>
    <x v="0"/>
    <x v="1"/>
    <x v="0"/>
    <x v="0"/>
    <x v="0"/>
    <n v="1"/>
    <n v="0"/>
    <n v="12"/>
    <n v="7"/>
    <n v="1"/>
    <n v="0"/>
    <n v="8"/>
    <n v="1"/>
    <x v="3"/>
  </r>
  <r>
    <x v="1837"/>
    <n v="21994"/>
    <n v="0"/>
    <n v="1"/>
    <n v="4"/>
    <n v="9"/>
    <n v="0"/>
    <n v="6"/>
    <n v="3"/>
    <n v="1"/>
    <n v="3"/>
    <n v="1"/>
    <n v="0"/>
    <n v="0"/>
    <n v="3"/>
    <n v="5"/>
    <n v="0"/>
    <n v="0"/>
    <n v="0"/>
    <n v="0"/>
    <n v="0"/>
    <x v="0"/>
    <n v="0"/>
    <n v="3"/>
    <n v="11"/>
    <n v="0"/>
    <n v="63"/>
    <n v="2711"/>
    <n v="7.4273972602739722"/>
    <n v="0"/>
    <n v="0"/>
    <n v="0"/>
    <n v="1"/>
    <n v="0"/>
    <n v="0"/>
    <n v="0"/>
    <n v="1"/>
    <n v="0"/>
    <n v="0"/>
    <n v="19"/>
    <n v="16"/>
    <n v="3"/>
    <n v="0"/>
    <x v="0"/>
    <x v="0"/>
    <x v="2"/>
    <x v="0"/>
    <x v="0"/>
    <x v="2"/>
    <n v="0"/>
    <n v="0"/>
    <n v="9"/>
    <n v="10"/>
    <n v="0"/>
    <n v="0"/>
    <n v="10"/>
    <n v="2"/>
    <x v="3"/>
  </r>
  <r>
    <x v="1838"/>
    <n v="23272"/>
    <n v="0"/>
    <n v="0"/>
    <n v="29"/>
    <n v="19"/>
    <n v="3"/>
    <n v="6"/>
    <n v="4"/>
    <n v="2"/>
    <n v="12"/>
    <n v="1"/>
    <n v="1"/>
    <n v="0"/>
    <n v="3"/>
    <n v="4"/>
    <n v="0"/>
    <n v="0"/>
    <n v="0"/>
    <n v="0"/>
    <n v="0"/>
    <x v="0"/>
    <n v="0"/>
    <n v="3"/>
    <n v="11"/>
    <n v="0"/>
    <n v="67"/>
    <n v="2414"/>
    <n v="6.6136986301369864"/>
    <n v="1"/>
    <n v="0"/>
    <n v="0"/>
    <n v="0"/>
    <n v="0"/>
    <n v="0"/>
    <n v="0"/>
    <n v="1"/>
    <n v="0"/>
    <n v="0"/>
    <n v="34"/>
    <n v="22"/>
    <n v="12"/>
    <n v="0"/>
    <x v="1"/>
    <x v="1"/>
    <x v="3"/>
    <x v="0"/>
    <x v="0"/>
    <x v="2"/>
    <n v="0"/>
    <n v="0"/>
    <n v="9"/>
    <n v="8"/>
    <n v="0"/>
    <n v="1"/>
    <n v="9"/>
    <n v="1"/>
    <x v="3"/>
  </r>
  <r>
    <x v="1839"/>
    <n v="23442"/>
    <n v="1"/>
    <n v="0"/>
    <n v="71"/>
    <n v="2"/>
    <n v="0"/>
    <n v="6"/>
    <n v="8"/>
    <n v="6"/>
    <n v="5"/>
    <n v="1"/>
    <n v="1"/>
    <n v="0"/>
    <n v="3"/>
    <n v="7"/>
    <n v="0"/>
    <n v="0"/>
    <n v="0"/>
    <n v="0"/>
    <n v="0"/>
    <x v="0"/>
    <n v="0"/>
    <n v="3"/>
    <n v="11"/>
    <n v="0"/>
    <n v="33"/>
    <n v="2711"/>
    <n v="7.4273972602739722"/>
    <n v="0"/>
    <n v="0"/>
    <n v="1"/>
    <n v="0"/>
    <n v="0"/>
    <n v="0"/>
    <n v="0"/>
    <n v="1"/>
    <n v="0"/>
    <n v="0"/>
    <n v="22"/>
    <n v="17"/>
    <n v="5"/>
    <n v="0"/>
    <x v="0"/>
    <x v="0"/>
    <x v="1"/>
    <x v="0"/>
    <x v="0"/>
    <x v="3"/>
    <n v="1"/>
    <n v="0"/>
    <n v="12"/>
    <n v="3.0000000000000004"/>
    <n v="1"/>
    <n v="0"/>
    <n v="4"/>
    <n v="0"/>
    <x v="4"/>
  </r>
  <r>
    <x v="1840"/>
    <n v="23763"/>
    <n v="1"/>
    <n v="0"/>
    <n v="64"/>
    <n v="22"/>
    <n v="0"/>
    <n v="6"/>
    <n v="6"/>
    <n v="2"/>
    <n v="6"/>
    <n v="1"/>
    <n v="1"/>
    <n v="0"/>
    <n v="3"/>
    <n v="7"/>
    <n v="0"/>
    <n v="0"/>
    <n v="0"/>
    <n v="0"/>
    <n v="0"/>
    <x v="0"/>
    <n v="0"/>
    <n v="3"/>
    <n v="11"/>
    <n v="0"/>
    <n v="43"/>
    <n v="2850"/>
    <n v="7.8082191780821919"/>
    <n v="0"/>
    <n v="0"/>
    <n v="1"/>
    <n v="0"/>
    <n v="0"/>
    <n v="0"/>
    <n v="0"/>
    <n v="1"/>
    <n v="0"/>
    <n v="0"/>
    <n v="36"/>
    <n v="30"/>
    <n v="6"/>
    <n v="0"/>
    <x v="0"/>
    <x v="0"/>
    <x v="1"/>
    <x v="0"/>
    <x v="0"/>
    <x v="0"/>
    <n v="1"/>
    <n v="0"/>
    <n v="12"/>
    <n v="4"/>
    <n v="1"/>
    <n v="1"/>
    <n v="6"/>
    <n v="0"/>
    <x v="4"/>
  </r>
  <r>
    <x v="1841"/>
    <n v="23830"/>
    <n v="0"/>
    <n v="0"/>
    <n v="3"/>
    <n v="1"/>
    <n v="8"/>
    <n v="6"/>
    <n v="4"/>
    <n v="8"/>
    <n v="16"/>
    <n v="1"/>
    <n v="1"/>
    <n v="0"/>
    <n v="3"/>
    <n v="7"/>
    <n v="0"/>
    <n v="0"/>
    <n v="0"/>
    <n v="0"/>
    <n v="0"/>
    <x v="0"/>
    <n v="0"/>
    <n v="3"/>
    <n v="11"/>
    <n v="0"/>
    <n v="33"/>
    <n v="2301"/>
    <n v="6.3041095890410963"/>
    <n v="0"/>
    <n v="0"/>
    <n v="1"/>
    <n v="0"/>
    <n v="0"/>
    <n v="1"/>
    <n v="0"/>
    <n v="0"/>
    <n v="0"/>
    <n v="0"/>
    <n v="27"/>
    <n v="11"/>
    <n v="16"/>
    <n v="0"/>
    <x v="1"/>
    <x v="1"/>
    <x v="1"/>
    <x v="1"/>
    <x v="0"/>
    <x v="3"/>
    <n v="0"/>
    <n v="0"/>
    <n v="12"/>
    <n v="10"/>
    <n v="1"/>
    <n v="0"/>
    <n v="11"/>
    <n v="2"/>
    <x v="3"/>
  </r>
  <r>
    <x v="1842"/>
    <n v="24072"/>
    <n v="1"/>
    <n v="0"/>
    <n v="79"/>
    <n v="9"/>
    <n v="1"/>
    <n v="6"/>
    <n v="3"/>
    <n v="0"/>
    <n v="4"/>
    <n v="1"/>
    <n v="1"/>
    <n v="0"/>
    <n v="2"/>
    <n v="8"/>
    <n v="0"/>
    <n v="0"/>
    <n v="0"/>
    <n v="0"/>
    <n v="0"/>
    <x v="0"/>
    <n v="0"/>
    <n v="3"/>
    <n v="11"/>
    <n v="0"/>
    <n v="37"/>
    <n v="2598"/>
    <n v="7.117808219178082"/>
    <n v="0"/>
    <n v="0"/>
    <n v="1"/>
    <n v="0"/>
    <n v="0"/>
    <n v="0"/>
    <n v="0"/>
    <n v="1"/>
    <n v="0"/>
    <n v="0"/>
    <n v="19"/>
    <n v="15"/>
    <n v="4"/>
    <n v="0"/>
    <x v="0"/>
    <x v="0"/>
    <x v="1"/>
    <x v="0"/>
    <x v="0"/>
    <x v="3"/>
    <n v="1"/>
    <n v="0"/>
    <n v="12"/>
    <n v="3.0000000000000004"/>
    <n v="1"/>
    <n v="0"/>
    <n v="4"/>
    <n v="0"/>
    <x v="4"/>
  </r>
  <r>
    <x v="1843"/>
    <n v="24594"/>
    <n v="1"/>
    <n v="0"/>
    <n v="94"/>
    <n v="1"/>
    <n v="3"/>
    <n v="6"/>
    <n v="10"/>
    <n v="0"/>
    <n v="9"/>
    <n v="1"/>
    <n v="1"/>
    <n v="0"/>
    <n v="3"/>
    <n v="5"/>
    <n v="0"/>
    <n v="0"/>
    <n v="0"/>
    <n v="0"/>
    <n v="0"/>
    <x v="0"/>
    <n v="0"/>
    <n v="3"/>
    <n v="11"/>
    <n v="0"/>
    <n v="41"/>
    <n v="2360"/>
    <n v="6.4657534246575343"/>
    <n v="0"/>
    <n v="0"/>
    <n v="0"/>
    <n v="1"/>
    <n v="0"/>
    <n v="0"/>
    <n v="1"/>
    <n v="0"/>
    <n v="0"/>
    <n v="0"/>
    <n v="20"/>
    <n v="11"/>
    <n v="9"/>
    <n v="0"/>
    <x v="0"/>
    <x v="0"/>
    <x v="2"/>
    <x v="2"/>
    <x v="0"/>
    <x v="0"/>
    <n v="1"/>
    <n v="1"/>
    <n v="10"/>
    <n v="0.99999999999999978"/>
    <n v="0"/>
    <n v="0"/>
    <n v="0.99999999999999978"/>
    <n v="0"/>
    <x v="4"/>
  </r>
  <r>
    <x v="1844"/>
    <n v="25721"/>
    <n v="1"/>
    <n v="0"/>
    <n v="75"/>
    <n v="1"/>
    <n v="3"/>
    <n v="6"/>
    <n v="3"/>
    <n v="6"/>
    <n v="15"/>
    <n v="1"/>
    <n v="1"/>
    <n v="1"/>
    <n v="2"/>
    <n v="7"/>
    <n v="0"/>
    <n v="0"/>
    <n v="0"/>
    <n v="0"/>
    <n v="0"/>
    <x v="0"/>
    <n v="0"/>
    <n v="3"/>
    <n v="11"/>
    <n v="1"/>
    <n v="49"/>
    <n v="2563"/>
    <n v="7.021917808219178"/>
    <n v="0"/>
    <n v="1"/>
    <n v="0"/>
    <n v="0"/>
    <n v="0"/>
    <n v="0"/>
    <n v="0"/>
    <n v="1"/>
    <n v="0"/>
    <n v="0"/>
    <n v="19"/>
    <n v="4"/>
    <n v="15"/>
    <n v="0"/>
    <x v="0"/>
    <x v="0"/>
    <x v="0"/>
    <x v="0"/>
    <x v="0"/>
    <x v="0"/>
    <n v="1"/>
    <n v="0"/>
    <n v="12"/>
    <n v="3.0000000000000004"/>
    <n v="1"/>
    <n v="0"/>
    <n v="4"/>
    <n v="0"/>
    <x v="4"/>
  </r>
  <r>
    <x v="1845"/>
    <n v="26816"/>
    <n v="0"/>
    <n v="0"/>
    <n v="50"/>
    <n v="5"/>
    <n v="1"/>
    <n v="6"/>
    <n v="3"/>
    <n v="4"/>
    <n v="3"/>
    <n v="1"/>
    <n v="0"/>
    <n v="0"/>
    <n v="3"/>
    <n v="4"/>
    <n v="0"/>
    <n v="0"/>
    <n v="0"/>
    <n v="0"/>
    <n v="0"/>
    <x v="0"/>
    <n v="0"/>
    <n v="3"/>
    <n v="11"/>
    <n v="0"/>
    <n v="34"/>
    <n v="2840"/>
    <n v="7.7808219178082192"/>
    <n v="0"/>
    <n v="0"/>
    <n v="1"/>
    <n v="0"/>
    <n v="0"/>
    <n v="0"/>
    <n v="0"/>
    <n v="1"/>
    <n v="0"/>
    <n v="0"/>
    <n v="19"/>
    <n v="16"/>
    <n v="3"/>
    <n v="0"/>
    <x v="1"/>
    <x v="1"/>
    <x v="1"/>
    <x v="0"/>
    <x v="0"/>
    <x v="3"/>
    <n v="1"/>
    <n v="0"/>
    <n v="8"/>
    <n v="5"/>
    <n v="0"/>
    <n v="0"/>
    <n v="5"/>
    <n v="0"/>
    <x v="4"/>
  </r>
  <r>
    <x v="1846"/>
    <n v="28718"/>
    <n v="1"/>
    <n v="0"/>
    <n v="78"/>
    <n v="12"/>
    <n v="4"/>
    <n v="6"/>
    <n v="11"/>
    <n v="8"/>
    <n v="16"/>
    <n v="2"/>
    <n v="2"/>
    <n v="0"/>
    <n v="3"/>
    <n v="8"/>
    <n v="0"/>
    <n v="0"/>
    <n v="0"/>
    <n v="0"/>
    <n v="0"/>
    <x v="0"/>
    <n v="0"/>
    <n v="3"/>
    <n v="11"/>
    <n v="0"/>
    <n v="38"/>
    <n v="2510"/>
    <n v="6.8767123287671232"/>
    <n v="0"/>
    <n v="1"/>
    <n v="0"/>
    <n v="0"/>
    <n v="0"/>
    <n v="0"/>
    <n v="0"/>
    <n v="1"/>
    <n v="0"/>
    <n v="0"/>
    <n v="41"/>
    <n v="25"/>
    <n v="16"/>
    <n v="0"/>
    <x v="0"/>
    <x v="0"/>
    <x v="0"/>
    <x v="0"/>
    <x v="0"/>
    <x v="3"/>
    <n v="1"/>
    <n v="0"/>
    <n v="15"/>
    <n v="3.0000000000000004"/>
    <n v="2"/>
    <n v="1"/>
    <n v="6"/>
    <n v="0"/>
    <x v="4"/>
  </r>
  <r>
    <x v="1847"/>
    <n v="29187"/>
    <n v="1"/>
    <n v="0"/>
    <n v="43"/>
    <n v="26"/>
    <n v="0"/>
    <n v="6"/>
    <n v="0"/>
    <n v="0"/>
    <n v="2"/>
    <n v="1"/>
    <n v="1"/>
    <n v="0"/>
    <n v="3"/>
    <n v="8"/>
    <n v="0"/>
    <n v="0"/>
    <n v="0"/>
    <n v="0"/>
    <n v="0"/>
    <x v="0"/>
    <n v="0"/>
    <n v="3"/>
    <n v="11"/>
    <n v="0"/>
    <n v="52"/>
    <n v="2575"/>
    <n v="7.0547945205479454"/>
    <n v="0"/>
    <n v="1"/>
    <n v="0"/>
    <n v="0"/>
    <n v="0"/>
    <n v="0"/>
    <n v="0"/>
    <n v="0"/>
    <n v="0"/>
    <n v="1"/>
    <n v="32"/>
    <n v="30"/>
    <n v="2"/>
    <n v="0"/>
    <x v="0"/>
    <x v="0"/>
    <x v="0"/>
    <x v="1"/>
    <x v="0"/>
    <x v="1"/>
    <n v="1"/>
    <n v="0"/>
    <n v="13"/>
    <n v="6"/>
    <n v="1"/>
    <n v="1"/>
    <n v="8"/>
    <n v="1"/>
    <x v="3"/>
  </r>
  <r>
    <x v="1848"/>
    <n v="29548"/>
    <n v="1"/>
    <n v="0"/>
    <n v="52"/>
    <n v="7"/>
    <n v="1"/>
    <n v="6"/>
    <n v="3"/>
    <n v="1"/>
    <n v="11"/>
    <n v="1"/>
    <n v="1"/>
    <n v="1"/>
    <n v="2"/>
    <n v="4"/>
    <n v="0"/>
    <n v="0"/>
    <n v="1"/>
    <n v="0"/>
    <n v="0"/>
    <x v="1"/>
    <n v="0"/>
    <n v="3"/>
    <n v="11"/>
    <n v="0"/>
    <n v="50"/>
    <n v="2463"/>
    <n v="6.7479452054794518"/>
    <n v="0"/>
    <n v="0"/>
    <n v="1"/>
    <n v="0"/>
    <n v="0"/>
    <n v="0"/>
    <n v="0"/>
    <n v="0"/>
    <n v="1"/>
    <n v="0"/>
    <n v="18"/>
    <n v="7"/>
    <n v="11"/>
    <n v="1"/>
    <x v="0"/>
    <x v="0"/>
    <x v="1"/>
    <x v="1"/>
    <x v="0"/>
    <x v="0"/>
    <n v="1"/>
    <n v="0"/>
    <n v="9"/>
    <n v="5"/>
    <n v="0"/>
    <n v="0"/>
    <n v="5"/>
    <n v="0"/>
    <x v="4"/>
  </r>
  <r>
    <x v="1849"/>
    <n v="29791"/>
    <n v="1"/>
    <n v="0"/>
    <n v="21"/>
    <n v="14"/>
    <n v="0"/>
    <n v="6"/>
    <n v="0"/>
    <n v="0"/>
    <n v="0"/>
    <n v="2"/>
    <n v="2"/>
    <n v="0"/>
    <n v="3"/>
    <n v="5"/>
    <n v="0"/>
    <n v="0"/>
    <n v="0"/>
    <n v="0"/>
    <n v="0"/>
    <x v="0"/>
    <n v="0"/>
    <n v="3"/>
    <n v="11"/>
    <n v="0"/>
    <n v="48"/>
    <n v="2204"/>
    <n v="6.0383561643835613"/>
    <n v="0"/>
    <n v="1"/>
    <n v="0"/>
    <n v="0"/>
    <n v="0"/>
    <n v="0"/>
    <n v="0"/>
    <n v="0"/>
    <n v="0"/>
    <n v="1"/>
    <n v="20"/>
    <n v="20"/>
    <n v="0"/>
    <n v="0"/>
    <x v="0"/>
    <x v="0"/>
    <x v="0"/>
    <x v="1"/>
    <x v="0"/>
    <x v="0"/>
    <n v="0"/>
    <n v="0"/>
    <n v="12"/>
    <n v="8"/>
    <n v="1"/>
    <n v="0"/>
    <n v="9"/>
    <n v="1"/>
    <x v="3"/>
  </r>
  <r>
    <x v="1850"/>
    <n v="30396"/>
    <n v="1"/>
    <n v="0"/>
    <n v="22"/>
    <n v="15"/>
    <n v="0"/>
    <n v="6"/>
    <n v="0"/>
    <n v="1"/>
    <n v="12"/>
    <n v="2"/>
    <n v="1"/>
    <n v="1"/>
    <n v="2"/>
    <n v="7"/>
    <n v="0"/>
    <n v="0"/>
    <n v="1"/>
    <n v="0"/>
    <n v="0"/>
    <x v="1"/>
    <n v="0"/>
    <n v="3"/>
    <n v="11"/>
    <n v="1"/>
    <n v="51"/>
    <n v="2219"/>
    <n v="6.0794520547945208"/>
    <n v="0"/>
    <n v="1"/>
    <n v="0"/>
    <n v="0"/>
    <n v="0"/>
    <n v="0"/>
    <n v="0"/>
    <n v="0"/>
    <n v="0"/>
    <n v="1"/>
    <n v="22"/>
    <n v="10"/>
    <n v="12"/>
    <n v="1"/>
    <x v="0"/>
    <x v="0"/>
    <x v="0"/>
    <x v="1"/>
    <x v="0"/>
    <x v="1"/>
    <n v="0"/>
    <n v="0"/>
    <n v="13"/>
    <n v="8"/>
    <n v="1"/>
    <n v="0"/>
    <n v="9"/>
    <n v="1"/>
    <x v="3"/>
  </r>
  <r>
    <x v="1851"/>
    <n v="30477"/>
    <n v="1"/>
    <n v="0"/>
    <n v="16"/>
    <n v="47"/>
    <n v="1"/>
    <n v="6"/>
    <n v="0"/>
    <n v="0"/>
    <n v="12"/>
    <n v="1"/>
    <n v="1"/>
    <n v="1"/>
    <n v="3"/>
    <n v="6"/>
    <n v="0"/>
    <n v="0"/>
    <n v="0"/>
    <n v="0"/>
    <n v="0"/>
    <x v="0"/>
    <n v="0"/>
    <n v="3"/>
    <n v="11"/>
    <n v="0"/>
    <n v="36"/>
    <n v="2317"/>
    <n v="6.3479452054794523"/>
    <n v="0"/>
    <n v="1"/>
    <n v="0"/>
    <n v="0"/>
    <n v="0"/>
    <n v="0"/>
    <n v="0"/>
    <n v="0"/>
    <n v="1"/>
    <n v="0"/>
    <n v="54"/>
    <n v="42"/>
    <n v="12"/>
    <n v="0"/>
    <x v="0"/>
    <x v="0"/>
    <x v="0"/>
    <x v="1"/>
    <x v="0"/>
    <x v="3"/>
    <n v="0"/>
    <n v="0"/>
    <n v="12"/>
    <n v="9"/>
    <n v="1"/>
    <n v="2"/>
    <n v="12"/>
    <n v="3"/>
    <x v="3"/>
  </r>
  <r>
    <x v="1852"/>
    <n v="32300"/>
    <n v="1"/>
    <n v="0"/>
    <n v="1"/>
    <n v="13"/>
    <n v="3"/>
    <n v="6"/>
    <n v="6"/>
    <n v="5"/>
    <n v="6"/>
    <n v="1"/>
    <n v="1"/>
    <n v="0"/>
    <n v="3"/>
    <n v="8"/>
    <n v="0"/>
    <n v="0"/>
    <n v="0"/>
    <n v="0"/>
    <n v="0"/>
    <x v="0"/>
    <n v="0"/>
    <n v="3"/>
    <n v="11"/>
    <n v="0"/>
    <n v="47"/>
    <n v="2701"/>
    <n v="7.4"/>
    <n v="0"/>
    <n v="1"/>
    <n v="0"/>
    <n v="0"/>
    <n v="0"/>
    <n v="0"/>
    <n v="0"/>
    <n v="1"/>
    <n v="0"/>
    <n v="0"/>
    <n v="33"/>
    <n v="27"/>
    <n v="6"/>
    <n v="0"/>
    <x v="0"/>
    <x v="0"/>
    <x v="0"/>
    <x v="0"/>
    <x v="0"/>
    <x v="0"/>
    <n v="0"/>
    <n v="0"/>
    <n v="13"/>
    <n v="10"/>
    <n v="1"/>
    <n v="1"/>
    <n v="12"/>
    <n v="3"/>
    <x v="3"/>
  </r>
  <r>
    <x v="1853"/>
    <n v="34554"/>
    <n v="0"/>
    <n v="1"/>
    <n v="43"/>
    <n v="41"/>
    <n v="1"/>
    <n v="6"/>
    <n v="2"/>
    <n v="0"/>
    <n v="5"/>
    <n v="2"/>
    <n v="2"/>
    <n v="0"/>
    <n v="3"/>
    <n v="6"/>
    <n v="0"/>
    <n v="0"/>
    <n v="0"/>
    <n v="0"/>
    <n v="0"/>
    <x v="0"/>
    <n v="0"/>
    <n v="3"/>
    <n v="11"/>
    <n v="0"/>
    <n v="61"/>
    <n v="2250"/>
    <n v="6.1643835616438354"/>
    <n v="0"/>
    <n v="0"/>
    <n v="1"/>
    <n v="0"/>
    <n v="0"/>
    <n v="0"/>
    <n v="0"/>
    <n v="0"/>
    <n v="0"/>
    <n v="1"/>
    <n v="50"/>
    <n v="45"/>
    <n v="5"/>
    <n v="0"/>
    <x v="0"/>
    <x v="0"/>
    <x v="1"/>
    <x v="1"/>
    <x v="0"/>
    <x v="2"/>
    <n v="1"/>
    <n v="0"/>
    <n v="13"/>
    <n v="6"/>
    <n v="1"/>
    <n v="2"/>
    <n v="9"/>
    <n v="1"/>
    <x v="3"/>
  </r>
  <r>
    <x v="1854"/>
    <n v="36663"/>
    <n v="1"/>
    <n v="0"/>
    <n v="40"/>
    <n v="18"/>
    <n v="0"/>
    <n v="6"/>
    <n v="3"/>
    <n v="3"/>
    <n v="5"/>
    <n v="1"/>
    <n v="1"/>
    <n v="1"/>
    <n v="3"/>
    <n v="2"/>
    <n v="0"/>
    <n v="0"/>
    <n v="0"/>
    <n v="0"/>
    <n v="0"/>
    <x v="0"/>
    <n v="0"/>
    <n v="3"/>
    <n v="11"/>
    <n v="0"/>
    <n v="45"/>
    <n v="2224"/>
    <n v="6.0931506849315067"/>
    <n v="0"/>
    <n v="1"/>
    <n v="0"/>
    <n v="0"/>
    <n v="0"/>
    <n v="0"/>
    <n v="0"/>
    <n v="0"/>
    <n v="0"/>
    <n v="1"/>
    <n v="30"/>
    <n v="25"/>
    <n v="5"/>
    <n v="0"/>
    <x v="0"/>
    <x v="0"/>
    <x v="0"/>
    <x v="1"/>
    <x v="3"/>
    <x v="0"/>
    <n v="1"/>
    <n v="0"/>
    <n v="8"/>
    <n v="6"/>
    <n v="0"/>
    <n v="1"/>
    <n v="7"/>
    <n v="1"/>
    <x v="3"/>
  </r>
  <r>
    <x v="1855"/>
    <n v="37054"/>
    <n v="1"/>
    <n v="1"/>
    <n v="89"/>
    <n v="12"/>
    <n v="1"/>
    <n v="6"/>
    <n v="0"/>
    <n v="1"/>
    <n v="5"/>
    <n v="2"/>
    <n v="1"/>
    <n v="0"/>
    <n v="3"/>
    <n v="7"/>
    <n v="0"/>
    <n v="0"/>
    <n v="0"/>
    <n v="0"/>
    <n v="0"/>
    <x v="0"/>
    <n v="0"/>
    <n v="3"/>
    <n v="11"/>
    <n v="0"/>
    <n v="53"/>
    <n v="2446"/>
    <n v="6.7013698630136984"/>
    <n v="0"/>
    <n v="1"/>
    <n v="0"/>
    <n v="0"/>
    <n v="0"/>
    <n v="0"/>
    <n v="0"/>
    <n v="0"/>
    <n v="1"/>
    <n v="0"/>
    <n v="20"/>
    <n v="15"/>
    <n v="5"/>
    <n v="0"/>
    <x v="0"/>
    <x v="0"/>
    <x v="0"/>
    <x v="1"/>
    <x v="3"/>
    <x v="1"/>
    <n v="1"/>
    <n v="0"/>
    <n v="13"/>
    <n v="1.9999999999999996"/>
    <n v="1"/>
    <n v="0"/>
    <n v="2.9999999999999996"/>
    <n v="0"/>
    <x v="4"/>
  </r>
  <r>
    <x v="1856"/>
    <n v="37717"/>
    <n v="1"/>
    <n v="0"/>
    <n v="31"/>
    <n v="9"/>
    <n v="0"/>
    <n v="6"/>
    <n v="4"/>
    <n v="1"/>
    <n v="5"/>
    <n v="1"/>
    <n v="1"/>
    <n v="0"/>
    <n v="2"/>
    <n v="9"/>
    <n v="0"/>
    <n v="0"/>
    <n v="0"/>
    <n v="0"/>
    <n v="0"/>
    <x v="0"/>
    <n v="0"/>
    <n v="3"/>
    <n v="11"/>
    <n v="0"/>
    <n v="42"/>
    <n v="2742"/>
    <n v="7.5123287671232877"/>
    <n v="0"/>
    <n v="1"/>
    <n v="0"/>
    <n v="0"/>
    <n v="0"/>
    <n v="0"/>
    <n v="0"/>
    <n v="0"/>
    <n v="0"/>
    <n v="1"/>
    <n v="20"/>
    <n v="15"/>
    <n v="5"/>
    <n v="0"/>
    <x v="0"/>
    <x v="0"/>
    <x v="0"/>
    <x v="1"/>
    <x v="3"/>
    <x v="0"/>
    <n v="1"/>
    <n v="0"/>
    <n v="13"/>
    <n v="7"/>
    <n v="1"/>
    <n v="0"/>
    <n v="8"/>
    <n v="1"/>
    <x v="3"/>
  </r>
  <r>
    <x v="1857"/>
    <n v="38725"/>
    <n v="1"/>
    <n v="1"/>
    <n v="52"/>
    <n v="31"/>
    <n v="0"/>
    <n v="6"/>
    <n v="2"/>
    <n v="1"/>
    <n v="5"/>
    <n v="2"/>
    <n v="1"/>
    <n v="0"/>
    <n v="4"/>
    <n v="4"/>
    <n v="0"/>
    <n v="0"/>
    <n v="0"/>
    <n v="0"/>
    <n v="0"/>
    <x v="0"/>
    <n v="0"/>
    <n v="3"/>
    <n v="11"/>
    <n v="0"/>
    <n v="65"/>
    <n v="2209"/>
    <n v="6.0520547945205481"/>
    <n v="0"/>
    <n v="1"/>
    <n v="0"/>
    <n v="0"/>
    <n v="0"/>
    <n v="0"/>
    <n v="0"/>
    <n v="0"/>
    <n v="0"/>
    <n v="1"/>
    <n v="40"/>
    <n v="35"/>
    <n v="5"/>
    <n v="0"/>
    <x v="0"/>
    <x v="0"/>
    <x v="0"/>
    <x v="1"/>
    <x v="3"/>
    <x v="2"/>
    <n v="1"/>
    <n v="0"/>
    <n v="11"/>
    <n v="5"/>
    <n v="0"/>
    <n v="1"/>
    <n v="6"/>
    <n v="0"/>
    <x v="4"/>
  </r>
  <r>
    <x v="1858"/>
    <n v="39228"/>
    <n v="0"/>
    <n v="0"/>
    <n v="1"/>
    <n v="7"/>
    <n v="1"/>
    <n v="6"/>
    <n v="0"/>
    <n v="3"/>
    <n v="3"/>
    <n v="1"/>
    <n v="0"/>
    <n v="0"/>
    <n v="3"/>
    <n v="4"/>
    <n v="0"/>
    <n v="0"/>
    <n v="0"/>
    <n v="0"/>
    <n v="0"/>
    <x v="0"/>
    <n v="0"/>
    <n v="3"/>
    <n v="11"/>
    <n v="0"/>
    <n v="60"/>
    <n v="2574"/>
    <n v="7.0520547945205481"/>
    <n v="1"/>
    <n v="0"/>
    <n v="0"/>
    <n v="0"/>
    <n v="0"/>
    <n v="0"/>
    <n v="0"/>
    <n v="0"/>
    <n v="1"/>
    <n v="0"/>
    <n v="17"/>
    <n v="14"/>
    <n v="3"/>
    <n v="0"/>
    <x v="1"/>
    <x v="1"/>
    <x v="3"/>
    <x v="1"/>
    <x v="3"/>
    <x v="1"/>
    <n v="0"/>
    <n v="0"/>
    <n v="8"/>
    <n v="10"/>
    <n v="0"/>
    <n v="0"/>
    <n v="10"/>
    <n v="2"/>
    <x v="3"/>
  </r>
  <r>
    <x v="1859"/>
    <n v="40246"/>
    <n v="1"/>
    <n v="0"/>
    <n v="68"/>
    <n v="2"/>
    <n v="1"/>
    <n v="6"/>
    <n v="2"/>
    <n v="1"/>
    <n v="1"/>
    <n v="1"/>
    <n v="1"/>
    <n v="0"/>
    <n v="2"/>
    <n v="6"/>
    <n v="0"/>
    <n v="0"/>
    <n v="0"/>
    <n v="0"/>
    <n v="0"/>
    <x v="0"/>
    <n v="0"/>
    <n v="3"/>
    <n v="11"/>
    <n v="0"/>
    <n v="43"/>
    <n v="2716"/>
    <n v="7.441095890410959"/>
    <n v="1"/>
    <n v="0"/>
    <n v="0"/>
    <n v="0"/>
    <n v="0"/>
    <n v="0"/>
    <n v="0"/>
    <n v="1"/>
    <n v="0"/>
    <n v="0"/>
    <n v="12"/>
    <n v="11"/>
    <n v="1"/>
    <n v="0"/>
    <x v="0"/>
    <x v="0"/>
    <x v="3"/>
    <x v="0"/>
    <x v="3"/>
    <x v="0"/>
    <n v="1"/>
    <n v="0"/>
    <n v="10"/>
    <n v="4"/>
    <n v="0"/>
    <n v="0"/>
    <n v="4"/>
    <n v="0"/>
    <x v="4"/>
  </r>
  <r>
    <x v="1860"/>
    <n v="40344"/>
    <n v="0"/>
    <n v="1"/>
    <n v="48"/>
    <n v="210"/>
    <n v="0"/>
    <n v="6"/>
    <n v="0"/>
    <n v="0"/>
    <n v="2"/>
    <n v="2"/>
    <n v="4"/>
    <n v="1"/>
    <n v="5"/>
    <n v="7"/>
    <n v="0"/>
    <n v="0"/>
    <n v="0"/>
    <n v="0"/>
    <n v="0"/>
    <x v="0"/>
    <n v="0"/>
    <n v="3"/>
    <n v="11"/>
    <n v="0"/>
    <n v="46"/>
    <n v="2418"/>
    <n v="6.624657534246575"/>
    <n v="0"/>
    <n v="1"/>
    <n v="0"/>
    <n v="0"/>
    <n v="0"/>
    <n v="0"/>
    <n v="0"/>
    <n v="0"/>
    <n v="0"/>
    <n v="1"/>
    <n v="216"/>
    <n v="214"/>
    <n v="2"/>
    <n v="0"/>
    <x v="0"/>
    <x v="0"/>
    <x v="0"/>
    <x v="1"/>
    <x v="3"/>
    <x v="0"/>
    <n v="1"/>
    <n v="0"/>
    <n v="19"/>
    <n v="6"/>
    <n v="4"/>
    <n v="4"/>
    <n v="14"/>
    <n v="4"/>
    <x v="3"/>
  </r>
  <r>
    <x v="1861"/>
    <n v="41014"/>
    <n v="1"/>
    <n v="0"/>
    <n v="65"/>
    <n v="7"/>
    <n v="2"/>
    <n v="6"/>
    <n v="2"/>
    <n v="0"/>
    <n v="3"/>
    <n v="1"/>
    <n v="1"/>
    <n v="0"/>
    <n v="2"/>
    <n v="7"/>
    <n v="0"/>
    <n v="0"/>
    <n v="0"/>
    <n v="0"/>
    <n v="0"/>
    <x v="0"/>
    <n v="0"/>
    <n v="3"/>
    <n v="11"/>
    <n v="0"/>
    <n v="42"/>
    <n v="2592"/>
    <n v="7.1013698630136988"/>
    <n v="0"/>
    <n v="1"/>
    <n v="0"/>
    <n v="0"/>
    <n v="0"/>
    <n v="0"/>
    <n v="0"/>
    <n v="0"/>
    <n v="0"/>
    <n v="1"/>
    <n v="17"/>
    <n v="14"/>
    <n v="3"/>
    <n v="0"/>
    <x v="0"/>
    <x v="0"/>
    <x v="0"/>
    <x v="1"/>
    <x v="3"/>
    <x v="0"/>
    <n v="1"/>
    <n v="0"/>
    <n v="11"/>
    <n v="4"/>
    <n v="0"/>
    <n v="0"/>
    <n v="4"/>
    <n v="0"/>
    <x v="4"/>
  </r>
  <r>
    <x v="1862"/>
    <n v="42429"/>
    <n v="0"/>
    <n v="1"/>
    <n v="99"/>
    <n v="55"/>
    <n v="0"/>
    <n v="6"/>
    <n v="2"/>
    <n v="0"/>
    <n v="4"/>
    <n v="2"/>
    <n v="1"/>
    <n v="1"/>
    <n v="3"/>
    <n v="5"/>
    <n v="0"/>
    <n v="0"/>
    <n v="0"/>
    <n v="0"/>
    <n v="0"/>
    <x v="0"/>
    <n v="0"/>
    <n v="3"/>
    <n v="11"/>
    <n v="0"/>
    <n v="47"/>
    <n v="2297"/>
    <n v="6.2931506849315069"/>
    <n v="0"/>
    <n v="0"/>
    <n v="0"/>
    <n v="0"/>
    <n v="1"/>
    <n v="0"/>
    <n v="0"/>
    <n v="1"/>
    <n v="0"/>
    <n v="0"/>
    <n v="63"/>
    <n v="59"/>
    <n v="4"/>
    <n v="0"/>
    <x v="0"/>
    <x v="0"/>
    <x v="4"/>
    <x v="0"/>
    <x v="3"/>
    <x v="0"/>
    <n v="1"/>
    <n v="1"/>
    <n v="12"/>
    <n v="0.99999999999999978"/>
    <n v="1"/>
    <n v="2"/>
    <n v="4"/>
    <n v="0"/>
    <x v="4"/>
  </r>
  <r>
    <x v="1863"/>
    <n v="44512"/>
    <n v="1"/>
    <n v="1"/>
    <n v="57"/>
    <n v="23"/>
    <n v="1"/>
    <n v="6"/>
    <n v="0"/>
    <n v="0"/>
    <n v="2"/>
    <n v="2"/>
    <n v="1"/>
    <n v="0"/>
    <n v="3"/>
    <n v="4"/>
    <n v="0"/>
    <n v="0"/>
    <n v="0"/>
    <n v="0"/>
    <n v="0"/>
    <x v="0"/>
    <n v="0"/>
    <n v="3"/>
    <n v="11"/>
    <n v="0"/>
    <n v="60"/>
    <n v="2462"/>
    <n v="6.7452054794520544"/>
    <n v="0"/>
    <n v="0"/>
    <n v="0"/>
    <n v="1"/>
    <n v="0"/>
    <n v="0"/>
    <n v="0"/>
    <n v="1"/>
    <n v="0"/>
    <n v="0"/>
    <n v="30"/>
    <n v="28"/>
    <n v="2"/>
    <n v="0"/>
    <x v="0"/>
    <x v="0"/>
    <x v="2"/>
    <x v="0"/>
    <x v="3"/>
    <x v="1"/>
    <n v="1"/>
    <n v="0"/>
    <n v="10"/>
    <n v="5"/>
    <n v="0"/>
    <n v="1"/>
    <n v="6"/>
    <n v="0"/>
    <x v="4"/>
  </r>
  <r>
    <x v="1864"/>
    <n v="45889"/>
    <n v="0"/>
    <n v="1"/>
    <n v="42"/>
    <n v="31"/>
    <n v="0"/>
    <n v="6"/>
    <n v="0"/>
    <n v="1"/>
    <n v="8"/>
    <n v="1"/>
    <n v="1"/>
    <n v="0"/>
    <n v="3"/>
    <n v="6"/>
    <n v="0"/>
    <n v="0"/>
    <n v="0"/>
    <n v="0"/>
    <n v="0"/>
    <x v="0"/>
    <n v="0"/>
    <n v="3"/>
    <n v="11"/>
    <n v="0"/>
    <n v="40"/>
    <n v="2521"/>
    <n v="6.9068493150684933"/>
    <n v="0"/>
    <n v="0"/>
    <n v="1"/>
    <n v="0"/>
    <n v="0"/>
    <n v="1"/>
    <n v="0"/>
    <n v="0"/>
    <n v="0"/>
    <n v="0"/>
    <n v="38"/>
    <n v="30"/>
    <n v="8"/>
    <n v="0"/>
    <x v="0"/>
    <x v="0"/>
    <x v="1"/>
    <x v="1"/>
    <x v="3"/>
    <x v="3"/>
    <n v="1"/>
    <n v="0"/>
    <n v="11"/>
    <n v="6"/>
    <n v="0"/>
    <n v="1"/>
    <n v="7"/>
    <n v="1"/>
    <x v="3"/>
  </r>
  <r>
    <x v="1865"/>
    <n v="46344"/>
    <n v="1"/>
    <n v="1"/>
    <n v="38"/>
    <n v="11"/>
    <n v="1"/>
    <n v="6"/>
    <n v="2"/>
    <n v="1"/>
    <n v="6"/>
    <n v="2"/>
    <n v="1"/>
    <n v="1"/>
    <n v="2"/>
    <n v="5"/>
    <n v="0"/>
    <n v="0"/>
    <n v="0"/>
    <n v="0"/>
    <n v="0"/>
    <x v="0"/>
    <n v="0"/>
    <n v="3"/>
    <n v="11"/>
    <n v="0"/>
    <n v="66"/>
    <n v="2272"/>
    <n v="6.2246575342465755"/>
    <n v="0"/>
    <n v="0"/>
    <n v="1"/>
    <n v="0"/>
    <n v="0"/>
    <n v="0"/>
    <n v="0"/>
    <n v="1"/>
    <n v="0"/>
    <n v="0"/>
    <n v="21"/>
    <n v="15"/>
    <n v="6"/>
    <n v="0"/>
    <x v="0"/>
    <x v="0"/>
    <x v="1"/>
    <x v="0"/>
    <x v="3"/>
    <x v="2"/>
    <n v="1"/>
    <n v="0"/>
    <n v="11"/>
    <n v="7"/>
    <n v="0"/>
    <n v="0"/>
    <n v="7"/>
    <n v="1"/>
    <x v="3"/>
  </r>
  <r>
    <x v="1866"/>
    <n v="50520"/>
    <n v="0"/>
    <n v="1"/>
    <n v="25"/>
    <n v="112"/>
    <n v="0"/>
    <n v="6"/>
    <n v="2"/>
    <n v="1"/>
    <n v="14"/>
    <n v="2"/>
    <n v="3"/>
    <n v="1"/>
    <n v="3"/>
    <n v="6"/>
    <n v="0"/>
    <n v="0"/>
    <n v="0"/>
    <n v="0"/>
    <n v="0"/>
    <x v="0"/>
    <n v="0"/>
    <n v="3"/>
    <n v="11"/>
    <n v="0"/>
    <n v="62"/>
    <n v="2311"/>
    <n v="6.3315068493150681"/>
    <n v="0"/>
    <n v="0"/>
    <n v="0"/>
    <n v="0"/>
    <n v="1"/>
    <n v="0"/>
    <n v="0"/>
    <n v="0"/>
    <n v="0"/>
    <n v="1"/>
    <n v="121"/>
    <n v="107"/>
    <n v="14"/>
    <n v="0"/>
    <x v="0"/>
    <x v="0"/>
    <x v="4"/>
    <x v="1"/>
    <x v="2"/>
    <x v="2"/>
    <n v="0"/>
    <n v="0"/>
    <n v="15"/>
    <n v="8"/>
    <n v="2"/>
    <n v="3"/>
    <n v="13"/>
    <n v="3"/>
    <x v="3"/>
  </r>
  <r>
    <x v="1867"/>
    <n v="53537"/>
    <n v="1"/>
    <n v="1"/>
    <n v="17"/>
    <n v="81"/>
    <n v="0"/>
    <n v="6"/>
    <n v="0"/>
    <n v="0"/>
    <n v="6"/>
    <n v="2"/>
    <n v="2"/>
    <n v="1"/>
    <n v="3"/>
    <n v="5"/>
    <n v="0"/>
    <n v="0"/>
    <n v="0"/>
    <n v="0"/>
    <n v="0"/>
    <x v="0"/>
    <n v="0"/>
    <n v="3"/>
    <n v="11"/>
    <n v="0"/>
    <n v="61"/>
    <n v="2309"/>
    <n v="6.3260273972602743"/>
    <n v="0"/>
    <n v="0"/>
    <n v="0"/>
    <n v="1"/>
    <n v="0"/>
    <n v="0"/>
    <n v="0"/>
    <n v="0"/>
    <n v="0"/>
    <n v="1"/>
    <n v="87"/>
    <n v="81"/>
    <n v="6"/>
    <n v="0"/>
    <x v="0"/>
    <x v="0"/>
    <x v="2"/>
    <x v="1"/>
    <x v="2"/>
    <x v="2"/>
    <n v="0"/>
    <n v="0"/>
    <n v="13"/>
    <n v="9"/>
    <n v="1"/>
    <n v="3"/>
    <n v="13"/>
    <n v="3"/>
    <x v="3"/>
  </r>
  <r>
    <x v="1868"/>
    <n v="54549"/>
    <n v="0"/>
    <n v="1"/>
    <n v="8"/>
    <n v="216"/>
    <n v="2"/>
    <n v="6"/>
    <n v="0"/>
    <n v="0"/>
    <n v="9"/>
    <n v="2"/>
    <n v="5"/>
    <n v="1"/>
    <n v="4"/>
    <n v="7"/>
    <n v="0"/>
    <n v="0"/>
    <n v="0"/>
    <n v="0"/>
    <n v="0"/>
    <x v="0"/>
    <n v="0"/>
    <n v="3"/>
    <n v="11"/>
    <n v="0"/>
    <n v="68"/>
    <n v="2277"/>
    <n v="6.2383561643835614"/>
    <n v="0"/>
    <n v="1"/>
    <n v="0"/>
    <n v="0"/>
    <n v="0"/>
    <n v="0"/>
    <n v="0"/>
    <n v="0"/>
    <n v="0"/>
    <n v="1"/>
    <n v="224"/>
    <n v="215"/>
    <n v="9"/>
    <n v="0"/>
    <x v="0"/>
    <x v="0"/>
    <x v="0"/>
    <x v="1"/>
    <x v="2"/>
    <x v="2"/>
    <n v="0"/>
    <n v="0"/>
    <n v="19"/>
    <n v="10"/>
    <n v="4"/>
    <n v="4"/>
    <n v="18"/>
    <n v="6"/>
    <x v="1"/>
  </r>
  <r>
    <x v="1869"/>
    <n v="7500"/>
    <n v="1"/>
    <n v="0"/>
    <n v="96"/>
    <n v="1"/>
    <n v="11"/>
    <n v="5"/>
    <n v="4"/>
    <n v="6"/>
    <n v="9"/>
    <n v="2"/>
    <n v="2"/>
    <n v="0"/>
    <n v="3"/>
    <n v="8"/>
    <n v="0"/>
    <n v="0"/>
    <n v="0"/>
    <n v="0"/>
    <n v="0"/>
    <x v="0"/>
    <n v="0"/>
    <n v="3"/>
    <n v="11"/>
    <n v="0"/>
    <n v="34"/>
    <n v="2666"/>
    <n v="7.3041095890410963"/>
    <n v="0"/>
    <n v="1"/>
    <n v="0"/>
    <n v="0"/>
    <n v="0"/>
    <n v="1"/>
    <n v="0"/>
    <n v="0"/>
    <n v="0"/>
    <n v="0"/>
    <n v="27"/>
    <n v="18"/>
    <n v="9"/>
    <n v="0"/>
    <x v="0"/>
    <x v="0"/>
    <x v="0"/>
    <x v="1"/>
    <x v="0"/>
    <x v="3"/>
    <n v="1"/>
    <n v="1"/>
    <n v="15"/>
    <n v="0.99999999999999978"/>
    <n v="2"/>
    <n v="0"/>
    <n v="3"/>
    <n v="0"/>
    <x v="4"/>
  </r>
  <r>
    <x v="1870"/>
    <n v="13724"/>
    <n v="1"/>
    <n v="0"/>
    <n v="43"/>
    <n v="2"/>
    <n v="7"/>
    <n v="5"/>
    <n v="2"/>
    <n v="15"/>
    <n v="27"/>
    <n v="1"/>
    <n v="2"/>
    <n v="0"/>
    <n v="2"/>
    <n v="9"/>
    <n v="0"/>
    <n v="0"/>
    <n v="1"/>
    <n v="0"/>
    <n v="0"/>
    <x v="1"/>
    <n v="0"/>
    <n v="3"/>
    <n v="11"/>
    <n v="0"/>
    <n v="32"/>
    <n v="2826"/>
    <n v="7.7424657534246579"/>
    <n v="0"/>
    <n v="0"/>
    <n v="0"/>
    <n v="1"/>
    <n v="0"/>
    <n v="0"/>
    <n v="1"/>
    <n v="0"/>
    <n v="0"/>
    <n v="0"/>
    <n v="31"/>
    <n v="4"/>
    <n v="27"/>
    <n v="1"/>
    <x v="0"/>
    <x v="0"/>
    <x v="2"/>
    <x v="2"/>
    <x v="0"/>
    <x v="3"/>
    <n v="1"/>
    <n v="0"/>
    <n v="14"/>
    <n v="6"/>
    <n v="2"/>
    <n v="1"/>
    <n v="9"/>
    <n v="1"/>
    <x v="3"/>
  </r>
  <r>
    <x v="1871"/>
    <n v="14045"/>
    <n v="1"/>
    <n v="0"/>
    <n v="24"/>
    <n v="11"/>
    <n v="0"/>
    <n v="5"/>
    <n v="2"/>
    <n v="1"/>
    <n v="1"/>
    <n v="1"/>
    <n v="1"/>
    <n v="0"/>
    <n v="3"/>
    <n v="7"/>
    <n v="0"/>
    <n v="0"/>
    <n v="0"/>
    <n v="0"/>
    <n v="0"/>
    <x v="0"/>
    <n v="0"/>
    <n v="3"/>
    <n v="11"/>
    <n v="0"/>
    <n v="51"/>
    <n v="2313"/>
    <n v="6.3369863013698629"/>
    <n v="0"/>
    <n v="1"/>
    <n v="0"/>
    <n v="0"/>
    <n v="0"/>
    <n v="0"/>
    <n v="0"/>
    <n v="1"/>
    <n v="0"/>
    <n v="0"/>
    <n v="19"/>
    <n v="18"/>
    <n v="1"/>
    <n v="0"/>
    <x v="0"/>
    <x v="0"/>
    <x v="0"/>
    <x v="0"/>
    <x v="0"/>
    <x v="1"/>
    <n v="0"/>
    <n v="0"/>
    <n v="12"/>
    <n v="8"/>
    <n v="1"/>
    <n v="0"/>
    <n v="9"/>
    <n v="1"/>
    <x v="3"/>
  </r>
  <r>
    <x v="1872"/>
    <n v="15033"/>
    <n v="0"/>
    <n v="0"/>
    <n v="37"/>
    <n v="0"/>
    <n v="4"/>
    <n v="5"/>
    <n v="6"/>
    <n v="0"/>
    <n v="4"/>
    <n v="1"/>
    <n v="1"/>
    <n v="0"/>
    <n v="3"/>
    <n v="3"/>
    <n v="0"/>
    <n v="0"/>
    <n v="0"/>
    <n v="0"/>
    <n v="0"/>
    <x v="0"/>
    <n v="0"/>
    <n v="3"/>
    <n v="11"/>
    <n v="0"/>
    <n v="69"/>
    <n v="2233"/>
    <n v="6.117808219178082"/>
    <n v="0"/>
    <n v="0"/>
    <n v="1"/>
    <n v="0"/>
    <n v="0"/>
    <n v="0"/>
    <n v="0"/>
    <n v="1"/>
    <n v="0"/>
    <n v="0"/>
    <n v="15"/>
    <n v="11"/>
    <n v="4"/>
    <n v="0"/>
    <x v="1"/>
    <x v="1"/>
    <x v="1"/>
    <x v="0"/>
    <x v="0"/>
    <x v="2"/>
    <n v="1"/>
    <n v="0"/>
    <n v="8"/>
    <n v="7"/>
    <n v="0"/>
    <n v="0"/>
    <n v="7"/>
    <n v="1"/>
    <x v="3"/>
  </r>
  <r>
    <x v="1873"/>
    <n v="15759"/>
    <n v="0"/>
    <n v="0"/>
    <n v="12"/>
    <n v="1"/>
    <n v="2"/>
    <n v="5"/>
    <n v="6"/>
    <n v="0"/>
    <n v="3"/>
    <n v="1"/>
    <n v="1"/>
    <n v="0"/>
    <n v="2"/>
    <n v="7"/>
    <n v="0"/>
    <n v="0"/>
    <n v="0"/>
    <n v="0"/>
    <n v="0"/>
    <x v="0"/>
    <n v="0"/>
    <n v="3"/>
    <n v="11"/>
    <n v="0"/>
    <n v="64"/>
    <n v="2456"/>
    <n v="6.7287671232876711"/>
    <n v="0"/>
    <n v="1"/>
    <n v="0"/>
    <n v="0"/>
    <n v="0"/>
    <n v="0"/>
    <n v="0"/>
    <n v="1"/>
    <n v="0"/>
    <n v="0"/>
    <n v="14"/>
    <n v="11"/>
    <n v="3"/>
    <n v="0"/>
    <x v="1"/>
    <x v="1"/>
    <x v="0"/>
    <x v="0"/>
    <x v="0"/>
    <x v="2"/>
    <n v="0"/>
    <n v="0"/>
    <n v="11"/>
    <n v="9"/>
    <n v="0"/>
    <n v="0"/>
    <n v="9"/>
    <n v="1"/>
    <x v="3"/>
  </r>
  <r>
    <x v="1874"/>
    <n v="16529"/>
    <n v="1"/>
    <n v="0"/>
    <n v="23"/>
    <n v="3"/>
    <n v="0"/>
    <n v="5"/>
    <n v="13"/>
    <n v="0"/>
    <n v="1"/>
    <n v="1"/>
    <n v="1"/>
    <n v="0"/>
    <n v="3"/>
    <n v="6"/>
    <n v="0"/>
    <n v="0"/>
    <n v="0"/>
    <n v="0"/>
    <n v="0"/>
    <x v="0"/>
    <n v="0"/>
    <n v="3"/>
    <n v="11"/>
    <n v="0"/>
    <n v="36"/>
    <n v="2279"/>
    <n v="6.2438356164383562"/>
    <n v="0"/>
    <n v="0"/>
    <n v="0"/>
    <n v="1"/>
    <n v="0"/>
    <n v="0"/>
    <n v="0"/>
    <n v="1"/>
    <n v="0"/>
    <n v="0"/>
    <n v="21"/>
    <n v="20"/>
    <n v="1"/>
    <n v="0"/>
    <x v="0"/>
    <x v="0"/>
    <x v="2"/>
    <x v="0"/>
    <x v="0"/>
    <x v="3"/>
    <n v="0"/>
    <n v="0"/>
    <n v="11"/>
    <n v="8"/>
    <n v="0"/>
    <n v="0"/>
    <n v="8"/>
    <n v="1"/>
    <x v="3"/>
  </r>
  <r>
    <x v="1875"/>
    <n v="18169"/>
    <n v="1"/>
    <n v="0"/>
    <n v="40"/>
    <n v="9"/>
    <n v="0"/>
    <n v="5"/>
    <n v="0"/>
    <n v="0"/>
    <n v="7"/>
    <n v="1"/>
    <n v="1"/>
    <n v="0"/>
    <n v="2"/>
    <n v="8"/>
    <n v="0"/>
    <n v="0"/>
    <n v="0"/>
    <n v="0"/>
    <n v="0"/>
    <x v="0"/>
    <n v="0"/>
    <n v="3"/>
    <n v="11"/>
    <n v="0"/>
    <n v="35"/>
    <n v="2654"/>
    <n v="7.2712328767123289"/>
    <n v="0"/>
    <n v="1"/>
    <n v="0"/>
    <n v="0"/>
    <n v="0"/>
    <n v="0"/>
    <n v="0"/>
    <n v="0"/>
    <n v="0"/>
    <n v="1"/>
    <n v="14"/>
    <n v="7"/>
    <n v="7"/>
    <n v="0"/>
    <x v="0"/>
    <x v="0"/>
    <x v="0"/>
    <x v="1"/>
    <x v="0"/>
    <x v="3"/>
    <n v="1"/>
    <n v="0"/>
    <n v="12"/>
    <n v="6"/>
    <n v="1"/>
    <n v="0"/>
    <n v="7"/>
    <n v="1"/>
    <x v="3"/>
  </r>
  <r>
    <x v="1876"/>
    <n v="19986"/>
    <n v="1"/>
    <n v="0"/>
    <n v="74"/>
    <n v="3"/>
    <n v="6"/>
    <n v="5"/>
    <n v="0"/>
    <n v="2"/>
    <n v="6"/>
    <n v="1"/>
    <n v="0"/>
    <n v="0"/>
    <n v="3"/>
    <n v="7"/>
    <n v="0"/>
    <n v="0"/>
    <n v="0"/>
    <n v="0"/>
    <n v="0"/>
    <x v="0"/>
    <n v="0"/>
    <n v="3"/>
    <n v="11"/>
    <n v="0"/>
    <n v="35"/>
    <n v="2386"/>
    <n v="6.536986301369863"/>
    <n v="0"/>
    <n v="1"/>
    <n v="0"/>
    <n v="0"/>
    <n v="0"/>
    <n v="0"/>
    <n v="0"/>
    <n v="1"/>
    <n v="0"/>
    <n v="0"/>
    <n v="16"/>
    <n v="10"/>
    <n v="6"/>
    <n v="0"/>
    <x v="0"/>
    <x v="0"/>
    <x v="0"/>
    <x v="0"/>
    <x v="0"/>
    <x v="3"/>
    <n v="1"/>
    <n v="0"/>
    <n v="11"/>
    <n v="3.0000000000000004"/>
    <n v="0"/>
    <n v="0"/>
    <n v="3.0000000000000004"/>
    <n v="0"/>
    <x v="4"/>
  </r>
  <r>
    <x v="1877"/>
    <n v="20425"/>
    <n v="1"/>
    <n v="0"/>
    <n v="5"/>
    <n v="4"/>
    <n v="12"/>
    <n v="5"/>
    <n v="3"/>
    <n v="16"/>
    <n v="17"/>
    <n v="2"/>
    <n v="2"/>
    <n v="0"/>
    <n v="3"/>
    <n v="7"/>
    <n v="0"/>
    <n v="0"/>
    <n v="0"/>
    <n v="0"/>
    <n v="0"/>
    <x v="0"/>
    <n v="0"/>
    <n v="3"/>
    <n v="11"/>
    <n v="0"/>
    <n v="34"/>
    <n v="2767"/>
    <n v="7.580821917808219"/>
    <n v="0"/>
    <n v="1"/>
    <n v="0"/>
    <n v="0"/>
    <n v="0"/>
    <n v="0"/>
    <n v="1"/>
    <n v="0"/>
    <n v="0"/>
    <n v="0"/>
    <n v="40"/>
    <n v="23"/>
    <n v="17"/>
    <n v="0"/>
    <x v="0"/>
    <x v="0"/>
    <x v="0"/>
    <x v="2"/>
    <x v="0"/>
    <x v="3"/>
    <n v="0"/>
    <n v="0"/>
    <n v="14"/>
    <n v="10"/>
    <n v="2"/>
    <n v="1"/>
    <n v="13"/>
    <n v="3"/>
    <x v="3"/>
  </r>
  <r>
    <x v="1878"/>
    <n v="20491"/>
    <n v="0"/>
    <n v="0"/>
    <n v="16"/>
    <n v="5"/>
    <n v="4"/>
    <n v="5"/>
    <n v="4"/>
    <n v="2"/>
    <n v="10"/>
    <n v="1"/>
    <n v="0"/>
    <n v="1"/>
    <n v="2"/>
    <n v="7"/>
    <n v="0"/>
    <n v="0"/>
    <n v="0"/>
    <n v="0"/>
    <n v="0"/>
    <x v="0"/>
    <n v="0"/>
    <n v="3"/>
    <n v="11"/>
    <n v="0"/>
    <n v="34"/>
    <n v="2679"/>
    <n v="7.3397260273972602"/>
    <n v="0"/>
    <n v="0"/>
    <n v="0"/>
    <n v="1"/>
    <n v="0"/>
    <n v="1"/>
    <n v="0"/>
    <n v="0"/>
    <n v="0"/>
    <n v="0"/>
    <n v="20"/>
    <n v="10"/>
    <n v="10"/>
    <n v="0"/>
    <x v="1"/>
    <x v="1"/>
    <x v="2"/>
    <x v="1"/>
    <x v="0"/>
    <x v="3"/>
    <n v="0"/>
    <n v="0"/>
    <n v="11"/>
    <n v="9"/>
    <n v="0"/>
    <n v="0"/>
    <n v="9"/>
    <n v="1"/>
    <x v="3"/>
  </r>
  <r>
    <x v="1879"/>
    <n v="25358"/>
    <n v="0"/>
    <n v="1"/>
    <n v="57"/>
    <n v="19"/>
    <n v="0"/>
    <n v="5"/>
    <n v="0"/>
    <n v="0"/>
    <n v="8"/>
    <n v="2"/>
    <n v="1"/>
    <n v="0"/>
    <n v="3"/>
    <n v="6"/>
    <n v="0"/>
    <n v="0"/>
    <n v="0"/>
    <n v="0"/>
    <n v="0"/>
    <x v="0"/>
    <n v="0"/>
    <n v="3"/>
    <n v="11"/>
    <n v="0"/>
    <n v="73"/>
    <n v="2501"/>
    <n v="6.8520547945205479"/>
    <n v="0"/>
    <n v="0"/>
    <n v="0"/>
    <n v="0"/>
    <n v="1"/>
    <n v="0"/>
    <n v="0"/>
    <n v="0"/>
    <n v="0"/>
    <n v="1"/>
    <n v="24"/>
    <n v="16"/>
    <n v="8"/>
    <n v="0"/>
    <x v="0"/>
    <x v="0"/>
    <x v="4"/>
    <x v="1"/>
    <x v="0"/>
    <x v="2"/>
    <n v="1"/>
    <n v="0"/>
    <n v="12"/>
    <n v="5"/>
    <n v="1"/>
    <n v="0"/>
    <n v="6"/>
    <n v="0"/>
    <x v="4"/>
  </r>
  <r>
    <x v="1880"/>
    <n v="26304"/>
    <n v="1"/>
    <n v="0"/>
    <n v="5"/>
    <n v="4"/>
    <n v="1"/>
    <n v="5"/>
    <n v="2"/>
    <n v="0"/>
    <n v="4"/>
    <n v="1"/>
    <n v="1"/>
    <n v="0"/>
    <n v="2"/>
    <n v="7"/>
    <n v="0"/>
    <n v="0"/>
    <n v="0"/>
    <n v="0"/>
    <n v="0"/>
    <x v="0"/>
    <n v="0"/>
    <n v="3"/>
    <n v="11"/>
    <n v="0"/>
    <n v="51"/>
    <n v="2530"/>
    <n v="6.9315068493150687"/>
    <n v="0"/>
    <n v="1"/>
    <n v="0"/>
    <n v="0"/>
    <n v="0"/>
    <n v="0"/>
    <n v="0"/>
    <n v="1"/>
    <n v="0"/>
    <n v="0"/>
    <n v="12"/>
    <n v="8"/>
    <n v="4"/>
    <n v="0"/>
    <x v="0"/>
    <x v="0"/>
    <x v="0"/>
    <x v="0"/>
    <x v="0"/>
    <x v="1"/>
    <n v="0"/>
    <n v="0"/>
    <n v="11"/>
    <n v="10"/>
    <n v="0"/>
    <n v="0"/>
    <n v="10"/>
    <n v="2"/>
    <x v="3"/>
  </r>
  <r>
    <x v="1881"/>
    <n v="26326"/>
    <n v="0"/>
    <n v="0"/>
    <n v="12"/>
    <n v="1"/>
    <n v="0"/>
    <n v="5"/>
    <n v="0"/>
    <n v="3"/>
    <n v="9"/>
    <n v="1"/>
    <n v="0"/>
    <n v="0"/>
    <n v="3"/>
    <n v="3"/>
    <n v="0"/>
    <n v="0"/>
    <n v="0"/>
    <n v="0"/>
    <n v="0"/>
    <x v="0"/>
    <n v="1"/>
    <n v="3"/>
    <n v="11"/>
    <n v="0"/>
    <n v="44"/>
    <n v="2457"/>
    <n v="6.7315068493150685"/>
    <n v="0"/>
    <n v="0"/>
    <n v="0"/>
    <n v="1"/>
    <n v="0"/>
    <n v="1"/>
    <n v="0"/>
    <n v="0"/>
    <n v="0"/>
    <n v="0"/>
    <n v="9"/>
    <n v="0"/>
    <n v="9"/>
    <n v="0"/>
    <x v="1"/>
    <x v="1"/>
    <x v="2"/>
    <x v="1"/>
    <x v="0"/>
    <x v="0"/>
    <n v="0"/>
    <n v="0"/>
    <n v="7"/>
    <n v="9"/>
    <n v="0"/>
    <n v="0"/>
    <n v="9"/>
    <n v="1"/>
    <x v="3"/>
  </r>
  <r>
    <x v="1882"/>
    <n v="26751"/>
    <n v="2"/>
    <n v="0"/>
    <n v="26"/>
    <n v="1"/>
    <n v="1"/>
    <n v="5"/>
    <n v="0"/>
    <n v="3"/>
    <n v="1"/>
    <n v="1"/>
    <n v="1"/>
    <n v="0"/>
    <n v="2"/>
    <n v="8"/>
    <n v="0"/>
    <n v="0"/>
    <n v="0"/>
    <n v="0"/>
    <n v="0"/>
    <x v="0"/>
    <n v="0"/>
    <n v="3"/>
    <n v="11"/>
    <n v="0"/>
    <n v="46"/>
    <n v="2197"/>
    <n v="6.0191780821917806"/>
    <n v="0"/>
    <n v="1"/>
    <n v="0"/>
    <n v="0"/>
    <n v="0"/>
    <n v="0"/>
    <n v="0"/>
    <n v="1"/>
    <n v="0"/>
    <n v="0"/>
    <n v="10"/>
    <n v="9"/>
    <n v="1"/>
    <n v="0"/>
    <x v="0"/>
    <x v="0"/>
    <x v="0"/>
    <x v="0"/>
    <x v="0"/>
    <x v="0"/>
    <n v="0"/>
    <n v="0"/>
    <n v="12"/>
    <n v="8"/>
    <n v="1"/>
    <n v="0"/>
    <n v="9"/>
    <n v="1"/>
    <x v="3"/>
  </r>
  <r>
    <x v="1883"/>
    <n v="27590"/>
    <n v="1"/>
    <n v="0"/>
    <n v="38"/>
    <n v="6"/>
    <n v="0"/>
    <n v="5"/>
    <n v="0"/>
    <n v="0"/>
    <n v="1"/>
    <n v="1"/>
    <n v="1"/>
    <n v="0"/>
    <n v="2"/>
    <n v="7"/>
    <n v="0"/>
    <n v="0"/>
    <n v="0"/>
    <n v="0"/>
    <n v="0"/>
    <x v="0"/>
    <n v="0"/>
    <n v="3"/>
    <n v="11"/>
    <n v="0"/>
    <n v="38"/>
    <n v="2591"/>
    <n v="7.0986301369863014"/>
    <n v="0"/>
    <n v="0"/>
    <n v="0"/>
    <n v="1"/>
    <n v="0"/>
    <n v="0"/>
    <n v="0"/>
    <n v="0"/>
    <n v="1"/>
    <n v="0"/>
    <n v="11"/>
    <n v="10"/>
    <n v="1"/>
    <n v="0"/>
    <x v="0"/>
    <x v="0"/>
    <x v="2"/>
    <x v="1"/>
    <x v="0"/>
    <x v="3"/>
    <n v="1"/>
    <n v="0"/>
    <n v="11"/>
    <n v="7"/>
    <n v="0"/>
    <n v="0"/>
    <n v="7"/>
    <n v="1"/>
    <x v="3"/>
  </r>
  <r>
    <x v="1884"/>
    <n v="27733"/>
    <n v="1"/>
    <n v="0"/>
    <n v="16"/>
    <n v="0"/>
    <n v="7"/>
    <n v="5"/>
    <n v="26"/>
    <n v="2"/>
    <n v="17"/>
    <n v="2"/>
    <n v="2"/>
    <n v="0"/>
    <n v="3"/>
    <n v="7"/>
    <n v="0"/>
    <n v="0"/>
    <n v="0"/>
    <n v="0"/>
    <n v="0"/>
    <x v="0"/>
    <n v="0"/>
    <n v="3"/>
    <n v="11"/>
    <n v="0"/>
    <n v="39"/>
    <n v="2466"/>
    <n v="6.7561643835616438"/>
    <n v="0"/>
    <n v="1"/>
    <n v="0"/>
    <n v="0"/>
    <n v="0"/>
    <n v="1"/>
    <n v="0"/>
    <n v="0"/>
    <n v="0"/>
    <n v="0"/>
    <n v="40"/>
    <n v="23"/>
    <n v="17"/>
    <n v="0"/>
    <x v="0"/>
    <x v="0"/>
    <x v="0"/>
    <x v="1"/>
    <x v="0"/>
    <x v="3"/>
    <n v="0"/>
    <n v="0"/>
    <n v="14"/>
    <n v="9"/>
    <n v="2"/>
    <n v="1"/>
    <n v="12"/>
    <n v="3"/>
    <x v="3"/>
  </r>
  <r>
    <x v="1885"/>
    <n v="28359"/>
    <n v="1"/>
    <n v="0"/>
    <n v="35"/>
    <n v="6"/>
    <n v="0"/>
    <n v="5"/>
    <n v="2"/>
    <n v="1"/>
    <n v="2"/>
    <n v="1"/>
    <n v="1"/>
    <n v="0"/>
    <n v="2"/>
    <n v="7"/>
    <n v="0"/>
    <n v="0"/>
    <n v="0"/>
    <n v="0"/>
    <n v="0"/>
    <x v="0"/>
    <n v="0"/>
    <n v="3"/>
    <n v="11"/>
    <n v="0"/>
    <n v="37"/>
    <n v="2404"/>
    <n v="6.5863013698630137"/>
    <n v="0"/>
    <n v="0"/>
    <n v="0"/>
    <n v="1"/>
    <n v="0"/>
    <n v="0"/>
    <n v="0"/>
    <n v="1"/>
    <n v="0"/>
    <n v="0"/>
    <n v="14"/>
    <n v="12"/>
    <n v="2"/>
    <n v="0"/>
    <x v="0"/>
    <x v="0"/>
    <x v="2"/>
    <x v="0"/>
    <x v="0"/>
    <x v="3"/>
    <n v="1"/>
    <n v="0"/>
    <n v="11"/>
    <n v="7"/>
    <n v="0"/>
    <n v="0"/>
    <n v="7"/>
    <n v="1"/>
    <x v="3"/>
  </r>
  <r>
    <x v="1886"/>
    <n v="28420"/>
    <n v="1"/>
    <n v="0"/>
    <n v="36"/>
    <n v="4"/>
    <n v="2"/>
    <n v="5"/>
    <n v="2"/>
    <n v="0"/>
    <n v="0"/>
    <n v="1"/>
    <n v="1"/>
    <n v="0"/>
    <n v="2"/>
    <n v="6"/>
    <n v="0"/>
    <n v="0"/>
    <n v="0"/>
    <n v="0"/>
    <n v="0"/>
    <x v="0"/>
    <n v="0"/>
    <n v="3"/>
    <n v="11"/>
    <n v="0"/>
    <n v="53"/>
    <n v="2346"/>
    <n v="6.4273972602739722"/>
    <n v="1"/>
    <n v="0"/>
    <n v="0"/>
    <n v="0"/>
    <n v="0"/>
    <n v="0"/>
    <n v="0"/>
    <n v="0"/>
    <n v="0"/>
    <n v="1"/>
    <n v="13"/>
    <n v="13"/>
    <n v="0"/>
    <n v="0"/>
    <x v="0"/>
    <x v="0"/>
    <x v="3"/>
    <x v="1"/>
    <x v="0"/>
    <x v="1"/>
    <n v="1"/>
    <n v="0"/>
    <n v="10"/>
    <n v="7"/>
    <n v="0"/>
    <n v="0"/>
    <n v="7"/>
    <n v="1"/>
    <x v="3"/>
  </r>
  <r>
    <x v="1887"/>
    <n v="30261"/>
    <n v="1"/>
    <n v="2"/>
    <n v="75"/>
    <n v="8"/>
    <n v="0"/>
    <n v="5"/>
    <n v="0"/>
    <n v="3"/>
    <n v="6"/>
    <n v="1"/>
    <n v="0"/>
    <n v="0"/>
    <n v="3"/>
    <n v="8"/>
    <n v="0"/>
    <n v="0"/>
    <n v="0"/>
    <n v="0"/>
    <n v="0"/>
    <x v="0"/>
    <n v="0"/>
    <n v="3"/>
    <n v="11"/>
    <n v="0"/>
    <n v="48"/>
    <n v="2801"/>
    <n v="7.6739726027397257"/>
    <n v="0"/>
    <n v="0"/>
    <n v="0"/>
    <n v="1"/>
    <n v="0"/>
    <n v="0"/>
    <n v="0"/>
    <n v="1"/>
    <n v="0"/>
    <n v="0"/>
    <n v="16"/>
    <n v="10"/>
    <n v="6"/>
    <n v="0"/>
    <x v="0"/>
    <x v="0"/>
    <x v="2"/>
    <x v="0"/>
    <x v="0"/>
    <x v="0"/>
    <n v="1"/>
    <n v="0"/>
    <n v="12"/>
    <n v="3.0000000000000004"/>
    <n v="1"/>
    <n v="0"/>
    <n v="4"/>
    <n v="0"/>
    <x v="4"/>
  </r>
  <r>
    <x v="1888"/>
    <n v="30560"/>
    <n v="1"/>
    <n v="0"/>
    <n v="6"/>
    <n v="9"/>
    <n v="1"/>
    <n v="5"/>
    <n v="4"/>
    <n v="5"/>
    <n v="7"/>
    <n v="1"/>
    <n v="1"/>
    <n v="0"/>
    <n v="3"/>
    <n v="7"/>
    <n v="0"/>
    <n v="0"/>
    <n v="0"/>
    <n v="0"/>
    <n v="0"/>
    <x v="0"/>
    <n v="0"/>
    <n v="3"/>
    <n v="11"/>
    <n v="0"/>
    <n v="44"/>
    <n v="2526"/>
    <n v="6.9205479452054792"/>
    <n v="0"/>
    <n v="0"/>
    <n v="0"/>
    <n v="1"/>
    <n v="0"/>
    <n v="0"/>
    <n v="0"/>
    <n v="0"/>
    <n v="1"/>
    <n v="0"/>
    <n v="24"/>
    <n v="17"/>
    <n v="7"/>
    <n v="0"/>
    <x v="0"/>
    <x v="0"/>
    <x v="2"/>
    <x v="1"/>
    <x v="0"/>
    <x v="0"/>
    <n v="0"/>
    <n v="0"/>
    <n v="12"/>
    <n v="10"/>
    <n v="1"/>
    <n v="0"/>
    <n v="11"/>
    <n v="2"/>
    <x v="3"/>
  </r>
  <r>
    <x v="1889"/>
    <n v="30801"/>
    <n v="0"/>
    <n v="1"/>
    <n v="23"/>
    <n v="8"/>
    <n v="4"/>
    <n v="5"/>
    <n v="15"/>
    <n v="2"/>
    <n v="11"/>
    <n v="2"/>
    <n v="1"/>
    <n v="0"/>
    <n v="3"/>
    <n v="7"/>
    <n v="0"/>
    <n v="0"/>
    <n v="0"/>
    <n v="0"/>
    <n v="0"/>
    <x v="0"/>
    <n v="0"/>
    <n v="3"/>
    <n v="11"/>
    <n v="0"/>
    <n v="45"/>
    <n v="2770"/>
    <n v="7.5890410958904111"/>
    <n v="0"/>
    <n v="1"/>
    <n v="0"/>
    <n v="0"/>
    <n v="0"/>
    <n v="0"/>
    <n v="1"/>
    <n v="0"/>
    <n v="0"/>
    <n v="0"/>
    <n v="34"/>
    <n v="23"/>
    <n v="11"/>
    <n v="0"/>
    <x v="0"/>
    <x v="0"/>
    <x v="0"/>
    <x v="2"/>
    <x v="0"/>
    <x v="0"/>
    <n v="0"/>
    <n v="0"/>
    <n v="13"/>
    <n v="8"/>
    <n v="1"/>
    <n v="1"/>
    <n v="10"/>
    <n v="2"/>
    <x v="3"/>
  </r>
  <r>
    <x v="1890"/>
    <n v="31686"/>
    <n v="1"/>
    <n v="1"/>
    <n v="31"/>
    <n v="11"/>
    <n v="0"/>
    <n v="5"/>
    <n v="0"/>
    <n v="0"/>
    <n v="1"/>
    <n v="2"/>
    <n v="1"/>
    <n v="0"/>
    <n v="3"/>
    <n v="6"/>
    <n v="0"/>
    <n v="0"/>
    <n v="0"/>
    <n v="0"/>
    <n v="0"/>
    <x v="0"/>
    <n v="0"/>
    <n v="3"/>
    <n v="11"/>
    <n v="0"/>
    <n v="56"/>
    <n v="2183"/>
    <n v="5.9808219178082194"/>
    <n v="0"/>
    <n v="1"/>
    <n v="0"/>
    <n v="0"/>
    <n v="0"/>
    <n v="0"/>
    <n v="0"/>
    <n v="0"/>
    <n v="0"/>
    <n v="1"/>
    <n v="16"/>
    <n v="15"/>
    <n v="1"/>
    <n v="0"/>
    <x v="0"/>
    <x v="0"/>
    <x v="0"/>
    <x v="1"/>
    <x v="0"/>
    <x v="1"/>
    <n v="1"/>
    <n v="0"/>
    <n v="12"/>
    <n v="7"/>
    <n v="1"/>
    <n v="0"/>
    <n v="8"/>
    <n v="1"/>
    <x v="3"/>
  </r>
  <r>
    <x v="1891"/>
    <n v="31878"/>
    <n v="0"/>
    <n v="1"/>
    <n v="7"/>
    <n v="23"/>
    <n v="4"/>
    <n v="5"/>
    <n v="10"/>
    <n v="5"/>
    <n v="23"/>
    <n v="1"/>
    <n v="1"/>
    <n v="0"/>
    <n v="4"/>
    <n v="3"/>
    <n v="0"/>
    <n v="0"/>
    <n v="0"/>
    <n v="0"/>
    <n v="0"/>
    <x v="0"/>
    <n v="0"/>
    <n v="3"/>
    <n v="11"/>
    <n v="0"/>
    <n v="43"/>
    <n v="2166"/>
    <n v="5.934246575342466"/>
    <n v="0"/>
    <n v="0"/>
    <n v="1"/>
    <n v="0"/>
    <n v="0"/>
    <n v="1"/>
    <n v="0"/>
    <n v="0"/>
    <n v="0"/>
    <n v="0"/>
    <n v="47"/>
    <n v="24"/>
    <n v="23"/>
    <n v="0"/>
    <x v="0"/>
    <x v="0"/>
    <x v="1"/>
    <x v="1"/>
    <x v="0"/>
    <x v="0"/>
    <n v="0"/>
    <n v="0"/>
    <n v="9"/>
    <n v="10"/>
    <n v="0"/>
    <n v="2"/>
    <n v="12"/>
    <n v="3"/>
    <x v="3"/>
  </r>
  <r>
    <x v="1892"/>
    <n v="31880"/>
    <n v="1"/>
    <n v="0"/>
    <n v="13"/>
    <n v="4"/>
    <n v="1"/>
    <n v="5"/>
    <n v="2"/>
    <n v="0"/>
    <n v="3"/>
    <n v="1"/>
    <n v="1"/>
    <n v="0"/>
    <n v="2"/>
    <n v="8"/>
    <n v="0"/>
    <n v="0"/>
    <n v="0"/>
    <n v="0"/>
    <n v="0"/>
    <x v="0"/>
    <n v="0"/>
    <n v="3"/>
    <n v="11"/>
    <n v="0"/>
    <n v="50"/>
    <n v="2765"/>
    <n v="7.5753424657534243"/>
    <n v="0"/>
    <n v="0"/>
    <n v="0"/>
    <n v="0"/>
    <n v="1"/>
    <n v="0"/>
    <n v="0"/>
    <n v="1"/>
    <n v="0"/>
    <n v="0"/>
    <n v="12"/>
    <n v="9"/>
    <n v="3"/>
    <n v="0"/>
    <x v="0"/>
    <x v="0"/>
    <x v="4"/>
    <x v="0"/>
    <x v="0"/>
    <x v="0"/>
    <n v="0"/>
    <n v="0"/>
    <n v="12"/>
    <n v="9"/>
    <n v="1"/>
    <n v="0"/>
    <n v="10"/>
    <n v="2"/>
    <x v="3"/>
  </r>
  <r>
    <x v="1893"/>
    <n v="32414"/>
    <n v="0"/>
    <n v="0"/>
    <n v="11"/>
    <n v="20"/>
    <n v="6"/>
    <n v="5"/>
    <n v="0"/>
    <n v="9"/>
    <n v="12"/>
    <n v="1"/>
    <n v="1"/>
    <n v="0"/>
    <n v="3"/>
    <n v="7"/>
    <n v="0"/>
    <n v="0"/>
    <n v="1"/>
    <n v="0"/>
    <n v="0"/>
    <x v="1"/>
    <n v="0"/>
    <n v="3"/>
    <n v="11"/>
    <n v="0"/>
    <n v="36"/>
    <n v="2519"/>
    <n v="6.9013698630136986"/>
    <n v="0"/>
    <n v="0"/>
    <n v="0"/>
    <n v="1"/>
    <n v="0"/>
    <n v="1"/>
    <n v="0"/>
    <n v="0"/>
    <n v="0"/>
    <n v="0"/>
    <n v="40"/>
    <n v="28"/>
    <n v="12"/>
    <n v="1"/>
    <x v="1"/>
    <x v="1"/>
    <x v="2"/>
    <x v="1"/>
    <x v="0"/>
    <x v="3"/>
    <n v="0"/>
    <n v="0"/>
    <n v="12"/>
    <n v="9"/>
    <n v="1"/>
    <n v="1"/>
    <n v="11"/>
    <n v="2"/>
    <x v="3"/>
  </r>
  <r>
    <x v="1894"/>
    <n v="33581"/>
    <n v="2"/>
    <n v="0"/>
    <n v="38"/>
    <n v="11"/>
    <n v="0"/>
    <n v="5"/>
    <n v="0"/>
    <n v="0"/>
    <n v="1"/>
    <n v="1"/>
    <n v="1"/>
    <n v="0"/>
    <n v="2"/>
    <n v="8"/>
    <n v="0"/>
    <n v="0"/>
    <n v="0"/>
    <n v="0"/>
    <n v="0"/>
    <x v="0"/>
    <n v="0"/>
    <n v="3"/>
    <n v="11"/>
    <n v="0"/>
    <n v="51"/>
    <n v="2696"/>
    <n v="7.3863013698630136"/>
    <n v="0"/>
    <n v="1"/>
    <n v="0"/>
    <n v="0"/>
    <n v="0"/>
    <n v="0"/>
    <n v="0"/>
    <n v="0"/>
    <n v="0"/>
    <n v="1"/>
    <n v="16"/>
    <n v="15"/>
    <n v="1"/>
    <n v="0"/>
    <x v="0"/>
    <x v="0"/>
    <x v="0"/>
    <x v="1"/>
    <x v="0"/>
    <x v="1"/>
    <n v="1"/>
    <n v="0"/>
    <n v="12"/>
    <n v="7"/>
    <n v="1"/>
    <n v="0"/>
    <n v="8"/>
    <n v="1"/>
    <x v="3"/>
  </r>
  <r>
    <x v="1895"/>
    <n v="34109"/>
    <n v="0"/>
    <n v="1"/>
    <n v="39"/>
    <n v="9"/>
    <n v="1"/>
    <n v="5"/>
    <n v="2"/>
    <n v="1"/>
    <n v="4"/>
    <n v="1"/>
    <n v="0"/>
    <n v="0"/>
    <n v="3"/>
    <n v="4"/>
    <n v="0"/>
    <n v="0"/>
    <n v="0"/>
    <n v="0"/>
    <n v="0"/>
    <x v="0"/>
    <n v="0"/>
    <n v="3"/>
    <n v="11"/>
    <n v="0"/>
    <n v="49"/>
    <n v="2394"/>
    <n v="6.558904109589041"/>
    <n v="0"/>
    <n v="1"/>
    <n v="0"/>
    <n v="0"/>
    <n v="0"/>
    <n v="0"/>
    <n v="0"/>
    <n v="0"/>
    <n v="1"/>
    <n v="0"/>
    <n v="18"/>
    <n v="14"/>
    <n v="4"/>
    <n v="0"/>
    <x v="0"/>
    <x v="0"/>
    <x v="0"/>
    <x v="1"/>
    <x v="0"/>
    <x v="0"/>
    <n v="1"/>
    <n v="0"/>
    <n v="8"/>
    <n v="7"/>
    <n v="0"/>
    <n v="0"/>
    <n v="7"/>
    <n v="1"/>
    <x v="3"/>
  </r>
  <r>
    <x v="1896"/>
    <n v="34633"/>
    <n v="2"/>
    <n v="1"/>
    <n v="31"/>
    <n v="8"/>
    <n v="1"/>
    <n v="5"/>
    <n v="0"/>
    <n v="0"/>
    <n v="1"/>
    <n v="1"/>
    <n v="1"/>
    <n v="0"/>
    <n v="2"/>
    <n v="6"/>
    <n v="0"/>
    <n v="0"/>
    <n v="0"/>
    <n v="0"/>
    <n v="0"/>
    <x v="0"/>
    <n v="0"/>
    <n v="3"/>
    <n v="11"/>
    <n v="0"/>
    <n v="64"/>
    <n v="2316"/>
    <n v="6.3452054794520549"/>
    <n v="0"/>
    <n v="0"/>
    <n v="0"/>
    <n v="1"/>
    <n v="0"/>
    <n v="0"/>
    <n v="0"/>
    <n v="1"/>
    <n v="0"/>
    <n v="0"/>
    <n v="14"/>
    <n v="13"/>
    <n v="1"/>
    <n v="0"/>
    <x v="0"/>
    <x v="0"/>
    <x v="2"/>
    <x v="0"/>
    <x v="0"/>
    <x v="2"/>
    <n v="1"/>
    <n v="0"/>
    <n v="10"/>
    <n v="7"/>
    <n v="0"/>
    <n v="0"/>
    <n v="7"/>
    <n v="1"/>
    <x v="3"/>
  </r>
  <r>
    <x v="1897"/>
    <n v="34704"/>
    <n v="0"/>
    <n v="1"/>
    <n v="65"/>
    <n v="29"/>
    <n v="0"/>
    <n v="5"/>
    <n v="0"/>
    <n v="1"/>
    <n v="5"/>
    <n v="1"/>
    <n v="1"/>
    <n v="0"/>
    <n v="3"/>
    <n v="5"/>
    <n v="0"/>
    <n v="0"/>
    <n v="0"/>
    <n v="0"/>
    <n v="0"/>
    <x v="0"/>
    <n v="0"/>
    <n v="3"/>
    <n v="11"/>
    <n v="0"/>
    <n v="54"/>
    <n v="2587"/>
    <n v="7.087671232876712"/>
    <n v="0"/>
    <n v="0"/>
    <n v="1"/>
    <n v="0"/>
    <n v="0"/>
    <n v="0"/>
    <n v="0"/>
    <n v="1"/>
    <n v="0"/>
    <n v="0"/>
    <n v="35"/>
    <n v="30"/>
    <n v="5"/>
    <n v="0"/>
    <x v="0"/>
    <x v="0"/>
    <x v="1"/>
    <x v="0"/>
    <x v="0"/>
    <x v="1"/>
    <n v="1"/>
    <n v="0"/>
    <n v="10"/>
    <n v="4"/>
    <n v="0"/>
    <n v="1"/>
    <n v="5"/>
    <n v="0"/>
    <x v="4"/>
  </r>
  <r>
    <x v="1898"/>
    <n v="35791"/>
    <n v="2"/>
    <n v="1"/>
    <n v="94"/>
    <n v="27"/>
    <n v="0"/>
    <n v="5"/>
    <n v="0"/>
    <n v="0"/>
    <n v="3"/>
    <n v="2"/>
    <n v="1"/>
    <n v="0"/>
    <n v="3"/>
    <n v="8"/>
    <n v="0"/>
    <n v="0"/>
    <n v="0"/>
    <n v="0"/>
    <n v="0"/>
    <x v="0"/>
    <n v="0"/>
    <n v="3"/>
    <n v="11"/>
    <n v="0"/>
    <n v="55"/>
    <n v="2578"/>
    <n v="7.0630136986301366"/>
    <n v="0"/>
    <n v="0"/>
    <n v="1"/>
    <n v="0"/>
    <n v="0"/>
    <n v="0"/>
    <n v="0"/>
    <n v="0"/>
    <n v="1"/>
    <n v="0"/>
    <n v="32"/>
    <n v="29"/>
    <n v="3"/>
    <n v="0"/>
    <x v="0"/>
    <x v="0"/>
    <x v="1"/>
    <x v="1"/>
    <x v="3"/>
    <x v="1"/>
    <n v="1"/>
    <n v="1"/>
    <n v="14"/>
    <n v="0.99999999999999978"/>
    <n v="2"/>
    <n v="1"/>
    <n v="4"/>
    <n v="0"/>
    <x v="4"/>
  </r>
  <r>
    <x v="1899"/>
    <n v="36283"/>
    <n v="1"/>
    <n v="1"/>
    <n v="42"/>
    <n v="6"/>
    <n v="5"/>
    <n v="5"/>
    <n v="8"/>
    <n v="0"/>
    <n v="5"/>
    <n v="2"/>
    <n v="1"/>
    <n v="0"/>
    <n v="3"/>
    <n v="4"/>
    <n v="0"/>
    <n v="0"/>
    <n v="0"/>
    <n v="0"/>
    <n v="0"/>
    <x v="0"/>
    <n v="0"/>
    <n v="3"/>
    <n v="11"/>
    <n v="0"/>
    <n v="44"/>
    <n v="2235"/>
    <n v="6.1232876712328768"/>
    <n v="0"/>
    <n v="0"/>
    <n v="0"/>
    <n v="1"/>
    <n v="0"/>
    <n v="0"/>
    <n v="0"/>
    <n v="1"/>
    <n v="0"/>
    <n v="0"/>
    <n v="24"/>
    <n v="19"/>
    <n v="5"/>
    <n v="0"/>
    <x v="0"/>
    <x v="0"/>
    <x v="2"/>
    <x v="0"/>
    <x v="3"/>
    <x v="0"/>
    <n v="1"/>
    <n v="0"/>
    <n v="10"/>
    <n v="6"/>
    <n v="0"/>
    <n v="0"/>
    <n v="6"/>
    <n v="0"/>
    <x v="4"/>
  </r>
  <r>
    <x v="1900"/>
    <n v="36627"/>
    <n v="2"/>
    <n v="0"/>
    <n v="78"/>
    <n v="9"/>
    <n v="1"/>
    <n v="5"/>
    <n v="0"/>
    <n v="0"/>
    <n v="1"/>
    <n v="1"/>
    <n v="0"/>
    <n v="0"/>
    <n v="3"/>
    <n v="5"/>
    <n v="0"/>
    <n v="0"/>
    <n v="0"/>
    <n v="0"/>
    <n v="0"/>
    <x v="0"/>
    <n v="0"/>
    <n v="3"/>
    <n v="11"/>
    <n v="0"/>
    <n v="45"/>
    <n v="2500"/>
    <n v="6.8493150684931505"/>
    <n v="1"/>
    <n v="0"/>
    <n v="0"/>
    <n v="0"/>
    <n v="0"/>
    <n v="0"/>
    <n v="0"/>
    <n v="1"/>
    <n v="0"/>
    <n v="0"/>
    <n v="15"/>
    <n v="14"/>
    <n v="1"/>
    <n v="0"/>
    <x v="0"/>
    <x v="0"/>
    <x v="3"/>
    <x v="0"/>
    <x v="3"/>
    <x v="0"/>
    <n v="1"/>
    <n v="0"/>
    <n v="9"/>
    <n v="3.0000000000000004"/>
    <n v="0"/>
    <n v="0"/>
    <n v="3.0000000000000004"/>
    <n v="0"/>
    <x v="4"/>
  </r>
  <r>
    <x v="1901"/>
    <n v="36807"/>
    <n v="1"/>
    <n v="1"/>
    <n v="88"/>
    <n v="4"/>
    <n v="2"/>
    <n v="5"/>
    <n v="0"/>
    <n v="0"/>
    <n v="5"/>
    <n v="1"/>
    <n v="1"/>
    <n v="0"/>
    <n v="2"/>
    <n v="6"/>
    <n v="0"/>
    <n v="0"/>
    <n v="0"/>
    <n v="0"/>
    <n v="0"/>
    <x v="0"/>
    <n v="0"/>
    <n v="3"/>
    <n v="11"/>
    <n v="0"/>
    <n v="66"/>
    <n v="2715"/>
    <n v="7.4383561643835616"/>
    <n v="0"/>
    <n v="0"/>
    <n v="0"/>
    <n v="1"/>
    <n v="0"/>
    <n v="0"/>
    <n v="0"/>
    <n v="1"/>
    <n v="0"/>
    <n v="0"/>
    <n v="11"/>
    <n v="6"/>
    <n v="5"/>
    <n v="0"/>
    <x v="0"/>
    <x v="0"/>
    <x v="2"/>
    <x v="0"/>
    <x v="3"/>
    <x v="2"/>
    <n v="1"/>
    <n v="0"/>
    <n v="10"/>
    <n v="1.9999999999999996"/>
    <n v="0"/>
    <n v="0"/>
    <n v="1.9999999999999996"/>
    <n v="0"/>
    <x v="4"/>
  </r>
  <r>
    <x v="1902"/>
    <n v="38285"/>
    <n v="2"/>
    <n v="1"/>
    <n v="96"/>
    <n v="2"/>
    <n v="0"/>
    <n v="5"/>
    <n v="2"/>
    <n v="0"/>
    <n v="1"/>
    <n v="1"/>
    <n v="0"/>
    <n v="0"/>
    <n v="3"/>
    <n v="2"/>
    <n v="0"/>
    <n v="0"/>
    <n v="0"/>
    <n v="0"/>
    <n v="0"/>
    <x v="0"/>
    <n v="0"/>
    <n v="3"/>
    <n v="11"/>
    <n v="0"/>
    <n v="61"/>
    <n v="2164"/>
    <n v="5.9287671232876713"/>
    <n v="0"/>
    <n v="0"/>
    <n v="0"/>
    <n v="1"/>
    <n v="0"/>
    <n v="0"/>
    <n v="0"/>
    <n v="1"/>
    <n v="0"/>
    <n v="0"/>
    <n v="9"/>
    <n v="8"/>
    <n v="1"/>
    <n v="0"/>
    <x v="0"/>
    <x v="0"/>
    <x v="2"/>
    <x v="0"/>
    <x v="3"/>
    <x v="2"/>
    <n v="1"/>
    <n v="1"/>
    <n v="6"/>
    <n v="0.99999999999999978"/>
    <n v="0"/>
    <n v="0"/>
    <n v="0.99999999999999978"/>
    <n v="0"/>
    <x v="4"/>
  </r>
  <r>
    <x v="1903"/>
    <n v="38443"/>
    <n v="1"/>
    <n v="1"/>
    <n v="58"/>
    <n v="32"/>
    <n v="0"/>
    <n v="5"/>
    <n v="0"/>
    <n v="0"/>
    <n v="1"/>
    <n v="2"/>
    <n v="1"/>
    <n v="0"/>
    <n v="3"/>
    <n v="7"/>
    <n v="0"/>
    <n v="0"/>
    <n v="0"/>
    <n v="0"/>
    <n v="0"/>
    <x v="0"/>
    <n v="0"/>
    <n v="3"/>
    <n v="11"/>
    <n v="0"/>
    <n v="52"/>
    <n v="2312"/>
    <n v="6.3342465753424655"/>
    <n v="0"/>
    <n v="1"/>
    <n v="0"/>
    <n v="0"/>
    <n v="0"/>
    <n v="0"/>
    <n v="0"/>
    <n v="0"/>
    <n v="0"/>
    <n v="1"/>
    <n v="37"/>
    <n v="36"/>
    <n v="1"/>
    <n v="0"/>
    <x v="0"/>
    <x v="0"/>
    <x v="0"/>
    <x v="1"/>
    <x v="3"/>
    <x v="1"/>
    <n v="1"/>
    <n v="0"/>
    <n v="13"/>
    <n v="5"/>
    <n v="1"/>
    <n v="1"/>
    <n v="7"/>
    <n v="1"/>
    <x v="3"/>
  </r>
  <r>
    <x v="1904"/>
    <n v="39722"/>
    <n v="0"/>
    <n v="1"/>
    <n v="92"/>
    <n v="32"/>
    <n v="0"/>
    <n v="5"/>
    <n v="2"/>
    <n v="0"/>
    <n v="8"/>
    <n v="2"/>
    <n v="2"/>
    <n v="0"/>
    <n v="3"/>
    <n v="5"/>
    <n v="0"/>
    <n v="0"/>
    <n v="0"/>
    <n v="0"/>
    <n v="0"/>
    <x v="0"/>
    <n v="0"/>
    <n v="3"/>
    <n v="11"/>
    <n v="0"/>
    <n v="67"/>
    <n v="2284"/>
    <n v="6.2575342465753421"/>
    <n v="0"/>
    <n v="1"/>
    <n v="0"/>
    <n v="0"/>
    <n v="0"/>
    <n v="0"/>
    <n v="0"/>
    <n v="1"/>
    <n v="0"/>
    <n v="0"/>
    <n v="39"/>
    <n v="31"/>
    <n v="8"/>
    <n v="0"/>
    <x v="0"/>
    <x v="0"/>
    <x v="0"/>
    <x v="0"/>
    <x v="3"/>
    <x v="2"/>
    <n v="1"/>
    <n v="1"/>
    <n v="12"/>
    <n v="0.99999999999999978"/>
    <n v="1"/>
    <n v="1"/>
    <n v="3"/>
    <n v="0"/>
    <x v="4"/>
  </r>
  <r>
    <x v="1905"/>
    <n v="40521"/>
    <n v="1"/>
    <n v="1"/>
    <n v="82"/>
    <n v="12"/>
    <n v="0"/>
    <n v="5"/>
    <n v="0"/>
    <n v="0"/>
    <n v="4"/>
    <n v="1"/>
    <n v="0"/>
    <n v="1"/>
    <n v="2"/>
    <n v="5"/>
    <n v="0"/>
    <n v="0"/>
    <n v="0"/>
    <n v="0"/>
    <n v="0"/>
    <x v="0"/>
    <n v="0"/>
    <n v="3"/>
    <n v="11"/>
    <n v="0"/>
    <n v="52"/>
    <n v="2609"/>
    <n v="7.1479452054794521"/>
    <n v="0"/>
    <n v="0"/>
    <n v="0"/>
    <n v="1"/>
    <n v="0"/>
    <n v="0"/>
    <n v="0"/>
    <n v="1"/>
    <n v="0"/>
    <n v="0"/>
    <n v="17"/>
    <n v="13"/>
    <n v="4"/>
    <n v="0"/>
    <x v="0"/>
    <x v="0"/>
    <x v="2"/>
    <x v="0"/>
    <x v="3"/>
    <x v="1"/>
    <n v="1"/>
    <n v="0"/>
    <n v="9"/>
    <n v="1.9999999999999996"/>
    <n v="0"/>
    <n v="0"/>
    <n v="1.9999999999999996"/>
    <n v="0"/>
    <x v="4"/>
  </r>
  <r>
    <x v="1906"/>
    <n v="40548"/>
    <n v="0"/>
    <n v="1"/>
    <n v="31"/>
    <n v="110"/>
    <n v="0"/>
    <n v="5"/>
    <n v="2"/>
    <n v="0"/>
    <n v="3"/>
    <n v="2"/>
    <n v="2"/>
    <n v="1"/>
    <n v="4"/>
    <n v="5"/>
    <n v="0"/>
    <n v="0"/>
    <n v="0"/>
    <n v="1"/>
    <n v="0"/>
    <x v="1"/>
    <n v="0"/>
    <n v="3"/>
    <n v="11"/>
    <n v="0"/>
    <n v="50"/>
    <n v="2786"/>
    <n v="7.6328767123287671"/>
    <n v="0"/>
    <n v="0"/>
    <n v="0"/>
    <n v="1"/>
    <n v="0"/>
    <n v="0"/>
    <n v="0"/>
    <n v="1"/>
    <n v="0"/>
    <n v="0"/>
    <n v="117"/>
    <n v="114"/>
    <n v="3"/>
    <n v="1"/>
    <x v="0"/>
    <x v="0"/>
    <x v="2"/>
    <x v="0"/>
    <x v="3"/>
    <x v="0"/>
    <n v="1"/>
    <n v="0"/>
    <n v="14"/>
    <n v="7"/>
    <n v="2"/>
    <n v="3"/>
    <n v="12"/>
    <n v="3"/>
    <x v="3"/>
  </r>
  <r>
    <x v="1907"/>
    <n v="42997"/>
    <n v="1"/>
    <n v="1"/>
    <n v="91"/>
    <n v="4"/>
    <n v="0"/>
    <n v="5"/>
    <n v="0"/>
    <n v="1"/>
    <n v="5"/>
    <n v="1"/>
    <n v="1"/>
    <n v="0"/>
    <n v="2"/>
    <n v="7"/>
    <n v="0"/>
    <n v="0"/>
    <n v="0"/>
    <n v="0"/>
    <n v="0"/>
    <x v="0"/>
    <n v="0"/>
    <n v="3"/>
    <n v="11"/>
    <n v="0"/>
    <n v="43"/>
    <n v="2363"/>
    <n v="6.4739726027397264"/>
    <n v="0"/>
    <n v="0"/>
    <n v="1"/>
    <n v="0"/>
    <n v="0"/>
    <n v="0"/>
    <n v="0"/>
    <n v="0"/>
    <n v="0"/>
    <n v="1"/>
    <n v="10"/>
    <n v="5"/>
    <n v="5"/>
    <n v="0"/>
    <x v="0"/>
    <x v="0"/>
    <x v="1"/>
    <x v="1"/>
    <x v="3"/>
    <x v="0"/>
    <n v="1"/>
    <n v="1"/>
    <n v="11"/>
    <n v="0.99999999999999978"/>
    <n v="0"/>
    <n v="0"/>
    <n v="0.99999999999999978"/>
    <n v="0"/>
    <x v="4"/>
  </r>
  <r>
    <x v="1908"/>
    <n v="44689"/>
    <n v="1"/>
    <n v="1"/>
    <n v="82"/>
    <n v="18"/>
    <n v="0"/>
    <n v="5"/>
    <n v="0"/>
    <n v="0"/>
    <n v="11"/>
    <n v="2"/>
    <n v="1"/>
    <n v="1"/>
    <n v="2"/>
    <n v="7"/>
    <n v="0"/>
    <n v="0"/>
    <n v="1"/>
    <n v="0"/>
    <n v="0"/>
    <x v="1"/>
    <n v="0"/>
    <n v="3"/>
    <n v="11"/>
    <n v="0"/>
    <n v="69"/>
    <n v="2329"/>
    <n v="6.3808219178082188"/>
    <n v="0"/>
    <n v="1"/>
    <n v="0"/>
    <n v="0"/>
    <n v="0"/>
    <n v="0"/>
    <n v="0"/>
    <n v="1"/>
    <n v="0"/>
    <n v="0"/>
    <n v="23"/>
    <n v="12"/>
    <n v="11"/>
    <n v="1"/>
    <x v="0"/>
    <x v="0"/>
    <x v="0"/>
    <x v="0"/>
    <x v="3"/>
    <x v="2"/>
    <n v="1"/>
    <n v="0"/>
    <n v="13"/>
    <n v="1.9999999999999996"/>
    <n v="1"/>
    <n v="0"/>
    <n v="2.9999999999999996"/>
    <n v="0"/>
    <x v="4"/>
  </r>
  <r>
    <x v="1909"/>
    <n v="45146"/>
    <n v="1"/>
    <n v="1"/>
    <n v="28"/>
    <n v="33"/>
    <n v="0"/>
    <n v="5"/>
    <n v="0"/>
    <n v="0"/>
    <n v="15"/>
    <n v="2"/>
    <n v="1"/>
    <n v="1"/>
    <n v="2"/>
    <n v="4"/>
    <n v="0"/>
    <n v="0"/>
    <n v="0"/>
    <n v="0"/>
    <n v="0"/>
    <x v="0"/>
    <n v="0"/>
    <n v="3"/>
    <n v="11"/>
    <n v="0"/>
    <n v="57"/>
    <n v="2508"/>
    <n v="6.8712328767123285"/>
    <n v="1"/>
    <n v="0"/>
    <n v="0"/>
    <n v="0"/>
    <n v="0"/>
    <n v="0"/>
    <n v="0"/>
    <n v="1"/>
    <n v="0"/>
    <n v="0"/>
    <n v="38"/>
    <n v="23"/>
    <n v="15"/>
    <n v="0"/>
    <x v="0"/>
    <x v="0"/>
    <x v="3"/>
    <x v="0"/>
    <x v="3"/>
    <x v="1"/>
    <n v="0"/>
    <n v="0"/>
    <n v="10"/>
    <n v="8"/>
    <n v="0"/>
    <n v="1"/>
    <n v="9"/>
    <n v="1"/>
    <x v="3"/>
  </r>
  <r>
    <x v="1910"/>
    <n v="45160"/>
    <n v="1"/>
    <n v="1"/>
    <n v="9"/>
    <n v="8"/>
    <n v="2"/>
    <n v="5"/>
    <n v="3"/>
    <n v="0"/>
    <n v="3"/>
    <n v="1"/>
    <n v="1"/>
    <n v="0"/>
    <n v="2"/>
    <n v="7"/>
    <n v="0"/>
    <n v="0"/>
    <n v="0"/>
    <n v="0"/>
    <n v="0"/>
    <x v="0"/>
    <n v="0"/>
    <n v="3"/>
    <n v="11"/>
    <n v="0"/>
    <n v="62"/>
    <n v="2251"/>
    <n v="6.1671232876712327"/>
    <n v="0"/>
    <n v="0"/>
    <n v="1"/>
    <n v="0"/>
    <n v="0"/>
    <n v="0"/>
    <n v="0"/>
    <n v="1"/>
    <n v="0"/>
    <n v="0"/>
    <n v="18"/>
    <n v="15"/>
    <n v="3"/>
    <n v="0"/>
    <x v="0"/>
    <x v="0"/>
    <x v="1"/>
    <x v="0"/>
    <x v="3"/>
    <x v="2"/>
    <n v="0"/>
    <n v="0"/>
    <n v="11"/>
    <n v="10"/>
    <n v="0"/>
    <n v="0"/>
    <n v="10"/>
    <n v="2"/>
    <x v="3"/>
  </r>
  <r>
    <x v="1911"/>
    <n v="45684"/>
    <n v="1"/>
    <n v="0"/>
    <n v="37"/>
    <n v="5"/>
    <n v="1"/>
    <n v="5"/>
    <n v="10"/>
    <n v="0"/>
    <n v="7"/>
    <n v="1"/>
    <n v="1"/>
    <n v="0"/>
    <n v="2"/>
    <n v="7"/>
    <n v="0"/>
    <n v="0"/>
    <n v="0"/>
    <n v="0"/>
    <n v="0"/>
    <x v="0"/>
    <n v="0"/>
    <n v="3"/>
    <n v="11"/>
    <n v="0"/>
    <n v="49"/>
    <n v="2368"/>
    <n v="6.4876712328767123"/>
    <n v="0"/>
    <n v="0"/>
    <n v="0"/>
    <n v="0"/>
    <n v="1"/>
    <n v="0"/>
    <n v="0"/>
    <n v="1"/>
    <n v="0"/>
    <n v="0"/>
    <n v="21"/>
    <n v="14"/>
    <n v="7"/>
    <n v="0"/>
    <x v="0"/>
    <x v="0"/>
    <x v="4"/>
    <x v="0"/>
    <x v="3"/>
    <x v="0"/>
    <n v="1"/>
    <n v="0"/>
    <n v="11"/>
    <n v="7"/>
    <n v="0"/>
    <n v="0"/>
    <n v="7"/>
    <n v="1"/>
    <x v="3"/>
  </r>
  <r>
    <x v="1912"/>
    <n v="47823"/>
    <n v="0"/>
    <n v="1"/>
    <n v="0"/>
    <n v="53"/>
    <n v="1"/>
    <n v="5"/>
    <n v="2"/>
    <n v="1"/>
    <n v="10"/>
    <n v="2"/>
    <n v="2"/>
    <n v="0"/>
    <n v="3"/>
    <n v="8"/>
    <n v="0"/>
    <n v="0"/>
    <n v="0"/>
    <n v="0"/>
    <n v="0"/>
    <x v="0"/>
    <n v="0"/>
    <n v="3"/>
    <n v="11"/>
    <n v="0"/>
    <n v="60"/>
    <n v="2500"/>
    <n v="6.8493150684931505"/>
    <n v="0"/>
    <n v="0"/>
    <n v="1"/>
    <n v="0"/>
    <n v="0"/>
    <n v="1"/>
    <n v="0"/>
    <n v="0"/>
    <n v="0"/>
    <n v="0"/>
    <n v="62"/>
    <n v="52"/>
    <n v="10"/>
    <n v="0"/>
    <x v="0"/>
    <x v="0"/>
    <x v="1"/>
    <x v="1"/>
    <x v="3"/>
    <x v="1"/>
    <n v="0"/>
    <n v="0"/>
    <n v="15"/>
    <n v="10"/>
    <n v="2"/>
    <n v="2"/>
    <n v="14"/>
    <n v="4"/>
    <x v="3"/>
  </r>
  <r>
    <x v="1913"/>
    <n v="54432"/>
    <n v="2"/>
    <n v="1"/>
    <n v="37"/>
    <n v="33"/>
    <n v="0"/>
    <n v="5"/>
    <n v="0"/>
    <n v="0"/>
    <n v="0"/>
    <n v="1"/>
    <n v="1"/>
    <n v="0"/>
    <n v="3"/>
    <n v="4"/>
    <n v="0"/>
    <n v="0"/>
    <n v="0"/>
    <n v="0"/>
    <n v="0"/>
    <x v="0"/>
    <n v="0"/>
    <n v="3"/>
    <n v="11"/>
    <n v="0"/>
    <n v="70"/>
    <n v="2575"/>
    <n v="7.0547945205479454"/>
    <n v="0"/>
    <n v="1"/>
    <n v="0"/>
    <n v="0"/>
    <n v="0"/>
    <n v="0"/>
    <n v="0"/>
    <n v="0"/>
    <n v="0"/>
    <n v="1"/>
    <n v="38"/>
    <n v="38"/>
    <n v="0"/>
    <n v="0"/>
    <x v="0"/>
    <x v="0"/>
    <x v="0"/>
    <x v="1"/>
    <x v="2"/>
    <x v="2"/>
    <n v="1"/>
    <n v="0"/>
    <n v="9"/>
    <n v="7"/>
    <n v="0"/>
    <n v="1"/>
    <n v="8"/>
    <n v="1"/>
    <x v="3"/>
  </r>
  <r>
    <x v="1914"/>
    <n v="7500"/>
    <n v="1"/>
    <n v="1"/>
    <n v="5"/>
    <n v="6"/>
    <n v="5"/>
    <n v="4"/>
    <n v="13"/>
    <n v="4"/>
    <n v="25"/>
    <n v="4"/>
    <n v="2"/>
    <n v="1"/>
    <n v="3"/>
    <n v="6"/>
    <n v="0"/>
    <n v="0"/>
    <n v="0"/>
    <n v="0"/>
    <n v="0"/>
    <x v="0"/>
    <n v="0"/>
    <n v="3"/>
    <n v="11"/>
    <n v="0"/>
    <n v="42"/>
    <n v="2708"/>
    <n v="7.419178082191781"/>
    <n v="0"/>
    <n v="0"/>
    <n v="1"/>
    <n v="0"/>
    <n v="0"/>
    <n v="0"/>
    <n v="0"/>
    <n v="1"/>
    <n v="0"/>
    <n v="0"/>
    <n v="32"/>
    <n v="7"/>
    <n v="25"/>
    <n v="0"/>
    <x v="0"/>
    <x v="0"/>
    <x v="1"/>
    <x v="0"/>
    <x v="0"/>
    <x v="0"/>
    <n v="0"/>
    <n v="0"/>
    <n v="16"/>
    <n v="10"/>
    <n v="3"/>
    <n v="1"/>
    <n v="14"/>
    <n v="4"/>
    <x v="3"/>
  </r>
  <r>
    <x v="1915"/>
    <n v="15862"/>
    <n v="1"/>
    <n v="0"/>
    <n v="26"/>
    <n v="1"/>
    <n v="1"/>
    <n v="4"/>
    <n v="11"/>
    <n v="9"/>
    <n v="10"/>
    <n v="1"/>
    <n v="1"/>
    <n v="0"/>
    <n v="3"/>
    <n v="8"/>
    <n v="0"/>
    <n v="0"/>
    <n v="0"/>
    <n v="0"/>
    <n v="0"/>
    <x v="0"/>
    <n v="0"/>
    <n v="3"/>
    <n v="11"/>
    <n v="0"/>
    <n v="41"/>
    <n v="2526"/>
    <n v="6.9205479452054792"/>
    <n v="0"/>
    <n v="0"/>
    <n v="1"/>
    <n v="0"/>
    <n v="0"/>
    <n v="0"/>
    <n v="1"/>
    <n v="0"/>
    <n v="0"/>
    <n v="0"/>
    <n v="26"/>
    <n v="16"/>
    <n v="10"/>
    <n v="0"/>
    <x v="0"/>
    <x v="0"/>
    <x v="1"/>
    <x v="2"/>
    <x v="0"/>
    <x v="0"/>
    <n v="0"/>
    <n v="0"/>
    <n v="13"/>
    <n v="8"/>
    <n v="1"/>
    <n v="0"/>
    <n v="9"/>
    <n v="1"/>
    <x v="3"/>
  </r>
  <r>
    <x v="1916"/>
    <n v="16014"/>
    <n v="1"/>
    <n v="1"/>
    <n v="42"/>
    <n v="3"/>
    <n v="9"/>
    <n v="4"/>
    <n v="7"/>
    <n v="8"/>
    <n v="7"/>
    <n v="4"/>
    <n v="1"/>
    <n v="1"/>
    <n v="4"/>
    <n v="3"/>
    <n v="0"/>
    <n v="0"/>
    <n v="0"/>
    <n v="0"/>
    <n v="0"/>
    <x v="0"/>
    <n v="0"/>
    <n v="3"/>
    <n v="11"/>
    <n v="0"/>
    <n v="41"/>
    <n v="2628"/>
    <n v="7.2"/>
    <n v="0"/>
    <n v="0"/>
    <n v="1"/>
    <n v="0"/>
    <n v="0"/>
    <n v="0"/>
    <n v="1"/>
    <n v="0"/>
    <n v="0"/>
    <n v="0"/>
    <n v="31"/>
    <n v="24"/>
    <n v="7"/>
    <n v="0"/>
    <x v="0"/>
    <x v="0"/>
    <x v="1"/>
    <x v="2"/>
    <x v="0"/>
    <x v="0"/>
    <n v="1"/>
    <n v="0"/>
    <n v="13"/>
    <n v="6"/>
    <n v="1"/>
    <n v="1"/>
    <n v="8"/>
    <n v="1"/>
    <x v="3"/>
  </r>
  <r>
    <x v="1917"/>
    <n v="16581"/>
    <n v="0"/>
    <n v="0"/>
    <n v="51"/>
    <n v="1"/>
    <n v="3"/>
    <n v="4"/>
    <n v="2"/>
    <n v="3"/>
    <n v="11"/>
    <n v="1"/>
    <n v="0"/>
    <n v="0"/>
    <n v="3"/>
    <n v="4"/>
    <n v="0"/>
    <n v="0"/>
    <n v="0"/>
    <n v="0"/>
    <n v="0"/>
    <x v="0"/>
    <n v="0"/>
    <n v="3"/>
    <n v="11"/>
    <n v="0"/>
    <n v="35"/>
    <n v="2692"/>
    <n v="7.375342465753425"/>
    <n v="0"/>
    <n v="0"/>
    <n v="1"/>
    <n v="0"/>
    <n v="0"/>
    <n v="0"/>
    <n v="1"/>
    <n v="0"/>
    <n v="0"/>
    <n v="0"/>
    <n v="13"/>
    <n v="2"/>
    <n v="11"/>
    <n v="0"/>
    <x v="1"/>
    <x v="1"/>
    <x v="1"/>
    <x v="2"/>
    <x v="0"/>
    <x v="3"/>
    <n v="1"/>
    <n v="0"/>
    <n v="8"/>
    <n v="5"/>
    <n v="0"/>
    <n v="0"/>
    <n v="5"/>
    <n v="0"/>
    <x v="4"/>
  </r>
  <r>
    <x v="1918"/>
    <n v="16860"/>
    <n v="1"/>
    <n v="1"/>
    <n v="19"/>
    <n v="10"/>
    <n v="4"/>
    <n v="4"/>
    <n v="3"/>
    <n v="3"/>
    <n v="14"/>
    <n v="3"/>
    <n v="1"/>
    <n v="1"/>
    <n v="3"/>
    <n v="7"/>
    <n v="0"/>
    <n v="0"/>
    <n v="0"/>
    <n v="0"/>
    <n v="0"/>
    <x v="0"/>
    <n v="0"/>
    <n v="3"/>
    <n v="11"/>
    <n v="0"/>
    <n v="59"/>
    <n v="2814"/>
    <n v="7.7095890410958905"/>
    <n v="0"/>
    <n v="1"/>
    <n v="0"/>
    <n v="0"/>
    <n v="0"/>
    <n v="0"/>
    <n v="0"/>
    <n v="1"/>
    <n v="0"/>
    <n v="0"/>
    <n v="24"/>
    <n v="10"/>
    <n v="14"/>
    <n v="0"/>
    <x v="0"/>
    <x v="0"/>
    <x v="0"/>
    <x v="0"/>
    <x v="0"/>
    <x v="1"/>
    <n v="0"/>
    <n v="0"/>
    <n v="15"/>
    <n v="9"/>
    <n v="2"/>
    <n v="0"/>
    <n v="11"/>
    <n v="2"/>
    <x v="3"/>
  </r>
  <r>
    <x v="1919"/>
    <n v="19485"/>
    <n v="2"/>
    <n v="0"/>
    <n v="80"/>
    <n v="6"/>
    <n v="0"/>
    <n v="4"/>
    <n v="0"/>
    <n v="0"/>
    <n v="0"/>
    <n v="1"/>
    <n v="1"/>
    <n v="0"/>
    <n v="2"/>
    <n v="7"/>
    <n v="0"/>
    <n v="0"/>
    <n v="0"/>
    <n v="0"/>
    <n v="0"/>
    <x v="0"/>
    <n v="0"/>
    <n v="3"/>
    <n v="11"/>
    <n v="0"/>
    <n v="34"/>
    <n v="2437"/>
    <n v="6.6767123287671231"/>
    <n v="0"/>
    <n v="0"/>
    <n v="1"/>
    <n v="0"/>
    <n v="0"/>
    <n v="0"/>
    <n v="0"/>
    <n v="0"/>
    <n v="1"/>
    <n v="0"/>
    <n v="10"/>
    <n v="10"/>
    <n v="0"/>
    <n v="0"/>
    <x v="0"/>
    <x v="0"/>
    <x v="1"/>
    <x v="1"/>
    <x v="0"/>
    <x v="3"/>
    <n v="1"/>
    <n v="0"/>
    <n v="11"/>
    <n v="1.9999999999999996"/>
    <n v="0"/>
    <n v="0"/>
    <n v="1.9999999999999996"/>
    <n v="0"/>
    <x v="4"/>
  </r>
  <r>
    <x v="1920"/>
    <n v="20427"/>
    <n v="1"/>
    <n v="0"/>
    <n v="63"/>
    <n v="5"/>
    <n v="0"/>
    <n v="4"/>
    <n v="0"/>
    <n v="0"/>
    <n v="1"/>
    <n v="1"/>
    <n v="1"/>
    <n v="0"/>
    <n v="2"/>
    <n v="8"/>
    <n v="0"/>
    <n v="0"/>
    <n v="0"/>
    <n v="0"/>
    <n v="0"/>
    <x v="0"/>
    <n v="0"/>
    <n v="3"/>
    <n v="11"/>
    <n v="0"/>
    <n v="47"/>
    <n v="2256"/>
    <n v="6.1808219178082195"/>
    <n v="0"/>
    <n v="0"/>
    <n v="0"/>
    <n v="1"/>
    <n v="0"/>
    <n v="0"/>
    <n v="0"/>
    <n v="0"/>
    <n v="0"/>
    <n v="1"/>
    <n v="9"/>
    <n v="8"/>
    <n v="1"/>
    <n v="0"/>
    <x v="0"/>
    <x v="0"/>
    <x v="2"/>
    <x v="1"/>
    <x v="0"/>
    <x v="0"/>
    <n v="1"/>
    <n v="0"/>
    <n v="12"/>
    <n v="4"/>
    <n v="1"/>
    <n v="0"/>
    <n v="5"/>
    <n v="0"/>
    <x v="4"/>
  </r>
  <r>
    <x v="1921"/>
    <n v="22280"/>
    <n v="1"/>
    <n v="0"/>
    <n v="85"/>
    <n v="2"/>
    <n v="1"/>
    <n v="4"/>
    <n v="3"/>
    <n v="1"/>
    <n v="2"/>
    <n v="1"/>
    <n v="1"/>
    <n v="0"/>
    <n v="2"/>
    <n v="8"/>
    <n v="0"/>
    <n v="0"/>
    <n v="0"/>
    <n v="0"/>
    <n v="0"/>
    <x v="0"/>
    <n v="0"/>
    <n v="3"/>
    <n v="11"/>
    <n v="0"/>
    <n v="45"/>
    <n v="2565"/>
    <n v="7.0273972602739727"/>
    <n v="0"/>
    <n v="0"/>
    <n v="0"/>
    <n v="1"/>
    <n v="0"/>
    <n v="0"/>
    <n v="0"/>
    <n v="1"/>
    <n v="0"/>
    <n v="0"/>
    <n v="11"/>
    <n v="9"/>
    <n v="2"/>
    <n v="0"/>
    <x v="0"/>
    <x v="0"/>
    <x v="2"/>
    <x v="0"/>
    <x v="0"/>
    <x v="0"/>
    <n v="1"/>
    <n v="0"/>
    <n v="12"/>
    <n v="1.9999999999999996"/>
    <n v="1"/>
    <n v="0"/>
    <n v="2.9999999999999996"/>
    <n v="0"/>
    <x v="4"/>
  </r>
  <r>
    <x v="1922"/>
    <n v="22390"/>
    <n v="0"/>
    <n v="0"/>
    <n v="49"/>
    <n v="0"/>
    <n v="1"/>
    <n v="4"/>
    <n v="15"/>
    <n v="1"/>
    <n v="5"/>
    <n v="1"/>
    <n v="1"/>
    <n v="0"/>
    <n v="2"/>
    <n v="7"/>
    <n v="0"/>
    <n v="0"/>
    <n v="0"/>
    <n v="0"/>
    <n v="0"/>
    <x v="0"/>
    <n v="0"/>
    <n v="3"/>
    <n v="11"/>
    <n v="0"/>
    <n v="51"/>
    <n v="2410"/>
    <n v="6.602739726027397"/>
    <n v="0"/>
    <n v="0"/>
    <n v="0"/>
    <n v="1"/>
    <n v="0"/>
    <n v="0"/>
    <n v="1"/>
    <n v="0"/>
    <n v="0"/>
    <n v="0"/>
    <n v="21"/>
    <n v="16"/>
    <n v="5"/>
    <n v="0"/>
    <x v="1"/>
    <x v="1"/>
    <x v="2"/>
    <x v="2"/>
    <x v="0"/>
    <x v="1"/>
    <n v="1"/>
    <n v="0"/>
    <n v="11"/>
    <n v="6"/>
    <n v="0"/>
    <n v="0"/>
    <n v="6"/>
    <n v="0"/>
    <x v="4"/>
  </r>
  <r>
    <x v="1923"/>
    <n v="23661"/>
    <n v="1"/>
    <n v="0"/>
    <n v="46"/>
    <n v="18"/>
    <n v="0"/>
    <n v="4"/>
    <n v="0"/>
    <n v="0"/>
    <n v="1"/>
    <n v="1"/>
    <n v="1"/>
    <n v="0"/>
    <n v="3"/>
    <n v="7"/>
    <n v="0"/>
    <n v="0"/>
    <n v="0"/>
    <n v="0"/>
    <n v="0"/>
    <x v="0"/>
    <n v="0"/>
    <n v="3"/>
    <n v="11"/>
    <n v="0"/>
    <n v="38"/>
    <n v="2366"/>
    <n v="6.4821917808219176"/>
    <n v="0"/>
    <n v="0"/>
    <n v="0"/>
    <n v="1"/>
    <n v="0"/>
    <n v="0"/>
    <n v="0"/>
    <n v="0"/>
    <n v="1"/>
    <n v="0"/>
    <n v="22"/>
    <n v="21"/>
    <n v="1"/>
    <n v="0"/>
    <x v="0"/>
    <x v="0"/>
    <x v="2"/>
    <x v="1"/>
    <x v="0"/>
    <x v="3"/>
    <n v="1"/>
    <n v="0"/>
    <n v="12"/>
    <n v="6"/>
    <n v="1"/>
    <n v="0"/>
    <n v="7"/>
    <n v="1"/>
    <x v="3"/>
  </r>
  <r>
    <x v="1924"/>
    <n v="24645"/>
    <n v="1"/>
    <n v="0"/>
    <n v="16"/>
    <n v="5"/>
    <n v="3"/>
    <n v="4"/>
    <n v="4"/>
    <n v="1"/>
    <n v="0"/>
    <n v="1"/>
    <n v="1"/>
    <n v="0"/>
    <n v="2"/>
    <n v="8"/>
    <n v="0"/>
    <n v="0"/>
    <n v="0"/>
    <n v="0"/>
    <n v="0"/>
    <x v="0"/>
    <n v="0"/>
    <n v="3"/>
    <n v="11"/>
    <n v="0"/>
    <n v="32"/>
    <n v="2764"/>
    <n v="7.5726027397260278"/>
    <n v="0"/>
    <n v="1"/>
    <n v="0"/>
    <n v="0"/>
    <n v="0"/>
    <n v="0"/>
    <n v="0"/>
    <n v="1"/>
    <n v="0"/>
    <n v="0"/>
    <n v="17"/>
    <n v="17"/>
    <n v="0"/>
    <n v="0"/>
    <x v="0"/>
    <x v="0"/>
    <x v="0"/>
    <x v="0"/>
    <x v="0"/>
    <x v="3"/>
    <n v="0"/>
    <n v="0"/>
    <n v="12"/>
    <n v="9"/>
    <n v="1"/>
    <n v="0"/>
    <n v="10"/>
    <n v="2"/>
    <x v="3"/>
  </r>
  <r>
    <x v="1925"/>
    <n v="25176"/>
    <n v="1"/>
    <n v="1"/>
    <n v="79"/>
    <n v="4"/>
    <n v="0"/>
    <n v="4"/>
    <n v="0"/>
    <n v="0"/>
    <n v="5"/>
    <n v="1"/>
    <n v="1"/>
    <n v="0"/>
    <n v="2"/>
    <n v="7"/>
    <n v="0"/>
    <n v="0"/>
    <n v="0"/>
    <n v="0"/>
    <n v="0"/>
    <x v="0"/>
    <n v="0"/>
    <n v="3"/>
    <n v="11"/>
    <n v="0"/>
    <n v="44"/>
    <n v="2482"/>
    <n v="6.8"/>
    <n v="0"/>
    <n v="0"/>
    <n v="0"/>
    <n v="1"/>
    <n v="0"/>
    <n v="1"/>
    <n v="0"/>
    <n v="0"/>
    <n v="0"/>
    <n v="0"/>
    <n v="8"/>
    <n v="3"/>
    <n v="5"/>
    <n v="0"/>
    <x v="0"/>
    <x v="0"/>
    <x v="2"/>
    <x v="1"/>
    <x v="0"/>
    <x v="0"/>
    <n v="1"/>
    <n v="0"/>
    <n v="11"/>
    <n v="3.0000000000000004"/>
    <n v="0"/>
    <n v="0"/>
    <n v="3.0000000000000004"/>
    <n v="0"/>
    <x v="4"/>
  </r>
  <r>
    <x v="1926"/>
    <n v="25252"/>
    <n v="1"/>
    <n v="0"/>
    <n v="26"/>
    <n v="1"/>
    <n v="3"/>
    <n v="4"/>
    <n v="2"/>
    <n v="2"/>
    <n v="6"/>
    <n v="1"/>
    <n v="1"/>
    <n v="0"/>
    <n v="2"/>
    <n v="8"/>
    <n v="0"/>
    <n v="0"/>
    <n v="0"/>
    <n v="0"/>
    <n v="0"/>
    <x v="0"/>
    <n v="0"/>
    <n v="3"/>
    <n v="11"/>
    <n v="0"/>
    <n v="34"/>
    <n v="2511"/>
    <n v="6.8794520547945206"/>
    <n v="0"/>
    <n v="1"/>
    <n v="0"/>
    <n v="0"/>
    <n v="0"/>
    <n v="0"/>
    <n v="0"/>
    <n v="1"/>
    <n v="0"/>
    <n v="0"/>
    <n v="12"/>
    <n v="6"/>
    <n v="6"/>
    <n v="0"/>
    <x v="0"/>
    <x v="0"/>
    <x v="0"/>
    <x v="0"/>
    <x v="0"/>
    <x v="3"/>
    <n v="0"/>
    <n v="0"/>
    <n v="12"/>
    <n v="8"/>
    <n v="1"/>
    <n v="0"/>
    <n v="9"/>
    <n v="1"/>
    <x v="3"/>
  </r>
  <r>
    <x v="1927"/>
    <n v="25410"/>
    <n v="1"/>
    <n v="0"/>
    <n v="48"/>
    <n v="2"/>
    <n v="2"/>
    <n v="4"/>
    <n v="13"/>
    <n v="13"/>
    <n v="4"/>
    <n v="1"/>
    <n v="1"/>
    <n v="0"/>
    <n v="4"/>
    <n v="4"/>
    <n v="0"/>
    <n v="0"/>
    <n v="0"/>
    <n v="0"/>
    <n v="0"/>
    <x v="0"/>
    <n v="0"/>
    <n v="3"/>
    <n v="11"/>
    <n v="0"/>
    <n v="47"/>
    <n v="2461"/>
    <n v="6.7424657534246579"/>
    <n v="0"/>
    <n v="1"/>
    <n v="0"/>
    <n v="0"/>
    <n v="0"/>
    <n v="0"/>
    <n v="0"/>
    <n v="1"/>
    <n v="0"/>
    <n v="0"/>
    <n v="34"/>
    <n v="30"/>
    <n v="4"/>
    <n v="0"/>
    <x v="0"/>
    <x v="0"/>
    <x v="0"/>
    <x v="0"/>
    <x v="0"/>
    <x v="0"/>
    <n v="1"/>
    <n v="0"/>
    <n v="10"/>
    <n v="6"/>
    <n v="0"/>
    <n v="1"/>
    <n v="7"/>
    <n v="1"/>
    <x v="3"/>
  </r>
  <r>
    <x v="1928"/>
    <n v="26228"/>
    <n v="1"/>
    <n v="0"/>
    <n v="50"/>
    <n v="2"/>
    <n v="6"/>
    <n v="4"/>
    <n v="3"/>
    <n v="1"/>
    <n v="9"/>
    <n v="1"/>
    <n v="1"/>
    <n v="0"/>
    <n v="2"/>
    <n v="8"/>
    <n v="0"/>
    <n v="0"/>
    <n v="0"/>
    <n v="0"/>
    <n v="0"/>
    <x v="0"/>
    <n v="0"/>
    <n v="3"/>
    <n v="11"/>
    <n v="0"/>
    <n v="47"/>
    <n v="2439"/>
    <n v="6.6821917808219178"/>
    <n v="0"/>
    <n v="1"/>
    <n v="0"/>
    <n v="0"/>
    <n v="0"/>
    <n v="0"/>
    <n v="0"/>
    <n v="1"/>
    <n v="0"/>
    <n v="0"/>
    <n v="16"/>
    <n v="7"/>
    <n v="9"/>
    <n v="0"/>
    <x v="0"/>
    <x v="0"/>
    <x v="0"/>
    <x v="0"/>
    <x v="0"/>
    <x v="0"/>
    <n v="1"/>
    <n v="0"/>
    <n v="12"/>
    <n v="5"/>
    <n v="1"/>
    <n v="0"/>
    <n v="6"/>
    <n v="0"/>
    <x v="4"/>
  </r>
  <r>
    <x v="1929"/>
    <n v="26887"/>
    <n v="0"/>
    <n v="1"/>
    <n v="27"/>
    <n v="6"/>
    <n v="7"/>
    <n v="4"/>
    <n v="3"/>
    <n v="4"/>
    <n v="6"/>
    <n v="1"/>
    <n v="1"/>
    <n v="0"/>
    <n v="3"/>
    <n v="6"/>
    <n v="0"/>
    <n v="0"/>
    <n v="0"/>
    <n v="0"/>
    <n v="0"/>
    <x v="0"/>
    <n v="0"/>
    <n v="3"/>
    <n v="11"/>
    <n v="0"/>
    <n v="61"/>
    <n v="2663"/>
    <n v="7.2958904109589042"/>
    <n v="0"/>
    <n v="1"/>
    <n v="0"/>
    <n v="0"/>
    <n v="0"/>
    <n v="1"/>
    <n v="0"/>
    <n v="0"/>
    <n v="0"/>
    <n v="0"/>
    <n v="24"/>
    <n v="18"/>
    <n v="6"/>
    <n v="0"/>
    <x v="0"/>
    <x v="0"/>
    <x v="0"/>
    <x v="1"/>
    <x v="0"/>
    <x v="2"/>
    <n v="0"/>
    <n v="0"/>
    <n v="11"/>
    <n v="8"/>
    <n v="0"/>
    <n v="0"/>
    <n v="8"/>
    <n v="1"/>
    <x v="3"/>
  </r>
  <r>
    <x v="1930"/>
    <n v="27889"/>
    <n v="1"/>
    <n v="0"/>
    <n v="42"/>
    <n v="14"/>
    <n v="0"/>
    <n v="4"/>
    <n v="0"/>
    <n v="0"/>
    <n v="8"/>
    <n v="1"/>
    <n v="1"/>
    <n v="1"/>
    <n v="2"/>
    <n v="6"/>
    <n v="0"/>
    <n v="0"/>
    <n v="0"/>
    <n v="0"/>
    <n v="0"/>
    <x v="0"/>
    <n v="0"/>
    <n v="3"/>
    <n v="11"/>
    <n v="0"/>
    <n v="43"/>
    <n v="2518"/>
    <n v="6.8986301369863012"/>
    <n v="0"/>
    <n v="1"/>
    <n v="0"/>
    <n v="0"/>
    <n v="0"/>
    <n v="0"/>
    <n v="0"/>
    <n v="0"/>
    <n v="1"/>
    <n v="0"/>
    <n v="18"/>
    <n v="10"/>
    <n v="8"/>
    <n v="0"/>
    <x v="0"/>
    <x v="0"/>
    <x v="0"/>
    <x v="1"/>
    <x v="0"/>
    <x v="0"/>
    <n v="1"/>
    <n v="0"/>
    <n v="11"/>
    <n v="6"/>
    <n v="0"/>
    <n v="0"/>
    <n v="6"/>
    <n v="0"/>
    <x v="4"/>
  </r>
  <r>
    <x v="1931"/>
    <n v="30772"/>
    <n v="1"/>
    <n v="1"/>
    <n v="89"/>
    <n v="7"/>
    <n v="2"/>
    <n v="4"/>
    <n v="2"/>
    <n v="1"/>
    <n v="4"/>
    <n v="1"/>
    <n v="1"/>
    <n v="0"/>
    <n v="2"/>
    <n v="6"/>
    <n v="0"/>
    <n v="0"/>
    <n v="0"/>
    <n v="0"/>
    <n v="0"/>
    <x v="0"/>
    <n v="0"/>
    <n v="3"/>
    <n v="11"/>
    <n v="0"/>
    <n v="44"/>
    <n v="2268"/>
    <n v="6.2136986301369861"/>
    <n v="0"/>
    <n v="1"/>
    <n v="0"/>
    <n v="0"/>
    <n v="0"/>
    <n v="0"/>
    <n v="0"/>
    <n v="1"/>
    <n v="0"/>
    <n v="0"/>
    <n v="16"/>
    <n v="12"/>
    <n v="4"/>
    <n v="0"/>
    <x v="0"/>
    <x v="0"/>
    <x v="0"/>
    <x v="0"/>
    <x v="0"/>
    <x v="0"/>
    <n v="1"/>
    <n v="0"/>
    <n v="10"/>
    <n v="1.9999999999999996"/>
    <n v="0"/>
    <n v="0"/>
    <n v="1.9999999999999996"/>
    <n v="0"/>
    <x v="4"/>
  </r>
  <r>
    <x v="1932"/>
    <n v="34230"/>
    <n v="1"/>
    <n v="1"/>
    <n v="72"/>
    <n v="15"/>
    <n v="0"/>
    <n v="4"/>
    <n v="0"/>
    <n v="0"/>
    <n v="2"/>
    <n v="1"/>
    <n v="1"/>
    <n v="0"/>
    <n v="2"/>
    <n v="7"/>
    <n v="0"/>
    <n v="0"/>
    <n v="0"/>
    <n v="0"/>
    <n v="0"/>
    <x v="0"/>
    <n v="0"/>
    <n v="3"/>
    <n v="11"/>
    <n v="0"/>
    <n v="55"/>
    <n v="2709"/>
    <n v="7.4219178082191783"/>
    <n v="0"/>
    <n v="0"/>
    <n v="0"/>
    <n v="1"/>
    <n v="0"/>
    <n v="0"/>
    <n v="0"/>
    <n v="0"/>
    <n v="0"/>
    <n v="1"/>
    <n v="19"/>
    <n v="17"/>
    <n v="2"/>
    <n v="0"/>
    <x v="0"/>
    <x v="0"/>
    <x v="2"/>
    <x v="1"/>
    <x v="0"/>
    <x v="1"/>
    <n v="1"/>
    <n v="0"/>
    <n v="11"/>
    <n v="3.0000000000000004"/>
    <n v="0"/>
    <n v="0"/>
    <n v="3.0000000000000004"/>
    <n v="0"/>
    <x v="4"/>
  </r>
  <r>
    <x v="1933"/>
    <n v="34242"/>
    <n v="0"/>
    <n v="1"/>
    <n v="25"/>
    <n v="8"/>
    <n v="2"/>
    <n v="4"/>
    <n v="0"/>
    <n v="0"/>
    <n v="1"/>
    <n v="1"/>
    <n v="0"/>
    <n v="0"/>
    <n v="3"/>
    <n v="5"/>
    <n v="0"/>
    <n v="0"/>
    <n v="0"/>
    <n v="0"/>
    <n v="0"/>
    <x v="0"/>
    <n v="0"/>
    <n v="3"/>
    <n v="11"/>
    <n v="0"/>
    <n v="61"/>
    <n v="2257"/>
    <n v="6.183561643835616"/>
    <n v="0"/>
    <n v="1"/>
    <n v="0"/>
    <n v="0"/>
    <n v="0"/>
    <n v="0"/>
    <n v="0"/>
    <n v="0"/>
    <n v="1"/>
    <n v="0"/>
    <n v="14"/>
    <n v="13"/>
    <n v="1"/>
    <n v="0"/>
    <x v="0"/>
    <x v="0"/>
    <x v="0"/>
    <x v="1"/>
    <x v="0"/>
    <x v="2"/>
    <n v="0"/>
    <n v="0"/>
    <n v="9"/>
    <n v="8"/>
    <n v="0"/>
    <n v="0"/>
    <n v="8"/>
    <n v="1"/>
    <x v="3"/>
  </r>
  <r>
    <x v="1934"/>
    <n v="36408"/>
    <n v="1"/>
    <n v="1"/>
    <n v="11"/>
    <n v="9"/>
    <n v="1"/>
    <n v="4"/>
    <n v="3"/>
    <n v="2"/>
    <n v="3"/>
    <n v="1"/>
    <n v="1"/>
    <n v="0"/>
    <n v="2"/>
    <n v="6"/>
    <n v="0"/>
    <n v="0"/>
    <n v="0"/>
    <n v="0"/>
    <n v="0"/>
    <x v="0"/>
    <n v="0"/>
    <n v="3"/>
    <n v="11"/>
    <n v="0"/>
    <n v="71"/>
    <n v="2440"/>
    <n v="6.6849315068493151"/>
    <n v="0"/>
    <n v="1"/>
    <n v="0"/>
    <n v="0"/>
    <n v="0"/>
    <n v="0"/>
    <n v="0"/>
    <n v="0"/>
    <n v="1"/>
    <n v="0"/>
    <n v="19"/>
    <n v="16"/>
    <n v="3"/>
    <n v="0"/>
    <x v="0"/>
    <x v="0"/>
    <x v="0"/>
    <x v="1"/>
    <x v="3"/>
    <x v="2"/>
    <n v="0"/>
    <n v="0"/>
    <n v="10"/>
    <n v="9"/>
    <n v="0"/>
    <n v="0"/>
    <n v="9"/>
    <n v="1"/>
    <x v="3"/>
  </r>
  <r>
    <x v="1935"/>
    <n v="38200"/>
    <n v="1"/>
    <n v="1"/>
    <n v="19"/>
    <n v="12"/>
    <n v="0"/>
    <n v="4"/>
    <n v="0"/>
    <n v="0"/>
    <n v="1"/>
    <n v="1"/>
    <n v="1"/>
    <n v="0"/>
    <n v="2"/>
    <n v="7"/>
    <n v="0"/>
    <n v="0"/>
    <n v="0"/>
    <n v="0"/>
    <n v="0"/>
    <x v="0"/>
    <n v="0"/>
    <n v="3"/>
    <n v="11"/>
    <n v="0"/>
    <n v="50"/>
    <n v="2728"/>
    <n v="7.4739726027397264"/>
    <n v="0"/>
    <n v="0"/>
    <n v="0"/>
    <n v="1"/>
    <n v="0"/>
    <n v="0"/>
    <n v="0"/>
    <n v="1"/>
    <n v="0"/>
    <n v="0"/>
    <n v="16"/>
    <n v="15"/>
    <n v="1"/>
    <n v="0"/>
    <x v="0"/>
    <x v="0"/>
    <x v="2"/>
    <x v="0"/>
    <x v="3"/>
    <x v="0"/>
    <n v="0"/>
    <n v="0"/>
    <n v="11"/>
    <n v="9"/>
    <n v="0"/>
    <n v="0"/>
    <n v="9"/>
    <n v="1"/>
    <x v="3"/>
  </r>
  <r>
    <x v="1936"/>
    <n v="40451"/>
    <n v="0"/>
    <n v="2"/>
    <n v="54"/>
    <n v="35"/>
    <n v="0"/>
    <n v="4"/>
    <n v="0"/>
    <n v="0"/>
    <n v="10"/>
    <n v="1"/>
    <n v="1"/>
    <n v="1"/>
    <n v="2"/>
    <n v="5"/>
    <n v="0"/>
    <n v="0"/>
    <n v="1"/>
    <n v="0"/>
    <n v="0"/>
    <x v="1"/>
    <n v="0"/>
    <n v="3"/>
    <n v="11"/>
    <n v="0"/>
    <n v="63"/>
    <n v="2292"/>
    <n v="6.279452054794521"/>
    <n v="0"/>
    <n v="0"/>
    <n v="0"/>
    <n v="1"/>
    <n v="0"/>
    <n v="0"/>
    <n v="0"/>
    <n v="0"/>
    <n v="0"/>
    <n v="1"/>
    <n v="39"/>
    <n v="29"/>
    <n v="10"/>
    <n v="1"/>
    <x v="0"/>
    <x v="0"/>
    <x v="2"/>
    <x v="1"/>
    <x v="3"/>
    <x v="2"/>
    <n v="1"/>
    <n v="0"/>
    <n v="10"/>
    <n v="5"/>
    <n v="0"/>
    <n v="1"/>
    <n v="6"/>
    <n v="0"/>
    <x v="4"/>
  </r>
  <r>
    <x v="1937"/>
    <n v="40737"/>
    <n v="2"/>
    <n v="1"/>
    <n v="24"/>
    <n v="11"/>
    <n v="0"/>
    <n v="4"/>
    <n v="0"/>
    <n v="0"/>
    <n v="2"/>
    <n v="1"/>
    <n v="1"/>
    <n v="0"/>
    <n v="2"/>
    <n v="8"/>
    <n v="0"/>
    <n v="0"/>
    <n v="0"/>
    <n v="0"/>
    <n v="0"/>
    <x v="0"/>
    <n v="0"/>
    <n v="3"/>
    <n v="11"/>
    <n v="0"/>
    <n v="63"/>
    <n v="2362"/>
    <n v="6.4712328767123291"/>
    <n v="0"/>
    <n v="0"/>
    <n v="1"/>
    <n v="0"/>
    <n v="0"/>
    <n v="0"/>
    <n v="0"/>
    <n v="0"/>
    <n v="0"/>
    <n v="1"/>
    <n v="15"/>
    <n v="13"/>
    <n v="2"/>
    <n v="0"/>
    <x v="0"/>
    <x v="0"/>
    <x v="1"/>
    <x v="1"/>
    <x v="3"/>
    <x v="2"/>
    <n v="0"/>
    <n v="0"/>
    <n v="12"/>
    <n v="8"/>
    <n v="1"/>
    <n v="0"/>
    <n v="9"/>
    <n v="1"/>
    <x v="3"/>
  </r>
  <r>
    <x v="1938"/>
    <n v="41644"/>
    <n v="1"/>
    <n v="1"/>
    <n v="67"/>
    <n v="20"/>
    <n v="3"/>
    <n v="4"/>
    <n v="2"/>
    <n v="0"/>
    <n v="2"/>
    <n v="2"/>
    <n v="1"/>
    <n v="0"/>
    <n v="3"/>
    <n v="3"/>
    <n v="0"/>
    <n v="0"/>
    <n v="0"/>
    <n v="0"/>
    <n v="0"/>
    <x v="0"/>
    <n v="0"/>
    <n v="3"/>
    <n v="11"/>
    <n v="0"/>
    <n v="48"/>
    <n v="2210"/>
    <n v="6.0547945205479454"/>
    <n v="0"/>
    <n v="0"/>
    <n v="1"/>
    <n v="0"/>
    <n v="0"/>
    <n v="0"/>
    <n v="0"/>
    <n v="0"/>
    <n v="0"/>
    <n v="1"/>
    <n v="29"/>
    <n v="27"/>
    <n v="2"/>
    <n v="0"/>
    <x v="0"/>
    <x v="0"/>
    <x v="1"/>
    <x v="1"/>
    <x v="3"/>
    <x v="0"/>
    <n v="1"/>
    <n v="0"/>
    <n v="9"/>
    <n v="4"/>
    <n v="0"/>
    <n v="1"/>
    <n v="5"/>
    <n v="0"/>
    <x v="4"/>
  </r>
  <r>
    <x v="1939"/>
    <n v="42033"/>
    <n v="1"/>
    <n v="1"/>
    <n v="95"/>
    <n v="11"/>
    <n v="1"/>
    <n v="4"/>
    <n v="2"/>
    <n v="0"/>
    <n v="7"/>
    <n v="1"/>
    <n v="1"/>
    <n v="0"/>
    <n v="2"/>
    <n v="7"/>
    <n v="0"/>
    <n v="0"/>
    <n v="0"/>
    <n v="0"/>
    <n v="0"/>
    <x v="0"/>
    <n v="0"/>
    <n v="3"/>
    <n v="11"/>
    <n v="0"/>
    <n v="49"/>
    <n v="2807"/>
    <n v="7.6904109589041099"/>
    <n v="0"/>
    <n v="0"/>
    <n v="0"/>
    <n v="1"/>
    <n v="0"/>
    <n v="1"/>
    <n v="0"/>
    <n v="0"/>
    <n v="0"/>
    <n v="0"/>
    <n v="18"/>
    <n v="11"/>
    <n v="7"/>
    <n v="0"/>
    <x v="0"/>
    <x v="0"/>
    <x v="2"/>
    <x v="1"/>
    <x v="3"/>
    <x v="0"/>
    <n v="1"/>
    <n v="1"/>
    <n v="11"/>
    <n v="0.99999999999999978"/>
    <n v="0"/>
    <n v="0"/>
    <n v="0.99999999999999978"/>
    <n v="0"/>
    <x v="4"/>
  </r>
  <r>
    <x v="1940"/>
    <n v="48330"/>
    <n v="0"/>
    <n v="1"/>
    <n v="2"/>
    <n v="28"/>
    <n v="0"/>
    <n v="4"/>
    <n v="0"/>
    <n v="0"/>
    <n v="0"/>
    <n v="1"/>
    <n v="1"/>
    <n v="0"/>
    <n v="3"/>
    <n v="5"/>
    <n v="0"/>
    <n v="0"/>
    <n v="0"/>
    <n v="0"/>
    <n v="0"/>
    <x v="0"/>
    <n v="0"/>
    <n v="3"/>
    <n v="11"/>
    <n v="0"/>
    <n v="59"/>
    <n v="2385"/>
    <n v="6.5342465753424657"/>
    <n v="0"/>
    <n v="0"/>
    <n v="0"/>
    <n v="1"/>
    <n v="0"/>
    <n v="0"/>
    <n v="0"/>
    <n v="0"/>
    <n v="1"/>
    <n v="0"/>
    <n v="32"/>
    <n v="32"/>
    <n v="0"/>
    <n v="0"/>
    <x v="0"/>
    <x v="0"/>
    <x v="2"/>
    <x v="1"/>
    <x v="3"/>
    <x v="1"/>
    <n v="0"/>
    <n v="0"/>
    <n v="10"/>
    <n v="10"/>
    <n v="0"/>
    <n v="1"/>
    <n v="11"/>
    <n v="2"/>
    <x v="3"/>
  </r>
  <r>
    <x v="1941"/>
    <n v="52195"/>
    <n v="2"/>
    <n v="1"/>
    <n v="2"/>
    <n v="12"/>
    <n v="0"/>
    <n v="4"/>
    <n v="0"/>
    <n v="0"/>
    <n v="1"/>
    <n v="1"/>
    <n v="1"/>
    <n v="0"/>
    <n v="2"/>
    <n v="8"/>
    <n v="0"/>
    <n v="0"/>
    <n v="0"/>
    <n v="0"/>
    <n v="0"/>
    <x v="0"/>
    <n v="0"/>
    <n v="3"/>
    <n v="11"/>
    <n v="0"/>
    <n v="42"/>
    <n v="2207"/>
    <n v="6.0465753424657533"/>
    <n v="0"/>
    <n v="0"/>
    <n v="1"/>
    <n v="0"/>
    <n v="0"/>
    <n v="1"/>
    <n v="0"/>
    <n v="0"/>
    <n v="0"/>
    <n v="0"/>
    <n v="16"/>
    <n v="15"/>
    <n v="1"/>
    <n v="0"/>
    <x v="0"/>
    <x v="0"/>
    <x v="1"/>
    <x v="1"/>
    <x v="2"/>
    <x v="0"/>
    <n v="0"/>
    <n v="0"/>
    <n v="12"/>
    <n v="10"/>
    <n v="1"/>
    <n v="0"/>
    <n v="11"/>
    <n v="2"/>
    <x v="3"/>
  </r>
  <r>
    <x v="1942"/>
    <n v="54072"/>
    <n v="1"/>
    <n v="1"/>
    <n v="71"/>
    <n v="35"/>
    <n v="0"/>
    <n v="4"/>
    <n v="0"/>
    <n v="0"/>
    <n v="0"/>
    <n v="1"/>
    <n v="2"/>
    <n v="0"/>
    <n v="2"/>
    <n v="8"/>
    <n v="0"/>
    <n v="0"/>
    <n v="0"/>
    <n v="0"/>
    <n v="0"/>
    <x v="0"/>
    <n v="0"/>
    <n v="3"/>
    <n v="11"/>
    <n v="0"/>
    <n v="57"/>
    <n v="2496"/>
    <n v="6.838356164383562"/>
    <n v="0"/>
    <n v="1"/>
    <n v="0"/>
    <n v="0"/>
    <n v="0"/>
    <n v="0"/>
    <n v="0"/>
    <n v="0"/>
    <n v="0"/>
    <n v="1"/>
    <n v="39"/>
    <n v="39"/>
    <n v="0"/>
    <n v="0"/>
    <x v="0"/>
    <x v="0"/>
    <x v="0"/>
    <x v="1"/>
    <x v="2"/>
    <x v="1"/>
    <n v="1"/>
    <n v="0"/>
    <n v="13"/>
    <n v="3.0000000000000004"/>
    <n v="1"/>
    <n v="1"/>
    <n v="5"/>
    <n v="0"/>
    <x v="4"/>
  </r>
  <r>
    <x v="1943"/>
    <n v="54466"/>
    <n v="1"/>
    <n v="1"/>
    <n v="78"/>
    <n v="12"/>
    <n v="0"/>
    <n v="4"/>
    <n v="0"/>
    <n v="0"/>
    <n v="0"/>
    <n v="1"/>
    <n v="1"/>
    <n v="0"/>
    <n v="2"/>
    <n v="5"/>
    <n v="0"/>
    <n v="0"/>
    <n v="0"/>
    <n v="0"/>
    <n v="0"/>
    <x v="0"/>
    <n v="0"/>
    <n v="3"/>
    <n v="11"/>
    <n v="0"/>
    <n v="47"/>
    <n v="2299"/>
    <n v="6.2986301369863016"/>
    <n v="0"/>
    <n v="0"/>
    <n v="1"/>
    <n v="0"/>
    <n v="0"/>
    <n v="0"/>
    <n v="0"/>
    <n v="0"/>
    <n v="0"/>
    <n v="1"/>
    <n v="16"/>
    <n v="16"/>
    <n v="0"/>
    <n v="0"/>
    <x v="0"/>
    <x v="0"/>
    <x v="1"/>
    <x v="1"/>
    <x v="2"/>
    <x v="0"/>
    <n v="1"/>
    <n v="0"/>
    <n v="9"/>
    <n v="3.0000000000000004"/>
    <n v="0"/>
    <n v="0"/>
    <n v="3.0000000000000004"/>
    <n v="0"/>
    <x v="4"/>
  </r>
  <r>
    <x v="1944"/>
    <n v="1730"/>
    <n v="0"/>
    <n v="0"/>
    <n v="65"/>
    <n v="1"/>
    <n v="1"/>
    <n v="3"/>
    <n v="1"/>
    <n v="1"/>
    <n v="1"/>
    <n v="15"/>
    <n v="0"/>
    <n v="0"/>
    <n v="0"/>
    <n v="20"/>
    <n v="0"/>
    <n v="0"/>
    <n v="0"/>
    <n v="0"/>
    <n v="0"/>
    <x v="0"/>
    <n v="0"/>
    <n v="3"/>
    <n v="11"/>
    <n v="0"/>
    <n v="49"/>
    <n v="2201"/>
    <n v="6.0301369863013701"/>
    <n v="1"/>
    <n v="0"/>
    <n v="0"/>
    <n v="0"/>
    <n v="0"/>
    <n v="0"/>
    <n v="0"/>
    <n v="1"/>
    <n v="0"/>
    <n v="0"/>
    <n v="7"/>
    <n v="6"/>
    <n v="1"/>
    <n v="0"/>
    <x v="1"/>
    <x v="1"/>
    <x v="3"/>
    <x v="0"/>
    <x v="0"/>
    <x v="0"/>
    <n v="1"/>
    <n v="0"/>
    <n v="35"/>
    <n v="4"/>
    <n v="9"/>
    <n v="0"/>
    <n v="13"/>
    <n v="3"/>
    <x v="3"/>
  </r>
  <r>
    <x v="1945"/>
    <n v="7500"/>
    <n v="0"/>
    <n v="0"/>
    <n v="94"/>
    <n v="0"/>
    <n v="2"/>
    <n v="3"/>
    <n v="4"/>
    <n v="1"/>
    <n v="5"/>
    <n v="1"/>
    <n v="0"/>
    <n v="0"/>
    <n v="3"/>
    <n v="6"/>
    <n v="0"/>
    <n v="0"/>
    <n v="0"/>
    <n v="0"/>
    <n v="0"/>
    <x v="0"/>
    <n v="0"/>
    <n v="3"/>
    <n v="11"/>
    <n v="0"/>
    <n v="33"/>
    <n v="2695"/>
    <n v="7.3835616438356162"/>
    <n v="0"/>
    <n v="1"/>
    <n v="0"/>
    <n v="0"/>
    <n v="0"/>
    <n v="0"/>
    <n v="0"/>
    <n v="1"/>
    <n v="0"/>
    <n v="0"/>
    <n v="10"/>
    <n v="5"/>
    <n v="5"/>
    <n v="0"/>
    <x v="1"/>
    <x v="1"/>
    <x v="0"/>
    <x v="0"/>
    <x v="0"/>
    <x v="3"/>
    <n v="1"/>
    <n v="1"/>
    <n v="10"/>
    <n v="0.99999999999999978"/>
    <n v="0"/>
    <n v="0"/>
    <n v="0.99999999999999978"/>
    <n v="0"/>
    <x v="4"/>
  </r>
  <r>
    <x v="1946"/>
    <n v="7500"/>
    <n v="0"/>
    <n v="1"/>
    <n v="61"/>
    <n v="5"/>
    <n v="2"/>
    <n v="3"/>
    <n v="3"/>
    <n v="0"/>
    <n v="5"/>
    <n v="1"/>
    <n v="1"/>
    <n v="0"/>
    <n v="2"/>
    <n v="8"/>
    <n v="0"/>
    <n v="0"/>
    <n v="0"/>
    <n v="0"/>
    <n v="0"/>
    <x v="0"/>
    <n v="0"/>
    <n v="3"/>
    <n v="11"/>
    <n v="0"/>
    <n v="41"/>
    <n v="2828"/>
    <n v="7.7479452054794518"/>
    <n v="0"/>
    <n v="1"/>
    <n v="0"/>
    <n v="0"/>
    <n v="0"/>
    <n v="0"/>
    <n v="0"/>
    <n v="1"/>
    <n v="0"/>
    <n v="0"/>
    <n v="13"/>
    <n v="8"/>
    <n v="5"/>
    <n v="0"/>
    <x v="0"/>
    <x v="0"/>
    <x v="0"/>
    <x v="0"/>
    <x v="0"/>
    <x v="0"/>
    <n v="1"/>
    <n v="0"/>
    <n v="12"/>
    <n v="4"/>
    <n v="1"/>
    <n v="0"/>
    <n v="5"/>
    <n v="0"/>
    <x v="4"/>
  </r>
  <r>
    <x v="1947"/>
    <n v="8940"/>
    <n v="1"/>
    <n v="0"/>
    <n v="25"/>
    <n v="1"/>
    <n v="45"/>
    <n v="3"/>
    <n v="4"/>
    <n v="6"/>
    <n v="42"/>
    <n v="3"/>
    <n v="3"/>
    <n v="1"/>
    <n v="3"/>
    <n v="8"/>
    <n v="0"/>
    <n v="0"/>
    <n v="0"/>
    <n v="0"/>
    <n v="0"/>
    <x v="0"/>
    <n v="0"/>
    <n v="3"/>
    <n v="11"/>
    <n v="0"/>
    <n v="34"/>
    <n v="2835"/>
    <n v="7.7671232876712333"/>
    <n v="0"/>
    <n v="0"/>
    <n v="1"/>
    <n v="0"/>
    <n v="0"/>
    <n v="0"/>
    <n v="1"/>
    <n v="0"/>
    <n v="0"/>
    <n v="0"/>
    <n v="59"/>
    <n v="17"/>
    <n v="42"/>
    <n v="0"/>
    <x v="0"/>
    <x v="0"/>
    <x v="1"/>
    <x v="2"/>
    <x v="0"/>
    <x v="3"/>
    <n v="0"/>
    <n v="0"/>
    <n v="18"/>
    <n v="8"/>
    <n v="4"/>
    <n v="2"/>
    <n v="14"/>
    <n v="4"/>
    <x v="3"/>
  </r>
  <r>
    <x v="1948"/>
    <n v="9548"/>
    <n v="1"/>
    <n v="0"/>
    <n v="31"/>
    <n v="0"/>
    <n v="1"/>
    <n v="3"/>
    <n v="10"/>
    <n v="6"/>
    <n v="9"/>
    <n v="2"/>
    <n v="1"/>
    <n v="0"/>
    <n v="3"/>
    <n v="8"/>
    <n v="0"/>
    <n v="0"/>
    <n v="0"/>
    <n v="0"/>
    <n v="0"/>
    <x v="0"/>
    <n v="0"/>
    <n v="3"/>
    <n v="11"/>
    <n v="0"/>
    <n v="44"/>
    <n v="2849"/>
    <n v="7.8054794520547945"/>
    <n v="1"/>
    <n v="0"/>
    <n v="0"/>
    <n v="0"/>
    <n v="0"/>
    <n v="0"/>
    <n v="1"/>
    <n v="0"/>
    <n v="0"/>
    <n v="0"/>
    <n v="20"/>
    <n v="11"/>
    <n v="9"/>
    <n v="0"/>
    <x v="0"/>
    <x v="0"/>
    <x v="3"/>
    <x v="2"/>
    <x v="0"/>
    <x v="0"/>
    <n v="1"/>
    <n v="0"/>
    <n v="14"/>
    <n v="7"/>
    <n v="2"/>
    <n v="0"/>
    <n v="9"/>
    <n v="1"/>
    <x v="3"/>
  </r>
  <r>
    <x v="1949"/>
    <n v="14918"/>
    <n v="0"/>
    <n v="1"/>
    <n v="52"/>
    <n v="3"/>
    <n v="3"/>
    <n v="3"/>
    <n v="15"/>
    <n v="4"/>
    <n v="15"/>
    <n v="1"/>
    <n v="1"/>
    <n v="0"/>
    <n v="3"/>
    <n v="6"/>
    <n v="0"/>
    <n v="0"/>
    <n v="0"/>
    <n v="0"/>
    <n v="0"/>
    <x v="0"/>
    <n v="0"/>
    <n v="3"/>
    <n v="11"/>
    <n v="0"/>
    <n v="57"/>
    <n v="2728"/>
    <n v="7.4739726027397264"/>
    <n v="0"/>
    <n v="0"/>
    <n v="0"/>
    <n v="1"/>
    <n v="0"/>
    <n v="0"/>
    <n v="1"/>
    <n v="0"/>
    <n v="0"/>
    <n v="0"/>
    <n v="28"/>
    <n v="13"/>
    <n v="15"/>
    <n v="0"/>
    <x v="0"/>
    <x v="0"/>
    <x v="2"/>
    <x v="2"/>
    <x v="0"/>
    <x v="1"/>
    <n v="1"/>
    <n v="0"/>
    <n v="11"/>
    <n v="5"/>
    <n v="0"/>
    <n v="0"/>
    <n v="5"/>
    <n v="0"/>
    <x v="4"/>
  </r>
  <r>
    <x v="1950"/>
    <n v="15056"/>
    <n v="1"/>
    <n v="1"/>
    <n v="76"/>
    <n v="6"/>
    <n v="12"/>
    <n v="3"/>
    <n v="21"/>
    <n v="6"/>
    <n v="40"/>
    <n v="5"/>
    <n v="2"/>
    <n v="2"/>
    <n v="3"/>
    <n v="5"/>
    <n v="0"/>
    <n v="0"/>
    <n v="0"/>
    <n v="0"/>
    <n v="0"/>
    <x v="0"/>
    <n v="0"/>
    <n v="3"/>
    <n v="11"/>
    <n v="0"/>
    <n v="62"/>
    <n v="2581"/>
    <n v="7.0712328767123287"/>
    <n v="0"/>
    <n v="0"/>
    <n v="1"/>
    <n v="0"/>
    <n v="0"/>
    <n v="0"/>
    <n v="1"/>
    <n v="0"/>
    <n v="0"/>
    <n v="0"/>
    <n v="48"/>
    <n v="8"/>
    <n v="40"/>
    <n v="0"/>
    <x v="0"/>
    <x v="0"/>
    <x v="1"/>
    <x v="2"/>
    <x v="0"/>
    <x v="2"/>
    <n v="1"/>
    <n v="0"/>
    <n v="17"/>
    <n v="3.0000000000000004"/>
    <n v="3"/>
    <n v="2"/>
    <n v="8"/>
    <n v="1"/>
    <x v="3"/>
  </r>
  <r>
    <x v="1951"/>
    <n v="15253"/>
    <n v="1"/>
    <n v="0"/>
    <n v="13"/>
    <n v="1"/>
    <n v="3"/>
    <n v="3"/>
    <n v="8"/>
    <n v="1"/>
    <n v="13"/>
    <n v="2"/>
    <n v="1"/>
    <n v="0"/>
    <n v="3"/>
    <n v="7"/>
    <n v="0"/>
    <n v="0"/>
    <n v="0"/>
    <n v="0"/>
    <n v="0"/>
    <x v="0"/>
    <n v="0"/>
    <n v="3"/>
    <n v="11"/>
    <n v="0"/>
    <n v="28"/>
    <n v="2403"/>
    <n v="6.5835616438356164"/>
    <n v="0"/>
    <n v="0"/>
    <n v="1"/>
    <n v="0"/>
    <n v="0"/>
    <n v="0"/>
    <n v="1"/>
    <n v="0"/>
    <n v="0"/>
    <n v="0"/>
    <n v="16"/>
    <n v="3"/>
    <n v="13"/>
    <n v="0"/>
    <x v="0"/>
    <x v="0"/>
    <x v="1"/>
    <x v="2"/>
    <x v="0"/>
    <x v="4"/>
    <n v="0"/>
    <n v="0"/>
    <n v="13"/>
    <n v="9"/>
    <n v="1"/>
    <n v="0"/>
    <n v="10"/>
    <n v="2"/>
    <x v="3"/>
  </r>
  <r>
    <x v="1952"/>
    <n v="19740"/>
    <n v="0"/>
    <n v="1"/>
    <n v="65"/>
    <n v="7"/>
    <n v="11"/>
    <n v="3"/>
    <n v="10"/>
    <n v="4"/>
    <n v="20"/>
    <n v="2"/>
    <n v="1"/>
    <n v="1"/>
    <n v="3"/>
    <n v="5"/>
    <n v="0"/>
    <n v="0"/>
    <n v="0"/>
    <n v="0"/>
    <n v="0"/>
    <x v="0"/>
    <n v="0"/>
    <n v="3"/>
    <n v="11"/>
    <n v="0"/>
    <n v="60"/>
    <n v="2621"/>
    <n v="7.1808219178082195"/>
    <n v="0"/>
    <n v="0"/>
    <n v="0"/>
    <n v="1"/>
    <n v="0"/>
    <n v="0"/>
    <n v="0"/>
    <n v="1"/>
    <n v="0"/>
    <n v="0"/>
    <n v="35"/>
    <n v="15"/>
    <n v="20"/>
    <n v="0"/>
    <x v="0"/>
    <x v="0"/>
    <x v="2"/>
    <x v="0"/>
    <x v="0"/>
    <x v="1"/>
    <n v="1"/>
    <n v="0"/>
    <n v="12"/>
    <n v="4"/>
    <n v="1"/>
    <n v="1"/>
    <n v="6"/>
    <n v="0"/>
    <x v="4"/>
  </r>
  <r>
    <x v="1953"/>
    <n v="20130"/>
    <n v="0"/>
    <n v="0"/>
    <n v="99"/>
    <n v="0"/>
    <n v="6"/>
    <n v="3"/>
    <n v="7"/>
    <n v="6"/>
    <n v="12"/>
    <n v="1"/>
    <n v="1"/>
    <n v="0"/>
    <n v="3"/>
    <n v="8"/>
    <n v="0"/>
    <n v="0"/>
    <n v="0"/>
    <n v="0"/>
    <n v="0"/>
    <x v="0"/>
    <n v="0"/>
    <n v="3"/>
    <n v="11"/>
    <n v="0"/>
    <n v="46"/>
    <n v="2263"/>
    <n v="6.2"/>
    <n v="0"/>
    <n v="1"/>
    <n v="0"/>
    <n v="0"/>
    <n v="0"/>
    <n v="1"/>
    <n v="0"/>
    <n v="0"/>
    <n v="0"/>
    <n v="0"/>
    <n v="22"/>
    <n v="10"/>
    <n v="12"/>
    <n v="0"/>
    <x v="1"/>
    <x v="1"/>
    <x v="0"/>
    <x v="1"/>
    <x v="0"/>
    <x v="0"/>
    <n v="1"/>
    <n v="1"/>
    <n v="13"/>
    <n v="0.99999999999999978"/>
    <n v="1"/>
    <n v="0"/>
    <n v="1.9999999999999998"/>
    <n v="0"/>
    <x v="4"/>
  </r>
  <r>
    <x v="1954"/>
    <n v="23536"/>
    <n v="1"/>
    <n v="0"/>
    <n v="53"/>
    <n v="6"/>
    <n v="0"/>
    <n v="3"/>
    <n v="0"/>
    <n v="0"/>
    <n v="1"/>
    <n v="1"/>
    <n v="0"/>
    <n v="0"/>
    <n v="3"/>
    <n v="3"/>
    <n v="0"/>
    <n v="0"/>
    <n v="0"/>
    <n v="0"/>
    <n v="0"/>
    <x v="0"/>
    <n v="0"/>
    <n v="3"/>
    <n v="11"/>
    <n v="0"/>
    <n v="37"/>
    <n v="2184"/>
    <n v="5.9835616438356167"/>
    <n v="0"/>
    <n v="1"/>
    <n v="0"/>
    <n v="0"/>
    <n v="0"/>
    <n v="0"/>
    <n v="0"/>
    <n v="0"/>
    <n v="0"/>
    <n v="1"/>
    <n v="9"/>
    <n v="8"/>
    <n v="1"/>
    <n v="0"/>
    <x v="0"/>
    <x v="0"/>
    <x v="0"/>
    <x v="1"/>
    <x v="0"/>
    <x v="3"/>
    <n v="1"/>
    <n v="0"/>
    <n v="7"/>
    <n v="5"/>
    <n v="0"/>
    <n v="0"/>
    <n v="5"/>
    <n v="0"/>
    <x v="4"/>
  </r>
  <r>
    <x v="1955"/>
    <n v="25443"/>
    <n v="1"/>
    <n v="0"/>
    <n v="82"/>
    <n v="1"/>
    <n v="4"/>
    <n v="3"/>
    <n v="8"/>
    <n v="9"/>
    <n v="7"/>
    <n v="1"/>
    <n v="1"/>
    <n v="0"/>
    <n v="3"/>
    <n v="8"/>
    <n v="0"/>
    <n v="0"/>
    <n v="0"/>
    <n v="0"/>
    <n v="0"/>
    <x v="0"/>
    <n v="0"/>
    <n v="3"/>
    <n v="11"/>
    <n v="0"/>
    <n v="31"/>
    <n v="2713"/>
    <n v="7.4328767123287669"/>
    <n v="0"/>
    <n v="1"/>
    <n v="0"/>
    <n v="0"/>
    <n v="0"/>
    <n v="0"/>
    <n v="1"/>
    <n v="0"/>
    <n v="0"/>
    <n v="0"/>
    <n v="25"/>
    <n v="18"/>
    <n v="7"/>
    <n v="0"/>
    <x v="0"/>
    <x v="0"/>
    <x v="0"/>
    <x v="2"/>
    <x v="0"/>
    <x v="3"/>
    <n v="1"/>
    <n v="0"/>
    <n v="13"/>
    <n v="1.9999999999999996"/>
    <n v="1"/>
    <n v="0"/>
    <n v="2.9999999999999996"/>
    <n v="0"/>
    <x v="4"/>
  </r>
  <r>
    <x v="1956"/>
    <n v="27159"/>
    <n v="1"/>
    <n v="1"/>
    <n v="33"/>
    <n v="17"/>
    <n v="0"/>
    <n v="3"/>
    <n v="0"/>
    <n v="0"/>
    <n v="1"/>
    <n v="2"/>
    <n v="1"/>
    <n v="0"/>
    <n v="3"/>
    <n v="6"/>
    <n v="0"/>
    <n v="0"/>
    <n v="0"/>
    <n v="0"/>
    <n v="0"/>
    <x v="0"/>
    <n v="0"/>
    <n v="3"/>
    <n v="11"/>
    <n v="0"/>
    <n v="47"/>
    <n v="2251"/>
    <n v="6.1671232876712327"/>
    <n v="0"/>
    <n v="1"/>
    <n v="0"/>
    <n v="0"/>
    <n v="0"/>
    <n v="0"/>
    <n v="0"/>
    <n v="0"/>
    <n v="1"/>
    <n v="0"/>
    <n v="20"/>
    <n v="19"/>
    <n v="1"/>
    <n v="0"/>
    <x v="0"/>
    <x v="0"/>
    <x v="0"/>
    <x v="1"/>
    <x v="0"/>
    <x v="0"/>
    <n v="1"/>
    <n v="0"/>
    <n v="12"/>
    <n v="7"/>
    <n v="1"/>
    <n v="0"/>
    <n v="8"/>
    <n v="1"/>
    <x v="3"/>
  </r>
  <r>
    <x v="1957"/>
    <n v="28389"/>
    <n v="0"/>
    <n v="0"/>
    <n v="49"/>
    <n v="1"/>
    <n v="5"/>
    <n v="3"/>
    <n v="7"/>
    <n v="4"/>
    <n v="8"/>
    <n v="1"/>
    <n v="1"/>
    <n v="0"/>
    <n v="2"/>
    <n v="7"/>
    <n v="0"/>
    <n v="0"/>
    <n v="0"/>
    <n v="0"/>
    <n v="0"/>
    <x v="0"/>
    <n v="0"/>
    <n v="3"/>
    <n v="11"/>
    <n v="0"/>
    <n v="73"/>
    <n v="2745"/>
    <n v="7.5205479452054798"/>
    <n v="0"/>
    <n v="0"/>
    <n v="0"/>
    <n v="1"/>
    <n v="0"/>
    <n v="0"/>
    <n v="1"/>
    <n v="0"/>
    <n v="0"/>
    <n v="0"/>
    <n v="20"/>
    <n v="12"/>
    <n v="8"/>
    <n v="0"/>
    <x v="1"/>
    <x v="1"/>
    <x v="2"/>
    <x v="2"/>
    <x v="0"/>
    <x v="2"/>
    <n v="1"/>
    <n v="0"/>
    <n v="11"/>
    <n v="6"/>
    <n v="0"/>
    <n v="0"/>
    <n v="6"/>
    <n v="0"/>
    <x v="4"/>
  </r>
  <r>
    <x v="1958"/>
    <n v="28764"/>
    <n v="1"/>
    <n v="1"/>
    <n v="16"/>
    <n v="8"/>
    <n v="0"/>
    <n v="3"/>
    <n v="0"/>
    <n v="0"/>
    <n v="1"/>
    <n v="1"/>
    <n v="1"/>
    <n v="0"/>
    <n v="2"/>
    <n v="8"/>
    <n v="0"/>
    <n v="0"/>
    <n v="1"/>
    <n v="0"/>
    <n v="0"/>
    <x v="1"/>
    <n v="0"/>
    <n v="3"/>
    <n v="11"/>
    <n v="0"/>
    <n v="54"/>
    <n v="2183"/>
    <n v="5.9808219178082194"/>
    <n v="0"/>
    <n v="0"/>
    <n v="0"/>
    <n v="1"/>
    <n v="0"/>
    <n v="0"/>
    <n v="0"/>
    <n v="0"/>
    <n v="0"/>
    <n v="1"/>
    <n v="11"/>
    <n v="10"/>
    <n v="1"/>
    <n v="1"/>
    <x v="0"/>
    <x v="0"/>
    <x v="2"/>
    <x v="1"/>
    <x v="0"/>
    <x v="1"/>
    <n v="0"/>
    <n v="0"/>
    <n v="12"/>
    <n v="9"/>
    <n v="1"/>
    <n v="0"/>
    <n v="10"/>
    <n v="2"/>
    <x v="3"/>
  </r>
  <r>
    <x v="1959"/>
    <n v="29672"/>
    <n v="1"/>
    <n v="1"/>
    <n v="6"/>
    <n v="9"/>
    <n v="1"/>
    <n v="3"/>
    <n v="0"/>
    <n v="4"/>
    <n v="8"/>
    <n v="1"/>
    <n v="0"/>
    <n v="0"/>
    <n v="3"/>
    <n v="6"/>
    <n v="0"/>
    <n v="0"/>
    <n v="0"/>
    <n v="0"/>
    <n v="0"/>
    <x v="0"/>
    <n v="0"/>
    <n v="3"/>
    <n v="11"/>
    <n v="0"/>
    <n v="55"/>
    <n v="2633"/>
    <n v="7.2136986301369861"/>
    <n v="0"/>
    <n v="0"/>
    <n v="0"/>
    <n v="1"/>
    <n v="0"/>
    <n v="0"/>
    <n v="0"/>
    <n v="1"/>
    <n v="0"/>
    <n v="0"/>
    <n v="17"/>
    <n v="9"/>
    <n v="8"/>
    <n v="0"/>
    <x v="0"/>
    <x v="0"/>
    <x v="2"/>
    <x v="0"/>
    <x v="0"/>
    <x v="1"/>
    <n v="0"/>
    <n v="0"/>
    <n v="10"/>
    <n v="10"/>
    <n v="0"/>
    <n v="0"/>
    <n v="10"/>
    <n v="2"/>
    <x v="3"/>
  </r>
  <r>
    <x v="1960"/>
    <n v="30523"/>
    <n v="2"/>
    <n v="1"/>
    <n v="0"/>
    <n v="5"/>
    <n v="0"/>
    <n v="3"/>
    <n v="0"/>
    <n v="0"/>
    <n v="5"/>
    <n v="1"/>
    <n v="1"/>
    <n v="0"/>
    <n v="2"/>
    <n v="7"/>
    <n v="0"/>
    <n v="0"/>
    <n v="0"/>
    <n v="0"/>
    <n v="0"/>
    <x v="0"/>
    <n v="0"/>
    <n v="3"/>
    <n v="11"/>
    <n v="0"/>
    <n v="62"/>
    <n v="2522"/>
    <n v="6.9095890410958907"/>
    <n v="0"/>
    <n v="0"/>
    <n v="1"/>
    <n v="0"/>
    <n v="0"/>
    <n v="0"/>
    <n v="0"/>
    <n v="0"/>
    <n v="1"/>
    <n v="0"/>
    <n v="8"/>
    <n v="3"/>
    <n v="5"/>
    <n v="0"/>
    <x v="0"/>
    <x v="0"/>
    <x v="1"/>
    <x v="1"/>
    <x v="0"/>
    <x v="2"/>
    <n v="0"/>
    <n v="0"/>
    <n v="11"/>
    <n v="10"/>
    <n v="0"/>
    <n v="0"/>
    <n v="10"/>
    <n v="2"/>
    <x v="3"/>
  </r>
  <r>
    <x v="1961"/>
    <n v="31859"/>
    <n v="1"/>
    <n v="0"/>
    <n v="77"/>
    <n v="3"/>
    <n v="1"/>
    <n v="3"/>
    <n v="8"/>
    <n v="0"/>
    <n v="5"/>
    <n v="1"/>
    <n v="1"/>
    <n v="0"/>
    <n v="2"/>
    <n v="7"/>
    <n v="0"/>
    <n v="0"/>
    <n v="0"/>
    <n v="0"/>
    <n v="0"/>
    <x v="0"/>
    <n v="0"/>
    <n v="3"/>
    <n v="11"/>
    <n v="0"/>
    <n v="44"/>
    <n v="2539"/>
    <n v="6.956164383561644"/>
    <n v="1"/>
    <n v="0"/>
    <n v="0"/>
    <n v="0"/>
    <n v="0"/>
    <n v="0"/>
    <n v="0"/>
    <n v="1"/>
    <n v="0"/>
    <n v="0"/>
    <n v="15"/>
    <n v="10"/>
    <n v="5"/>
    <n v="0"/>
    <x v="0"/>
    <x v="0"/>
    <x v="3"/>
    <x v="0"/>
    <x v="0"/>
    <x v="0"/>
    <n v="1"/>
    <n v="0"/>
    <n v="11"/>
    <n v="3.0000000000000004"/>
    <n v="0"/>
    <n v="0"/>
    <n v="3.0000000000000004"/>
    <n v="0"/>
    <x v="4"/>
  </r>
  <r>
    <x v="1962"/>
    <n v="32583"/>
    <n v="1"/>
    <n v="1"/>
    <n v="10"/>
    <n v="5"/>
    <n v="0"/>
    <n v="3"/>
    <n v="0"/>
    <n v="0"/>
    <n v="1"/>
    <n v="1"/>
    <n v="1"/>
    <n v="0"/>
    <n v="2"/>
    <n v="7"/>
    <n v="0"/>
    <n v="0"/>
    <n v="0"/>
    <n v="0"/>
    <n v="0"/>
    <x v="0"/>
    <n v="0"/>
    <n v="3"/>
    <n v="11"/>
    <n v="0"/>
    <n v="59"/>
    <n v="2173"/>
    <n v="5.9534246575342467"/>
    <n v="0"/>
    <n v="0"/>
    <n v="0"/>
    <n v="1"/>
    <n v="0"/>
    <n v="0"/>
    <n v="0"/>
    <n v="0"/>
    <n v="0"/>
    <n v="1"/>
    <n v="8"/>
    <n v="7"/>
    <n v="1"/>
    <n v="0"/>
    <x v="0"/>
    <x v="0"/>
    <x v="2"/>
    <x v="1"/>
    <x v="0"/>
    <x v="1"/>
    <n v="0"/>
    <n v="0"/>
    <n v="11"/>
    <n v="9"/>
    <n v="0"/>
    <n v="0"/>
    <n v="9"/>
    <n v="1"/>
    <x v="3"/>
  </r>
  <r>
    <x v="1963"/>
    <n v="33181"/>
    <n v="1"/>
    <n v="0"/>
    <n v="90"/>
    <n v="9"/>
    <n v="0"/>
    <n v="3"/>
    <n v="0"/>
    <n v="0"/>
    <n v="4"/>
    <n v="1"/>
    <n v="1"/>
    <n v="0"/>
    <n v="2"/>
    <n v="6"/>
    <n v="0"/>
    <n v="0"/>
    <n v="1"/>
    <n v="0"/>
    <n v="0"/>
    <x v="1"/>
    <n v="0"/>
    <n v="3"/>
    <n v="11"/>
    <n v="0"/>
    <n v="44"/>
    <n v="2336"/>
    <n v="6.4"/>
    <n v="0"/>
    <n v="1"/>
    <n v="0"/>
    <n v="0"/>
    <n v="0"/>
    <n v="0"/>
    <n v="0"/>
    <n v="0"/>
    <n v="1"/>
    <n v="0"/>
    <n v="12"/>
    <n v="8"/>
    <n v="4"/>
    <n v="1"/>
    <x v="0"/>
    <x v="0"/>
    <x v="0"/>
    <x v="1"/>
    <x v="0"/>
    <x v="0"/>
    <n v="1"/>
    <n v="0"/>
    <n v="10"/>
    <n v="0.99999999999999978"/>
    <n v="0"/>
    <n v="0"/>
    <n v="0.99999999999999978"/>
    <n v="0"/>
    <x v="4"/>
  </r>
  <r>
    <x v="1964"/>
    <n v="33279"/>
    <n v="0"/>
    <n v="0"/>
    <n v="29"/>
    <n v="10"/>
    <n v="3"/>
    <n v="3"/>
    <n v="0"/>
    <n v="0"/>
    <n v="0"/>
    <n v="1"/>
    <n v="0"/>
    <n v="0"/>
    <n v="3"/>
    <n v="3"/>
    <n v="0"/>
    <n v="0"/>
    <n v="0"/>
    <n v="0"/>
    <n v="0"/>
    <x v="0"/>
    <n v="0"/>
    <n v="3"/>
    <n v="11"/>
    <n v="0"/>
    <n v="54"/>
    <n v="2176"/>
    <n v="5.9616438356164387"/>
    <n v="0"/>
    <n v="0"/>
    <n v="1"/>
    <n v="0"/>
    <n v="0"/>
    <n v="0"/>
    <n v="0"/>
    <n v="1"/>
    <n v="0"/>
    <n v="0"/>
    <n v="16"/>
    <n v="16"/>
    <n v="0"/>
    <n v="0"/>
    <x v="1"/>
    <x v="1"/>
    <x v="1"/>
    <x v="0"/>
    <x v="0"/>
    <x v="1"/>
    <n v="0"/>
    <n v="0"/>
    <n v="7"/>
    <n v="8"/>
    <n v="0"/>
    <n v="0"/>
    <n v="8"/>
    <n v="1"/>
    <x v="3"/>
  </r>
  <r>
    <x v="1965"/>
    <n v="33564"/>
    <n v="0"/>
    <n v="1"/>
    <n v="51"/>
    <n v="61"/>
    <n v="0"/>
    <n v="3"/>
    <n v="0"/>
    <n v="0"/>
    <n v="7"/>
    <n v="1"/>
    <n v="1"/>
    <n v="1"/>
    <n v="3"/>
    <n v="5"/>
    <n v="0"/>
    <n v="0"/>
    <n v="0"/>
    <n v="0"/>
    <n v="0"/>
    <x v="0"/>
    <n v="0"/>
    <n v="3"/>
    <n v="11"/>
    <n v="0"/>
    <n v="54"/>
    <n v="2164"/>
    <n v="5.9287671232876713"/>
    <n v="0"/>
    <n v="0"/>
    <n v="0"/>
    <n v="1"/>
    <n v="0"/>
    <n v="0"/>
    <n v="0"/>
    <n v="0"/>
    <n v="1"/>
    <n v="0"/>
    <n v="64"/>
    <n v="57"/>
    <n v="7"/>
    <n v="0"/>
    <x v="0"/>
    <x v="0"/>
    <x v="2"/>
    <x v="1"/>
    <x v="0"/>
    <x v="1"/>
    <n v="1"/>
    <n v="0"/>
    <n v="11"/>
    <n v="5"/>
    <n v="0"/>
    <n v="2"/>
    <n v="7"/>
    <n v="1"/>
    <x v="3"/>
  </r>
  <r>
    <x v="1966"/>
    <n v="35946"/>
    <n v="1"/>
    <n v="1"/>
    <n v="24"/>
    <n v="8"/>
    <n v="0"/>
    <n v="3"/>
    <n v="0"/>
    <n v="0"/>
    <n v="0"/>
    <n v="1"/>
    <n v="0"/>
    <n v="0"/>
    <n v="3"/>
    <n v="5"/>
    <n v="0"/>
    <n v="0"/>
    <n v="0"/>
    <n v="0"/>
    <n v="0"/>
    <x v="0"/>
    <n v="0"/>
    <n v="3"/>
    <n v="11"/>
    <n v="0"/>
    <n v="71"/>
    <n v="2434"/>
    <n v="6.6684931506849319"/>
    <n v="1"/>
    <n v="0"/>
    <n v="0"/>
    <n v="0"/>
    <n v="0"/>
    <n v="0"/>
    <n v="0"/>
    <n v="0"/>
    <n v="0"/>
    <n v="1"/>
    <n v="11"/>
    <n v="11"/>
    <n v="0"/>
    <n v="0"/>
    <x v="0"/>
    <x v="0"/>
    <x v="3"/>
    <x v="1"/>
    <x v="3"/>
    <x v="2"/>
    <n v="0"/>
    <n v="0"/>
    <n v="9"/>
    <n v="8"/>
    <n v="0"/>
    <n v="0"/>
    <n v="8"/>
    <n v="1"/>
    <x v="3"/>
  </r>
  <r>
    <x v="1967"/>
    <n v="36732"/>
    <n v="1"/>
    <n v="1"/>
    <n v="71"/>
    <n v="21"/>
    <n v="5"/>
    <n v="3"/>
    <n v="10"/>
    <n v="1"/>
    <n v="7"/>
    <n v="3"/>
    <n v="1"/>
    <n v="1"/>
    <n v="4"/>
    <n v="2"/>
    <n v="0"/>
    <n v="0"/>
    <n v="0"/>
    <n v="0"/>
    <n v="0"/>
    <x v="0"/>
    <n v="0"/>
    <n v="3"/>
    <n v="11"/>
    <n v="0"/>
    <n v="61"/>
    <n v="2341"/>
    <n v="6.4136986301369863"/>
    <n v="0"/>
    <n v="1"/>
    <n v="0"/>
    <n v="0"/>
    <n v="0"/>
    <n v="0"/>
    <n v="0"/>
    <n v="0"/>
    <n v="0"/>
    <n v="1"/>
    <n v="40"/>
    <n v="33"/>
    <n v="7"/>
    <n v="0"/>
    <x v="0"/>
    <x v="0"/>
    <x v="0"/>
    <x v="1"/>
    <x v="3"/>
    <x v="2"/>
    <n v="1"/>
    <n v="0"/>
    <n v="11"/>
    <n v="3.0000000000000004"/>
    <n v="0"/>
    <n v="1"/>
    <n v="4"/>
    <n v="0"/>
    <x v="4"/>
  </r>
  <r>
    <x v="1968"/>
    <n v="36736"/>
    <n v="1"/>
    <n v="1"/>
    <n v="52"/>
    <n v="10"/>
    <n v="0"/>
    <n v="3"/>
    <n v="0"/>
    <n v="0"/>
    <n v="4"/>
    <n v="1"/>
    <n v="1"/>
    <n v="0"/>
    <n v="2"/>
    <n v="6"/>
    <n v="0"/>
    <n v="0"/>
    <n v="0"/>
    <n v="0"/>
    <n v="0"/>
    <x v="0"/>
    <n v="0"/>
    <n v="3"/>
    <n v="11"/>
    <n v="0"/>
    <n v="57"/>
    <n v="2574"/>
    <n v="7.0520547945205481"/>
    <n v="0"/>
    <n v="0"/>
    <n v="1"/>
    <n v="0"/>
    <n v="0"/>
    <n v="0"/>
    <n v="0"/>
    <n v="0"/>
    <n v="0"/>
    <n v="1"/>
    <n v="13"/>
    <n v="9"/>
    <n v="4"/>
    <n v="0"/>
    <x v="0"/>
    <x v="0"/>
    <x v="1"/>
    <x v="1"/>
    <x v="3"/>
    <x v="1"/>
    <n v="1"/>
    <n v="0"/>
    <n v="10"/>
    <n v="5"/>
    <n v="0"/>
    <n v="0"/>
    <n v="5"/>
    <n v="0"/>
    <x v="4"/>
  </r>
  <r>
    <x v="1969"/>
    <n v="39996"/>
    <n v="1"/>
    <n v="1"/>
    <n v="85"/>
    <n v="11"/>
    <n v="0"/>
    <n v="3"/>
    <n v="0"/>
    <n v="0"/>
    <n v="1"/>
    <n v="1"/>
    <n v="1"/>
    <n v="0"/>
    <n v="2"/>
    <n v="6"/>
    <n v="0"/>
    <n v="0"/>
    <n v="0"/>
    <n v="0"/>
    <n v="0"/>
    <x v="0"/>
    <n v="0"/>
    <n v="3"/>
    <n v="11"/>
    <n v="0"/>
    <n v="46"/>
    <n v="2197"/>
    <n v="6.0191780821917806"/>
    <n v="1"/>
    <n v="0"/>
    <n v="0"/>
    <n v="0"/>
    <n v="0"/>
    <n v="0"/>
    <n v="0"/>
    <n v="1"/>
    <n v="0"/>
    <n v="0"/>
    <n v="14"/>
    <n v="13"/>
    <n v="1"/>
    <n v="0"/>
    <x v="0"/>
    <x v="0"/>
    <x v="3"/>
    <x v="0"/>
    <x v="3"/>
    <x v="0"/>
    <n v="1"/>
    <n v="0"/>
    <n v="10"/>
    <n v="1.9999999999999996"/>
    <n v="0"/>
    <n v="0"/>
    <n v="1.9999999999999996"/>
    <n v="0"/>
    <x v="4"/>
  </r>
  <r>
    <x v="1970"/>
    <n v="41145"/>
    <n v="1"/>
    <n v="1"/>
    <n v="20"/>
    <n v="9"/>
    <n v="0"/>
    <n v="3"/>
    <n v="0"/>
    <n v="0"/>
    <n v="1"/>
    <n v="1"/>
    <n v="0"/>
    <n v="0"/>
    <n v="3"/>
    <n v="3"/>
    <n v="0"/>
    <n v="0"/>
    <n v="0"/>
    <n v="0"/>
    <n v="0"/>
    <x v="0"/>
    <n v="0"/>
    <n v="3"/>
    <n v="11"/>
    <n v="0"/>
    <n v="70"/>
    <n v="2300"/>
    <n v="6.3013698630136989"/>
    <n v="0"/>
    <n v="1"/>
    <n v="0"/>
    <n v="0"/>
    <n v="0"/>
    <n v="0"/>
    <n v="0"/>
    <n v="0"/>
    <n v="0"/>
    <n v="1"/>
    <n v="12"/>
    <n v="11"/>
    <n v="1"/>
    <n v="0"/>
    <x v="0"/>
    <x v="0"/>
    <x v="0"/>
    <x v="1"/>
    <x v="3"/>
    <x v="2"/>
    <n v="0"/>
    <n v="0"/>
    <n v="7"/>
    <n v="8"/>
    <n v="0"/>
    <n v="0"/>
    <n v="8"/>
    <n v="1"/>
    <x v="3"/>
  </r>
  <r>
    <x v="1971"/>
    <n v="41452"/>
    <n v="1"/>
    <n v="1"/>
    <n v="86"/>
    <n v="13"/>
    <n v="0"/>
    <n v="3"/>
    <n v="0"/>
    <n v="0"/>
    <n v="0"/>
    <n v="1"/>
    <n v="1"/>
    <n v="0"/>
    <n v="2"/>
    <n v="7"/>
    <n v="0"/>
    <n v="0"/>
    <n v="0"/>
    <n v="0"/>
    <n v="0"/>
    <x v="0"/>
    <n v="0"/>
    <n v="3"/>
    <n v="11"/>
    <n v="0"/>
    <n v="67"/>
    <n v="2639"/>
    <n v="7.2301369863013702"/>
    <n v="0"/>
    <n v="0"/>
    <n v="0"/>
    <n v="1"/>
    <n v="0"/>
    <n v="0"/>
    <n v="0"/>
    <n v="1"/>
    <n v="0"/>
    <n v="0"/>
    <n v="16"/>
    <n v="16"/>
    <n v="0"/>
    <n v="0"/>
    <x v="0"/>
    <x v="0"/>
    <x v="2"/>
    <x v="0"/>
    <x v="3"/>
    <x v="2"/>
    <n v="1"/>
    <n v="0"/>
    <n v="11"/>
    <n v="1.9999999999999996"/>
    <n v="0"/>
    <n v="0"/>
    <n v="1.9999999999999996"/>
    <n v="0"/>
    <x v="4"/>
  </r>
  <r>
    <x v="1972"/>
    <n v="42664"/>
    <n v="0"/>
    <n v="1"/>
    <n v="44"/>
    <n v="21"/>
    <n v="0"/>
    <n v="3"/>
    <n v="0"/>
    <n v="0"/>
    <n v="0"/>
    <n v="1"/>
    <n v="1"/>
    <n v="0"/>
    <n v="3"/>
    <n v="6"/>
    <n v="0"/>
    <n v="0"/>
    <n v="0"/>
    <n v="0"/>
    <n v="0"/>
    <x v="0"/>
    <n v="0"/>
    <n v="3"/>
    <n v="11"/>
    <n v="0"/>
    <n v="53"/>
    <n v="2262"/>
    <n v="6.1972602739726028"/>
    <n v="0"/>
    <n v="1"/>
    <n v="0"/>
    <n v="0"/>
    <n v="0"/>
    <n v="0"/>
    <n v="0"/>
    <n v="1"/>
    <n v="0"/>
    <n v="0"/>
    <n v="24"/>
    <n v="24"/>
    <n v="0"/>
    <n v="0"/>
    <x v="0"/>
    <x v="0"/>
    <x v="0"/>
    <x v="0"/>
    <x v="3"/>
    <x v="1"/>
    <n v="1"/>
    <n v="0"/>
    <n v="11"/>
    <n v="6"/>
    <n v="0"/>
    <n v="0"/>
    <n v="6"/>
    <n v="0"/>
    <x v="4"/>
  </r>
  <r>
    <x v="1973"/>
    <n v="45068"/>
    <n v="0"/>
    <n v="1"/>
    <n v="25"/>
    <n v="14"/>
    <n v="0"/>
    <n v="3"/>
    <n v="0"/>
    <n v="0"/>
    <n v="3"/>
    <n v="1"/>
    <n v="1"/>
    <n v="0"/>
    <n v="2"/>
    <n v="7"/>
    <n v="0"/>
    <n v="0"/>
    <n v="0"/>
    <n v="0"/>
    <n v="0"/>
    <x v="0"/>
    <n v="0"/>
    <n v="3"/>
    <n v="11"/>
    <n v="0"/>
    <n v="46"/>
    <n v="2568"/>
    <n v="7.0356164383561648"/>
    <n v="0"/>
    <n v="0"/>
    <n v="0"/>
    <n v="1"/>
    <n v="0"/>
    <n v="0"/>
    <n v="0"/>
    <n v="0"/>
    <n v="0"/>
    <n v="1"/>
    <n v="17"/>
    <n v="14"/>
    <n v="3"/>
    <n v="0"/>
    <x v="0"/>
    <x v="0"/>
    <x v="2"/>
    <x v="1"/>
    <x v="3"/>
    <x v="0"/>
    <n v="0"/>
    <n v="0"/>
    <n v="11"/>
    <n v="8"/>
    <n v="0"/>
    <n v="0"/>
    <n v="8"/>
    <n v="1"/>
    <x v="3"/>
  </r>
  <r>
    <x v="1974"/>
    <n v="46779"/>
    <n v="1"/>
    <n v="1"/>
    <n v="55"/>
    <n v="12"/>
    <n v="1"/>
    <n v="3"/>
    <n v="0"/>
    <n v="0"/>
    <n v="7"/>
    <n v="1"/>
    <n v="0"/>
    <n v="1"/>
    <n v="2"/>
    <n v="4"/>
    <n v="0"/>
    <n v="0"/>
    <n v="0"/>
    <n v="0"/>
    <n v="0"/>
    <x v="0"/>
    <n v="0"/>
    <n v="3"/>
    <n v="11"/>
    <n v="0"/>
    <n v="60"/>
    <n v="2511"/>
    <n v="6.8794520547945206"/>
    <n v="0"/>
    <n v="0"/>
    <n v="0"/>
    <n v="0"/>
    <n v="1"/>
    <n v="1"/>
    <n v="0"/>
    <n v="0"/>
    <n v="0"/>
    <n v="0"/>
    <n v="16"/>
    <n v="9"/>
    <n v="7"/>
    <n v="0"/>
    <x v="0"/>
    <x v="0"/>
    <x v="4"/>
    <x v="1"/>
    <x v="3"/>
    <x v="1"/>
    <n v="1"/>
    <n v="0"/>
    <n v="8"/>
    <n v="5"/>
    <n v="0"/>
    <n v="0"/>
    <n v="5"/>
    <n v="0"/>
    <x v="4"/>
  </r>
  <r>
    <x v="1975"/>
    <n v="47025"/>
    <n v="1"/>
    <n v="1"/>
    <n v="6"/>
    <n v="16"/>
    <n v="0"/>
    <n v="3"/>
    <n v="0"/>
    <n v="0"/>
    <n v="1"/>
    <n v="1"/>
    <n v="1"/>
    <n v="0"/>
    <n v="2"/>
    <n v="7"/>
    <n v="0"/>
    <n v="0"/>
    <n v="0"/>
    <n v="0"/>
    <n v="0"/>
    <x v="0"/>
    <n v="0"/>
    <n v="3"/>
    <n v="11"/>
    <n v="0"/>
    <n v="55"/>
    <n v="2299"/>
    <n v="6.2986301369863016"/>
    <n v="1"/>
    <n v="0"/>
    <n v="0"/>
    <n v="0"/>
    <n v="0"/>
    <n v="0"/>
    <n v="0"/>
    <n v="0"/>
    <n v="0"/>
    <n v="1"/>
    <n v="19"/>
    <n v="18"/>
    <n v="1"/>
    <n v="0"/>
    <x v="0"/>
    <x v="0"/>
    <x v="3"/>
    <x v="1"/>
    <x v="3"/>
    <x v="1"/>
    <n v="0"/>
    <n v="0"/>
    <n v="11"/>
    <n v="10"/>
    <n v="0"/>
    <n v="0"/>
    <n v="10"/>
    <n v="2"/>
    <x v="3"/>
  </r>
  <r>
    <x v="1976"/>
    <n v="47691"/>
    <n v="0"/>
    <n v="1"/>
    <n v="43"/>
    <n v="14"/>
    <n v="0"/>
    <n v="3"/>
    <n v="0"/>
    <n v="0"/>
    <n v="4"/>
    <n v="1"/>
    <n v="1"/>
    <n v="0"/>
    <n v="2"/>
    <n v="6"/>
    <n v="0"/>
    <n v="0"/>
    <n v="0"/>
    <n v="0"/>
    <n v="0"/>
    <x v="0"/>
    <n v="0"/>
    <n v="3"/>
    <n v="11"/>
    <n v="0"/>
    <n v="41"/>
    <n v="2518"/>
    <n v="6.8986301369863012"/>
    <n v="0"/>
    <n v="0"/>
    <n v="1"/>
    <n v="0"/>
    <n v="0"/>
    <n v="0"/>
    <n v="0"/>
    <n v="1"/>
    <n v="0"/>
    <n v="0"/>
    <n v="17"/>
    <n v="13"/>
    <n v="4"/>
    <n v="0"/>
    <x v="0"/>
    <x v="0"/>
    <x v="1"/>
    <x v="0"/>
    <x v="3"/>
    <x v="0"/>
    <n v="1"/>
    <n v="0"/>
    <n v="10"/>
    <n v="6"/>
    <n v="0"/>
    <n v="0"/>
    <n v="6"/>
    <n v="0"/>
    <x v="4"/>
  </r>
  <r>
    <x v="1977"/>
    <n v="49638"/>
    <n v="0"/>
    <n v="1"/>
    <n v="71"/>
    <n v="18"/>
    <n v="10"/>
    <n v="3"/>
    <n v="3"/>
    <n v="5"/>
    <n v="0"/>
    <n v="1"/>
    <n v="1"/>
    <n v="0"/>
    <n v="3"/>
    <n v="2"/>
    <n v="0"/>
    <n v="0"/>
    <n v="0"/>
    <n v="0"/>
    <n v="0"/>
    <x v="0"/>
    <n v="0"/>
    <n v="3"/>
    <n v="11"/>
    <n v="0"/>
    <n v="68"/>
    <n v="2230"/>
    <n v="6.1095890410958908"/>
    <n v="1"/>
    <n v="0"/>
    <n v="0"/>
    <n v="0"/>
    <n v="0"/>
    <n v="0"/>
    <n v="0"/>
    <n v="1"/>
    <n v="0"/>
    <n v="0"/>
    <n v="39"/>
    <n v="39"/>
    <n v="0"/>
    <n v="0"/>
    <x v="0"/>
    <x v="0"/>
    <x v="3"/>
    <x v="0"/>
    <x v="3"/>
    <x v="2"/>
    <n v="1"/>
    <n v="0"/>
    <n v="7"/>
    <n v="3.0000000000000004"/>
    <n v="0"/>
    <n v="1"/>
    <n v="4"/>
    <n v="0"/>
    <x v="4"/>
  </r>
  <r>
    <x v="1978"/>
    <n v="51411"/>
    <n v="1"/>
    <n v="2"/>
    <n v="81"/>
    <n v="14"/>
    <n v="0"/>
    <n v="3"/>
    <n v="0"/>
    <n v="0"/>
    <n v="1"/>
    <n v="1"/>
    <n v="0"/>
    <n v="0"/>
    <n v="3"/>
    <n v="5"/>
    <n v="0"/>
    <n v="0"/>
    <n v="0"/>
    <n v="0"/>
    <n v="0"/>
    <x v="0"/>
    <n v="0"/>
    <n v="3"/>
    <n v="11"/>
    <n v="0"/>
    <n v="67"/>
    <n v="2558"/>
    <n v="7.0082191780821921"/>
    <n v="0"/>
    <n v="0"/>
    <n v="1"/>
    <n v="0"/>
    <n v="0"/>
    <n v="0"/>
    <n v="0"/>
    <n v="0"/>
    <n v="0"/>
    <n v="1"/>
    <n v="17"/>
    <n v="16"/>
    <n v="1"/>
    <n v="0"/>
    <x v="0"/>
    <x v="0"/>
    <x v="1"/>
    <x v="1"/>
    <x v="2"/>
    <x v="2"/>
    <n v="1"/>
    <n v="0"/>
    <n v="9"/>
    <n v="1.9999999999999996"/>
    <n v="0"/>
    <n v="0"/>
    <n v="1.9999999999999996"/>
    <n v="0"/>
    <x v="4"/>
  </r>
  <r>
    <x v="1979"/>
    <n v="52569"/>
    <n v="0"/>
    <n v="1"/>
    <n v="54"/>
    <n v="85"/>
    <n v="0"/>
    <n v="3"/>
    <n v="0"/>
    <n v="0"/>
    <n v="7"/>
    <n v="1"/>
    <n v="2"/>
    <n v="0"/>
    <n v="4"/>
    <n v="3"/>
    <n v="0"/>
    <n v="0"/>
    <n v="0"/>
    <n v="0"/>
    <n v="0"/>
    <x v="0"/>
    <n v="0"/>
    <n v="3"/>
    <n v="11"/>
    <n v="0"/>
    <n v="53"/>
    <n v="2244"/>
    <n v="6.1479452054794521"/>
    <n v="0"/>
    <n v="0"/>
    <n v="1"/>
    <n v="0"/>
    <n v="0"/>
    <n v="0"/>
    <n v="0"/>
    <n v="0"/>
    <n v="0"/>
    <n v="1"/>
    <n v="88"/>
    <n v="81"/>
    <n v="7"/>
    <n v="0"/>
    <x v="0"/>
    <x v="0"/>
    <x v="1"/>
    <x v="1"/>
    <x v="2"/>
    <x v="1"/>
    <n v="1"/>
    <n v="0"/>
    <n v="10"/>
    <n v="5"/>
    <n v="0"/>
    <n v="3"/>
    <n v="8"/>
    <n v="1"/>
    <x v="3"/>
  </r>
  <r>
    <x v="1980"/>
    <n v="113734"/>
    <n v="0"/>
    <n v="0"/>
    <n v="9"/>
    <n v="6"/>
    <n v="2"/>
    <n v="3"/>
    <n v="1"/>
    <n v="262"/>
    <n v="3"/>
    <n v="0"/>
    <n v="27"/>
    <n v="0"/>
    <n v="0"/>
    <n v="1"/>
    <n v="0"/>
    <n v="0"/>
    <n v="0"/>
    <n v="0"/>
    <n v="0"/>
    <x v="0"/>
    <n v="0"/>
    <n v="3"/>
    <n v="11"/>
    <n v="0"/>
    <n v="75"/>
    <n v="2191"/>
    <n v="6.0027397260273974"/>
    <n v="0"/>
    <n v="0"/>
    <n v="1"/>
    <n v="0"/>
    <n v="0"/>
    <n v="0"/>
    <n v="0"/>
    <n v="0"/>
    <n v="0"/>
    <n v="1"/>
    <n v="274"/>
    <n v="271"/>
    <n v="3"/>
    <n v="0"/>
    <x v="1"/>
    <x v="1"/>
    <x v="1"/>
    <x v="1"/>
    <x v="1"/>
    <x v="2"/>
    <n v="0"/>
    <n v="0"/>
    <n v="28"/>
    <n v="10"/>
    <n v="8"/>
    <n v="4"/>
    <n v="22"/>
    <n v="8"/>
    <x v="2"/>
  </r>
  <r>
    <x v="1981"/>
    <n v="14421"/>
    <n v="0"/>
    <n v="0"/>
    <n v="81"/>
    <n v="0"/>
    <n v="0"/>
    <n v="2"/>
    <n v="3"/>
    <n v="3"/>
    <n v="8"/>
    <n v="1"/>
    <n v="1"/>
    <n v="0"/>
    <n v="2"/>
    <n v="5"/>
    <n v="0"/>
    <n v="0"/>
    <n v="1"/>
    <n v="0"/>
    <n v="0"/>
    <x v="1"/>
    <n v="0"/>
    <n v="3"/>
    <n v="11"/>
    <n v="0"/>
    <n v="24"/>
    <n v="2291"/>
    <n v="6.2767123287671236"/>
    <n v="0"/>
    <n v="1"/>
    <n v="0"/>
    <n v="0"/>
    <n v="0"/>
    <n v="0"/>
    <n v="1"/>
    <n v="0"/>
    <n v="0"/>
    <n v="0"/>
    <n v="8"/>
    <n v="0"/>
    <n v="8"/>
    <n v="1"/>
    <x v="1"/>
    <x v="1"/>
    <x v="0"/>
    <x v="2"/>
    <x v="0"/>
    <x v="4"/>
    <n v="1"/>
    <n v="0"/>
    <n v="9"/>
    <n v="1.9999999999999996"/>
    <n v="0"/>
    <n v="0"/>
    <n v="1.9999999999999996"/>
    <n v="0"/>
    <x v="4"/>
  </r>
  <r>
    <x v="1982"/>
    <n v="16005"/>
    <n v="1"/>
    <n v="0"/>
    <n v="69"/>
    <n v="1"/>
    <n v="3"/>
    <n v="2"/>
    <n v="20"/>
    <n v="30"/>
    <n v="47"/>
    <n v="3"/>
    <n v="2"/>
    <n v="1"/>
    <n v="2"/>
    <n v="8"/>
    <n v="0"/>
    <n v="0"/>
    <n v="0"/>
    <n v="0"/>
    <n v="0"/>
    <x v="0"/>
    <n v="0"/>
    <n v="3"/>
    <n v="11"/>
    <n v="0"/>
    <n v="40"/>
    <n v="2843"/>
    <n v="7.7890410958904113"/>
    <n v="0"/>
    <n v="1"/>
    <n v="0"/>
    <n v="0"/>
    <n v="0"/>
    <n v="0"/>
    <n v="1"/>
    <n v="0"/>
    <n v="0"/>
    <n v="0"/>
    <n v="56"/>
    <n v="9"/>
    <n v="47"/>
    <n v="0"/>
    <x v="0"/>
    <x v="0"/>
    <x v="0"/>
    <x v="2"/>
    <x v="0"/>
    <x v="3"/>
    <n v="1"/>
    <n v="0"/>
    <n v="16"/>
    <n v="4"/>
    <n v="3"/>
    <n v="2"/>
    <n v="9"/>
    <n v="1"/>
    <x v="3"/>
  </r>
  <r>
    <x v="1983"/>
    <n v="18100"/>
    <n v="0"/>
    <n v="0"/>
    <n v="14"/>
    <n v="3"/>
    <n v="1"/>
    <n v="2"/>
    <n v="4"/>
    <n v="3"/>
    <n v="1"/>
    <n v="1"/>
    <n v="0"/>
    <n v="0"/>
    <n v="3"/>
    <n v="5"/>
    <n v="0"/>
    <n v="0"/>
    <n v="0"/>
    <n v="0"/>
    <n v="0"/>
    <x v="0"/>
    <n v="0"/>
    <n v="3"/>
    <n v="11"/>
    <n v="0"/>
    <n v="74"/>
    <n v="2486"/>
    <n v="6.8109589041095893"/>
    <n v="0"/>
    <n v="1"/>
    <n v="0"/>
    <n v="0"/>
    <n v="0"/>
    <n v="0"/>
    <n v="0"/>
    <n v="1"/>
    <n v="0"/>
    <n v="0"/>
    <n v="13"/>
    <n v="12"/>
    <n v="1"/>
    <n v="0"/>
    <x v="1"/>
    <x v="1"/>
    <x v="0"/>
    <x v="0"/>
    <x v="0"/>
    <x v="2"/>
    <n v="0"/>
    <n v="0"/>
    <n v="9"/>
    <n v="9"/>
    <n v="0"/>
    <n v="0"/>
    <n v="9"/>
    <n v="1"/>
    <x v="3"/>
  </r>
  <r>
    <x v="1984"/>
    <n v="18492"/>
    <n v="1"/>
    <n v="0"/>
    <n v="75"/>
    <n v="2"/>
    <n v="2"/>
    <n v="2"/>
    <n v="2"/>
    <n v="1"/>
    <n v="1"/>
    <n v="1"/>
    <n v="1"/>
    <n v="0"/>
    <n v="2"/>
    <n v="8"/>
    <n v="0"/>
    <n v="0"/>
    <n v="0"/>
    <n v="0"/>
    <n v="0"/>
    <x v="0"/>
    <n v="0"/>
    <n v="3"/>
    <n v="11"/>
    <n v="0"/>
    <n v="38"/>
    <n v="2183"/>
    <n v="5.9808219178082194"/>
    <n v="0"/>
    <n v="0"/>
    <n v="0"/>
    <n v="1"/>
    <n v="0"/>
    <n v="0"/>
    <n v="0"/>
    <n v="0"/>
    <n v="1"/>
    <n v="0"/>
    <n v="9"/>
    <n v="8"/>
    <n v="1"/>
    <n v="0"/>
    <x v="0"/>
    <x v="0"/>
    <x v="2"/>
    <x v="1"/>
    <x v="0"/>
    <x v="3"/>
    <n v="1"/>
    <n v="0"/>
    <n v="12"/>
    <n v="3.0000000000000004"/>
    <n v="1"/>
    <n v="0"/>
    <n v="4"/>
    <n v="0"/>
    <x v="4"/>
  </r>
  <r>
    <x v="1985"/>
    <n v="18701"/>
    <n v="1"/>
    <n v="1"/>
    <n v="95"/>
    <n v="12"/>
    <n v="4"/>
    <n v="2"/>
    <n v="10"/>
    <n v="6"/>
    <n v="10"/>
    <n v="4"/>
    <n v="2"/>
    <n v="0"/>
    <n v="4"/>
    <n v="5"/>
    <n v="0"/>
    <n v="0"/>
    <n v="0"/>
    <n v="0"/>
    <n v="0"/>
    <x v="0"/>
    <n v="0"/>
    <n v="3"/>
    <n v="11"/>
    <n v="0"/>
    <n v="56"/>
    <n v="2549"/>
    <n v="6.9835616438356167"/>
    <n v="0"/>
    <n v="0"/>
    <n v="1"/>
    <n v="0"/>
    <n v="0"/>
    <n v="0"/>
    <n v="0"/>
    <n v="1"/>
    <n v="0"/>
    <n v="0"/>
    <n v="34"/>
    <n v="24"/>
    <n v="10"/>
    <n v="0"/>
    <x v="0"/>
    <x v="0"/>
    <x v="1"/>
    <x v="0"/>
    <x v="0"/>
    <x v="1"/>
    <n v="1"/>
    <n v="1"/>
    <n v="15"/>
    <n v="0.99999999999999978"/>
    <n v="2"/>
    <n v="1"/>
    <n v="4"/>
    <n v="0"/>
    <x v="4"/>
  </r>
  <r>
    <x v="1986"/>
    <n v="22263"/>
    <n v="1"/>
    <n v="1"/>
    <n v="31"/>
    <n v="17"/>
    <n v="0"/>
    <n v="2"/>
    <n v="0"/>
    <n v="0"/>
    <n v="2"/>
    <n v="2"/>
    <n v="1"/>
    <n v="0"/>
    <n v="3"/>
    <n v="6"/>
    <n v="0"/>
    <n v="0"/>
    <n v="0"/>
    <n v="0"/>
    <n v="0"/>
    <x v="0"/>
    <n v="1"/>
    <n v="3"/>
    <n v="11"/>
    <n v="0"/>
    <n v="69"/>
    <n v="2250"/>
    <n v="6.1643835616438354"/>
    <n v="1"/>
    <n v="0"/>
    <n v="0"/>
    <n v="0"/>
    <n v="0"/>
    <n v="0"/>
    <n v="0"/>
    <n v="1"/>
    <n v="0"/>
    <n v="0"/>
    <n v="19"/>
    <n v="17"/>
    <n v="2"/>
    <n v="0"/>
    <x v="0"/>
    <x v="0"/>
    <x v="3"/>
    <x v="0"/>
    <x v="0"/>
    <x v="2"/>
    <n v="1"/>
    <n v="0"/>
    <n v="12"/>
    <n v="7"/>
    <n v="1"/>
    <n v="0"/>
    <n v="8"/>
    <n v="1"/>
    <x v="3"/>
  </r>
  <r>
    <x v="1987"/>
    <n v="24336"/>
    <n v="1"/>
    <n v="0"/>
    <n v="82"/>
    <n v="1"/>
    <n v="6"/>
    <n v="2"/>
    <n v="8"/>
    <n v="2"/>
    <n v="12"/>
    <n v="1"/>
    <n v="1"/>
    <n v="0"/>
    <n v="2"/>
    <n v="7"/>
    <n v="0"/>
    <n v="0"/>
    <n v="0"/>
    <n v="0"/>
    <n v="0"/>
    <x v="0"/>
    <n v="0"/>
    <n v="3"/>
    <n v="11"/>
    <n v="0"/>
    <n v="39"/>
    <n v="2830"/>
    <n v="7.7534246575342465"/>
    <n v="0"/>
    <n v="0"/>
    <n v="1"/>
    <n v="0"/>
    <n v="0"/>
    <n v="1"/>
    <n v="0"/>
    <n v="0"/>
    <n v="0"/>
    <n v="0"/>
    <n v="19"/>
    <n v="7"/>
    <n v="12"/>
    <n v="0"/>
    <x v="0"/>
    <x v="0"/>
    <x v="1"/>
    <x v="1"/>
    <x v="0"/>
    <x v="3"/>
    <n v="1"/>
    <n v="0"/>
    <n v="11"/>
    <n v="1.9999999999999996"/>
    <n v="0"/>
    <n v="0"/>
    <n v="1.9999999999999996"/>
    <n v="0"/>
    <x v="4"/>
  </r>
  <r>
    <x v="1988"/>
    <n v="24367"/>
    <n v="1"/>
    <n v="0"/>
    <n v="58"/>
    <n v="2"/>
    <n v="4"/>
    <n v="2"/>
    <n v="0"/>
    <n v="11"/>
    <n v="5"/>
    <n v="1"/>
    <n v="1"/>
    <n v="0"/>
    <n v="2"/>
    <n v="9"/>
    <n v="0"/>
    <n v="0"/>
    <n v="0"/>
    <n v="0"/>
    <n v="0"/>
    <x v="0"/>
    <n v="0"/>
    <n v="3"/>
    <n v="11"/>
    <n v="0"/>
    <n v="38"/>
    <n v="2625"/>
    <n v="7.1917808219178081"/>
    <n v="0"/>
    <n v="0"/>
    <n v="1"/>
    <n v="0"/>
    <n v="0"/>
    <n v="0"/>
    <n v="1"/>
    <n v="0"/>
    <n v="0"/>
    <n v="0"/>
    <n v="19"/>
    <n v="14"/>
    <n v="5"/>
    <n v="0"/>
    <x v="0"/>
    <x v="0"/>
    <x v="1"/>
    <x v="2"/>
    <x v="0"/>
    <x v="3"/>
    <n v="1"/>
    <n v="0"/>
    <n v="13"/>
    <n v="5"/>
    <n v="1"/>
    <n v="0"/>
    <n v="6"/>
    <n v="0"/>
    <x v="4"/>
  </r>
  <r>
    <x v="1989"/>
    <n v="25707"/>
    <n v="1"/>
    <n v="0"/>
    <n v="18"/>
    <n v="1"/>
    <n v="6"/>
    <n v="2"/>
    <n v="3"/>
    <n v="6"/>
    <n v="3"/>
    <n v="1"/>
    <n v="1"/>
    <n v="0"/>
    <n v="3"/>
    <n v="7"/>
    <n v="0"/>
    <n v="0"/>
    <n v="0"/>
    <n v="0"/>
    <n v="0"/>
    <x v="0"/>
    <n v="0"/>
    <n v="3"/>
    <n v="11"/>
    <n v="0"/>
    <n v="36"/>
    <n v="2321"/>
    <n v="6.3589041095890408"/>
    <n v="0"/>
    <n v="0"/>
    <n v="1"/>
    <n v="0"/>
    <n v="0"/>
    <n v="0"/>
    <n v="1"/>
    <n v="0"/>
    <n v="0"/>
    <n v="0"/>
    <n v="18"/>
    <n v="15"/>
    <n v="3"/>
    <n v="0"/>
    <x v="0"/>
    <x v="0"/>
    <x v="1"/>
    <x v="2"/>
    <x v="0"/>
    <x v="3"/>
    <n v="0"/>
    <n v="0"/>
    <n v="12"/>
    <n v="9"/>
    <n v="1"/>
    <n v="0"/>
    <n v="10"/>
    <n v="2"/>
    <x v="3"/>
  </r>
  <r>
    <x v="1990"/>
    <n v="25930"/>
    <n v="1"/>
    <n v="1"/>
    <n v="87"/>
    <n v="6"/>
    <n v="1"/>
    <n v="2"/>
    <n v="2"/>
    <n v="0"/>
    <n v="4"/>
    <n v="1"/>
    <n v="1"/>
    <n v="0"/>
    <n v="2"/>
    <n v="7"/>
    <n v="0"/>
    <n v="0"/>
    <n v="0"/>
    <n v="0"/>
    <n v="0"/>
    <x v="0"/>
    <n v="0"/>
    <n v="3"/>
    <n v="11"/>
    <n v="0"/>
    <n v="53"/>
    <n v="2421"/>
    <n v="6.6328767123287671"/>
    <n v="0"/>
    <n v="0"/>
    <n v="1"/>
    <n v="0"/>
    <n v="0"/>
    <n v="0"/>
    <n v="0"/>
    <n v="1"/>
    <n v="0"/>
    <n v="0"/>
    <n v="11"/>
    <n v="7"/>
    <n v="4"/>
    <n v="0"/>
    <x v="0"/>
    <x v="0"/>
    <x v="1"/>
    <x v="0"/>
    <x v="0"/>
    <x v="1"/>
    <n v="1"/>
    <n v="0"/>
    <n v="11"/>
    <n v="1.9999999999999996"/>
    <n v="0"/>
    <n v="0"/>
    <n v="1.9999999999999996"/>
    <n v="0"/>
    <x v="4"/>
  </r>
  <r>
    <x v="1991"/>
    <n v="27469"/>
    <n v="0"/>
    <n v="0"/>
    <n v="2"/>
    <n v="9"/>
    <n v="1"/>
    <n v="2"/>
    <n v="3"/>
    <n v="2"/>
    <n v="0"/>
    <n v="1"/>
    <n v="0"/>
    <n v="0"/>
    <n v="3"/>
    <n v="6"/>
    <n v="0"/>
    <n v="0"/>
    <n v="0"/>
    <n v="0"/>
    <n v="0"/>
    <x v="0"/>
    <n v="0"/>
    <n v="3"/>
    <n v="11"/>
    <n v="0"/>
    <n v="73"/>
    <n v="2855"/>
    <n v="7.8219178082191778"/>
    <n v="0"/>
    <n v="1"/>
    <n v="0"/>
    <n v="0"/>
    <n v="0"/>
    <n v="0"/>
    <n v="0"/>
    <n v="1"/>
    <n v="0"/>
    <n v="0"/>
    <n v="17"/>
    <n v="17"/>
    <n v="0"/>
    <n v="0"/>
    <x v="1"/>
    <x v="1"/>
    <x v="0"/>
    <x v="0"/>
    <x v="0"/>
    <x v="2"/>
    <n v="0"/>
    <n v="0"/>
    <n v="10"/>
    <n v="10"/>
    <n v="0"/>
    <n v="0"/>
    <n v="10"/>
    <n v="2"/>
    <x v="3"/>
  </r>
  <r>
    <x v="1992"/>
    <n v="29298"/>
    <n v="1"/>
    <n v="1"/>
    <n v="60"/>
    <n v="6"/>
    <n v="0"/>
    <n v="2"/>
    <n v="2"/>
    <n v="0"/>
    <n v="1"/>
    <n v="1"/>
    <n v="1"/>
    <n v="0"/>
    <n v="2"/>
    <n v="5"/>
    <n v="0"/>
    <n v="0"/>
    <n v="0"/>
    <n v="0"/>
    <n v="0"/>
    <x v="0"/>
    <n v="0"/>
    <n v="3"/>
    <n v="11"/>
    <n v="0"/>
    <n v="69"/>
    <n v="2454"/>
    <n v="6.7232876712328764"/>
    <n v="0"/>
    <n v="0"/>
    <n v="0"/>
    <n v="1"/>
    <n v="0"/>
    <n v="0"/>
    <n v="0"/>
    <n v="0"/>
    <n v="1"/>
    <n v="0"/>
    <n v="10"/>
    <n v="9"/>
    <n v="1"/>
    <n v="0"/>
    <x v="0"/>
    <x v="0"/>
    <x v="2"/>
    <x v="1"/>
    <x v="0"/>
    <x v="2"/>
    <n v="1"/>
    <n v="0"/>
    <n v="9"/>
    <n v="4"/>
    <n v="0"/>
    <n v="0"/>
    <n v="4"/>
    <n v="0"/>
    <x v="4"/>
  </r>
  <r>
    <x v="1993"/>
    <n v="30081"/>
    <n v="0"/>
    <n v="1"/>
    <n v="27"/>
    <n v="36"/>
    <n v="0"/>
    <n v="2"/>
    <n v="0"/>
    <n v="0"/>
    <n v="4"/>
    <n v="1"/>
    <n v="1"/>
    <n v="0"/>
    <n v="3"/>
    <n v="7"/>
    <n v="0"/>
    <n v="0"/>
    <n v="0"/>
    <n v="0"/>
    <n v="0"/>
    <x v="0"/>
    <n v="0"/>
    <n v="3"/>
    <n v="11"/>
    <n v="0"/>
    <n v="59"/>
    <n v="2652"/>
    <n v="7.2657534246575342"/>
    <n v="0"/>
    <n v="0"/>
    <n v="1"/>
    <n v="0"/>
    <n v="0"/>
    <n v="0"/>
    <n v="0"/>
    <n v="1"/>
    <n v="0"/>
    <n v="0"/>
    <n v="38"/>
    <n v="34"/>
    <n v="4"/>
    <n v="0"/>
    <x v="0"/>
    <x v="0"/>
    <x v="1"/>
    <x v="0"/>
    <x v="0"/>
    <x v="1"/>
    <n v="0"/>
    <n v="0"/>
    <n v="12"/>
    <n v="8"/>
    <n v="1"/>
    <n v="1"/>
    <n v="10"/>
    <n v="2"/>
    <x v="3"/>
  </r>
  <r>
    <x v="1994"/>
    <n v="30843"/>
    <n v="1"/>
    <n v="1"/>
    <n v="43"/>
    <n v="24"/>
    <n v="0"/>
    <n v="2"/>
    <n v="0"/>
    <n v="0"/>
    <n v="9"/>
    <n v="2"/>
    <n v="1"/>
    <n v="1"/>
    <n v="2"/>
    <n v="5"/>
    <n v="0"/>
    <n v="0"/>
    <n v="1"/>
    <n v="0"/>
    <n v="0"/>
    <x v="1"/>
    <n v="0"/>
    <n v="3"/>
    <n v="11"/>
    <n v="0"/>
    <n v="54"/>
    <n v="2193"/>
    <n v="6.0082191780821921"/>
    <n v="0"/>
    <n v="0"/>
    <n v="0"/>
    <n v="1"/>
    <n v="0"/>
    <n v="0"/>
    <n v="0"/>
    <n v="0"/>
    <n v="0"/>
    <n v="1"/>
    <n v="26"/>
    <n v="17"/>
    <n v="9"/>
    <n v="1"/>
    <x v="0"/>
    <x v="0"/>
    <x v="2"/>
    <x v="1"/>
    <x v="0"/>
    <x v="1"/>
    <n v="1"/>
    <n v="0"/>
    <n v="11"/>
    <n v="6"/>
    <n v="0"/>
    <n v="0"/>
    <n v="6"/>
    <n v="0"/>
    <x v="4"/>
  </r>
  <r>
    <x v="1995"/>
    <n v="32173"/>
    <n v="0"/>
    <n v="1"/>
    <n v="0"/>
    <n v="18"/>
    <n v="0"/>
    <n v="2"/>
    <n v="0"/>
    <n v="0"/>
    <n v="2"/>
    <n v="1"/>
    <n v="1"/>
    <n v="0"/>
    <n v="3"/>
    <n v="4"/>
    <n v="0"/>
    <n v="0"/>
    <n v="0"/>
    <n v="0"/>
    <n v="0"/>
    <x v="0"/>
    <n v="0"/>
    <n v="3"/>
    <n v="11"/>
    <n v="0"/>
    <n v="62"/>
    <n v="2491"/>
    <n v="6.8246575342465752"/>
    <n v="1"/>
    <n v="0"/>
    <n v="0"/>
    <n v="0"/>
    <n v="0"/>
    <n v="0"/>
    <n v="0"/>
    <n v="0"/>
    <n v="0"/>
    <n v="1"/>
    <n v="20"/>
    <n v="18"/>
    <n v="2"/>
    <n v="0"/>
    <x v="0"/>
    <x v="0"/>
    <x v="3"/>
    <x v="1"/>
    <x v="0"/>
    <x v="2"/>
    <n v="0"/>
    <n v="0"/>
    <n v="9"/>
    <n v="10"/>
    <n v="0"/>
    <n v="0"/>
    <n v="10"/>
    <n v="2"/>
    <x v="3"/>
  </r>
  <r>
    <x v="1996"/>
    <n v="32303"/>
    <n v="0"/>
    <n v="1"/>
    <n v="63"/>
    <n v="35"/>
    <n v="0"/>
    <n v="2"/>
    <n v="0"/>
    <n v="0"/>
    <n v="2"/>
    <n v="2"/>
    <n v="1"/>
    <n v="0"/>
    <n v="4"/>
    <n v="5"/>
    <n v="0"/>
    <n v="0"/>
    <n v="0"/>
    <n v="0"/>
    <n v="0"/>
    <x v="0"/>
    <n v="0"/>
    <n v="3"/>
    <n v="11"/>
    <n v="0"/>
    <n v="50"/>
    <n v="2272"/>
    <n v="6.2246575342465755"/>
    <n v="0"/>
    <n v="0"/>
    <n v="1"/>
    <n v="0"/>
    <n v="0"/>
    <n v="0"/>
    <n v="0"/>
    <n v="0"/>
    <n v="0"/>
    <n v="1"/>
    <n v="37"/>
    <n v="35"/>
    <n v="2"/>
    <n v="0"/>
    <x v="0"/>
    <x v="0"/>
    <x v="1"/>
    <x v="1"/>
    <x v="0"/>
    <x v="0"/>
    <n v="1"/>
    <n v="0"/>
    <n v="12"/>
    <n v="4"/>
    <n v="1"/>
    <n v="1"/>
    <n v="6"/>
    <n v="0"/>
    <x v="4"/>
  </r>
  <r>
    <x v="1997"/>
    <n v="33178"/>
    <n v="1"/>
    <n v="0"/>
    <n v="9"/>
    <n v="12"/>
    <n v="6"/>
    <n v="2"/>
    <n v="11"/>
    <n v="2"/>
    <n v="16"/>
    <n v="1"/>
    <n v="1"/>
    <n v="0"/>
    <n v="3"/>
    <n v="4"/>
    <n v="0"/>
    <n v="0"/>
    <n v="0"/>
    <n v="0"/>
    <n v="0"/>
    <x v="0"/>
    <n v="0"/>
    <n v="3"/>
    <n v="11"/>
    <n v="0"/>
    <n v="43"/>
    <n v="2309"/>
    <n v="6.3260273972602743"/>
    <n v="0"/>
    <n v="0"/>
    <n v="0"/>
    <n v="1"/>
    <n v="0"/>
    <n v="0"/>
    <n v="0"/>
    <n v="1"/>
    <n v="0"/>
    <n v="0"/>
    <n v="33"/>
    <n v="17"/>
    <n v="16"/>
    <n v="0"/>
    <x v="0"/>
    <x v="0"/>
    <x v="2"/>
    <x v="0"/>
    <x v="0"/>
    <x v="0"/>
    <n v="0"/>
    <n v="0"/>
    <n v="9"/>
    <n v="10"/>
    <n v="0"/>
    <n v="1"/>
    <n v="11"/>
    <n v="2"/>
    <x v="3"/>
  </r>
  <r>
    <x v="1998"/>
    <n v="33590"/>
    <n v="2"/>
    <n v="1"/>
    <n v="65"/>
    <n v="4"/>
    <n v="0"/>
    <n v="2"/>
    <n v="0"/>
    <n v="0"/>
    <n v="2"/>
    <n v="1"/>
    <n v="1"/>
    <n v="0"/>
    <n v="2"/>
    <n v="7"/>
    <n v="0"/>
    <n v="0"/>
    <n v="0"/>
    <n v="0"/>
    <n v="0"/>
    <x v="0"/>
    <n v="0"/>
    <n v="3"/>
    <n v="11"/>
    <n v="0"/>
    <n v="46"/>
    <n v="2397"/>
    <n v="6.5671232876712331"/>
    <n v="0"/>
    <n v="0"/>
    <n v="0"/>
    <n v="1"/>
    <n v="0"/>
    <n v="0"/>
    <n v="0"/>
    <n v="1"/>
    <n v="0"/>
    <n v="0"/>
    <n v="6"/>
    <n v="4"/>
    <n v="2"/>
    <n v="0"/>
    <x v="0"/>
    <x v="0"/>
    <x v="2"/>
    <x v="0"/>
    <x v="0"/>
    <x v="0"/>
    <n v="1"/>
    <n v="0"/>
    <n v="11"/>
    <n v="4"/>
    <n v="0"/>
    <n v="0"/>
    <n v="4"/>
    <n v="0"/>
    <x v="4"/>
  </r>
  <r>
    <x v="1999"/>
    <n v="34596"/>
    <n v="1"/>
    <n v="0"/>
    <n v="48"/>
    <n v="14"/>
    <n v="0"/>
    <n v="2"/>
    <n v="0"/>
    <n v="0"/>
    <n v="7"/>
    <n v="1"/>
    <n v="1"/>
    <n v="0"/>
    <n v="2"/>
    <n v="8"/>
    <n v="0"/>
    <n v="0"/>
    <n v="0"/>
    <n v="0"/>
    <n v="0"/>
    <x v="0"/>
    <n v="0"/>
    <n v="3"/>
    <n v="11"/>
    <n v="1"/>
    <n v="46"/>
    <n v="2601"/>
    <n v="7.1260273972602741"/>
    <n v="0"/>
    <n v="1"/>
    <n v="0"/>
    <n v="0"/>
    <n v="0"/>
    <n v="0"/>
    <n v="0"/>
    <n v="0"/>
    <n v="0"/>
    <n v="1"/>
    <n v="16"/>
    <n v="9"/>
    <n v="7"/>
    <n v="0"/>
    <x v="0"/>
    <x v="0"/>
    <x v="0"/>
    <x v="1"/>
    <x v="0"/>
    <x v="0"/>
    <n v="1"/>
    <n v="0"/>
    <n v="12"/>
    <n v="6"/>
    <n v="1"/>
    <n v="0"/>
    <n v="7"/>
    <n v="1"/>
    <x v="3"/>
  </r>
  <r>
    <x v="2000"/>
    <n v="34596"/>
    <n v="1"/>
    <n v="0"/>
    <n v="48"/>
    <n v="14"/>
    <n v="0"/>
    <n v="2"/>
    <n v="0"/>
    <n v="0"/>
    <n v="7"/>
    <n v="1"/>
    <n v="1"/>
    <n v="0"/>
    <n v="2"/>
    <n v="8"/>
    <n v="0"/>
    <n v="0"/>
    <n v="0"/>
    <n v="0"/>
    <n v="0"/>
    <x v="0"/>
    <n v="0"/>
    <n v="3"/>
    <n v="11"/>
    <n v="0"/>
    <n v="46"/>
    <n v="2601"/>
    <n v="7.1260273972602741"/>
    <n v="0"/>
    <n v="1"/>
    <n v="0"/>
    <n v="0"/>
    <n v="0"/>
    <n v="0"/>
    <n v="0"/>
    <n v="0"/>
    <n v="0"/>
    <n v="1"/>
    <n v="16"/>
    <n v="9"/>
    <n v="7"/>
    <n v="0"/>
    <x v="0"/>
    <x v="0"/>
    <x v="0"/>
    <x v="1"/>
    <x v="0"/>
    <x v="0"/>
    <n v="1"/>
    <n v="0"/>
    <n v="12"/>
    <n v="6"/>
    <n v="1"/>
    <n v="0"/>
    <n v="7"/>
    <n v="1"/>
    <x v="3"/>
  </r>
  <r>
    <x v="2001"/>
    <n v="36802"/>
    <n v="1"/>
    <n v="0"/>
    <n v="23"/>
    <n v="16"/>
    <n v="1"/>
    <n v="2"/>
    <n v="0"/>
    <n v="0"/>
    <n v="1"/>
    <n v="1"/>
    <n v="1"/>
    <n v="0"/>
    <n v="3"/>
    <n v="5"/>
    <n v="0"/>
    <n v="0"/>
    <n v="0"/>
    <n v="0"/>
    <n v="0"/>
    <x v="0"/>
    <n v="0"/>
    <n v="3"/>
    <n v="11"/>
    <n v="0"/>
    <n v="40"/>
    <n v="2172"/>
    <n v="5.9506849315068493"/>
    <n v="0"/>
    <n v="0"/>
    <n v="1"/>
    <n v="0"/>
    <n v="0"/>
    <n v="0"/>
    <n v="0"/>
    <n v="0"/>
    <n v="0"/>
    <n v="1"/>
    <n v="19"/>
    <n v="18"/>
    <n v="1"/>
    <n v="0"/>
    <x v="0"/>
    <x v="0"/>
    <x v="1"/>
    <x v="1"/>
    <x v="3"/>
    <x v="3"/>
    <n v="0"/>
    <n v="0"/>
    <n v="10"/>
    <n v="8"/>
    <n v="0"/>
    <n v="0"/>
    <n v="8"/>
    <n v="1"/>
    <x v="3"/>
  </r>
  <r>
    <x v="2002"/>
    <n v="37284"/>
    <n v="1"/>
    <n v="1"/>
    <n v="46"/>
    <n v="11"/>
    <n v="1"/>
    <n v="2"/>
    <n v="2"/>
    <n v="1"/>
    <n v="6"/>
    <n v="1"/>
    <n v="0"/>
    <n v="0"/>
    <n v="3"/>
    <n v="6"/>
    <n v="0"/>
    <n v="0"/>
    <n v="0"/>
    <n v="0"/>
    <n v="0"/>
    <x v="0"/>
    <n v="0"/>
    <n v="3"/>
    <n v="11"/>
    <n v="0"/>
    <n v="45"/>
    <n v="2616"/>
    <n v="7.1671232876712327"/>
    <n v="0"/>
    <n v="1"/>
    <n v="0"/>
    <n v="0"/>
    <n v="0"/>
    <n v="1"/>
    <n v="0"/>
    <n v="0"/>
    <n v="0"/>
    <n v="0"/>
    <n v="17"/>
    <n v="11"/>
    <n v="6"/>
    <n v="0"/>
    <x v="0"/>
    <x v="0"/>
    <x v="0"/>
    <x v="1"/>
    <x v="3"/>
    <x v="0"/>
    <n v="1"/>
    <n v="0"/>
    <n v="10"/>
    <n v="6"/>
    <n v="0"/>
    <n v="0"/>
    <n v="6"/>
    <n v="0"/>
    <x v="4"/>
  </r>
  <r>
    <x v="2003"/>
    <n v="39356"/>
    <n v="1"/>
    <n v="1"/>
    <n v="21"/>
    <n v="15"/>
    <n v="0"/>
    <n v="2"/>
    <n v="0"/>
    <n v="0"/>
    <n v="6"/>
    <n v="1"/>
    <n v="1"/>
    <n v="0"/>
    <n v="2"/>
    <n v="6"/>
    <n v="0"/>
    <n v="0"/>
    <n v="1"/>
    <n v="0"/>
    <n v="0"/>
    <x v="1"/>
    <n v="0"/>
    <n v="3"/>
    <n v="11"/>
    <n v="0"/>
    <n v="44"/>
    <n v="2261"/>
    <n v="6.1945205479452055"/>
    <n v="0"/>
    <n v="1"/>
    <n v="0"/>
    <n v="0"/>
    <n v="0"/>
    <n v="0"/>
    <n v="0"/>
    <n v="1"/>
    <n v="0"/>
    <n v="0"/>
    <n v="17"/>
    <n v="11"/>
    <n v="6"/>
    <n v="1"/>
    <x v="0"/>
    <x v="0"/>
    <x v="0"/>
    <x v="0"/>
    <x v="3"/>
    <x v="0"/>
    <n v="0"/>
    <n v="0"/>
    <n v="10"/>
    <n v="8"/>
    <n v="0"/>
    <n v="0"/>
    <n v="8"/>
    <n v="1"/>
    <x v="3"/>
  </r>
  <r>
    <x v="2004"/>
    <n v="41437"/>
    <n v="1"/>
    <n v="1"/>
    <n v="5"/>
    <n v="29"/>
    <n v="0"/>
    <n v="2"/>
    <n v="0"/>
    <n v="0"/>
    <n v="1"/>
    <n v="1"/>
    <n v="1"/>
    <n v="0"/>
    <n v="3"/>
    <n v="7"/>
    <n v="0"/>
    <n v="0"/>
    <n v="0"/>
    <n v="0"/>
    <n v="0"/>
    <x v="0"/>
    <n v="0"/>
    <n v="3"/>
    <n v="11"/>
    <n v="0"/>
    <n v="63"/>
    <n v="2804"/>
    <n v="7.6821917808219178"/>
    <n v="1"/>
    <n v="0"/>
    <n v="0"/>
    <n v="0"/>
    <n v="0"/>
    <n v="0"/>
    <n v="0"/>
    <n v="0"/>
    <n v="0"/>
    <n v="1"/>
    <n v="31"/>
    <n v="30"/>
    <n v="1"/>
    <n v="0"/>
    <x v="0"/>
    <x v="0"/>
    <x v="3"/>
    <x v="1"/>
    <x v="3"/>
    <x v="2"/>
    <n v="0"/>
    <n v="0"/>
    <n v="12"/>
    <n v="10"/>
    <n v="1"/>
    <n v="1"/>
    <n v="12"/>
    <n v="3"/>
    <x v="3"/>
  </r>
  <r>
    <x v="2005"/>
    <n v="42243"/>
    <n v="1"/>
    <n v="1"/>
    <n v="34"/>
    <n v="48"/>
    <n v="0"/>
    <n v="2"/>
    <n v="0"/>
    <n v="0"/>
    <n v="5"/>
    <n v="2"/>
    <n v="2"/>
    <n v="0"/>
    <n v="3"/>
    <n v="7"/>
    <n v="0"/>
    <n v="0"/>
    <n v="0"/>
    <n v="0"/>
    <n v="0"/>
    <x v="0"/>
    <n v="0"/>
    <n v="3"/>
    <n v="11"/>
    <n v="0"/>
    <n v="61"/>
    <n v="2359"/>
    <n v="6.463013698630137"/>
    <n v="0"/>
    <n v="1"/>
    <n v="0"/>
    <n v="0"/>
    <n v="0"/>
    <n v="0"/>
    <n v="0"/>
    <n v="1"/>
    <n v="0"/>
    <n v="0"/>
    <n v="50"/>
    <n v="45"/>
    <n v="5"/>
    <n v="0"/>
    <x v="0"/>
    <x v="0"/>
    <x v="0"/>
    <x v="0"/>
    <x v="3"/>
    <x v="2"/>
    <n v="1"/>
    <n v="0"/>
    <n v="14"/>
    <n v="7"/>
    <n v="2"/>
    <n v="2"/>
    <n v="11"/>
    <n v="2"/>
    <x v="3"/>
  </r>
  <r>
    <x v="2006"/>
    <n v="46015"/>
    <n v="1"/>
    <n v="1"/>
    <n v="25"/>
    <n v="38"/>
    <n v="0"/>
    <n v="2"/>
    <n v="0"/>
    <n v="0"/>
    <n v="6"/>
    <n v="1"/>
    <n v="1"/>
    <n v="0"/>
    <n v="3"/>
    <n v="7"/>
    <n v="0"/>
    <n v="1"/>
    <n v="1"/>
    <n v="0"/>
    <n v="0"/>
    <x v="1"/>
    <n v="0"/>
    <n v="3"/>
    <n v="11"/>
    <n v="0"/>
    <n v="65"/>
    <n v="2236"/>
    <n v="6.1260273972602741"/>
    <n v="0"/>
    <n v="0"/>
    <n v="0"/>
    <n v="1"/>
    <n v="0"/>
    <n v="0"/>
    <n v="0"/>
    <n v="0"/>
    <n v="0"/>
    <n v="1"/>
    <n v="40"/>
    <n v="34"/>
    <n v="6"/>
    <n v="2"/>
    <x v="0"/>
    <x v="0"/>
    <x v="2"/>
    <x v="1"/>
    <x v="3"/>
    <x v="2"/>
    <n v="0"/>
    <n v="0"/>
    <n v="12"/>
    <n v="8"/>
    <n v="1"/>
    <n v="1"/>
    <n v="10"/>
    <n v="2"/>
    <x v="3"/>
  </r>
  <r>
    <x v="2007"/>
    <n v="3502"/>
    <n v="1"/>
    <n v="0"/>
    <n v="56"/>
    <n v="2"/>
    <n v="1"/>
    <n v="1"/>
    <n v="0"/>
    <n v="0"/>
    <n v="1"/>
    <n v="0"/>
    <n v="0"/>
    <n v="0"/>
    <n v="0"/>
    <n v="14"/>
    <n v="0"/>
    <n v="0"/>
    <n v="0"/>
    <n v="0"/>
    <n v="0"/>
    <x v="0"/>
    <n v="0"/>
    <n v="3"/>
    <n v="11"/>
    <n v="0"/>
    <n v="47"/>
    <n v="2601"/>
    <n v="7.1260273972602741"/>
    <n v="0"/>
    <n v="0"/>
    <n v="1"/>
    <n v="0"/>
    <n v="0"/>
    <n v="0"/>
    <n v="0"/>
    <n v="1"/>
    <n v="0"/>
    <n v="0"/>
    <n v="4"/>
    <n v="3"/>
    <n v="1"/>
    <n v="0"/>
    <x v="0"/>
    <x v="0"/>
    <x v="1"/>
    <x v="0"/>
    <x v="0"/>
    <x v="0"/>
    <n v="1"/>
    <n v="0"/>
    <n v="14"/>
    <n v="5"/>
    <n v="2"/>
    <n v="0"/>
    <n v="7"/>
    <n v="1"/>
    <x v="3"/>
  </r>
  <r>
    <x v="2008"/>
    <n v="4023"/>
    <n v="1"/>
    <n v="1"/>
    <n v="29"/>
    <n v="5"/>
    <n v="0"/>
    <n v="1"/>
    <n v="1"/>
    <n v="1"/>
    <n v="1"/>
    <n v="15"/>
    <n v="0"/>
    <n v="0"/>
    <n v="0"/>
    <n v="19"/>
    <n v="0"/>
    <n v="0"/>
    <n v="0"/>
    <n v="0"/>
    <n v="0"/>
    <x v="0"/>
    <n v="0"/>
    <n v="3"/>
    <n v="11"/>
    <n v="0"/>
    <n v="57"/>
    <n v="2165"/>
    <n v="5.9315068493150687"/>
    <n v="0"/>
    <n v="1"/>
    <n v="0"/>
    <n v="0"/>
    <n v="0"/>
    <n v="0"/>
    <n v="0"/>
    <n v="0"/>
    <n v="0"/>
    <n v="1"/>
    <n v="8"/>
    <n v="7"/>
    <n v="1"/>
    <n v="0"/>
    <x v="0"/>
    <x v="0"/>
    <x v="0"/>
    <x v="1"/>
    <x v="0"/>
    <x v="1"/>
    <n v="0"/>
    <n v="0"/>
    <n v="34"/>
    <n v="8"/>
    <n v="9"/>
    <n v="0"/>
    <n v="17"/>
    <n v="6"/>
    <x v="1"/>
  </r>
  <r>
    <x v="2009"/>
    <n v="4861"/>
    <n v="0"/>
    <n v="0"/>
    <n v="20"/>
    <n v="2"/>
    <n v="1"/>
    <n v="1"/>
    <n v="1"/>
    <n v="0"/>
    <n v="1"/>
    <n v="0"/>
    <n v="0"/>
    <n v="0"/>
    <n v="0"/>
    <n v="14"/>
    <n v="0"/>
    <n v="0"/>
    <n v="0"/>
    <n v="0"/>
    <n v="0"/>
    <x v="0"/>
    <n v="0"/>
    <n v="3"/>
    <n v="11"/>
    <n v="0"/>
    <n v="55"/>
    <n v="2166"/>
    <n v="5.934246575342466"/>
    <n v="1"/>
    <n v="0"/>
    <n v="0"/>
    <n v="0"/>
    <n v="0"/>
    <n v="0"/>
    <n v="0"/>
    <n v="1"/>
    <n v="0"/>
    <n v="0"/>
    <n v="5"/>
    <n v="4"/>
    <n v="1"/>
    <n v="0"/>
    <x v="1"/>
    <x v="1"/>
    <x v="3"/>
    <x v="0"/>
    <x v="0"/>
    <x v="1"/>
    <n v="0"/>
    <n v="0"/>
    <n v="14"/>
    <n v="8"/>
    <n v="2"/>
    <n v="0"/>
    <n v="10"/>
    <n v="2"/>
    <x v="3"/>
  </r>
  <r>
    <x v="2010"/>
    <n v="17487"/>
    <n v="1"/>
    <n v="0"/>
    <n v="37"/>
    <n v="0"/>
    <n v="0"/>
    <n v="1"/>
    <n v="7"/>
    <n v="4"/>
    <n v="6"/>
    <n v="1"/>
    <n v="1"/>
    <n v="0"/>
    <n v="2"/>
    <n v="7"/>
    <n v="0"/>
    <n v="0"/>
    <n v="0"/>
    <n v="0"/>
    <n v="0"/>
    <x v="0"/>
    <n v="0"/>
    <n v="3"/>
    <n v="11"/>
    <n v="0"/>
    <n v="31"/>
    <n v="2627"/>
    <n v="7.1972602739726028"/>
    <n v="0"/>
    <n v="1"/>
    <n v="0"/>
    <n v="0"/>
    <n v="0"/>
    <n v="0"/>
    <n v="1"/>
    <n v="0"/>
    <n v="0"/>
    <n v="0"/>
    <n v="12"/>
    <n v="6"/>
    <n v="6"/>
    <n v="0"/>
    <x v="0"/>
    <x v="0"/>
    <x v="0"/>
    <x v="2"/>
    <x v="0"/>
    <x v="3"/>
    <n v="1"/>
    <n v="0"/>
    <n v="11"/>
    <n v="7"/>
    <n v="0"/>
    <n v="0"/>
    <n v="7"/>
    <n v="1"/>
    <x v="3"/>
  </r>
  <r>
    <x v="2011"/>
    <n v="17688"/>
    <n v="1"/>
    <n v="0"/>
    <n v="82"/>
    <n v="2"/>
    <n v="2"/>
    <n v="1"/>
    <n v="3"/>
    <n v="1"/>
    <n v="2"/>
    <n v="1"/>
    <n v="1"/>
    <n v="0"/>
    <n v="2"/>
    <n v="8"/>
    <n v="0"/>
    <n v="0"/>
    <n v="0"/>
    <n v="0"/>
    <n v="0"/>
    <x v="0"/>
    <n v="1"/>
    <n v="3"/>
    <n v="11"/>
    <n v="0"/>
    <n v="41"/>
    <n v="2691"/>
    <n v="7.3726027397260276"/>
    <n v="0"/>
    <n v="1"/>
    <n v="0"/>
    <n v="0"/>
    <n v="0"/>
    <n v="0"/>
    <n v="0"/>
    <n v="1"/>
    <n v="0"/>
    <n v="0"/>
    <n v="9"/>
    <n v="7"/>
    <n v="2"/>
    <n v="0"/>
    <x v="0"/>
    <x v="0"/>
    <x v="0"/>
    <x v="0"/>
    <x v="0"/>
    <x v="0"/>
    <n v="1"/>
    <n v="0"/>
    <n v="12"/>
    <n v="1.9999999999999996"/>
    <n v="1"/>
    <n v="0"/>
    <n v="2.9999999999999996"/>
    <n v="0"/>
    <x v="4"/>
  </r>
  <r>
    <x v="2012"/>
    <n v="18890"/>
    <n v="0"/>
    <n v="0"/>
    <n v="5"/>
    <n v="6"/>
    <n v="4"/>
    <n v="1"/>
    <n v="7"/>
    <n v="2"/>
    <n v="15"/>
    <n v="1"/>
    <n v="0"/>
    <n v="1"/>
    <n v="2"/>
    <n v="6"/>
    <n v="0"/>
    <n v="0"/>
    <n v="1"/>
    <n v="0"/>
    <n v="0"/>
    <x v="1"/>
    <n v="0"/>
    <n v="3"/>
    <n v="11"/>
    <n v="1"/>
    <n v="36"/>
    <n v="2755"/>
    <n v="7.5479452054794525"/>
    <n v="0"/>
    <n v="0"/>
    <n v="1"/>
    <n v="0"/>
    <n v="0"/>
    <n v="0"/>
    <n v="0"/>
    <n v="0"/>
    <n v="1"/>
    <n v="0"/>
    <n v="20"/>
    <n v="5"/>
    <n v="15"/>
    <n v="1"/>
    <x v="1"/>
    <x v="1"/>
    <x v="1"/>
    <x v="1"/>
    <x v="0"/>
    <x v="3"/>
    <n v="0"/>
    <n v="0"/>
    <n v="10"/>
    <n v="10"/>
    <n v="0"/>
    <n v="0"/>
    <n v="10"/>
    <n v="2"/>
    <x v="3"/>
  </r>
  <r>
    <x v="2013"/>
    <n v="18978"/>
    <n v="1"/>
    <n v="0"/>
    <n v="41"/>
    <n v="2"/>
    <n v="8"/>
    <n v="1"/>
    <n v="4"/>
    <n v="7"/>
    <n v="15"/>
    <n v="1"/>
    <n v="1"/>
    <n v="0"/>
    <n v="3"/>
    <n v="8"/>
    <n v="0"/>
    <n v="0"/>
    <n v="0"/>
    <n v="0"/>
    <n v="0"/>
    <x v="0"/>
    <n v="0"/>
    <n v="3"/>
    <n v="11"/>
    <n v="0"/>
    <n v="47"/>
    <n v="2724"/>
    <n v="7.463013698630137"/>
    <n v="0"/>
    <n v="1"/>
    <n v="0"/>
    <n v="0"/>
    <n v="0"/>
    <n v="0"/>
    <n v="1"/>
    <n v="0"/>
    <n v="0"/>
    <n v="0"/>
    <n v="22"/>
    <n v="7"/>
    <n v="15"/>
    <n v="0"/>
    <x v="0"/>
    <x v="0"/>
    <x v="0"/>
    <x v="2"/>
    <x v="0"/>
    <x v="0"/>
    <n v="1"/>
    <n v="0"/>
    <n v="13"/>
    <n v="6"/>
    <n v="1"/>
    <n v="0"/>
    <n v="7"/>
    <n v="1"/>
    <x v="3"/>
  </r>
  <r>
    <x v="2014"/>
    <n v="23295"/>
    <n v="0"/>
    <n v="0"/>
    <n v="72"/>
    <n v="0"/>
    <n v="0"/>
    <n v="1"/>
    <n v="2"/>
    <n v="12"/>
    <n v="5"/>
    <n v="1"/>
    <n v="1"/>
    <n v="0"/>
    <n v="2"/>
    <n v="8"/>
    <n v="0"/>
    <n v="0"/>
    <n v="0"/>
    <n v="0"/>
    <n v="0"/>
    <x v="0"/>
    <n v="0"/>
    <n v="3"/>
    <n v="11"/>
    <n v="0"/>
    <n v="61"/>
    <n v="2510"/>
    <n v="6.8767123287671232"/>
    <n v="1"/>
    <n v="0"/>
    <n v="0"/>
    <n v="0"/>
    <n v="0"/>
    <n v="0"/>
    <n v="0"/>
    <n v="1"/>
    <n v="0"/>
    <n v="0"/>
    <n v="15"/>
    <n v="10"/>
    <n v="5"/>
    <n v="0"/>
    <x v="1"/>
    <x v="1"/>
    <x v="3"/>
    <x v="0"/>
    <x v="0"/>
    <x v="2"/>
    <n v="1"/>
    <n v="0"/>
    <n v="12"/>
    <n v="3.0000000000000004"/>
    <n v="1"/>
    <n v="0"/>
    <n v="4"/>
    <n v="0"/>
    <x v="4"/>
  </r>
  <r>
    <x v="2015"/>
    <n v="26868"/>
    <n v="1"/>
    <n v="0"/>
    <n v="52"/>
    <n v="0"/>
    <n v="0"/>
    <n v="1"/>
    <n v="8"/>
    <n v="3"/>
    <n v="2"/>
    <n v="1"/>
    <n v="1"/>
    <n v="0"/>
    <n v="2"/>
    <n v="7"/>
    <n v="0"/>
    <n v="0"/>
    <n v="0"/>
    <n v="0"/>
    <n v="0"/>
    <x v="0"/>
    <n v="0"/>
    <n v="3"/>
    <n v="11"/>
    <n v="0"/>
    <n v="29"/>
    <n v="2219"/>
    <n v="6.0794520547945208"/>
    <n v="0"/>
    <n v="0"/>
    <n v="1"/>
    <n v="0"/>
    <n v="0"/>
    <n v="0"/>
    <n v="1"/>
    <n v="0"/>
    <n v="0"/>
    <n v="0"/>
    <n v="12"/>
    <n v="10"/>
    <n v="2"/>
    <n v="0"/>
    <x v="0"/>
    <x v="0"/>
    <x v="1"/>
    <x v="2"/>
    <x v="0"/>
    <x v="4"/>
    <n v="1"/>
    <n v="0"/>
    <n v="11"/>
    <n v="5"/>
    <n v="0"/>
    <n v="0"/>
    <n v="5"/>
    <n v="0"/>
    <x v="4"/>
  </r>
  <r>
    <x v="2016"/>
    <n v="32474"/>
    <n v="1"/>
    <n v="1"/>
    <n v="0"/>
    <n v="10"/>
    <n v="0"/>
    <n v="1"/>
    <n v="0"/>
    <n v="0"/>
    <n v="0"/>
    <n v="1"/>
    <n v="1"/>
    <n v="0"/>
    <n v="2"/>
    <n v="7"/>
    <n v="0"/>
    <n v="0"/>
    <n v="0"/>
    <n v="0"/>
    <n v="0"/>
    <x v="0"/>
    <n v="0"/>
    <n v="3"/>
    <n v="11"/>
    <n v="0"/>
    <n v="53"/>
    <n v="2208"/>
    <n v="6.0493150684931507"/>
    <n v="0"/>
    <n v="0"/>
    <n v="0"/>
    <n v="1"/>
    <n v="0"/>
    <n v="0"/>
    <n v="0"/>
    <n v="1"/>
    <n v="0"/>
    <n v="0"/>
    <n v="11"/>
    <n v="11"/>
    <n v="0"/>
    <n v="0"/>
    <x v="0"/>
    <x v="0"/>
    <x v="2"/>
    <x v="0"/>
    <x v="0"/>
    <x v="1"/>
    <n v="0"/>
    <n v="0"/>
    <n v="11"/>
    <n v="10"/>
    <n v="0"/>
    <n v="0"/>
    <n v="10"/>
    <n v="2"/>
    <x v="3"/>
  </r>
  <r>
    <x v="2017"/>
    <n v="34578"/>
    <n v="2"/>
    <n v="1"/>
    <n v="1"/>
    <n v="7"/>
    <n v="0"/>
    <n v="1"/>
    <n v="0"/>
    <n v="0"/>
    <n v="0"/>
    <n v="1"/>
    <n v="1"/>
    <n v="0"/>
    <n v="2"/>
    <n v="6"/>
    <n v="0"/>
    <n v="0"/>
    <n v="0"/>
    <n v="0"/>
    <n v="0"/>
    <x v="0"/>
    <n v="0"/>
    <n v="3"/>
    <n v="11"/>
    <n v="0"/>
    <n v="48"/>
    <n v="2238"/>
    <n v="6.1315068493150688"/>
    <n v="0"/>
    <n v="0"/>
    <n v="0"/>
    <n v="1"/>
    <n v="0"/>
    <n v="0"/>
    <n v="0"/>
    <n v="0"/>
    <n v="0"/>
    <n v="1"/>
    <n v="8"/>
    <n v="8"/>
    <n v="0"/>
    <n v="0"/>
    <x v="0"/>
    <x v="0"/>
    <x v="2"/>
    <x v="1"/>
    <x v="0"/>
    <x v="0"/>
    <n v="0"/>
    <n v="0"/>
    <n v="10"/>
    <n v="10"/>
    <n v="0"/>
    <n v="0"/>
    <n v="10"/>
    <n v="2"/>
    <x v="3"/>
  </r>
  <r>
    <x v="2018"/>
    <n v="36143"/>
    <n v="1"/>
    <n v="0"/>
    <n v="33"/>
    <n v="12"/>
    <n v="0"/>
    <n v="1"/>
    <n v="0"/>
    <n v="0"/>
    <n v="6"/>
    <n v="1"/>
    <n v="0"/>
    <n v="1"/>
    <n v="2"/>
    <n v="3"/>
    <n v="0"/>
    <n v="0"/>
    <n v="0"/>
    <n v="0"/>
    <n v="0"/>
    <x v="0"/>
    <n v="0"/>
    <n v="3"/>
    <n v="11"/>
    <n v="0"/>
    <n v="39"/>
    <n v="2250"/>
    <n v="6.1643835616438354"/>
    <n v="0"/>
    <n v="0"/>
    <n v="1"/>
    <n v="0"/>
    <n v="0"/>
    <n v="0"/>
    <n v="0"/>
    <n v="0"/>
    <n v="1"/>
    <n v="0"/>
    <n v="13"/>
    <n v="7"/>
    <n v="6"/>
    <n v="0"/>
    <x v="0"/>
    <x v="0"/>
    <x v="1"/>
    <x v="1"/>
    <x v="3"/>
    <x v="3"/>
    <n v="1"/>
    <n v="0"/>
    <n v="7"/>
    <n v="7"/>
    <n v="0"/>
    <n v="0"/>
    <n v="7"/>
    <n v="1"/>
    <x v="3"/>
  </r>
  <r>
    <x v="2019"/>
    <n v="46102"/>
    <n v="2"/>
    <n v="1"/>
    <n v="3"/>
    <n v="14"/>
    <n v="0"/>
    <n v="1"/>
    <n v="0"/>
    <n v="0"/>
    <n v="1"/>
    <n v="1"/>
    <n v="1"/>
    <n v="0"/>
    <n v="2"/>
    <n v="7"/>
    <n v="0"/>
    <n v="0"/>
    <n v="0"/>
    <n v="0"/>
    <n v="0"/>
    <x v="0"/>
    <n v="0"/>
    <n v="3"/>
    <n v="11"/>
    <n v="0"/>
    <n v="58"/>
    <n v="2270"/>
    <n v="6.2191780821917808"/>
    <n v="1"/>
    <n v="0"/>
    <n v="0"/>
    <n v="0"/>
    <n v="0"/>
    <n v="0"/>
    <n v="0"/>
    <n v="1"/>
    <n v="0"/>
    <n v="0"/>
    <n v="15"/>
    <n v="14"/>
    <n v="1"/>
    <n v="0"/>
    <x v="0"/>
    <x v="0"/>
    <x v="3"/>
    <x v="0"/>
    <x v="3"/>
    <x v="1"/>
    <n v="0"/>
    <n v="0"/>
    <n v="11"/>
    <n v="10"/>
    <n v="0"/>
    <n v="0"/>
    <n v="10"/>
    <n v="2"/>
    <x v="3"/>
  </r>
  <r>
    <x v="2020"/>
    <n v="11448"/>
    <n v="0"/>
    <n v="0"/>
    <n v="16"/>
    <n v="0"/>
    <n v="0"/>
    <n v="0"/>
    <n v="6"/>
    <n v="2"/>
    <n v="6"/>
    <n v="1"/>
    <n v="1"/>
    <n v="0"/>
    <n v="2"/>
    <n v="6"/>
    <n v="0"/>
    <n v="0"/>
    <n v="0"/>
    <n v="0"/>
    <n v="0"/>
    <x v="0"/>
    <n v="0"/>
    <n v="3"/>
    <n v="11"/>
    <n v="0"/>
    <n v="45"/>
    <n v="2355"/>
    <n v="6.4520547945205475"/>
    <n v="1"/>
    <n v="0"/>
    <n v="0"/>
    <n v="0"/>
    <n v="0"/>
    <n v="1"/>
    <n v="0"/>
    <n v="0"/>
    <n v="0"/>
    <n v="0"/>
    <n v="8"/>
    <n v="2"/>
    <n v="6"/>
    <n v="0"/>
    <x v="1"/>
    <x v="1"/>
    <x v="3"/>
    <x v="1"/>
    <x v="0"/>
    <x v="0"/>
    <n v="0"/>
    <n v="0"/>
    <n v="10"/>
    <n v="9"/>
    <n v="0"/>
    <n v="0"/>
    <n v="9"/>
    <n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22B90C-1D5A-49CD-83E5-E57DAEF3B1B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A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4"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9ED272-A8C4-4037-9F94-4C625A6D753B}"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1:C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3"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0E3422-EC6B-476E-A77F-BD24F4B7427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mily Status">
  <location ref="A45:H48"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3"/>
  </rowFields>
  <rowItems count="3">
    <i>
      <x/>
    </i>
    <i>
      <x v="1"/>
    </i>
    <i t="grand">
      <x/>
    </i>
  </rowItems>
  <colFields count="1">
    <field x="-2"/>
  </colFields>
  <colItems count="7">
    <i>
      <x/>
    </i>
    <i i="1">
      <x v="1"/>
    </i>
    <i i="2">
      <x v="2"/>
    </i>
    <i i="3">
      <x v="3"/>
    </i>
    <i i="4">
      <x v="4"/>
    </i>
    <i i="5">
      <x v="5"/>
    </i>
    <i i="6">
      <x v="6"/>
    </i>
  </colItems>
  <dataFields count="7">
    <dataField name="Total Customers" fld="0" subtotal="count" baseField="4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31DA72-55D9-4B35-A75E-4AF5D5276F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36:H42"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5"/>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1"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84E991-09BA-4A1F-B6E3-1B569966DA98}"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1:I62"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hier="-1"/>
    <pageField fld="21" item="1" hier="-1"/>
    <pageField fld="47" item="3" hier="-1"/>
    <pageField fld="48" item="4" hier="-1"/>
    <pageField fld="44" item="1" hier="-1"/>
    <pageField fld="46" hier="-1"/>
  </pageFields>
  <dataFields count="2">
    <dataField name="Average Total Spent" fld="39" subtotal="average" baseField="0" baseItem="0" numFmtId="1"/>
    <dataField name="Count of MntTotal" fld="39" subtotal="count" baseField="0" baseItem="1"/>
  </dataFields>
  <formats count="1">
    <format dxfId="1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68D71B-67CB-4634-8544-D70172B94B8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20:H24"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6"/>
  </rowFields>
  <rowItems count="4">
    <i>
      <x/>
    </i>
    <i>
      <x v="1"/>
    </i>
    <i>
      <x v="2"/>
    </i>
    <i t="grand">
      <x/>
    </i>
  </rowItems>
  <colFields count="1">
    <field x="-2"/>
  </colFields>
  <colItems count="7">
    <i>
      <x/>
    </i>
    <i i="1">
      <x v="1"/>
    </i>
    <i i="2">
      <x v="2"/>
    </i>
    <i i="3">
      <x v="3"/>
    </i>
    <i i="4">
      <x v="4"/>
    </i>
    <i i="5">
      <x v="5"/>
    </i>
    <i i="6">
      <x v="6"/>
    </i>
  </colItems>
  <dataFields count="7">
    <dataField name="Total Customers" fld="0" subtotal="count" baseField="42"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D76196-4016-42A4-9464-26CEBEB2E0C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location ref="A12:H17"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s>
  <rowFields count="1">
    <field x="47"/>
  </rowFields>
  <rowItems count="5">
    <i>
      <x/>
    </i>
    <i>
      <x v="1"/>
    </i>
    <i>
      <x v="2"/>
    </i>
    <i>
      <x v="3"/>
    </i>
    <i t="grand">
      <x/>
    </i>
  </rowItems>
  <colFields count="1">
    <field x="-2"/>
  </colFields>
  <colItems count="7">
    <i>
      <x/>
    </i>
    <i i="1">
      <x v="1"/>
    </i>
    <i i="2">
      <x v="2"/>
    </i>
    <i i="3">
      <x v="3"/>
    </i>
    <i i="4">
      <x v="4"/>
    </i>
    <i i="5">
      <x v="5"/>
    </i>
    <i i="6">
      <x v="6"/>
    </i>
  </colItems>
  <dataFields count="7">
    <dataField name="Total Customers" fld="0" subtotal="count" baseField="43"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D3155C-14B7-41CE-A120-B0072EDC6012}"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61:E62" firstHeaderRow="1"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showAll="0">
      <items count="3">
        <item x="0"/>
        <item x="1"/>
        <item t="default"/>
      </items>
    </pivotField>
    <pivotField showAll="0"/>
    <pivotField axis="axisPage" multipleItemSelectionAllowed="1" showAll="0">
      <items count="4">
        <item x="2"/>
        <item x="1"/>
        <item x="0"/>
        <item t="default"/>
      </items>
    </pivotField>
    <pivotField axis="axisPage" showAll="0">
      <items count="5">
        <item x="0"/>
        <item x="3"/>
        <item x="2"/>
        <item x="1"/>
        <item t="default"/>
      </items>
    </pivotField>
    <pivotField axis="axisPage" showAll="0">
      <items count="6">
        <item x="4"/>
        <item x="3"/>
        <item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Items count="1">
    <i/>
  </colItems>
  <pageFields count="6">
    <pageField fld="57" item="5" hier="-1"/>
    <pageField fld="21" item="1" hier="-1"/>
    <pageField fld="47" item="3" hier="-1"/>
    <pageField fld="48" item="4" hier="-1"/>
    <pageField fld="44" item="1" hier="-1"/>
    <pageField fld="46" hier="-1"/>
  </pageFields>
  <dataFields count="1">
    <dataField name="Average Total Spent" fld="39" subtotal="average" baseField="0" baseItem="0" numFmtId="1"/>
  </dataFields>
  <formats count="1">
    <format dxfId="17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63488CE-6699-4E51-95E2-5855EEDD849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location ref="A27:H33" firstHeaderRow="0" firstDataRow="1" firstDataCol="1"/>
  <pivotFields count="5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showAll="0"/>
  </pivotFields>
  <rowFields count="1">
    <field x="48"/>
  </rowFields>
  <rowItems count="6">
    <i>
      <x/>
    </i>
    <i>
      <x v="1"/>
    </i>
    <i>
      <x v="2"/>
    </i>
    <i>
      <x v="3"/>
    </i>
    <i>
      <x v="4"/>
    </i>
    <i t="grand">
      <x/>
    </i>
  </rowItems>
  <colFields count="1">
    <field x="-2"/>
  </colFields>
  <colItems count="7">
    <i>
      <x/>
    </i>
    <i i="1">
      <x v="1"/>
    </i>
    <i i="2">
      <x v="2"/>
    </i>
    <i i="3">
      <x v="3"/>
    </i>
    <i i="4">
      <x v="4"/>
    </i>
    <i i="5">
      <x v="5"/>
    </i>
    <i i="6">
      <x v="6"/>
    </i>
  </colItems>
  <dataFields count="7">
    <dataField name="Total Customers" fld="0" subtotal="count" baseField="44"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Campaign Overall"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0694A0-3E0D-4092-8200-0FC92690877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I65:O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5" baseItem="2" numFmtId="1"/>
  </dataFields>
  <formats count="9">
    <format dxfId="39">
      <pivotArea type="origin" dataOnly="0" labelOnly="1" outline="0" fieldPosition="0"/>
    </format>
    <format dxfId="38">
      <pivotArea field="45" type="button" dataOnly="0" labelOnly="1" outline="0" axis="axisRow" fieldPosition="0"/>
    </format>
    <format dxfId="37">
      <pivotArea dataOnly="0" labelOnly="1" fieldPosition="0">
        <references count="1">
          <reference field="45" count="0"/>
        </references>
      </pivotArea>
    </format>
    <format dxfId="36">
      <pivotArea dataOnly="0" labelOnly="1" grandRow="1" outline="0" fieldPosition="0"/>
    </format>
    <format dxfId="35">
      <pivotArea outline="0" collapsedLevelsAreSubtotals="1" fieldPosition="0"/>
    </format>
    <format dxfId="34">
      <pivotArea collapsedLevelsAreSubtotals="1" fieldPosition="0">
        <references count="2">
          <reference field="45" count="1">
            <x v="2"/>
          </reference>
          <reference field="57" count="1" selected="0">
            <x v="5"/>
          </reference>
        </references>
      </pivotArea>
    </format>
    <format dxfId="33">
      <pivotArea field="45" grandCol="1" collapsedLevelsAreSubtotals="1" axis="axisRow" fieldPosition="0">
        <references count="1">
          <reference field="45" count="1">
            <x v="2"/>
          </reference>
        </references>
      </pivotArea>
    </format>
    <format dxfId="32">
      <pivotArea collapsedLevelsAreSubtotals="1" fieldPosition="0">
        <references count="2">
          <reference field="45" count="3">
            <x v="1"/>
            <x v="2"/>
            <x v="3"/>
          </reference>
          <reference field="57" count="1" selected="0">
            <x v="2"/>
          </reference>
        </references>
      </pivotArea>
    </format>
    <format dxfId="31">
      <pivotArea collapsedLevelsAreSubtotals="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554C704-2F74-4D5C-B4E9-D82874166C2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Q55:W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8" baseItem="2"/>
  </dataFields>
  <formats count="14">
    <format dxfId="53">
      <pivotArea type="origin" dataOnly="0" labelOnly="1" outline="0" fieldPosition="0"/>
    </format>
    <format dxfId="52">
      <pivotArea field="48" type="button" dataOnly="0" labelOnly="1" outline="0" axis="axisRow" fieldPosition="0"/>
    </format>
    <format dxfId="51">
      <pivotArea dataOnly="0" labelOnly="1" fieldPosition="0">
        <references count="1">
          <reference field="48" count="0"/>
        </references>
      </pivotArea>
    </format>
    <format dxfId="50">
      <pivotArea dataOnly="0" labelOnly="1" grandRow="1" outline="0" fieldPosition="0"/>
    </format>
    <format dxfId="49">
      <pivotArea outline="0" collapsedLevelsAreSubtotals="1" fieldPosition="0"/>
    </format>
    <format dxfId="48">
      <pivotArea field="48" grandCol="1" collapsedLevelsAreSubtotals="1" axis="axisRow" fieldPosition="0">
        <references count="1">
          <reference field="48" count="1">
            <x v="0"/>
          </reference>
        </references>
      </pivotArea>
    </format>
    <format dxfId="47">
      <pivotArea field="48" grandCol="1" collapsedLevelsAreSubtotals="1" axis="axisRow" fieldPosition="0">
        <references count="1">
          <reference field="48" count="1">
            <x v="4"/>
          </reference>
        </references>
      </pivotArea>
    </format>
    <format dxfId="46">
      <pivotArea field="48" grandCol="1" collapsedLevelsAreSubtotals="1" axis="axisRow" fieldPosition="0">
        <references count="1">
          <reference field="48" count="1">
            <x v="0"/>
          </reference>
        </references>
      </pivotArea>
    </format>
    <format dxfId="45">
      <pivotArea collapsedLevelsAreSubtotals="1" fieldPosition="0">
        <references count="2">
          <reference field="48" count="1">
            <x v="0"/>
          </reference>
          <reference field="57" count="1" selected="0">
            <x v="5"/>
          </reference>
        </references>
      </pivotArea>
    </format>
    <format dxfId="44">
      <pivotArea collapsedLevelsAreSubtotals="1" fieldPosition="0">
        <references count="2">
          <reference field="48" count="1">
            <x v="1"/>
          </reference>
          <reference field="57" count="1" selected="0">
            <x v="5"/>
          </reference>
        </references>
      </pivotArea>
    </format>
    <format dxfId="43">
      <pivotArea collapsedLevelsAreSubtotals="1" fieldPosition="0">
        <references count="2">
          <reference field="48" count="1">
            <x v="4"/>
          </reference>
          <reference field="57" count="1" selected="0">
            <x v="5"/>
          </reference>
        </references>
      </pivotArea>
    </format>
    <format dxfId="42">
      <pivotArea field="48" grandCol="1" collapsedLevelsAreSubtotals="1" axis="axisRow" fieldPosition="0">
        <references count="1">
          <reference field="48" count="1">
            <x v="4"/>
          </reference>
        </references>
      </pivotArea>
    </format>
    <format dxfId="41">
      <pivotArea collapsedLevelsAreSubtotals="1" fieldPosition="0">
        <references count="1">
          <reference field="48" count="0"/>
        </references>
      </pivotArea>
    </format>
    <format dxfId="40">
      <pivotArea dataOnly="0" labelOnly="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65B4F5-F36E-4813-A5AF-F18F378DF0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I38:O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Average of MntTotal" fld="39" subtotal="average" baseField="47" baseItem="2" numFmtId="1"/>
  </dataFields>
  <formats count="13">
    <format dxfId="66">
      <pivotArea type="origin" dataOnly="0" labelOnly="1" outline="0" fieldPosition="0"/>
    </format>
    <format dxfId="65">
      <pivotArea field="47" type="button" dataOnly="0" labelOnly="1" outline="0" axis="axisRow" fieldPosition="0"/>
    </format>
    <format dxfId="64">
      <pivotArea dataOnly="0" labelOnly="1" fieldPosition="0">
        <references count="1">
          <reference field="47" count="0"/>
        </references>
      </pivotArea>
    </format>
    <format dxfId="63">
      <pivotArea dataOnly="0" labelOnly="1" grandRow="1" outline="0" fieldPosition="0"/>
    </format>
    <format dxfId="62">
      <pivotArea outline="0" collapsedLevelsAreSubtotals="1" fieldPosition="0"/>
    </format>
    <format dxfId="61">
      <pivotArea field="47" grandCol="1" collapsedLevelsAreSubtotals="1" axis="axisRow" fieldPosition="0">
        <references count="1">
          <reference field="47" count="1">
            <x v="3"/>
          </reference>
        </references>
      </pivotArea>
    </format>
    <format dxfId="60">
      <pivotArea field="47" grandCol="1" collapsedLevelsAreSubtotals="1" axis="axisRow" fieldPosition="0">
        <references count="1">
          <reference field="47" count="3">
            <x v="1"/>
            <x v="2"/>
            <x v="3"/>
          </reference>
        </references>
      </pivotArea>
    </format>
    <format dxfId="59">
      <pivotArea collapsedLevelsAreSubtotals="1" fieldPosition="0">
        <references count="2">
          <reference field="47" count="1">
            <x v="0"/>
          </reference>
          <reference field="57" count="1" selected="0">
            <x v="5"/>
          </reference>
        </references>
      </pivotArea>
    </format>
    <format dxfId="58">
      <pivotArea collapsedLevelsAreSubtotals="1" fieldPosition="0">
        <references count="2">
          <reference field="47" count="1">
            <x v="3"/>
          </reference>
          <reference field="57" count="1" selected="0">
            <x v="5"/>
          </reference>
        </references>
      </pivotArea>
    </format>
    <format dxfId="57">
      <pivotArea field="47" grandCol="1" collapsedLevelsAreSubtotals="1" axis="axisRow" fieldPosition="0">
        <references count="1">
          <reference field="47" count="1">
            <x v="3"/>
          </reference>
        </references>
      </pivotArea>
    </format>
    <format dxfId="56">
      <pivotArea collapsedLevelsAreSubtotals="1" fieldPosition="0">
        <references count="2">
          <reference field="47" count="1">
            <x v="3"/>
          </reference>
          <reference field="57" count="1" selected="0">
            <x v="2"/>
          </reference>
        </references>
      </pivotArea>
    </format>
    <format dxfId="55">
      <pivotArea collapsedLevelsAreSubtotals="1" fieldPosition="0">
        <references count="1">
          <reference field="47" count="0"/>
        </references>
      </pivotArea>
    </format>
    <format dxfId="54">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B05F9D8-CB4A-4A5D-888E-ECEFB3E0F7F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Q75:W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Count of MntTotal" fld="39" subtotal="count" baseField="44" baseItem="0"/>
  </dataFields>
  <formats count="11">
    <format dxfId="77">
      <pivotArea type="origin" dataOnly="0" labelOnly="1" outline="0" fieldPosition="0"/>
    </format>
    <format dxfId="76">
      <pivotArea field="44" type="button" dataOnly="0" labelOnly="1" outline="0" axis="axisRow" fieldPosition="0"/>
    </format>
    <format dxfId="75">
      <pivotArea dataOnly="0" labelOnly="1" fieldPosition="0">
        <references count="1">
          <reference field="44" count="0"/>
        </references>
      </pivotArea>
    </format>
    <format dxfId="74">
      <pivotArea dataOnly="0" labelOnly="1" grandRow="1" outline="0" fieldPosition="0"/>
    </format>
    <format dxfId="73">
      <pivotArea outline="0" collapsedLevelsAreSubtotals="1" fieldPosition="0"/>
    </format>
    <format dxfId="72">
      <pivotArea collapsedLevelsAreSubtotals="1" fieldPosition="0">
        <references count="2">
          <reference field="44" count="1">
            <x v="1"/>
          </reference>
          <reference field="57" count="1" selected="0">
            <x v="5"/>
          </reference>
        </references>
      </pivotArea>
    </format>
    <format dxfId="71">
      <pivotArea collapsedLevelsAreSubtotals="1" fieldPosition="0">
        <references count="2">
          <reference field="44" count="1">
            <x v="0"/>
          </reference>
          <reference field="57" count="1" selected="0">
            <x v="5"/>
          </reference>
        </references>
      </pivotArea>
    </format>
    <format dxfId="70">
      <pivotArea field="44" grandCol="1" collapsedLevelsAreSubtotals="1" axis="axisRow" fieldPosition="0">
        <references count="1">
          <reference field="44" count="1">
            <x v="1"/>
          </reference>
        </references>
      </pivotArea>
    </format>
    <format dxfId="69">
      <pivotArea collapsedLevelsAreSubtotals="1" fieldPosition="0">
        <references count="2">
          <reference field="44" count="1">
            <x v="0"/>
          </reference>
          <reference field="57" count="1" selected="0">
            <x v="2"/>
          </reference>
        </references>
      </pivotArea>
    </format>
    <format dxfId="68">
      <pivotArea collapsedLevelsAreSubtotals="1" fieldPosition="0">
        <references count="1">
          <reference field="44" count="0"/>
        </references>
      </pivotArea>
    </format>
    <format dxfId="67">
      <pivotArea dataOnly="0" labelOnly="1"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E1F77A-56DF-42A8-B96C-8450D728CCB3}"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A38:G44"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Total Customers Accepted Campaign Offer" fld="21" baseField="0" baseItem="0"/>
  </dataFields>
  <formats count="4">
    <format dxfId="81">
      <pivotArea type="origin" dataOnly="0" labelOnly="1" outline="0" fieldPosition="0"/>
    </format>
    <format dxfId="80">
      <pivotArea field="47" type="button" dataOnly="0" labelOnly="1" outline="0" axis="axisRow" fieldPosition="0"/>
    </format>
    <format dxfId="79">
      <pivotArea dataOnly="0" labelOnly="1" fieldPosition="0">
        <references count="1">
          <reference field="47" count="0"/>
        </references>
      </pivotArea>
    </format>
    <format dxfId="7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3C8FD15-BC6A-4240-B1D3-4EBDBE5B6D4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colHeaderCaption="Customer Segmentation">
  <location ref="Q38:W44" firstHeaderRow="1" firstDataRow="2" firstDataCol="1"/>
  <pivotFields count="58">
    <pivotField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2"/>
        <item x="1"/>
        <item t="default"/>
      </items>
    </pivotField>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7"/>
  </rowFields>
  <rowItems count="5">
    <i>
      <x/>
    </i>
    <i>
      <x v="1"/>
    </i>
    <i>
      <x v="2"/>
    </i>
    <i>
      <x v="3"/>
    </i>
    <i t="grand">
      <x/>
    </i>
  </rowItems>
  <colFields count="1">
    <field x="57"/>
  </colFields>
  <colItems count="6">
    <i>
      <x/>
    </i>
    <i>
      <x v="1"/>
    </i>
    <i>
      <x v="2"/>
    </i>
    <i>
      <x v="3"/>
    </i>
    <i>
      <x v="5"/>
    </i>
    <i t="grand">
      <x/>
    </i>
  </colItems>
  <dataFields count="1">
    <dataField name="Count of MntTotal" fld="39" subtotal="count" baseField="47" baseItem="0"/>
  </dataFields>
  <formats count="11">
    <format dxfId="92">
      <pivotArea type="origin" dataOnly="0" labelOnly="1" outline="0" fieldPosition="0"/>
    </format>
    <format dxfId="91">
      <pivotArea field="47" type="button" dataOnly="0" labelOnly="1" outline="0" axis="axisRow" fieldPosition="0"/>
    </format>
    <format dxfId="90">
      <pivotArea dataOnly="0" labelOnly="1" fieldPosition="0">
        <references count="1">
          <reference field="47" count="0"/>
        </references>
      </pivotArea>
    </format>
    <format dxfId="89">
      <pivotArea dataOnly="0" labelOnly="1" grandRow="1" outline="0" fieldPosition="0"/>
    </format>
    <format dxfId="88">
      <pivotArea outline="0" collapsedLevelsAreSubtotals="1" fieldPosition="0"/>
    </format>
    <format dxfId="87">
      <pivotArea field="47" grandCol="1" collapsedLevelsAreSubtotals="1" axis="axisRow" fieldPosition="0">
        <references count="1">
          <reference field="47" count="1">
            <x v="3"/>
          </reference>
        </references>
      </pivotArea>
    </format>
    <format dxfId="86">
      <pivotArea field="47" grandCol="1" collapsedLevelsAreSubtotals="1" axis="axisRow" fieldPosition="0">
        <references count="1">
          <reference field="47" count="1">
            <x v="3"/>
          </reference>
        </references>
      </pivotArea>
    </format>
    <format dxfId="85">
      <pivotArea collapsedLevelsAreSubtotals="1" fieldPosition="0">
        <references count="2">
          <reference field="47" count="2">
            <x v="2"/>
            <x v="3"/>
          </reference>
          <reference field="57" count="1" selected="0">
            <x v="5"/>
          </reference>
        </references>
      </pivotArea>
    </format>
    <format dxfId="84">
      <pivotArea field="47" grandCol="1" collapsedLevelsAreSubtotals="1" axis="axisRow" fieldPosition="0">
        <references count="1">
          <reference field="47" count="1">
            <x v="2"/>
          </reference>
        </references>
      </pivotArea>
    </format>
    <format dxfId="83">
      <pivotArea collapsedLevelsAreSubtotals="1" fieldPosition="0">
        <references count="1">
          <reference field="47" count="0"/>
        </references>
      </pivotArea>
    </format>
    <format dxfId="82">
      <pivotArea dataOnly="0" labelOnly="1" fieldPosition="0">
        <references count="1">
          <reference field="4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0707CB-A228-4817-8CDB-3A88FF0F1F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I47:O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Average of MntTotal" fld="39" subtotal="average" baseField="46" baseItem="1" numFmtId="1"/>
  </dataFields>
  <formats count="11">
    <format dxfId="103">
      <pivotArea type="origin" dataOnly="0" labelOnly="1" outline="0" fieldPosition="0"/>
    </format>
    <format dxfId="102">
      <pivotArea field="46" type="button" dataOnly="0" labelOnly="1" outline="0" axis="axisRow" fieldPosition="0"/>
    </format>
    <format dxfId="101">
      <pivotArea dataOnly="0" labelOnly="1" fieldPosition="0">
        <references count="1">
          <reference field="46" count="0"/>
        </references>
      </pivotArea>
    </format>
    <format dxfId="100">
      <pivotArea dataOnly="0" labelOnly="1" grandRow="1" outline="0" fieldPosition="0"/>
    </format>
    <format dxfId="99">
      <pivotArea outline="0" collapsedLevelsAreSubtotals="1" fieldPosition="0"/>
    </format>
    <format dxfId="98">
      <pivotArea field="46" grandCol="1" collapsedLevelsAreSubtotals="1" axis="axisRow" fieldPosition="0">
        <references count="1">
          <reference field="46" count="2">
            <x v="1"/>
            <x v="2"/>
          </reference>
        </references>
      </pivotArea>
    </format>
    <format dxfId="97">
      <pivotArea collapsedLevelsAreSubtotals="1" fieldPosition="0">
        <references count="2">
          <reference field="46" count="1">
            <x v="1"/>
          </reference>
          <reference field="57" count="1" selected="0">
            <x v="5"/>
          </reference>
        </references>
      </pivotArea>
    </format>
    <format dxfId="96">
      <pivotArea collapsedLevelsAreSubtotals="1" fieldPosition="0">
        <references count="2">
          <reference field="46" count="1">
            <x v="2"/>
          </reference>
          <reference field="57" count="1" selected="0">
            <x v="5"/>
          </reference>
        </references>
      </pivotArea>
    </format>
    <format dxfId="95">
      <pivotArea collapsedLevelsAreSubtotals="1" fieldPosition="0">
        <references count="2">
          <reference field="46" count="2">
            <x v="1"/>
            <x v="2"/>
          </reference>
          <reference field="57" count="1" selected="0">
            <x v="2"/>
          </reference>
        </references>
      </pivotArea>
    </format>
    <format dxfId="94">
      <pivotArea collapsedLevelsAreSubtotals="1" fieldPosition="0">
        <references count="2">
          <reference field="46" count="0"/>
          <reference field="57" count="4" selected="0">
            <x v="1"/>
            <x v="2"/>
            <x v="3"/>
            <x v="5"/>
          </reference>
        </references>
      </pivotArea>
    </format>
    <format dxfId="93">
      <pivotArea field="46" grandCol="1" collapsedLevelsAreSubtotals="1" axis="axisRow"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EC16C4E-AF5B-4E75-9E3F-36D3A28D6B6E}"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A47:G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07">
      <pivotArea type="origin" dataOnly="0" labelOnly="1" outline="0" fieldPosition="0"/>
    </format>
    <format dxfId="106">
      <pivotArea field="46" type="button" dataOnly="0" labelOnly="1" outline="0" axis="axisRow" fieldPosition="0"/>
    </format>
    <format dxfId="105">
      <pivotArea dataOnly="0" labelOnly="1" fieldPosition="0">
        <references count="1">
          <reference field="46" count="0"/>
        </references>
      </pivotArea>
    </format>
    <format dxfId="104">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42D8E03-11D2-473C-9735-C1BD59D4C52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colHeaderCaption="Customer Segmentation">
  <location ref="Q47:W5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6"/>
  </rowFields>
  <rowItems count="4">
    <i>
      <x/>
    </i>
    <i>
      <x v="1"/>
    </i>
    <i>
      <x v="2"/>
    </i>
    <i t="grand">
      <x/>
    </i>
  </rowItems>
  <colFields count="1">
    <field x="57"/>
  </colFields>
  <colItems count="6">
    <i>
      <x/>
    </i>
    <i>
      <x v="1"/>
    </i>
    <i>
      <x v="2"/>
    </i>
    <i>
      <x v="3"/>
    </i>
    <i>
      <x v="5"/>
    </i>
    <i t="grand">
      <x/>
    </i>
  </colItems>
  <dataFields count="1">
    <dataField name="Count of MntTotal" fld="39" subtotal="count" baseField="46" baseItem="0"/>
  </dataFields>
  <formats count="10">
    <format dxfId="117">
      <pivotArea type="origin" dataOnly="0" labelOnly="1" outline="0" fieldPosition="0"/>
    </format>
    <format dxfId="116">
      <pivotArea field="46" type="button" dataOnly="0" labelOnly="1" outline="0" axis="axisRow" fieldPosition="0"/>
    </format>
    <format dxfId="115">
      <pivotArea dataOnly="0" labelOnly="1" fieldPosition="0">
        <references count="1">
          <reference field="46" count="0"/>
        </references>
      </pivotArea>
    </format>
    <format dxfId="114">
      <pivotArea dataOnly="0" labelOnly="1" grandRow="1" outline="0" fieldPosition="0"/>
    </format>
    <format dxfId="113">
      <pivotArea outline="0" collapsedLevelsAreSubtotals="1" fieldPosition="0"/>
    </format>
    <format dxfId="112">
      <pivotArea field="46" grandCol="1" collapsedLevelsAreSubtotals="1" axis="axisRow" fieldPosition="0">
        <references count="1">
          <reference field="46" count="2">
            <x v="1"/>
            <x v="2"/>
          </reference>
        </references>
      </pivotArea>
    </format>
    <format dxfId="111">
      <pivotArea collapsedLevelsAreSubtotals="1" fieldPosition="0">
        <references count="2">
          <reference field="46" count="2">
            <x v="1"/>
            <x v="2"/>
          </reference>
          <reference field="57" count="1" selected="0">
            <x v="5"/>
          </reference>
        </references>
      </pivotArea>
    </format>
    <format dxfId="110">
      <pivotArea field="46" grandCol="1" collapsedLevelsAreSubtotals="1" axis="axisRow" fieldPosition="0">
        <references count="1">
          <reference field="46" count="2">
            <x v="1"/>
            <x v="2"/>
          </reference>
        </references>
      </pivotArea>
    </format>
    <format dxfId="109">
      <pivotArea collapsedLevelsAreSubtotals="1" fieldPosition="0">
        <references count="1">
          <reference field="46" count="0"/>
        </references>
      </pivotArea>
    </format>
    <format dxfId="108">
      <pivotArea dataOnly="0" labelOnly="1" fieldPosition="0">
        <references count="1">
          <reference field="4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8E8DDF9-AE1D-4B2E-8AF8-77C76382C50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egment">
  <location ref="A18:H24" firstHeaderRow="0" firstDataRow="1" firstDataCol="1" rowPageCount="1" colPageCount="1"/>
  <pivotFields count="58">
    <pivotField axis="axisPage" showAll="0">
      <items count="2022">
        <item x="173"/>
        <item x="1865"/>
        <item x="745"/>
        <item x="1415"/>
        <item x="777"/>
        <item x="864"/>
        <item x="632"/>
        <item x="1080"/>
        <item x="1345"/>
        <item x="1832"/>
        <item x="1634"/>
        <item x="219"/>
        <item x="1104"/>
        <item x="1476"/>
        <item x="790"/>
        <item x="1445"/>
        <item x="1200"/>
        <item x="209"/>
        <item x="1442"/>
        <item x="973"/>
        <item x="0"/>
        <item x="915"/>
        <item x="842"/>
        <item x="1301"/>
        <item x="1324"/>
        <item x="1266"/>
        <item x="1174"/>
        <item x="51"/>
        <item x="1680"/>
        <item x="1157"/>
        <item x="1906"/>
        <item x="873"/>
        <item x="224"/>
        <item x="1447"/>
        <item x="666"/>
        <item x="1561"/>
        <item x="1862"/>
        <item x="551"/>
        <item x="182"/>
        <item x="1271"/>
        <item x="1837"/>
        <item x="1678"/>
        <item x="439"/>
        <item x="1554"/>
        <item x="1549"/>
        <item x="381"/>
        <item x="752"/>
        <item x="59"/>
        <item x="1422"/>
        <item x="168"/>
        <item x="759"/>
        <item x="257"/>
        <item x="217"/>
        <item x="1766"/>
        <item x="1295"/>
        <item x="177"/>
        <item x="843"/>
        <item x="711"/>
        <item x="1133"/>
        <item x="337"/>
        <item x="1844"/>
        <item x="2016"/>
        <item x="391"/>
        <item x="645"/>
        <item x="215"/>
        <item x="232"/>
        <item x="408"/>
        <item x="1029"/>
        <item x="1586"/>
        <item x="1859"/>
        <item x="14"/>
        <item x="60"/>
        <item x="1881"/>
        <item x="1038"/>
        <item x="1006"/>
        <item x="1880"/>
        <item x="1436"/>
        <item x="268"/>
        <item x="1564"/>
        <item x="1514"/>
        <item x="1209"/>
        <item x="154"/>
        <item x="1193"/>
        <item x="1703"/>
        <item x="1560"/>
        <item x="1654"/>
        <item x="1319"/>
        <item x="1830"/>
        <item x="246"/>
        <item x="885"/>
        <item x="1912"/>
        <item x="1853"/>
        <item x="586"/>
        <item x="427"/>
        <item x="97"/>
        <item x="1843"/>
        <item x="1243"/>
        <item x="432"/>
        <item x="1252"/>
        <item x="831"/>
        <item x="407"/>
        <item x="384"/>
        <item x="1411"/>
        <item x="755"/>
        <item x="846"/>
        <item x="1409"/>
        <item x="49"/>
        <item x="877"/>
        <item x="1329"/>
        <item x="1795"/>
        <item x="718"/>
        <item x="1275"/>
        <item x="1793"/>
        <item x="1566"/>
        <item x="844"/>
        <item x="762"/>
        <item x="6"/>
        <item x="1525"/>
        <item x="807"/>
        <item x="979"/>
        <item x="1137"/>
        <item x="576"/>
        <item x="1235"/>
        <item x="143"/>
        <item x="1948"/>
        <item x="1225"/>
        <item x="1772"/>
        <item x="1625"/>
        <item x="17"/>
        <item x="499"/>
        <item x="67"/>
        <item x="725"/>
        <item x="1180"/>
        <item x="688"/>
        <item x="1457"/>
        <item x="1700"/>
        <item x="895"/>
        <item x="1280"/>
        <item x="953"/>
        <item x="1132"/>
        <item x="1071"/>
        <item x="1348"/>
        <item x="1077"/>
        <item x="436"/>
        <item x="999"/>
        <item x="1831"/>
        <item x="1075"/>
        <item x="317"/>
        <item x="1960"/>
        <item x="471"/>
        <item x="1123"/>
        <item x="484"/>
        <item x="1241"/>
        <item x="865"/>
        <item x="1238"/>
        <item x="392"/>
        <item x="1437"/>
        <item x="1694"/>
        <item x="1846"/>
        <item x="1353"/>
        <item x="1867"/>
        <item x="1630"/>
        <item x="241"/>
        <item x="774"/>
        <item x="1573"/>
        <item x="1902"/>
        <item x="1390"/>
        <item x="1681"/>
        <item x="569"/>
        <item x="1851"/>
        <item x="1805"/>
        <item x="1458"/>
        <item x="1996"/>
        <item x="821"/>
        <item x="178"/>
        <item x="1470"/>
        <item x="1685"/>
        <item x="256"/>
        <item x="1401"/>
        <item x="1152"/>
        <item x="1691"/>
        <item x="828"/>
        <item x="48"/>
        <item x="218"/>
        <item x="946"/>
        <item x="1230"/>
        <item x="165"/>
        <item x="365"/>
        <item x="695"/>
        <item x="1598"/>
        <item x="2012"/>
        <item x="1588"/>
        <item x="795"/>
        <item x="1824"/>
        <item x="378"/>
        <item x="1008"/>
        <item x="380"/>
        <item x="1263"/>
        <item x="1064"/>
        <item x="163"/>
        <item x="611"/>
        <item x="1941"/>
        <item x="278"/>
        <item x="1236"/>
        <item x="634"/>
        <item x="1336"/>
        <item x="176"/>
        <item x="658"/>
        <item x="1328"/>
        <item x="547"/>
        <item x="1519"/>
        <item x="948"/>
        <item x="557"/>
        <item x="76"/>
        <item x="1731"/>
        <item x="697"/>
        <item x="583"/>
        <item x="1777"/>
        <item x="1872"/>
        <item x="229"/>
        <item x="1414"/>
        <item x="1923"/>
        <item x="763"/>
        <item x="1679"/>
        <item x="66"/>
        <item x="426"/>
        <item x="1798"/>
        <item x="201"/>
        <item x="720"/>
        <item x="1890"/>
        <item x="431"/>
        <item x="597"/>
        <item x="62"/>
        <item x="585"/>
        <item x="1330"/>
        <item x="1808"/>
        <item x="252"/>
        <item x="1106"/>
        <item x="348"/>
        <item x="1769"/>
        <item x="778"/>
        <item x="909"/>
        <item x="1985"/>
        <item x="1937"/>
        <item x="1751"/>
        <item x="536"/>
        <item x="1044"/>
        <item x="1856"/>
        <item x="984"/>
        <item x="1384"/>
        <item x="303"/>
        <item x="1218"/>
        <item x="399"/>
        <item x="1433"/>
        <item x="207"/>
        <item x="1366"/>
        <item x="1172"/>
        <item x="1563"/>
        <item x="1182"/>
        <item x="862"/>
        <item x="511"/>
        <item x="308"/>
        <item x="196"/>
        <item x="855"/>
        <item x="1727"/>
        <item x="668"/>
        <item x="1781"/>
        <item x="1416"/>
        <item x="505"/>
        <item x="478"/>
        <item x="157"/>
        <item x="938"/>
        <item x="1893"/>
        <item x="1082"/>
        <item x="150"/>
        <item x="1376"/>
        <item x="1959"/>
        <item x="942"/>
        <item x="1814"/>
        <item x="1520"/>
        <item x="445"/>
        <item x="943"/>
        <item x="1622"/>
        <item x="655"/>
        <item x="1147"/>
        <item x="879"/>
        <item x="1393"/>
        <item x="802"/>
        <item x="1327"/>
        <item x="298"/>
        <item x="1309"/>
        <item x="1146"/>
        <item x="1555"/>
        <item x="1756"/>
        <item x="158"/>
        <item x="1293"/>
        <item x="1806"/>
        <item x="1402"/>
        <item x="739"/>
        <item x="1809"/>
        <item x="772"/>
        <item x="1813"/>
        <item x="1975"/>
        <item x="347"/>
        <item x="776"/>
        <item x="428"/>
        <item x="1285"/>
        <item x="1653"/>
        <item x="1913"/>
        <item x="1060"/>
        <item x="1842"/>
        <item x="1543"/>
        <item x="519"/>
        <item x="1594"/>
        <item x="1722"/>
        <item x="475"/>
        <item x="403"/>
        <item x="1508"/>
        <item x="152"/>
        <item x="39"/>
        <item x="1201"/>
        <item x="1153"/>
        <item x="1013"/>
        <item x="1804"/>
        <item x="560"/>
        <item x="1743"/>
        <item x="325"/>
        <item x="1612"/>
        <item x="1963"/>
        <item x="455"/>
        <item x="236"/>
        <item x="194"/>
        <item x="288"/>
        <item x="523"/>
        <item x="1572"/>
        <item x="1674"/>
        <item x="57"/>
        <item x="603"/>
        <item x="998"/>
        <item x="42"/>
        <item x="930"/>
        <item x="1688"/>
        <item x="642"/>
        <item x="887"/>
        <item x="46"/>
        <item x="1418"/>
        <item x="169"/>
        <item x="680"/>
        <item x="1815"/>
        <item x="1151"/>
        <item x="1848"/>
        <item x="460"/>
        <item x="1385"/>
        <item x="1304"/>
        <item x="1531"/>
        <item x="1565"/>
        <item x="870"/>
        <item x="1590"/>
        <item x="1894"/>
        <item x="1876"/>
        <item x="872"/>
        <item x="2018"/>
        <item x="1789"/>
        <item x="1100"/>
        <item x="682"/>
        <item x="1663"/>
        <item x="667"/>
        <item x="56"/>
        <item x="1052"/>
        <item x="366"/>
        <item x="1041"/>
        <item x="798"/>
        <item x="200"/>
        <item x="1177"/>
        <item x="1497"/>
        <item x="1839"/>
        <item x="1715"/>
        <item x="1331"/>
        <item x="753"/>
        <item x="1047"/>
        <item x="968"/>
        <item x="1323"/>
        <item x="1672"/>
        <item x="1312"/>
        <item x="944"/>
        <item x="1346"/>
        <item x="886"/>
        <item x="1648"/>
        <item x="516"/>
        <item x="558"/>
        <item x="1094"/>
        <item x="388"/>
        <item x="142"/>
        <item x="1720"/>
        <item x="417"/>
        <item x="817"/>
        <item x="853"/>
        <item x="1443"/>
        <item x="1984"/>
        <item x="838"/>
        <item x="85"/>
        <item x="1827"/>
        <item x="54"/>
        <item x="400"/>
        <item x="1636"/>
        <item x="574"/>
        <item x="357"/>
        <item x="495"/>
        <item x="589"/>
        <item x="296"/>
        <item x="1380"/>
        <item x="1828"/>
        <item x="433"/>
        <item x="1222"/>
        <item x="1539"/>
        <item x="1869"/>
        <item x="1587"/>
        <item x="1256"/>
        <item x="1983"/>
        <item x="1953"/>
        <item x="2014"/>
        <item x="969"/>
        <item x="179"/>
        <item x="1649"/>
        <item x="936"/>
        <item x="374"/>
        <item x="636"/>
        <item x="1261"/>
        <item x="829"/>
        <item x="339"/>
        <item x="836"/>
        <item x="3"/>
        <item x="980"/>
        <item x="1057"/>
        <item x="243"/>
        <item x="452"/>
        <item x="461"/>
        <item x="1866"/>
        <item x="1188"/>
        <item x="273"/>
        <item x="286"/>
        <item x="1892"/>
        <item x="743"/>
        <item x="629"/>
        <item x="319"/>
        <item x="1775"/>
        <item x="750"/>
        <item x="1596"/>
        <item x="1835"/>
        <item x="572"/>
        <item x="1938"/>
        <item x="1194"/>
        <item x="1197"/>
        <item x="921"/>
        <item x="1444"/>
        <item x="1595"/>
        <item x="1216"/>
        <item x="1160"/>
        <item x="857"/>
        <item x="794"/>
        <item x="500"/>
        <item x="810"/>
        <item x="1871"/>
        <item x="812"/>
        <item x="139"/>
        <item x="903"/>
        <item x="314"/>
        <item x="1002"/>
        <item x="730"/>
        <item x="440"/>
        <item x="1747"/>
        <item x="377"/>
        <item x="344"/>
        <item x="518"/>
        <item x="1396"/>
        <item x="1940"/>
        <item x="1394"/>
        <item x="692"/>
        <item x="487"/>
        <item x="316"/>
        <item x="371"/>
        <item x="1022"/>
        <item x="1030"/>
        <item x="1083"/>
        <item x="397"/>
        <item x="1010"/>
        <item x="291"/>
        <item x="1089"/>
        <item x="126"/>
        <item x="1143"/>
        <item x="1729"/>
        <item x="313"/>
        <item x="109"/>
        <item x="1614"/>
        <item x="352"/>
        <item x="1034"/>
        <item x="530"/>
        <item x="1031"/>
        <item x="1541"/>
        <item x="379"/>
        <item x="660"/>
        <item x="324"/>
        <item x="1017"/>
        <item x="927"/>
        <item x="446"/>
        <item x="1358"/>
        <item x="889"/>
        <item x="1379"/>
        <item x="800"/>
        <item x="1670"/>
        <item x="406"/>
        <item x="1245"/>
        <item x="1434"/>
        <item x="1762"/>
        <item x="926"/>
        <item x="1175"/>
        <item x="294"/>
        <item x="463"/>
        <item x="1684"/>
        <item x="15"/>
        <item x="1169"/>
        <item x="1391"/>
        <item x="1956"/>
        <item x="1701"/>
        <item x="1340"/>
        <item x="1359"/>
        <item x="1134"/>
        <item x="191"/>
        <item x="867"/>
        <item x="700"/>
        <item x="64"/>
        <item x="1578"/>
        <item x="412"/>
        <item x="1619"/>
        <item x="9"/>
        <item x="726"/>
        <item x="448"/>
        <item x="939"/>
        <item x="1282"/>
        <item x="638"/>
        <item x="1992"/>
        <item x="1976"/>
        <item x="1935"/>
        <item x="824"/>
        <item x="1903"/>
        <item x="1124"/>
        <item x="1166"/>
        <item x="1334"/>
        <item x="675"/>
        <item x="1389"/>
        <item x="1475"/>
        <item x="1671"/>
        <item x="1148"/>
        <item x="1705"/>
        <item x="1522"/>
        <item x="1365"/>
        <item x="1818"/>
        <item x="1583"/>
        <item x="185"/>
        <item x="577"/>
        <item x="1267"/>
        <item x="1726"/>
        <item x="1219"/>
        <item x="52"/>
        <item x="119"/>
        <item x="1997"/>
        <item x="622"/>
        <item x="1500"/>
        <item x="1456"/>
        <item x="1740"/>
        <item x="1533"/>
        <item x="1248"/>
        <item x="1993"/>
        <item x="706"/>
        <item x="192"/>
        <item x="792"/>
        <item x="1320"/>
        <item x="1140"/>
        <item x="1582"/>
        <item x="1889"/>
        <item x="141"/>
        <item x="956"/>
        <item x="1101"/>
        <item x="2013"/>
        <item x="474"/>
        <item x="908"/>
        <item x="1898"/>
        <item x="1712"/>
        <item x="925"/>
        <item x="1307"/>
        <item x="1616"/>
        <item x="621"/>
        <item x="1659"/>
        <item x="373"/>
        <item x="1529"/>
        <item x="199"/>
        <item x="151"/>
        <item x="1233"/>
        <item x="733"/>
        <item x="565"/>
        <item x="548"/>
        <item x="1540"/>
        <item x="80"/>
        <item x="2019"/>
        <item x="86"/>
        <item x="1000"/>
        <item x="420"/>
        <item x="467"/>
        <item x="113"/>
        <item x="841"/>
        <item x="1303"/>
        <item x="65"/>
        <item x="1187"/>
        <item x="835"/>
        <item x="978"/>
        <item x="664"/>
        <item x="1046"/>
        <item x="87"/>
        <item x="1483"/>
        <item x="525"/>
        <item x="1338"/>
        <item x="852"/>
        <item x="1296"/>
        <item x="274"/>
        <item x="1190"/>
        <item x="1028"/>
        <item x="542"/>
        <item x="1651"/>
        <item x="1638"/>
        <item x="1792"/>
        <item x="1973"/>
        <item x="1643"/>
        <item x="1847"/>
        <item x="1212"/>
        <item x="263"/>
        <item x="767"/>
        <item x="571"/>
        <item x="822"/>
        <item x="1882"/>
        <item x="672"/>
        <item x="669"/>
        <item x="957"/>
        <item x="782"/>
        <item x="765"/>
        <item x="320"/>
        <item x="698"/>
        <item x="934"/>
        <item x="255"/>
        <item x="747"/>
        <item x="36"/>
        <item x="220"/>
        <item x="160"/>
        <item x="1355"/>
        <item x="512"/>
        <item x="941"/>
        <item x="1790"/>
        <item x="1428"/>
        <item x="1473"/>
        <item x="1657"/>
        <item x="1287"/>
        <item x="598"/>
        <item x="315"/>
        <item x="390"/>
        <item x="604"/>
        <item x="423"/>
        <item x="350"/>
        <item x="1403"/>
        <item x="1771"/>
        <item x="1176"/>
        <item x="1156"/>
        <item x="1926"/>
        <item x="929"/>
        <item x="1397"/>
        <item x="563"/>
        <item x="1024"/>
        <item x="402"/>
        <item x="202"/>
        <item x="1459"/>
        <item x="334"/>
        <item x="1910"/>
        <item x="472"/>
        <item x="709"/>
        <item x="1834"/>
        <item x="136"/>
        <item x="1604"/>
        <item x="91"/>
        <item x="520"/>
        <item x="955"/>
        <item x="727"/>
        <item x="1966"/>
        <item x="952"/>
        <item x="859"/>
        <item x="544"/>
        <item x="124"/>
        <item x="363"/>
        <item x="1042"/>
        <item x="2010"/>
        <item x="210"/>
        <item x="916"/>
        <item x="1332"/>
        <item x="1407"/>
        <item x="1349"/>
        <item x="342"/>
        <item x="361"/>
        <item x="1605"/>
        <item x="332"/>
        <item x="1811"/>
        <item x="464"/>
        <item x="75"/>
        <item x="1025"/>
        <item x="99"/>
        <item x="330"/>
        <item x="383"/>
        <item x="329"/>
        <item x="849"/>
        <item x="1371"/>
        <item x="1817"/>
        <item x="1383"/>
        <item x="514"/>
        <item x="311"/>
        <item x="1730"/>
        <item x="393"/>
        <item x="1202"/>
        <item x="22"/>
        <item x="409"/>
        <item x="1373"/>
        <item x="971"/>
        <item x="359"/>
        <item x="477"/>
        <item x="891"/>
        <item x="1381"/>
        <item x="1603"/>
        <item x="1971"/>
        <item x="1489"/>
        <item x="310"/>
        <item x="1675"/>
        <item x="188"/>
        <item x="174"/>
        <item x="1899"/>
        <item x="1836"/>
        <item x="1768"/>
        <item x="1538"/>
        <item x="1877"/>
        <item x="1429"/>
        <item x="578"/>
        <item x="749"/>
        <item x="983"/>
        <item x="89"/>
        <item x="248"/>
        <item x="1640"/>
        <item x="1036"/>
        <item x="1221"/>
        <item x="1056"/>
        <item x="705"/>
        <item x="543"/>
        <item x="137"/>
        <item x="1501"/>
        <item x="644"/>
        <item x="1708"/>
        <item x="1276"/>
        <item x="507"/>
        <item x="556"/>
        <item x="1321"/>
        <item x="1450"/>
        <item x="704"/>
        <item x="600"/>
        <item x="225"/>
        <item x="1765"/>
        <item x="1478"/>
        <item x="454"/>
        <item x="486"/>
        <item x="73"/>
        <item x="932"/>
        <item x="1931"/>
        <item x="509"/>
        <item x="1126"/>
        <item x="1728"/>
        <item x="50"/>
        <item x="1580"/>
        <item x="1039"/>
        <item x="222"/>
        <item x="413"/>
        <item x="1776"/>
        <item x="289"/>
        <item x="1874"/>
        <item x="1294"/>
        <item x="650"/>
        <item x="897"/>
        <item x="1802"/>
        <item x="1733"/>
        <item x="429"/>
        <item x="869"/>
        <item x="61"/>
        <item x="1864"/>
        <item x="937"/>
        <item x="1544"/>
        <item x="1109"/>
        <item x="1286"/>
        <item x="258"/>
        <item x="13"/>
        <item x="301"/>
        <item x="691"/>
        <item x="1095"/>
        <item x="1530"/>
        <item x="1337"/>
        <item x="31"/>
        <item x="1994"/>
        <item x="1406"/>
        <item x="395"/>
        <item x="1816"/>
        <item x="784"/>
        <item x="1698"/>
        <item x="356"/>
        <item x="1455"/>
        <item x="899"/>
        <item x="1945"/>
        <item x="997"/>
        <item x="951"/>
        <item x="771"/>
        <item x="1007"/>
        <item x="1919"/>
        <item x="896"/>
        <item x="1536"/>
        <item x="305"/>
        <item x="438"/>
        <item x="1502"/>
        <item x="1070"/>
        <item x="623"/>
        <item x="206"/>
        <item x="880"/>
        <item x="1061"/>
        <item x="153"/>
        <item x="1198"/>
        <item x="1608"/>
        <item x="1568"/>
        <item x="1900"/>
        <item x="1448"/>
        <item x="103"/>
        <item x="1090"/>
        <item x="2005"/>
        <item x="651"/>
        <item x="549"/>
        <item x="1420"/>
        <item x="1135"/>
        <item x="247"/>
        <item x="2015"/>
        <item x="1102"/>
        <item x="637"/>
        <item x="346"/>
        <item x="707"/>
        <item x="1454"/>
        <item x="213"/>
        <item x="1676"/>
        <item x="293"/>
        <item x="1001"/>
        <item x="900"/>
        <item x="312"/>
        <item x="25"/>
        <item x="1911"/>
        <item x="1279"/>
        <item x="1125"/>
        <item x="105"/>
        <item x="187"/>
        <item x="988"/>
        <item x="1015"/>
        <item x="23"/>
        <item x="441"/>
        <item x="657"/>
        <item x="1085"/>
        <item x="230"/>
        <item x="2006"/>
        <item x="223"/>
        <item x="1335"/>
        <item x="1421"/>
        <item x="259"/>
        <item x="521"/>
        <item x="321"/>
        <item x="92"/>
        <item x="227"/>
        <item x="197"/>
        <item x="1306"/>
        <item x="981"/>
        <item x="1955"/>
        <item x="1542"/>
        <item x="385"/>
        <item x="244"/>
        <item x="492"/>
        <item x="962"/>
        <item x="470"/>
        <item x="1098"/>
        <item x="130"/>
        <item x="55"/>
        <item x="1556"/>
        <item x="1129"/>
        <item x="674"/>
        <item x="1117"/>
        <item x="1468"/>
        <item x="683"/>
        <item x="1585"/>
        <item x="1494"/>
        <item x="1068"/>
        <item x="1167"/>
        <item x="1783"/>
        <item x="1360"/>
        <item x="1165"/>
        <item x="498"/>
        <item x="1552"/>
        <item x="1268"/>
        <item x="614"/>
        <item x="1210"/>
        <item x="1739"/>
        <item x="1145"/>
        <item x="922"/>
        <item x="508"/>
        <item x="16"/>
        <item x="1298"/>
        <item x="1999"/>
        <item x="497"/>
        <item x="299"/>
        <item x="1664"/>
        <item x="1257"/>
        <item x="966"/>
        <item x="260"/>
        <item x="292"/>
        <item x="251"/>
        <item x="1624"/>
        <item x="717"/>
        <item x="1974"/>
        <item x="2009"/>
        <item x="1462"/>
        <item x="816"/>
        <item x="924"/>
        <item x="114"/>
        <item x="88"/>
        <item x="117"/>
        <item x="1623"/>
        <item x="386"/>
        <item x="1801"/>
        <item x="703"/>
        <item x="415"/>
        <item x="1527"/>
        <item x="175"/>
        <item x="404"/>
        <item x="1242"/>
        <item x="411"/>
        <item x="242"/>
        <item x="673"/>
        <item x="1644"/>
        <item x="1251"/>
        <item x="742"/>
        <item x="410"/>
        <item x="1392"/>
        <item x="1968"/>
        <item x="307"/>
        <item x="1254"/>
        <item x="1021"/>
        <item x="1398"/>
        <item x="1661"/>
        <item x="631"/>
        <item x="458"/>
        <item x="977"/>
        <item x="1852"/>
        <item x="1339"/>
        <item x="1315"/>
        <item x="1342"/>
        <item x="624"/>
        <item x="1965"/>
        <item x="1499"/>
        <item x="609"/>
        <item x="1274"/>
        <item x="1639"/>
        <item x="1995"/>
        <item x="639"/>
        <item x="79"/>
        <item x="5"/>
        <item x="345"/>
        <item x="1591"/>
        <item x="731"/>
        <item x="1518"/>
        <item x="1521"/>
        <item x="1735"/>
        <item x="708"/>
        <item x="1284"/>
        <item x="1574"/>
        <item x="1020"/>
        <item x="281"/>
        <item x="1513"/>
        <item x="1207"/>
        <item x="1232"/>
        <item x="368"/>
        <item x="686"/>
        <item x="892"/>
        <item x="1958"/>
        <item x="58"/>
        <item x="1610"/>
        <item x="1584"/>
        <item x="184"/>
        <item x="1099"/>
        <item x="1631"/>
        <item x="214"/>
        <item x="416"/>
        <item x="1154"/>
        <item x="588"/>
        <item x="437"/>
        <item x="1773"/>
        <item x="1005"/>
        <item x="1918"/>
        <item x="104"/>
        <item x="469"/>
        <item x="1797"/>
        <item x="322"/>
        <item x="421"/>
        <item x="606"/>
        <item x="1904"/>
        <item x="1264"/>
        <item x="162"/>
        <item x="823"/>
        <item x="1803"/>
        <item x="954"/>
        <item x="1861"/>
        <item x="367"/>
        <item x="748"/>
        <item x="171"/>
        <item x="1778"/>
        <item x="34"/>
        <item x="647"/>
        <item x="1800"/>
        <item x="839"/>
        <item x="1741"/>
        <item x="287"/>
        <item x="33"/>
        <item x="1466"/>
        <item x="1386"/>
        <item x="1748"/>
        <item x="854"/>
        <item x="532"/>
        <item x="333"/>
        <item x="1883"/>
        <item x="643"/>
        <item x="261"/>
        <item x="808"/>
        <item x="550"/>
        <item x="1265"/>
        <item x="1507"/>
        <item x="297"/>
        <item x="1784"/>
        <item x="994"/>
        <item x="1078"/>
        <item x="240"/>
        <item x="789"/>
        <item x="1943"/>
        <item x="1452"/>
        <item x="693"/>
        <item x="1463"/>
        <item x="1092"/>
        <item x="1645"/>
        <item x="1065"/>
        <item x="537"/>
        <item x="1173"/>
        <item x="881"/>
        <item x="1374"/>
        <item x="699"/>
        <item x="670"/>
        <item x="212"/>
        <item x="1492"/>
        <item x="1917"/>
        <item x="41"/>
        <item x="1105"/>
        <item x="1990"/>
        <item x="1425"/>
        <item x="26"/>
        <item x="71"/>
        <item x="819"/>
        <item x="1227"/>
        <item x="309"/>
        <item x="1087"/>
        <item x="1316"/>
        <item x="1753"/>
        <item x="1620"/>
        <item x="468"/>
        <item x="1325"/>
        <item x="1062"/>
        <item x="613"/>
        <item x="1196"/>
        <item x="1764"/>
        <item x="584"/>
        <item x="568"/>
        <item x="1946"/>
        <item x="81"/>
        <item x="1211"/>
        <item x="1646"/>
        <item x="799"/>
        <item x="488"/>
        <item x="216"/>
        <item x="370"/>
        <item x="1292"/>
        <item x="1283"/>
        <item x="131"/>
        <item x="1860"/>
        <item x="931"/>
        <item x="1471"/>
        <item x="1208"/>
        <item x="635"/>
        <item x="267"/>
        <item x="1981"/>
        <item x="172"/>
        <item x="1224"/>
        <item x="1532"/>
        <item x="1446"/>
        <item x="1770"/>
        <item x="1037"/>
        <item x="1440"/>
        <item x="18"/>
        <item x="928"/>
        <item x="959"/>
        <item x="1058"/>
        <item x="1950"/>
        <item x="1652"/>
        <item x="1754"/>
        <item x="1426"/>
        <item x="850"/>
        <item x="1289"/>
        <item x="1826"/>
        <item x="170"/>
        <item x="995"/>
        <item x="1677"/>
        <item x="1229"/>
        <item x="1114"/>
        <item x="702"/>
        <item x="451"/>
        <item x="796"/>
        <item x="1073"/>
        <item x="620"/>
        <item x="1281"/>
        <item x="98"/>
        <item x="918"/>
        <item x="1716"/>
        <item x="1936"/>
        <item x="1333"/>
        <item x="1351"/>
        <item x="882"/>
        <item x="480"/>
        <item x="20"/>
        <item x="1195"/>
        <item x="1150"/>
        <item x="907"/>
        <item x="1512"/>
        <item x="1382"/>
        <item x="1947"/>
        <item x="1928"/>
        <item x="811"/>
        <item x="1820"/>
        <item x="1511"/>
        <item x="592"/>
        <item x="826"/>
        <item x="1607"/>
        <item x="1495"/>
        <item x="1571"/>
        <item x="1063"/>
        <item x="1662"/>
        <item x="1779"/>
        <item x="1439"/>
        <item x="1737"/>
        <item x="419"/>
        <item x="1449"/>
        <item x="284"/>
        <item x="1220"/>
        <item x="1989"/>
        <item x="1633"/>
        <item x="671"/>
        <item x="434"/>
        <item x="768"/>
        <item x="1944"/>
        <item x="1451"/>
        <item x="1905"/>
        <item x="1920"/>
        <item x="721"/>
        <item x="195"/>
        <item x="449"/>
        <item x="442"/>
        <item x="272"/>
        <item x="912"/>
        <item x="1138"/>
        <item x="917"/>
        <item x="2003"/>
        <item x="8"/>
        <item x="108"/>
        <item x="280"/>
        <item x="1656"/>
        <item x="1629"/>
        <item x="662"/>
        <item x="1719"/>
        <item x="1237"/>
        <item x="128"/>
        <item x="833"/>
        <item x="579"/>
        <item x="1108"/>
        <item x="1040"/>
        <item x="1273"/>
        <item x="875"/>
        <item x="1660"/>
        <item x="1302"/>
        <item x="830"/>
        <item x="986"/>
        <item x="101"/>
        <item x="485"/>
        <item x="1423"/>
        <item x="555"/>
        <item x="949"/>
        <item x="1464"/>
        <item x="1357"/>
        <item x="1707"/>
        <item x="35"/>
        <item x="665"/>
        <item x="1873"/>
        <item x="1352"/>
        <item x="1907"/>
        <item x="1745"/>
        <item x="1076"/>
        <item x="1567"/>
        <item x="791"/>
        <item x="123"/>
        <item x="1914"/>
        <item x="1758"/>
        <item x="1026"/>
        <item x="327"/>
        <item x="653"/>
        <item x="1115"/>
        <item x="473"/>
        <item x="1004"/>
        <item x="656"/>
        <item x="575"/>
        <item x="84"/>
        <item x="970"/>
        <item x="545"/>
        <item x="804"/>
        <item x="1479"/>
        <item x="975"/>
        <item x="1427"/>
        <item x="1736"/>
        <item x="180"/>
        <item x="868"/>
        <item x="502"/>
        <item x="818"/>
        <item x="1579"/>
        <item x="496"/>
        <item x="1326"/>
        <item x="1161"/>
        <item x="1310"/>
        <item x="186"/>
        <item x="1480"/>
        <item x="851"/>
        <item x="528"/>
        <item x="780"/>
        <item x="221"/>
        <item x="1096"/>
        <item x="285"/>
        <item x="1183"/>
        <item x="1819"/>
        <item x="950"/>
        <item x="1408"/>
        <item x="1048"/>
        <item x="1155"/>
        <item x="1752"/>
        <item x="1988"/>
        <item x="1929"/>
        <item x="923"/>
        <item x="147"/>
        <item x="238"/>
        <item x="1791"/>
        <item x="967"/>
        <item x="234"/>
        <item x="535"/>
        <item x="1299"/>
        <item x="447"/>
        <item x="1"/>
        <item x="1250"/>
        <item x="1012"/>
        <item x="1557"/>
        <item x="567"/>
        <item x="491"/>
        <item x="1003"/>
        <item x="554"/>
        <item x="814"/>
        <item x="1699"/>
        <item x="1066"/>
        <item x="1112"/>
        <item x="1354"/>
        <item x="1356"/>
        <item x="627"/>
        <item x="1203"/>
        <item x="1223"/>
        <item x="1558"/>
        <item x="1472"/>
        <item x="1035"/>
        <item x="1228"/>
        <item x="1477"/>
        <item x="95"/>
        <item x="1491"/>
        <item x="961"/>
        <item x="1272"/>
        <item x="1597"/>
        <item x="1627"/>
        <item x="1849"/>
        <item x="788"/>
        <item x="1969"/>
        <item x="1505"/>
        <item x="947"/>
        <item x="1171"/>
        <item x="1179"/>
        <item x="1189"/>
        <item x="714"/>
        <item x="1399"/>
        <item x="515"/>
        <item x="834"/>
        <item x="1516"/>
        <item x="493"/>
        <item x="1822"/>
        <item x="190"/>
        <item x="1119"/>
        <item x="694"/>
        <item x="1192"/>
        <item x="1696"/>
        <item x="1503"/>
        <item x="2017"/>
        <item x="972"/>
        <item x="1786"/>
        <item x="1314"/>
        <item x="2000"/>
        <item x="1823"/>
        <item x="1487"/>
        <item x="1032"/>
        <item x="1690"/>
        <item x="781"/>
        <item x="1546"/>
        <item x="1019"/>
        <item x="1655"/>
        <item x="1878"/>
        <item x="1667"/>
        <item x="1441"/>
        <item x="1934"/>
        <item x="1363"/>
        <item x="138"/>
        <item x="107"/>
        <item x="840"/>
        <item x="166"/>
        <item x="860"/>
        <item x="358"/>
        <item x="646"/>
        <item x="884"/>
        <item x="148"/>
        <item x="134"/>
        <item x="1488"/>
        <item x="590"/>
        <item x="1111"/>
        <item x="1504"/>
        <item x="82"/>
        <item x="764"/>
        <item x="1412"/>
        <item x="602"/>
        <item x="1833"/>
        <item x="1687"/>
        <item x="876"/>
        <item x="965"/>
        <item x="1970"/>
        <item x="349"/>
        <item x="1725"/>
        <item x="1067"/>
        <item x="1897"/>
        <item x="167"/>
        <item x="270"/>
        <item x="1317"/>
        <item x="1601"/>
        <item x="1093"/>
        <item x="1059"/>
        <item x="1606"/>
        <item x="1717"/>
        <item x="450"/>
        <item x="684"/>
        <item x="102"/>
        <item x="1270"/>
        <item x="640"/>
        <item x="612"/>
        <item x="387"/>
        <item x="1185"/>
        <item x="47"/>
        <item x="599"/>
        <item x="1259"/>
        <item x="401"/>
        <item x="1618"/>
        <item x="848"/>
        <item x="462"/>
        <item x="318"/>
        <item x="1072"/>
        <item x="813"/>
        <item x="893"/>
        <item x="769"/>
        <item x="751"/>
        <item x="809"/>
        <item x="573"/>
        <item x="619"/>
        <item x="630"/>
        <item x="265"/>
        <item x="90"/>
        <item x="1682"/>
        <item x="911"/>
        <item x="919"/>
        <item x="1184"/>
        <item x="1313"/>
        <item x="83"/>
        <item x="40"/>
        <item x="1400"/>
        <item x="2007"/>
        <item x="582"/>
        <item x="326"/>
        <item x="1481"/>
        <item x="159"/>
        <item x="1952"/>
        <item x="517"/>
        <item x="1239"/>
        <item x="712"/>
        <item x="1305"/>
        <item x="1799"/>
        <item x="845"/>
        <item x="1788"/>
        <item x="254"/>
        <item x="964"/>
        <item x="226"/>
        <item x="1347"/>
        <item x="435"/>
        <item x="93"/>
        <item x="1978"/>
        <item x="786"/>
        <item x="1613"/>
        <item x="1118"/>
        <item x="595"/>
        <item x="2002"/>
        <item x="1308"/>
        <item x="456"/>
        <item x="335"/>
        <item x="1855"/>
        <item x="1162"/>
        <item x="1961"/>
        <item x="1378"/>
        <item x="626"/>
        <item x="1924"/>
        <item x="424"/>
        <item x="1186"/>
        <item x="904"/>
        <item x="457"/>
        <item x="616"/>
        <item x="815"/>
        <item x="593"/>
        <item x="19"/>
        <item x="1364"/>
        <item x="1370"/>
        <item x="1016"/>
        <item x="228"/>
        <item x="710"/>
        <item x="1896"/>
        <item x="118"/>
        <item x="149"/>
        <item x="1706"/>
        <item x="269"/>
        <item x="1774"/>
        <item x="1110"/>
        <item x="1014"/>
        <item x="1149"/>
        <item x="122"/>
        <item x="382"/>
        <item x="1870"/>
        <item x="1979"/>
        <item x="1121"/>
        <item x="734"/>
        <item x="389"/>
        <item x="1854"/>
        <item x="905"/>
        <item x="116"/>
        <item x="538"/>
        <item x="1863"/>
        <item x="1395"/>
        <item x="1942"/>
        <item x="271"/>
        <item x="503"/>
        <item x="1553"/>
        <item x="1528"/>
        <item x="146"/>
        <item x="737"/>
        <item x="1692"/>
        <item x="533"/>
        <item x="1885"/>
        <item x="861"/>
        <item x="960"/>
        <item x="1493"/>
        <item x="1413"/>
        <item x="832"/>
        <item x="1526"/>
        <item x="1868"/>
        <item x="659"/>
        <item x="679"/>
        <item x="1362"/>
        <item x="1217"/>
        <item x="1113"/>
        <item x="1711"/>
        <item x="1757"/>
        <item x="991"/>
        <item x="987"/>
        <item x="331"/>
        <item x="1704"/>
        <item x="1888"/>
        <item x="1569"/>
        <item x="1053"/>
        <item x="539"/>
        <item x="713"/>
        <item x="1858"/>
        <item x="1011"/>
        <item x="594"/>
        <item x="135"/>
        <item x="1244"/>
        <item x="1755"/>
        <item x="443"/>
        <item x="1290"/>
        <item x="1879"/>
        <item x="1368"/>
        <item x="958"/>
        <item x="888"/>
        <item x="641"/>
        <item x="181"/>
        <item x="677"/>
        <item x="933"/>
        <item x="504"/>
        <item x="1628"/>
        <item x="1424"/>
        <item x="894"/>
        <item x="1967"/>
        <item x="1144"/>
        <item x="63"/>
        <item x="106"/>
        <item x="340"/>
        <item x="1377"/>
        <item x="805"/>
        <item x="1915"/>
        <item x="976"/>
        <item x="1249"/>
        <item x="208"/>
        <item x="1291"/>
        <item x="1683"/>
        <item x="1954"/>
        <item x="1181"/>
        <item x="1780"/>
        <item x="29"/>
        <item x="1050"/>
        <item x="552"/>
        <item x="935"/>
        <item x="282"/>
        <item x="1875"/>
        <item x="1987"/>
        <item x="1430"/>
        <item x="524"/>
        <item x="1939"/>
        <item x="746"/>
        <item x="2004"/>
        <item x="189"/>
        <item x="362"/>
        <item x="1431"/>
        <item x="1027"/>
        <item x="1496"/>
        <item x="996"/>
        <item x="570"/>
        <item x="820"/>
        <item x="758"/>
        <item x="1255"/>
        <item x="37"/>
        <item x="306"/>
        <item x="1665"/>
        <item x="10"/>
        <item x="1642"/>
        <item x="687"/>
        <item x="336"/>
        <item x="1723"/>
        <item x="985"/>
        <item x="581"/>
        <item x="2011"/>
        <item x="11"/>
        <item x="28"/>
        <item x="161"/>
        <item x="785"/>
        <item x="1247"/>
        <item x="1084"/>
        <item x="1581"/>
        <item x="527"/>
        <item x="1576"/>
        <item x="1697"/>
        <item x="198"/>
        <item x="871"/>
        <item x="466"/>
        <item x="253"/>
        <item x="729"/>
        <item x="1666"/>
        <item x="1632"/>
        <item x="913"/>
        <item x="1278"/>
        <item x="70"/>
        <item x="1045"/>
        <item x="96"/>
        <item x="1957"/>
        <item x="553"/>
        <item x="237"/>
        <item x="779"/>
        <item x="1810"/>
        <item x="1136"/>
        <item x="1916"/>
        <item x="1372"/>
        <item x="1055"/>
        <item x="1857"/>
        <item x="559"/>
        <item x="874"/>
        <item x="1749"/>
        <item x="920"/>
        <item x="615"/>
        <item x="1796"/>
        <item x="465"/>
        <item x="2001"/>
        <item x="1318"/>
        <item x="1258"/>
        <item x="231"/>
        <item x="1972"/>
        <item x="1142"/>
        <item x="1467"/>
        <item x="801"/>
        <item x="1794"/>
        <item x="1404"/>
        <item x="625"/>
        <item x="617"/>
        <item x="1054"/>
        <item x="1086"/>
        <item x="1204"/>
        <item x="1260"/>
        <item x="738"/>
        <item x="354"/>
        <item x="1178"/>
        <item x="1689"/>
        <item x="898"/>
        <item x="1262"/>
        <item x="992"/>
        <item x="422"/>
        <item x="121"/>
        <item x="1713"/>
        <item x="1908"/>
        <item x="1231"/>
        <item x="2"/>
        <item x="145"/>
        <item x="633"/>
        <item x="501"/>
        <item x="156"/>
        <item x="398"/>
        <item x="1721"/>
        <item x="825"/>
        <item x="276"/>
        <item x="910"/>
        <item x="1962"/>
        <item x="302"/>
        <item x="1744"/>
        <item x="689"/>
        <item x="481"/>
        <item x="1650"/>
        <item x="1097"/>
        <item x="94"/>
        <item x="77"/>
        <item x="1213"/>
        <item x="1343"/>
        <item x="1388"/>
        <item x="681"/>
        <item x="1023"/>
        <item x="1074"/>
        <item x="1350"/>
        <item x="235"/>
        <item x="1168"/>
        <item x="1139"/>
        <item x="304"/>
        <item x="1079"/>
        <item x="133"/>
        <item x="1438"/>
        <item x="290"/>
        <item x="773"/>
        <item x="430"/>
        <item x="2008"/>
        <item x="1288"/>
        <item x="1103"/>
        <item x="1761"/>
        <item x="144"/>
        <item x="1921"/>
        <item x="21"/>
        <item x="44"/>
        <item x="275"/>
        <item x="982"/>
        <item x="1600"/>
        <item x="1453"/>
        <item x="132"/>
        <item x="561"/>
        <item x="760"/>
        <item x="2020"/>
        <item x="489"/>
        <item x="990"/>
        <item x="1593"/>
        <item x="1695"/>
        <item x="1107"/>
        <item x="68"/>
        <item x="1534"/>
        <item x="661"/>
        <item x="1782"/>
        <item x="724"/>
        <item x="1977"/>
        <item x="1841"/>
        <item x="476"/>
        <item x="249"/>
        <item x="483"/>
        <item x="364"/>
        <item x="394"/>
        <item x="1850"/>
        <item x="1524"/>
        <item x="649"/>
        <item x="1611"/>
        <item x="716"/>
        <item x="1742"/>
        <item x="38"/>
        <item x="605"/>
        <item x="806"/>
        <item x="127"/>
        <item x="1509"/>
        <item x="1088"/>
        <item x="546"/>
        <item x="1170"/>
        <item x="262"/>
        <item x="1980"/>
        <item x="1559"/>
        <item x="945"/>
        <item x="1344"/>
        <item x="1469"/>
        <item x="494"/>
        <item x="1510"/>
        <item x="1734"/>
        <item x="1592"/>
        <item x="351"/>
        <item x="607"/>
        <item x="205"/>
        <item x="989"/>
        <item x="770"/>
        <item x="1548"/>
        <item x="1932"/>
        <item x="1891"/>
        <item x="856"/>
        <item x="775"/>
        <item x="418"/>
        <item x="295"/>
        <item x="1724"/>
        <item x="69"/>
        <item x="353"/>
        <item x="648"/>
        <item x="1215"/>
        <item x="744"/>
        <item x="1432"/>
        <item x="1461"/>
        <item x="580"/>
        <item x="1547"/>
        <item x="562"/>
        <item x="1269"/>
        <item x="1933"/>
        <item x="1927"/>
        <item x="376"/>
        <item x="1562"/>
        <item x="1840"/>
        <item x="531"/>
        <item x="1199"/>
        <item x="111"/>
        <item x="233"/>
        <item x="355"/>
        <item x="1226"/>
        <item x="1829"/>
        <item x="837"/>
        <item x="155"/>
        <item x="112"/>
        <item x="902"/>
        <item x="360"/>
        <item x="1807"/>
        <item x="914"/>
        <item x="7"/>
        <item x="866"/>
        <item x="740"/>
        <item x="1575"/>
        <item x="1158"/>
        <item x="1551"/>
        <item x="45"/>
        <item x="610"/>
        <item x="490"/>
        <item x="164"/>
        <item x="328"/>
        <item x="564"/>
        <item x="1738"/>
        <item x="974"/>
        <item x="1602"/>
        <item x="696"/>
        <item x="1465"/>
        <item x="1485"/>
        <item x="1615"/>
        <item x="1043"/>
        <item x="53"/>
        <item x="1164"/>
        <item x="940"/>
        <item x="1240"/>
        <item x="847"/>
        <item x="1091"/>
        <item x="732"/>
        <item x="140"/>
        <item x="1300"/>
        <item x="74"/>
        <item x="279"/>
        <item x="1714"/>
        <item x="756"/>
        <item x="783"/>
        <item x="719"/>
        <item x="685"/>
        <item x="1018"/>
        <item x="1759"/>
        <item x="1886"/>
        <item x="1435"/>
        <item x="1964"/>
        <item x="1589"/>
        <item x="264"/>
        <item x="1253"/>
        <item x="1127"/>
        <item x="797"/>
        <item x="12"/>
        <item x="1234"/>
        <item x="78"/>
        <item x="766"/>
        <item x="277"/>
        <item x="1570"/>
        <item x="1506"/>
        <item x="1986"/>
        <item x="1887"/>
        <item x="1482"/>
        <item x="1277"/>
        <item x="1009"/>
        <item x="479"/>
        <item x="510"/>
        <item x="1484"/>
        <item x="1838"/>
        <item x="513"/>
        <item x="1474"/>
        <item x="534"/>
        <item x="375"/>
        <item x="1361"/>
        <item x="338"/>
        <item x="883"/>
        <item x="963"/>
        <item x="453"/>
        <item x="529"/>
        <item x="1214"/>
        <item x="372"/>
        <item x="566"/>
        <item x="115"/>
        <item x="1535"/>
        <item x="1825"/>
        <item x="1033"/>
        <item x="858"/>
        <item x="1410"/>
        <item x="444"/>
        <item x="266"/>
        <item x="183"/>
        <item x="1617"/>
        <item x="1116"/>
        <item x="541"/>
        <item x="1515"/>
        <item x="1673"/>
        <item x="1297"/>
        <item x="245"/>
        <item x="678"/>
        <item x="1668"/>
        <item x="722"/>
        <item x="1550"/>
        <item x="369"/>
        <item x="1419"/>
        <item x="1545"/>
        <item x="878"/>
        <item x="601"/>
        <item x="283"/>
        <item x="482"/>
        <item x="1930"/>
        <item x="1341"/>
        <item x="1141"/>
        <item x="1375"/>
        <item x="129"/>
        <item x="323"/>
        <item x="1537"/>
        <item x="1895"/>
        <item x="690"/>
        <item x="1922"/>
        <item x="761"/>
        <item x="754"/>
        <item x="1709"/>
        <item x="250"/>
        <item x="1322"/>
        <item x="425"/>
        <item x="741"/>
        <item x="1785"/>
        <item x="1750"/>
        <item x="506"/>
        <item x="1637"/>
        <item x="596"/>
        <item x="1191"/>
        <item x="4"/>
        <item x="459"/>
        <item x="715"/>
        <item x="1732"/>
        <item x="1490"/>
        <item x="591"/>
        <item x="663"/>
        <item x="1884"/>
        <item x="608"/>
        <item x="239"/>
        <item x="1763"/>
        <item x="1081"/>
        <item x="1925"/>
        <item x="1669"/>
        <item x="863"/>
        <item x="1710"/>
        <item x="343"/>
        <item x="405"/>
        <item x="1998"/>
        <item x="24"/>
        <item x="1982"/>
        <item x="203"/>
        <item x="1051"/>
        <item x="1120"/>
        <item x="1130"/>
        <item x="1206"/>
        <item x="1718"/>
        <item x="1658"/>
        <item x="1626"/>
        <item x="1647"/>
        <item x="890"/>
        <item x="618"/>
        <item x="1767"/>
        <item x="1387"/>
        <item x="793"/>
        <item x="1599"/>
        <item x="1523"/>
        <item x="30"/>
        <item x="1641"/>
        <item x="1367"/>
        <item x="1159"/>
        <item x="1812"/>
        <item x="787"/>
        <item x="901"/>
        <item x="300"/>
        <item x="1131"/>
        <item x="803"/>
        <item x="125"/>
        <item x="1951"/>
        <item x="1417"/>
        <item x="43"/>
        <item x="723"/>
        <item x="1702"/>
        <item x="1246"/>
        <item x="736"/>
        <item x="654"/>
        <item x="414"/>
        <item x="993"/>
        <item x="193"/>
        <item x="100"/>
        <item x="1122"/>
        <item x="1163"/>
        <item x="1460"/>
        <item x="1405"/>
        <item x="1686"/>
        <item x="1746"/>
        <item x="526"/>
        <item x="628"/>
        <item x="72"/>
        <item x="204"/>
        <item x="1609"/>
        <item x="110"/>
        <item x="1821"/>
        <item x="1991"/>
        <item x="32"/>
        <item x="341"/>
        <item x="1577"/>
        <item x="1128"/>
        <item x="757"/>
        <item x="1205"/>
        <item x="1517"/>
        <item x="1498"/>
        <item x="396"/>
        <item x="652"/>
        <item x="1369"/>
        <item x="211"/>
        <item x="1693"/>
        <item x="1949"/>
        <item x="1909"/>
        <item x="728"/>
        <item x="27"/>
        <item x="1486"/>
        <item x="120"/>
        <item x="1787"/>
        <item x="1901"/>
        <item x="735"/>
        <item x="906"/>
        <item x="1635"/>
        <item x="1621"/>
        <item x="1069"/>
        <item x="827"/>
        <item x="701"/>
        <item x="1760"/>
        <item x="1311"/>
        <item x="676"/>
        <item x="1845"/>
        <item x="587"/>
        <item x="522"/>
        <item x="540"/>
        <item x="10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7">
    <i>
      <x/>
    </i>
    <i i="1">
      <x v="1"/>
    </i>
    <i i="2">
      <x v="2"/>
    </i>
    <i i="3">
      <x v="3"/>
    </i>
    <i i="4">
      <x v="4"/>
    </i>
    <i i="5">
      <x v="5"/>
    </i>
    <i i="6">
      <x v="6"/>
    </i>
  </colItems>
  <pageFields count="1">
    <pageField fld="0" hier="-1"/>
  </pageFields>
  <dataFields count="7">
    <dataField name="All Customers" fld="57" subtotal="count" baseField="0" baseItem="0"/>
    <dataField name="Campaign 1" fld="16" baseField="0" baseItem="0"/>
    <dataField name="Campaign 2" fld="17" baseField="0" baseItem="0"/>
    <dataField name="Campaign 3" fld="18" baseField="0" baseItem="0"/>
    <dataField name="Campaign 4" fld="19" baseField="0" baseItem="0"/>
    <dataField name="Campaign 5" fld="20" baseField="0" baseItem="0"/>
    <dataField name="All Campaign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8CC891F-1BBF-4E96-BFE3-71B82AC03F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I55:O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Average of MntTotal" fld="39" subtotal="average" baseField="48" baseItem="1" numFmtId="1"/>
  </dataFields>
  <formats count="13">
    <format dxfId="130">
      <pivotArea type="origin" dataOnly="0" labelOnly="1" outline="0" fieldPosition="0"/>
    </format>
    <format dxfId="129">
      <pivotArea field="48" type="button" dataOnly="0" labelOnly="1" outline="0" axis="axisRow" fieldPosition="0"/>
    </format>
    <format dxfId="128">
      <pivotArea dataOnly="0" labelOnly="1" fieldPosition="0">
        <references count="1">
          <reference field="48" count="0"/>
        </references>
      </pivotArea>
    </format>
    <format dxfId="127">
      <pivotArea dataOnly="0" labelOnly="1" grandRow="1" outline="0" fieldPosition="0"/>
    </format>
    <format dxfId="126">
      <pivotArea outline="0" collapsedLevelsAreSubtotals="1" fieldPosition="0"/>
    </format>
    <format dxfId="125">
      <pivotArea field="48" grandCol="1" collapsedLevelsAreSubtotals="1" axis="axisRow" fieldPosition="0">
        <references count="1">
          <reference field="48" count="1">
            <x v="0"/>
          </reference>
        </references>
      </pivotArea>
    </format>
    <format dxfId="124">
      <pivotArea field="48" grandCol="1" collapsedLevelsAreSubtotals="1" axis="axisRow" fieldPosition="0">
        <references count="1">
          <reference field="48" count="1">
            <x v="4"/>
          </reference>
        </references>
      </pivotArea>
    </format>
    <format dxfId="123">
      <pivotArea field="48" grandCol="1" collapsedLevelsAreSubtotals="1" axis="axisRow" fieldPosition="0">
        <references count="1">
          <reference field="48" count="1">
            <x v="0"/>
          </reference>
        </references>
      </pivotArea>
    </format>
    <format dxfId="122">
      <pivotArea collapsedLevelsAreSubtotals="1" fieldPosition="0">
        <references count="2">
          <reference field="48" count="1">
            <x v="0"/>
          </reference>
          <reference field="57" count="1" selected="0">
            <x v="5"/>
          </reference>
        </references>
      </pivotArea>
    </format>
    <format dxfId="121">
      <pivotArea collapsedLevelsAreSubtotals="1" fieldPosition="0">
        <references count="2">
          <reference field="48" count="1">
            <x v="1"/>
          </reference>
          <reference field="57" count="1" selected="0">
            <x v="5"/>
          </reference>
        </references>
      </pivotArea>
    </format>
    <format dxfId="120">
      <pivotArea field="48" grandCol="1" collapsedLevelsAreSubtotals="1" axis="axisRow" fieldPosition="0">
        <references count="1">
          <reference field="48" count="1">
            <x v="4"/>
          </reference>
        </references>
      </pivotArea>
    </format>
    <format dxfId="119">
      <pivotArea collapsedLevelsAreSubtotals="1" fieldPosition="0">
        <references count="2">
          <reference field="48" count="3">
            <x v="2"/>
            <x v="3"/>
            <x v="4"/>
          </reference>
          <reference field="57" count="1" selected="0">
            <x v="2"/>
          </reference>
        </references>
      </pivotArea>
    </format>
    <format dxfId="118">
      <pivotArea collapsedLevelsAreSubtotals="1" fieldPosition="0">
        <references count="1">
          <reference field="4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B9BF3E6-AAD3-4235-8C5D-02979FA3B7C7}"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A65:G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34">
      <pivotArea type="origin" dataOnly="0" labelOnly="1" outline="0" fieldPosition="0"/>
    </format>
    <format dxfId="133">
      <pivotArea field="45" type="button" dataOnly="0" labelOnly="1" outline="0" axis="axisRow" fieldPosition="0"/>
    </format>
    <format dxfId="132">
      <pivotArea dataOnly="0" labelOnly="1" fieldPosition="0">
        <references count="1">
          <reference field="45" count="0"/>
        </references>
      </pivotArea>
    </format>
    <format dxfId="131">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E5FF489-BE04-4FE7-A560-EEF7068C4A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0" firstHeaderRow="0" firstDataRow="1" firstDataCol="0" rowPageCount="6"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
        <item x="1"/>
        <item x="0"/>
        <item t="default"/>
      </items>
    </pivotField>
    <pivotField axis="axisPage" showAll="0">
      <items count="3">
        <item x="0"/>
        <item x="1"/>
        <item t="default"/>
      </items>
    </pivotField>
    <pivotField axis="axisPage" showAll="0">
      <items count="6">
        <item x="3"/>
        <item x="2"/>
        <item x="0"/>
        <item x="1"/>
        <item x="4"/>
        <item t="default"/>
      </items>
    </pivotField>
    <pivotField axis="axisPage" multipleItemSelectionAllowed="1" showAll="0">
      <items count="4">
        <item x="2"/>
        <item x="1"/>
        <item x="0"/>
        <item t="default"/>
      </items>
    </pivotField>
    <pivotField axis="axisPage" multipleItemSelectionAllowed="1" showAll="0">
      <items count="5">
        <item x="0"/>
        <item x="3"/>
        <item x="2"/>
        <item x="1"/>
        <item t="default"/>
      </items>
    </pivotField>
    <pivotField axis="axisPage" multipleItemSelectionAllowed="1" showAll="0">
      <items count="6">
        <item h="1" x="4"/>
        <item h="1" x="3"/>
        <item h="1" x="0"/>
        <item x="1"/>
        <item x="2"/>
        <item t="default"/>
      </items>
    </pivotField>
    <pivotField showAll="0"/>
    <pivotField showAll="0"/>
    <pivotField showAll="0"/>
    <pivotField showAll="0"/>
    <pivotField showAll="0"/>
    <pivotField showAll="0"/>
    <pivotField showAll="0"/>
    <pivotField showAll="0"/>
    <pivotField axis="axisPage" showAll="0">
      <items count="7">
        <item x="3"/>
        <item m="1" x="5"/>
        <item x="4"/>
        <item x="2"/>
        <item x="1"/>
        <item x="0"/>
        <item t="default"/>
      </items>
    </pivotField>
  </pivotFields>
  <rowItems count="1">
    <i/>
  </rowItems>
  <colFields count="1">
    <field x="-2"/>
  </colFields>
  <colItems count="2">
    <i>
      <x/>
    </i>
    <i i="1">
      <x v="1"/>
    </i>
  </colItems>
  <pageFields count="6">
    <pageField fld="57" item="3" hier="-1"/>
    <pageField fld="44" hier="-1"/>
    <pageField fld="45" hier="-1"/>
    <pageField fld="46" hier="-1"/>
    <pageField fld="47" hier="-1"/>
    <pageField fld="48" hier="-1"/>
  </pageFields>
  <dataFields count="2">
    <dataField name="Average of MntTotal" fld="39" subtotal="average" baseField="0" baseItem="0" numFmtId="1"/>
    <dataField name="Count of MntTotal" fld="39" subtotal="count" baseField="0" baseItem="1"/>
  </dataFields>
  <formats count="3">
    <format dxfId="137">
      <pivotArea outline="0" collapsedLevelsAreSubtotals="1" fieldPosition="0"/>
    </format>
    <format dxfId="136">
      <pivotArea outline="0" collapsedLevelsAreSubtotals="1" fieldPosition="0"/>
    </format>
    <format dxfId="1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1C7C6D7-30FB-4E2D-BF36-0E722348333D}"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A75:G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41">
      <pivotArea type="origin" dataOnly="0" labelOnly="1" outline="0" fieldPosition="0"/>
    </format>
    <format dxfId="140">
      <pivotArea field="44" type="button" dataOnly="0" labelOnly="1" outline="0" axis="axisRow" fieldPosition="0"/>
    </format>
    <format dxfId="139">
      <pivotArea dataOnly="0" labelOnly="1" fieldPosition="0">
        <references count="1">
          <reference field="44" count="0"/>
        </references>
      </pivotArea>
    </format>
    <format dxfId="13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3A01AB0-3340-4953-A900-6C15D0853A06}"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colHeaderCaption="Customer Segmentation">
  <location ref="A55:G6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1"/>
        <item x="2"/>
        <item t="default"/>
      </items>
    </pivotField>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8"/>
  </rowFields>
  <rowItems count="6">
    <i>
      <x/>
    </i>
    <i>
      <x v="1"/>
    </i>
    <i>
      <x v="2"/>
    </i>
    <i>
      <x v="3"/>
    </i>
    <i>
      <x v="4"/>
    </i>
    <i t="grand">
      <x/>
    </i>
  </rowItems>
  <colFields count="1">
    <field x="57"/>
  </colFields>
  <colItems count="6">
    <i>
      <x/>
    </i>
    <i>
      <x v="1"/>
    </i>
    <i>
      <x v="2"/>
    </i>
    <i>
      <x v="3"/>
    </i>
    <i>
      <x v="5"/>
    </i>
    <i t="grand">
      <x/>
    </i>
  </colItems>
  <dataFields count="1">
    <dataField name="Total Customers Accepted Campaign Offer" fld="21" baseField="0" baseItem="0"/>
  </dataFields>
  <formats count="4">
    <format dxfId="145">
      <pivotArea type="origin" dataOnly="0" labelOnly="1" outline="0" fieldPosition="0"/>
    </format>
    <format dxfId="144">
      <pivotArea field="48" type="button" dataOnly="0" labelOnly="1" outline="0" axis="axisRow" fieldPosition="0"/>
    </format>
    <format dxfId="143">
      <pivotArea dataOnly="0" labelOnly="1" fieldPosition="0">
        <references count="1">
          <reference field="48" count="0"/>
        </references>
      </pivotArea>
    </format>
    <format dxfId="14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B84F39C-335B-4DF9-8457-5DB53B65BA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Customer Segmentation">
  <location ref="I75:O79"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4"/>
  </rowFields>
  <rowItems count="3">
    <i>
      <x/>
    </i>
    <i>
      <x v="1"/>
    </i>
    <i t="grand">
      <x/>
    </i>
  </rowItems>
  <colFields count="1">
    <field x="57"/>
  </colFields>
  <colItems count="6">
    <i>
      <x/>
    </i>
    <i>
      <x v="1"/>
    </i>
    <i>
      <x v="2"/>
    </i>
    <i>
      <x v="3"/>
    </i>
    <i>
      <x v="5"/>
    </i>
    <i t="grand">
      <x/>
    </i>
  </colItems>
  <dataFields count="1">
    <dataField name="Average of MntTotal" fld="39" subtotal="average" baseField="44" baseItem="0" numFmtId="1"/>
  </dataFields>
  <formats count="10">
    <format dxfId="155">
      <pivotArea type="origin" dataOnly="0" labelOnly="1" outline="0" fieldPosition="0"/>
    </format>
    <format dxfId="154">
      <pivotArea field="44" type="button" dataOnly="0" labelOnly="1" outline="0" axis="axisRow" fieldPosition="0"/>
    </format>
    <format dxfId="153">
      <pivotArea dataOnly="0" labelOnly="1" fieldPosition="0">
        <references count="1">
          <reference field="44" count="0"/>
        </references>
      </pivotArea>
    </format>
    <format dxfId="152">
      <pivotArea dataOnly="0" labelOnly="1" grandRow="1" outline="0" fieldPosition="0"/>
    </format>
    <format dxfId="151">
      <pivotArea outline="0" collapsedLevelsAreSubtotals="1" fieldPosition="0"/>
    </format>
    <format dxfId="150">
      <pivotArea collapsedLevelsAreSubtotals="1" fieldPosition="0">
        <references count="2">
          <reference field="44" count="1">
            <x v="1"/>
          </reference>
          <reference field="57" count="1" selected="0">
            <x v="5"/>
          </reference>
        </references>
      </pivotArea>
    </format>
    <format dxfId="149">
      <pivotArea field="44" grandCol="1" collapsedLevelsAreSubtotals="1" axis="axisRow" fieldPosition="0">
        <references count="1">
          <reference field="44" count="1">
            <x v="1"/>
          </reference>
        </references>
      </pivotArea>
    </format>
    <format dxfId="148">
      <pivotArea collapsedLevelsAreSubtotals="1" fieldPosition="0">
        <references count="2">
          <reference field="44" count="1">
            <x v="1"/>
          </reference>
          <reference field="57" count="1" selected="0">
            <x v="2"/>
          </reference>
        </references>
      </pivotArea>
    </format>
    <format dxfId="147">
      <pivotArea collapsedLevelsAreSubtotals="1" fieldPosition="0">
        <references count="2">
          <reference field="44" count="0"/>
          <reference field="57" count="4" selected="0">
            <x v="1"/>
            <x v="2"/>
            <x v="3"/>
            <x v="5"/>
          </reference>
        </references>
      </pivotArea>
    </format>
    <format dxfId="146">
      <pivotArea field="44" grandCol="1" collapsedLevelsAreSubtotals="1" axis="axisRow" fieldPosition="0">
        <references count="1">
          <reference field="4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E8B3BF5-F5A2-453E-B14F-B5329F617CC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colHeaderCaption="Customer Segmentation">
  <location ref="Q65:W72" firstHeaderRow="1" firstDataRow="2" firstDataCol="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7">
        <item x="3"/>
        <item x="4"/>
        <item x="2"/>
        <item x="1"/>
        <item m="1" x="5"/>
        <item x="0"/>
        <item t="default"/>
      </items>
    </pivotField>
  </pivotFields>
  <rowFields count="1">
    <field x="45"/>
  </rowFields>
  <rowItems count="6">
    <i>
      <x/>
    </i>
    <i>
      <x v="1"/>
    </i>
    <i>
      <x v="2"/>
    </i>
    <i>
      <x v="3"/>
    </i>
    <i>
      <x v="4"/>
    </i>
    <i t="grand">
      <x/>
    </i>
  </rowItems>
  <colFields count="1">
    <field x="57"/>
  </colFields>
  <colItems count="6">
    <i>
      <x/>
    </i>
    <i>
      <x v="1"/>
    </i>
    <i>
      <x v="2"/>
    </i>
    <i>
      <x v="3"/>
    </i>
    <i>
      <x v="5"/>
    </i>
    <i t="grand">
      <x/>
    </i>
  </colItems>
  <dataFields count="1">
    <dataField name="Count of MntTotal" fld="39" subtotal="count" baseField="45" baseItem="0"/>
  </dataFields>
  <formats count="11">
    <format dxfId="166">
      <pivotArea type="origin" dataOnly="0" labelOnly="1" outline="0" fieldPosition="0"/>
    </format>
    <format dxfId="165">
      <pivotArea field="45" type="button" dataOnly="0" labelOnly="1" outline="0" axis="axisRow" fieldPosition="0"/>
    </format>
    <format dxfId="164">
      <pivotArea dataOnly="0" labelOnly="1" fieldPosition="0">
        <references count="1">
          <reference field="45" count="0"/>
        </references>
      </pivotArea>
    </format>
    <format dxfId="163">
      <pivotArea dataOnly="0" labelOnly="1" grandRow="1" outline="0" fieldPosition="0"/>
    </format>
    <format dxfId="162">
      <pivotArea outline="0" collapsedLevelsAreSubtotals="1" fieldPosition="0"/>
    </format>
    <format dxfId="161">
      <pivotArea collapsedLevelsAreSubtotals="1" fieldPosition="0">
        <references count="2">
          <reference field="45" count="1">
            <x v="2"/>
          </reference>
          <reference field="57" count="1" selected="0">
            <x v="5"/>
          </reference>
        </references>
      </pivotArea>
    </format>
    <format dxfId="160">
      <pivotArea field="45" grandCol="1" collapsedLevelsAreSubtotals="1" axis="axisRow" fieldPosition="0">
        <references count="1">
          <reference field="45" count="1">
            <x v="2"/>
          </reference>
        </references>
      </pivotArea>
    </format>
    <format dxfId="159">
      <pivotArea collapsedLevelsAreSubtotals="1" fieldPosition="0">
        <references count="2">
          <reference field="45" count="2">
            <x v="2"/>
            <x v="3"/>
          </reference>
          <reference field="57" count="1" selected="0">
            <x v="2"/>
          </reference>
        </references>
      </pivotArea>
    </format>
    <format dxfId="158">
      <pivotArea collapsedLevelsAreSubtotals="1" fieldPosition="0">
        <references count="2">
          <reference field="45" count="1">
            <x v="1"/>
          </reference>
          <reference field="57" count="1" selected="0">
            <x v="2"/>
          </reference>
        </references>
      </pivotArea>
    </format>
    <format dxfId="157">
      <pivotArea collapsedLevelsAreSubtotals="1" fieldPosition="0">
        <references count="1">
          <reference field="45" count="4">
            <x v="1"/>
            <x v="2"/>
            <x v="3"/>
            <x v="4"/>
          </reference>
        </references>
      </pivotArea>
    </format>
    <format dxfId="156">
      <pivotArea dataOnly="0" labelOnly="1" fieldPosition="0">
        <references count="1">
          <reference field="45"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5056B7D-8FA0-4F5A-B199-029E1FD72F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3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0" hier="-1"/>
  </pageFields>
  <dataFields count="3">
    <dataField name="Average of MntTotal" fld="39" subtotal="average" baseField="56" baseItem="1"/>
    <dataField name="Average of MntRegularProds" fld="40" subtotal="average" baseField="57" baseItem="1"/>
    <dataField name="Average of MntPremiumProds" fld="41" subtotal="average" baseField="56" baseItem="1"/>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D290FAF-B02E-4EB0-9102-2559D5B849F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D2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item="1" hier="-1"/>
  </pageFields>
  <dataFields count="3">
    <dataField name="Average of MntTotal" fld="39" subtotal="average" baseField="56" baseItem="0"/>
    <dataField name="Average of MntRegularProds" fld="40" subtotal="average" baseField="57" baseItem="3"/>
    <dataField name="Average of MntPremiumProds" fld="41" subtotal="average" baseField="57" baseItem="3"/>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A6F0C42-5610-4729-B714-66FD887C11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10" firstHeaderRow="0" firstDataRow="1" firstDataCol="1" rowPageCount="1" colPageCount="1"/>
  <pivotFields count="5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4"/>
        <item x="2"/>
        <item x="1"/>
        <item m="1" x="5"/>
        <item x="0"/>
        <item t="default"/>
      </items>
    </pivotField>
  </pivotFields>
  <rowFields count="1">
    <field x="57"/>
  </rowFields>
  <rowItems count="6">
    <i>
      <x/>
    </i>
    <i>
      <x v="1"/>
    </i>
    <i>
      <x v="2"/>
    </i>
    <i>
      <x v="3"/>
    </i>
    <i>
      <x v="5"/>
    </i>
    <i t="grand">
      <x/>
    </i>
  </rowItems>
  <colFields count="1">
    <field x="-2"/>
  </colFields>
  <colItems count="3">
    <i>
      <x/>
    </i>
    <i i="1">
      <x v="1"/>
    </i>
    <i i="2">
      <x v="2"/>
    </i>
  </colItems>
  <pageFields count="1">
    <pageField fld="21" hier="-1"/>
  </pageFields>
  <dataFields count="3">
    <dataField name="Average of MntTotal" fld="39" subtotal="average" baseField="57" baseItem="2"/>
    <dataField name="Average of MntRegularProds" fld="40" subtotal="average" baseField="57" baseItem="2" numFmtId="1"/>
    <dataField name="Average of MntPremiumProds" fld="41" subtotal="average" baseField="57" baseItem="2"/>
  </dataFields>
  <formats count="2">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AA2AE4-AD22-4F65-912B-0A1587C84602}" name="ifood_data" displayName="ifood_data" ref="A1:BF2022" totalsRowShown="0" headerRowDxfId="233">
  <autoFilter ref="A1:BF2022" xr:uid="{C4AA2AE4-AD22-4F65-912B-0A1587C84602}"/>
  <tableColumns count="58">
    <tableColumn id="1" xr3:uid="{ED70FFB1-BFA5-472A-BA84-ECF1DE665AB6}" name="Customer ID"/>
    <tableColumn id="2" xr3:uid="{FE6CE0D7-26E9-4C7B-B97E-86A61798E689}" name="Income"/>
    <tableColumn id="3" xr3:uid="{8E634CD0-FDC5-4610-AE1D-A9AB18DE8DF6}" name="Kidhome"/>
    <tableColumn id="4" xr3:uid="{1716F84B-824F-427E-AA0A-0D9EE84CF7B4}" name="Teenhome"/>
    <tableColumn id="5" xr3:uid="{487C91D1-D1E9-43B2-96C3-99ABBF5D731B}" name="Recency"/>
    <tableColumn id="6" xr3:uid="{CE473CF0-2B64-4C16-BC7B-83168347450A}" name="MntWines"/>
    <tableColumn id="7" xr3:uid="{9CF944D1-03EA-4E95-A67D-C261F09585C5}" name="MntFruits"/>
    <tableColumn id="8" xr3:uid="{95F521CB-C658-4D0D-BB8F-2626686391AA}" name="MntMeatProducts"/>
    <tableColumn id="9" xr3:uid="{5FF01669-5A37-4108-95F6-018B25026E33}" name="MntFishProducts"/>
    <tableColumn id="10" xr3:uid="{2B2C8D1F-8B5F-4E67-9175-A49BC9523C1F}" name="MntSweetProducts"/>
    <tableColumn id="11" xr3:uid="{BE2F3BD6-7AB3-48E2-BCD2-1C5A3FBBD9EC}" name="MntGoldProds"/>
    <tableColumn id="12" xr3:uid="{0C5A83DA-16BF-4636-A114-EB355C32C227}" name="NumDealsPurchases"/>
    <tableColumn id="13" xr3:uid="{C1C1BED5-0E9B-493D-93EE-44B6D230F655}" name="NumWebPurchases"/>
    <tableColumn id="14" xr3:uid="{89A2FD42-6AB2-4948-83CD-E1161A97EC6C}" name="NumCatalogPurchases"/>
    <tableColumn id="15" xr3:uid="{B34B32E3-8A35-44FF-92A7-04F9261135FD}" name="NumStorePurchases"/>
    <tableColumn id="16" xr3:uid="{F9A56104-D874-46A1-AA90-3BB41922E9C2}" name="NumWebVisitsMonth"/>
    <tableColumn id="20" xr3:uid="{1F72EDF7-206E-447D-B932-A71743B91505}" name="AcceptedCmp1"/>
    <tableColumn id="21" xr3:uid="{D7B32DD4-91B1-40E1-9DCA-3D67FAC9EF7A}" name="AcceptedCmp2"/>
    <tableColumn id="17" xr3:uid="{39E2BD6B-F963-4304-9D01-62EA717D0F3C}" name="AcceptedCmp3"/>
    <tableColumn id="18" xr3:uid="{DEE7D34C-8FF2-4E41-A0EA-0ECBC2FAA4CD}" name="AcceptedCmp4"/>
    <tableColumn id="19" xr3:uid="{A744060A-B3F5-42D6-ABED-CB9CBF85F1FE}" name="AcceptedCmp5"/>
    <tableColumn id="53" xr3:uid="{B335284C-0207-4912-9EC7-023D02E65557}" name="AcceptedCmpOverall" dataDxfId="232">
      <calculatedColumnFormula>IF(SUM(ifood_data[[#This Row],[AcceptedCmp1]:[AcceptedCmp5]])&gt;0,1,0)</calculatedColumnFormula>
    </tableColumn>
    <tableColumn id="22" xr3:uid="{920613DD-1E4F-45B1-9092-7045B718137E}" name="Complain"/>
    <tableColumn id="23" xr3:uid="{B40EDAA9-E9EB-43B5-A499-12BC499AA40F}" name="Z_CostContact"/>
    <tableColumn id="24" xr3:uid="{5E81F010-825C-4BB5-86AD-CAC6A4E96C36}" name="Z_Revenue"/>
    <tableColumn id="25" xr3:uid="{1060D962-D45B-4FAF-A57B-436D059A9DC4}" name="Response"/>
    <tableColumn id="26" xr3:uid="{2A0255C5-7E0A-498B-8ECC-8AE1DEB52FAC}" name="Age"/>
    <tableColumn id="27" xr3:uid="{38803881-66F8-435C-BB95-86CB8742CF4E}" name="Customer_Days"/>
    <tableColumn id="58" xr3:uid="{A6BEA34D-C64E-4422-82EF-0FA002EBA5D2}" name="Customer_Years" dataDxfId="231">
      <calculatedColumnFormula>ifood_data[[#This Row],[Customer_Days]]/365</calculatedColumnFormula>
    </tableColumn>
    <tableColumn id="28" xr3:uid="{089FB9C4-893C-4CC7-B4A3-B8C5B12D38F4}" name="marital_Divorced"/>
    <tableColumn id="29" xr3:uid="{364DAD20-2D1F-4665-AD09-D8B2C0E27405}" name="marital_Married"/>
    <tableColumn id="30" xr3:uid="{982844AD-92A8-4E84-BCF6-4966F57000EC}" name="marital_Single"/>
    <tableColumn id="31" xr3:uid="{AB06DAF9-FE8F-423B-88BC-001707923835}" name="marital_Together"/>
    <tableColumn id="32" xr3:uid="{BB3BBB88-72D8-4830-96F4-719D547CAC91}" name="marital_Widow"/>
    <tableColumn id="33" xr3:uid="{2CDDF78C-BE79-4556-95C8-BD495F1B4C12}" name="education_2n Cycle"/>
    <tableColumn id="34" xr3:uid="{E375E17F-946F-44CE-8E39-44E2EBFC138A}" name="education_Basic"/>
    <tableColumn id="35" xr3:uid="{1715EA46-3D73-486D-887C-479A3CC795A5}" name="education_Graduation"/>
    <tableColumn id="36" xr3:uid="{0CF07BDD-42D9-48EB-8BC2-DB6A727E85D9}" name="education_Master"/>
    <tableColumn id="37" xr3:uid="{0B551F7E-4CEE-4DE1-9B8D-1F85CBC0D025}" name="education_PhD"/>
    <tableColumn id="38" xr3:uid="{7ABC537C-7459-4CB7-8757-91067CDF68DA}" name="MntTotal"/>
    <tableColumn id="39" xr3:uid="{7E998499-F158-4294-8285-83AAB81427AA}" name="MntRegularProds"/>
    <tableColumn id="54" xr3:uid="{E31906EC-8B19-41FF-BADF-5434E85D6E05}" name="MntPremiumProds" dataDxfId="230">
      <calculatedColumnFormula>ifood_data[[#This Row],[MntTotal]]-ifood_data[[#This Row],[MntRegularProds]]</calculatedColumnFormula>
    </tableColumn>
    <tableColumn id="40" xr3:uid="{5331C5A1-9466-472F-ACA5-E44460AEB5EE}" name="AcceptedCmpOverallSum"/>
    <tableColumn id="52" xr3:uid="{DF3392A7-17F0-40A3-BF01-2D752FCE7682}" name="Family" dataDxfId="229">
      <calculatedColumnFormula>IF(SUM(ifood_data[[#This Row],[Kidhome]:[Teenhome]])&gt;0,1,0)</calculatedColumnFormula>
    </tableColumn>
    <tableColumn id="47" xr3:uid="{0DA03613-304E-4E57-9DB0-AA4BA3CEC98D}" name="Family Status" dataDxfId="228">
      <calculatedColumnFormula>IF(SUM(ifood_data[[#This Row],[Kidhome]:[Teenhome]])&gt;0,"Has Family","No Family")</calculatedColumnFormula>
    </tableColumn>
    <tableColumn id="48" xr3:uid="{105CD40D-2665-4B1A-A13C-BD384B095B3D}" name="Martial Status" dataDxfId="227">
      <calculatedColumnFormula>IF(ifood_data[[#This Row],[marital_Married]]=1,"Married", (IF(ifood_data[[#This Row],[marital_Single]]=1,"Single",(IF(ifood_data[[#This Row],[marital_Divorced]]=1,"Divorced",(IF(ifood_data[[#This Row],[marital_Together]]=1,"Living Together",(IF(ifood_data[[#This Row],[marital_Widow]]=1,"Widow","Other")))))))))</calculatedColumnFormula>
    </tableColumn>
    <tableColumn id="49" xr3:uid="{B6DAFBCF-248C-4A87-91E7-8E9B9875F574}" name="Education" dataDxfId="226">
      <calculatedColumnFormula>IF(ifood_data[[#This Row],[education_Basic]]=1,"High School",(IF(ifood_data[[#This Row],[education_Graduation]]=1,"Undergraduate Degree",(IF(SUM(AM2,AL2,AI2)&gt;0,"Master's Degree or Higher","Other")))))</calculatedColumnFormula>
    </tableColumn>
    <tableColumn id="50" xr3:uid="{6E8FC1D2-DB71-44E0-9185-931FECE01A05}" name="Income Level" dataDxfId="225">
      <calculatedColumnFormula>IF(ifood_data[[#All],[Income]]&gt;75000,"75K+",(IF(ifood_data[[#All],[Income]]&gt;50000,"50K-75K",(IF(ifood_data[[#All],[Income]]&gt;35000,"35K-50K","&lt;35K")))))</calculatedColumnFormula>
    </tableColumn>
    <tableColumn id="51" xr3:uid="{E911CFE8-788B-4437-8D2C-8C6C28496399}" name="Age Group" dataDxfId="224">
      <calculatedColumnFormula>IF(ifood_data[[#All],[Age]]&gt;60,"60+",(IF(ifood_data[[#All],[Age]]&gt;50,"50-60",(IF(ifood_data[[#All],[Age]]&gt;40,"40-50",(IF(ifood_data[[#All],[Age]]&gt;30,"30-40","&lt;30")))))))</calculatedColumnFormula>
    </tableColumn>
    <tableColumn id="43" xr3:uid="{439D740B-4531-4E49-BED4-E5268A74C994}" name="Frequency">
      <calculatedColumnFormula>SUM(L2:P2)</calculatedColumnFormula>
    </tableColumn>
    <tableColumn id="44" xr3:uid="{9A10E992-D472-4B6E-879E-77A72DC12B78}" name="Recency Score">
      <calculatedColumnFormula>(1-_xlfn.PERCENTRANK.INC($E$2:$E$2022,E2,1))*10</calculatedColumnFormula>
    </tableColumn>
    <tableColumn id="45" xr3:uid="{3E47E81F-2DC3-44BE-9477-CC10ED80A605}" name="Frequency Score">
      <calculatedColumnFormula>_xlfn.PERCENTRANK.INC($AX$2:$AX$2022,AX2,1)*10</calculatedColumnFormula>
    </tableColumn>
    <tableColumn id="46" xr3:uid="{76EF651E-CFD9-44F9-9DEC-0E9F7F8CB3EF}" name="Monetary Score">
      <calculatedColumnFormula>_xlfn.PERCENTRANK.INC($AN$2:$AN$2022,AN2,1)*10</calculatedColumnFormula>
    </tableColumn>
    <tableColumn id="55" xr3:uid="{CF642D79-5505-4E5F-9465-E49207BD0DAF}" name="RFM" dataDxfId="223">
      <calculatedColumnFormula>SUM(ifood_data[[#This Row],[Recency Score]:[Monetary Score]])</calculatedColumnFormula>
    </tableColumn>
    <tableColumn id="56" xr3:uid="{8C5A2A3C-B7F5-4A86-ABCC-A60AE672730F}" name="RFM Score" dataDxfId="222">
      <calculatedColumnFormula>(_xlfn.PERCENTRANK.INC(ifood_data[[#All],[RFM]],ifood_data[[#This Row],[RFM]],1))*10</calculatedColumnFormula>
    </tableColumn>
    <tableColumn id="57" xr3:uid="{4C5675D7-BE1A-48CC-B487-310F65F2C152}" name="Customer Segment" dataDxfId="221">
      <calculatedColumnFormula>VLOOKUP(ifood_data[[#This Row],[RFM Score]],'RFM Analysis'!$A$3:$B$14,2,FALSE)</calculatedColumnFormula>
    </tableColumn>
    <tableColumn id="41" xr3:uid="{9BE65EC6-D558-4D58-8CFD-38D1FB2D3812}" name="Predicted Total Spend" dataDxfId="220">
      <calculatedColumnFormula>'Regression Models'!$B$101+'Regression Models'!$B$102*ifood_data[[#This Row],[Income]]+'Regression Models'!$B$103*ifood_data[[#This Row],[Age]]+'Regression Models'!$B$104*ifood_data[[#This Row],[Family]]</calculatedColumnFormula>
    </tableColumn>
    <tableColumn id="42" xr3:uid="{05117A39-E0AF-4807-BC29-1C2BED7C5BFE}" name="Campaign Respondent" dataDxfId="219">
      <calculatedColumnFormula>IF(ifood_data[[#This Row],[AcceptedCmpOverall]]=1,"Campaign Respondent","Non-respondent")</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96896A-C812-4BB3-BB03-1B74E61BB333}" name="Table3" displayName="Table3" ref="A3:E2024" totalsRowShown="0">
  <autoFilter ref="A3:E2024" xr:uid="{6B96896A-C812-4BB3-BB03-1B74E61BB333}"/>
  <tableColumns count="5">
    <tableColumn id="40" xr3:uid="{045EDF1B-80A4-4264-B950-8D86DF932BB8}" name="MntTotal"/>
    <tableColumn id="2" xr3:uid="{178D089A-CC41-489C-9066-DE89C03E0E1A}" name="Income"/>
    <tableColumn id="27" xr3:uid="{6C7ED7F4-8ACB-4F2A-811F-5038400F7645}" name="Age"/>
    <tableColumn id="29" xr3:uid="{E08BA8C3-358F-41DE-9E65-8C7E822F9F93}" name="Family" dataDxfId="218"/>
    <tableColumn id="30" xr3:uid="{FD827F01-2639-437D-A403-F8CC4CD713B9}" name="Customer_Years" dataDxfId="217"/>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3E6FBB5-11A9-4F94-91CA-A821BE9C0757}" name="Table6" displayName="Table6" ref="G3:J462" totalsRowShown="0">
  <autoFilter ref="G3:J462" xr:uid="{43E6FBB5-11A9-4F94-91CA-A821BE9C0757}"/>
  <tableColumns count="4">
    <tableColumn id="1" xr3:uid="{2970A5DA-7454-4374-A69F-533052069AE1}" name="MntTotal" dataDxfId="216"/>
    <tableColumn id="2" xr3:uid="{6E722ECF-BA69-4986-B9FE-DD58BA45DA8F}" name="Income" dataDxfId="215"/>
    <tableColumn id="3" xr3:uid="{135EF759-BEDC-4D46-9D2C-EDA1409C9FA6}" name="Family" dataDxfId="214"/>
    <tableColumn id="4" xr3:uid="{AD931EFE-1995-4516-B79F-52BF0CA41A0C}" name="Age" dataDxfId="213"/>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BAD92F-F56E-41D4-8971-69E39AE9412D}" name="Data_Check_Summary_Table" displayName="Data_Check_Summary_Table" ref="A7:AN20" totalsRowShown="0" headerRowDxfId="212" dataDxfId="211">
  <autoFilter ref="A7:AN20" xr:uid="{7ABAD92F-F56E-41D4-8971-69E39AE9412D}"/>
  <tableColumns count="40">
    <tableColumn id="1" xr3:uid="{FA9D999C-E2DE-4A9E-8F7F-AD6213F829D7}" name="Variables" dataDxfId="210"/>
    <tableColumn id="2" xr3:uid="{1F0C7628-B6A7-432D-9A78-0D1BC1594C61}" name="Income" dataDxfId="209"/>
    <tableColumn id="3" xr3:uid="{525FEB62-DF39-4082-8223-8AFEA522D9C8}" name="Kidhome" dataDxfId="208"/>
    <tableColumn id="4" xr3:uid="{6906F169-15FC-4866-BA36-B218149CF06C}" name="Teenhome" dataDxfId="207"/>
    <tableColumn id="5" xr3:uid="{27FE1FDA-9264-428F-A3EB-3CEC18BE1F97}" name="Recency" dataDxfId="206"/>
    <tableColumn id="6" xr3:uid="{6190E661-BED1-4A97-B42D-D1FBB2038E80}" name="MntWines" dataDxfId="205"/>
    <tableColumn id="7" xr3:uid="{6BD23DC0-A931-4FDC-99F7-23E1A57F50FD}" name="MntFruits" dataDxfId="204"/>
    <tableColumn id="8" xr3:uid="{5A5899A0-D43F-4CFA-B2E2-6CDE259E9DCF}" name="MntMeatProducts" dataDxfId="203"/>
    <tableColumn id="9" xr3:uid="{96919DA3-4C9C-4C34-AA44-9378F80418EC}" name="MntFishProducts" dataDxfId="202"/>
    <tableColumn id="10" xr3:uid="{E67AA22B-6E7B-41A8-8CCD-D80C13F89D66}" name="MntSweetProducts" dataDxfId="201"/>
    <tableColumn id="11" xr3:uid="{FE47A68A-5F78-4BB6-AFDB-5D62488C87C5}" name="MntGoldProds" dataDxfId="200"/>
    <tableColumn id="12" xr3:uid="{B6D2F1DC-1919-4609-9A85-8DE116276C19}" name="NumDealsPurchases" dataDxfId="199"/>
    <tableColumn id="13" xr3:uid="{F061C88B-DB5F-4D29-9CB8-37FC48F588E0}" name="NumWebPurchases" dataDxfId="198"/>
    <tableColumn id="14" xr3:uid="{DE205E00-4C3E-4FDC-B162-9C45B68C3677}" name="NumCatalogPurchases" dataDxfId="197"/>
    <tableColumn id="15" xr3:uid="{66657C8C-6049-4BC0-9A07-1B5A179F4A35}" name="NumStorePurchases" dataDxfId="196"/>
    <tableColumn id="16" xr3:uid="{1B741C0D-517B-447C-8503-86AAC586098F}" name="NumWebVisitsMonth" dataDxfId="195"/>
    <tableColumn id="17" xr3:uid="{7D03B10C-5930-48D3-B530-57F4F3516CA6}" name="AcceptedCmp3" dataDxfId="194"/>
    <tableColumn id="18" xr3:uid="{7B932CF7-5AE2-4AF6-A800-4B5EB6F0F12F}" name="AcceptedCmp4" dataDxfId="193"/>
    <tableColumn id="19" xr3:uid="{0A1D5CEE-A700-4CFD-B44F-81D4F06D42C9}" name="AcceptedCmp5" dataDxfId="192"/>
    <tableColumn id="20" xr3:uid="{51F15F45-FC9A-46C9-8426-2BAA5C7CC583}" name="AcceptedCmp1" dataDxfId="191"/>
    <tableColumn id="21" xr3:uid="{8212789E-F85E-4DF5-BA63-FFC1327F24DA}" name="AcceptedCmp2" dataDxfId="190"/>
    <tableColumn id="22" xr3:uid="{5941CD31-31BB-4A82-A8D8-4DF439A2CFD0}" name="Complain" dataDxfId="189"/>
    <tableColumn id="23" xr3:uid="{CB45F1F0-82C8-46FB-B02B-6736EBE4D919}" name="Z_CostContact" dataDxfId="188"/>
    <tableColumn id="24" xr3:uid="{4872974B-CB79-4F7A-9204-B500C427CD24}" name="Z_Revenue" dataDxfId="187"/>
    <tableColumn id="25" xr3:uid="{E8DE30E5-591A-42D3-96C6-4001BDE24DC0}" name="Response" dataDxfId="186"/>
    <tableColumn id="26" xr3:uid="{106E72CF-C4B1-4FC5-8AA8-F9A2769291ED}" name="Age" dataDxfId="185"/>
    <tableColumn id="27" xr3:uid="{0AC8F33F-CC1F-44AF-9BE2-A4CFDF93F792}" name="Customer_Days" dataDxfId="184"/>
    <tableColumn id="28" xr3:uid="{E5E03F47-E409-42BD-A860-C308AAAEE8D0}" name="marital_Divorced" dataDxfId="183"/>
    <tableColumn id="29" xr3:uid="{11DBC65A-5A86-4B35-BFA3-5B17BA3CCE2A}" name="marital_Married" dataDxfId="182"/>
    <tableColumn id="30" xr3:uid="{A5F4E297-52E6-4CFB-82FD-0601BA9BE317}" name="marital_Single" dataDxfId="181"/>
    <tableColumn id="31" xr3:uid="{042AFB85-EF7F-40D8-BA2E-D839D1CACBDE}" name="marital_Together" dataDxfId="180"/>
    <tableColumn id="32" xr3:uid="{34C83809-BB75-4725-88CC-BD73AA2CEFAB}" name="marital_Widow" dataDxfId="179"/>
    <tableColumn id="33" xr3:uid="{F7978F9E-520C-42BA-A5E9-8CECFF86A4CE}" name="education_2n Cycle" dataDxfId="178"/>
    <tableColumn id="34" xr3:uid="{1E00CAA6-280A-4359-977E-CD163A7E5A63}" name="education_Basic" dataDxfId="177"/>
    <tableColumn id="35" xr3:uid="{81480106-093E-4CD9-9C6D-AEF4030F9A33}" name="education_Graduation" dataDxfId="176"/>
    <tableColumn id="36" xr3:uid="{0E28E950-9FEC-4853-8CE1-4014EC2801FD}" name="education_Master" dataDxfId="175"/>
    <tableColumn id="37" xr3:uid="{4A71F37A-9ACB-4B0F-AB76-73E01196A24D}" name="education_PhD" dataDxfId="174"/>
    <tableColumn id="38" xr3:uid="{45716A72-2648-44C4-8C71-3224E9A48551}" name="MntTotal" dataDxfId="173"/>
    <tableColumn id="39" xr3:uid="{06F982AB-67DA-421B-AAA5-D5DB86535AEF}" name="MntRegularProds" dataDxfId="172"/>
    <tableColumn id="40" xr3:uid="{60C8E260-5863-484A-B9A0-C0A2A206F2AF}" name="AcceptedCmpOverall" dataDxfId="171"/>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971FE9-03A9-451D-8641-12C73816C6CF}" name="Table4" displayName="Table4" ref="A109:E2130" totalsRowShown="0" headerRowDxfId="30" dataDxfId="29" tableBorderDxfId="28">
  <autoFilter ref="A109:E2130" xr:uid="{25971FE9-03A9-451D-8641-12C73816C6CF}"/>
  <sortState xmlns:xlrd2="http://schemas.microsoft.com/office/spreadsheetml/2017/richdata2" ref="A110:E2130">
    <sortCondition descending="1" ref="E109:E2130"/>
  </sortState>
  <tableColumns count="5">
    <tableColumn id="1" xr3:uid="{2E25520E-0092-492C-A4C0-85A62521A93F}" name="MntTotal" dataDxfId="27"/>
    <tableColumn id="2" xr3:uid="{E25243A9-E000-4BF9-9AA3-4B4C607D38CF}" name="Income" dataDxfId="26"/>
    <tableColumn id="3" xr3:uid="{D1254F33-E1F0-4ADC-87AF-D3F604D1F9CB}" name="Age" dataDxfId="25"/>
    <tableColumn id="4" xr3:uid="{C8B258E1-5AA8-47B2-9BED-9020505142AD}" name="Family" dataDxfId="24"/>
    <tableColumn id="5" xr3:uid="{E9725A90-6A2B-4366-B114-1B33BDCCBE2D}" name="Predicted Total Spend" dataDxfId="23">
      <calculatedColumnFormula>$B$101+$B110*$B$102+$C110*$B$103+$D110*$B$104</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openxmlformats.org/officeDocument/2006/relationships/pivotTable" Target="../pivotTables/pivotTable2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8795D-2F20-4ECF-84BB-71A21BD7FF74}">
  <dimension ref="A1:BF2022"/>
  <sheetViews>
    <sheetView topLeftCell="AS1" zoomScale="130" zoomScaleNormal="130" workbookViewId="0">
      <selection activeCell="AY4" sqref="AY4"/>
    </sheetView>
  </sheetViews>
  <sheetFormatPr defaultRowHeight="14.5" x14ac:dyDescent="0.35"/>
  <cols>
    <col min="1" max="1" width="13.26953125" customWidth="1"/>
    <col min="2" max="2" width="9" customWidth="1"/>
    <col min="3" max="3" width="10.26953125" customWidth="1"/>
    <col min="4" max="4" width="11.7265625" customWidth="1"/>
    <col min="5" max="5" width="9.54296875" customWidth="1"/>
    <col min="6" max="6" width="11.54296875" customWidth="1"/>
    <col min="7" max="7" width="11.08984375" customWidth="1"/>
    <col min="8" max="8" width="18.26953125" customWidth="1"/>
    <col min="9" max="9" width="17.08984375" customWidth="1"/>
    <col min="10" max="10" width="18.90625" customWidth="1"/>
    <col min="11" max="11" width="15.08984375" customWidth="1"/>
    <col min="12" max="12" width="19.81640625" customWidth="1"/>
    <col min="13" max="13" width="19.1796875" customWidth="1"/>
    <col min="14" max="14" width="21.54296875" customWidth="1"/>
    <col min="15" max="15" width="19.7265625" customWidth="1"/>
    <col min="16" max="16" width="20.90625" customWidth="1"/>
    <col min="17" max="17" width="9.453125" customWidth="1"/>
    <col min="19" max="19" width="9.54296875" customWidth="1"/>
    <col min="20" max="22" width="9" customWidth="1"/>
    <col min="24" max="24" width="15.36328125" customWidth="1"/>
    <col min="25" max="25" width="10.7265625" customWidth="1"/>
    <col min="26" max="26" width="15.08984375" customWidth="1"/>
    <col min="27" max="27" width="12" customWidth="1"/>
    <col min="28" max="29" width="10.81640625" customWidth="1"/>
    <col min="31" max="31" width="16" customWidth="1"/>
    <col min="32" max="32" width="17.1796875" customWidth="1"/>
    <col min="33" max="33" width="16.54296875" customWidth="1"/>
    <col min="34" max="34" width="14.6328125" customWidth="1"/>
    <col min="35" max="35" width="17.36328125" customWidth="1"/>
    <col min="36" max="36" width="15.7265625" customWidth="1"/>
    <col min="37" max="37" width="19" customWidth="1"/>
    <col min="38" max="38" width="16.36328125" customWidth="1"/>
    <col min="39" max="39" width="21.7265625" customWidth="1"/>
    <col min="40" max="40" width="18.1796875" customWidth="1"/>
    <col min="41" max="42" width="15.6328125" customWidth="1"/>
    <col min="43" max="43" width="10.6328125" customWidth="1"/>
    <col min="44" max="44" width="17.453125" customWidth="1"/>
    <col min="45" max="46" width="20.26953125" customWidth="1"/>
    <col min="47" max="47" width="8.453125" bestFit="1" customWidth="1"/>
    <col min="48" max="48" width="8.453125" customWidth="1"/>
    <col min="49" max="49" width="9.26953125" customWidth="1"/>
    <col min="50" max="50" width="11.7265625" bestFit="1" customWidth="1"/>
    <col min="51" max="51" width="14.81640625" bestFit="1" customWidth="1"/>
    <col min="52" max="52" width="11.7265625" bestFit="1" customWidth="1"/>
    <col min="53" max="53" width="16.453125" bestFit="1" customWidth="1"/>
    <col min="54" max="54" width="6.81640625" bestFit="1" customWidth="1"/>
    <col min="55" max="55" width="11.81640625" bestFit="1" customWidth="1"/>
    <col min="56" max="56" width="13.7265625" bestFit="1" customWidth="1"/>
  </cols>
  <sheetData>
    <row r="1" spans="1:58" s="1" customFormat="1" ht="58" x14ac:dyDescent="0.35">
      <c r="A1" s="1" t="s">
        <v>45</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18</v>
      </c>
      <c r="R1" s="1" t="s">
        <v>19</v>
      </c>
      <c r="S1" s="1" t="s">
        <v>15</v>
      </c>
      <c r="T1" s="1" t="s">
        <v>16</v>
      </c>
      <c r="U1" s="1" t="s">
        <v>17</v>
      </c>
      <c r="V1" s="1" t="s">
        <v>38</v>
      </c>
      <c r="W1" s="1" t="s">
        <v>20</v>
      </c>
      <c r="X1" s="1" t="s">
        <v>21</v>
      </c>
      <c r="Y1" s="1" t="s">
        <v>22</v>
      </c>
      <c r="Z1" s="1" t="s">
        <v>23</v>
      </c>
      <c r="AA1" s="1" t="s">
        <v>24</v>
      </c>
      <c r="AB1" s="1" t="s">
        <v>25</v>
      </c>
      <c r="AC1" s="1" t="s">
        <v>178</v>
      </c>
      <c r="AD1" s="1" t="s">
        <v>26</v>
      </c>
      <c r="AE1" s="1" t="s">
        <v>27</v>
      </c>
      <c r="AF1" s="1" t="s">
        <v>28</v>
      </c>
      <c r="AG1" s="1" t="s">
        <v>29</v>
      </c>
      <c r="AH1" s="1" t="s">
        <v>30</v>
      </c>
      <c r="AI1" s="1" t="s">
        <v>31</v>
      </c>
      <c r="AJ1" s="1" t="s">
        <v>32</v>
      </c>
      <c r="AK1" s="1" t="s">
        <v>33</v>
      </c>
      <c r="AL1" s="1" t="s">
        <v>34</v>
      </c>
      <c r="AM1" s="1" t="s">
        <v>35</v>
      </c>
      <c r="AN1" s="1" t="s">
        <v>36</v>
      </c>
      <c r="AO1" s="1" t="s">
        <v>37</v>
      </c>
      <c r="AP1" s="1" t="s">
        <v>129</v>
      </c>
      <c r="AQ1" s="1" t="s">
        <v>117</v>
      </c>
      <c r="AR1" s="1" t="s">
        <v>65</v>
      </c>
      <c r="AS1" s="1" t="s">
        <v>73</v>
      </c>
      <c r="AT1" s="1" t="s">
        <v>67</v>
      </c>
      <c r="AU1" s="1" t="s">
        <v>72</v>
      </c>
      <c r="AV1" s="1" t="s">
        <v>83</v>
      </c>
      <c r="AW1" s="1" t="s">
        <v>84</v>
      </c>
      <c r="AX1" s="1" t="s">
        <v>44</v>
      </c>
      <c r="AY1" s="1" t="s">
        <v>41</v>
      </c>
      <c r="AZ1" s="1" t="s">
        <v>42</v>
      </c>
      <c r="BA1" s="1" t="s">
        <v>43</v>
      </c>
      <c r="BB1" s="1" t="s">
        <v>115</v>
      </c>
      <c r="BC1" s="1" t="s">
        <v>116</v>
      </c>
      <c r="BD1" s="1" t="s">
        <v>124</v>
      </c>
      <c r="BE1" s="1" t="s">
        <v>224</v>
      </c>
      <c r="BF1" s="1" t="s">
        <v>243</v>
      </c>
    </row>
    <row r="2" spans="1:58" x14ac:dyDescent="0.35">
      <c r="A2">
        <v>1735</v>
      </c>
      <c r="B2">
        <v>113734</v>
      </c>
      <c r="C2">
        <v>0</v>
      </c>
      <c r="D2">
        <v>0</v>
      </c>
      <c r="E2">
        <v>9</v>
      </c>
      <c r="F2">
        <v>6</v>
      </c>
      <c r="G2">
        <v>2</v>
      </c>
      <c r="H2">
        <v>3</v>
      </c>
      <c r="I2">
        <v>1</v>
      </c>
      <c r="J2">
        <v>262</v>
      </c>
      <c r="K2">
        <v>3</v>
      </c>
      <c r="L2">
        <v>0</v>
      </c>
      <c r="M2">
        <v>27</v>
      </c>
      <c r="N2">
        <v>0</v>
      </c>
      <c r="O2">
        <v>0</v>
      </c>
      <c r="P2">
        <v>1</v>
      </c>
      <c r="Q2">
        <v>0</v>
      </c>
      <c r="R2">
        <v>0</v>
      </c>
      <c r="S2">
        <v>0</v>
      </c>
      <c r="T2">
        <v>0</v>
      </c>
      <c r="U2">
        <v>0</v>
      </c>
      <c r="V2">
        <f>IF(SUM(ifood_data[[#This Row],[AcceptedCmp1]:[AcceptedCmp5]])&gt;0,1,0)</f>
        <v>0</v>
      </c>
      <c r="W2">
        <v>0</v>
      </c>
      <c r="X2">
        <v>3</v>
      </c>
      <c r="Y2">
        <v>11</v>
      </c>
      <c r="Z2">
        <v>0</v>
      </c>
      <c r="AA2">
        <v>75</v>
      </c>
      <c r="AB2">
        <v>2191</v>
      </c>
      <c r="AC2" s="28">
        <f>ifood_data[[#This Row],[Customer_Days]]/365</f>
        <v>6.0027397260273974</v>
      </c>
      <c r="AD2">
        <v>0</v>
      </c>
      <c r="AE2">
        <v>0</v>
      </c>
      <c r="AF2">
        <v>1</v>
      </c>
      <c r="AG2">
        <v>0</v>
      </c>
      <c r="AH2">
        <v>0</v>
      </c>
      <c r="AI2">
        <v>0</v>
      </c>
      <c r="AJ2">
        <v>0</v>
      </c>
      <c r="AK2">
        <v>0</v>
      </c>
      <c r="AL2">
        <v>0</v>
      </c>
      <c r="AM2">
        <v>1</v>
      </c>
      <c r="AN2">
        <v>274</v>
      </c>
      <c r="AO2">
        <v>271</v>
      </c>
      <c r="AP2">
        <f>ifood_data[[#This Row],[MntTotal]]-ifood_data[[#This Row],[MntRegularProds]]</f>
        <v>3</v>
      </c>
      <c r="AQ2">
        <v>0</v>
      </c>
      <c r="AR2">
        <f>IF(SUM(ifood_data[[#This Row],[Kidhome]:[Teenhome]])&gt;0,1,0)</f>
        <v>0</v>
      </c>
      <c r="AS2" t="str">
        <f>IF(SUM(ifood_data[[#This Row],[Kidhome]:[Teenhome]])&gt;0,"Has Family","No Family")</f>
        <v>No Family</v>
      </c>
      <c r="AT2" t="str">
        <f>IF(ifood_data[[#This Row],[marital_Married]]=1,"Married", (IF(ifood_data[[#This Row],[marital_Single]]=1,"Single",(IF(ifood_data[[#This Row],[marital_Divorced]]=1,"Divorced",(IF(ifood_data[[#This Row],[marital_Together]]=1,"Living Together",(IF(ifood_data[[#This Row],[marital_Widow]]=1,"Widow","Other")))))))))</f>
        <v>Single</v>
      </c>
      <c r="AU2" t="str">
        <f>IF(ifood_data[[#This Row],[education_Basic]]=1,"High School",(IF(ifood_data[[#This Row],[education_Graduation]]=1,"Undergraduate Degree",(IF(SUM(AM2,AL2,AI2)&gt;0,"Master's Degree or Higher","Other")))))</f>
        <v>Master's Degree or Higher</v>
      </c>
      <c r="AV2" t="str">
        <f>IF(ifood_data[[#All],[Income]]&gt;75000,"75K+",(IF(ifood_data[[#All],[Income]]&gt;50000,"50K-75K",(IF(ifood_data[[#All],[Income]]&gt;35000,"35K-50K","&lt;35K")))))</f>
        <v>75K+</v>
      </c>
      <c r="AW2" t="str">
        <f>IF(ifood_data[[#All],[Age]]&gt;60,"60+",(IF(ifood_data[[#All],[Age]]&gt;50,"50-60",(IF(ifood_data[[#All],[Age]]&gt;40,"40-50",(IF(ifood_data[[#All],[Age]]&gt;30,"30-40","&lt;30")))))))</f>
        <v>60+</v>
      </c>
      <c r="AX2">
        <f t="shared" ref="AX2:AX65" si="0">SUM(L2:P2)</f>
        <v>28</v>
      </c>
      <c r="AY2">
        <f t="shared" ref="AY2:AY65" si="1">(1-_xlfn.PERCENTRANK.INC($E$2:$E$2022,E2,1))*10</f>
        <v>10</v>
      </c>
      <c r="AZ2">
        <f t="shared" ref="AZ2:AZ65" si="2">_xlfn.PERCENTRANK.INC($AX$2:$AX$2022,AX2,1)*10</f>
        <v>8</v>
      </c>
      <c r="BA2">
        <f t="shared" ref="BA2:BA65" si="3">_xlfn.PERCENTRANK.INC($AN$2:$AN$2022,AN2,1)*10</f>
        <v>4</v>
      </c>
      <c r="BB2">
        <f>SUM(ifood_data[[#This Row],[Recency Score]:[Monetary Score]])</f>
        <v>22</v>
      </c>
      <c r="BC2">
        <f>(_xlfn.PERCENTRANK.INC(ifood_data[[#All],[RFM]],ifood_data[[#This Row],[RFM]],1))*10</f>
        <v>8</v>
      </c>
      <c r="BD2" t="str">
        <f>VLOOKUP(ifood_data[[#This Row],[RFM Score]],'RFM Analysis'!$A$3:$B$14,2,FALSE)</f>
        <v>Loyal Customer</v>
      </c>
      <c r="BE2">
        <f>'Regression Models'!$B$101+'Regression Models'!$B$102*ifood_data[[#This Row],[Income]]+'Regression Models'!$B$103*ifood_data[[#This Row],[Age]]+'Regression Models'!$B$104*ifood_data[[#This Row],[Family]]</f>
        <v>1993.3479688866585</v>
      </c>
      <c r="BF2" t="str">
        <f>IF(ifood_data[[#This Row],[AcceptedCmpOverall]]=1,"Campaign Respondent","Non-respondent")</f>
        <v>Non-respondent</v>
      </c>
    </row>
    <row r="3" spans="1:58" x14ac:dyDescent="0.35">
      <c r="A3">
        <v>614</v>
      </c>
      <c r="B3">
        <v>105471</v>
      </c>
      <c r="C3">
        <v>0</v>
      </c>
      <c r="D3">
        <v>0</v>
      </c>
      <c r="E3">
        <v>36</v>
      </c>
      <c r="F3">
        <v>1009</v>
      </c>
      <c r="G3">
        <v>181</v>
      </c>
      <c r="H3">
        <v>104</v>
      </c>
      <c r="I3">
        <v>202</v>
      </c>
      <c r="J3">
        <v>21</v>
      </c>
      <c r="K3">
        <v>207</v>
      </c>
      <c r="L3">
        <v>0</v>
      </c>
      <c r="M3">
        <v>9</v>
      </c>
      <c r="N3">
        <v>8</v>
      </c>
      <c r="O3">
        <v>13</v>
      </c>
      <c r="P3">
        <v>3</v>
      </c>
      <c r="Q3">
        <v>1</v>
      </c>
      <c r="R3">
        <v>0</v>
      </c>
      <c r="S3">
        <v>0</v>
      </c>
      <c r="T3">
        <v>0</v>
      </c>
      <c r="U3">
        <v>1</v>
      </c>
      <c r="V3">
        <f>IF(SUM(ifood_data[[#This Row],[AcceptedCmp1]:[AcceptedCmp5]])&gt;0,1,0)</f>
        <v>1</v>
      </c>
      <c r="W3">
        <v>0</v>
      </c>
      <c r="X3">
        <v>3</v>
      </c>
      <c r="Y3">
        <v>11</v>
      </c>
      <c r="Z3">
        <v>1</v>
      </c>
      <c r="AA3">
        <v>50</v>
      </c>
      <c r="AB3">
        <v>2683</v>
      </c>
      <c r="AC3" s="28">
        <f>ifood_data[[#This Row],[Customer_Days]]/365</f>
        <v>7.3506849315068497</v>
      </c>
      <c r="AD3">
        <v>0</v>
      </c>
      <c r="AE3">
        <v>0</v>
      </c>
      <c r="AF3">
        <v>0</v>
      </c>
      <c r="AG3">
        <v>1</v>
      </c>
      <c r="AH3">
        <v>0</v>
      </c>
      <c r="AI3">
        <v>0</v>
      </c>
      <c r="AJ3">
        <v>0</v>
      </c>
      <c r="AK3">
        <v>1</v>
      </c>
      <c r="AL3">
        <v>0</v>
      </c>
      <c r="AM3">
        <v>0</v>
      </c>
      <c r="AN3">
        <v>1517</v>
      </c>
      <c r="AO3">
        <v>1310</v>
      </c>
      <c r="AP3">
        <f>ifood_data[[#This Row],[MntTotal]]-ifood_data[[#This Row],[MntRegularProds]]</f>
        <v>207</v>
      </c>
      <c r="AQ3">
        <v>2</v>
      </c>
      <c r="AR3">
        <f>IF(SUM(ifood_data[[#This Row],[Kidhome]:[Teenhome]])&gt;0,1,0)</f>
        <v>0</v>
      </c>
      <c r="AS3" t="str">
        <f>IF(SUM(ifood_data[[#This Row],[Kidhome]:[Teenhome]])&gt;0,"Has Family","No Family")</f>
        <v>No Family</v>
      </c>
      <c r="AT3" t="str">
        <f>IF(ifood_data[[#This Row],[marital_Married]]=1,"Married", (IF(ifood_data[[#This Row],[marital_Single]]=1,"Single",(IF(ifood_data[[#This Row],[marital_Divorced]]=1,"Divorced",(IF(ifood_data[[#This Row],[marital_Together]]=1,"Living Together",(IF(ifood_data[[#This Row],[marital_Widow]]=1,"Widow","Other")))))))))</f>
        <v>Living Together</v>
      </c>
      <c r="AU3" t="str">
        <f>IF(ifood_data[[#This Row],[education_Basic]]=1,"High School",(IF(ifood_data[[#This Row],[education_Graduation]]=1,"Undergraduate Degree",(IF(SUM(AM3,AL3,AI3)&gt;0,"Master's Degree or Higher","Other")))))</f>
        <v>Undergraduate Degree</v>
      </c>
      <c r="AV3" t="str">
        <f>IF(ifood_data[[#All],[Income]]&gt;75000,"75K+",(IF(ifood_data[[#All],[Income]]&gt;50000,"50K-75K",(IF(ifood_data[[#All],[Income]]&gt;35000,"35K-50K","&lt;35K")))))</f>
        <v>75K+</v>
      </c>
      <c r="AW3" t="str">
        <f>IF(ifood_data[[#All],[Age]]&gt;60,"60+",(IF(ifood_data[[#All],[Age]]&gt;50,"50-60",(IF(ifood_data[[#All],[Age]]&gt;40,"40-50",(IF(ifood_data[[#All],[Age]]&gt;30,"30-40","&lt;30")))))))</f>
        <v>40-50</v>
      </c>
      <c r="AX3">
        <f t="shared" si="0"/>
        <v>33</v>
      </c>
      <c r="AY3">
        <f t="shared" si="1"/>
        <v>7</v>
      </c>
      <c r="AZ3">
        <f t="shared" si="2"/>
        <v>9</v>
      </c>
      <c r="BA3">
        <f t="shared" si="3"/>
        <v>9</v>
      </c>
      <c r="BB3">
        <f>SUM(ifood_data[[#This Row],[Recency Score]:[Monetary Score]])</f>
        <v>25</v>
      </c>
      <c r="BC3">
        <f>(_xlfn.PERCENTRANK.INC(ifood_data[[#All],[RFM]],ifood_data[[#This Row],[RFM]],1))*10</f>
        <v>9</v>
      </c>
      <c r="BD3" t="str">
        <f>VLOOKUP(ifood_data[[#This Row],[RFM Score]],'RFM Analysis'!$A$3:$B$14,2,FALSE)</f>
        <v>Top Customer</v>
      </c>
      <c r="BE3">
        <f>'Regression Models'!$B$101+'Regression Models'!$B$102*ifood_data[[#This Row],[Income]]+'Regression Models'!$B$103*ifood_data[[#This Row],[Age]]+'Regression Models'!$B$104*ifood_data[[#This Row],[Family]]</f>
        <v>1870.7865546859789</v>
      </c>
      <c r="BF3" t="str">
        <f>IF(ifood_data[[#This Row],[AcceptedCmpOverall]]=1,"Campaign Respondent","Non-respondent")</f>
        <v>Campaign Respondent</v>
      </c>
    </row>
    <row r="4" spans="1:58" x14ac:dyDescent="0.35">
      <c r="A4">
        <v>115</v>
      </c>
      <c r="B4">
        <v>101970</v>
      </c>
      <c r="C4">
        <v>0</v>
      </c>
      <c r="D4">
        <v>0</v>
      </c>
      <c r="E4">
        <v>69</v>
      </c>
      <c r="F4">
        <v>722</v>
      </c>
      <c r="G4">
        <v>27</v>
      </c>
      <c r="H4">
        <v>102</v>
      </c>
      <c r="I4">
        <v>44</v>
      </c>
      <c r="J4">
        <v>72</v>
      </c>
      <c r="K4">
        <v>168</v>
      </c>
      <c r="L4">
        <v>0</v>
      </c>
      <c r="M4">
        <v>6</v>
      </c>
      <c r="N4">
        <v>8</v>
      </c>
      <c r="O4">
        <v>13</v>
      </c>
      <c r="P4">
        <v>2</v>
      </c>
      <c r="Q4">
        <v>1</v>
      </c>
      <c r="R4">
        <v>0</v>
      </c>
      <c r="S4">
        <v>0</v>
      </c>
      <c r="T4">
        <v>1</v>
      </c>
      <c r="U4">
        <v>1</v>
      </c>
      <c r="V4">
        <f>IF(SUM(ifood_data[[#This Row],[AcceptedCmp1]:[AcceptedCmp5]])&gt;0,1,0)</f>
        <v>1</v>
      </c>
      <c r="W4">
        <v>0</v>
      </c>
      <c r="X4">
        <v>3</v>
      </c>
      <c r="Y4">
        <v>11</v>
      </c>
      <c r="Z4">
        <v>1</v>
      </c>
      <c r="AA4">
        <v>37</v>
      </c>
      <c r="AB4">
        <v>2633</v>
      </c>
      <c r="AC4" s="28">
        <f>ifood_data[[#This Row],[Customer_Days]]/365</f>
        <v>7.2136986301369861</v>
      </c>
      <c r="AD4">
        <v>0</v>
      </c>
      <c r="AE4">
        <v>0</v>
      </c>
      <c r="AF4">
        <v>1</v>
      </c>
      <c r="AG4">
        <v>0</v>
      </c>
      <c r="AH4">
        <v>0</v>
      </c>
      <c r="AI4">
        <v>0</v>
      </c>
      <c r="AJ4">
        <v>0</v>
      </c>
      <c r="AK4">
        <v>1</v>
      </c>
      <c r="AL4">
        <v>0</v>
      </c>
      <c r="AM4">
        <v>0</v>
      </c>
      <c r="AN4">
        <v>967</v>
      </c>
      <c r="AO4">
        <v>799</v>
      </c>
      <c r="AP4">
        <f>ifood_data[[#This Row],[MntTotal]]-ifood_data[[#This Row],[MntRegularProds]]</f>
        <v>168</v>
      </c>
      <c r="AQ4">
        <v>3</v>
      </c>
      <c r="AR4">
        <f>IF(SUM(ifood_data[[#This Row],[Kidhome]:[Teenhome]])&gt;0,1,0)</f>
        <v>0</v>
      </c>
      <c r="AS4" t="str">
        <f>IF(SUM(ifood_data[[#This Row],[Kidhome]:[Teenhome]])&gt;0,"Has Family","No Family")</f>
        <v>No Family</v>
      </c>
      <c r="AT4" t="str">
        <f>IF(ifood_data[[#This Row],[marital_Married]]=1,"Married", (IF(ifood_data[[#This Row],[marital_Single]]=1,"Single",(IF(ifood_data[[#This Row],[marital_Divorced]]=1,"Divorced",(IF(ifood_data[[#This Row],[marital_Together]]=1,"Living Together",(IF(ifood_data[[#This Row],[marital_Widow]]=1,"Widow","Other")))))))))</f>
        <v>Single</v>
      </c>
      <c r="AU4" t="str">
        <f>IF(ifood_data[[#This Row],[education_Basic]]=1,"High School",(IF(ifood_data[[#This Row],[education_Graduation]]=1,"Undergraduate Degree",(IF(SUM(AM4,AL4,AI4)&gt;0,"Master's Degree or Higher","Other")))))</f>
        <v>Undergraduate Degree</v>
      </c>
      <c r="AV4" t="str">
        <f>IF(ifood_data[[#All],[Income]]&gt;75000,"75K+",(IF(ifood_data[[#All],[Income]]&gt;50000,"50K-75K",(IF(ifood_data[[#All],[Income]]&gt;35000,"35K-50K","&lt;35K")))))</f>
        <v>75K+</v>
      </c>
      <c r="AW4" t="str">
        <f>IF(ifood_data[[#All],[Age]]&gt;60,"60+",(IF(ifood_data[[#All],[Age]]&gt;50,"50-60",(IF(ifood_data[[#All],[Age]]&gt;40,"40-50",(IF(ifood_data[[#All],[Age]]&gt;30,"30-40","&lt;30")))))))</f>
        <v>30-40</v>
      </c>
      <c r="AX4">
        <f t="shared" si="0"/>
        <v>29</v>
      </c>
      <c r="AY4">
        <f t="shared" si="1"/>
        <v>4</v>
      </c>
      <c r="AZ4">
        <f t="shared" si="2"/>
        <v>8</v>
      </c>
      <c r="BA4">
        <f t="shared" si="3"/>
        <v>7</v>
      </c>
      <c r="BB4">
        <f>SUM(ifood_data[[#This Row],[Recency Score]:[Monetary Score]])</f>
        <v>19</v>
      </c>
      <c r="BC4">
        <f>(_xlfn.PERCENTRANK.INC(ifood_data[[#All],[RFM]],ifood_data[[#This Row],[RFM]],1))*10</f>
        <v>7</v>
      </c>
      <c r="BD4" t="str">
        <f>VLOOKUP(ifood_data[[#This Row],[RFM Score]],'RFM Analysis'!$A$3:$B$14,2,FALSE)</f>
        <v>Loyal Customer</v>
      </c>
      <c r="BE4">
        <f>'Regression Models'!$B$101+'Regression Models'!$B$102*ifood_data[[#This Row],[Income]]+'Regression Models'!$B$103*ifood_data[[#This Row],[Age]]+'Regression Models'!$B$104*ifood_data[[#This Row],[Family]]</f>
        <v>1823.2791854398147</v>
      </c>
      <c r="BF4" t="str">
        <f>IF(ifood_data[[#This Row],[AcceptedCmpOverall]]=1,"Campaign Respondent","Non-respondent")</f>
        <v>Campaign Respondent</v>
      </c>
    </row>
    <row r="5" spans="1:58" x14ac:dyDescent="0.35">
      <c r="A5">
        <v>237</v>
      </c>
      <c r="B5">
        <v>102692</v>
      </c>
      <c r="C5">
        <v>0</v>
      </c>
      <c r="D5">
        <v>0</v>
      </c>
      <c r="E5">
        <v>5</v>
      </c>
      <c r="F5">
        <v>168</v>
      </c>
      <c r="G5">
        <v>148</v>
      </c>
      <c r="H5">
        <v>444</v>
      </c>
      <c r="I5">
        <v>32</v>
      </c>
      <c r="J5">
        <v>172</v>
      </c>
      <c r="K5">
        <v>148</v>
      </c>
      <c r="L5">
        <v>1</v>
      </c>
      <c r="M5">
        <v>6</v>
      </c>
      <c r="N5">
        <v>9</v>
      </c>
      <c r="O5">
        <v>13</v>
      </c>
      <c r="P5">
        <v>2</v>
      </c>
      <c r="Q5">
        <v>1</v>
      </c>
      <c r="R5">
        <v>1</v>
      </c>
      <c r="S5">
        <v>0</v>
      </c>
      <c r="T5">
        <v>1</v>
      </c>
      <c r="U5">
        <v>1</v>
      </c>
      <c r="V5">
        <f>IF(SUM(ifood_data[[#This Row],[AcceptedCmp1]:[AcceptedCmp5]])&gt;0,1,0)</f>
        <v>1</v>
      </c>
      <c r="W5">
        <v>0</v>
      </c>
      <c r="X5">
        <v>3</v>
      </c>
      <c r="Y5">
        <v>11</v>
      </c>
      <c r="Z5">
        <v>1</v>
      </c>
      <c r="AA5">
        <v>46</v>
      </c>
      <c r="AB5">
        <v>2609</v>
      </c>
      <c r="AC5" s="28">
        <f>ifood_data[[#This Row],[Customer_Days]]/365</f>
        <v>7.1479452054794521</v>
      </c>
      <c r="AD5">
        <v>1</v>
      </c>
      <c r="AE5">
        <v>0</v>
      </c>
      <c r="AF5">
        <v>0</v>
      </c>
      <c r="AG5">
        <v>0</v>
      </c>
      <c r="AH5">
        <v>0</v>
      </c>
      <c r="AI5">
        <v>0</v>
      </c>
      <c r="AJ5">
        <v>0</v>
      </c>
      <c r="AK5">
        <v>1</v>
      </c>
      <c r="AL5">
        <v>0</v>
      </c>
      <c r="AM5">
        <v>0</v>
      </c>
      <c r="AN5">
        <v>964</v>
      </c>
      <c r="AO5">
        <v>816</v>
      </c>
      <c r="AP5">
        <f>ifood_data[[#This Row],[MntTotal]]-ifood_data[[#This Row],[MntRegularProds]]</f>
        <v>148</v>
      </c>
      <c r="AQ5">
        <v>4</v>
      </c>
      <c r="AR5">
        <f>IF(SUM(ifood_data[[#This Row],[Kidhome]:[Teenhome]])&gt;0,1,0)</f>
        <v>0</v>
      </c>
      <c r="AS5" t="str">
        <f>IF(SUM(ifood_data[[#This Row],[Kidhome]:[Teenhome]])&gt;0,"Has Family","No Family")</f>
        <v>No Family</v>
      </c>
      <c r="AT5" t="str">
        <f>IF(ifood_data[[#This Row],[marital_Married]]=1,"Married", (IF(ifood_data[[#This Row],[marital_Single]]=1,"Single",(IF(ifood_data[[#This Row],[marital_Divorced]]=1,"Divorced",(IF(ifood_data[[#This Row],[marital_Together]]=1,"Living Together",(IF(ifood_data[[#This Row],[marital_Widow]]=1,"Widow","Other")))))))))</f>
        <v>Divorced</v>
      </c>
      <c r="AU5" t="str">
        <f>IF(ifood_data[[#This Row],[education_Basic]]=1,"High School",(IF(ifood_data[[#This Row],[education_Graduation]]=1,"Undergraduate Degree",(IF(SUM(AM5,AL5,AI5)&gt;0,"Master's Degree or Higher","Other")))))</f>
        <v>Undergraduate Degree</v>
      </c>
      <c r="AV5" t="str">
        <f>IF(ifood_data[[#All],[Income]]&gt;75000,"75K+",(IF(ifood_data[[#All],[Income]]&gt;50000,"50K-75K",(IF(ifood_data[[#All],[Income]]&gt;35000,"35K-50K","&lt;35K")))))</f>
        <v>75K+</v>
      </c>
      <c r="AW5" t="str">
        <f>IF(ifood_data[[#All],[Age]]&gt;60,"60+",(IF(ifood_data[[#All],[Age]]&gt;50,"50-60",(IF(ifood_data[[#All],[Age]]&gt;40,"40-50",(IF(ifood_data[[#All],[Age]]&gt;30,"30-40","&lt;30")))))))</f>
        <v>40-50</v>
      </c>
      <c r="AX5">
        <f t="shared" si="0"/>
        <v>31</v>
      </c>
      <c r="AY5">
        <f t="shared" si="1"/>
        <v>10</v>
      </c>
      <c r="AZ5">
        <f t="shared" si="2"/>
        <v>9</v>
      </c>
      <c r="BA5">
        <f t="shared" si="3"/>
        <v>7</v>
      </c>
      <c r="BB5">
        <f>SUM(ifood_data[[#This Row],[Recency Score]:[Monetary Score]])</f>
        <v>26</v>
      </c>
      <c r="BC5">
        <f>(_xlfn.PERCENTRANK.INC(ifood_data[[#All],[RFM]],ifood_data[[#This Row],[RFM]],1))*10</f>
        <v>9</v>
      </c>
      <c r="BD5" t="str">
        <f>VLOOKUP(ifood_data[[#This Row],[RFM Score]],'RFM Analysis'!$A$3:$B$14,2,FALSE)</f>
        <v>Top Customer</v>
      </c>
      <c r="BE5">
        <f>'Regression Models'!$B$101+'Regression Models'!$B$102*ifood_data[[#This Row],[Income]]+'Regression Models'!$B$103*ifood_data[[#This Row],[Age]]+'Regression Models'!$B$104*ifood_data[[#This Row],[Family]]</f>
        <v>1821.4719243296613</v>
      </c>
      <c r="BF5" t="str">
        <f>IF(ifood_data[[#This Row],[AcceptedCmpOverall]]=1,"Campaign Respondent","Non-respondent")</f>
        <v>Campaign Respondent</v>
      </c>
    </row>
    <row r="6" spans="1:58" x14ac:dyDescent="0.35">
      <c r="A6">
        <v>189</v>
      </c>
      <c r="B6">
        <v>102160</v>
      </c>
      <c r="C6">
        <v>0</v>
      </c>
      <c r="D6">
        <v>0</v>
      </c>
      <c r="E6">
        <v>54</v>
      </c>
      <c r="F6">
        <v>763</v>
      </c>
      <c r="G6">
        <v>29</v>
      </c>
      <c r="H6">
        <v>138</v>
      </c>
      <c r="I6">
        <v>76</v>
      </c>
      <c r="J6">
        <v>176</v>
      </c>
      <c r="K6">
        <v>58</v>
      </c>
      <c r="L6">
        <v>0</v>
      </c>
      <c r="M6">
        <v>7</v>
      </c>
      <c r="N6">
        <v>9</v>
      </c>
      <c r="O6">
        <v>10</v>
      </c>
      <c r="P6">
        <v>4</v>
      </c>
      <c r="Q6">
        <v>1</v>
      </c>
      <c r="R6">
        <v>0</v>
      </c>
      <c r="S6">
        <v>0</v>
      </c>
      <c r="T6">
        <v>1</v>
      </c>
      <c r="U6">
        <v>1</v>
      </c>
      <c r="V6">
        <f>IF(SUM(ifood_data[[#This Row],[AcceptedCmp1]:[AcceptedCmp5]])&gt;0,1,0)</f>
        <v>1</v>
      </c>
      <c r="W6">
        <v>0</v>
      </c>
      <c r="X6">
        <v>3</v>
      </c>
      <c r="Y6">
        <v>11</v>
      </c>
      <c r="Z6">
        <v>1</v>
      </c>
      <c r="AA6">
        <v>43</v>
      </c>
      <c r="AB6">
        <v>2763</v>
      </c>
      <c r="AC6" s="28">
        <f>ifood_data[[#This Row],[Customer_Days]]/365</f>
        <v>7.5698630136986305</v>
      </c>
      <c r="AD6">
        <v>0</v>
      </c>
      <c r="AE6">
        <v>0</v>
      </c>
      <c r="AF6">
        <v>0</v>
      </c>
      <c r="AG6">
        <v>1</v>
      </c>
      <c r="AH6">
        <v>0</v>
      </c>
      <c r="AI6">
        <v>0</v>
      </c>
      <c r="AJ6">
        <v>0</v>
      </c>
      <c r="AK6">
        <v>0</v>
      </c>
      <c r="AL6">
        <v>0</v>
      </c>
      <c r="AM6">
        <v>1</v>
      </c>
      <c r="AN6">
        <v>1182</v>
      </c>
      <c r="AO6">
        <v>1124</v>
      </c>
      <c r="AP6">
        <f>ifood_data[[#This Row],[MntTotal]]-ifood_data[[#This Row],[MntRegularProds]]</f>
        <v>58</v>
      </c>
      <c r="AQ6">
        <v>3</v>
      </c>
      <c r="AR6">
        <f>IF(SUM(ifood_data[[#This Row],[Kidhome]:[Teenhome]])&gt;0,1,0)</f>
        <v>0</v>
      </c>
      <c r="AS6" t="str">
        <f>IF(SUM(ifood_data[[#This Row],[Kidhome]:[Teenhome]])&gt;0,"Has Family","No Family")</f>
        <v>No Family</v>
      </c>
      <c r="AT6" t="str">
        <f>IF(ifood_data[[#This Row],[marital_Married]]=1,"Married", (IF(ifood_data[[#This Row],[marital_Single]]=1,"Single",(IF(ifood_data[[#This Row],[marital_Divorced]]=1,"Divorced",(IF(ifood_data[[#This Row],[marital_Together]]=1,"Living Together",(IF(ifood_data[[#This Row],[marital_Widow]]=1,"Widow","Other")))))))))</f>
        <v>Living Together</v>
      </c>
      <c r="AU6" t="str">
        <f>IF(ifood_data[[#This Row],[education_Basic]]=1,"High School",(IF(ifood_data[[#This Row],[education_Graduation]]=1,"Undergraduate Degree",(IF(SUM(AM6,AL6,AI6)&gt;0,"Master's Degree or Higher","Other")))))</f>
        <v>Master's Degree or Higher</v>
      </c>
      <c r="AV6" t="str">
        <f>IF(ifood_data[[#All],[Income]]&gt;75000,"75K+",(IF(ifood_data[[#All],[Income]]&gt;50000,"50K-75K",(IF(ifood_data[[#All],[Income]]&gt;35000,"35K-50K","&lt;35K")))))</f>
        <v>75K+</v>
      </c>
      <c r="AW6" t="str">
        <f>IF(ifood_data[[#All],[Age]]&gt;60,"60+",(IF(ifood_data[[#All],[Age]]&gt;50,"50-60",(IF(ifood_data[[#All],[Age]]&gt;40,"40-50",(IF(ifood_data[[#All],[Age]]&gt;30,"30-40","&lt;30")))))))</f>
        <v>40-50</v>
      </c>
      <c r="AX6">
        <f t="shared" si="0"/>
        <v>30</v>
      </c>
      <c r="AY6">
        <f t="shared" si="1"/>
        <v>5</v>
      </c>
      <c r="AZ6">
        <f t="shared" si="2"/>
        <v>8</v>
      </c>
      <c r="BA6">
        <f t="shared" si="3"/>
        <v>8</v>
      </c>
      <c r="BB6">
        <f>SUM(ifood_data[[#This Row],[Recency Score]:[Monetary Score]])</f>
        <v>21</v>
      </c>
      <c r="BC6">
        <f>(_xlfn.PERCENTRANK.INC(ifood_data[[#All],[RFM]],ifood_data[[#This Row],[RFM]],1))*10</f>
        <v>8</v>
      </c>
      <c r="BD6" t="str">
        <f>VLOOKUP(ifood_data[[#This Row],[RFM Score]],'RFM Analysis'!$A$3:$B$14,2,FALSE)</f>
        <v>Loyal Customer</v>
      </c>
      <c r="BE6">
        <f>'Regression Models'!$B$101+'Regression Models'!$B$102*ifood_data[[#This Row],[Income]]+'Regression Models'!$B$103*ifood_data[[#This Row],[Age]]+'Regression Models'!$B$104*ifood_data[[#This Row],[Family]]</f>
        <v>1816.1344169137897</v>
      </c>
      <c r="BF6" t="str">
        <f>IF(ifood_data[[#This Row],[AcceptedCmpOverall]]=1,"Campaign Respondent","Non-respondent")</f>
        <v>Campaign Respondent</v>
      </c>
    </row>
    <row r="7" spans="1:58" x14ac:dyDescent="0.35">
      <c r="A7">
        <v>1787</v>
      </c>
      <c r="B7">
        <v>96843</v>
      </c>
      <c r="C7">
        <v>0</v>
      </c>
      <c r="D7">
        <v>0</v>
      </c>
      <c r="E7">
        <v>60</v>
      </c>
      <c r="F7">
        <v>448</v>
      </c>
      <c r="G7">
        <v>71</v>
      </c>
      <c r="H7">
        <v>951</v>
      </c>
      <c r="I7">
        <v>40</v>
      </c>
      <c r="J7">
        <v>17</v>
      </c>
      <c r="K7">
        <v>17</v>
      </c>
      <c r="L7">
        <v>1</v>
      </c>
      <c r="M7">
        <v>6</v>
      </c>
      <c r="N7">
        <v>11</v>
      </c>
      <c r="O7">
        <v>10</v>
      </c>
      <c r="P7">
        <v>2</v>
      </c>
      <c r="Q7">
        <v>0</v>
      </c>
      <c r="R7">
        <v>0</v>
      </c>
      <c r="S7">
        <v>0</v>
      </c>
      <c r="T7">
        <v>0</v>
      </c>
      <c r="U7">
        <v>1</v>
      </c>
      <c r="V7">
        <f>IF(SUM(ifood_data[[#This Row],[AcceptedCmp1]:[AcceptedCmp5]])&gt;0,1,0)</f>
        <v>1</v>
      </c>
      <c r="W7">
        <v>0</v>
      </c>
      <c r="X7">
        <v>3</v>
      </c>
      <c r="Y7">
        <v>11</v>
      </c>
      <c r="Z7">
        <v>1</v>
      </c>
      <c r="AA7">
        <v>30</v>
      </c>
      <c r="AB7">
        <v>2591</v>
      </c>
      <c r="AC7" s="28">
        <f>ifood_data[[#This Row],[Customer_Days]]/365</f>
        <v>7.0986301369863014</v>
      </c>
      <c r="AD7">
        <v>0</v>
      </c>
      <c r="AE7">
        <v>0</v>
      </c>
      <c r="AF7">
        <v>1</v>
      </c>
      <c r="AG7">
        <v>0</v>
      </c>
      <c r="AH7">
        <v>0</v>
      </c>
      <c r="AI7">
        <v>0</v>
      </c>
      <c r="AJ7">
        <v>0</v>
      </c>
      <c r="AK7">
        <v>1</v>
      </c>
      <c r="AL7">
        <v>0</v>
      </c>
      <c r="AM7">
        <v>0</v>
      </c>
      <c r="AN7">
        <v>1527</v>
      </c>
      <c r="AO7">
        <v>1510</v>
      </c>
      <c r="AP7">
        <f>ifood_data[[#This Row],[MntTotal]]-ifood_data[[#This Row],[MntRegularProds]]</f>
        <v>17</v>
      </c>
      <c r="AQ7">
        <v>1</v>
      </c>
      <c r="AR7">
        <f>IF(SUM(ifood_data[[#This Row],[Kidhome]:[Teenhome]])&gt;0,1,0)</f>
        <v>0</v>
      </c>
      <c r="AS7" t="str">
        <f>IF(SUM(ifood_data[[#This Row],[Kidhome]:[Teenhome]])&gt;0,"Has Family","No Family")</f>
        <v>No Family</v>
      </c>
      <c r="AT7" t="str">
        <f>IF(ifood_data[[#This Row],[marital_Married]]=1,"Married", (IF(ifood_data[[#This Row],[marital_Single]]=1,"Single",(IF(ifood_data[[#This Row],[marital_Divorced]]=1,"Divorced",(IF(ifood_data[[#This Row],[marital_Together]]=1,"Living Together",(IF(ifood_data[[#This Row],[marital_Widow]]=1,"Widow","Other")))))))))</f>
        <v>Single</v>
      </c>
      <c r="AU7" t="str">
        <f>IF(ifood_data[[#This Row],[education_Basic]]=1,"High School",(IF(ifood_data[[#This Row],[education_Graduation]]=1,"Undergraduate Degree",(IF(SUM(AM7,AL7,AI7)&gt;0,"Master's Degree or Higher","Other")))))</f>
        <v>Undergraduate Degree</v>
      </c>
      <c r="AV7" t="str">
        <f>IF(ifood_data[[#All],[Income]]&gt;75000,"75K+",(IF(ifood_data[[#All],[Income]]&gt;50000,"50K-75K",(IF(ifood_data[[#All],[Income]]&gt;35000,"35K-50K","&lt;35K")))))</f>
        <v>75K+</v>
      </c>
      <c r="AW7" t="str">
        <f>IF(ifood_data[[#All],[Age]]&gt;60,"60+",(IF(ifood_data[[#All],[Age]]&gt;50,"50-60",(IF(ifood_data[[#All],[Age]]&gt;40,"40-50",(IF(ifood_data[[#All],[Age]]&gt;30,"30-40","&lt;30")))))))</f>
        <v>&lt;30</v>
      </c>
      <c r="AX7">
        <f t="shared" si="0"/>
        <v>30</v>
      </c>
      <c r="AY7">
        <f t="shared" si="1"/>
        <v>4</v>
      </c>
      <c r="AZ7">
        <f t="shared" si="2"/>
        <v>8</v>
      </c>
      <c r="BA7">
        <f t="shared" si="3"/>
        <v>9</v>
      </c>
      <c r="BB7">
        <f>SUM(ifood_data[[#This Row],[Recency Score]:[Monetary Score]])</f>
        <v>21</v>
      </c>
      <c r="BC7">
        <f>(_xlfn.PERCENTRANK.INC(ifood_data[[#All],[RFM]],ifood_data[[#This Row],[RFM]],1))*10</f>
        <v>8</v>
      </c>
      <c r="BD7" t="str">
        <f>VLOOKUP(ifood_data[[#This Row],[RFM Score]],'RFM Analysis'!$A$3:$B$14,2,FALSE)</f>
        <v>Loyal Customer</v>
      </c>
      <c r="BE7">
        <f>'Regression Models'!$B$101+'Regression Models'!$B$102*ifood_data[[#This Row],[Income]]+'Regression Models'!$B$103*ifood_data[[#This Row],[Age]]+'Regression Models'!$B$104*ifood_data[[#This Row],[Family]]</f>
        <v>1731.6010447183048</v>
      </c>
      <c r="BF7" t="str">
        <f>IF(ifood_data[[#This Row],[AcceptedCmpOverall]]=1,"Campaign Respondent","Non-respondent")</f>
        <v>Campaign Respondent</v>
      </c>
    </row>
    <row r="8" spans="1:58" x14ac:dyDescent="0.35">
      <c r="A8">
        <v>618</v>
      </c>
      <c r="B8">
        <v>98777</v>
      </c>
      <c r="C8">
        <v>0</v>
      </c>
      <c r="D8">
        <v>0</v>
      </c>
      <c r="E8">
        <v>23</v>
      </c>
      <c r="F8">
        <v>1000</v>
      </c>
      <c r="G8">
        <v>19</v>
      </c>
      <c r="H8">
        <v>711</v>
      </c>
      <c r="I8">
        <v>125</v>
      </c>
      <c r="J8">
        <v>115</v>
      </c>
      <c r="K8">
        <v>38</v>
      </c>
      <c r="L8">
        <v>0</v>
      </c>
      <c r="M8">
        <v>4</v>
      </c>
      <c r="N8">
        <v>6</v>
      </c>
      <c r="O8">
        <v>9</v>
      </c>
      <c r="P8">
        <v>1</v>
      </c>
      <c r="Q8">
        <v>0</v>
      </c>
      <c r="R8">
        <v>0</v>
      </c>
      <c r="S8">
        <v>0</v>
      </c>
      <c r="T8">
        <v>1</v>
      </c>
      <c r="U8">
        <v>0</v>
      </c>
      <c r="V8">
        <f>IF(SUM(ifood_data[[#This Row],[AcceptedCmp1]:[AcceptedCmp5]])&gt;0,1,0)</f>
        <v>1</v>
      </c>
      <c r="W8">
        <v>0</v>
      </c>
      <c r="X8">
        <v>3</v>
      </c>
      <c r="Y8">
        <v>11</v>
      </c>
      <c r="Z8">
        <v>0</v>
      </c>
      <c r="AA8">
        <v>60</v>
      </c>
      <c r="AB8">
        <v>2291</v>
      </c>
      <c r="AC8" s="28">
        <f>ifood_data[[#This Row],[Customer_Days]]/365</f>
        <v>6.2767123287671236</v>
      </c>
      <c r="AD8">
        <v>0</v>
      </c>
      <c r="AE8">
        <v>0</v>
      </c>
      <c r="AF8">
        <v>1</v>
      </c>
      <c r="AG8">
        <v>0</v>
      </c>
      <c r="AH8">
        <v>0</v>
      </c>
      <c r="AI8">
        <v>0</v>
      </c>
      <c r="AJ8">
        <v>0</v>
      </c>
      <c r="AK8">
        <v>0</v>
      </c>
      <c r="AL8">
        <v>1</v>
      </c>
      <c r="AM8">
        <v>0</v>
      </c>
      <c r="AN8">
        <v>1970</v>
      </c>
      <c r="AO8">
        <v>1932</v>
      </c>
      <c r="AP8">
        <f>ifood_data[[#This Row],[MntTotal]]-ifood_data[[#This Row],[MntRegularProds]]</f>
        <v>38</v>
      </c>
      <c r="AQ8">
        <v>1</v>
      </c>
      <c r="AR8">
        <f>IF(SUM(ifood_data[[#This Row],[Kidhome]:[Teenhome]])&gt;0,1,0)</f>
        <v>0</v>
      </c>
      <c r="AS8" t="str">
        <f>IF(SUM(ifood_data[[#This Row],[Kidhome]:[Teenhome]])&gt;0,"Has Family","No Family")</f>
        <v>No Family</v>
      </c>
      <c r="AT8" t="str">
        <f>IF(ifood_data[[#This Row],[marital_Married]]=1,"Married", (IF(ifood_data[[#This Row],[marital_Single]]=1,"Single",(IF(ifood_data[[#This Row],[marital_Divorced]]=1,"Divorced",(IF(ifood_data[[#This Row],[marital_Together]]=1,"Living Together",(IF(ifood_data[[#This Row],[marital_Widow]]=1,"Widow","Other")))))))))</f>
        <v>Single</v>
      </c>
      <c r="AU8" t="str">
        <f>IF(ifood_data[[#This Row],[education_Basic]]=1,"High School",(IF(ifood_data[[#This Row],[education_Graduation]]=1,"Undergraduate Degree",(IF(SUM(AM8,AL8,AI8)&gt;0,"Master's Degree or Higher","Other")))))</f>
        <v>Master's Degree or Higher</v>
      </c>
      <c r="AV8" t="str">
        <f>IF(ifood_data[[#All],[Income]]&gt;75000,"75K+",(IF(ifood_data[[#All],[Income]]&gt;50000,"50K-75K",(IF(ifood_data[[#All],[Income]]&gt;35000,"35K-50K","&lt;35K")))))</f>
        <v>75K+</v>
      </c>
      <c r="AW8" t="str">
        <f>IF(ifood_data[[#All],[Age]]&gt;60,"60+",(IF(ifood_data[[#All],[Age]]&gt;50,"50-60",(IF(ifood_data[[#All],[Age]]&gt;40,"40-50",(IF(ifood_data[[#All],[Age]]&gt;30,"30-40","&lt;30")))))))</f>
        <v>50-60</v>
      </c>
      <c r="AX8">
        <f t="shared" si="0"/>
        <v>20</v>
      </c>
      <c r="AY8">
        <f t="shared" si="1"/>
        <v>8</v>
      </c>
      <c r="AZ8">
        <f t="shared" si="2"/>
        <v>4</v>
      </c>
      <c r="BA8">
        <f t="shared" si="3"/>
        <v>9</v>
      </c>
      <c r="BB8">
        <f>SUM(ifood_data[[#This Row],[Recency Score]:[Monetary Score]])</f>
        <v>21</v>
      </c>
      <c r="BC8">
        <f>(_xlfn.PERCENTRANK.INC(ifood_data[[#All],[RFM]],ifood_data[[#This Row],[RFM]],1))*10</f>
        <v>8</v>
      </c>
      <c r="BD8" t="str">
        <f>VLOOKUP(ifood_data[[#This Row],[RFM Score]],'RFM Analysis'!$A$3:$B$14,2,FALSE)</f>
        <v>Loyal Customer</v>
      </c>
      <c r="BE8">
        <f>'Regression Models'!$B$101+'Regression Models'!$B$102*ifood_data[[#This Row],[Income]]+'Regression Models'!$B$103*ifood_data[[#This Row],[Age]]+'Regression Models'!$B$104*ifood_data[[#This Row],[Family]]</f>
        <v>1715.9397499417769</v>
      </c>
      <c r="BF8" t="str">
        <f>IF(ifood_data[[#This Row],[AcceptedCmpOverall]]=1,"Campaign Respondent","Non-respondent")</f>
        <v>Campaign Respondent</v>
      </c>
    </row>
    <row r="9" spans="1:58" x14ac:dyDescent="0.35">
      <c r="A9">
        <v>866</v>
      </c>
      <c r="B9">
        <v>95529</v>
      </c>
      <c r="C9">
        <v>0</v>
      </c>
      <c r="D9">
        <v>0</v>
      </c>
      <c r="E9">
        <v>29</v>
      </c>
      <c r="F9">
        <v>770</v>
      </c>
      <c r="G9">
        <v>29</v>
      </c>
      <c r="H9">
        <v>890</v>
      </c>
      <c r="I9">
        <v>250</v>
      </c>
      <c r="J9">
        <v>27</v>
      </c>
      <c r="K9">
        <v>24</v>
      </c>
      <c r="L9">
        <v>1</v>
      </c>
      <c r="M9">
        <v>7</v>
      </c>
      <c r="N9">
        <v>3</v>
      </c>
      <c r="O9">
        <v>7</v>
      </c>
      <c r="P9">
        <v>3</v>
      </c>
      <c r="Q9">
        <v>0</v>
      </c>
      <c r="R9">
        <v>0</v>
      </c>
      <c r="S9">
        <v>0</v>
      </c>
      <c r="T9">
        <v>0</v>
      </c>
      <c r="U9">
        <v>1</v>
      </c>
      <c r="V9">
        <f>IF(SUM(ifood_data[[#This Row],[AcceptedCmp1]:[AcceptedCmp5]])&gt;0,1,0)</f>
        <v>1</v>
      </c>
      <c r="W9">
        <v>0</v>
      </c>
      <c r="X9">
        <v>3</v>
      </c>
      <c r="Y9">
        <v>11</v>
      </c>
      <c r="Z9">
        <v>1</v>
      </c>
      <c r="AA9">
        <v>26</v>
      </c>
      <c r="AB9">
        <v>2732</v>
      </c>
      <c r="AC9" s="28">
        <f>ifood_data[[#This Row],[Customer_Days]]/365</f>
        <v>7.484931506849315</v>
      </c>
      <c r="AD9">
        <v>0</v>
      </c>
      <c r="AE9">
        <v>0</v>
      </c>
      <c r="AF9">
        <v>1</v>
      </c>
      <c r="AG9">
        <v>0</v>
      </c>
      <c r="AH9">
        <v>0</v>
      </c>
      <c r="AI9">
        <v>0</v>
      </c>
      <c r="AJ9">
        <v>0</v>
      </c>
      <c r="AK9">
        <v>1</v>
      </c>
      <c r="AL9">
        <v>0</v>
      </c>
      <c r="AM9">
        <v>0</v>
      </c>
      <c r="AN9">
        <v>1966</v>
      </c>
      <c r="AO9">
        <v>1942</v>
      </c>
      <c r="AP9">
        <f>ifood_data[[#This Row],[MntTotal]]-ifood_data[[#This Row],[MntRegularProds]]</f>
        <v>24</v>
      </c>
      <c r="AQ9">
        <v>1</v>
      </c>
      <c r="AR9">
        <f>IF(SUM(ifood_data[[#This Row],[Kidhome]:[Teenhome]])&gt;0,1,0)</f>
        <v>0</v>
      </c>
      <c r="AS9" t="str">
        <f>IF(SUM(ifood_data[[#This Row],[Kidhome]:[Teenhome]])&gt;0,"Has Family","No Family")</f>
        <v>No Family</v>
      </c>
      <c r="AT9" t="str">
        <f>IF(ifood_data[[#This Row],[marital_Married]]=1,"Married", (IF(ifood_data[[#This Row],[marital_Single]]=1,"Single",(IF(ifood_data[[#This Row],[marital_Divorced]]=1,"Divorced",(IF(ifood_data[[#This Row],[marital_Together]]=1,"Living Together",(IF(ifood_data[[#This Row],[marital_Widow]]=1,"Widow","Other")))))))))</f>
        <v>Single</v>
      </c>
      <c r="AU9" t="str">
        <f>IF(ifood_data[[#This Row],[education_Basic]]=1,"High School",(IF(ifood_data[[#This Row],[education_Graduation]]=1,"Undergraduate Degree",(IF(SUM(AM9,AL9,AI9)&gt;0,"Master's Degree or Higher","Other")))))</f>
        <v>Undergraduate Degree</v>
      </c>
      <c r="AV9" t="str">
        <f>IF(ifood_data[[#All],[Income]]&gt;75000,"75K+",(IF(ifood_data[[#All],[Income]]&gt;50000,"50K-75K",(IF(ifood_data[[#All],[Income]]&gt;35000,"35K-50K","&lt;35K")))))</f>
        <v>75K+</v>
      </c>
      <c r="AW9" t="str">
        <f>IF(ifood_data[[#All],[Age]]&gt;60,"60+",(IF(ifood_data[[#All],[Age]]&gt;50,"50-60",(IF(ifood_data[[#All],[Age]]&gt;40,"40-50",(IF(ifood_data[[#All],[Age]]&gt;30,"30-40","&lt;30")))))))</f>
        <v>&lt;30</v>
      </c>
      <c r="AX9">
        <f t="shared" si="0"/>
        <v>21</v>
      </c>
      <c r="AY9">
        <f t="shared" si="1"/>
        <v>8</v>
      </c>
      <c r="AZ9">
        <f t="shared" si="2"/>
        <v>5</v>
      </c>
      <c r="BA9">
        <f t="shared" si="3"/>
        <v>9</v>
      </c>
      <c r="BB9">
        <f>SUM(ifood_data[[#This Row],[Recency Score]:[Monetary Score]])</f>
        <v>22</v>
      </c>
      <c r="BC9">
        <f>(_xlfn.PERCENTRANK.INC(ifood_data[[#All],[RFM]],ifood_data[[#This Row],[RFM]],1))*10</f>
        <v>8</v>
      </c>
      <c r="BD9" t="str">
        <f>VLOOKUP(ifood_data[[#This Row],[RFM Score]],'RFM Analysis'!$A$3:$B$14,2,FALSE)</f>
        <v>Loyal Customer</v>
      </c>
      <c r="BE9">
        <f>'Regression Models'!$B$101+'Regression Models'!$B$102*ifood_data[[#This Row],[Income]]+'Regression Models'!$B$103*ifood_data[[#This Row],[Age]]+'Regression Models'!$B$104*ifood_data[[#This Row],[Family]]</f>
        <v>1712.1559596927987</v>
      </c>
      <c r="BF9" t="str">
        <f>IF(ifood_data[[#This Row],[AcceptedCmpOverall]]=1,"Campaign Respondent","Non-respondent")</f>
        <v>Campaign Respondent</v>
      </c>
    </row>
    <row r="10" spans="1:58" x14ac:dyDescent="0.35">
      <c r="A10">
        <v>1835</v>
      </c>
      <c r="B10">
        <v>96876</v>
      </c>
      <c r="C10">
        <v>0</v>
      </c>
      <c r="D10">
        <v>0</v>
      </c>
      <c r="E10">
        <v>79</v>
      </c>
      <c r="F10">
        <v>908</v>
      </c>
      <c r="G10">
        <v>43</v>
      </c>
      <c r="H10">
        <v>735</v>
      </c>
      <c r="I10">
        <v>40</v>
      </c>
      <c r="J10">
        <v>194</v>
      </c>
      <c r="K10">
        <v>21</v>
      </c>
      <c r="L10">
        <v>1</v>
      </c>
      <c r="M10">
        <v>7</v>
      </c>
      <c r="N10">
        <v>7</v>
      </c>
      <c r="O10">
        <v>9</v>
      </c>
      <c r="P10">
        <v>2</v>
      </c>
      <c r="Q10">
        <v>1</v>
      </c>
      <c r="R10">
        <v>0</v>
      </c>
      <c r="S10">
        <v>0</v>
      </c>
      <c r="T10">
        <v>1</v>
      </c>
      <c r="U10">
        <v>1</v>
      </c>
      <c r="V10">
        <f>IF(SUM(ifood_data[[#This Row],[AcceptedCmp1]:[AcceptedCmp5]])&gt;0,1,0)</f>
        <v>1</v>
      </c>
      <c r="W10">
        <v>0</v>
      </c>
      <c r="X10">
        <v>3</v>
      </c>
      <c r="Y10">
        <v>11</v>
      </c>
      <c r="Z10">
        <v>1</v>
      </c>
      <c r="AA10">
        <v>43</v>
      </c>
      <c r="AB10">
        <v>2486</v>
      </c>
      <c r="AC10" s="28">
        <f>ifood_data[[#This Row],[Customer_Days]]/365</f>
        <v>6.8109589041095893</v>
      </c>
      <c r="AD10">
        <v>0</v>
      </c>
      <c r="AE10">
        <v>0</v>
      </c>
      <c r="AF10">
        <v>0</v>
      </c>
      <c r="AG10">
        <v>1</v>
      </c>
      <c r="AH10">
        <v>0</v>
      </c>
      <c r="AI10">
        <v>0</v>
      </c>
      <c r="AJ10">
        <v>0</v>
      </c>
      <c r="AK10">
        <v>1</v>
      </c>
      <c r="AL10">
        <v>0</v>
      </c>
      <c r="AM10">
        <v>0</v>
      </c>
      <c r="AN10">
        <v>1920</v>
      </c>
      <c r="AO10">
        <v>1899</v>
      </c>
      <c r="AP10">
        <f>ifood_data[[#This Row],[MntTotal]]-ifood_data[[#This Row],[MntRegularProds]]</f>
        <v>21</v>
      </c>
      <c r="AQ10">
        <v>3</v>
      </c>
      <c r="AR10">
        <f>IF(SUM(ifood_data[[#This Row],[Kidhome]:[Teenhome]])&gt;0,1,0)</f>
        <v>0</v>
      </c>
      <c r="AS10" t="str">
        <f>IF(SUM(ifood_data[[#This Row],[Kidhome]:[Teenhome]])&gt;0,"Has Family","No Family")</f>
        <v>No Family</v>
      </c>
      <c r="AT10" t="str">
        <f>IF(ifood_data[[#This Row],[marital_Married]]=1,"Married", (IF(ifood_data[[#This Row],[marital_Single]]=1,"Single",(IF(ifood_data[[#This Row],[marital_Divorced]]=1,"Divorced",(IF(ifood_data[[#This Row],[marital_Together]]=1,"Living Together",(IF(ifood_data[[#This Row],[marital_Widow]]=1,"Widow","Other")))))))))</f>
        <v>Living Together</v>
      </c>
      <c r="AU10" t="str">
        <f>IF(ifood_data[[#This Row],[education_Basic]]=1,"High School",(IF(ifood_data[[#This Row],[education_Graduation]]=1,"Undergraduate Degree",(IF(SUM(AM10,AL10,AI10)&gt;0,"Master's Degree or Higher","Other")))))</f>
        <v>Undergraduate Degree</v>
      </c>
      <c r="AV10" t="str">
        <f>IF(ifood_data[[#All],[Income]]&gt;75000,"75K+",(IF(ifood_data[[#All],[Income]]&gt;50000,"50K-75K",(IF(ifood_data[[#All],[Income]]&gt;35000,"35K-50K","&lt;35K")))))</f>
        <v>75K+</v>
      </c>
      <c r="AW10" t="str">
        <f>IF(ifood_data[[#All],[Age]]&gt;60,"60+",(IF(ifood_data[[#All],[Age]]&gt;50,"50-60",(IF(ifood_data[[#All],[Age]]&gt;40,"40-50",(IF(ifood_data[[#All],[Age]]&gt;30,"30-40","&lt;30")))))))</f>
        <v>40-50</v>
      </c>
      <c r="AX10">
        <f t="shared" si="0"/>
        <v>26</v>
      </c>
      <c r="AY10">
        <f t="shared" si="1"/>
        <v>3.0000000000000004</v>
      </c>
      <c r="AZ10">
        <f t="shared" si="2"/>
        <v>7</v>
      </c>
      <c r="BA10">
        <f t="shared" si="3"/>
        <v>9</v>
      </c>
      <c r="BB10">
        <f>SUM(ifood_data[[#This Row],[Recency Score]:[Monetary Score]])</f>
        <v>19</v>
      </c>
      <c r="BC10">
        <f>(_xlfn.PERCENTRANK.INC(ifood_data[[#All],[RFM]],ifood_data[[#This Row],[RFM]],1))*10</f>
        <v>7</v>
      </c>
      <c r="BD10" t="str">
        <f>VLOOKUP(ifood_data[[#This Row],[RFM Score]],'RFM Analysis'!$A$3:$B$14,2,FALSE)</f>
        <v>Loyal Customer</v>
      </c>
      <c r="BE10">
        <f>'Regression Models'!$B$101+'Regression Models'!$B$102*ifood_data[[#This Row],[Income]]+'Regression Models'!$B$103*ifood_data[[#This Row],[Age]]+'Regression Models'!$B$104*ifood_data[[#This Row],[Family]]</f>
        <v>1708.4001660414278</v>
      </c>
      <c r="BF10" t="str">
        <f>IF(ifood_data[[#This Row],[AcceptedCmpOverall]]=1,"Campaign Respondent","Non-respondent")</f>
        <v>Campaign Respondent</v>
      </c>
    </row>
    <row r="11" spans="1:58" x14ac:dyDescent="0.35">
      <c r="A11">
        <v>1819</v>
      </c>
      <c r="B11">
        <v>96547</v>
      </c>
      <c r="C11">
        <v>0</v>
      </c>
      <c r="D11">
        <v>0</v>
      </c>
      <c r="E11">
        <v>4</v>
      </c>
      <c r="F11">
        <v>448</v>
      </c>
      <c r="G11">
        <v>21</v>
      </c>
      <c r="H11">
        <v>125</v>
      </c>
      <c r="I11">
        <v>52</v>
      </c>
      <c r="J11">
        <v>101</v>
      </c>
      <c r="K11">
        <v>62</v>
      </c>
      <c r="L11">
        <v>0</v>
      </c>
      <c r="M11">
        <v>7</v>
      </c>
      <c r="N11">
        <v>6</v>
      </c>
      <c r="O11">
        <v>8</v>
      </c>
      <c r="P11">
        <v>2</v>
      </c>
      <c r="Q11">
        <v>1</v>
      </c>
      <c r="R11">
        <v>0</v>
      </c>
      <c r="S11">
        <v>1</v>
      </c>
      <c r="T11">
        <v>0</v>
      </c>
      <c r="U11">
        <v>1</v>
      </c>
      <c r="V11">
        <f>IF(SUM(ifood_data[[#This Row],[AcceptedCmp1]:[AcceptedCmp5]])&gt;0,1,0)</f>
        <v>1</v>
      </c>
      <c r="W11">
        <v>0</v>
      </c>
      <c r="X11">
        <v>3</v>
      </c>
      <c r="Y11">
        <v>11</v>
      </c>
      <c r="Z11">
        <v>1</v>
      </c>
      <c r="AA11">
        <v>40</v>
      </c>
      <c r="AB11">
        <v>2196</v>
      </c>
      <c r="AC11" s="28">
        <f>ifood_data[[#This Row],[Customer_Days]]/365</f>
        <v>6.0164383561643833</v>
      </c>
      <c r="AD11">
        <v>0</v>
      </c>
      <c r="AE11">
        <v>1</v>
      </c>
      <c r="AF11">
        <v>0</v>
      </c>
      <c r="AG11">
        <v>0</v>
      </c>
      <c r="AH11">
        <v>0</v>
      </c>
      <c r="AI11">
        <v>1</v>
      </c>
      <c r="AJ11">
        <v>0</v>
      </c>
      <c r="AK11">
        <v>0</v>
      </c>
      <c r="AL11">
        <v>0</v>
      </c>
      <c r="AM11">
        <v>0</v>
      </c>
      <c r="AN11">
        <v>747</v>
      </c>
      <c r="AO11">
        <v>685</v>
      </c>
      <c r="AP11">
        <f>ifood_data[[#This Row],[MntTotal]]-ifood_data[[#This Row],[MntRegularProds]]</f>
        <v>62</v>
      </c>
      <c r="AQ11">
        <v>3</v>
      </c>
      <c r="AR11">
        <f>IF(SUM(ifood_data[[#This Row],[Kidhome]:[Teenhome]])&gt;0,1,0)</f>
        <v>0</v>
      </c>
      <c r="AS11" t="str">
        <f>IF(SUM(ifood_data[[#This Row],[Kidhome]:[Teenhome]])&gt;0,"Has Family","No Family")</f>
        <v>No Family</v>
      </c>
      <c r="AT11" t="str">
        <f>IF(ifood_data[[#This Row],[marital_Married]]=1,"Married", (IF(ifood_data[[#This Row],[marital_Single]]=1,"Single",(IF(ifood_data[[#This Row],[marital_Divorced]]=1,"Divorced",(IF(ifood_data[[#This Row],[marital_Together]]=1,"Living Together",(IF(ifood_data[[#This Row],[marital_Widow]]=1,"Widow","Other")))))))))</f>
        <v>Married</v>
      </c>
      <c r="AU11" t="str">
        <f>IF(ifood_data[[#This Row],[education_Basic]]=1,"High School",(IF(ifood_data[[#This Row],[education_Graduation]]=1,"Undergraduate Degree",(IF(SUM(AM11,AL11,AI11)&gt;0,"Master's Degree or Higher","Other")))))</f>
        <v>Master's Degree or Higher</v>
      </c>
      <c r="AV11" t="str">
        <f>IF(ifood_data[[#All],[Income]]&gt;75000,"75K+",(IF(ifood_data[[#All],[Income]]&gt;50000,"50K-75K",(IF(ifood_data[[#All],[Income]]&gt;35000,"35K-50K","&lt;35K")))))</f>
        <v>75K+</v>
      </c>
      <c r="AW11" t="str">
        <f>IF(ifood_data[[#All],[Age]]&gt;60,"60+",(IF(ifood_data[[#All],[Age]]&gt;50,"50-60",(IF(ifood_data[[#All],[Age]]&gt;40,"40-50",(IF(ifood_data[[#All],[Age]]&gt;30,"30-40","&lt;30")))))))</f>
        <v>30-40</v>
      </c>
      <c r="AX11">
        <f t="shared" si="0"/>
        <v>23</v>
      </c>
      <c r="AY11">
        <f t="shared" si="1"/>
        <v>10</v>
      </c>
      <c r="AZ11">
        <f t="shared" si="2"/>
        <v>6</v>
      </c>
      <c r="BA11">
        <f t="shared" si="3"/>
        <v>6</v>
      </c>
      <c r="BB11">
        <f>SUM(ifood_data[[#This Row],[Recency Score]:[Monetary Score]])</f>
        <v>22</v>
      </c>
      <c r="BC11">
        <f>(_xlfn.PERCENTRANK.INC(ifood_data[[#All],[RFM]],ifood_data[[#This Row],[RFM]],1))*10</f>
        <v>8</v>
      </c>
      <c r="BD11" t="str">
        <f>VLOOKUP(ifood_data[[#This Row],[RFM Score]],'RFM Analysis'!$A$3:$B$14,2,FALSE)</f>
        <v>Loyal Customer</v>
      </c>
      <c r="BE11">
        <f>'Regression Models'!$B$101+'Regression Models'!$B$102*ifood_data[[#This Row],[Income]]+'Regression Models'!$B$103*ifood_data[[#This Row],[Age]]+'Regression Models'!$B$104*ifood_data[[#This Row],[Family]]</f>
        <v>1707.2015785587682</v>
      </c>
      <c r="BF11" t="str">
        <f>IF(ifood_data[[#This Row],[AcceptedCmpOverall]]=1,"Campaign Respondent","Non-respondent")</f>
        <v>Campaign Respondent</v>
      </c>
    </row>
    <row r="12" spans="1:58" x14ac:dyDescent="0.35">
      <c r="A12">
        <v>946</v>
      </c>
      <c r="B12">
        <v>95169</v>
      </c>
      <c r="C12">
        <v>0</v>
      </c>
      <c r="D12">
        <v>0</v>
      </c>
      <c r="E12">
        <v>1</v>
      </c>
      <c r="F12">
        <v>1285</v>
      </c>
      <c r="G12">
        <v>21</v>
      </c>
      <c r="H12">
        <v>449</v>
      </c>
      <c r="I12">
        <v>106</v>
      </c>
      <c r="J12">
        <v>20</v>
      </c>
      <c r="K12">
        <v>20</v>
      </c>
      <c r="L12">
        <v>1</v>
      </c>
      <c r="M12">
        <v>4</v>
      </c>
      <c r="N12">
        <v>3</v>
      </c>
      <c r="O12">
        <v>4</v>
      </c>
      <c r="P12">
        <v>1</v>
      </c>
      <c r="Q12">
        <v>1</v>
      </c>
      <c r="R12">
        <v>0</v>
      </c>
      <c r="S12">
        <v>0</v>
      </c>
      <c r="T12">
        <v>0</v>
      </c>
      <c r="U12">
        <v>1</v>
      </c>
      <c r="V12">
        <f>IF(SUM(ifood_data[[#This Row],[AcceptedCmp1]:[AcceptedCmp5]])&gt;0,1,0)</f>
        <v>1</v>
      </c>
      <c r="W12">
        <v>0</v>
      </c>
      <c r="X12">
        <v>3</v>
      </c>
      <c r="Y12">
        <v>11</v>
      </c>
      <c r="Z12">
        <v>1</v>
      </c>
      <c r="AA12">
        <v>33</v>
      </c>
      <c r="AB12">
        <v>2422</v>
      </c>
      <c r="AC12" s="28">
        <f>ifood_data[[#This Row],[Customer_Days]]/365</f>
        <v>6.6356164383561644</v>
      </c>
      <c r="AD12">
        <v>0</v>
      </c>
      <c r="AE12">
        <v>0</v>
      </c>
      <c r="AF12">
        <v>1</v>
      </c>
      <c r="AG12">
        <v>0</v>
      </c>
      <c r="AH12">
        <v>0</v>
      </c>
      <c r="AI12">
        <v>0</v>
      </c>
      <c r="AJ12">
        <v>0</v>
      </c>
      <c r="AK12">
        <v>0</v>
      </c>
      <c r="AL12">
        <v>0</v>
      </c>
      <c r="AM12">
        <v>1</v>
      </c>
      <c r="AN12">
        <v>1881</v>
      </c>
      <c r="AO12">
        <v>1861</v>
      </c>
      <c r="AP12">
        <f>ifood_data[[#This Row],[MntTotal]]-ifood_data[[#This Row],[MntRegularProds]]</f>
        <v>20</v>
      </c>
      <c r="AQ12">
        <v>2</v>
      </c>
      <c r="AR12">
        <f>IF(SUM(ifood_data[[#This Row],[Kidhome]:[Teenhome]])&gt;0,1,0)</f>
        <v>0</v>
      </c>
      <c r="AS12" t="str">
        <f>IF(SUM(ifood_data[[#This Row],[Kidhome]:[Teenhome]])&gt;0,"Has Family","No Family")</f>
        <v>No Family</v>
      </c>
      <c r="AT12" t="str">
        <f>IF(ifood_data[[#This Row],[marital_Married]]=1,"Married", (IF(ifood_data[[#This Row],[marital_Single]]=1,"Single",(IF(ifood_data[[#This Row],[marital_Divorced]]=1,"Divorced",(IF(ifood_data[[#This Row],[marital_Together]]=1,"Living Together",(IF(ifood_data[[#This Row],[marital_Widow]]=1,"Widow","Other")))))))))</f>
        <v>Single</v>
      </c>
      <c r="AU12" t="str">
        <f>IF(ifood_data[[#This Row],[education_Basic]]=1,"High School",(IF(ifood_data[[#This Row],[education_Graduation]]=1,"Undergraduate Degree",(IF(SUM(AM12,AL12,AI12)&gt;0,"Master's Degree or Higher","Other")))))</f>
        <v>Master's Degree or Higher</v>
      </c>
      <c r="AV12" t="str">
        <f>IF(ifood_data[[#All],[Income]]&gt;75000,"75K+",(IF(ifood_data[[#All],[Income]]&gt;50000,"50K-75K",(IF(ifood_data[[#All],[Income]]&gt;35000,"35K-50K","&lt;35K")))))</f>
        <v>75K+</v>
      </c>
      <c r="AW12" t="str">
        <f>IF(ifood_data[[#All],[Age]]&gt;60,"60+",(IF(ifood_data[[#All],[Age]]&gt;50,"50-60",(IF(ifood_data[[#All],[Age]]&gt;40,"40-50",(IF(ifood_data[[#All],[Age]]&gt;30,"30-40","&lt;30")))))))</f>
        <v>30-40</v>
      </c>
      <c r="AX12">
        <f t="shared" si="0"/>
        <v>13</v>
      </c>
      <c r="AY12">
        <f t="shared" si="1"/>
        <v>10</v>
      </c>
      <c r="AZ12">
        <f t="shared" si="2"/>
        <v>1</v>
      </c>
      <c r="BA12">
        <f t="shared" si="3"/>
        <v>9</v>
      </c>
      <c r="BB12">
        <f>SUM(ifood_data[[#This Row],[Recency Score]:[Monetary Score]])</f>
        <v>20</v>
      </c>
      <c r="BC12">
        <f>(_xlfn.PERCENTRANK.INC(ifood_data[[#All],[RFM]],ifood_data[[#This Row],[RFM]],1))*10</f>
        <v>7</v>
      </c>
      <c r="BD12" t="str">
        <f>VLOOKUP(ifood_data[[#This Row],[RFM Score]],'RFM Analysis'!$A$3:$B$14,2,FALSE)</f>
        <v>Loyal Customer</v>
      </c>
      <c r="BE12">
        <f>'Regression Models'!$B$101+'Regression Models'!$B$102*ifood_data[[#This Row],[Income]]+'Regression Models'!$B$103*ifood_data[[#This Row],[Age]]+'Regression Models'!$B$104*ifood_data[[#This Row],[Family]]</f>
        <v>1691.9609296087351</v>
      </c>
      <c r="BF12" t="str">
        <f>IF(ifood_data[[#This Row],[AcceptedCmpOverall]]=1,"Campaign Respondent","Non-respondent")</f>
        <v>Campaign Respondent</v>
      </c>
    </row>
    <row r="13" spans="1:58" x14ac:dyDescent="0.35">
      <c r="A13">
        <v>129</v>
      </c>
      <c r="B13">
        <v>92859</v>
      </c>
      <c r="C13">
        <v>0</v>
      </c>
      <c r="D13">
        <v>0</v>
      </c>
      <c r="E13">
        <v>46</v>
      </c>
      <c r="F13">
        <v>962</v>
      </c>
      <c r="G13">
        <v>61</v>
      </c>
      <c r="H13">
        <v>921</v>
      </c>
      <c r="I13">
        <v>52</v>
      </c>
      <c r="J13">
        <v>61</v>
      </c>
      <c r="K13">
        <v>20</v>
      </c>
      <c r="L13">
        <v>1</v>
      </c>
      <c r="M13">
        <v>5</v>
      </c>
      <c r="N13">
        <v>4</v>
      </c>
      <c r="O13">
        <v>12</v>
      </c>
      <c r="P13">
        <v>2</v>
      </c>
      <c r="Q13">
        <v>0</v>
      </c>
      <c r="R13">
        <v>0</v>
      </c>
      <c r="S13">
        <v>0</v>
      </c>
      <c r="T13">
        <v>0</v>
      </c>
      <c r="U13">
        <v>0</v>
      </c>
      <c r="V13">
        <f>IF(SUM(ifood_data[[#This Row],[AcceptedCmp1]:[AcceptedCmp5]])&gt;0,1,0)</f>
        <v>0</v>
      </c>
      <c r="W13">
        <v>0</v>
      </c>
      <c r="X13">
        <v>3</v>
      </c>
      <c r="Y13">
        <v>11</v>
      </c>
      <c r="Z13">
        <v>0</v>
      </c>
      <c r="AA13">
        <v>28</v>
      </c>
      <c r="AB13">
        <v>2777</v>
      </c>
      <c r="AC13" s="28">
        <f>ifood_data[[#This Row],[Customer_Days]]/365</f>
        <v>7.6082191780821917</v>
      </c>
      <c r="AD13">
        <v>0</v>
      </c>
      <c r="AE13">
        <v>0</v>
      </c>
      <c r="AF13">
        <v>1</v>
      </c>
      <c r="AG13">
        <v>0</v>
      </c>
      <c r="AH13">
        <v>0</v>
      </c>
      <c r="AI13">
        <v>0</v>
      </c>
      <c r="AJ13">
        <v>0</v>
      </c>
      <c r="AK13">
        <v>0</v>
      </c>
      <c r="AL13">
        <v>1</v>
      </c>
      <c r="AM13">
        <v>0</v>
      </c>
      <c r="AN13">
        <v>2057</v>
      </c>
      <c r="AO13">
        <v>2037</v>
      </c>
      <c r="AP13">
        <f>ifood_data[[#This Row],[MntTotal]]-ifood_data[[#This Row],[MntRegularProds]]</f>
        <v>20</v>
      </c>
      <c r="AQ13">
        <v>0</v>
      </c>
      <c r="AR13">
        <f>IF(SUM(ifood_data[[#This Row],[Kidhome]:[Teenhome]])&gt;0,1,0)</f>
        <v>0</v>
      </c>
      <c r="AS13" t="str">
        <f>IF(SUM(ifood_data[[#This Row],[Kidhome]:[Teenhome]])&gt;0,"Has Family","No Family")</f>
        <v>No Family</v>
      </c>
      <c r="AT13" t="str">
        <f>IF(ifood_data[[#This Row],[marital_Married]]=1,"Married", (IF(ifood_data[[#This Row],[marital_Single]]=1,"Single",(IF(ifood_data[[#This Row],[marital_Divorced]]=1,"Divorced",(IF(ifood_data[[#This Row],[marital_Together]]=1,"Living Together",(IF(ifood_data[[#This Row],[marital_Widow]]=1,"Widow","Other")))))))))</f>
        <v>Single</v>
      </c>
      <c r="AU13" t="str">
        <f>IF(ifood_data[[#This Row],[education_Basic]]=1,"High School",(IF(ifood_data[[#This Row],[education_Graduation]]=1,"Undergraduate Degree",(IF(SUM(AM13,AL13,AI13)&gt;0,"Master's Degree or Higher","Other")))))</f>
        <v>Master's Degree or Higher</v>
      </c>
      <c r="AV13" t="str">
        <f>IF(ifood_data[[#All],[Income]]&gt;75000,"75K+",(IF(ifood_data[[#All],[Income]]&gt;50000,"50K-75K",(IF(ifood_data[[#All],[Income]]&gt;35000,"35K-50K","&lt;35K")))))</f>
        <v>75K+</v>
      </c>
      <c r="AW13" t="str">
        <f>IF(ifood_data[[#All],[Age]]&gt;60,"60+",(IF(ifood_data[[#All],[Age]]&gt;50,"50-60",(IF(ifood_data[[#All],[Age]]&gt;40,"40-50",(IF(ifood_data[[#All],[Age]]&gt;30,"30-40","&lt;30")))))))</f>
        <v>&lt;30</v>
      </c>
      <c r="AX13">
        <f t="shared" si="0"/>
        <v>24</v>
      </c>
      <c r="AY13">
        <f t="shared" si="1"/>
        <v>6</v>
      </c>
      <c r="AZ13">
        <f t="shared" si="2"/>
        <v>6</v>
      </c>
      <c r="BA13">
        <f t="shared" si="3"/>
        <v>9</v>
      </c>
      <c r="BB13">
        <f>SUM(ifood_data[[#This Row],[Recency Score]:[Monetary Score]])</f>
        <v>21</v>
      </c>
      <c r="BC13">
        <f>(_xlfn.PERCENTRANK.INC(ifood_data[[#All],[RFM]],ifood_data[[#This Row],[RFM]],1))*10</f>
        <v>8</v>
      </c>
      <c r="BD13" t="str">
        <f>VLOOKUP(ifood_data[[#This Row],[RFM Score]],'RFM Analysis'!$A$3:$B$14,2,FALSE)</f>
        <v>Loyal Customer</v>
      </c>
      <c r="BE13">
        <f>'Regression Models'!$B$101+'Regression Models'!$B$102*ifood_data[[#This Row],[Income]]+'Regression Models'!$B$103*ifood_data[[#This Row],[Age]]+'Regression Models'!$B$104*ifood_data[[#This Row],[Family]]</f>
        <v>1654.0450705908002</v>
      </c>
      <c r="BF13" t="str">
        <f>IF(ifood_data[[#This Row],[AcceptedCmpOverall]]=1,"Campaign Respondent","Non-respondent")</f>
        <v>Non-respondent</v>
      </c>
    </row>
    <row r="14" spans="1:58" x14ac:dyDescent="0.35">
      <c r="A14">
        <v>403</v>
      </c>
      <c r="B14">
        <v>92910</v>
      </c>
      <c r="C14">
        <v>0</v>
      </c>
      <c r="D14">
        <v>0</v>
      </c>
      <c r="E14">
        <v>42</v>
      </c>
      <c r="F14">
        <v>551</v>
      </c>
      <c r="G14">
        <v>137</v>
      </c>
      <c r="H14">
        <v>792</v>
      </c>
      <c r="I14">
        <v>179</v>
      </c>
      <c r="J14">
        <v>103</v>
      </c>
      <c r="K14">
        <v>33</v>
      </c>
      <c r="L14">
        <v>1</v>
      </c>
      <c r="M14">
        <v>6</v>
      </c>
      <c r="N14">
        <v>7</v>
      </c>
      <c r="O14">
        <v>13</v>
      </c>
      <c r="P14">
        <v>1</v>
      </c>
      <c r="Q14">
        <v>1</v>
      </c>
      <c r="R14">
        <v>0</v>
      </c>
      <c r="S14">
        <v>0</v>
      </c>
      <c r="T14">
        <v>1</v>
      </c>
      <c r="U14">
        <v>1</v>
      </c>
      <c r="V14">
        <f>IF(SUM(ifood_data[[#This Row],[AcceptedCmp1]:[AcceptedCmp5]])&gt;0,1,0)</f>
        <v>1</v>
      </c>
      <c r="W14">
        <v>0</v>
      </c>
      <c r="X14">
        <v>3</v>
      </c>
      <c r="Y14">
        <v>11</v>
      </c>
      <c r="Z14">
        <v>0</v>
      </c>
      <c r="AA14">
        <v>34</v>
      </c>
      <c r="AB14">
        <v>2225</v>
      </c>
      <c r="AC14" s="28">
        <f>ifood_data[[#This Row],[Customer_Days]]/365</f>
        <v>6.095890410958904</v>
      </c>
      <c r="AD14">
        <v>0</v>
      </c>
      <c r="AE14">
        <v>1</v>
      </c>
      <c r="AF14">
        <v>0</v>
      </c>
      <c r="AG14">
        <v>0</v>
      </c>
      <c r="AH14">
        <v>0</v>
      </c>
      <c r="AI14">
        <v>0</v>
      </c>
      <c r="AJ14">
        <v>0</v>
      </c>
      <c r="AK14">
        <v>1</v>
      </c>
      <c r="AL14">
        <v>0</v>
      </c>
      <c r="AM14">
        <v>0</v>
      </c>
      <c r="AN14">
        <v>1762</v>
      </c>
      <c r="AO14">
        <v>1729</v>
      </c>
      <c r="AP14">
        <f>ifood_data[[#This Row],[MntTotal]]-ifood_data[[#This Row],[MntRegularProds]]</f>
        <v>33</v>
      </c>
      <c r="AQ14">
        <v>3</v>
      </c>
      <c r="AR14">
        <f>IF(SUM(ifood_data[[#This Row],[Kidhome]:[Teenhome]])&gt;0,1,0)</f>
        <v>0</v>
      </c>
      <c r="AS14" t="str">
        <f>IF(SUM(ifood_data[[#This Row],[Kidhome]:[Teenhome]])&gt;0,"Has Family","No Family")</f>
        <v>No Family</v>
      </c>
      <c r="AT14" t="str">
        <f>IF(ifood_data[[#This Row],[marital_Married]]=1,"Married", (IF(ifood_data[[#This Row],[marital_Single]]=1,"Single",(IF(ifood_data[[#This Row],[marital_Divorced]]=1,"Divorced",(IF(ifood_data[[#This Row],[marital_Together]]=1,"Living Together",(IF(ifood_data[[#This Row],[marital_Widow]]=1,"Widow","Other")))))))))</f>
        <v>Married</v>
      </c>
      <c r="AU14" t="str">
        <f>IF(ifood_data[[#This Row],[education_Basic]]=1,"High School",(IF(ifood_data[[#This Row],[education_Graduation]]=1,"Undergraduate Degree",(IF(SUM(AM14,AL14,AI14)&gt;0,"Master's Degree or Higher","Other")))))</f>
        <v>Undergraduate Degree</v>
      </c>
      <c r="AV14" t="str">
        <f>IF(ifood_data[[#All],[Income]]&gt;75000,"75K+",(IF(ifood_data[[#All],[Income]]&gt;50000,"50K-75K",(IF(ifood_data[[#All],[Income]]&gt;35000,"35K-50K","&lt;35K")))))</f>
        <v>75K+</v>
      </c>
      <c r="AW14" t="str">
        <f>IF(ifood_data[[#All],[Age]]&gt;60,"60+",(IF(ifood_data[[#All],[Age]]&gt;50,"50-60",(IF(ifood_data[[#All],[Age]]&gt;40,"40-50",(IF(ifood_data[[#All],[Age]]&gt;30,"30-40","&lt;30")))))))</f>
        <v>30-40</v>
      </c>
      <c r="AX14">
        <f t="shared" si="0"/>
        <v>28</v>
      </c>
      <c r="AY14">
        <f t="shared" si="1"/>
        <v>6</v>
      </c>
      <c r="AZ14">
        <f t="shared" si="2"/>
        <v>8</v>
      </c>
      <c r="BA14">
        <f t="shared" si="3"/>
        <v>9</v>
      </c>
      <c r="BB14">
        <f>SUM(ifood_data[[#This Row],[Recency Score]:[Monetary Score]])</f>
        <v>23</v>
      </c>
      <c r="BC14">
        <f>(_xlfn.PERCENTRANK.INC(ifood_data[[#All],[RFM]],ifood_data[[#This Row],[RFM]],1))*10</f>
        <v>8</v>
      </c>
      <c r="BD14" t="str">
        <f>VLOOKUP(ifood_data[[#This Row],[RFM Score]],'RFM Analysis'!$A$3:$B$14,2,FALSE)</f>
        <v>Loyal Customer</v>
      </c>
      <c r="BE14">
        <f>'Regression Models'!$B$101+'Regression Models'!$B$102*ifood_data[[#This Row],[Income]]+'Regression Models'!$B$103*ifood_data[[#This Row],[Age]]+'Regression Models'!$B$104*ifood_data[[#This Row],[Family]]</f>
        <v>1644.0662632927733</v>
      </c>
      <c r="BF14" t="str">
        <f>IF(ifood_data[[#This Row],[AcceptedCmpOverall]]=1,"Campaign Respondent","Non-respondent")</f>
        <v>Campaign Respondent</v>
      </c>
    </row>
    <row r="15" spans="1:58" x14ac:dyDescent="0.35">
      <c r="A15">
        <v>1334</v>
      </c>
      <c r="B15">
        <v>92533</v>
      </c>
      <c r="C15">
        <v>0</v>
      </c>
      <c r="D15">
        <v>0</v>
      </c>
      <c r="E15">
        <v>84</v>
      </c>
      <c r="F15">
        <v>693</v>
      </c>
      <c r="G15">
        <v>21</v>
      </c>
      <c r="H15">
        <v>118</v>
      </c>
      <c r="I15">
        <v>110</v>
      </c>
      <c r="J15">
        <v>147</v>
      </c>
      <c r="K15">
        <v>42</v>
      </c>
      <c r="L15">
        <v>1</v>
      </c>
      <c r="M15">
        <v>6</v>
      </c>
      <c r="N15">
        <v>5</v>
      </c>
      <c r="O15">
        <v>11</v>
      </c>
      <c r="P15">
        <v>2</v>
      </c>
      <c r="Q15">
        <v>1</v>
      </c>
      <c r="R15">
        <v>0</v>
      </c>
      <c r="S15">
        <v>0</v>
      </c>
      <c r="T15">
        <v>0</v>
      </c>
      <c r="U15">
        <v>1</v>
      </c>
      <c r="V15">
        <f>IF(SUM(ifood_data[[#This Row],[AcceptedCmp1]:[AcceptedCmp5]])&gt;0,1,0)</f>
        <v>1</v>
      </c>
      <c r="W15">
        <v>0</v>
      </c>
      <c r="X15">
        <v>3</v>
      </c>
      <c r="Y15">
        <v>11</v>
      </c>
      <c r="Z15">
        <v>0</v>
      </c>
      <c r="AA15">
        <v>35</v>
      </c>
      <c r="AB15">
        <v>2351</v>
      </c>
      <c r="AC15" s="28">
        <f>ifood_data[[#This Row],[Customer_Days]]/365</f>
        <v>6.441095890410959</v>
      </c>
      <c r="AD15">
        <v>0</v>
      </c>
      <c r="AE15">
        <v>1</v>
      </c>
      <c r="AF15">
        <v>0</v>
      </c>
      <c r="AG15">
        <v>0</v>
      </c>
      <c r="AH15">
        <v>0</v>
      </c>
      <c r="AI15">
        <v>0</v>
      </c>
      <c r="AJ15">
        <v>0</v>
      </c>
      <c r="AK15">
        <v>1</v>
      </c>
      <c r="AL15">
        <v>0</v>
      </c>
      <c r="AM15">
        <v>0</v>
      </c>
      <c r="AN15">
        <v>1089</v>
      </c>
      <c r="AO15">
        <v>1047</v>
      </c>
      <c r="AP15">
        <f>ifood_data[[#This Row],[MntTotal]]-ifood_data[[#This Row],[MntRegularProds]]</f>
        <v>42</v>
      </c>
      <c r="AQ15">
        <v>2</v>
      </c>
      <c r="AR15">
        <f>IF(SUM(ifood_data[[#This Row],[Kidhome]:[Teenhome]])&gt;0,1,0)</f>
        <v>0</v>
      </c>
      <c r="AS15" t="str">
        <f>IF(SUM(ifood_data[[#This Row],[Kidhome]:[Teenhome]])&gt;0,"Has Family","No Family")</f>
        <v>No Family</v>
      </c>
      <c r="AT15" t="str">
        <f>IF(ifood_data[[#This Row],[marital_Married]]=1,"Married", (IF(ifood_data[[#This Row],[marital_Single]]=1,"Single",(IF(ifood_data[[#This Row],[marital_Divorced]]=1,"Divorced",(IF(ifood_data[[#This Row],[marital_Together]]=1,"Living Together",(IF(ifood_data[[#This Row],[marital_Widow]]=1,"Widow","Other")))))))))</f>
        <v>Married</v>
      </c>
      <c r="AU15" t="str">
        <f>IF(ifood_data[[#This Row],[education_Basic]]=1,"High School",(IF(ifood_data[[#This Row],[education_Graduation]]=1,"Undergraduate Degree",(IF(SUM(AM15,AL15,AI15)&gt;0,"Master's Degree or Higher","Other")))))</f>
        <v>Undergraduate Degree</v>
      </c>
      <c r="AV15" t="str">
        <f>IF(ifood_data[[#All],[Income]]&gt;75000,"75K+",(IF(ifood_data[[#All],[Income]]&gt;50000,"50K-75K",(IF(ifood_data[[#All],[Income]]&gt;35000,"35K-50K","&lt;35K")))))</f>
        <v>75K+</v>
      </c>
      <c r="AW15" t="str">
        <f>IF(ifood_data[[#All],[Age]]&gt;60,"60+",(IF(ifood_data[[#All],[Age]]&gt;50,"50-60",(IF(ifood_data[[#All],[Age]]&gt;40,"40-50",(IF(ifood_data[[#All],[Age]]&gt;30,"30-40","&lt;30")))))))</f>
        <v>30-40</v>
      </c>
      <c r="AX15">
        <f t="shared" si="0"/>
        <v>25</v>
      </c>
      <c r="AY15">
        <f t="shared" si="1"/>
        <v>1.9999999999999996</v>
      </c>
      <c r="AZ15">
        <f t="shared" si="2"/>
        <v>7</v>
      </c>
      <c r="BA15">
        <f t="shared" si="3"/>
        <v>7</v>
      </c>
      <c r="BB15">
        <f>SUM(ifood_data[[#This Row],[Recency Score]:[Monetary Score]])</f>
        <v>16</v>
      </c>
      <c r="BC15">
        <f>(_xlfn.PERCENTRANK.INC(ifood_data[[#All],[RFM]],ifood_data[[#This Row],[RFM]],1))*10</f>
        <v>5</v>
      </c>
      <c r="BD15" t="str">
        <f>VLOOKUP(ifood_data[[#This Row],[RFM Score]],'RFM Analysis'!$A$3:$B$14,2,FALSE)</f>
        <v>Promising</v>
      </c>
      <c r="BE15">
        <f>'Regression Models'!$B$101+'Regression Models'!$B$102*ifood_data[[#This Row],[Income]]+'Regression Models'!$B$103*ifood_data[[#This Row],[Age]]+'Regression Models'!$B$104*ifood_data[[#This Row],[Family]]</f>
        <v>1634.5432586236293</v>
      </c>
      <c r="BF15" t="str">
        <f>IF(ifood_data[[#This Row],[AcceptedCmpOverall]]=1,"Campaign Respondent","Non-respondent")</f>
        <v>Campaign Respondent</v>
      </c>
    </row>
    <row r="16" spans="1:58" x14ac:dyDescent="0.35">
      <c r="A16">
        <v>1357</v>
      </c>
      <c r="B16">
        <v>93790</v>
      </c>
      <c r="C16">
        <v>0</v>
      </c>
      <c r="D16">
        <v>0</v>
      </c>
      <c r="E16">
        <v>16</v>
      </c>
      <c r="F16">
        <v>1302</v>
      </c>
      <c r="G16">
        <v>68</v>
      </c>
      <c r="H16">
        <v>731</v>
      </c>
      <c r="I16">
        <v>89</v>
      </c>
      <c r="J16">
        <v>114</v>
      </c>
      <c r="K16">
        <v>45</v>
      </c>
      <c r="L16">
        <v>0</v>
      </c>
      <c r="M16">
        <v>6</v>
      </c>
      <c r="N16">
        <v>7</v>
      </c>
      <c r="O16">
        <v>12</v>
      </c>
      <c r="P16">
        <v>2</v>
      </c>
      <c r="Q16">
        <v>1</v>
      </c>
      <c r="R16">
        <v>0</v>
      </c>
      <c r="S16">
        <v>0</v>
      </c>
      <c r="T16">
        <v>1</v>
      </c>
      <c r="U16">
        <v>1</v>
      </c>
      <c r="V16">
        <f>IF(SUM(ifood_data[[#This Row],[AcceptedCmp1]:[AcceptedCmp5]])&gt;0,1,0)</f>
        <v>1</v>
      </c>
      <c r="W16">
        <v>0</v>
      </c>
      <c r="X16">
        <v>3</v>
      </c>
      <c r="Y16">
        <v>11</v>
      </c>
      <c r="Z16">
        <v>1</v>
      </c>
      <c r="AA16">
        <v>50</v>
      </c>
      <c r="AB16">
        <v>2296</v>
      </c>
      <c r="AC16" s="28">
        <f>ifood_data[[#This Row],[Customer_Days]]/365</f>
        <v>6.2904109589041095</v>
      </c>
      <c r="AD16">
        <v>0</v>
      </c>
      <c r="AE16">
        <v>0</v>
      </c>
      <c r="AF16">
        <v>1</v>
      </c>
      <c r="AG16">
        <v>0</v>
      </c>
      <c r="AH16">
        <v>0</v>
      </c>
      <c r="AI16">
        <v>0</v>
      </c>
      <c r="AJ16">
        <v>0</v>
      </c>
      <c r="AK16">
        <v>1</v>
      </c>
      <c r="AL16">
        <v>0</v>
      </c>
      <c r="AM16">
        <v>0</v>
      </c>
      <c r="AN16">
        <v>2304</v>
      </c>
      <c r="AO16">
        <v>2259</v>
      </c>
      <c r="AP16">
        <f>ifood_data[[#This Row],[MntTotal]]-ifood_data[[#This Row],[MntRegularProds]]</f>
        <v>45</v>
      </c>
      <c r="AQ16">
        <v>3</v>
      </c>
      <c r="AR16">
        <f>IF(SUM(ifood_data[[#This Row],[Kidhome]:[Teenhome]])&gt;0,1,0)</f>
        <v>0</v>
      </c>
      <c r="AS16" t="str">
        <f>IF(SUM(ifood_data[[#This Row],[Kidhome]:[Teenhome]])&gt;0,"Has Family","No Family")</f>
        <v>No Family</v>
      </c>
      <c r="AT16" t="str">
        <f>IF(ifood_data[[#This Row],[marital_Married]]=1,"Married", (IF(ifood_data[[#This Row],[marital_Single]]=1,"Single",(IF(ifood_data[[#This Row],[marital_Divorced]]=1,"Divorced",(IF(ifood_data[[#This Row],[marital_Together]]=1,"Living Together",(IF(ifood_data[[#This Row],[marital_Widow]]=1,"Widow","Other")))))))))</f>
        <v>Single</v>
      </c>
      <c r="AU16" t="str">
        <f>IF(ifood_data[[#This Row],[education_Basic]]=1,"High School",(IF(ifood_data[[#This Row],[education_Graduation]]=1,"Undergraduate Degree",(IF(SUM(AM16,AL16,AI16)&gt;0,"Master's Degree or Higher","Other")))))</f>
        <v>Undergraduate Degree</v>
      </c>
      <c r="AV16" t="str">
        <f>IF(ifood_data[[#All],[Income]]&gt;75000,"75K+",(IF(ifood_data[[#All],[Income]]&gt;50000,"50K-75K",(IF(ifood_data[[#All],[Income]]&gt;35000,"35K-50K","&lt;35K")))))</f>
        <v>75K+</v>
      </c>
      <c r="AW16" t="str">
        <f>IF(ifood_data[[#All],[Age]]&gt;60,"60+",(IF(ifood_data[[#All],[Age]]&gt;50,"50-60",(IF(ifood_data[[#All],[Age]]&gt;40,"40-50",(IF(ifood_data[[#All],[Age]]&gt;30,"30-40","&lt;30")))))))</f>
        <v>40-50</v>
      </c>
      <c r="AX16">
        <f t="shared" si="0"/>
        <v>27</v>
      </c>
      <c r="AY16">
        <f t="shared" si="1"/>
        <v>9</v>
      </c>
      <c r="AZ16">
        <f t="shared" si="2"/>
        <v>7</v>
      </c>
      <c r="BA16">
        <f t="shared" si="3"/>
        <v>9</v>
      </c>
      <c r="BB16">
        <f>SUM(ifood_data[[#This Row],[Recency Score]:[Monetary Score]])</f>
        <v>25</v>
      </c>
      <c r="BC16">
        <f>(_xlfn.PERCENTRANK.INC(ifood_data[[#All],[RFM]],ifood_data[[#This Row],[RFM]],1))*10</f>
        <v>9</v>
      </c>
      <c r="BD16" t="str">
        <f>VLOOKUP(ifood_data[[#This Row],[RFM Score]],'RFM Analysis'!$A$3:$B$14,2,FALSE)</f>
        <v>Top Customer</v>
      </c>
      <c r="BE16">
        <f>'Regression Models'!$B$101+'Regression Models'!$B$102*ifood_data[[#This Row],[Income]]+'Regression Models'!$B$103*ifood_data[[#This Row],[Age]]+'Regression Models'!$B$104*ifood_data[[#This Row],[Family]]</f>
        <v>1632.6253539970962</v>
      </c>
      <c r="BF16" t="str">
        <f>IF(ifood_data[[#This Row],[AcceptedCmpOverall]]=1,"Campaign Respondent","Non-respondent")</f>
        <v>Campaign Respondent</v>
      </c>
    </row>
    <row r="17" spans="1:58" x14ac:dyDescent="0.35">
      <c r="A17">
        <v>1584</v>
      </c>
      <c r="B17">
        <v>92491</v>
      </c>
      <c r="C17">
        <v>0</v>
      </c>
      <c r="D17">
        <v>0</v>
      </c>
      <c r="E17">
        <v>71</v>
      </c>
      <c r="F17">
        <v>979</v>
      </c>
      <c r="G17">
        <v>44</v>
      </c>
      <c r="H17">
        <v>935</v>
      </c>
      <c r="I17">
        <v>29</v>
      </c>
      <c r="J17">
        <v>25</v>
      </c>
      <c r="K17">
        <v>22</v>
      </c>
      <c r="L17">
        <v>1</v>
      </c>
      <c r="M17">
        <v>7</v>
      </c>
      <c r="N17">
        <v>5</v>
      </c>
      <c r="O17">
        <v>12</v>
      </c>
      <c r="P17">
        <v>3</v>
      </c>
      <c r="Q17">
        <v>1</v>
      </c>
      <c r="R17">
        <v>0</v>
      </c>
      <c r="S17">
        <v>0</v>
      </c>
      <c r="T17">
        <v>1</v>
      </c>
      <c r="U17">
        <v>1</v>
      </c>
      <c r="V17">
        <f>IF(SUM(ifood_data[[#This Row],[AcceptedCmp1]:[AcceptedCmp5]])&gt;0,1,0)</f>
        <v>1</v>
      </c>
      <c r="W17">
        <v>0</v>
      </c>
      <c r="X17">
        <v>3</v>
      </c>
      <c r="Y17">
        <v>11</v>
      </c>
      <c r="Z17">
        <v>1</v>
      </c>
      <c r="AA17">
        <v>37</v>
      </c>
      <c r="AB17">
        <v>2583</v>
      </c>
      <c r="AC17" s="28">
        <f>ifood_data[[#This Row],[Customer_Days]]/365</f>
        <v>7.0767123287671234</v>
      </c>
      <c r="AD17">
        <v>0</v>
      </c>
      <c r="AE17">
        <v>1</v>
      </c>
      <c r="AF17">
        <v>0</v>
      </c>
      <c r="AG17">
        <v>0</v>
      </c>
      <c r="AH17">
        <v>0</v>
      </c>
      <c r="AI17">
        <v>0</v>
      </c>
      <c r="AJ17">
        <v>0</v>
      </c>
      <c r="AK17">
        <v>0</v>
      </c>
      <c r="AL17">
        <v>0</v>
      </c>
      <c r="AM17">
        <v>1</v>
      </c>
      <c r="AN17">
        <v>2012</v>
      </c>
      <c r="AO17">
        <v>1990</v>
      </c>
      <c r="AP17">
        <f>ifood_data[[#This Row],[MntTotal]]-ifood_data[[#This Row],[MntRegularProds]]</f>
        <v>22</v>
      </c>
      <c r="AQ17">
        <v>3</v>
      </c>
      <c r="AR17">
        <f>IF(SUM(ifood_data[[#This Row],[Kidhome]:[Teenhome]])&gt;0,1,0)</f>
        <v>0</v>
      </c>
      <c r="AS17" t="str">
        <f>IF(SUM(ifood_data[[#This Row],[Kidhome]:[Teenhome]])&gt;0,"Has Family","No Family")</f>
        <v>No Family</v>
      </c>
      <c r="AT17" t="str">
        <f>IF(ifood_data[[#This Row],[marital_Married]]=1,"Married", (IF(ifood_data[[#This Row],[marital_Single]]=1,"Single",(IF(ifood_data[[#This Row],[marital_Divorced]]=1,"Divorced",(IF(ifood_data[[#This Row],[marital_Together]]=1,"Living Together",(IF(ifood_data[[#This Row],[marital_Widow]]=1,"Widow","Other")))))))))</f>
        <v>Married</v>
      </c>
      <c r="AU17" t="str">
        <f>IF(ifood_data[[#This Row],[education_Basic]]=1,"High School",(IF(ifood_data[[#This Row],[education_Graduation]]=1,"Undergraduate Degree",(IF(SUM(AM17,AL17,AI17)&gt;0,"Master's Degree or Higher","Other")))))</f>
        <v>Master's Degree or Higher</v>
      </c>
      <c r="AV17" t="str">
        <f>IF(ifood_data[[#All],[Income]]&gt;75000,"75K+",(IF(ifood_data[[#All],[Income]]&gt;50000,"50K-75K",(IF(ifood_data[[#All],[Income]]&gt;35000,"35K-50K","&lt;35K")))))</f>
        <v>75K+</v>
      </c>
      <c r="AW17" t="str">
        <f>IF(ifood_data[[#All],[Age]]&gt;60,"60+",(IF(ifood_data[[#All],[Age]]&gt;50,"50-60",(IF(ifood_data[[#All],[Age]]&gt;40,"40-50",(IF(ifood_data[[#All],[Age]]&gt;30,"30-40","&lt;30")))))))</f>
        <v>30-40</v>
      </c>
      <c r="AX17">
        <f t="shared" si="0"/>
        <v>28</v>
      </c>
      <c r="AY17">
        <f t="shared" si="1"/>
        <v>3.0000000000000004</v>
      </c>
      <c r="AZ17">
        <f t="shared" si="2"/>
        <v>8</v>
      </c>
      <c r="BA17">
        <f t="shared" si="3"/>
        <v>9</v>
      </c>
      <c r="BB17">
        <f>SUM(ifood_data[[#This Row],[Recency Score]:[Monetary Score]])</f>
        <v>20</v>
      </c>
      <c r="BC17">
        <f>(_xlfn.PERCENTRANK.INC(ifood_data[[#All],[RFM]],ifood_data[[#This Row],[RFM]],1))*10</f>
        <v>7</v>
      </c>
      <c r="BD17" t="str">
        <f>VLOOKUP(ifood_data[[#This Row],[RFM Score]],'RFM Analysis'!$A$3:$B$14,2,FALSE)</f>
        <v>Loyal Customer</v>
      </c>
      <c r="BE17">
        <f>'Regression Models'!$B$101+'Regression Models'!$B$102*ifood_data[[#This Row],[Income]]+'Regression Models'!$B$103*ifood_data[[#This Row],[Age]]+'Regression Models'!$B$104*ifood_data[[#This Row],[Family]]</f>
        <v>1630.0140522037968</v>
      </c>
      <c r="BF17" t="str">
        <f>IF(ifood_data[[#This Row],[AcceptedCmpOverall]]=1,"Campaign Respondent","Non-respondent")</f>
        <v>Campaign Respondent</v>
      </c>
    </row>
    <row r="18" spans="1:58" x14ac:dyDescent="0.35">
      <c r="A18">
        <v>772</v>
      </c>
      <c r="B18">
        <v>91820</v>
      </c>
      <c r="C18">
        <v>0</v>
      </c>
      <c r="D18">
        <v>0</v>
      </c>
      <c r="E18">
        <v>72</v>
      </c>
      <c r="F18">
        <v>410</v>
      </c>
      <c r="G18">
        <v>73</v>
      </c>
      <c r="H18">
        <v>747</v>
      </c>
      <c r="I18">
        <v>76</v>
      </c>
      <c r="J18">
        <v>161</v>
      </c>
      <c r="K18">
        <v>30</v>
      </c>
      <c r="L18">
        <v>0</v>
      </c>
      <c r="M18">
        <v>5</v>
      </c>
      <c r="N18">
        <v>5</v>
      </c>
      <c r="O18">
        <v>12</v>
      </c>
      <c r="P18">
        <v>1</v>
      </c>
      <c r="Q18">
        <v>0</v>
      </c>
      <c r="R18">
        <v>0</v>
      </c>
      <c r="S18">
        <v>0</v>
      </c>
      <c r="T18">
        <v>0</v>
      </c>
      <c r="U18">
        <v>0</v>
      </c>
      <c r="V18">
        <f>IF(SUM(ifood_data[[#This Row],[AcceptedCmp1]:[AcceptedCmp5]])&gt;0,1,0)</f>
        <v>0</v>
      </c>
      <c r="W18">
        <v>0</v>
      </c>
      <c r="X18">
        <v>3</v>
      </c>
      <c r="Y18">
        <v>11</v>
      </c>
      <c r="Z18">
        <v>0</v>
      </c>
      <c r="AA18">
        <v>34</v>
      </c>
      <c r="AB18">
        <v>2377</v>
      </c>
      <c r="AC18" s="28">
        <f>ifood_data[[#This Row],[Customer_Days]]/365</f>
        <v>6.5123287671232877</v>
      </c>
      <c r="AD18">
        <v>0</v>
      </c>
      <c r="AE18">
        <v>0</v>
      </c>
      <c r="AF18">
        <v>0</v>
      </c>
      <c r="AG18">
        <v>1</v>
      </c>
      <c r="AH18">
        <v>0</v>
      </c>
      <c r="AI18">
        <v>0</v>
      </c>
      <c r="AJ18">
        <v>0</v>
      </c>
      <c r="AK18">
        <v>0</v>
      </c>
      <c r="AL18">
        <v>0</v>
      </c>
      <c r="AM18">
        <v>1</v>
      </c>
      <c r="AN18">
        <v>1467</v>
      </c>
      <c r="AO18">
        <v>1437</v>
      </c>
      <c r="AP18">
        <f>ifood_data[[#This Row],[MntTotal]]-ifood_data[[#This Row],[MntRegularProds]]</f>
        <v>30</v>
      </c>
      <c r="AQ18">
        <v>0</v>
      </c>
      <c r="AR18">
        <f>IF(SUM(ifood_data[[#This Row],[Kidhome]:[Teenhome]])&gt;0,1,0)</f>
        <v>0</v>
      </c>
      <c r="AS18" t="str">
        <f>IF(SUM(ifood_data[[#This Row],[Kidhome]:[Teenhome]])&gt;0,"Has Family","No Family")</f>
        <v>No Family</v>
      </c>
      <c r="AT18" t="str">
        <f>IF(ifood_data[[#This Row],[marital_Married]]=1,"Married", (IF(ifood_data[[#This Row],[marital_Single]]=1,"Single",(IF(ifood_data[[#This Row],[marital_Divorced]]=1,"Divorced",(IF(ifood_data[[#This Row],[marital_Together]]=1,"Living Together",(IF(ifood_data[[#This Row],[marital_Widow]]=1,"Widow","Other")))))))))</f>
        <v>Living Together</v>
      </c>
      <c r="AU18" t="str">
        <f>IF(ifood_data[[#This Row],[education_Basic]]=1,"High School",(IF(ifood_data[[#This Row],[education_Graduation]]=1,"Undergraduate Degree",(IF(SUM(AM18,AL18,AI18)&gt;0,"Master's Degree or Higher","Other")))))</f>
        <v>Master's Degree or Higher</v>
      </c>
      <c r="AV18" t="str">
        <f>IF(ifood_data[[#All],[Income]]&gt;75000,"75K+",(IF(ifood_data[[#All],[Income]]&gt;50000,"50K-75K",(IF(ifood_data[[#All],[Income]]&gt;35000,"35K-50K","&lt;35K")))))</f>
        <v>75K+</v>
      </c>
      <c r="AW18" t="str">
        <f>IF(ifood_data[[#All],[Age]]&gt;60,"60+",(IF(ifood_data[[#All],[Age]]&gt;50,"50-60",(IF(ifood_data[[#All],[Age]]&gt;40,"40-50",(IF(ifood_data[[#All],[Age]]&gt;30,"30-40","&lt;30")))))))</f>
        <v>30-40</v>
      </c>
      <c r="AX18">
        <f t="shared" si="0"/>
        <v>23</v>
      </c>
      <c r="AY18">
        <f t="shared" si="1"/>
        <v>3.0000000000000004</v>
      </c>
      <c r="AZ18">
        <f t="shared" si="2"/>
        <v>6</v>
      </c>
      <c r="BA18">
        <f t="shared" si="3"/>
        <v>8</v>
      </c>
      <c r="BB18">
        <f>SUM(ifood_data[[#This Row],[Recency Score]:[Monetary Score]])</f>
        <v>17</v>
      </c>
      <c r="BC18">
        <f>(_xlfn.PERCENTRANK.INC(ifood_data[[#All],[RFM]],ifood_data[[#This Row],[RFM]],1))*10</f>
        <v>6</v>
      </c>
      <c r="BD18" t="str">
        <f>VLOOKUP(ifood_data[[#This Row],[RFM Score]],'RFM Analysis'!$A$3:$B$14,2,FALSE)</f>
        <v>Promising</v>
      </c>
      <c r="BE18">
        <f>'Regression Models'!$B$101+'Regression Models'!$B$102*ifood_data[[#This Row],[Income]]+'Regression Models'!$B$103*ifood_data[[#This Row],[Age]]+'Regression Models'!$B$104*ifood_data[[#This Row],[Family]]</f>
        <v>1621.8425060159238</v>
      </c>
      <c r="BF18" t="str">
        <f>IF(ifood_data[[#This Row],[AcceptedCmpOverall]]=1,"Campaign Respondent","Non-respondent")</f>
        <v>Non-respondent</v>
      </c>
    </row>
    <row r="19" spans="1:58" x14ac:dyDescent="0.35">
      <c r="A19">
        <v>915</v>
      </c>
      <c r="B19">
        <v>92955</v>
      </c>
      <c r="C19">
        <v>0</v>
      </c>
      <c r="D19">
        <v>0</v>
      </c>
      <c r="E19">
        <v>35</v>
      </c>
      <c r="F19">
        <v>693</v>
      </c>
      <c r="G19">
        <v>21</v>
      </c>
      <c r="H19">
        <v>925</v>
      </c>
      <c r="I19">
        <v>31</v>
      </c>
      <c r="J19">
        <v>24</v>
      </c>
      <c r="K19">
        <v>84</v>
      </c>
      <c r="L19">
        <v>1</v>
      </c>
      <c r="M19">
        <v>6</v>
      </c>
      <c r="N19">
        <v>7</v>
      </c>
      <c r="O19">
        <v>9</v>
      </c>
      <c r="P19">
        <v>2</v>
      </c>
      <c r="Q19">
        <v>1</v>
      </c>
      <c r="R19">
        <v>0</v>
      </c>
      <c r="S19">
        <v>0</v>
      </c>
      <c r="T19">
        <v>0</v>
      </c>
      <c r="U19">
        <v>1</v>
      </c>
      <c r="V19">
        <f>IF(SUM(ifood_data[[#This Row],[AcceptedCmp1]:[AcceptedCmp5]])&gt;0,1,0)</f>
        <v>1</v>
      </c>
      <c r="W19">
        <v>0</v>
      </c>
      <c r="X19">
        <v>3</v>
      </c>
      <c r="Y19">
        <v>11</v>
      </c>
      <c r="Z19">
        <v>1</v>
      </c>
      <c r="AA19">
        <v>47</v>
      </c>
      <c r="AB19">
        <v>2473</v>
      </c>
      <c r="AC19" s="28">
        <f>ifood_data[[#This Row],[Customer_Days]]/365</f>
        <v>6.7753424657534245</v>
      </c>
      <c r="AD19">
        <v>0</v>
      </c>
      <c r="AE19">
        <v>1</v>
      </c>
      <c r="AF19">
        <v>0</v>
      </c>
      <c r="AG19">
        <v>0</v>
      </c>
      <c r="AH19">
        <v>0</v>
      </c>
      <c r="AI19">
        <v>0</v>
      </c>
      <c r="AJ19">
        <v>0</v>
      </c>
      <c r="AK19">
        <v>1</v>
      </c>
      <c r="AL19">
        <v>0</v>
      </c>
      <c r="AM19">
        <v>0</v>
      </c>
      <c r="AN19">
        <v>1694</v>
      </c>
      <c r="AO19">
        <v>1610</v>
      </c>
      <c r="AP19">
        <f>ifood_data[[#This Row],[MntTotal]]-ifood_data[[#This Row],[MntRegularProds]]</f>
        <v>84</v>
      </c>
      <c r="AQ19">
        <v>2</v>
      </c>
      <c r="AR19">
        <f>IF(SUM(ifood_data[[#This Row],[Kidhome]:[Teenhome]])&gt;0,1,0)</f>
        <v>0</v>
      </c>
      <c r="AS19" t="str">
        <f>IF(SUM(ifood_data[[#This Row],[Kidhome]:[Teenhome]])&gt;0,"Has Family","No Family")</f>
        <v>No Family</v>
      </c>
      <c r="AT19" t="str">
        <f>IF(ifood_data[[#This Row],[marital_Married]]=1,"Married", (IF(ifood_data[[#This Row],[marital_Single]]=1,"Single",(IF(ifood_data[[#This Row],[marital_Divorced]]=1,"Divorced",(IF(ifood_data[[#This Row],[marital_Together]]=1,"Living Together",(IF(ifood_data[[#This Row],[marital_Widow]]=1,"Widow","Other")))))))))</f>
        <v>Married</v>
      </c>
      <c r="AU19" t="str">
        <f>IF(ifood_data[[#This Row],[education_Basic]]=1,"High School",(IF(ifood_data[[#This Row],[education_Graduation]]=1,"Undergraduate Degree",(IF(SUM(AM19,AL19,AI19)&gt;0,"Master's Degree or Higher","Other")))))</f>
        <v>Undergraduate Degree</v>
      </c>
      <c r="AV19" t="str">
        <f>IF(ifood_data[[#All],[Income]]&gt;75000,"75K+",(IF(ifood_data[[#All],[Income]]&gt;50000,"50K-75K",(IF(ifood_data[[#All],[Income]]&gt;35000,"35K-50K","&lt;35K")))))</f>
        <v>75K+</v>
      </c>
      <c r="AW19" t="str">
        <f>IF(ifood_data[[#All],[Age]]&gt;60,"60+",(IF(ifood_data[[#All],[Age]]&gt;50,"50-60",(IF(ifood_data[[#All],[Age]]&gt;40,"40-50",(IF(ifood_data[[#All],[Age]]&gt;30,"30-40","&lt;30")))))))</f>
        <v>40-50</v>
      </c>
      <c r="AX19">
        <f t="shared" si="0"/>
        <v>25</v>
      </c>
      <c r="AY19">
        <f t="shared" si="1"/>
        <v>7</v>
      </c>
      <c r="AZ19">
        <f t="shared" si="2"/>
        <v>7</v>
      </c>
      <c r="BA19">
        <f t="shared" si="3"/>
        <v>9</v>
      </c>
      <c r="BB19">
        <f>SUM(ifood_data[[#This Row],[Recency Score]:[Monetary Score]])</f>
        <v>23</v>
      </c>
      <c r="BC19">
        <f>(_xlfn.PERCENTRANK.INC(ifood_data[[#All],[RFM]],ifood_data[[#This Row],[RFM]],1))*10</f>
        <v>8</v>
      </c>
      <c r="BD19" t="str">
        <f>VLOOKUP(ifood_data[[#This Row],[RFM Score]],'RFM Analysis'!$A$3:$B$14,2,FALSE)</f>
        <v>Loyal Customer</v>
      </c>
      <c r="BE19">
        <f>'Regression Models'!$B$101+'Regression Models'!$B$102*ifood_data[[#This Row],[Income]]+'Regression Models'!$B$103*ifood_data[[#This Row],[Age]]+'Regression Models'!$B$104*ifood_data[[#This Row],[Family]]</f>
        <v>1621.1100498336232</v>
      </c>
      <c r="BF19" t="str">
        <f>IF(ifood_data[[#This Row],[AcceptedCmpOverall]]=1,"Campaign Respondent","Non-respondent")</f>
        <v>Campaign Respondent</v>
      </c>
    </row>
    <row r="20" spans="1:58" x14ac:dyDescent="0.35">
      <c r="A20">
        <v>1962</v>
      </c>
      <c r="B20">
        <v>91172</v>
      </c>
      <c r="C20">
        <v>0</v>
      </c>
      <c r="D20">
        <v>0</v>
      </c>
      <c r="E20">
        <v>94</v>
      </c>
      <c r="F20">
        <v>162</v>
      </c>
      <c r="G20">
        <v>28</v>
      </c>
      <c r="H20">
        <v>818</v>
      </c>
      <c r="I20">
        <v>0</v>
      </c>
      <c r="J20">
        <v>28</v>
      </c>
      <c r="K20">
        <v>56</v>
      </c>
      <c r="L20">
        <v>0</v>
      </c>
      <c r="M20">
        <v>4</v>
      </c>
      <c r="N20">
        <v>3</v>
      </c>
      <c r="O20">
        <v>7</v>
      </c>
      <c r="P20">
        <v>3</v>
      </c>
      <c r="Q20">
        <v>1</v>
      </c>
      <c r="R20">
        <v>1</v>
      </c>
      <c r="S20">
        <v>1</v>
      </c>
      <c r="T20">
        <v>0</v>
      </c>
      <c r="U20">
        <v>1</v>
      </c>
      <c r="V20">
        <f>IF(SUM(ifood_data[[#This Row],[AcceptedCmp1]:[AcceptedCmp5]])&gt;0,1,0)</f>
        <v>1</v>
      </c>
      <c r="W20">
        <v>0</v>
      </c>
      <c r="X20">
        <v>3</v>
      </c>
      <c r="Y20">
        <v>11</v>
      </c>
      <c r="Z20">
        <v>1</v>
      </c>
      <c r="AA20">
        <v>30</v>
      </c>
      <c r="AB20">
        <v>2618</v>
      </c>
      <c r="AC20" s="28">
        <f>ifood_data[[#This Row],[Customer_Days]]/365</f>
        <v>7.1726027397260275</v>
      </c>
      <c r="AD20">
        <v>0</v>
      </c>
      <c r="AE20">
        <v>0</v>
      </c>
      <c r="AF20">
        <v>1</v>
      </c>
      <c r="AG20">
        <v>0</v>
      </c>
      <c r="AH20">
        <v>0</v>
      </c>
      <c r="AI20">
        <v>0</v>
      </c>
      <c r="AJ20">
        <v>0</v>
      </c>
      <c r="AK20">
        <v>0</v>
      </c>
      <c r="AL20">
        <v>1</v>
      </c>
      <c r="AM20">
        <v>0</v>
      </c>
      <c r="AN20">
        <v>1036</v>
      </c>
      <c r="AO20">
        <v>980</v>
      </c>
      <c r="AP20">
        <f>ifood_data[[#This Row],[MntTotal]]-ifood_data[[#This Row],[MntRegularProds]]</f>
        <v>56</v>
      </c>
      <c r="AQ20">
        <v>4</v>
      </c>
      <c r="AR20">
        <f>IF(SUM(ifood_data[[#This Row],[Kidhome]:[Teenhome]])&gt;0,1,0)</f>
        <v>0</v>
      </c>
      <c r="AS20" t="str">
        <f>IF(SUM(ifood_data[[#This Row],[Kidhome]:[Teenhome]])&gt;0,"Has Family","No Family")</f>
        <v>No Family</v>
      </c>
      <c r="AT20" t="str">
        <f>IF(ifood_data[[#This Row],[marital_Married]]=1,"Married", (IF(ifood_data[[#This Row],[marital_Single]]=1,"Single",(IF(ifood_data[[#This Row],[marital_Divorced]]=1,"Divorced",(IF(ifood_data[[#This Row],[marital_Together]]=1,"Living Together",(IF(ifood_data[[#This Row],[marital_Widow]]=1,"Widow","Other")))))))))</f>
        <v>Single</v>
      </c>
      <c r="AU20" t="str">
        <f>IF(ifood_data[[#This Row],[education_Basic]]=1,"High School",(IF(ifood_data[[#This Row],[education_Graduation]]=1,"Undergraduate Degree",(IF(SUM(AM20,AL20,AI20)&gt;0,"Master's Degree or Higher","Other")))))</f>
        <v>Master's Degree or Higher</v>
      </c>
      <c r="AV20" t="str">
        <f>IF(ifood_data[[#All],[Income]]&gt;75000,"75K+",(IF(ifood_data[[#All],[Income]]&gt;50000,"50K-75K",(IF(ifood_data[[#All],[Income]]&gt;35000,"35K-50K","&lt;35K")))))</f>
        <v>75K+</v>
      </c>
      <c r="AW20" t="str">
        <f>IF(ifood_data[[#All],[Age]]&gt;60,"60+",(IF(ifood_data[[#All],[Age]]&gt;50,"50-60",(IF(ifood_data[[#All],[Age]]&gt;40,"40-50",(IF(ifood_data[[#All],[Age]]&gt;30,"30-40","&lt;30")))))))</f>
        <v>&lt;30</v>
      </c>
      <c r="AX20">
        <f t="shared" si="0"/>
        <v>17</v>
      </c>
      <c r="AY20">
        <f t="shared" si="1"/>
        <v>0.99999999999999978</v>
      </c>
      <c r="AZ20">
        <f t="shared" si="2"/>
        <v>3</v>
      </c>
      <c r="BA20">
        <f t="shared" si="3"/>
        <v>7</v>
      </c>
      <c r="BB20">
        <f>SUM(ifood_data[[#This Row],[Recency Score]:[Monetary Score]])</f>
        <v>11</v>
      </c>
      <c r="BC20">
        <f>(_xlfn.PERCENTRANK.INC(ifood_data[[#All],[RFM]],ifood_data[[#This Row],[RFM]],1))*10</f>
        <v>2</v>
      </c>
      <c r="BD20" t="str">
        <f>VLOOKUP(ifood_data[[#This Row],[RFM Score]],'RFM Analysis'!$A$3:$B$14,2,FALSE)</f>
        <v>At Risk</v>
      </c>
      <c r="BE20">
        <f>'Regression Models'!$B$101+'Regression Models'!$B$102*ifood_data[[#This Row],[Income]]+'Regression Models'!$B$103*ifood_data[[#This Row],[Age]]+'Regression Models'!$B$104*ifood_data[[#This Row],[Family]]</f>
        <v>1615.9763405742542</v>
      </c>
      <c r="BF20" t="str">
        <f>IF(ifood_data[[#This Row],[AcceptedCmpOverall]]=1,"Campaign Respondent","Non-respondent")</f>
        <v>Campaign Respondent</v>
      </c>
    </row>
    <row r="21" spans="1:58" x14ac:dyDescent="0.35">
      <c r="A21">
        <v>1807</v>
      </c>
      <c r="B21">
        <v>94642</v>
      </c>
      <c r="C21">
        <v>0</v>
      </c>
      <c r="D21">
        <v>0</v>
      </c>
      <c r="E21">
        <v>35</v>
      </c>
      <c r="F21">
        <v>879</v>
      </c>
      <c r="G21">
        <v>143</v>
      </c>
      <c r="H21">
        <v>797</v>
      </c>
      <c r="I21">
        <v>106</v>
      </c>
      <c r="J21">
        <v>143</v>
      </c>
      <c r="K21">
        <v>143</v>
      </c>
      <c r="L21">
        <v>0</v>
      </c>
      <c r="M21">
        <v>5</v>
      </c>
      <c r="N21">
        <v>7</v>
      </c>
      <c r="O21">
        <v>9</v>
      </c>
      <c r="P21">
        <v>1</v>
      </c>
      <c r="Q21">
        <v>1</v>
      </c>
      <c r="R21">
        <v>0</v>
      </c>
      <c r="S21">
        <v>0</v>
      </c>
      <c r="T21">
        <v>0</v>
      </c>
      <c r="U21">
        <v>1</v>
      </c>
      <c r="V21">
        <f>IF(SUM(ifood_data[[#This Row],[AcceptedCmp1]:[AcceptedCmp5]])&gt;0,1,0)</f>
        <v>1</v>
      </c>
      <c r="W21">
        <v>0</v>
      </c>
      <c r="X21">
        <v>3</v>
      </c>
      <c r="Y21">
        <v>11</v>
      </c>
      <c r="Z21">
        <v>0</v>
      </c>
      <c r="AA21">
        <v>69</v>
      </c>
      <c r="AB21">
        <v>2296</v>
      </c>
      <c r="AC21" s="28">
        <f>ifood_data[[#This Row],[Customer_Days]]/365</f>
        <v>6.2904109589041095</v>
      </c>
      <c r="AD21">
        <v>0</v>
      </c>
      <c r="AE21">
        <v>1</v>
      </c>
      <c r="AF21">
        <v>0</v>
      </c>
      <c r="AG21">
        <v>0</v>
      </c>
      <c r="AH21">
        <v>0</v>
      </c>
      <c r="AI21">
        <v>0</v>
      </c>
      <c r="AJ21">
        <v>0</v>
      </c>
      <c r="AK21">
        <v>1</v>
      </c>
      <c r="AL21">
        <v>0</v>
      </c>
      <c r="AM21">
        <v>0</v>
      </c>
      <c r="AN21">
        <v>2068</v>
      </c>
      <c r="AO21">
        <v>1925</v>
      </c>
      <c r="AP21">
        <f>ifood_data[[#This Row],[MntTotal]]-ifood_data[[#This Row],[MntRegularProds]]</f>
        <v>143</v>
      </c>
      <c r="AQ21">
        <v>2</v>
      </c>
      <c r="AR21">
        <f>IF(SUM(ifood_data[[#This Row],[Kidhome]:[Teenhome]])&gt;0,1,0)</f>
        <v>0</v>
      </c>
      <c r="AS21" t="str">
        <f>IF(SUM(ifood_data[[#This Row],[Kidhome]:[Teenhome]])&gt;0,"Has Family","No Family")</f>
        <v>No Family</v>
      </c>
      <c r="AT21" t="str">
        <f>IF(ifood_data[[#This Row],[marital_Married]]=1,"Married", (IF(ifood_data[[#This Row],[marital_Single]]=1,"Single",(IF(ifood_data[[#This Row],[marital_Divorced]]=1,"Divorced",(IF(ifood_data[[#This Row],[marital_Together]]=1,"Living Together",(IF(ifood_data[[#This Row],[marital_Widow]]=1,"Widow","Other")))))))))</f>
        <v>Married</v>
      </c>
      <c r="AU21" t="str">
        <f>IF(ifood_data[[#This Row],[education_Basic]]=1,"High School",(IF(ifood_data[[#This Row],[education_Graduation]]=1,"Undergraduate Degree",(IF(SUM(AM21,AL21,AI21)&gt;0,"Master's Degree or Higher","Other")))))</f>
        <v>Undergraduate Degree</v>
      </c>
      <c r="AV21" t="str">
        <f>IF(ifood_data[[#All],[Income]]&gt;75000,"75K+",(IF(ifood_data[[#All],[Income]]&gt;50000,"50K-75K",(IF(ifood_data[[#All],[Income]]&gt;35000,"35K-50K","&lt;35K")))))</f>
        <v>75K+</v>
      </c>
      <c r="AW21" t="str">
        <f>IF(ifood_data[[#All],[Age]]&gt;60,"60+",(IF(ifood_data[[#All],[Age]]&gt;50,"50-60",(IF(ifood_data[[#All],[Age]]&gt;40,"40-50",(IF(ifood_data[[#All],[Age]]&gt;30,"30-40","&lt;30")))))))</f>
        <v>60+</v>
      </c>
      <c r="AX21">
        <f t="shared" si="0"/>
        <v>22</v>
      </c>
      <c r="AY21">
        <f t="shared" si="1"/>
        <v>7</v>
      </c>
      <c r="AZ21">
        <f t="shared" si="2"/>
        <v>5</v>
      </c>
      <c r="BA21">
        <f t="shared" si="3"/>
        <v>9</v>
      </c>
      <c r="BB21">
        <f>SUM(ifood_data[[#This Row],[Recency Score]:[Monetary Score]])</f>
        <v>21</v>
      </c>
      <c r="BC21">
        <f>(_xlfn.PERCENTRANK.INC(ifood_data[[#All],[RFM]],ifood_data[[#This Row],[RFM]],1))*10</f>
        <v>8</v>
      </c>
      <c r="BD21" t="str">
        <f>VLOOKUP(ifood_data[[#This Row],[RFM Score]],'RFM Analysis'!$A$3:$B$14,2,FALSE)</f>
        <v>Loyal Customer</v>
      </c>
      <c r="BE21">
        <f>'Regression Models'!$B$101+'Regression Models'!$B$102*ifood_data[[#This Row],[Income]]+'Regression Models'!$B$103*ifood_data[[#This Row],[Age]]+'Regression Models'!$B$104*ifood_data[[#This Row],[Family]]</f>
        <v>1615.1042419567063</v>
      </c>
      <c r="BF21" t="str">
        <f>IF(ifood_data[[#This Row],[AcceptedCmpOverall]]=1,"Campaign Respondent","Non-respondent")</f>
        <v>Campaign Respondent</v>
      </c>
    </row>
    <row r="22" spans="1:58" x14ac:dyDescent="0.35">
      <c r="A22">
        <v>892</v>
      </c>
      <c r="B22">
        <v>94384</v>
      </c>
      <c r="C22">
        <v>0</v>
      </c>
      <c r="D22">
        <v>0</v>
      </c>
      <c r="E22">
        <v>62</v>
      </c>
      <c r="F22">
        <v>1111</v>
      </c>
      <c r="G22">
        <v>24</v>
      </c>
      <c r="H22">
        <v>790</v>
      </c>
      <c r="I22">
        <v>160</v>
      </c>
      <c r="J22">
        <v>45</v>
      </c>
      <c r="K22">
        <v>172</v>
      </c>
      <c r="L22">
        <v>0</v>
      </c>
      <c r="M22">
        <v>5</v>
      </c>
      <c r="N22">
        <v>8</v>
      </c>
      <c r="O22">
        <v>5</v>
      </c>
      <c r="P22">
        <v>2</v>
      </c>
      <c r="Q22">
        <v>1</v>
      </c>
      <c r="R22">
        <v>0</v>
      </c>
      <c r="S22">
        <v>0</v>
      </c>
      <c r="T22">
        <v>1</v>
      </c>
      <c r="U22">
        <v>1</v>
      </c>
      <c r="V22">
        <f>IF(SUM(ifood_data[[#This Row],[AcceptedCmp1]:[AcceptedCmp5]])&gt;0,1,0)</f>
        <v>1</v>
      </c>
      <c r="W22">
        <v>0</v>
      </c>
      <c r="X22">
        <v>3</v>
      </c>
      <c r="Y22">
        <v>11</v>
      </c>
      <c r="Z22">
        <v>1</v>
      </c>
      <c r="AA22">
        <v>67</v>
      </c>
      <c r="AB22">
        <v>2641</v>
      </c>
      <c r="AC22" s="28">
        <f>ifood_data[[#This Row],[Customer_Days]]/365</f>
        <v>7.2356164383561641</v>
      </c>
      <c r="AD22">
        <v>0</v>
      </c>
      <c r="AE22">
        <v>0</v>
      </c>
      <c r="AF22">
        <v>0</v>
      </c>
      <c r="AG22">
        <v>1</v>
      </c>
      <c r="AH22">
        <v>0</v>
      </c>
      <c r="AI22">
        <v>0</v>
      </c>
      <c r="AJ22">
        <v>0</v>
      </c>
      <c r="AK22">
        <v>1</v>
      </c>
      <c r="AL22">
        <v>0</v>
      </c>
      <c r="AM22">
        <v>0</v>
      </c>
      <c r="AN22">
        <v>2130</v>
      </c>
      <c r="AO22">
        <v>1958</v>
      </c>
      <c r="AP22">
        <f>ifood_data[[#This Row],[MntTotal]]-ifood_data[[#This Row],[MntRegularProds]]</f>
        <v>172</v>
      </c>
      <c r="AQ22">
        <v>3</v>
      </c>
      <c r="AR22">
        <f>IF(SUM(ifood_data[[#This Row],[Kidhome]:[Teenhome]])&gt;0,1,0)</f>
        <v>0</v>
      </c>
      <c r="AS22" t="str">
        <f>IF(SUM(ifood_data[[#This Row],[Kidhome]:[Teenhome]])&gt;0,"Has Family","No Family")</f>
        <v>No Family</v>
      </c>
      <c r="AT22" t="str">
        <f>IF(ifood_data[[#This Row],[marital_Married]]=1,"Married", (IF(ifood_data[[#This Row],[marital_Single]]=1,"Single",(IF(ifood_data[[#This Row],[marital_Divorced]]=1,"Divorced",(IF(ifood_data[[#This Row],[marital_Together]]=1,"Living Together",(IF(ifood_data[[#This Row],[marital_Widow]]=1,"Widow","Other")))))))))</f>
        <v>Living Together</v>
      </c>
      <c r="AU22" t="str">
        <f>IF(ifood_data[[#This Row],[education_Basic]]=1,"High School",(IF(ifood_data[[#This Row],[education_Graduation]]=1,"Undergraduate Degree",(IF(SUM(AM22,AL22,AI22)&gt;0,"Master's Degree or Higher","Other")))))</f>
        <v>Undergraduate Degree</v>
      </c>
      <c r="AV22" t="str">
        <f>IF(ifood_data[[#All],[Income]]&gt;75000,"75K+",(IF(ifood_data[[#All],[Income]]&gt;50000,"50K-75K",(IF(ifood_data[[#All],[Income]]&gt;35000,"35K-50K","&lt;35K")))))</f>
        <v>75K+</v>
      </c>
      <c r="AW22" t="str">
        <f>IF(ifood_data[[#All],[Age]]&gt;60,"60+",(IF(ifood_data[[#All],[Age]]&gt;50,"50-60",(IF(ifood_data[[#All],[Age]]&gt;40,"40-50",(IF(ifood_data[[#All],[Age]]&gt;30,"30-40","&lt;30")))))))</f>
        <v>60+</v>
      </c>
      <c r="AX22">
        <f t="shared" si="0"/>
        <v>20</v>
      </c>
      <c r="AY22">
        <f t="shared" si="1"/>
        <v>4</v>
      </c>
      <c r="AZ22">
        <f t="shared" si="2"/>
        <v>4</v>
      </c>
      <c r="BA22">
        <f t="shared" si="3"/>
        <v>9</v>
      </c>
      <c r="BB22">
        <f>SUM(ifood_data[[#This Row],[Recency Score]:[Monetary Score]])</f>
        <v>17</v>
      </c>
      <c r="BC22">
        <f>(_xlfn.PERCENTRANK.INC(ifood_data[[#All],[RFM]],ifood_data[[#This Row],[RFM]],1))*10</f>
        <v>6</v>
      </c>
      <c r="BD22" t="str">
        <f>VLOOKUP(ifood_data[[#This Row],[RFM Score]],'RFM Analysis'!$A$3:$B$14,2,FALSE)</f>
        <v>Promising</v>
      </c>
      <c r="BE22">
        <f>'Regression Models'!$B$101+'Regression Models'!$B$102*ifood_data[[#This Row],[Income]]+'Regression Models'!$B$103*ifood_data[[#This Row],[Age]]+'Regression Models'!$B$104*ifood_data[[#This Row],[Family]]</f>
        <v>1613.5168179333693</v>
      </c>
      <c r="BF22" t="str">
        <f>IF(ifood_data[[#This Row],[AcceptedCmpOverall]]=1,"Campaign Respondent","Non-respondent")</f>
        <v>Campaign Respondent</v>
      </c>
    </row>
    <row r="23" spans="1:58" x14ac:dyDescent="0.35">
      <c r="A23">
        <v>564</v>
      </c>
      <c r="B23">
        <v>92163</v>
      </c>
      <c r="C23">
        <v>0</v>
      </c>
      <c r="D23">
        <v>0</v>
      </c>
      <c r="E23">
        <v>25</v>
      </c>
      <c r="F23">
        <v>817</v>
      </c>
      <c r="G23">
        <v>183</v>
      </c>
      <c r="H23">
        <v>797</v>
      </c>
      <c r="I23">
        <v>106</v>
      </c>
      <c r="J23">
        <v>163</v>
      </c>
      <c r="K23">
        <v>20</v>
      </c>
      <c r="L23">
        <v>0</v>
      </c>
      <c r="M23">
        <v>5</v>
      </c>
      <c r="N23">
        <v>11</v>
      </c>
      <c r="O23">
        <v>5</v>
      </c>
      <c r="P23">
        <v>2</v>
      </c>
      <c r="Q23">
        <v>1</v>
      </c>
      <c r="R23">
        <v>0</v>
      </c>
      <c r="S23">
        <v>0</v>
      </c>
      <c r="T23">
        <v>0</v>
      </c>
      <c r="U23">
        <v>1</v>
      </c>
      <c r="V23">
        <f>IF(SUM(ifood_data[[#This Row],[AcceptedCmp1]:[AcceptedCmp5]])&gt;0,1,0)</f>
        <v>1</v>
      </c>
      <c r="W23">
        <v>0</v>
      </c>
      <c r="X23">
        <v>3</v>
      </c>
      <c r="Y23">
        <v>11</v>
      </c>
      <c r="Z23">
        <v>1</v>
      </c>
      <c r="AA23">
        <v>45</v>
      </c>
      <c r="AB23">
        <v>2723</v>
      </c>
      <c r="AC23" s="28">
        <f>ifood_data[[#This Row],[Customer_Days]]/365</f>
        <v>7.4602739726027396</v>
      </c>
      <c r="AD23">
        <v>0</v>
      </c>
      <c r="AE23">
        <v>1</v>
      </c>
      <c r="AF23">
        <v>0</v>
      </c>
      <c r="AG23">
        <v>0</v>
      </c>
      <c r="AH23">
        <v>0</v>
      </c>
      <c r="AI23">
        <v>0</v>
      </c>
      <c r="AJ23">
        <v>0</v>
      </c>
      <c r="AK23">
        <v>0</v>
      </c>
      <c r="AL23">
        <v>1</v>
      </c>
      <c r="AM23">
        <v>0</v>
      </c>
      <c r="AN23">
        <v>2066</v>
      </c>
      <c r="AO23">
        <v>2046</v>
      </c>
      <c r="AP23">
        <f>ifood_data[[#This Row],[MntTotal]]-ifood_data[[#This Row],[MntRegularProds]]</f>
        <v>20</v>
      </c>
      <c r="AQ23">
        <v>2</v>
      </c>
      <c r="AR23">
        <f>IF(SUM(ifood_data[[#This Row],[Kidhome]:[Teenhome]])&gt;0,1,0)</f>
        <v>0</v>
      </c>
      <c r="AS23" t="str">
        <f>IF(SUM(ifood_data[[#This Row],[Kidhome]:[Teenhome]])&gt;0,"Has Family","No Family")</f>
        <v>No Family</v>
      </c>
      <c r="AT23" t="str">
        <f>IF(ifood_data[[#This Row],[marital_Married]]=1,"Married", (IF(ifood_data[[#This Row],[marital_Single]]=1,"Single",(IF(ifood_data[[#This Row],[marital_Divorced]]=1,"Divorced",(IF(ifood_data[[#This Row],[marital_Together]]=1,"Living Together",(IF(ifood_data[[#This Row],[marital_Widow]]=1,"Widow","Other")))))))))</f>
        <v>Married</v>
      </c>
      <c r="AU23" t="str">
        <f>IF(ifood_data[[#This Row],[education_Basic]]=1,"High School",(IF(ifood_data[[#This Row],[education_Graduation]]=1,"Undergraduate Degree",(IF(SUM(AM23,AL23,AI23)&gt;0,"Master's Degree or Higher","Other")))))</f>
        <v>Master's Degree or Higher</v>
      </c>
      <c r="AV23" t="str">
        <f>IF(ifood_data[[#All],[Income]]&gt;75000,"75K+",(IF(ifood_data[[#All],[Income]]&gt;50000,"50K-75K",(IF(ifood_data[[#All],[Income]]&gt;35000,"35K-50K","&lt;35K")))))</f>
        <v>75K+</v>
      </c>
      <c r="AW23" t="str">
        <f>IF(ifood_data[[#All],[Age]]&gt;60,"60+",(IF(ifood_data[[#All],[Age]]&gt;50,"50-60",(IF(ifood_data[[#All],[Age]]&gt;40,"40-50",(IF(ifood_data[[#All],[Age]]&gt;30,"30-40","&lt;30")))))))</f>
        <v>40-50</v>
      </c>
      <c r="AX23">
        <f t="shared" si="0"/>
        <v>23</v>
      </c>
      <c r="AY23">
        <f t="shared" si="1"/>
        <v>8</v>
      </c>
      <c r="AZ23">
        <f t="shared" si="2"/>
        <v>6</v>
      </c>
      <c r="BA23">
        <f t="shared" si="3"/>
        <v>9</v>
      </c>
      <c r="BB23">
        <f>SUM(ifood_data[[#This Row],[Recency Score]:[Monetary Score]])</f>
        <v>23</v>
      </c>
      <c r="BC23">
        <f>(_xlfn.PERCENTRANK.INC(ifood_data[[#All],[RFM]],ifood_data[[#This Row],[RFM]],1))*10</f>
        <v>8</v>
      </c>
      <c r="BD23" t="str">
        <f>VLOOKUP(ifood_data[[#This Row],[RFM Score]],'RFM Analysis'!$A$3:$B$14,2,FALSE)</f>
        <v>Loyal Customer</v>
      </c>
      <c r="BE23">
        <f>'Regression Models'!$B$101+'Regression Models'!$B$102*ifood_data[[#This Row],[Income]]+'Regression Models'!$B$103*ifood_data[[#This Row],[Age]]+'Regression Models'!$B$104*ifood_data[[#This Row],[Family]]</f>
        <v>1608.6350236214439</v>
      </c>
      <c r="BF23" t="str">
        <f>IF(ifood_data[[#This Row],[AcceptedCmpOverall]]=1,"Campaign Respondent","Non-respondent")</f>
        <v>Campaign Respondent</v>
      </c>
    </row>
    <row r="24" spans="1:58" x14ac:dyDescent="0.35">
      <c r="A24">
        <v>1113</v>
      </c>
      <c r="B24">
        <v>90638</v>
      </c>
      <c r="C24">
        <v>0</v>
      </c>
      <c r="D24">
        <v>0</v>
      </c>
      <c r="E24">
        <v>29</v>
      </c>
      <c r="F24">
        <v>1156</v>
      </c>
      <c r="G24">
        <v>120</v>
      </c>
      <c r="H24">
        <v>915</v>
      </c>
      <c r="I24">
        <v>94</v>
      </c>
      <c r="J24">
        <v>144</v>
      </c>
      <c r="K24">
        <v>96</v>
      </c>
      <c r="L24">
        <v>1</v>
      </c>
      <c r="M24">
        <v>3</v>
      </c>
      <c r="N24">
        <v>4</v>
      </c>
      <c r="O24">
        <v>10</v>
      </c>
      <c r="P24">
        <v>1</v>
      </c>
      <c r="Q24">
        <v>0</v>
      </c>
      <c r="R24">
        <v>0</v>
      </c>
      <c r="S24">
        <v>0</v>
      </c>
      <c r="T24">
        <v>0</v>
      </c>
      <c r="U24">
        <v>1</v>
      </c>
      <c r="V24">
        <f>IF(SUM(ifood_data[[#This Row],[AcceptedCmp1]:[AcceptedCmp5]])&gt;0,1,0)</f>
        <v>1</v>
      </c>
      <c r="W24">
        <v>0</v>
      </c>
      <c r="X24">
        <v>3</v>
      </c>
      <c r="Y24">
        <v>11</v>
      </c>
      <c r="Z24">
        <v>0</v>
      </c>
      <c r="AA24">
        <v>29</v>
      </c>
      <c r="AB24">
        <v>2295</v>
      </c>
      <c r="AC24" s="28">
        <f>ifood_data[[#This Row],[Customer_Days]]/365</f>
        <v>6.2876712328767121</v>
      </c>
      <c r="AD24">
        <v>0</v>
      </c>
      <c r="AE24">
        <v>0</v>
      </c>
      <c r="AF24">
        <v>1</v>
      </c>
      <c r="AG24">
        <v>0</v>
      </c>
      <c r="AH24">
        <v>0</v>
      </c>
      <c r="AI24">
        <v>0</v>
      </c>
      <c r="AJ24">
        <v>0</v>
      </c>
      <c r="AK24">
        <v>0</v>
      </c>
      <c r="AL24">
        <v>1</v>
      </c>
      <c r="AM24">
        <v>0</v>
      </c>
      <c r="AN24">
        <v>2429</v>
      </c>
      <c r="AO24">
        <v>2333</v>
      </c>
      <c r="AP24">
        <f>ifood_data[[#This Row],[MntTotal]]-ifood_data[[#This Row],[MntRegularProds]]</f>
        <v>96</v>
      </c>
      <c r="AQ24">
        <v>1</v>
      </c>
      <c r="AR24">
        <f>IF(SUM(ifood_data[[#This Row],[Kidhome]:[Teenhome]])&gt;0,1,0)</f>
        <v>0</v>
      </c>
      <c r="AS24" t="str">
        <f>IF(SUM(ifood_data[[#This Row],[Kidhome]:[Teenhome]])&gt;0,"Has Family","No Family")</f>
        <v>No Family</v>
      </c>
      <c r="AT24" t="str">
        <f>IF(ifood_data[[#This Row],[marital_Married]]=1,"Married", (IF(ifood_data[[#This Row],[marital_Single]]=1,"Single",(IF(ifood_data[[#This Row],[marital_Divorced]]=1,"Divorced",(IF(ifood_data[[#This Row],[marital_Together]]=1,"Living Together",(IF(ifood_data[[#This Row],[marital_Widow]]=1,"Widow","Other")))))))))</f>
        <v>Single</v>
      </c>
      <c r="AU24" t="str">
        <f>IF(ifood_data[[#This Row],[education_Basic]]=1,"High School",(IF(ifood_data[[#This Row],[education_Graduation]]=1,"Undergraduate Degree",(IF(SUM(AM24,AL24,AI24)&gt;0,"Master's Degree or Higher","Other")))))</f>
        <v>Master's Degree or Higher</v>
      </c>
      <c r="AV24" t="str">
        <f>IF(ifood_data[[#All],[Income]]&gt;75000,"75K+",(IF(ifood_data[[#All],[Income]]&gt;50000,"50K-75K",(IF(ifood_data[[#All],[Income]]&gt;35000,"35K-50K","&lt;35K")))))</f>
        <v>75K+</v>
      </c>
      <c r="AW24" t="str">
        <f>IF(ifood_data[[#All],[Age]]&gt;60,"60+",(IF(ifood_data[[#All],[Age]]&gt;50,"50-60",(IF(ifood_data[[#All],[Age]]&gt;40,"40-50",(IF(ifood_data[[#All],[Age]]&gt;30,"30-40","&lt;30")))))))</f>
        <v>&lt;30</v>
      </c>
      <c r="AX24">
        <f t="shared" si="0"/>
        <v>19</v>
      </c>
      <c r="AY24">
        <f t="shared" si="1"/>
        <v>8</v>
      </c>
      <c r="AZ24">
        <f t="shared" si="2"/>
        <v>4</v>
      </c>
      <c r="BA24">
        <f t="shared" si="3"/>
        <v>9</v>
      </c>
      <c r="BB24">
        <f>SUM(ifood_data[[#This Row],[Recency Score]:[Monetary Score]])</f>
        <v>21</v>
      </c>
      <c r="BC24">
        <f>(_xlfn.PERCENTRANK.INC(ifood_data[[#All],[RFM]],ifood_data[[#This Row],[RFM]],1))*10</f>
        <v>8</v>
      </c>
      <c r="BD24" t="str">
        <f>VLOOKUP(ifood_data[[#This Row],[RFM Score]],'RFM Analysis'!$A$3:$B$14,2,FALSE)</f>
        <v>Loyal Customer</v>
      </c>
      <c r="BE24">
        <f>'Regression Models'!$B$101+'Regression Models'!$B$102*ifood_data[[#This Row],[Income]]+'Regression Models'!$B$103*ifood_data[[#This Row],[Age]]+'Regression Models'!$B$104*ifood_data[[#This Row],[Family]]</f>
        <v>1606.9251774643067</v>
      </c>
      <c r="BF24" t="str">
        <f>IF(ifood_data[[#This Row],[AcceptedCmpOverall]]=1,"Campaign Respondent","Non-respondent")</f>
        <v>Campaign Respondent</v>
      </c>
    </row>
    <row r="25" spans="1:58" x14ac:dyDescent="0.35">
      <c r="A25">
        <v>1454</v>
      </c>
      <c r="B25">
        <v>90638</v>
      </c>
      <c r="C25">
        <v>0</v>
      </c>
      <c r="D25">
        <v>0</v>
      </c>
      <c r="E25">
        <v>29</v>
      </c>
      <c r="F25">
        <v>1156</v>
      </c>
      <c r="G25">
        <v>120</v>
      </c>
      <c r="H25">
        <v>915</v>
      </c>
      <c r="I25">
        <v>94</v>
      </c>
      <c r="J25">
        <v>144</v>
      </c>
      <c r="K25">
        <v>96</v>
      </c>
      <c r="L25">
        <v>1</v>
      </c>
      <c r="M25">
        <v>3</v>
      </c>
      <c r="N25">
        <v>4</v>
      </c>
      <c r="O25">
        <v>10</v>
      </c>
      <c r="P25">
        <v>1</v>
      </c>
      <c r="Q25">
        <v>0</v>
      </c>
      <c r="R25">
        <v>0</v>
      </c>
      <c r="S25">
        <v>0</v>
      </c>
      <c r="T25">
        <v>0</v>
      </c>
      <c r="U25">
        <v>1</v>
      </c>
      <c r="V25">
        <f>IF(SUM(ifood_data[[#This Row],[AcceptedCmp1]:[AcceptedCmp5]])&gt;0,1,0)</f>
        <v>1</v>
      </c>
      <c r="W25">
        <v>0</v>
      </c>
      <c r="X25">
        <v>3</v>
      </c>
      <c r="Y25">
        <v>11</v>
      </c>
      <c r="Z25">
        <v>1</v>
      </c>
      <c r="AA25">
        <v>29</v>
      </c>
      <c r="AB25">
        <v>2295</v>
      </c>
      <c r="AC25" s="28">
        <f>ifood_data[[#This Row],[Customer_Days]]/365</f>
        <v>6.2876712328767121</v>
      </c>
      <c r="AD25">
        <v>0</v>
      </c>
      <c r="AE25">
        <v>0</v>
      </c>
      <c r="AF25">
        <v>1</v>
      </c>
      <c r="AG25">
        <v>0</v>
      </c>
      <c r="AH25">
        <v>0</v>
      </c>
      <c r="AI25">
        <v>0</v>
      </c>
      <c r="AJ25">
        <v>0</v>
      </c>
      <c r="AK25">
        <v>0</v>
      </c>
      <c r="AL25">
        <v>1</v>
      </c>
      <c r="AM25">
        <v>0</v>
      </c>
      <c r="AN25">
        <v>2429</v>
      </c>
      <c r="AO25">
        <v>2333</v>
      </c>
      <c r="AP25">
        <f>ifood_data[[#This Row],[MntTotal]]-ifood_data[[#This Row],[MntRegularProds]]</f>
        <v>96</v>
      </c>
      <c r="AQ25">
        <v>1</v>
      </c>
      <c r="AR25">
        <f>IF(SUM(ifood_data[[#This Row],[Kidhome]:[Teenhome]])&gt;0,1,0)</f>
        <v>0</v>
      </c>
      <c r="AS25" t="str">
        <f>IF(SUM(ifood_data[[#This Row],[Kidhome]:[Teenhome]])&gt;0,"Has Family","No Family")</f>
        <v>No Family</v>
      </c>
      <c r="AT25" t="str">
        <f>IF(ifood_data[[#This Row],[marital_Married]]=1,"Married", (IF(ifood_data[[#This Row],[marital_Single]]=1,"Single",(IF(ifood_data[[#This Row],[marital_Divorced]]=1,"Divorced",(IF(ifood_data[[#This Row],[marital_Together]]=1,"Living Together",(IF(ifood_data[[#This Row],[marital_Widow]]=1,"Widow","Other")))))))))</f>
        <v>Single</v>
      </c>
      <c r="AU25" t="str">
        <f>IF(ifood_data[[#This Row],[education_Basic]]=1,"High School",(IF(ifood_data[[#This Row],[education_Graduation]]=1,"Undergraduate Degree",(IF(SUM(AM25,AL25,AI25)&gt;0,"Master's Degree or Higher","Other")))))</f>
        <v>Master's Degree or Higher</v>
      </c>
      <c r="AV25" t="str">
        <f>IF(ifood_data[[#All],[Income]]&gt;75000,"75K+",(IF(ifood_data[[#All],[Income]]&gt;50000,"50K-75K",(IF(ifood_data[[#All],[Income]]&gt;35000,"35K-50K","&lt;35K")))))</f>
        <v>75K+</v>
      </c>
      <c r="AW25" t="str">
        <f>IF(ifood_data[[#All],[Age]]&gt;60,"60+",(IF(ifood_data[[#All],[Age]]&gt;50,"50-60",(IF(ifood_data[[#All],[Age]]&gt;40,"40-50",(IF(ifood_data[[#All],[Age]]&gt;30,"30-40","&lt;30")))))))</f>
        <v>&lt;30</v>
      </c>
      <c r="AX25">
        <f t="shared" si="0"/>
        <v>19</v>
      </c>
      <c r="AY25">
        <f t="shared" si="1"/>
        <v>8</v>
      </c>
      <c r="AZ25">
        <f t="shared" si="2"/>
        <v>4</v>
      </c>
      <c r="BA25">
        <f t="shared" si="3"/>
        <v>9</v>
      </c>
      <c r="BB25">
        <f>SUM(ifood_data[[#This Row],[Recency Score]:[Monetary Score]])</f>
        <v>21</v>
      </c>
      <c r="BC25">
        <f>(_xlfn.PERCENTRANK.INC(ifood_data[[#All],[RFM]],ifood_data[[#This Row],[RFM]],1))*10</f>
        <v>8</v>
      </c>
      <c r="BD25" t="str">
        <f>VLOOKUP(ifood_data[[#This Row],[RFM Score]],'RFM Analysis'!$A$3:$B$14,2,FALSE)</f>
        <v>Loyal Customer</v>
      </c>
      <c r="BE25">
        <f>'Regression Models'!$B$101+'Regression Models'!$B$102*ifood_data[[#This Row],[Income]]+'Regression Models'!$B$103*ifood_data[[#This Row],[Age]]+'Regression Models'!$B$104*ifood_data[[#This Row],[Family]]</f>
        <v>1606.9251774643067</v>
      </c>
      <c r="BF25" t="str">
        <f>IF(ifood_data[[#This Row],[AcceptedCmpOverall]]=1,"Campaign Respondent","Non-respondent")</f>
        <v>Campaign Respondent</v>
      </c>
    </row>
    <row r="26" spans="1:58" x14ac:dyDescent="0.35">
      <c r="A26">
        <v>1585</v>
      </c>
      <c r="B26">
        <v>90273</v>
      </c>
      <c r="C26">
        <v>0</v>
      </c>
      <c r="D26">
        <v>0</v>
      </c>
      <c r="E26">
        <v>32</v>
      </c>
      <c r="F26">
        <v>704</v>
      </c>
      <c r="G26">
        <v>129</v>
      </c>
      <c r="H26">
        <v>853</v>
      </c>
      <c r="I26">
        <v>120</v>
      </c>
      <c r="J26">
        <v>74</v>
      </c>
      <c r="K26">
        <v>111</v>
      </c>
      <c r="L26">
        <v>1</v>
      </c>
      <c r="M26">
        <v>5</v>
      </c>
      <c r="N26">
        <v>6</v>
      </c>
      <c r="O26">
        <v>7</v>
      </c>
      <c r="P26">
        <v>2</v>
      </c>
      <c r="Q26">
        <v>1</v>
      </c>
      <c r="R26">
        <v>0</v>
      </c>
      <c r="S26">
        <v>0</v>
      </c>
      <c r="T26">
        <v>1</v>
      </c>
      <c r="U26">
        <v>1</v>
      </c>
      <c r="V26">
        <f>IF(SUM(ifood_data[[#This Row],[AcceptedCmp1]:[AcceptedCmp5]])&gt;0,1,0)</f>
        <v>1</v>
      </c>
      <c r="W26">
        <v>0</v>
      </c>
      <c r="X26">
        <v>3</v>
      </c>
      <c r="Y26">
        <v>11</v>
      </c>
      <c r="Z26">
        <v>1</v>
      </c>
      <c r="AA26">
        <v>29</v>
      </c>
      <c r="AB26">
        <v>2356</v>
      </c>
      <c r="AC26" s="28">
        <f>ifood_data[[#This Row],[Customer_Days]]/365</f>
        <v>6.4547945205479449</v>
      </c>
      <c r="AD26">
        <v>0</v>
      </c>
      <c r="AE26">
        <v>0</v>
      </c>
      <c r="AF26">
        <v>1</v>
      </c>
      <c r="AG26">
        <v>0</v>
      </c>
      <c r="AH26">
        <v>0</v>
      </c>
      <c r="AI26">
        <v>0</v>
      </c>
      <c r="AJ26">
        <v>0</v>
      </c>
      <c r="AK26">
        <v>1</v>
      </c>
      <c r="AL26">
        <v>0</v>
      </c>
      <c r="AM26">
        <v>0</v>
      </c>
      <c r="AN26">
        <v>1880</v>
      </c>
      <c r="AO26">
        <v>1769</v>
      </c>
      <c r="AP26">
        <f>ifood_data[[#This Row],[MntTotal]]-ifood_data[[#This Row],[MntRegularProds]]</f>
        <v>111</v>
      </c>
      <c r="AQ26">
        <v>3</v>
      </c>
      <c r="AR26">
        <f>IF(SUM(ifood_data[[#This Row],[Kidhome]:[Teenhome]])&gt;0,1,0)</f>
        <v>0</v>
      </c>
      <c r="AS26" t="str">
        <f>IF(SUM(ifood_data[[#This Row],[Kidhome]:[Teenhome]])&gt;0,"Has Family","No Family")</f>
        <v>No Family</v>
      </c>
      <c r="AT26" t="str">
        <f>IF(ifood_data[[#This Row],[marital_Married]]=1,"Married", (IF(ifood_data[[#This Row],[marital_Single]]=1,"Single",(IF(ifood_data[[#This Row],[marital_Divorced]]=1,"Divorced",(IF(ifood_data[[#This Row],[marital_Together]]=1,"Living Together",(IF(ifood_data[[#This Row],[marital_Widow]]=1,"Widow","Other")))))))))</f>
        <v>Single</v>
      </c>
      <c r="AU26" t="str">
        <f>IF(ifood_data[[#This Row],[education_Basic]]=1,"High School",(IF(ifood_data[[#This Row],[education_Graduation]]=1,"Undergraduate Degree",(IF(SUM(AM26,AL26,AI26)&gt;0,"Master's Degree or Higher","Other")))))</f>
        <v>Undergraduate Degree</v>
      </c>
      <c r="AV26" t="str">
        <f>IF(ifood_data[[#All],[Income]]&gt;75000,"75K+",(IF(ifood_data[[#All],[Income]]&gt;50000,"50K-75K",(IF(ifood_data[[#All],[Income]]&gt;35000,"35K-50K","&lt;35K")))))</f>
        <v>75K+</v>
      </c>
      <c r="AW26" t="str">
        <f>IF(ifood_data[[#All],[Age]]&gt;60,"60+",(IF(ifood_data[[#All],[Age]]&gt;50,"50-60",(IF(ifood_data[[#All],[Age]]&gt;40,"40-50",(IF(ifood_data[[#All],[Age]]&gt;30,"30-40","&lt;30")))))))</f>
        <v>&lt;30</v>
      </c>
      <c r="AX26">
        <f t="shared" si="0"/>
        <v>21</v>
      </c>
      <c r="AY26">
        <f t="shared" si="1"/>
        <v>7</v>
      </c>
      <c r="AZ26">
        <f t="shared" si="2"/>
        <v>5</v>
      </c>
      <c r="BA26">
        <f t="shared" si="3"/>
        <v>9</v>
      </c>
      <c r="BB26">
        <f>SUM(ifood_data[[#This Row],[Recency Score]:[Monetary Score]])</f>
        <v>21</v>
      </c>
      <c r="BC26">
        <f>(_xlfn.PERCENTRANK.INC(ifood_data[[#All],[RFM]],ifood_data[[#This Row],[RFM]],1))*10</f>
        <v>8</v>
      </c>
      <c r="BD26" t="str">
        <f>VLOOKUP(ifood_data[[#This Row],[RFM Score]],'RFM Analysis'!$A$3:$B$14,2,FALSE)</f>
        <v>Loyal Customer</v>
      </c>
      <c r="BE26">
        <f>'Regression Models'!$B$101+'Regression Models'!$B$102*ifood_data[[#This Row],[Income]]+'Regression Models'!$B$103*ifood_data[[#This Row],[Age]]+'Regression Models'!$B$104*ifood_data[[#This Row],[Family]]</f>
        <v>1599.4832770917833</v>
      </c>
      <c r="BF26" t="str">
        <f>IF(ifood_data[[#This Row],[AcceptedCmpOverall]]=1,"Campaign Respondent","Non-respondent")</f>
        <v>Campaign Respondent</v>
      </c>
    </row>
    <row r="27" spans="1:58" x14ac:dyDescent="0.35">
      <c r="A27">
        <v>396</v>
      </c>
      <c r="B27">
        <v>91065</v>
      </c>
      <c r="C27">
        <v>0</v>
      </c>
      <c r="D27">
        <v>0</v>
      </c>
      <c r="E27">
        <v>33</v>
      </c>
      <c r="F27">
        <v>822</v>
      </c>
      <c r="G27">
        <v>114</v>
      </c>
      <c r="H27">
        <v>108</v>
      </c>
      <c r="I27">
        <v>179</v>
      </c>
      <c r="J27">
        <v>137</v>
      </c>
      <c r="K27">
        <v>114</v>
      </c>
      <c r="L27">
        <v>1</v>
      </c>
      <c r="M27">
        <v>7</v>
      </c>
      <c r="N27">
        <v>9</v>
      </c>
      <c r="O27">
        <v>9</v>
      </c>
      <c r="P27">
        <v>3</v>
      </c>
      <c r="Q27">
        <v>1</v>
      </c>
      <c r="R27">
        <v>0</v>
      </c>
      <c r="S27">
        <v>0</v>
      </c>
      <c r="T27">
        <v>0</v>
      </c>
      <c r="U27">
        <v>1</v>
      </c>
      <c r="V27">
        <f>IF(SUM(ifood_data[[#This Row],[AcceptedCmp1]:[AcceptedCmp5]])&gt;0,1,0)</f>
        <v>1</v>
      </c>
      <c r="W27">
        <v>0</v>
      </c>
      <c r="X27">
        <v>3</v>
      </c>
      <c r="Y27">
        <v>11</v>
      </c>
      <c r="Z27">
        <v>1</v>
      </c>
      <c r="AA27">
        <v>39</v>
      </c>
      <c r="AB27">
        <v>2651</v>
      </c>
      <c r="AC27" s="28">
        <f>ifood_data[[#This Row],[Customer_Days]]/365</f>
        <v>7.2630136986301368</v>
      </c>
      <c r="AD27">
        <v>0</v>
      </c>
      <c r="AE27">
        <v>0</v>
      </c>
      <c r="AF27">
        <v>1</v>
      </c>
      <c r="AG27">
        <v>0</v>
      </c>
      <c r="AH27">
        <v>0</v>
      </c>
      <c r="AI27">
        <v>0</v>
      </c>
      <c r="AJ27">
        <v>0</v>
      </c>
      <c r="AK27">
        <v>1</v>
      </c>
      <c r="AL27">
        <v>0</v>
      </c>
      <c r="AM27">
        <v>0</v>
      </c>
      <c r="AN27">
        <v>1360</v>
      </c>
      <c r="AO27">
        <v>1246</v>
      </c>
      <c r="AP27">
        <f>ifood_data[[#This Row],[MntTotal]]-ifood_data[[#This Row],[MntRegularProds]]</f>
        <v>114</v>
      </c>
      <c r="AQ27">
        <v>2</v>
      </c>
      <c r="AR27">
        <f>IF(SUM(ifood_data[[#This Row],[Kidhome]:[Teenhome]])&gt;0,1,0)</f>
        <v>0</v>
      </c>
      <c r="AS27" t="str">
        <f>IF(SUM(ifood_data[[#This Row],[Kidhome]:[Teenhome]])&gt;0,"Has Family","No Family")</f>
        <v>No Family</v>
      </c>
      <c r="AT27" t="str">
        <f>IF(ifood_data[[#This Row],[marital_Married]]=1,"Married", (IF(ifood_data[[#This Row],[marital_Single]]=1,"Single",(IF(ifood_data[[#This Row],[marital_Divorced]]=1,"Divorced",(IF(ifood_data[[#This Row],[marital_Together]]=1,"Living Together",(IF(ifood_data[[#This Row],[marital_Widow]]=1,"Widow","Other")))))))))</f>
        <v>Single</v>
      </c>
      <c r="AU27" t="str">
        <f>IF(ifood_data[[#This Row],[education_Basic]]=1,"High School",(IF(ifood_data[[#This Row],[education_Graduation]]=1,"Undergraduate Degree",(IF(SUM(AM27,AL27,AI27)&gt;0,"Master's Degree or Higher","Other")))))</f>
        <v>Undergraduate Degree</v>
      </c>
      <c r="AV27" t="str">
        <f>IF(ifood_data[[#All],[Income]]&gt;75000,"75K+",(IF(ifood_data[[#All],[Income]]&gt;50000,"50K-75K",(IF(ifood_data[[#All],[Income]]&gt;35000,"35K-50K","&lt;35K")))))</f>
        <v>75K+</v>
      </c>
      <c r="AW27" t="str">
        <f>IF(ifood_data[[#All],[Age]]&gt;60,"60+",(IF(ifood_data[[#All],[Age]]&gt;50,"50-60",(IF(ifood_data[[#All],[Age]]&gt;40,"40-50",(IF(ifood_data[[#All],[Age]]&gt;30,"30-40","&lt;30")))))))</f>
        <v>30-40</v>
      </c>
      <c r="AX27">
        <f t="shared" si="0"/>
        <v>29</v>
      </c>
      <c r="AY27">
        <f t="shared" si="1"/>
        <v>7</v>
      </c>
      <c r="AZ27">
        <f t="shared" si="2"/>
        <v>8</v>
      </c>
      <c r="BA27">
        <f t="shared" si="3"/>
        <v>8</v>
      </c>
      <c r="BB27">
        <f>SUM(ifood_data[[#This Row],[Recency Score]:[Monetary Score]])</f>
        <v>23</v>
      </c>
      <c r="BC27">
        <f>(_xlfn.PERCENTRANK.INC(ifood_data[[#All],[RFM]],ifood_data[[#This Row],[RFM]],1))*10</f>
        <v>8</v>
      </c>
      <c r="BD27" t="str">
        <f>VLOOKUP(ifood_data[[#This Row],[RFM Score]],'RFM Analysis'!$A$3:$B$14,2,FALSE)</f>
        <v>Loyal Customer</v>
      </c>
      <c r="BE27">
        <f>'Regression Models'!$B$101+'Regression Models'!$B$102*ifood_data[[#This Row],[Income]]+'Regression Models'!$B$103*ifood_data[[#This Row],[Age]]+'Regression Models'!$B$104*ifood_data[[#This Row],[Family]]</f>
        <v>1597.2667906728088</v>
      </c>
      <c r="BF27" t="str">
        <f>IF(ifood_data[[#This Row],[AcceptedCmpOverall]]=1,"Campaign Respondent","Non-respondent")</f>
        <v>Campaign Respondent</v>
      </c>
    </row>
    <row r="28" spans="1:58" x14ac:dyDescent="0.35">
      <c r="A28">
        <v>666</v>
      </c>
      <c r="B28">
        <v>90247</v>
      </c>
      <c r="C28">
        <v>0</v>
      </c>
      <c r="D28">
        <v>0</v>
      </c>
      <c r="E28">
        <v>27</v>
      </c>
      <c r="F28">
        <v>1184</v>
      </c>
      <c r="G28">
        <v>32</v>
      </c>
      <c r="H28">
        <v>352</v>
      </c>
      <c r="I28">
        <v>21</v>
      </c>
      <c r="J28">
        <v>16</v>
      </c>
      <c r="K28">
        <v>16</v>
      </c>
      <c r="L28">
        <v>1</v>
      </c>
      <c r="M28">
        <v>3</v>
      </c>
      <c r="N28">
        <v>4</v>
      </c>
      <c r="O28">
        <v>7</v>
      </c>
      <c r="P28">
        <v>1</v>
      </c>
      <c r="Q28">
        <v>1</v>
      </c>
      <c r="R28">
        <v>0</v>
      </c>
      <c r="S28">
        <v>0</v>
      </c>
      <c r="T28">
        <v>1</v>
      </c>
      <c r="U28">
        <v>1</v>
      </c>
      <c r="V28">
        <f>IF(SUM(ifood_data[[#This Row],[AcceptedCmp1]:[AcceptedCmp5]])&gt;0,1,0)</f>
        <v>1</v>
      </c>
      <c r="W28">
        <v>0</v>
      </c>
      <c r="X28">
        <v>3</v>
      </c>
      <c r="Y28">
        <v>11</v>
      </c>
      <c r="Z28">
        <v>1</v>
      </c>
      <c r="AA28">
        <v>32</v>
      </c>
      <c r="AB28">
        <v>2220</v>
      </c>
      <c r="AC28" s="28">
        <f>ifood_data[[#This Row],[Customer_Days]]/365</f>
        <v>6.0821917808219181</v>
      </c>
      <c r="AD28">
        <v>0</v>
      </c>
      <c r="AE28">
        <v>0</v>
      </c>
      <c r="AF28">
        <v>1</v>
      </c>
      <c r="AG28">
        <v>0</v>
      </c>
      <c r="AH28">
        <v>0</v>
      </c>
      <c r="AI28">
        <v>0</v>
      </c>
      <c r="AJ28">
        <v>0</v>
      </c>
      <c r="AK28">
        <v>0</v>
      </c>
      <c r="AL28">
        <v>1</v>
      </c>
      <c r="AM28">
        <v>0</v>
      </c>
      <c r="AN28">
        <v>1605</v>
      </c>
      <c r="AO28">
        <v>1589</v>
      </c>
      <c r="AP28">
        <f>ifood_data[[#This Row],[MntTotal]]-ifood_data[[#This Row],[MntRegularProds]]</f>
        <v>16</v>
      </c>
      <c r="AQ28">
        <v>3</v>
      </c>
      <c r="AR28">
        <f>IF(SUM(ifood_data[[#This Row],[Kidhome]:[Teenhome]])&gt;0,1,0)</f>
        <v>0</v>
      </c>
      <c r="AS28" t="str">
        <f>IF(SUM(ifood_data[[#This Row],[Kidhome]:[Teenhome]])&gt;0,"Has Family","No Family")</f>
        <v>No Family</v>
      </c>
      <c r="AT28" t="str">
        <f>IF(ifood_data[[#This Row],[marital_Married]]=1,"Married", (IF(ifood_data[[#This Row],[marital_Single]]=1,"Single",(IF(ifood_data[[#This Row],[marital_Divorced]]=1,"Divorced",(IF(ifood_data[[#This Row],[marital_Together]]=1,"Living Together",(IF(ifood_data[[#This Row],[marital_Widow]]=1,"Widow","Other")))))))))</f>
        <v>Single</v>
      </c>
      <c r="AU28" t="str">
        <f>IF(ifood_data[[#This Row],[education_Basic]]=1,"High School",(IF(ifood_data[[#This Row],[education_Graduation]]=1,"Undergraduate Degree",(IF(SUM(AM28,AL28,AI28)&gt;0,"Master's Degree or Higher","Other")))))</f>
        <v>Master's Degree or Higher</v>
      </c>
      <c r="AV28" t="str">
        <f>IF(ifood_data[[#All],[Income]]&gt;75000,"75K+",(IF(ifood_data[[#All],[Income]]&gt;50000,"50K-75K",(IF(ifood_data[[#All],[Income]]&gt;35000,"35K-50K","&lt;35K")))))</f>
        <v>75K+</v>
      </c>
      <c r="AW28" t="str">
        <f>IF(ifood_data[[#All],[Age]]&gt;60,"60+",(IF(ifood_data[[#All],[Age]]&gt;50,"50-60",(IF(ifood_data[[#All],[Age]]&gt;40,"40-50",(IF(ifood_data[[#All],[Age]]&gt;30,"30-40","&lt;30")))))))</f>
        <v>30-40</v>
      </c>
      <c r="AX28">
        <f t="shared" si="0"/>
        <v>16</v>
      </c>
      <c r="AY28">
        <f t="shared" si="1"/>
        <v>8</v>
      </c>
      <c r="AZ28">
        <f t="shared" si="2"/>
        <v>3</v>
      </c>
      <c r="BA28">
        <f t="shared" si="3"/>
        <v>9</v>
      </c>
      <c r="BB28">
        <f>SUM(ifood_data[[#This Row],[Recency Score]:[Monetary Score]])</f>
        <v>20</v>
      </c>
      <c r="BC28">
        <f>(_xlfn.PERCENTRANK.INC(ifood_data[[#All],[RFM]],ifood_data[[#This Row],[RFM]],1))*10</f>
        <v>7</v>
      </c>
      <c r="BD28" t="str">
        <f>VLOOKUP(ifood_data[[#This Row],[RFM Score]],'RFM Analysis'!$A$3:$B$14,2,FALSE)</f>
        <v>Loyal Customer</v>
      </c>
      <c r="BE28">
        <f>'Regression Models'!$B$101+'Regression Models'!$B$102*ifood_data[[#This Row],[Income]]+'Regression Models'!$B$103*ifood_data[[#This Row],[Age]]+'Regression Models'!$B$104*ifood_data[[#This Row],[Family]]</f>
        <v>1593.4438518833595</v>
      </c>
      <c r="BF28" t="str">
        <f>IF(ifood_data[[#This Row],[AcceptedCmpOverall]]=1,"Campaign Respondent","Non-respondent")</f>
        <v>Campaign Respondent</v>
      </c>
    </row>
    <row r="29" spans="1:58" x14ac:dyDescent="0.35">
      <c r="A29">
        <v>1187</v>
      </c>
      <c r="B29">
        <v>90687</v>
      </c>
      <c r="C29">
        <v>0</v>
      </c>
      <c r="D29">
        <v>0</v>
      </c>
      <c r="E29">
        <v>98</v>
      </c>
      <c r="F29">
        <v>982</v>
      </c>
      <c r="G29">
        <v>17</v>
      </c>
      <c r="H29">
        <v>672</v>
      </c>
      <c r="I29">
        <v>23</v>
      </c>
      <c r="J29">
        <v>34</v>
      </c>
      <c r="K29">
        <v>51</v>
      </c>
      <c r="L29">
        <v>1</v>
      </c>
      <c r="M29">
        <v>6</v>
      </c>
      <c r="N29">
        <v>2</v>
      </c>
      <c r="O29">
        <v>8</v>
      </c>
      <c r="P29">
        <v>2</v>
      </c>
      <c r="Q29">
        <v>0</v>
      </c>
      <c r="R29">
        <v>0</v>
      </c>
      <c r="S29">
        <v>0</v>
      </c>
      <c r="T29">
        <v>0</v>
      </c>
      <c r="U29">
        <v>1</v>
      </c>
      <c r="V29">
        <f>IF(SUM(ifood_data[[#This Row],[AcceptedCmp1]:[AcceptedCmp5]])&gt;0,1,0)</f>
        <v>1</v>
      </c>
      <c r="W29">
        <v>0</v>
      </c>
      <c r="X29">
        <v>3</v>
      </c>
      <c r="Y29">
        <v>11</v>
      </c>
      <c r="Z29">
        <v>1</v>
      </c>
      <c r="AA29">
        <v>37</v>
      </c>
      <c r="AB29">
        <v>2562</v>
      </c>
      <c r="AC29" s="28">
        <f>ifood_data[[#This Row],[Customer_Days]]/365</f>
        <v>7.0191780821917806</v>
      </c>
      <c r="AD29">
        <v>1</v>
      </c>
      <c r="AE29">
        <v>0</v>
      </c>
      <c r="AF29">
        <v>0</v>
      </c>
      <c r="AG29">
        <v>0</v>
      </c>
      <c r="AH29">
        <v>0</v>
      </c>
      <c r="AI29">
        <v>0</v>
      </c>
      <c r="AJ29">
        <v>0</v>
      </c>
      <c r="AK29">
        <v>0</v>
      </c>
      <c r="AL29">
        <v>0</v>
      </c>
      <c r="AM29">
        <v>1</v>
      </c>
      <c r="AN29">
        <v>1728</v>
      </c>
      <c r="AO29">
        <v>1677</v>
      </c>
      <c r="AP29">
        <f>ifood_data[[#This Row],[MntTotal]]-ifood_data[[#This Row],[MntRegularProds]]</f>
        <v>51</v>
      </c>
      <c r="AQ29">
        <v>1</v>
      </c>
      <c r="AR29">
        <f>IF(SUM(ifood_data[[#This Row],[Kidhome]:[Teenhome]])&gt;0,1,0)</f>
        <v>0</v>
      </c>
      <c r="AS29" t="str">
        <f>IF(SUM(ifood_data[[#This Row],[Kidhome]:[Teenhome]])&gt;0,"Has Family","No Family")</f>
        <v>No Family</v>
      </c>
      <c r="AT29" t="str">
        <f>IF(ifood_data[[#This Row],[marital_Married]]=1,"Married", (IF(ifood_data[[#This Row],[marital_Single]]=1,"Single",(IF(ifood_data[[#This Row],[marital_Divorced]]=1,"Divorced",(IF(ifood_data[[#This Row],[marital_Together]]=1,"Living Together",(IF(ifood_data[[#This Row],[marital_Widow]]=1,"Widow","Other")))))))))</f>
        <v>Divorced</v>
      </c>
      <c r="AU29" t="str">
        <f>IF(ifood_data[[#This Row],[education_Basic]]=1,"High School",(IF(ifood_data[[#This Row],[education_Graduation]]=1,"Undergraduate Degree",(IF(SUM(AM29,AL29,AI29)&gt;0,"Master's Degree or Higher","Other")))))</f>
        <v>Master's Degree or Higher</v>
      </c>
      <c r="AV29" t="str">
        <f>IF(ifood_data[[#All],[Income]]&gt;75000,"75K+",(IF(ifood_data[[#All],[Income]]&gt;50000,"50K-75K",(IF(ifood_data[[#All],[Income]]&gt;35000,"35K-50K","&lt;35K")))))</f>
        <v>75K+</v>
      </c>
      <c r="AW29" t="str">
        <f>IF(ifood_data[[#All],[Age]]&gt;60,"60+",(IF(ifood_data[[#All],[Age]]&gt;50,"50-60",(IF(ifood_data[[#All],[Age]]&gt;40,"40-50",(IF(ifood_data[[#All],[Age]]&gt;30,"30-40","&lt;30")))))))</f>
        <v>30-40</v>
      </c>
      <c r="AX29">
        <f t="shared" si="0"/>
        <v>19</v>
      </c>
      <c r="AY29">
        <f t="shared" si="1"/>
        <v>0.99999999999999978</v>
      </c>
      <c r="AZ29">
        <f t="shared" si="2"/>
        <v>4</v>
      </c>
      <c r="BA29">
        <f t="shared" si="3"/>
        <v>9</v>
      </c>
      <c r="BB29">
        <f>SUM(ifood_data[[#This Row],[Recency Score]:[Monetary Score]])</f>
        <v>14</v>
      </c>
      <c r="BC29">
        <f>(_xlfn.PERCENTRANK.INC(ifood_data[[#All],[RFM]],ifood_data[[#This Row],[RFM]],1))*10</f>
        <v>4</v>
      </c>
      <c r="BD29" t="str">
        <f>VLOOKUP(ifood_data[[#This Row],[RFM Score]],'RFM Analysis'!$A$3:$B$14,2,FALSE)</f>
        <v>At Risk</v>
      </c>
      <c r="BE29">
        <f>'Regression Models'!$B$101+'Regression Models'!$B$102*ifood_data[[#This Row],[Income]]+'Regression Models'!$B$103*ifood_data[[#This Row],[Age]]+'Regression Models'!$B$104*ifood_data[[#This Row],[Family]]</f>
        <v>1593.2327144722035</v>
      </c>
      <c r="BF29" t="str">
        <f>IF(ifood_data[[#This Row],[AcceptedCmpOverall]]=1,"Campaign Respondent","Non-respondent")</f>
        <v>Campaign Respondent</v>
      </c>
    </row>
    <row r="30" spans="1:58" x14ac:dyDescent="0.35">
      <c r="A30">
        <v>975</v>
      </c>
      <c r="B30">
        <v>91700</v>
      </c>
      <c r="C30">
        <v>0</v>
      </c>
      <c r="D30">
        <v>0</v>
      </c>
      <c r="E30">
        <v>58</v>
      </c>
      <c r="F30">
        <v>576</v>
      </c>
      <c r="G30">
        <v>172</v>
      </c>
      <c r="H30">
        <v>961</v>
      </c>
      <c r="I30">
        <v>125</v>
      </c>
      <c r="J30">
        <v>115</v>
      </c>
      <c r="K30">
        <v>19</v>
      </c>
      <c r="L30">
        <v>1</v>
      </c>
      <c r="M30">
        <v>8</v>
      </c>
      <c r="N30">
        <v>6</v>
      </c>
      <c r="O30">
        <v>5</v>
      </c>
      <c r="P30">
        <v>3</v>
      </c>
      <c r="Q30">
        <v>0</v>
      </c>
      <c r="R30">
        <v>0</v>
      </c>
      <c r="S30">
        <v>0</v>
      </c>
      <c r="T30">
        <v>0</v>
      </c>
      <c r="U30">
        <v>0</v>
      </c>
      <c r="V30">
        <f>IF(SUM(ifood_data[[#This Row],[AcceptedCmp1]:[AcceptedCmp5]])&gt;0,1,0)</f>
        <v>0</v>
      </c>
      <c r="W30">
        <v>0</v>
      </c>
      <c r="X30">
        <v>3</v>
      </c>
      <c r="Y30">
        <v>11</v>
      </c>
      <c r="Z30">
        <v>1</v>
      </c>
      <c r="AA30">
        <v>49</v>
      </c>
      <c r="AB30">
        <v>2687</v>
      </c>
      <c r="AC30" s="28">
        <f>ifood_data[[#This Row],[Customer_Days]]/365</f>
        <v>7.3616438356164382</v>
      </c>
      <c r="AD30">
        <v>0</v>
      </c>
      <c r="AE30">
        <v>0</v>
      </c>
      <c r="AF30">
        <v>1</v>
      </c>
      <c r="AG30">
        <v>0</v>
      </c>
      <c r="AH30">
        <v>0</v>
      </c>
      <c r="AI30">
        <v>0</v>
      </c>
      <c r="AJ30">
        <v>0</v>
      </c>
      <c r="AK30">
        <v>1</v>
      </c>
      <c r="AL30">
        <v>0</v>
      </c>
      <c r="AM30">
        <v>0</v>
      </c>
      <c r="AN30">
        <v>1949</v>
      </c>
      <c r="AO30">
        <v>1930</v>
      </c>
      <c r="AP30">
        <f>ifood_data[[#This Row],[MntTotal]]-ifood_data[[#This Row],[MntRegularProds]]</f>
        <v>19</v>
      </c>
      <c r="AQ30">
        <v>0</v>
      </c>
      <c r="AR30">
        <f>IF(SUM(ifood_data[[#This Row],[Kidhome]:[Teenhome]])&gt;0,1,0)</f>
        <v>0</v>
      </c>
      <c r="AS30" t="str">
        <f>IF(SUM(ifood_data[[#This Row],[Kidhome]:[Teenhome]])&gt;0,"Has Family","No Family")</f>
        <v>No Family</v>
      </c>
      <c r="AT30" t="str">
        <f>IF(ifood_data[[#This Row],[marital_Married]]=1,"Married", (IF(ifood_data[[#This Row],[marital_Single]]=1,"Single",(IF(ifood_data[[#This Row],[marital_Divorced]]=1,"Divorced",(IF(ifood_data[[#This Row],[marital_Together]]=1,"Living Together",(IF(ifood_data[[#This Row],[marital_Widow]]=1,"Widow","Other")))))))))</f>
        <v>Single</v>
      </c>
      <c r="AU30" t="str">
        <f>IF(ifood_data[[#This Row],[education_Basic]]=1,"High School",(IF(ifood_data[[#This Row],[education_Graduation]]=1,"Undergraduate Degree",(IF(SUM(AM30,AL30,AI30)&gt;0,"Master's Degree or Higher","Other")))))</f>
        <v>Undergraduate Degree</v>
      </c>
      <c r="AV30" t="str">
        <f>IF(ifood_data[[#All],[Income]]&gt;75000,"75K+",(IF(ifood_data[[#All],[Income]]&gt;50000,"50K-75K",(IF(ifood_data[[#All],[Income]]&gt;35000,"35K-50K","&lt;35K")))))</f>
        <v>75K+</v>
      </c>
      <c r="AW30" t="str">
        <f>IF(ifood_data[[#All],[Age]]&gt;60,"60+",(IF(ifood_data[[#All],[Age]]&gt;50,"50-60",(IF(ifood_data[[#All],[Age]]&gt;40,"40-50",(IF(ifood_data[[#All],[Age]]&gt;30,"30-40","&lt;30")))))))</f>
        <v>40-50</v>
      </c>
      <c r="AX30">
        <f t="shared" si="0"/>
        <v>23</v>
      </c>
      <c r="AY30">
        <f t="shared" si="1"/>
        <v>5</v>
      </c>
      <c r="AZ30">
        <f t="shared" si="2"/>
        <v>6</v>
      </c>
      <c r="BA30">
        <f t="shared" si="3"/>
        <v>9</v>
      </c>
      <c r="BB30">
        <f>SUM(ifood_data[[#This Row],[Recency Score]:[Monetary Score]])</f>
        <v>20</v>
      </c>
      <c r="BC30">
        <f>(_xlfn.PERCENTRANK.INC(ifood_data[[#All],[RFM]],ifood_data[[#This Row],[RFM]],1))*10</f>
        <v>7</v>
      </c>
      <c r="BD30" t="str">
        <f>VLOOKUP(ifood_data[[#This Row],[RFM Score]],'RFM Analysis'!$A$3:$B$14,2,FALSE)</f>
        <v>Loyal Customer</v>
      </c>
      <c r="BE30">
        <f>'Regression Models'!$B$101+'Regression Models'!$B$102*ifood_data[[#This Row],[Income]]+'Regression Models'!$B$103*ifood_data[[#This Row],[Age]]+'Regression Models'!$B$104*ifood_data[[#This Row],[Family]]</f>
        <v>1591.8492676552419</v>
      </c>
      <c r="BF30" t="str">
        <f>IF(ifood_data[[#This Row],[AcceptedCmpOverall]]=1,"Campaign Respondent","Non-respondent")</f>
        <v>Non-respondent</v>
      </c>
    </row>
    <row r="31" spans="1:58" x14ac:dyDescent="0.35">
      <c r="A31">
        <v>689</v>
      </c>
      <c r="B31">
        <v>89891</v>
      </c>
      <c r="C31">
        <v>0</v>
      </c>
      <c r="D31">
        <v>0</v>
      </c>
      <c r="E31">
        <v>17</v>
      </c>
      <c r="F31">
        <v>412</v>
      </c>
      <c r="G31">
        <v>22</v>
      </c>
      <c r="H31">
        <v>132</v>
      </c>
      <c r="I31">
        <v>59</v>
      </c>
      <c r="J31">
        <v>28</v>
      </c>
      <c r="K31">
        <v>183</v>
      </c>
      <c r="L31">
        <v>1</v>
      </c>
      <c r="M31">
        <v>11</v>
      </c>
      <c r="N31">
        <v>6</v>
      </c>
      <c r="O31">
        <v>8</v>
      </c>
      <c r="P31">
        <v>4</v>
      </c>
      <c r="Q31">
        <v>0</v>
      </c>
      <c r="R31">
        <v>0</v>
      </c>
      <c r="S31">
        <v>0</v>
      </c>
      <c r="T31">
        <v>0</v>
      </c>
      <c r="U31">
        <v>1</v>
      </c>
      <c r="V31">
        <f>IF(SUM(ifood_data[[#This Row],[AcceptedCmp1]:[AcceptedCmp5]])&gt;0,1,0)</f>
        <v>1</v>
      </c>
      <c r="W31">
        <v>0</v>
      </c>
      <c r="X31">
        <v>3</v>
      </c>
      <c r="Y31">
        <v>11</v>
      </c>
      <c r="Z31">
        <v>0</v>
      </c>
      <c r="AA31">
        <v>29</v>
      </c>
      <c r="AB31">
        <v>2599</v>
      </c>
      <c r="AC31" s="28">
        <f>ifood_data[[#This Row],[Customer_Days]]/365</f>
        <v>7.1205479452054794</v>
      </c>
      <c r="AD31">
        <v>0</v>
      </c>
      <c r="AE31">
        <v>0</v>
      </c>
      <c r="AF31">
        <v>0</v>
      </c>
      <c r="AG31">
        <v>1</v>
      </c>
      <c r="AH31">
        <v>0</v>
      </c>
      <c r="AI31">
        <v>0</v>
      </c>
      <c r="AJ31">
        <v>0</v>
      </c>
      <c r="AK31">
        <v>1</v>
      </c>
      <c r="AL31">
        <v>0</v>
      </c>
      <c r="AM31">
        <v>0</v>
      </c>
      <c r="AN31">
        <v>653</v>
      </c>
      <c r="AO31">
        <v>470</v>
      </c>
      <c r="AP31">
        <f>ifood_data[[#This Row],[MntTotal]]-ifood_data[[#This Row],[MntRegularProds]]</f>
        <v>183</v>
      </c>
      <c r="AQ31">
        <v>1</v>
      </c>
      <c r="AR31">
        <f>IF(SUM(ifood_data[[#This Row],[Kidhome]:[Teenhome]])&gt;0,1,0)</f>
        <v>0</v>
      </c>
      <c r="AS31" t="str">
        <f>IF(SUM(ifood_data[[#This Row],[Kidhome]:[Teenhome]])&gt;0,"Has Family","No Family")</f>
        <v>No Family</v>
      </c>
      <c r="AT31" t="str">
        <f>IF(ifood_data[[#This Row],[marital_Married]]=1,"Married", (IF(ifood_data[[#This Row],[marital_Single]]=1,"Single",(IF(ifood_data[[#This Row],[marital_Divorced]]=1,"Divorced",(IF(ifood_data[[#This Row],[marital_Together]]=1,"Living Together",(IF(ifood_data[[#This Row],[marital_Widow]]=1,"Widow","Other")))))))))</f>
        <v>Living Together</v>
      </c>
      <c r="AU31" t="str">
        <f>IF(ifood_data[[#This Row],[education_Basic]]=1,"High School",(IF(ifood_data[[#This Row],[education_Graduation]]=1,"Undergraduate Degree",(IF(SUM(AM31,AL31,AI31)&gt;0,"Master's Degree or Higher","Other")))))</f>
        <v>Undergraduate Degree</v>
      </c>
      <c r="AV31" t="str">
        <f>IF(ifood_data[[#All],[Income]]&gt;75000,"75K+",(IF(ifood_data[[#All],[Income]]&gt;50000,"50K-75K",(IF(ifood_data[[#All],[Income]]&gt;35000,"35K-50K","&lt;35K")))))</f>
        <v>75K+</v>
      </c>
      <c r="AW31" t="str">
        <f>IF(ifood_data[[#All],[Age]]&gt;60,"60+",(IF(ifood_data[[#All],[Age]]&gt;50,"50-60",(IF(ifood_data[[#All],[Age]]&gt;40,"40-50",(IF(ifood_data[[#All],[Age]]&gt;30,"30-40","&lt;30")))))))</f>
        <v>&lt;30</v>
      </c>
      <c r="AX31">
        <f t="shared" si="0"/>
        <v>30</v>
      </c>
      <c r="AY31">
        <f t="shared" si="1"/>
        <v>9</v>
      </c>
      <c r="AZ31">
        <f t="shared" si="2"/>
        <v>8</v>
      </c>
      <c r="BA31">
        <f t="shared" si="3"/>
        <v>6</v>
      </c>
      <c r="BB31">
        <f>SUM(ifood_data[[#This Row],[Recency Score]:[Monetary Score]])</f>
        <v>23</v>
      </c>
      <c r="BC31">
        <f>(_xlfn.PERCENTRANK.INC(ifood_data[[#All],[RFM]],ifood_data[[#This Row],[RFM]],1))*10</f>
        <v>8</v>
      </c>
      <c r="BD31" t="str">
        <f>VLOOKUP(ifood_data[[#This Row],[RFM Score]],'RFM Analysis'!$A$3:$B$14,2,FALSE)</f>
        <v>Loyal Customer</v>
      </c>
      <c r="BE31">
        <f>'Regression Models'!$B$101+'Regression Models'!$B$102*ifood_data[[#This Row],[Income]]+'Regression Models'!$B$103*ifood_data[[#This Row],[Age]]+'Regression Models'!$B$104*ifood_data[[#This Row],[Family]]</f>
        <v>1591.6947676608143</v>
      </c>
      <c r="BF31" t="str">
        <f>IF(ifood_data[[#This Row],[AcceptedCmpOverall]]=1,"Campaign Respondent","Non-respondent")</f>
        <v>Campaign Respondent</v>
      </c>
    </row>
    <row r="32" spans="1:58" x14ac:dyDescent="0.35">
      <c r="A32">
        <v>1744</v>
      </c>
      <c r="B32">
        <v>92556</v>
      </c>
      <c r="C32">
        <v>0</v>
      </c>
      <c r="D32">
        <v>0</v>
      </c>
      <c r="E32">
        <v>32</v>
      </c>
      <c r="F32">
        <v>493</v>
      </c>
      <c r="G32">
        <v>183</v>
      </c>
      <c r="H32">
        <v>352</v>
      </c>
      <c r="I32">
        <v>184</v>
      </c>
      <c r="J32">
        <v>23</v>
      </c>
      <c r="K32">
        <v>28</v>
      </c>
      <c r="L32">
        <v>0</v>
      </c>
      <c r="M32">
        <v>3</v>
      </c>
      <c r="N32">
        <v>5</v>
      </c>
      <c r="O32">
        <v>13</v>
      </c>
      <c r="P32">
        <v>0</v>
      </c>
      <c r="Q32">
        <v>0</v>
      </c>
      <c r="R32">
        <v>0</v>
      </c>
      <c r="S32">
        <v>0</v>
      </c>
      <c r="T32">
        <v>0</v>
      </c>
      <c r="U32">
        <v>0</v>
      </c>
      <c r="V32">
        <f>IF(SUM(ifood_data[[#This Row],[AcceptedCmp1]:[AcceptedCmp5]])&gt;0,1,0)</f>
        <v>0</v>
      </c>
      <c r="W32">
        <v>0</v>
      </c>
      <c r="X32">
        <v>3</v>
      </c>
      <c r="Y32">
        <v>11</v>
      </c>
      <c r="Z32">
        <v>0</v>
      </c>
      <c r="AA32">
        <v>60</v>
      </c>
      <c r="AB32">
        <v>2229</v>
      </c>
      <c r="AC32" s="28">
        <f>ifood_data[[#This Row],[Customer_Days]]/365</f>
        <v>6.1068493150684935</v>
      </c>
      <c r="AD32">
        <v>0</v>
      </c>
      <c r="AE32">
        <v>0</v>
      </c>
      <c r="AF32">
        <v>0</v>
      </c>
      <c r="AG32">
        <v>1</v>
      </c>
      <c r="AH32">
        <v>0</v>
      </c>
      <c r="AI32">
        <v>1</v>
      </c>
      <c r="AJ32">
        <v>0</v>
      </c>
      <c r="AK32">
        <v>0</v>
      </c>
      <c r="AL32">
        <v>0</v>
      </c>
      <c r="AM32">
        <v>0</v>
      </c>
      <c r="AN32">
        <v>1235</v>
      </c>
      <c r="AO32">
        <v>1207</v>
      </c>
      <c r="AP32">
        <f>ifood_data[[#This Row],[MntTotal]]-ifood_data[[#This Row],[MntRegularProds]]</f>
        <v>28</v>
      </c>
      <c r="AQ32">
        <v>0</v>
      </c>
      <c r="AR32">
        <f>IF(SUM(ifood_data[[#This Row],[Kidhome]:[Teenhome]])&gt;0,1,0)</f>
        <v>0</v>
      </c>
      <c r="AS32" t="str">
        <f>IF(SUM(ifood_data[[#This Row],[Kidhome]:[Teenhome]])&gt;0,"Has Family","No Family")</f>
        <v>No Family</v>
      </c>
      <c r="AT32" t="str">
        <f>IF(ifood_data[[#This Row],[marital_Married]]=1,"Married", (IF(ifood_data[[#This Row],[marital_Single]]=1,"Single",(IF(ifood_data[[#This Row],[marital_Divorced]]=1,"Divorced",(IF(ifood_data[[#This Row],[marital_Together]]=1,"Living Together",(IF(ifood_data[[#This Row],[marital_Widow]]=1,"Widow","Other")))))))))</f>
        <v>Living Together</v>
      </c>
      <c r="AU32" t="str">
        <f>IF(ifood_data[[#This Row],[education_Basic]]=1,"High School",(IF(ifood_data[[#This Row],[education_Graduation]]=1,"Undergraduate Degree",(IF(SUM(AM32,AL32,AI32)&gt;0,"Master's Degree or Higher","Other")))))</f>
        <v>Master's Degree or Higher</v>
      </c>
      <c r="AV32" t="str">
        <f>IF(ifood_data[[#All],[Income]]&gt;75000,"75K+",(IF(ifood_data[[#All],[Income]]&gt;50000,"50K-75K",(IF(ifood_data[[#All],[Income]]&gt;35000,"35K-50K","&lt;35K")))))</f>
        <v>75K+</v>
      </c>
      <c r="AW32" t="str">
        <f>IF(ifood_data[[#All],[Age]]&gt;60,"60+",(IF(ifood_data[[#All],[Age]]&gt;50,"50-60",(IF(ifood_data[[#All],[Age]]&gt;40,"40-50",(IF(ifood_data[[#All],[Age]]&gt;30,"30-40","&lt;30")))))))</f>
        <v>50-60</v>
      </c>
      <c r="AX32">
        <f t="shared" si="0"/>
        <v>21</v>
      </c>
      <c r="AY32">
        <f t="shared" si="1"/>
        <v>7</v>
      </c>
      <c r="AZ32">
        <f t="shared" si="2"/>
        <v>5</v>
      </c>
      <c r="BA32">
        <f t="shared" si="3"/>
        <v>8</v>
      </c>
      <c r="BB32">
        <f>SUM(ifood_data[[#This Row],[Recency Score]:[Monetary Score]])</f>
        <v>20</v>
      </c>
      <c r="BC32">
        <f>(_xlfn.PERCENTRANK.INC(ifood_data[[#All],[RFM]],ifood_data[[#This Row],[RFM]],1))*10</f>
        <v>7</v>
      </c>
      <c r="BD32" t="str">
        <f>VLOOKUP(ifood_data[[#This Row],[RFM Score]],'RFM Analysis'!$A$3:$B$14,2,FALSE)</f>
        <v>Loyal Customer</v>
      </c>
      <c r="BE32">
        <f>'Regression Models'!$B$101+'Regression Models'!$B$102*ifood_data[[#This Row],[Income]]+'Regression Models'!$B$103*ifood_data[[#This Row],[Age]]+'Regression Models'!$B$104*ifood_data[[#This Row],[Family]]</f>
        <v>1589.101223318582</v>
      </c>
      <c r="BF32" t="str">
        <f>IF(ifood_data[[#This Row],[AcceptedCmpOverall]]=1,"Campaign Respondent","Non-respondent")</f>
        <v>Non-respondent</v>
      </c>
    </row>
    <row r="33" spans="1:58" x14ac:dyDescent="0.35">
      <c r="A33">
        <v>1963</v>
      </c>
      <c r="B33">
        <v>90000</v>
      </c>
      <c r="C33">
        <v>0</v>
      </c>
      <c r="D33">
        <v>0</v>
      </c>
      <c r="E33">
        <v>91</v>
      </c>
      <c r="F33">
        <v>675</v>
      </c>
      <c r="G33">
        <v>144</v>
      </c>
      <c r="H33">
        <v>133</v>
      </c>
      <c r="I33">
        <v>94</v>
      </c>
      <c r="J33">
        <v>192</v>
      </c>
      <c r="K33">
        <v>241</v>
      </c>
      <c r="L33">
        <v>1</v>
      </c>
      <c r="M33">
        <v>4</v>
      </c>
      <c r="N33">
        <v>8</v>
      </c>
      <c r="O33">
        <v>5</v>
      </c>
      <c r="P33">
        <v>1</v>
      </c>
      <c r="Q33">
        <v>1</v>
      </c>
      <c r="R33">
        <v>0</v>
      </c>
      <c r="S33">
        <v>1</v>
      </c>
      <c r="T33">
        <v>0</v>
      </c>
      <c r="U33">
        <v>1</v>
      </c>
      <c r="V33">
        <f>IF(SUM(ifood_data[[#This Row],[AcceptedCmp1]:[AcceptedCmp5]])&gt;0,1,0)</f>
        <v>1</v>
      </c>
      <c r="W33">
        <v>0</v>
      </c>
      <c r="X33">
        <v>3</v>
      </c>
      <c r="Y33">
        <v>11</v>
      </c>
      <c r="Z33">
        <v>0</v>
      </c>
      <c r="AA33">
        <v>36</v>
      </c>
      <c r="AB33">
        <v>2347</v>
      </c>
      <c r="AC33" s="28">
        <f>ifood_data[[#This Row],[Customer_Days]]/365</f>
        <v>6.4301369863013695</v>
      </c>
      <c r="AD33">
        <v>0</v>
      </c>
      <c r="AE33">
        <v>1</v>
      </c>
      <c r="AF33">
        <v>0</v>
      </c>
      <c r="AG33">
        <v>0</v>
      </c>
      <c r="AH33">
        <v>0</v>
      </c>
      <c r="AI33">
        <v>0</v>
      </c>
      <c r="AJ33">
        <v>0</v>
      </c>
      <c r="AK33">
        <v>1</v>
      </c>
      <c r="AL33">
        <v>0</v>
      </c>
      <c r="AM33">
        <v>0</v>
      </c>
      <c r="AN33">
        <v>1238</v>
      </c>
      <c r="AO33">
        <v>997</v>
      </c>
      <c r="AP33">
        <f>ifood_data[[#This Row],[MntTotal]]-ifood_data[[#This Row],[MntRegularProds]]</f>
        <v>241</v>
      </c>
      <c r="AQ33">
        <v>3</v>
      </c>
      <c r="AR33">
        <f>IF(SUM(ifood_data[[#This Row],[Kidhome]:[Teenhome]])&gt;0,1,0)</f>
        <v>0</v>
      </c>
      <c r="AS33" t="str">
        <f>IF(SUM(ifood_data[[#This Row],[Kidhome]:[Teenhome]])&gt;0,"Has Family","No Family")</f>
        <v>No Family</v>
      </c>
      <c r="AT33" t="str">
        <f>IF(ifood_data[[#This Row],[marital_Married]]=1,"Married", (IF(ifood_data[[#This Row],[marital_Single]]=1,"Single",(IF(ifood_data[[#This Row],[marital_Divorced]]=1,"Divorced",(IF(ifood_data[[#This Row],[marital_Together]]=1,"Living Together",(IF(ifood_data[[#This Row],[marital_Widow]]=1,"Widow","Other")))))))))</f>
        <v>Married</v>
      </c>
      <c r="AU33" t="str">
        <f>IF(ifood_data[[#This Row],[education_Basic]]=1,"High School",(IF(ifood_data[[#This Row],[education_Graduation]]=1,"Undergraduate Degree",(IF(SUM(AM33,AL33,AI33)&gt;0,"Master's Degree or Higher","Other")))))</f>
        <v>Undergraduate Degree</v>
      </c>
      <c r="AV33" t="str">
        <f>IF(ifood_data[[#All],[Income]]&gt;75000,"75K+",(IF(ifood_data[[#All],[Income]]&gt;50000,"50K-75K",(IF(ifood_data[[#All],[Income]]&gt;35000,"35K-50K","&lt;35K")))))</f>
        <v>75K+</v>
      </c>
      <c r="AW33" t="str">
        <f>IF(ifood_data[[#All],[Age]]&gt;60,"60+",(IF(ifood_data[[#All],[Age]]&gt;50,"50-60",(IF(ifood_data[[#All],[Age]]&gt;40,"40-50",(IF(ifood_data[[#All],[Age]]&gt;30,"30-40","&lt;30")))))))</f>
        <v>30-40</v>
      </c>
      <c r="AX33">
        <f t="shared" si="0"/>
        <v>19</v>
      </c>
      <c r="AY33">
        <f t="shared" si="1"/>
        <v>0.99999999999999978</v>
      </c>
      <c r="AZ33">
        <f t="shared" si="2"/>
        <v>4</v>
      </c>
      <c r="BA33">
        <f t="shared" si="3"/>
        <v>8</v>
      </c>
      <c r="BB33">
        <f>SUM(ifood_data[[#This Row],[Recency Score]:[Monetary Score]])</f>
        <v>13</v>
      </c>
      <c r="BC33">
        <f>(_xlfn.PERCENTRANK.INC(ifood_data[[#All],[RFM]],ifood_data[[#This Row],[RFM]],1))*10</f>
        <v>3</v>
      </c>
      <c r="BD33" t="str">
        <f>VLOOKUP(ifood_data[[#This Row],[RFM Score]],'RFM Analysis'!$A$3:$B$14,2,FALSE)</f>
        <v>At Risk</v>
      </c>
      <c r="BE33">
        <f>'Regression Models'!$B$101+'Regression Models'!$B$102*ifood_data[[#This Row],[Income]]+'Regression Models'!$B$103*ifood_data[[#This Row],[Age]]+'Regression Models'!$B$104*ifood_data[[#This Row],[Family]]</f>
        <v>1581.0620698362391</v>
      </c>
      <c r="BF33" t="str">
        <f>IF(ifood_data[[#This Row],[AcceptedCmpOverall]]=1,"Campaign Respondent","Non-respondent")</f>
        <v>Campaign Respondent</v>
      </c>
    </row>
    <row r="34" spans="1:58" x14ac:dyDescent="0.35">
      <c r="A34">
        <v>368</v>
      </c>
      <c r="B34">
        <v>90300</v>
      </c>
      <c r="C34">
        <v>0</v>
      </c>
      <c r="D34">
        <v>0</v>
      </c>
      <c r="E34">
        <v>7</v>
      </c>
      <c r="F34">
        <v>594</v>
      </c>
      <c r="G34">
        <v>134</v>
      </c>
      <c r="H34">
        <v>786</v>
      </c>
      <c r="I34">
        <v>33</v>
      </c>
      <c r="J34">
        <v>134</v>
      </c>
      <c r="K34">
        <v>57</v>
      </c>
      <c r="L34">
        <v>0</v>
      </c>
      <c r="M34">
        <v>5</v>
      </c>
      <c r="N34">
        <v>6</v>
      </c>
      <c r="O34">
        <v>8</v>
      </c>
      <c r="P34">
        <v>1</v>
      </c>
      <c r="Q34">
        <v>0</v>
      </c>
      <c r="R34">
        <v>0</v>
      </c>
      <c r="S34">
        <v>0</v>
      </c>
      <c r="T34">
        <v>0</v>
      </c>
      <c r="U34">
        <v>1</v>
      </c>
      <c r="V34">
        <f>IF(SUM(ifood_data[[#This Row],[AcceptedCmp1]:[AcceptedCmp5]])&gt;0,1,0)</f>
        <v>1</v>
      </c>
      <c r="W34">
        <v>0</v>
      </c>
      <c r="X34">
        <v>3</v>
      </c>
      <c r="Y34">
        <v>11</v>
      </c>
      <c r="Z34">
        <v>0</v>
      </c>
      <c r="AA34">
        <v>41</v>
      </c>
      <c r="AB34">
        <v>2336</v>
      </c>
      <c r="AC34" s="28">
        <f>ifood_data[[#This Row],[Customer_Days]]/365</f>
        <v>6.4</v>
      </c>
      <c r="AD34">
        <v>0</v>
      </c>
      <c r="AE34">
        <v>0</v>
      </c>
      <c r="AF34">
        <v>0</v>
      </c>
      <c r="AG34">
        <v>1</v>
      </c>
      <c r="AH34">
        <v>0</v>
      </c>
      <c r="AI34">
        <v>0</v>
      </c>
      <c r="AJ34">
        <v>0</v>
      </c>
      <c r="AK34">
        <v>1</v>
      </c>
      <c r="AL34">
        <v>0</v>
      </c>
      <c r="AM34">
        <v>0</v>
      </c>
      <c r="AN34">
        <v>1681</v>
      </c>
      <c r="AO34">
        <v>1624</v>
      </c>
      <c r="AP34">
        <f>ifood_data[[#This Row],[MntTotal]]-ifood_data[[#This Row],[MntRegularProds]]</f>
        <v>57</v>
      </c>
      <c r="AQ34">
        <v>1</v>
      </c>
      <c r="AR34">
        <f>IF(SUM(ifood_data[[#This Row],[Kidhome]:[Teenhome]])&gt;0,1,0)</f>
        <v>0</v>
      </c>
      <c r="AS34" t="str">
        <f>IF(SUM(ifood_data[[#This Row],[Kidhome]:[Teenhome]])&gt;0,"Has Family","No Family")</f>
        <v>No Family</v>
      </c>
      <c r="AT34" t="str">
        <f>IF(ifood_data[[#This Row],[marital_Married]]=1,"Married", (IF(ifood_data[[#This Row],[marital_Single]]=1,"Single",(IF(ifood_data[[#This Row],[marital_Divorced]]=1,"Divorced",(IF(ifood_data[[#This Row],[marital_Together]]=1,"Living Together",(IF(ifood_data[[#This Row],[marital_Widow]]=1,"Widow","Other")))))))))</f>
        <v>Living Together</v>
      </c>
      <c r="AU34" t="str">
        <f>IF(ifood_data[[#This Row],[education_Basic]]=1,"High School",(IF(ifood_data[[#This Row],[education_Graduation]]=1,"Undergraduate Degree",(IF(SUM(AM34,AL34,AI34)&gt;0,"Master's Degree or Higher","Other")))))</f>
        <v>Undergraduate Degree</v>
      </c>
      <c r="AV34" t="str">
        <f>IF(ifood_data[[#All],[Income]]&gt;75000,"75K+",(IF(ifood_data[[#All],[Income]]&gt;50000,"50K-75K",(IF(ifood_data[[#All],[Income]]&gt;35000,"35K-50K","&lt;35K")))))</f>
        <v>75K+</v>
      </c>
      <c r="AW34" t="str">
        <f>IF(ifood_data[[#All],[Age]]&gt;60,"60+",(IF(ifood_data[[#All],[Age]]&gt;50,"50-60",(IF(ifood_data[[#All],[Age]]&gt;40,"40-50",(IF(ifood_data[[#All],[Age]]&gt;30,"30-40","&lt;30")))))))</f>
        <v>40-50</v>
      </c>
      <c r="AX34">
        <f t="shared" si="0"/>
        <v>20</v>
      </c>
      <c r="AY34">
        <f t="shared" si="1"/>
        <v>10</v>
      </c>
      <c r="AZ34">
        <f t="shared" si="2"/>
        <v>4</v>
      </c>
      <c r="BA34">
        <f t="shared" si="3"/>
        <v>9</v>
      </c>
      <c r="BB34">
        <f>SUM(ifood_data[[#This Row],[Recency Score]:[Monetary Score]])</f>
        <v>23</v>
      </c>
      <c r="BC34">
        <f>(_xlfn.PERCENTRANK.INC(ifood_data[[#All],[RFM]],ifood_data[[#This Row],[RFM]],1))*10</f>
        <v>8</v>
      </c>
      <c r="BD34" t="str">
        <f>VLOOKUP(ifood_data[[#This Row],[RFM Score]],'RFM Analysis'!$A$3:$B$14,2,FALSE)</f>
        <v>Loyal Customer</v>
      </c>
      <c r="BE34">
        <f>'Regression Models'!$B$101+'Regression Models'!$B$102*ifood_data[[#This Row],[Income]]+'Regression Models'!$B$103*ifood_data[[#This Row],[Age]]+'Regression Models'!$B$104*ifood_data[[#This Row],[Family]]</f>
        <v>1577.9965048849376</v>
      </c>
      <c r="BF34" t="str">
        <f>IF(ifood_data[[#This Row],[AcceptedCmpOverall]]=1,"Campaign Respondent","Non-respondent")</f>
        <v>Campaign Respondent</v>
      </c>
    </row>
    <row r="35" spans="1:58" x14ac:dyDescent="0.35">
      <c r="A35">
        <v>1983</v>
      </c>
      <c r="B35">
        <v>89616</v>
      </c>
      <c r="C35">
        <v>0</v>
      </c>
      <c r="D35">
        <v>0</v>
      </c>
      <c r="E35">
        <v>36</v>
      </c>
      <c r="F35">
        <v>671</v>
      </c>
      <c r="G35">
        <v>47</v>
      </c>
      <c r="H35">
        <v>655</v>
      </c>
      <c r="I35">
        <v>145</v>
      </c>
      <c r="J35">
        <v>111</v>
      </c>
      <c r="K35">
        <v>15</v>
      </c>
      <c r="L35">
        <v>1</v>
      </c>
      <c r="M35">
        <v>7</v>
      </c>
      <c r="N35">
        <v>5</v>
      </c>
      <c r="O35">
        <v>12</v>
      </c>
      <c r="P35">
        <v>2</v>
      </c>
      <c r="Q35">
        <v>0</v>
      </c>
      <c r="R35">
        <v>0</v>
      </c>
      <c r="S35">
        <v>0</v>
      </c>
      <c r="T35">
        <v>0</v>
      </c>
      <c r="U35">
        <v>0</v>
      </c>
      <c r="V35">
        <f>IF(SUM(ifood_data[[#This Row],[AcceptedCmp1]:[AcceptedCmp5]])&gt;0,1,0)</f>
        <v>0</v>
      </c>
      <c r="W35">
        <v>0</v>
      </c>
      <c r="X35">
        <v>3</v>
      </c>
      <c r="Y35">
        <v>11</v>
      </c>
      <c r="Z35">
        <v>1</v>
      </c>
      <c r="AA35">
        <v>37</v>
      </c>
      <c r="AB35">
        <v>2648</v>
      </c>
      <c r="AC35" s="28">
        <f>ifood_data[[#This Row],[Customer_Days]]/365</f>
        <v>7.2547945205479456</v>
      </c>
      <c r="AD35">
        <v>0</v>
      </c>
      <c r="AE35">
        <v>0</v>
      </c>
      <c r="AF35">
        <v>1</v>
      </c>
      <c r="AG35">
        <v>0</v>
      </c>
      <c r="AH35">
        <v>0</v>
      </c>
      <c r="AI35">
        <v>0</v>
      </c>
      <c r="AJ35">
        <v>0</v>
      </c>
      <c r="AK35">
        <v>0</v>
      </c>
      <c r="AL35">
        <v>1</v>
      </c>
      <c r="AM35">
        <v>0</v>
      </c>
      <c r="AN35">
        <v>1629</v>
      </c>
      <c r="AO35">
        <v>1614</v>
      </c>
      <c r="AP35">
        <f>ifood_data[[#This Row],[MntTotal]]-ifood_data[[#This Row],[MntRegularProds]]</f>
        <v>15</v>
      </c>
      <c r="AQ35">
        <v>0</v>
      </c>
      <c r="AR35">
        <f>IF(SUM(ifood_data[[#This Row],[Kidhome]:[Teenhome]])&gt;0,1,0)</f>
        <v>0</v>
      </c>
      <c r="AS35" t="str">
        <f>IF(SUM(ifood_data[[#This Row],[Kidhome]:[Teenhome]])&gt;0,"Has Family","No Family")</f>
        <v>No Family</v>
      </c>
      <c r="AT35" t="str">
        <f>IF(ifood_data[[#This Row],[marital_Married]]=1,"Married", (IF(ifood_data[[#This Row],[marital_Single]]=1,"Single",(IF(ifood_data[[#This Row],[marital_Divorced]]=1,"Divorced",(IF(ifood_data[[#This Row],[marital_Together]]=1,"Living Together",(IF(ifood_data[[#This Row],[marital_Widow]]=1,"Widow","Other")))))))))</f>
        <v>Single</v>
      </c>
      <c r="AU35" t="str">
        <f>IF(ifood_data[[#This Row],[education_Basic]]=1,"High School",(IF(ifood_data[[#This Row],[education_Graduation]]=1,"Undergraduate Degree",(IF(SUM(AM35,AL35,AI35)&gt;0,"Master's Degree or Higher","Other")))))</f>
        <v>Master's Degree or Higher</v>
      </c>
      <c r="AV35" t="str">
        <f>IF(ifood_data[[#All],[Income]]&gt;75000,"75K+",(IF(ifood_data[[#All],[Income]]&gt;50000,"50K-75K",(IF(ifood_data[[#All],[Income]]&gt;35000,"35K-50K","&lt;35K")))))</f>
        <v>75K+</v>
      </c>
      <c r="AW35" t="str">
        <f>IF(ifood_data[[#All],[Age]]&gt;60,"60+",(IF(ifood_data[[#All],[Age]]&gt;50,"50-60",(IF(ifood_data[[#All],[Age]]&gt;40,"40-50",(IF(ifood_data[[#All],[Age]]&gt;30,"30-40","&lt;30")))))))</f>
        <v>30-40</v>
      </c>
      <c r="AX35">
        <f t="shared" si="0"/>
        <v>27</v>
      </c>
      <c r="AY35">
        <f t="shared" si="1"/>
        <v>7</v>
      </c>
      <c r="AZ35">
        <f t="shared" si="2"/>
        <v>7</v>
      </c>
      <c r="BA35">
        <f t="shared" si="3"/>
        <v>9</v>
      </c>
      <c r="BB35">
        <f>SUM(ifood_data[[#This Row],[Recency Score]:[Monetary Score]])</f>
        <v>23</v>
      </c>
      <c r="BC35">
        <f>(_xlfn.PERCENTRANK.INC(ifood_data[[#All],[RFM]],ifood_data[[#This Row],[RFM]],1))*10</f>
        <v>8</v>
      </c>
      <c r="BD35" t="str">
        <f>VLOOKUP(ifood_data[[#This Row],[RFM Score]],'RFM Analysis'!$A$3:$B$14,2,FALSE)</f>
        <v>Loyal Customer</v>
      </c>
      <c r="BE35">
        <f>'Regression Models'!$B$101+'Regression Models'!$B$102*ifood_data[[#This Row],[Income]]+'Regression Models'!$B$103*ifood_data[[#This Row],[Age]]+'Regression Models'!$B$104*ifood_data[[#This Row],[Family]]</f>
        <v>1571.3963437900879</v>
      </c>
      <c r="BF35" t="str">
        <f>IF(ifood_data[[#This Row],[AcceptedCmpOverall]]=1,"Campaign Respondent","Non-respondent")</f>
        <v>Non-respondent</v>
      </c>
    </row>
    <row r="36" spans="1:58" x14ac:dyDescent="0.35">
      <c r="A36">
        <v>107</v>
      </c>
      <c r="B36">
        <v>90765</v>
      </c>
      <c r="C36">
        <v>0</v>
      </c>
      <c r="D36">
        <v>0</v>
      </c>
      <c r="E36">
        <v>25</v>
      </c>
      <c r="F36">
        <v>547</v>
      </c>
      <c r="G36">
        <v>99</v>
      </c>
      <c r="H36">
        <v>812</v>
      </c>
      <c r="I36">
        <v>151</v>
      </c>
      <c r="J36">
        <v>82</v>
      </c>
      <c r="K36">
        <v>33</v>
      </c>
      <c r="L36">
        <v>0</v>
      </c>
      <c r="M36">
        <v>4</v>
      </c>
      <c r="N36">
        <v>6</v>
      </c>
      <c r="O36">
        <v>5</v>
      </c>
      <c r="P36">
        <v>1</v>
      </c>
      <c r="Q36">
        <v>1</v>
      </c>
      <c r="R36">
        <v>0</v>
      </c>
      <c r="S36">
        <v>0</v>
      </c>
      <c r="T36">
        <v>0</v>
      </c>
      <c r="U36">
        <v>1</v>
      </c>
      <c r="V36">
        <f>IF(SUM(ifood_data[[#This Row],[AcceptedCmp1]:[AcceptedCmp5]])&gt;0,1,0)</f>
        <v>1</v>
      </c>
      <c r="W36">
        <v>0</v>
      </c>
      <c r="X36">
        <v>3</v>
      </c>
      <c r="Y36">
        <v>11</v>
      </c>
      <c r="Z36">
        <v>0</v>
      </c>
      <c r="AA36">
        <v>50</v>
      </c>
      <c r="AB36">
        <v>2315</v>
      </c>
      <c r="AC36" s="28">
        <f>ifood_data[[#This Row],[Customer_Days]]/365</f>
        <v>6.3424657534246576</v>
      </c>
      <c r="AD36">
        <v>0</v>
      </c>
      <c r="AE36">
        <v>1</v>
      </c>
      <c r="AF36">
        <v>0</v>
      </c>
      <c r="AG36">
        <v>0</v>
      </c>
      <c r="AH36">
        <v>0</v>
      </c>
      <c r="AI36">
        <v>0</v>
      </c>
      <c r="AJ36">
        <v>0</v>
      </c>
      <c r="AK36">
        <v>1</v>
      </c>
      <c r="AL36">
        <v>0</v>
      </c>
      <c r="AM36">
        <v>0</v>
      </c>
      <c r="AN36">
        <v>1691</v>
      </c>
      <c r="AO36">
        <v>1658</v>
      </c>
      <c r="AP36">
        <f>ifood_data[[#This Row],[MntTotal]]-ifood_data[[#This Row],[MntRegularProds]]</f>
        <v>33</v>
      </c>
      <c r="AQ36">
        <v>2</v>
      </c>
      <c r="AR36">
        <f>IF(SUM(ifood_data[[#This Row],[Kidhome]:[Teenhome]])&gt;0,1,0)</f>
        <v>0</v>
      </c>
      <c r="AS36" t="str">
        <f>IF(SUM(ifood_data[[#This Row],[Kidhome]:[Teenhome]])&gt;0,"Has Family","No Family")</f>
        <v>No Family</v>
      </c>
      <c r="AT36" t="str">
        <f>IF(ifood_data[[#This Row],[marital_Married]]=1,"Married", (IF(ifood_data[[#This Row],[marital_Single]]=1,"Single",(IF(ifood_data[[#This Row],[marital_Divorced]]=1,"Divorced",(IF(ifood_data[[#This Row],[marital_Together]]=1,"Living Together",(IF(ifood_data[[#This Row],[marital_Widow]]=1,"Widow","Other")))))))))</f>
        <v>Married</v>
      </c>
      <c r="AU36" t="str">
        <f>IF(ifood_data[[#This Row],[education_Basic]]=1,"High School",(IF(ifood_data[[#This Row],[education_Graduation]]=1,"Undergraduate Degree",(IF(SUM(AM36,AL36,AI36)&gt;0,"Master's Degree or Higher","Other")))))</f>
        <v>Undergraduate Degree</v>
      </c>
      <c r="AV36" t="str">
        <f>IF(ifood_data[[#All],[Income]]&gt;75000,"75K+",(IF(ifood_data[[#All],[Income]]&gt;50000,"50K-75K",(IF(ifood_data[[#All],[Income]]&gt;35000,"35K-50K","&lt;35K")))))</f>
        <v>75K+</v>
      </c>
      <c r="AW36" t="str">
        <f>IF(ifood_data[[#All],[Age]]&gt;60,"60+",(IF(ifood_data[[#All],[Age]]&gt;50,"50-60",(IF(ifood_data[[#All],[Age]]&gt;40,"40-50",(IF(ifood_data[[#All],[Age]]&gt;30,"30-40","&lt;30")))))))</f>
        <v>40-50</v>
      </c>
      <c r="AX36">
        <f t="shared" si="0"/>
        <v>16</v>
      </c>
      <c r="AY36">
        <f t="shared" si="1"/>
        <v>8</v>
      </c>
      <c r="AZ36">
        <f t="shared" si="2"/>
        <v>3</v>
      </c>
      <c r="BA36">
        <f t="shared" si="3"/>
        <v>9</v>
      </c>
      <c r="BB36">
        <f>SUM(ifood_data[[#This Row],[Recency Score]:[Monetary Score]])</f>
        <v>20</v>
      </c>
      <c r="BC36">
        <f>(_xlfn.PERCENTRANK.INC(ifood_data[[#All],[RFM]],ifood_data[[#This Row],[RFM]],1))*10</f>
        <v>7</v>
      </c>
      <c r="BD36" t="str">
        <f>VLOOKUP(ifood_data[[#This Row],[RFM Score]],'RFM Analysis'!$A$3:$B$14,2,FALSE)</f>
        <v>Loyal Customer</v>
      </c>
      <c r="BE36">
        <f>'Regression Models'!$B$101+'Regression Models'!$B$102*ifood_data[[#This Row],[Income]]+'Regression Models'!$B$103*ifood_data[[#This Row],[Age]]+'Regression Models'!$B$104*ifood_data[[#This Row],[Family]]</f>
        <v>1570.9493303618019</v>
      </c>
      <c r="BF36" t="str">
        <f>IF(ifood_data[[#This Row],[AcceptedCmpOverall]]=1,"Campaign Respondent","Non-respondent")</f>
        <v>Campaign Respondent</v>
      </c>
    </row>
    <row r="37" spans="1:58" x14ac:dyDescent="0.35">
      <c r="A37">
        <v>401</v>
      </c>
      <c r="B37">
        <v>93027</v>
      </c>
      <c r="C37">
        <v>0</v>
      </c>
      <c r="D37">
        <v>0</v>
      </c>
      <c r="E37">
        <v>77</v>
      </c>
      <c r="F37">
        <v>1285</v>
      </c>
      <c r="G37">
        <v>42</v>
      </c>
      <c r="H37">
        <v>716</v>
      </c>
      <c r="I37">
        <v>55</v>
      </c>
      <c r="J37">
        <v>0</v>
      </c>
      <c r="K37">
        <v>21</v>
      </c>
      <c r="L37">
        <v>0</v>
      </c>
      <c r="M37">
        <v>7</v>
      </c>
      <c r="N37">
        <v>10</v>
      </c>
      <c r="O37">
        <v>5</v>
      </c>
      <c r="P37">
        <v>2</v>
      </c>
      <c r="Q37">
        <v>0</v>
      </c>
      <c r="R37">
        <v>0</v>
      </c>
      <c r="S37">
        <v>0</v>
      </c>
      <c r="T37">
        <v>0</v>
      </c>
      <c r="U37">
        <v>1</v>
      </c>
      <c r="V37">
        <f>IF(SUM(ifood_data[[#This Row],[AcceptedCmp1]:[AcceptedCmp5]])&gt;0,1,0)</f>
        <v>1</v>
      </c>
      <c r="W37">
        <v>0</v>
      </c>
      <c r="X37">
        <v>3</v>
      </c>
      <c r="Y37">
        <v>11</v>
      </c>
      <c r="Z37">
        <v>0</v>
      </c>
      <c r="AA37">
        <v>79</v>
      </c>
      <c r="AB37">
        <v>2601</v>
      </c>
      <c r="AC37" s="28">
        <f>ifood_data[[#This Row],[Customer_Days]]/365</f>
        <v>7.1260273972602741</v>
      </c>
      <c r="AD37">
        <v>0</v>
      </c>
      <c r="AE37">
        <v>1</v>
      </c>
      <c r="AF37">
        <v>0</v>
      </c>
      <c r="AG37">
        <v>0</v>
      </c>
      <c r="AH37">
        <v>0</v>
      </c>
      <c r="AI37">
        <v>0</v>
      </c>
      <c r="AJ37">
        <v>0</v>
      </c>
      <c r="AK37">
        <v>0</v>
      </c>
      <c r="AL37">
        <v>0</v>
      </c>
      <c r="AM37">
        <v>1</v>
      </c>
      <c r="AN37">
        <v>2098</v>
      </c>
      <c r="AO37">
        <v>2077</v>
      </c>
      <c r="AP37">
        <f>ifood_data[[#This Row],[MntTotal]]-ifood_data[[#This Row],[MntRegularProds]]</f>
        <v>21</v>
      </c>
      <c r="AQ37">
        <v>1</v>
      </c>
      <c r="AR37">
        <f>IF(SUM(ifood_data[[#This Row],[Kidhome]:[Teenhome]])&gt;0,1,0)</f>
        <v>0</v>
      </c>
      <c r="AS37" t="str">
        <f>IF(SUM(ifood_data[[#This Row],[Kidhome]:[Teenhome]])&gt;0,"Has Family","No Family")</f>
        <v>No Family</v>
      </c>
      <c r="AT37" t="str">
        <f>IF(ifood_data[[#This Row],[marital_Married]]=1,"Married", (IF(ifood_data[[#This Row],[marital_Single]]=1,"Single",(IF(ifood_data[[#This Row],[marital_Divorced]]=1,"Divorced",(IF(ifood_data[[#This Row],[marital_Together]]=1,"Living Together",(IF(ifood_data[[#This Row],[marital_Widow]]=1,"Widow","Other")))))))))</f>
        <v>Married</v>
      </c>
      <c r="AU37" t="str">
        <f>IF(ifood_data[[#This Row],[education_Basic]]=1,"High School",(IF(ifood_data[[#This Row],[education_Graduation]]=1,"Undergraduate Degree",(IF(SUM(AM37,AL37,AI37)&gt;0,"Master's Degree or Higher","Other")))))</f>
        <v>Master's Degree or Higher</v>
      </c>
      <c r="AV37" t="str">
        <f>IF(ifood_data[[#All],[Income]]&gt;75000,"75K+",(IF(ifood_data[[#All],[Income]]&gt;50000,"50K-75K",(IF(ifood_data[[#All],[Income]]&gt;35000,"35K-50K","&lt;35K")))))</f>
        <v>75K+</v>
      </c>
      <c r="AW37" t="str">
        <f>IF(ifood_data[[#All],[Age]]&gt;60,"60+",(IF(ifood_data[[#All],[Age]]&gt;50,"50-60",(IF(ifood_data[[#All],[Age]]&gt;40,"40-50",(IF(ifood_data[[#All],[Age]]&gt;30,"30-40","&lt;30")))))))</f>
        <v>60+</v>
      </c>
      <c r="AX37">
        <f t="shared" si="0"/>
        <v>24</v>
      </c>
      <c r="AY37">
        <f t="shared" si="1"/>
        <v>3.0000000000000004</v>
      </c>
      <c r="AZ37">
        <f t="shared" si="2"/>
        <v>6</v>
      </c>
      <c r="BA37">
        <f t="shared" si="3"/>
        <v>9</v>
      </c>
      <c r="BB37">
        <f>SUM(ifood_data[[#This Row],[Recency Score]:[Monetary Score]])</f>
        <v>18</v>
      </c>
      <c r="BC37">
        <f>(_xlfn.PERCENTRANK.INC(ifood_data[[#All],[RFM]],ifood_data[[#This Row],[RFM]],1))*10</f>
        <v>6</v>
      </c>
      <c r="BD37" t="str">
        <f>VLOOKUP(ifood_data[[#This Row],[RFM Score]],'RFM Analysis'!$A$3:$B$14,2,FALSE)</f>
        <v>Promising</v>
      </c>
      <c r="BE37">
        <f>'Regression Models'!$B$101+'Regression Models'!$B$102*ifood_data[[#This Row],[Income]]+'Regression Models'!$B$103*ifood_data[[#This Row],[Age]]+'Regression Models'!$B$104*ifood_data[[#This Row],[Family]]</f>
        <v>1563.8119906153672</v>
      </c>
      <c r="BF37" t="str">
        <f>IF(ifood_data[[#This Row],[AcceptedCmpOverall]]=1,"Campaign Respondent","Non-respondent")</f>
        <v>Campaign Respondent</v>
      </c>
    </row>
    <row r="38" spans="1:58" x14ac:dyDescent="0.35">
      <c r="A38">
        <v>1298</v>
      </c>
      <c r="B38">
        <v>92344</v>
      </c>
      <c r="C38">
        <v>0</v>
      </c>
      <c r="D38">
        <v>0</v>
      </c>
      <c r="E38">
        <v>9</v>
      </c>
      <c r="F38">
        <v>992</v>
      </c>
      <c r="G38">
        <v>24</v>
      </c>
      <c r="H38">
        <v>694</v>
      </c>
      <c r="I38">
        <v>51</v>
      </c>
      <c r="J38">
        <v>19</v>
      </c>
      <c r="K38">
        <v>119</v>
      </c>
      <c r="L38">
        <v>0</v>
      </c>
      <c r="M38">
        <v>5</v>
      </c>
      <c r="N38">
        <v>10</v>
      </c>
      <c r="O38">
        <v>5</v>
      </c>
      <c r="P38">
        <v>1</v>
      </c>
      <c r="Q38">
        <v>0</v>
      </c>
      <c r="R38">
        <v>0</v>
      </c>
      <c r="S38">
        <v>1</v>
      </c>
      <c r="T38">
        <v>0</v>
      </c>
      <c r="U38">
        <v>1</v>
      </c>
      <c r="V38">
        <f>IF(SUM(ifood_data[[#This Row],[AcceptedCmp1]:[AcceptedCmp5]])&gt;0,1,0)</f>
        <v>1</v>
      </c>
      <c r="W38">
        <v>0</v>
      </c>
      <c r="X38">
        <v>3</v>
      </c>
      <c r="Y38">
        <v>11</v>
      </c>
      <c r="Z38">
        <v>0</v>
      </c>
      <c r="AA38">
        <v>72</v>
      </c>
      <c r="AB38">
        <v>2324</v>
      </c>
      <c r="AC38" s="28">
        <f>ifood_data[[#This Row],[Customer_Days]]/365</f>
        <v>6.3671232876712329</v>
      </c>
      <c r="AD38">
        <v>0</v>
      </c>
      <c r="AE38">
        <v>1</v>
      </c>
      <c r="AF38">
        <v>0</v>
      </c>
      <c r="AG38">
        <v>0</v>
      </c>
      <c r="AH38">
        <v>0</v>
      </c>
      <c r="AI38">
        <v>0</v>
      </c>
      <c r="AJ38">
        <v>0</v>
      </c>
      <c r="AK38">
        <v>1</v>
      </c>
      <c r="AL38">
        <v>0</v>
      </c>
      <c r="AM38">
        <v>0</v>
      </c>
      <c r="AN38">
        <v>1780</v>
      </c>
      <c r="AO38">
        <v>1661</v>
      </c>
      <c r="AP38">
        <f>ifood_data[[#This Row],[MntTotal]]-ifood_data[[#This Row],[MntRegularProds]]</f>
        <v>119</v>
      </c>
      <c r="AQ38">
        <v>2</v>
      </c>
      <c r="AR38">
        <f>IF(SUM(ifood_data[[#This Row],[Kidhome]:[Teenhome]])&gt;0,1,0)</f>
        <v>0</v>
      </c>
      <c r="AS38" t="str">
        <f>IF(SUM(ifood_data[[#This Row],[Kidhome]:[Teenhome]])&gt;0,"Has Family","No Family")</f>
        <v>No Family</v>
      </c>
      <c r="AT38" t="str">
        <f>IF(ifood_data[[#This Row],[marital_Married]]=1,"Married", (IF(ifood_data[[#This Row],[marital_Single]]=1,"Single",(IF(ifood_data[[#This Row],[marital_Divorced]]=1,"Divorced",(IF(ifood_data[[#This Row],[marital_Together]]=1,"Living Together",(IF(ifood_data[[#This Row],[marital_Widow]]=1,"Widow","Other")))))))))</f>
        <v>Married</v>
      </c>
      <c r="AU38" t="str">
        <f>IF(ifood_data[[#This Row],[education_Basic]]=1,"High School",(IF(ifood_data[[#This Row],[education_Graduation]]=1,"Undergraduate Degree",(IF(SUM(AM38,AL38,AI38)&gt;0,"Master's Degree or Higher","Other")))))</f>
        <v>Undergraduate Degree</v>
      </c>
      <c r="AV38" t="str">
        <f>IF(ifood_data[[#All],[Income]]&gt;75000,"75K+",(IF(ifood_data[[#All],[Income]]&gt;50000,"50K-75K",(IF(ifood_data[[#All],[Income]]&gt;35000,"35K-50K","&lt;35K")))))</f>
        <v>75K+</v>
      </c>
      <c r="AW38" t="str">
        <f>IF(ifood_data[[#All],[Age]]&gt;60,"60+",(IF(ifood_data[[#All],[Age]]&gt;50,"50-60",(IF(ifood_data[[#All],[Age]]&gt;40,"40-50",(IF(ifood_data[[#All],[Age]]&gt;30,"30-40","&lt;30")))))))</f>
        <v>60+</v>
      </c>
      <c r="AX38">
        <f t="shared" si="0"/>
        <v>21</v>
      </c>
      <c r="AY38">
        <f t="shared" si="1"/>
        <v>10</v>
      </c>
      <c r="AZ38">
        <f t="shared" si="2"/>
        <v>5</v>
      </c>
      <c r="BA38">
        <f t="shared" si="3"/>
        <v>9</v>
      </c>
      <c r="BB38">
        <f>SUM(ifood_data[[#This Row],[Recency Score]:[Monetary Score]])</f>
        <v>24</v>
      </c>
      <c r="BC38">
        <f>(_xlfn.PERCENTRANK.INC(ifood_data[[#All],[RFM]],ifood_data[[#This Row],[RFM]],1))*10</f>
        <v>9</v>
      </c>
      <c r="BD38" t="str">
        <f>VLOOKUP(ifood_data[[#This Row],[RFM Score]],'RFM Analysis'!$A$3:$B$14,2,FALSE)</f>
        <v>Top Customer</v>
      </c>
      <c r="BE38">
        <f>'Regression Models'!$B$101+'Regression Models'!$B$102*ifood_data[[#This Row],[Income]]+'Regression Models'!$B$103*ifood_data[[#This Row],[Age]]+'Regression Models'!$B$104*ifood_data[[#This Row],[Family]]</f>
        <v>1562.741535525344</v>
      </c>
      <c r="BF38" t="str">
        <f>IF(ifood_data[[#This Row],[AcceptedCmpOverall]]=1,"Campaign Respondent","Non-respondent")</f>
        <v>Campaign Respondent</v>
      </c>
    </row>
    <row r="39" spans="1:58" x14ac:dyDescent="0.35">
      <c r="A39">
        <v>1729</v>
      </c>
      <c r="B39">
        <v>88420</v>
      </c>
      <c r="C39">
        <v>0</v>
      </c>
      <c r="D39">
        <v>0</v>
      </c>
      <c r="E39">
        <v>87</v>
      </c>
      <c r="F39">
        <v>957</v>
      </c>
      <c r="G39">
        <v>153</v>
      </c>
      <c r="H39">
        <v>612</v>
      </c>
      <c r="I39">
        <v>99</v>
      </c>
      <c r="J39">
        <v>95</v>
      </c>
      <c r="K39">
        <v>153</v>
      </c>
      <c r="L39">
        <v>1</v>
      </c>
      <c r="M39">
        <v>4</v>
      </c>
      <c r="N39">
        <v>7</v>
      </c>
      <c r="O39">
        <v>8</v>
      </c>
      <c r="P39">
        <v>1</v>
      </c>
      <c r="Q39">
        <v>1</v>
      </c>
      <c r="R39">
        <v>0</v>
      </c>
      <c r="S39">
        <v>1</v>
      </c>
      <c r="T39">
        <v>0</v>
      </c>
      <c r="U39">
        <v>1</v>
      </c>
      <c r="V39">
        <f>IF(SUM(ifood_data[[#This Row],[AcceptedCmp1]:[AcceptedCmp5]])&gt;0,1,0)</f>
        <v>1</v>
      </c>
      <c r="W39">
        <v>0</v>
      </c>
      <c r="X39">
        <v>3</v>
      </c>
      <c r="Y39">
        <v>11</v>
      </c>
      <c r="Z39">
        <v>0</v>
      </c>
      <c r="AA39">
        <v>31</v>
      </c>
      <c r="AB39">
        <v>2217</v>
      </c>
      <c r="AC39" s="28">
        <f>ifood_data[[#This Row],[Customer_Days]]/365</f>
        <v>6.0739726027397261</v>
      </c>
      <c r="AD39">
        <v>0</v>
      </c>
      <c r="AE39">
        <v>0</v>
      </c>
      <c r="AF39">
        <v>0</v>
      </c>
      <c r="AG39">
        <v>1</v>
      </c>
      <c r="AH39">
        <v>0</v>
      </c>
      <c r="AI39">
        <v>0</v>
      </c>
      <c r="AJ39">
        <v>0</v>
      </c>
      <c r="AK39">
        <v>0</v>
      </c>
      <c r="AL39">
        <v>1</v>
      </c>
      <c r="AM39">
        <v>0</v>
      </c>
      <c r="AN39">
        <v>1916</v>
      </c>
      <c r="AO39">
        <v>1763</v>
      </c>
      <c r="AP39">
        <f>ifood_data[[#This Row],[MntTotal]]-ifood_data[[#This Row],[MntRegularProds]]</f>
        <v>153</v>
      </c>
      <c r="AQ39">
        <v>3</v>
      </c>
      <c r="AR39">
        <f>IF(SUM(ifood_data[[#This Row],[Kidhome]:[Teenhome]])&gt;0,1,0)</f>
        <v>0</v>
      </c>
      <c r="AS39" t="str">
        <f>IF(SUM(ifood_data[[#This Row],[Kidhome]:[Teenhome]])&gt;0,"Has Family","No Family")</f>
        <v>No Family</v>
      </c>
      <c r="AT39" t="str">
        <f>IF(ifood_data[[#This Row],[marital_Married]]=1,"Married", (IF(ifood_data[[#This Row],[marital_Single]]=1,"Single",(IF(ifood_data[[#This Row],[marital_Divorced]]=1,"Divorced",(IF(ifood_data[[#This Row],[marital_Together]]=1,"Living Together",(IF(ifood_data[[#This Row],[marital_Widow]]=1,"Widow","Other")))))))))</f>
        <v>Living Together</v>
      </c>
      <c r="AU39" t="str">
        <f>IF(ifood_data[[#This Row],[education_Basic]]=1,"High School",(IF(ifood_data[[#This Row],[education_Graduation]]=1,"Undergraduate Degree",(IF(SUM(AM39,AL39,AI39)&gt;0,"Master's Degree or Higher","Other")))))</f>
        <v>Master's Degree or Higher</v>
      </c>
      <c r="AV39" t="str">
        <f>IF(ifood_data[[#All],[Income]]&gt;75000,"75K+",(IF(ifood_data[[#All],[Income]]&gt;50000,"50K-75K",(IF(ifood_data[[#All],[Income]]&gt;35000,"35K-50K","&lt;35K")))))</f>
        <v>75K+</v>
      </c>
      <c r="AW39" t="str">
        <f>IF(ifood_data[[#All],[Age]]&gt;60,"60+",(IF(ifood_data[[#All],[Age]]&gt;50,"50-60",(IF(ifood_data[[#All],[Age]]&gt;40,"40-50",(IF(ifood_data[[#All],[Age]]&gt;30,"30-40","&lt;30")))))))</f>
        <v>30-40</v>
      </c>
      <c r="AX39">
        <f t="shared" si="0"/>
        <v>21</v>
      </c>
      <c r="AY39">
        <f t="shared" si="1"/>
        <v>1.9999999999999996</v>
      </c>
      <c r="AZ39">
        <f t="shared" si="2"/>
        <v>5</v>
      </c>
      <c r="BA39">
        <f t="shared" si="3"/>
        <v>9</v>
      </c>
      <c r="BB39">
        <f>SUM(ifood_data[[#This Row],[Recency Score]:[Monetary Score]])</f>
        <v>16</v>
      </c>
      <c r="BC39">
        <f>(_xlfn.PERCENTRANK.INC(ifood_data[[#All],[RFM]],ifood_data[[#This Row],[RFM]],1))*10</f>
        <v>5</v>
      </c>
      <c r="BD39" t="str">
        <f>VLOOKUP(ifood_data[[#This Row],[RFM Score]],'RFM Analysis'!$A$3:$B$14,2,FALSE)</f>
        <v>Promising</v>
      </c>
      <c r="BE39">
        <f>'Regression Models'!$B$101+'Regression Models'!$B$102*ifood_data[[#This Row],[Income]]+'Regression Models'!$B$103*ifood_data[[#This Row],[Age]]+'Regression Models'!$B$104*ifood_data[[#This Row],[Family]]</f>
        <v>1558.0300115633504</v>
      </c>
      <c r="BF39" t="str">
        <f>IF(ifood_data[[#This Row],[AcceptedCmpOverall]]=1,"Campaign Respondent","Non-respondent")</f>
        <v>Campaign Respondent</v>
      </c>
    </row>
    <row r="40" spans="1:58" x14ac:dyDescent="0.35">
      <c r="A40">
        <v>1753</v>
      </c>
      <c r="B40">
        <v>91249</v>
      </c>
      <c r="C40">
        <v>0</v>
      </c>
      <c r="D40">
        <v>0</v>
      </c>
      <c r="E40">
        <v>84</v>
      </c>
      <c r="F40">
        <v>1324</v>
      </c>
      <c r="G40">
        <v>27</v>
      </c>
      <c r="H40">
        <v>119</v>
      </c>
      <c r="I40">
        <v>71</v>
      </c>
      <c r="J40">
        <v>108</v>
      </c>
      <c r="K40">
        <v>27</v>
      </c>
      <c r="L40">
        <v>0</v>
      </c>
      <c r="M40">
        <v>7</v>
      </c>
      <c r="N40">
        <v>9</v>
      </c>
      <c r="O40">
        <v>6</v>
      </c>
      <c r="P40">
        <v>4</v>
      </c>
      <c r="Q40">
        <v>1</v>
      </c>
      <c r="R40">
        <v>1</v>
      </c>
      <c r="S40">
        <v>0</v>
      </c>
      <c r="T40">
        <v>1</v>
      </c>
      <c r="U40">
        <v>1</v>
      </c>
      <c r="V40">
        <f>IF(SUM(ifood_data[[#This Row],[AcceptedCmp1]:[AcceptedCmp5]])&gt;0,1,0)</f>
        <v>1</v>
      </c>
      <c r="W40">
        <v>0</v>
      </c>
      <c r="X40">
        <v>3</v>
      </c>
      <c r="Y40">
        <v>11</v>
      </c>
      <c r="Z40">
        <v>1</v>
      </c>
      <c r="AA40">
        <v>64</v>
      </c>
      <c r="AB40">
        <v>2776</v>
      </c>
      <c r="AC40" s="28">
        <f>ifood_data[[#This Row],[Customer_Days]]/365</f>
        <v>7.6054794520547944</v>
      </c>
      <c r="AD40">
        <v>0</v>
      </c>
      <c r="AE40">
        <v>0</v>
      </c>
      <c r="AF40">
        <v>1</v>
      </c>
      <c r="AG40">
        <v>0</v>
      </c>
      <c r="AH40">
        <v>0</v>
      </c>
      <c r="AI40">
        <v>0</v>
      </c>
      <c r="AJ40">
        <v>0</v>
      </c>
      <c r="AK40">
        <v>1</v>
      </c>
      <c r="AL40">
        <v>0</v>
      </c>
      <c r="AM40">
        <v>0</v>
      </c>
      <c r="AN40">
        <v>1649</v>
      </c>
      <c r="AO40">
        <v>1622</v>
      </c>
      <c r="AP40">
        <f>ifood_data[[#This Row],[MntTotal]]-ifood_data[[#This Row],[MntRegularProds]]</f>
        <v>27</v>
      </c>
      <c r="AQ40">
        <v>4</v>
      </c>
      <c r="AR40">
        <f>IF(SUM(ifood_data[[#This Row],[Kidhome]:[Teenhome]])&gt;0,1,0)</f>
        <v>0</v>
      </c>
      <c r="AS40" t="str">
        <f>IF(SUM(ifood_data[[#This Row],[Kidhome]:[Teenhome]])&gt;0,"Has Family","No Family")</f>
        <v>No Family</v>
      </c>
      <c r="AT40" t="str">
        <f>IF(ifood_data[[#This Row],[marital_Married]]=1,"Married", (IF(ifood_data[[#This Row],[marital_Single]]=1,"Single",(IF(ifood_data[[#This Row],[marital_Divorced]]=1,"Divorced",(IF(ifood_data[[#This Row],[marital_Together]]=1,"Living Together",(IF(ifood_data[[#This Row],[marital_Widow]]=1,"Widow","Other")))))))))</f>
        <v>Single</v>
      </c>
      <c r="AU40" t="str">
        <f>IF(ifood_data[[#This Row],[education_Basic]]=1,"High School",(IF(ifood_data[[#This Row],[education_Graduation]]=1,"Undergraduate Degree",(IF(SUM(AM40,AL40,AI40)&gt;0,"Master's Degree or Higher","Other")))))</f>
        <v>Undergraduate Degree</v>
      </c>
      <c r="AV40" t="str">
        <f>IF(ifood_data[[#All],[Income]]&gt;75000,"75K+",(IF(ifood_data[[#All],[Income]]&gt;50000,"50K-75K",(IF(ifood_data[[#All],[Income]]&gt;35000,"35K-50K","&lt;35K")))))</f>
        <v>75K+</v>
      </c>
      <c r="AW40" t="str">
        <f>IF(ifood_data[[#All],[Age]]&gt;60,"60+",(IF(ifood_data[[#All],[Age]]&gt;50,"50-60",(IF(ifood_data[[#All],[Age]]&gt;40,"40-50",(IF(ifood_data[[#All],[Age]]&gt;30,"30-40","&lt;30")))))))</f>
        <v>60+</v>
      </c>
      <c r="AX40">
        <f t="shared" si="0"/>
        <v>26</v>
      </c>
      <c r="AY40">
        <f t="shared" si="1"/>
        <v>1.9999999999999996</v>
      </c>
      <c r="AZ40">
        <f t="shared" si="2"/>
        <v>7</v>
      </c>
      <c r="BA40">
        <f t="shared" si="3"/>
        <v>9</v>
      </c>
      <c r="BB40">
        <f>SUM(ifood_data[[#This Row],[Recency Score]:[Monetary Score]])</f>
        <v>18</v>
      </c>
      <c r="BC40">
        <f>(_xlfn.PERCENTRANK.INC(ifood_data[[#All],[RFM]],ifood_data[[#This Row],[RFM]],1))*10</f>
        <v>6</v>
      </c>
      <c r="BD40" t="str">
        <f>VLOOKUP(ifood_data[[#This Row],[RFM Score]],'RFM Analysis'!$A$3:$B$14,2,FALSE)</f>
        <v>Promising</v>
      </c>
      <c r="BE40">
        <f>'Regression Models'!$B$101+'Regression Models'!$B$102*ifood_data[[#This Row],[Income]]+'Regression Models'!$B$103*ifood_data[[#This Row],[Age]]+'Regression Models'!$B$104*ifood_data[[#This Row],[Family]]</f>
        <v>1555.107347038929</v>
      </c>
      <c r="BF40" t="str">
        <f>IF(ifood_data[[#This Row],[AcceptedCmpOverall]]=1,"Campaign Respondent","Non-respondent")</f>
        <v>Campaign Respondent</v>
      </c>
    </row>
    <row r="41" spans="1:58" x14ac:dyDescent="0.35">
      <c r="A41">
        <v>1816</v>
      </c>
      <c r="B41">
        <v>91712</v>
      </c>
      <c r="C41">
        <v>0</v>
      </c>
      <c r="D41">
        <v>0</v>
      </c>
      <c r="E41">
        <v>47</v>
      </c>
      <c r="F41">
        <v>1276</v>
      </c>
      <c r="G41">
        <v>24</v>
      </c>
      <c r="H41">
        <v>746</v>
      </c>
      <c r="I41">
        <v>94</v>
      </c>
      <c r="J41">
        <v>29</v>
      </c>
      <c r="K41">
        <v>48</v>
      </c>
      <c r="L41">
        <v>0</v>
      </c>
      <c r="M41">
        <v>9</v>
      </c>
      <c r="N41">
        <v>7</v>
      </c>
      <c r="O41">
        <v>11</v>
      </c>
      <c r="P41">
        <v>3</v>
      </c>
      <c r="Q41">
        <v>0</v>
      </c>
      <c r="R41">
        <v>0</v>
      </c>
      <c r="S41">
        <v>0</v>
      </c>
      <c r="T41">
        <v>0</v>
      </c>
      <c r="U41">
        <v>1</v>
      </c>
      <c r="V41">
        <f>IF(SUM(ifood_data[[#This Row],[AcceptedCmp1]:[AcceptedCmp5]])&gt;0,1,0)</f>
        <v>1</v>
      </c>
      <c r="W41">
        <v>0</v>
      </c>
      <c r="X41">
        <v>3</v>
      </c>
      <c r="Y41">
        <v>11</v>
      </c>
      <c r="Z41">
        <v>1</v>
      </c>
      <c r="AA41">
        <v>73</v>
      </c>
      <c r="AB41">
        <v>2414</v>
      </c>
      <c r="AC41" s="28">
        <f>ifood_data[[#This Row],[Customer_Days]]/365</f>
        <v>6.6136986301369864</v>
      </c>
      <c r="AD41">
        <v>0</v>
      </c>
      <c r="AE41">
        <v>0</v>
      </c>
      <c r="AF41">
        <v>1</v>
      </c>
      <c r="AG41">
        <v>0</v>
      </c>
      <c r="AH41">
        <v>0</v>
      </c>
      <c r="AI41">
        <v>0</v>
      </c>
      <c r="AJ41">
        <v>0</v>
      </c>
      <c r="AK41">
        <v>0</v>
      </c>
      <c r="AL41">
        <v>1</v>
      </c>
      <c r="AM41">
        <v>0</v>
      </c>
      <c r="AN41">
        <v>2169</v>
      </c>
      <c r="AO41">
        <v>2121</v>
      </c>
      <c r="AP41">
        <f>ifood_data[[#This Row],[MntTotal]]-ifood_data[[#This Row],[MntRegularProds]]</f>
        <v>48</v>
      </c>
      <c r="AQ41">
        <v>1</v>
      </c>
      <c r="AR41">
        <f>IF(SUM(ifood_data[[#This Row],[Kidhome]:[Teenhome]])&gt;0,1,0)</f>
        <v>0</v>
      </c>
      <c r="AS41" t="str">
        <f>IF(SUM(ifood_data[[#This Row],[Kidhome]:[Teenhome]])&gt;0,"Has Family","No Family")</f>
        <v>No Family</v>
      </c>
      <c r="AT41" t="str">
        <f>IF(ifood_data[[#This Row],[marital_Married]]=1,"Married", (IF(ifood_data[[#This Row],[marital_Single]]=1,"Single",(IF(ifood_data[[#This Row],[marital_Divorced]]=1,"Divorced",(IF(ifood_data[[#This Row],[marital_Together]]=1,"Living Together",(IF(ifood_data[[#This Row],[marital_Widow]]=1,"Widow","Other")))))))))</f>
        <v>Single</v>
      </c>
      <c r="AU41" t="str">
        <f>IF(ifood_data[[#This Row],[education_Basic]]=1,"High School",(IF(ifood_data[[#This Row],[education_Graduation]]=1,"Undergraduate Degree",(IF(SUM(AM41,AL41,AI41)&gt;0,"Master's Degree or Higher","Other")))))</f>
        <v>Master's Degree or Higher</v>
      </c>
      <c r="AV41" t="str">
        <f>IF(ifood_data[[#All],[Income]]&gt;75000,"75K+",(IF(ifood_data[[#All],[Income]]&gt;50000,"50K-75K",(IF(ifood_data[[#All],[Income]]&gt;35000,"35K-50K","&lt;35K")))))</f>
        <v>75K+</v>
      </c>
      <c r="AW41" t="str">
        <f>IF(ifood_data[[#All],[Age]]&gt;60,"60+",(IF(ifood_data[[#All],[Age]]&gt;50,"50-60",(IF(ifood_data[[#All],[Age]]&gt;40,"40-50",(IF(ifood_data[[#All],[Age]]&gt;30,"30-40","&lt;30")))))))</f>
        <v>60+</v>
      </c>
      <c r="AX41">
        <f t="shared" si="0"/>
        <v>30</v>
      </c>
      <c r="AY41">
        <f t="shared" si="1"/>
        <v>6</v>
      </c>
      <c r="AZ41">
        <f t="shared" si="2"/>
        <v>8</v>
      </c>
      <c r="BA41">
        <f t="shared" si="3"/>
        <v>9</v>
      </c>
      <c r="BB41">
        <f>SUM(ifood_data[[#This Row],[Recency Score]:[Monetary Score]])</f>
        <v>23</v>
      </c>
      <c r="BC41">
        <f>(_xlfn.PERCENTRANK.INC(ifood_data[[#All],[RFM]],ifood_data[[#This Row],[RFM]],1))*10</f>
        <v>8</v>
      </c>
      <c r="BD41" t="str">
        <f>VLOOKUP(ifood_data[[#This Row],[RFM Score]],'RFM Analysis'!$A$3:$B$14,2,FALSE)</f>
        <v>Loyal Customer</v>
      </c>
      <c r="BE41">
        <f>'Regression Models'!$B$101+'Regression Models'!$B$102*ifood_data[[#This Row],[Income]]+'Regression Models'!$B$103*ifood_data[[#This Row],[Age]]+'Regression Models'!$B$104*ifood_data[[#This Row],[Family]]</f>
        <v>1548.0193949795059</v>
      </c>
      <c r="BF41" t="str">
        <f>IF(ifood_data[[#This Row],[AcceptedCmpOverall]]=1,"Campaign Respondent","Non-respondent")</f>
        <v>Campaign Respondent</v>
      </c>
    </row>
    <row r="42" spans="1:58" x14ac:dyDescent="0.35">
      <c r="A42">
        <v>1734</v>
      </c>
      <c r="B42">
        <v>90933</v>
      </c>
      <c r="C42">
        <v>0</v>
      </c>
      <c r="D42">
        <v>0</v>
      </c>
      <c r="E42">
        <v>90</v>
      </c>
      <c r="F42">
        <v>1020</v>
      </c>
      <c r="G42">
        <v>31</v>
      </c>
      <c r="H42">
        <v>430</v>
      </c>
      <c r="I42">
        <v>62</v>
      </c>
      <c r="J42">
        <v>63</v>
      </c>
      <c r="K42">
        <v>79</v>
      </c>
      <c r="L42">
        <v>1</v>
      </c>
      <c r="M42">
        <v>4</v>
      </c>
      <c r="N42">
        <v>6</v>
      </c>
      <c r="O42">
        <v>4</v>
      </c>
      <c r="P42">
        <v>1</v>
      </c>
      <c r="Q42">
        <v>0</v>
      </c>
      <c r="R42">
        <v>0</v>
      </c>
      <c r="S42">
        <v>0</v>
      </c>
      <c r="T42">
        <v>0</v>
      </c>
      <c r="U42">
        <v>1</v>
      </c>
      <c r="V42">
        <f>IF(SUM(ifood_data[[#This Row],[AcceptedCmp1]:[AcceptedCmp5]])&gt;0,1,0)</f>
        <v>1</v>
      </c>
      <c r="W42">
        <v>0</v>
      </c>
      <c r="X42">
        <v>3</v>
      </c>
      <c r="Y42">
        <v>11</v>
      </c>
      <c r="Z42">
        <v>0</v>
      </c>
      <c r="AA42">
        <v>66</v>
      </c>
      <c r="AB42">
        <v>2249</v>
      </c>
      <c r="AC42" s="28">
        <f>ifood_data[[#This Row],[Customer_Days]]/365</f>
        <v>6.161643835616438</v>
      </c>
      <c r="AD42">
        <v>0</v>
      </c>
      <c r="AE42">
        <v>0</v>
      </c>
      <c r="AF42">
        <v>1</v>
      </c>
      <c r="AG42">
        <v>0</v>
      </c>
      <c r="AH42">
        <v>0</v>
      </c>
      <c r="AI42">
        <v>0</v>
      </c>
      <c r="AJ42">
        <v>0</v>
      </c>
      <c r="AK42">
        <v>0</v>
      </c>
      <c r="AL42">
        <v>0</v>
      </c>
      <c r="AM42">
        <v>1</v>
      </c>
      <c r="AN42">
        <v>1606</v>
      </c>
      <c r="AO42">
        <v>1527</v>
      </c>
      <c r="AP42">
        <f>ifood_data[[#This Row],[MntTotal]]-ifood_data[[#This Row],[MntRegularProds]]</f>
        <v>79</v>
      </c>
      <c r="AQ42">
        <v>1</v>
      </c>
      <c r="AR42">
        <f>IF(SUM(ifood_data[[#This Row],[Kidhome]:[Teenhome]])&gt;0,1,0)</f>
        <v>0</v>
      </c>
      <c r="AS42" t="str">
        <f>IF(SUM(ifood_data[[#This Row],[Kidhome]:[Teenhome]])&gt;0,"Has Family","No Family")</f>
        <v>No Family</v>
      </c>
      <c r="AT42" t="str">
        <f>IF(ifood_data[[#This Row],[marital_Married]]=1,"Married", (IF(ifood_data[[#This Row],[marital_Single]]=1,"Single",(IF(ifood_data[[#This Row],[marital_Divorced]]=1,"Divorced",(IF(ifood_data[[#This Row],[marital_Together]]=1,"Living Together",(IF(ifood_data[[#This Row],[marital_Widow]]=1,"Widow","Other")))))))))</f>
        <v>Single</v>
      </c>
      <c r="AU42" t="str">
        <f>IF(ifood_data[[#This Row],[education_Basic]]=1,"High School",(IF(ifood_data[[#This Row],[education_Graduation]]=1,"Undergraduate Degree",(IF(SUM(AM42,AL42,AI42)&gt;0,"Master's Degree or Higher","Other")))))</f>
        <v>Master's Degree or Higher</v>
      </c>
      <c r="AV42" t="str">
        <f>IF(ifood_data[[#All],[Income]]&gt;75000,"75K+",(IF(ifood_data[[#All],[Income]]&gt;50000,"50K-75K",(IF(ifood_data[[#All],[Income]]&gt;35000,"35K-50K","&lt;35K")))))</f>
        <v>75K+</v>
      </c>
      <c r="AW42" t="str">
        <f>IF(ifood_data[[#All],[Age]]&gt;60,"60+",(IF(ifood_data[[#All],[Age]]&gt;50,"50-60",(IF(ifood_data[[#All],[Age]]&gt;40,"40-50",(IF(ifood_data[[#All],[Age]]&gt;30,"30-40","&lt;30")))))))</f>
        <v>60+</v>
      </c>
      <c r="AX42">
        <f t="shared" si="0"/>
        <v>16</v>
      </c>
      <c r="AY42">
        <f t="shared" si="1"/>
        <v>0.99999999999999978</v>
      </c>
      <c r="AZ42">
        <f t="shared" si="2"/>
        <v>3</v>
      </c>
      <c r="BA42">
        <f t="shared" si="3"/>
        <v>9</v>
      </c>
      <c r="BB42">
        <f>SUM(ifood_data[[#This Row],[Recency Score]:[Monetary Score]])</f>
        <v>13</v>
      </c>
      <c r="BC42">
        <f>(_xlfn.PERCENTRANK.INC(ifood_data[[#All],[RFM]],ifood_data[[#This Row],[RFM]],1))*10</f>
        <v>3</v>
      </c>
      <c r="BD42" t="str">
        <f>VLOOKUP(ifood_data[[#This Row],[RFM Score]],'RFM Analysis'!$A$3:$B$14,2,FALSE)</f>
        <v>At Risk</v>
      </c>
      <c r="BE42">
        <f>'Regression Models'!$B$101+'Regression Models'!$B$102*ifood_data[[#This Row],[Income]]+'Regression Models'!$B$103*ifood_data[[#This Row],[Age]]+'Regression Models'!$B$104*ifood_data[[#This Row],[Family]]</f>
        <v>1544.9916181476685</v>
      </c>
      <c r="BF42" t="str">
        <f>IF(ifood_data[[#This Row],[AcceptedCmpOverall]]=1,"Campaign Respondent","Non-respondent")</f>
        <v>Campaign Respondent</v>
      </c>
    </row>
    <row r="43" spans="1:58" x14ac:dyDescent="0.35">
      <c r="A43">
        <v>2002</v>
      </c>
      <c r="B43">
        <v>88325</v>
      </c>
      <c r="C43">
        <v>0</v>
      </c>
      <c r="D43">
        <v>0</v>
      </c>
      <c r="E43">
        <v>42</v>
      </c>
      <c r="F43">
        <v>519</v>
      </c>
      <c r="G43">
        <v>71</v>
      </c>
      <c r="H43">
        <v>860</v>
      </c>
      <c r="I43">
        <v>93</v>
      </c>
      <c r="J43">
        <v>27</v>
      </c>
      <c r="K43">
        <v>53</v>
      </c>
      <c r="L43">
        <v>1</v>
      </c>
      <c r="M43">
        <v>6</v>
      </c>
      <c r="N43">
        <v>2</v>
      </c>
      <c r="O43">
        <v>9</v>
      </c>
      <c r="P43">
        <v>2</v>
      </c>
      <c r="Q43">
        <v>0</v>
      </c>
      <c r="R43">
        <v>0</v>
      </c>
      <c r="S43">
        <v>0</v>
      </c>
      <c r="T43">
        <v>0</v>
      </c>
      <c r="U43">
        <v>0</v>
      </c>
      <c r="V43">
        <f>IF(SUM(ifood_data[[#This Row],[AcceptedCmp1]:[AcceptedCmp5]])&gt;0,1,0)</f>
        <v>0</v>
      </c>
      <c r="W43">
        <v>0</v>
      </c>
      <c r="X43">
        <v>3</v>
      </c>
      <c r="Y43">
        <v>11</v>
      </c>
      <c r="Z43">
        <v>0</v>
      </c>
      <c r="AA43">
        <v>39</v>
      </c>
      <c r="AB43">
        <v>2303</v>
      </c>
      <c r="AC43" s="28">
        <f>ifood_data[[#This Row],[Customer_Days]]/365</f>
        <v>6.3095890410958901</v>
      </c>
      <c r="AD43">
        <v>0</v>
      </c>
      <c r="AE43">
        <v>0</v>
      </c>
      <c r="AF43">
        <v>0</v>
      </c>
      <c r="AG43">
        <v>1</v>
      </c>
      <c r="AH43">
        <v>0</v>
      </c>
      <c r="AI43">
        <v>0</v>
      </c>
      <c r="AJ43">
        <v>0</v>
      </c>
      <c r="AK43">
        <v>1</v>
      </c>
      <c r="AL43">
        <v>0</v>
      </c>
      <c r="AM43">
        <v>0</v>
      </c>
      <c r="AN43">
        <v>1570</v>
      </c>
      <c r="AO43">
        <v>1517</v>
      </c>
      <c r="AP43">
        <f>ifood_data[[#This Row],[MntTotal]]-ifood_data[[#This Row],[MntRegularProds]]</f>
        <v>53</v>
      </c>
      <c r="AQ43">
        <v>0</v>
      </c>
      <c r="AR43">
        <f>IF(SUM(ifood_data[[#This Row],[Kidhome]:[Teenhome]])&gt;0,1,0)</f>
        <v>0</v>
      </c>
      <c r="AS43" t="str">
        <f>IF(SUM(ifood_data[[#This Row],[Kidhome]:[Teenhome]])&gt;0,"Has Family","No Family")</f>
        <v>No Family</v>
      </c>
      <c r="AT43" t="str">
        <f>IF(ifood_data[[#This Row],[marital_Married]]=1,"Married", (IF(ifood_data[[#This Row],[marital_Single]]=1,"Single",(IF(ifood_data[[#This Row],[marital_Divorced]]=1,"Divorced",(IF(ifood_data[[#This Row],[marital_Together]]=1,"Living Together",(IF(ifood_data[[#This Row],[marital_Widow]]=1,"Widow","Other")))))))))</f>
        <v>Living Together</v>
      </c>
      <c r="AU43" t="str">
        <f>IF(ifood_data[[#This Row],[education_Basic]]=1,"High School",(IF(ifood_data[[#This Row],[education_Graduation]]=1,"Undergraduate Degree",(IF(SUM(AM43,AL43,AI43)&gt;0,"Master's Degree or Higher","Other")))))</f>
        <v>Undergraduate Degree</v>
      </c>
      <c r="AV43" t="str">
        <f>IF(ifood_data[[#All],[Income]]&gt;75000,"75K+",(IF(ifood_data[[#All],[Income]]&gt;50000,"50K-75K",(IF(ifood_data[[#All],[Income]]&gt;35000,"35K-50K","&lt;35K")))))</f>
        <v>75K+</v>
      </c>
      <c r="AW43" t="str">
        <f>IF(ifood_data[[#All],[Age]]&gt;60,"60+",(IF(ifood_data[[#All],[Age]]&gt;50,"50-60",(IF(ifood_data[[#All],[Age]]&gt;40,"40-50",(IF(ifood_data[[#All],[Age]]&gt;30,"30-40","&lt;30")))))))</f>
        <v>30-40</v>
      </c>
      <c r="AX43">
        <f t="shared" si="0"/>
        <v>20</v>
      </c>
      <c r="AY43">
        <f t="shared" si="1"/>
        <v>6</v>
      </c>
      <c r="AZ43">
        <f t="shared" si="2"/>
        <v>4</v>
      </c>
      <c r="BA43">
        <f t="shared" si="3"/>
        <v>9</v>
      </c>
      <c r="BB43">
        <f>SUM(ifood_data[[#This Row],[Recency Score]:[Monetary Score]])</f>
        <v>19</v>
      </c>
      <c r="BC43">
        <f>(_xlfn.PERCENTRANK.INC(ifood_data[[#All],[RFM]],ifood_data[[#This Row],[RFM]],1))*10</f>
        <v>7</v>
      </c>
      <c r="BD43" t="str">
        <f>VLOOKUP(ifood_data[[#This Row],[RFM Score]],'RFM Analysis'!$A$3:$B$14,2,FALSE)</f>
        <v>Loyal Customer</v>
      </c>
      <c r="BE43">
        <f>'Regression Models'!$B$101+'Regression Models'!$B$102*ifood_data[[#This Row],[Income]]+'Regression Models'!$B$103*ifood_data[[#This Row],[Age]]+'Regression Models'!$B$104*ifood_data[[#This Row],[Family]]</f>
        <v>1541.4015659585257</v>
      </c>
      <c r="BF43" t="str">
        <f>IF(ifood_data[[#This Row],[AcceptedCmpOverall]]=1,"Campaign Respondent","Non-respondent")</f>
        <v>Non-respondent</v>
      </c>
    </row>
    <row r="44" spans="1:58" x14ac:dyDescent="0.35">
      <c r="A44">
        <v>1386</v>
      </c>
      <c r="B44">
        <v>87679</v>
      </c>
      <c r="C44">
        <v>0</v>
      </c>
      <c r="D44">
        <v>0</v>
      </c>
      <c r="E44">
        <v>62</v>
      </c>
      <c r="F44">
        <v>1259</v>
      </c>
      <c r="G44">
        <v>172</v>
      </c>
      <c r="H44">
        <v>815</v>
      </c>
      <c r="I44">
        <v>97</v>
      </c>
      <c r="J44">
        <v>148</v>
      </c>
      <c r="K44">
        <v>33</v>
      </c>
      <c r="L44">
        <v>1</v>
      </c>
      <c r="M44">
        <v>7</v>
      </c>
      <c r="N44">
        <v>11</v>
      </c>
      <c r="O44">
        <v>10</v>
      </c>
      <c r="P44">
        <v>4</v>
      </c>
      <c r="Q44">
        <v>1</v>
      </c>
      <c r="R44">
        <v>0</v>
      </c>
      <c r="S44">
        <v>1</v>
      </c>
      <c r="T44">
        <v>0</v>
      </c>
      <c r="U44">
        <v>1</v>
      </c>
      <c r="V44">
        <f>IF(SUM(ifood_data[[#This Row],[AcceptedCmp1]:[AcceptedCmp5]])&gt;0,1,0)</f>
        <v>1</v>
      </c>
      <c r="W44">
        <v>0</v>
      </c>
      <c r="X44">
        <v>3</v>
      </c>
      <c r="Y44">
        <v>11</v>
      </c>
      <c r="Z44">
        <v>1</v>
      </c>
      <c r="AA44">
        <v>32</v>
      </c>
      <c r="AB44">
        <v>2496</v>
      </c>
      <c r="AC44" s="28">
        <f>ifood_data[[#This Row],[Customer_Days]]/365</f>
        <v>6.838356164383562</v>
      </c>
      <c r="AD44">
        <v>0</v>
      </c>
      <c r="AE44">
        <v>0</v>
      </c>
      <c r="AF44">
        <v>0</v>
      </c>
      <c r="AG44">
        <v>1</v>
      </c>
      <c r="AH44">
        <v>0</v>
      </c>
      <c r="AI44">
        <v>0</v>
      </c>
      <c r="AJ44">
        <v>0</v>
      </c>
      <c r="AK44">
        <v>1</v>
      </c>
      <c r="AL44">
        <v>0</v>
      </c>
      <c r="AM44">
        <v>0</v>
      </c>
      <c r="AN44">
        <v>2491</v>
      </c>
      <c r="AO44">
        <v>2458</v>
      </c>
      <c r="AP44">
        <f>ifood_data[[#This Row],[MntTotal]]-ifood_data[[#This Row],[MntRegularProds]]</f>
        <v>33</v>
      </c>
      <c r="AQ44">
        <v>3</v>
      </c>
      <c r="AR44">
        <f>IF(SUM(ifood_data[[#This Row],[Kidhome]:[Teenhome]])&gt;0,1,0)</f>
        <v>0</v>
      </c>
      <c r="AS44" t="str">
        <f>IF(SUM(ifood_data[[#This Row],[Kidhome]:[Teenhome]])&gt;0,"Has Family","No Family")</f>
        <v>No Family</v>
      </c>
      <c r="AT44" t="str">
        <f>IF(ifood_data[[#This Row],[marital_Married]]=1,"Married", (IF(ifood_data[[#This Row],[marital_Single]]=1,"Single",(IF(ifood_data[[#This Row],[marital_Divorced]]=1,"Divorced",(IF(ifood_data[[#This Row],[marital_Together]]=1,"Living Together",(IF(ifood_data[[#This Row],[marital_Widow]]=1,"Widow","Other")))))))))</f>
        <v>Living Together</v>
      </c>
      <c r="AU44" t="str">
        <f>IF(ifood_data[[#This Row],[education_Basic]]=1,"High School",(IF(ifood_data[[#This Row],[education_Graduation]]=1,"Undergraduate Degree",(IF(SUM(AM44,AL44,AI44)&gt;0,"Master's Degree or Higher","Other")))))</f>
        <v>Undergraduate Degree</v>
      </c>
      <c r="AV44" t="str">
        <f>IF(ifood_data[[#All],[Income]]&gt;75000,"75K+",(IF(ifood_data[[#All],[Income]]&gt;50000,"50K-75K",(IF(ifood_data[[#All],[Income]]&gt;35000,"35K-50K","&lt;35K")))))</f>
        <v>75K+</v>
      </c>
      <c r="AW44" t="str">
        <f>IF(ifood_data[[#All],[Age]]&gt;60,"60+",(IF(ifood_data[[#All],[Age]]&gt;50,"50-60",(IF(ifood_data[[#All],[Age]]&gt;40,"40-50",(IF(ifood_data[[#All],[Age]]&gt;30,"30-40","&lt;30")))))))</f>
        <v>30-40</v>
      </c>
      <c r="AX44">
        <f t="shared" si="0"/>
        <v>33</v>
      </c>
      <c r="AY44">
        <f t="shared" si="1"/>
        <v>4</v>
      </c>
      <c r="AZ44">
        <f t="shared" si="2"/>
        <v>9</v>
      </c>
      <c r="BA44">
        <f t="shared" si="3"/>
        <v>10</v>
      </c>
      <c r="BB44">
        <f>SUM(ifood_data[[#This Row],[Recency Score]:[Monetary Score]])</f>
        <v>23</v>
      </c>
      <c r="BC44">
        <f>(_xlfn.PERCENTRANK.INC(ifood_data[[#All],[RFM]],ifood_data[[#This Row],[RFM]],1))*10</f>
        <v>8</v>
      </c>
      <c r="BD44" t="str">
        <f>VLOOKUP(ifood_data[[#This Row],[RFM Score]],'RFM Analysis'!$A$3:$B$14,2,FALSE)</f>
        <v>Loyal Customer</v>
      </c>
      <c r="BE44">
        <f>'Regression Models'!$B$101+'Regression Models'!$B$102*ifood_data[[#This Row],[Income]]+'Regression Models'!$B$103*ifood_data[[#This Row],[Age]]+'Regression Models'!$B$104*ifood_data[[#This Row],[Family]]</f>
        <v>1541.0854952898271</v>
      </c>
      <c r="BF44" t="str">
        <f>IF(ifood_data[[#This Row],[AcceptedCmpOverall]]=1,"Campaign Respondent","Non-respondent")</f>
        <v>Campaign Respondent</v>
      </c>
    </row>
    <row r="45" spans="1:58" x14ac:dyDescent="0.35">
      <c r="A45">
        <v>432</v>
      </c>
      <c r="B45">
        <v>89572</v>
      </c>
      <c r="C45">
        <v>0</v>
      </c>
      <c r="D45">
        <v>0</v>
      </c>
      <c r="E45">
        <v>44</v>
      </c>
      <c r="F45">
        <v>606</v>
      </c>
      <c r="G45">
        <v>24</v>
      </c>
      <c r="H45">
        <v>974</v>
      </c>
      <c r="I45">
        <v>197</v>
      </c>
      <c r="J45">
        <v>194</v>
      </c>
      <c r="K45">
        <v>64</v>
      </c>
      <c r="L45">
        <v>1</v>
      </c>
      <c r="M45">
        <v>7</v>
      </c>
      <c r="N45">
        <v>7</v>
      </c>
      <c r="O45">
        <v>9</v>
      </c>
      <c r="P45">
        <v>4</v>
      </c>
      <c r="Q45">
        <v>1</v>
      </c>
      <c r="R45">
        <v>0</v>
      </c>
      <c r="S45">
        <v>0</v>
      </c>
      <c r="T45">
        <v>1</v>
      </c>
      <c r="U45">
        <v>0</v>
      </c>
      <c r="V45">
        <f>IF(SUM(ifood_data[[#This Row],[AcceptedCmp1]:[AcceptedCmp5]])&gt;0,1,0)</f>
        <v>1</v>
      </c>
      <c r="W45">
        <v>0</v>
      </c>
      <c r="X45">
        <v>3</v>
      </c>
      <c r="Y45">
        <v>11</v>
      </c>
      <c r="Z45">
        <v>1</v>
      </c>
      <c r="AA45">
        <v>54</v>
      </c>
      <c r="AB45">
        <v>2811</v>
      </c>
      <c r="AC45" s="28">
        <f>ifood_data[[#This Row],[Customer_Days]]/365</f>
        <v>7.7013698630136984</v>
      </c>
      <c r="AD45">
        <v>0</v>
      </c>
      <c r="AE45">
        <v>0</v>
      </c>
      <c r="AF45">
        <v>1</v>
      </c>
      <c r="AG45">
        <v>0</v>
      </c>
      <c r="AH45">
        <v>0</v>
      </c>
      <c r="AI45">
        <v>1</v>
      </c>
      <c r="AJ45">
        <v>0</v>
      </c>
      <c r="AK45">
        <v>0</v>
      </c>
      <c r="AL45">
        <v>0</v>
      </c>
      <c r="AM45">
        <v>0</v>
      </c>
      <c r="AN45">
        <v>1995</v>
      </c>
      <c r="AO45">
        <v>1931</v>
      </c>
      <c r="AP45">
        <f>ifood_data[[#This Row],[MntTotal]]-ifood_data[[#This Row],[MntRegularProds]]</f>
        <v>64</v>
      </c>
      <c r="AQ45">
        <v>2</v>
      </c>
      <c r="AR45">
        <f>IF(SUM(ifood_data[[#This Row],[Kidhome]:[Teenhome]])&gt;0,1,0)</f>
        <v>0</v>
      </c>
      <c r="AS45" t="str">
        <f>IF(SUM(ifood_data[[#This Row],[Kidhome]:[Teenhome]])&gt;0,"Has Family","No Family")</f>
        <v>No Family</v>
      </c>
      <c r="AT45" t="str">
        <f>IF(ifood_data[[#This Row],[marital_Married]]=1,"Married", (IF(ifood_data[[#This Row],[marital_Single]]=1,"Single",(IF(ifood_data[[#This Row],[marital_Divorced]]=1,"Divorced",(IF(ifood_data[[#This Row],[marital_Together]]=1,"Living Together",(IF(ifood_data[[#This Row],[marital_Widow]]=1,"Widow","Other")))))))))</f>
        <v>Single</v>
      </c>
      <c r="AU45" t="str">
        <f>IF(ifood_data[[#This Row],[education_Basic]]=1,"High School",(IF(ifood_data[[#This Row],[education_Graduation]]=1,"Undergraduate Degree",(IF(SUM(AM45,AL45,AI45)&gt;0,"Master's Degree or Higher","Other")))))</f>
        <v>Master's Degree or Higher</v>
      </c>
      <c r="AV45" t="str">
        <f>IF(ifood_data[[#All],[Income]]&gt;75000,"75K+",(IF(ifood_data[[#All],[Income]]&gt;50000,"50K-75K",(IF(ifood_data[[#All],[Income]]&gt;35000,"35K-50K","&lt;35K")))))</f>
        <v>75K+</v>
      </c>
      <c r="AW45" t="str">
        <f>IF(ifood_data[[#All],[Age]]&gt;60,"60+",(IF(ifood_data[[#All],[Age]]&gt;50,"50-60",(IF(ifood_data[[#All],[Age]]&gt;40,"40-50",(IF(ifood_data[[#All],[Age]]&gt;30,"30-40","&lt;30")))))))</f>
        <v>50-60</v>
      </c>
      <c r="AX45">
        <f t="shared" si="0"/>
        <v>28</v>
      </c>
      <c r="AY45">
        <f t="shared" si="1"/>
        <v>6</v>
      </c>
      <c r="AZ45">
        <f t="shared" si="2"/>
        <v>8</v>
      </c>
      <c r="BA45">
        <f t="shared" si="3"/>
        <v>9</v>
      </c>
      <c r="BB45">
        <f>SUM(ifood_data[[#This Row],[Recency Score]:[Monetary Score]])</f>
        <v>23</v>
      </c>
      <c r="BC45">
        <f>(_xlfn.PERCENTRANK.INC(ifood_data[[#All],[RFM]],ifood_data[[#This Row],[RFM]],1))*10</f>
        <v>8</v>
      </c>
      <c r="BD45" t="str">
        <f>VLOOKUP(ifood_data[[#This Row],[RFM Score]],'RFM Analysis'!$A$3:$B$14,2,FALSE)</f>
        <v>Loyal Customer</v>
      </c>
      <c r="BE45">
        <f>'Regression Models'!$B$101+'Regression Models'!$B$102*ifood_data[[#This Row],[Income]]+'Regression Models'!$B$103*ifood_data[[#This Row],[Age]]+'Regression Models'!$B$104*ifood_data[[#This Row],[Family]]</f>
        <v>1539.2797736505536</v>
      </c>
      <c r="BF45" t="str">
        <f>IF(ifood_data[[#This Row],[AcceptedCmpOverall]]=1,"Campaign Respondent","Non-respondent")</f>
        <v>Campaign Respondent</v>
      </c>
    </row>
    <row r="46" spans="1:58" x14ac:dyDescent="0.35">
      <c r="A46">
        <v>1651</v>
      </c>
      <c r="B46">
        <v>90369</v>
      </c>
      <c r="C46">
        <v>0</v>
      </c>
      <c r="D46">
        <v>0</v>
      </c>
      <c r="E46">
        <v>2</v>
      </c>
      <c r="F46">
        <v>292</v>
      </c>
      <c r="G46">
        <v>51</v>
      </c>
      <c r="H46">
        <v>981</v>
      </c>
      <c r="I46">
        <v>224</v>
      </c>
      <c r="J46">
        <v>23</v>
      </c>
      <c r="K46">
        <v>17</v>
      </c>
      <c r="L46">
        <v>1</v>
      </c>
      <c r="M46">
        <v>4</v>
      </c>
      <c r="N46">
        <v>6</v>
      </c>
      <c r="O46">
        <v>6</v>
      </c>
      <c r="P46">
        <v>1</v>
      </c>
      <c r="Q46">
        <v>0</v>
      </c>
      <c r="R46">
        <v>0</v>
      </c>
      <c r="S46">
        <v>0</v>
      </c>
      <c r="T46">
        <v>0</v>
      </c>
      <c r="U46">
        <v>0</v>
      </c>
      <c r="V46">
        <f>IF(SUM(ifood_data[[#This Row],[AcceptedCmp1]:[AcceptedCmp5]])&gt;0,1,0)</f>
        <v>0</v>
      </c>
      <c r="W46">
        <v>0</v>
      </c>
      <c r="X46">
        <v>3</v>
      </c>
      <c r="Y46">
        <v>11</v>
      </c>
      <c r="Z46">
        <v>1</v>
      </c>
      <c r="AA46">
        <v>64</v>
      </c>
      <c r="AB46">
        <v>2221</v>
      </c>
      <c r="AC46" s="28">
        <f>ifood_data[[#This Row],[Customer_Days]]/365</f>
        <v>6.0849315068493155</v>
      </c>
      <c r="AD46">
        <v>0</v>
      </c>
      <c r="AE46">
        <v>1</v>
      </c>
      <c r="AF46">
        <v>0</v>
      </c>
      <c r="AG46">
        <v>0</v>
      </c>
      <c r="AH46">
        <v>0</v>
      </c>
      <c r="AI46">
        <v>0</v>
      </c>
      <c r="AJ46">
        <v>0</v>
      </c>
      <c r="AK46">
        <v>1</v>
      </c>
      <c r="AL46">
        <v>0</v>
      </c>
      <c r="AM46">
        <v>0</v>
      </c>
      <c r="AN46">
        <v>1571</v>
      </c>
      <c r="AO46">
        <v>1554</v>
      </c>
      <c r="AP46">
        <f>ifood_data[[#This Row],[MntTotal]]-ifood_data[[#This Row],[MntRegularProds]]</f>
        <v>17</v>
      </c>
      <c r="AQ46">
        <v>0</v>
      </c>
      <c r="AR46">
        <f>IF(SUM(ifood_data[[#This Row],[Kidhome]:[Teenhome]])&gt;0,1,0)</f>
        <v>0</v>
      </c>
      <c r="AS46" t="str">
        <f>IF(SUM(ifood_data[[#This Row],[Kidhome]:[Teenhome]])&gt;0,"Has Family","No Family")</f>
        <v>No Family</v>
      </c>
      <c r="AT46" t="str">
        <f>IF(ifood_data[[#This Row],[marital_Married]]=1,"Married", (IF(ifood_data[[#This Row],[marital_Single]]=1,"Single",(IF(ifood_data[[#This Row],[marital_Divorced]]=1,"Divorced",(IF(ifood_data[[#This Row],[marital_Together]]=1,"Living Together",(IF(ifood_data[[#This Row],[marital_Widow]]=1,"Widow","Other")))))))))</f>
        <v>Married</v>
      </c>
      <c r="AU46" t="str">
        <f>IF(ifood_data[[#This Row],[education_Basic]]=1,"High School",(IF(ifood_data[[#This Row],[education_Graduation]]=1,"Undergraduate Degree",(IF(SUM(AM46,AL46,AI46)&gt;0,"Master's Degree or Higher","Other")))))</f>
        <v>Undergraduate Degree</v>
      </c>
      <c r="AV46" t="str">
        <f>IF(ifood_data[[#All],[Income]]&gt;75000,"75K+",(IF(ifood_data[[#All],[Income]]&gt;50000,"50K-75K",(IF(ifood_data[[#All],[Income]]&gt;35000,"35K-50K","&lt;35K")))))</f>
        <v>75K+</v>
      </c>
      <c r="AW46" t="str">
        <f>IF(ifood_data[[#All],[Age]]&gt;60,"60+",(IF(ifood_data[[#All],[Age]]&gt;50,"50-60",(IF(ifood_data[[#All],[Age]]&gt;40,"40-50",(IF(ifood_data[[#All],[Age]]&gt;30,"30-40","&lt;30")))))))</f>
        <v>60+</v>
      </c>
      <c r="AX46">
        <f t="shared" si="0"/>
        <v>18</v>
      </c>
      <c r="AY46">
        <f t="shared" si="1"/>
        <v>10</v>
      </c>
      <c r="AZ46">
        <f t="shared" si="2"/>
        <v>4</v>
      </c>
      <c r="BA46">
        <f t="shared" si="3"/>
        <v>9</v>
      </c>
      <c r="BB46">
        <f>SUM(ifood_data[[#This Row],[Recency Score]:[Monetary Score]])</f>
        <v>23</v>
      </c>
      <c r="BC46">
        <f>(_xlfn.PERCENTRANK.INC(ifood_data[[#All],[RFM]],ifood_data[[#This Row],[RFM]],1))*10</f>
        <v>8</v>
      </c>
      <c r="BD46" t="str">
        <f>VLOOKUP(ifood_data[[#This Row],[RFM Score]],'RFM Analysis'!$A$3:$B$14,2,FALSE)</f>
        <v>Loyal Customer</v>
      </c>
      <c r="BE46">
        <f>'Regression Models'!$B$101+'Regression Models'!$B$102*ifood_data[[#This Row],[Income]]+'Regression Models'!$B$103*ifood_data[[#This Row],[Age]]+'Regression Models'!$B$104*ifood_data[[#This Row],[Family]]</f>
        <v>1537.1652310722982</v>
      </c>
      <c r="BF46" t="str">
        <f>IF(ifood_data[[#This Row],[AcceptedCmpOverall]]=1,"Campaign Respondent","Non-respondent")</f>
        <v>Non-respondent</v>
      </c>
    </row>
    <row r="47" spans="1:58" x14ac:dyDescent="0.35">
      <c r="A47">
        <v>1893</v>
      </c>
      <c r="B47">
        <v>87000</v>
      </c>
      <c r="C47">
        <v>0</v>
      </c>
      <c r="D47">
        <v>0</v>
      </c>
      <c r="E47">
        <v>61</v>
      </c>
      <c r="F47">
        <v>196</v>
      </c>
      <c r="G47">
        <v>25</v>
      </c>
      <c r="H47">
        <v>607</v>
      </c>
      <c r="I47">
        <v>67</v>
      </c>
      <c r="J47">
        <v>17</v>
      </c>
      <c r="K47">
        <v>49</v>
      </c>
      <c r="L47">
        <v>1</v>
      </c>
      <c r="M47">
        <v>4</v>
      </c>
      <c r="N47">
        <v>6</v>
      </c>
      <c r="O47">
        <v>7</v>
      </c>
      <c r="P47">
        <v>2</v>
      </c>
      <c r="Q47">
        <v>0</v>
      </c>
      <c r="R47">
        <v>0</v>
      </c>
      <c r="S47">
        <v>0</v>
      </c>
      <c r="T47">
        <v>0</v>
      </c>
      <c r="U47">
        <v>0</v>
      </c>
      <c r="V47">
        <f>IF(SUM(ifood_data[[#This Row],[AcceptedCmp1]:[AcceptedCmp5]])&gt;0,1,0)</f>
        <v>0</v>
      </c>
      <c r="W47">
        <v>0</v>
      </c>
      <c r="X47">
        <v>3</v>
      </c>
      <c r="Y47">
        <v>11</v>
      </c>
      <c r="Z47">
        <v>0</v>
      </c>
      <c r="AA47">
        <v>28</v>
      </c>
      <c r="AB47">
        <v>2720</v>
      </c>
      <c r="AC47" s="28">
        <f>ifood_data[[#This Row],[Customer_Days]]/365</f>
        <v>7.4520547945205475</v>
      </c>
      <c r="AD47">
        <v>0</v>
      </c>
      <c r="AE47">
        <v>1</v>
      </c>
      <c r="AF47">
        <v>0</v>
      </c>
      <c r="AG47">
        <v>0</v>
      </c>
      <c r="AH47">
        <v>0</v>
      </c>
      <c r="AI47">
        <v>1</v>
      </c>
      <c r="AJ47">
        <v>0</v>
      </c>
      <c r="AK47">
        <v>0</v>
      </c>
      <c r="AL47">
        <v>0</v>
      </c>
      <c r="AM47">
        <v>0</v>
      </c>
      <c r="AN47">
        <v>912</v>
      </c>
      <c r="AO47">
        <v>863</v>
      </c>
      <c r="AP47">
        <f>ifood_data[[#This Row],[MntTotal]]-ifood_data[[#This Row],[MntRegularProds]]</f>
        <v>49</v>
      </c>
      <c r="AQ47">
        <v>0</v>
      </c>
      <c r="AR47">
        <f>IF(SUM(ifood_data[[#This Row],[Kidhome]:[Teenhome]])&gt;0,1,0)</f>
        <v>0</v>
      </c>
      <c r="AS47" t="str">
        <f>IF(SUM(ifood_data[[#This Row],[Kidhome]:[Teenhome]])&gt;0,"Has Family","No Family")</f>
        <v>No Family</v>
      </c>
      <c r="AT47" t="str">
        <f>IF(ifood_data[[#This Row],[marital_Married]]=1,"Married", (IF(ifood_data[[#This Row],[marital_Single]]=1,"Single",(IF(ifood_data[[#This Row],[marital_Divorced]]=1,"Divorced",(IF(ifood_data[[#This Row],[marital_Together]]=1,"Living Together",(IF(ifood_data[[#This Row],[marital_Widow]]=1,"Widow","Other")))))))))</f>
        <v>Married</v>
      </c>
      <c r="AU47" t="str">
        <f>IF(ifood_data[[#This Row],[education_Basic]]=1,"High School",(IF(ifood_data[[#This Row],[education_Graduation]]=1,"Undergraduate Degree",(IF(SUM(AM47,AL47,AI47)&gt;0,"Master's Degree or Higher","Other")))))</f>
        <v>Master's Degree or Higher</v>
      </c>
      <c r="AV47" t="str">
        <f>IF(ifood_data[[#All],[Income]]&gt;75000,"75K+",(IF(ifood_data[[#All],[Income]]&gt;50000,"50K-75K",(IF(ifood_data[[#All],[Income]]&gt;35000,"35K-50K","&lt;35K")))))</f>
        <v>75K+</v>
      </c>
      <c r="AW47" t="str">
        <f>IF(ifood_data[[#All],[Age]]&gt;60,"60+",(IF(ifood_data[[#All],[Age]]&gt;50,"50-60",(IF(ifood_data[[#All],[Age]]&gt;40,"40-50",(IF(ifood_data[[#All],[Age]]&gt;30,"30-40","&lt;30")))))))</f>
        <v>&lt;30</v>
      </c>
      <c r="AX47">
        <f t="shared" si="0"/>
        <v>20</v>
      </c>
      <c r="AY47">
        <f t="shared" si="1"/>
        <v>4</v>
      </c>
      <c r="AZ47">
        <f t="shared" si="2"/>
        <v>4</v>
      </c>
      <c r="BA47">
        <f t="shared" si="3"/>
        <v>7</v>
      </c>
      <c r="BB47">
        <f>SUM(ifood_data[[#This Row],[Recency Score]:[Monetary Score]])</f>
        <v>15</v>
      </c>
      <c r="BC47">
        <f>(_xlfn.PERCENTRANK.INC(ifood_data[[#All],[RFM]],ifood_data[[#This Row],[RFM]],1))*10</f>
        <v>4</v>
      </c>
      <c r="BD47" t="str">
        <f>VLOOKUP(ifood_data[[#This Row],[RFM Score]],'RFM Analysis'!$A$3:$B$14,2,FALSE)</f>
        <v>At Risk</v>
      </c>
      <c r="BE47">
        <f>'Regression Models'!$B$101+'Regression Models'!$B$102*ifood_data[[#This Row],[Income]]+'Regression Models'!$B$103*ifood_data[[#This Row],[Age]]+'Regression Models'!$B$104*ifood_data[[#This Row],[Family]]</f>
        <v>1534.5872780356967</v>
      </c>
      <c r="BF47" t="str">
        <f>IF(ifood_data[[#This Row],[AcceptedCmpOverall]]=1,"Campaign Respondent","Non-respondent")</f>
        <v>Non-respondent</v>
      </c>
    </row>
    <row r="48" spans="1:58" x14ac:dyDescent="0.35">
      <c r="A48">
        <v>1478</v>
      </c>
      <c r="B48">
        <v>90226</v>
      </c>
      <c r="C48">
        <v>0</v>
      </c>
      <c r="D48">
        <v>0</v>
      </c>
      <c r="E48">
        <v>26</v>
      </c>
      <c r="F48">
        <v>1083</v>
      </c>
      <c r="G48">
        <v>108</v>
      </c>
      <c r="H48">
        <v>649</v>
      </c>
      <c r="I48">
        <v>253</v>
      </c>
      <c r="J48">
        <v>151</v>
      </c>
      <c r="K48">
        <v>108</v>
      </c>
      <c r="L48">
        <v>1</v>
      </c>
      <c r="M48">
        <v>4</v>
      </c>
      <c r="N48">
        <v>7</v>
      </c>
      <c r="O48">
        <v>12</v>
      </c>
      <c r="P48">
        <v>2</v>
      </c>
      <c r="Q48">
        <v>1</v>
      </c>
      <c r="R48">
        <v>0</v>
      </c>
      <c r="S48">
        <v>0</v>
      </c>
      <c r="T48">
        <v>0</v>
      </c>
      <c r="U48">
        <v>0</v>
      </c>
      <c r="V48">
        <f>IF(SUM(ifood_data[[#This Row],[AcceptedCmp1]:[AcceptedCmp5]])&gt;0,1,0)</f>
        <v>1</v>
      </c>
      <c r="W48">
        <v>0</v>
      </c>
      <c r="X48">
        <v>3</v>
      </c>
      <c r="Y48">
        <v>11</v>
      </c>
      <c r="Z48">
        <v>0</v>
      </c>
      <c r="AA48">
        <v>64</v>
      </c>
      <c r="AB48">
        <v>2800</v>
      </c>
      <c r="AC48" s="28">
        <f>ifood_data[[#This Row],[Customer_Days]]/365</f>
        <v>7.6712328767123283</v>
      </c>
      <c r="AD48">
        <v>0</v>
      </c>
      <c r="AE48">
        <v>1</v>
      </c>
      <c r="AF48">
        <v>0</v>
      </c>
      <c r="AG48">
        <v>0</v>
      </c>
      <c r="AH48">
        <v>0</v>
      </c>
      <c r="AI48">
        <v>0</v>
      </c>
      <c r="AJ48">
        <v>0</v>
      </c>
      <c r="AK48">
        <v>0</v>
      </c>
      <c r="AL48">
        <v>1</v>
      </c>
      <c r="AM48">
        <v>0</v>
      </c>
      <c r="AN48">
        <v>2244</v>
      </c>
      <c r="AO48">
        <v>2136</v>
      </c>
      <c r="AP48">
        <f>ifood_data[[#This Row],[MntTotal]]-ifood_data[[#This Row],[MntRegularProds]]</f>
        <v>108</v>
      </c>
      <c r="AQ48">
        <v>1</v>
      </c>
      <c r="AR48">
        <f>IF(SUM(ifood_data[[#This Row],[Kidhome]:[Teenhome]])&gt;0,1,0)</f>
        <v>0</v>
      </c>
      <c r="AS48" t="str">
        <f>IF(SUM(ifood_data[[#This Row],[Kidhome]:[Teenhome]])&gt;0,"Has Family","No Family")</f>
        <v>No Family</v>
      </c>
      <c r="AT48" t="str">
        <f>IF(ifood_data[[#This Row],[marital_Married]]=1,"Married", (IF(ifood_data[[#This Row],[marital_Single]]=1,"Single",(IF(ifood_data[[#This Row],[marital_Divorced]]=1,"Divorced",(IF(ifood_data[[#This Row],[marital_Together]]=1,"Living Together",(IF(ifood_data[[#This Row],[marital_Widow]]=1,"Widow","Other")))))))))</f>
        <v>Married</v>
      </c>
      <c r="AU48" t="str">
        <f>IF(ifood_data[[#This Row],[education_Basic]]=1,"High School",(IF(ifood_data[[#This Row],[education_Graduation]]=1,"Undergraduate Degree",(IF(SUM(AM48,AL48,AI48)&gt;0,"Master's Degree or Higher","Other")))))</f>
        <v>Master's Degree or Higher</v>
      </c>
      <c r="AV48" t="str">
        <f>IF(ifood_data[[#All],[Income]]&gt;75000,"75K+",(IF(ifood_data[[#All],[Income]]&gt;50000,"50K-75K",(IF(ifood_data[[#All],[Income]]&gt;35000,"35K-50K","&lt;35K")))))</f>
        <v>75K+</v>
      </c>
      <c r="AW48" t="str">
        <f>IF(ifood_data[[#All],[Age]]&gt;60,"60+",(IF(ifood_data[[#All],[Age]]&gt;50,"50-60",(IF(ifood_data[[#All],[Age]]&gt;40,"40-50",(IF(ifood_data[[#All],[Age]]&gt;30,"30-40","&lt;30")))))))</f>
        <v>60+</v>
      </c>
      <c r="AX48">
        <f t="shared" si="0"/>
        <v>26</v>
      </c>
      <c r="AY48">
        <f t="shared" si="1"/>
        <v>8</v>
      </c>
      <c r="AZ48">
        <f t="shared" si="2"/>
        <v>7</v>
      </c>
      <c r="BA48">
        <f t="shared" si="3"/>
        <v>9</v>
      </c>
      <c r="BB48">
        <f>SUM(ifood_data[[#This Row],[Recency Score]:[Monetary Score]])</f>
        <v>24</v>
      </c>
      <c r="BC48">
        <f>(_xlfn.PERCENTRANK.INC(ifood_data[[#All],[RFM]],ifood_data[[#This Row],[RFM]],1))*10</f>
        <v>9</v>
      </c>
      <c r="BD48" t="str">
        <f>VLOOKUP(ifood_data[[#This Row],[RFM Score]],'RFM Analysis'!$A$3:$B$14,2,FALSE)</f>
        <v>Top Customer</v>
      </c>
      <c r="BE48">
        <f>'Regression Models'!$B$101+'Regression Models'!$B$102*ifood_data[[#This Row],[Income]]+'Regression Models'!$B$103*ifood_data[[#This Row],[Age]]+'Regression Models'!$B$104*ifood_data[[#This Row],[Family]]</f>
        <v>1534.2496372277203</v>
      </c>
      <c r="BF48" t="str">
        <f>IF(ifood_data[[#This Row],[AcceptedCmpOverall]]=1,"Campaign Respondent","Non-respondent")</f>
        <v>Campaign Respondent</v>
      </c>
    </row>
    <row r="49" spans="1:58" x14ac:dyDescent="0.35">
      <c r="A49">
        <v>1254</v>
      </c>
      <c r="B49">
        <v>90842</v>
      </c>
      <c r="C49">
        <v>0</v>
      </c>
      <c r="D49">
        <v>0</v>
      </c>
      <c r="E49">
        <v>57</v>
      </c>
      <c r="F49">
        <v>774</v>
      </c>
      <c r="G49">
        <v>70</v>
      </c>
      <c r="H49">
        <v>118</v>
      </c>
      <c r="I49">
        <v>182</v>
      </c>
      <c r="J49">
        <v>187</v>
      </c>
      <c r="K49">
        <v>93</v>
      </c>
      <c r="L49">
        <v>1</v>
      </c>
      <c r="M49">
        <v>4</v>
      </c>
      <c r="N49">
        <v>9</v>
      </c>
      <c r="O49">
        <v>13</v>
      </c>
      <c r="P49">
        <v>1</v>
      </c>
      <c r="Q49">
        <v>0</v>
      </c>
      <c r="R49">
        <v>0</v>
      </c>
      <c r="S49">
        <v>0</v>
      </c>
      <c r="T49">
        <v>0</v>
      </c>
      <c r="U49">
        <v>0</v>
      </c>
      <c r="V49">
        <f>IF(SUM(ifood_data[[#This Row],[AcceptedCmp1]:[AcceptedCmp5]])&gt;0,1,0)</f>
        <v>0</v>
      </c>
      <c r="W49">
        <v>0</v>
      </c>
      <c r="X49">
        <v>3</v>
      </c>
      <c r="Y49">
        <v>11</v>
      </c>
      <c r="Z49">
        <v>0</v>
      </c>
      <c r="AA49">
        <v>72</v>
      </c>
      <c r="AB49">
        <v>2494</v>
      </c>
      <c r="AC49" s="28">
        <f>ifood_data[[#This Row],[Customer_Days]]/365</f>
        <v>6.8328767123287673</v>
      </c>
      <c r="AD49">
        <v>0</v>
      </c>
      <c r="AE49">
        <v>0</v>
      </c>
      <c r="AF49">
        <v>1</v>
      </c>
      <c r="AG49">
        <v>0</v>
      </c>
      <c r="AH49">
        <v>0</v>
      </c>
      <c r="AI49">
        <v>0</v>
      </c>
      <c r="AJ49">
        <v>0</v>
      </c>
      <c r="AK49">
        <v>1</v>
      </c>
      <c r="AL49">
        <v>0</v>
      </c>
      <c r="AM49">
        <v>0</v>
      </c>
      <c r="AN49">
        <v>1331</v>
      </c>
      <c r="AO49">
        <v>1238</v>
      </c>
      <c r="AP49">
        <f>ifood_data[[#This Row],[MntTotal]]-ifood_data[[#This Row],[MntRegularProds]]</f>
        <v>93</v>
      </c>
      <c r="AQ49">
        <v>0</v>
      </c>
      <c r="AR49">
        <f>IF(SUM(ifood_data[[#This Row],[Kidhome]:[Teenhome]])&gt;0,1,0)</f>
        <v>0</v>
      </c>
      <c r="AS49" t="str">
        <f>IF(SUM(ifood_data[[#This Row],[Kidhome]:[Teenhome]])&gt;0,"Has Family","No Family")</f>
        <v>No Family</v>
      </c>
      <c r="AT49" t="str">
        <f>IF(ifood_data[[#This Row],[marital_Married]]=1,"Married", (IF(ifood_data[[#This Row],[marital_Single]]=1,"Single",(IF(ifood_data[[#This Row],[marital_Divorced]]=1,"Divorced",(IF(ifood_data[[#This Row],[marital_Together]]=1,"Living Together",(IF(ifood_data[[#This Row],[marital_Widow]]=1,"Widow","Other")))))))))</f>
        <v>Single</v>
      </c>
      <c r="AU49" t="str">
        <f>IF(ifood_data[[#This Row],[education_Basic]]=1,"High School",(IF(ifood_data[[#This Row],[education_Graduation]]=1,"Undergraduate Degree",(IF(SUM(AM49,AL49,AI49)&gt;0,"Master's Degree or Higher","Other")))))</f>
        <v>Undergraduate Degree</v>
      </c>
      <c r="AV49" t="str">
        <f>IF(ifood_data[[#All],[Income]]&gt;75000,"75K+",(IF(ifood_data[[#All],[Income]]&gt;50000,"50K-75K",(IF(ifood_data[[#All],[Income]]&gt;35000,"35K-50K","&lt;35K")))))</f>
        <v>75K+</v>
      </c>
      <c r="AW49" t="str">
        <f>IF(ifood_data[[#All],[Age]]&gt;60,"60+",(IF(ifood_data[[#All],[Age]]&gt;50,"50-60",(IF(ifood_data[[#All],[Age]]&gt;40,"40-50",(IF(ifood_data[[#All],[Age]]&gt;30,"30-40","&lt;30")))))))</f>
        <v>60+</v>
      </c>
      <c r="AX49">
        <f t="shared" si="0"/>
        <v>28</v>
      </c>
      <c r="AY49">
        <f t="shared" si="1"/>
        <v>5</v>
      </c>
      <c r="AZ49">
        <f t="shared" si="2"/>
        <v>8</v>
      </c>
      <c r="BA49">
        <f t="shared" si="3"/>
        <v>8</v>
      </c>
      <c r="BB49">
        <f>SUM(ifood_data[[#This Row],[Recency Score]:[Monetary Score]])</f>
        <v>21</v>
      </c>
      <c r="BC49">
        <f>(_xlfn.PERCENTRANK.INC(ifood_data[[#All],[RFM]],ifood_data[[#This Row],[RFM]],1))*10</f>
        <v>8</v>
      </c>
      <c r="BD49" t="str">
        <f>VLOOKUP(ifood_data[[#This Row],[RFM Score]],'RFM Analysis'!$A$3:$B$14,2,FALSE)</f>
        <v>Loyal Customer</v>
      </c>
      <c r="BE49">
        <f>'Regression Models'!$B$101+'Regression Models'!$B$102*ifood_data[[#This Row],[Income]]+'Regression Models'!$B$103*ifood_data[[#This Row],[Age]]+'Regression Models'!$B$104*ifood_data[[#This Row],[Family]]</f>
        <v>1532.117605773208</v>
      </c>
      <c r="BF49" t="str">
        <f>IF(ifood_data[[#This Row],[AcceptedCmpOverall]]=1,"Campaign Respondent","Non-respondent")</f>
        <v>Non-respondent</v>
      </c>
    </row>
    <row r="50" spans="1:58" x14ac:dyDescent="0.35">
      <c r="A50">
        <v>1410</v>
      </c>
      <c r="B50">
        <v>87188</v>
      </c>
      <c r="C50">
        <v>0</v>
      </c>
      <c r="D50">
        <v>0</v>
      </c>
      <c r="E50">
        <v>73</v>
      </c>
      <c r="F50">
        <v>910</v>
      </c>
      <c r="G50">
        <v>111</v>
      </c>
      <c r="H50">
        <v>724</v>
      </c>
      <c r="I50">
        <v>49</v>
      </c>
      <c r="J50">
        <v>74</v>
      </c>
      <c r="K50">
        <v>55</v>
      </c>
      <c r="L50">
        <v>1</v>
      </c>
      <c r="M50">
        <v>10</v>
      </c>
      <c r="N50">
        <v>2</v>
      </c>
      <c r="O50">
        <v>6</v>
      </c>
      <c r="P50">
        <v>3</v>
      </c>
      <c r="Q50">
        <v>0</v>
      </c>
      <c r="R50">
        <v>0</v>
      </c>
      <c r="S50">
        <v>0</v>
      </c>
      <c r="T50">
        <v>0</v>
      </c>
      <c r="U50">
        <v>0</v>
      </c>
      <c r="V50">
        <f>IF(SUM(ifood_data[[#This Row],[AcceptedCmp1]:[AcceptedCmp5]])&gt;0,1,0)</f>
        <v>0</v>
      </c>
      <c r="W50">
        <v>0</v>
      </c>
      <c r="X50">
        <v>3</v>
      </c>
      <c r="Y50">
        <v>11</v>
      </c>
      <c r="Z50">
        <v>1</v>
      </c>
      <c r="AA50">
        <v>37</v>
      </c>
      <c r="AB50">
        <v>2550</v>
      </c>
      <c r="AC50" s="28">
        <f>ifood_data[[#This Row],[Customer_Days]]/365</f>
        <v>6.9863013698630141</v>
      </c>
      <c r="AD50">
        <v>0</v>
      </c>
      <c r="AE50">
        <v>0</v>
      </c>
      <c r="AF50">
        <v>1</v>
      </c>
      <c r="AG50">
        <v>0</v>
      </c>
      <c r="AH50">
        <v>0</v>
      </c>
      <c r="AI50">
        <v>0</v>
      </c>
      <c r="AJ50">
        <v>0</v>
      </c>
      <c r="AK50">
        <v>0</v>
      </c>
      <c r="AL50">
        <v>0</v>
      </c>
      <c r="AM50">
        <v>1</v>
      </c>
      <c r="AN50">
        <v>1868</v>
      </c>
      <c r="AO50">
        <v>1813</v>
      </c>
      <c r="AP50">
        <f>ifood_data[[#This Row],[MntTotal]]-ifood_data[[#This Row],[MntRegularProds]]</f>
        <v>55</v>
      </c>
      <c r="AQ50">
        <v>0</v>
      </c>
      <c r="AR50">
        <f>IF(SUM(ifood_data[[#This Row],[Kidhome]:[Teenhome]])&gt;0,1,0)</f>
        <v>0</v>
      </c>
      <c r="AS50" t="str">
        <f>IF(SUM(ifood_data[[#This Row],[Kidhome]:[Teenhome]])&gt;0,"Has Family","No Family")</f>
        <v>No Family</v>
      </c>
      <c r="AT50" t="str">
        <f>IF(ifood_data[[#This Row],[marital_Married]]=1,"Married", (IF(ifood_data[[#This Row],[marital_Single]]=1,"Single",(IF(ifood_data[[#This Row],[marital_Divorced]]=1,"Divorced",(IF(ifood_data[[#This Row],[marital_Together]]=1,"Living Together",(IF(ifood_data[[#This Row],[marital_Widow]]=1,"Widow","Other")))))))))</f>
        <v>Single</v>
      </c>
      <c r="AU50" t="str">
        <f>IF(ifood_data[[#This Row],[education_Basic]]=1,"High School",(IF(ifood_data[[#This Row],[education_Graduation]]=1,"Undergraduate Degree",(IF(SUM(AM50,AL50,AI50)&gt;0,"Master's Degree or Higher","Other")))))</f>
        <v>Master's Degree or Higher</v>
      </c>
      <c r="AV50" t="str">
        <f>IF(ifood_data[[#All],[Income]]&gt;75000,"75K+",(IF(ifood_data[[#All],[Income]]&gt;50000,"50K-75K",(IF(ifood_data[[#All],[Income]]&gt;35000,"35K-50K","&lt;35K")))))</f>
        <v>75K+</v>
      </c>
      <c r="AW50" t="str">
        <f>IF(ifood_data[[#All],[Age]]&gt;60,"60+",(IF(ifood_data[[#All],[Age]]&gt;50,"50-60",(IF(ifood_data[[#All],[Age]]&gt;40,"40-50",(IF(ifood_data[[#All],[Age]]&gt;30,"30-40","&lt;30")))))))</f>
        <v>30-40</v>
      </c>
      <c r="AX50">
        <f t="shared" si="0"/>
        <v>22</v>
      </c>
      <c r="AY50">
        <f t="shared" si="1"/>
        <v>3.0000000000000004</v>
      </c>
      <c r="AZ50">
        <f t="shared" si="2"/>
        <v>5</v>
      </c>
      <c r="BA50">
        <f t="shared" si="3"/>
        <v>9</v>
      </c>
      <c r="BB50">
        <f>SUM(ifood_data[[#This Row],[Recency Score]:[Monetary Score]])</f>
        <v>17</v>
      </c>
      <c r="BC50">
        <f>(_xlfn.PERCENTRANK.INC(ifood_data[[#All],[RFM]],ifood_data[[#This Row],[RFM]],1))*10</f>
        <v>6</v>
      </c>
      <c r="BD50" t="str">
        <f>VLOOKUP(ifood_data[[#This Row],[RFM Score]],'RFM Analysis'!$A$3:$B$14,2,FALSE)</f>
        <v>Promising</v>
      </c>
      <c r="BE50">
        <f>'Regression Models'!$B$101+'Regression Models'!$B$102*ifood_data[[#This Row],[Income]]+'Regression Models'!$B$103*ifood_data[[#This Row],[Age]]+'Regression Models'!$B$104*ifood_data[[#This Row],[Family]]</f>
        <v>1521.8924147367011</v>
      </c>
      <c r="BF50" t="str">
        <f>IF(ifood_data[[#This Row],[AcceptedCmpOverall]]=1,"Campaign Respondent","Non-respondent")</f>
        <v>Non-respondent</v>
      </c>
    </row>
    <row r="51" spans="1:58" x14ac:dyDescent="0.35">
      <c r="A51">
        <v>1017</v>
      </c>
      <c r="B51">
        <v>87171</v>
      </c>
      <c r="C51">
        <v>0</v>
      </c>
      <c r="D51">
        <v>0</v>
      </c>
      <c r="E51">
        <v>27</v>
      </c>
      <c r="F51">
        <v>1001</v>
      </c>
      <c r="G51">
        <v>44</v>
      </c>
      <c r="H51">
        <v>107</v>
      </c>
      <c r="I51">
        <v>58</v>
      </c>
      <c r="J51">
        <v>44</v>
      </c>
      <c r="K51">
        <v>44</v>
      </c>
      <c r="L51">
        <v>1</v>
      </c>
      <c r="M51">
        <v>6</v>
      </c>
      <c r="N51">
        <v>7</v>
      </c>
      <c r="O51">
        <v>11</v>
      </c>
      <c r="P51">
        <v>2</v>
      </c>
      <c r="Q51">
        <v>0</v>
      </c>
      <c r="R51">
        <v>0</v>
      </c>
      <c r="S51">
        <v>1</v>
      </c>
      <c r="T51">
        <v>0</v>
      </c>
      <c r="U51">
        <v>1</v>
      </c>
      <c r="V51">
        <f>IF(SUM(ifood_data[[#This Row],[AcceptedCmp1]:[AcceptedCmp5]])&gt;0,1,0)</f>
        <v>1</v>
      </c>
      <c r="W51">
        <v>0</v>
      </c>
      <c r="X51">
        <v>3</v>
      </c>
      <c r="Y51">
        <v>11</v>
      </c>
      <c r="Z51">
        <v>0</v>
      </c>
      <c r="AA51">
        <v>39</v>
      </c>
      <c r="AB51">
        <v>2583</v>
      </c>
      <c r="AC51" s="28">
        <f>ifood_data[[#This Row],[Customer_Days]]/365</f>
        <v>7.0767123287671234</v>
      </c>
      <c r="AD51">
        <v>0</v>
      </c>
      <c r="AE51">
        <v>1</v>
      </c>
      <c r="AF51">
        <v>0</v>
      </c>
      <c r="AG51">
        <v>0</v>
      </c>
      <c r="AH51">
        <v>0</v>
      </c>
      <c r="AI51">
        <v>0</v>
      </c>
      <c r="AJ51">
        <v>0</v>
      </c>
      <c r="AK51">
        <v>0</v>
      </c>
      <c r="AL51">
        <v>0</v>
      </c>
      <c r="AM51">
        <v>1</v>
      </c>
      <c r="AN51">
        <v>1254</v>
      </c>
      <c r="AO51">
        <v>1210</v>
      </c>
      <c r="AP51">
        <f>ifood_data[[#This Row],[MntTotal]]-ifood_data[[#This Row],[MntRegularProds]]</f>
        <v>44</v>
      </c>
      <c r="AQ51">
        <v>2</v>
      </c>
      <c r="AR51">
        <f>IF(SUM(ifood_data[[#This Row],[Kidhome]:[Teenhome]])&gt;0,1,0)</f>
        <v>0</v>
      </c>
      <c r="AS51" t="str">
        <f>IF(SUM(ifood_data[[#This Row],[Kidhome]:[Teenhome]])&gt;0,"Has Family","No Family")</f>
        <v>No Family</v>
      </c>
      <c r="AT51" t="str">
        <f>IF(ifood_data[[#This Row],[marital_Married]]=1,"Married", (IF(ifood_data[[#This Row],[marital_Single]]=1,"Single",(IF(ifood_data[[#This Row],[marital_Divorced]]=1,"Divorced",(IF(ifood_data[[#This Row],[marital_Together]]=1,"Living Together",(IF(ifood_data[[#This Row],[marital_Widow]]=1,"Widow","Other")))))))))</f>
        <v>Married</v>
      </c>
      <c r="AU51" t="str">
        <f>IF(ifood_data[[#This Row],[education_Basic]]=1,"High School",(IF(ifood_data[[#This Row],[education_Graduation]]=1,"Undergraduate Degree",(IF(SUM(AM51,AL51,AI51)&gt;0,"Master's Degree or Higher","Other")))))</f>
        <v>Master's Degree or Higher</v>
      </c>
      <c r="AV51" t="str">
        <f>IF(ifood_data[[#All],[Income]]&gt;75000,"75K+",(IF(ifood_data[[#All],[Income]]&gt;50000,"50K-75K",(IF(ifood_data[[#All],[Income]]&gt;35000,"35K-50K","&lt;35K")))))</f>
        <v>75K+</v>
      </c>
      <c r="AW51" t="str">
        <f>IF(ifood_data[[#All],[Age]]&gt;60,"60+",(IF(ifood_data[[#All],[Age]]&gt;50,"50-60",(IF(ifood_data[[#All],[Age]]&gt;40,"40-50",(IF(ifood_data[[#All],[Age]]&gt;30,"30-40","&lt;30")))))))</f>
        <v>30-40</v>
      </c>
      <c r="AX51">
        <f t="shared" si="0"/>
        <v>27</v>
      </c>
      <c r="AY51">
        <f t="shared" si="1"/>
        <v>8</v>
      </c>
      <c r="AZ51">
        <f t="shared" si="2"/>
        <v>7</v>
      </c>
      <c r="BA51">
        <f t="shared" si="3"/>
        <v>8</v>
      </c>
      <c r="BB51">
        <f>SUM(ifood_data[[#This Row],[Recency Score]:[Monetary Score]])</f>
        <v>23</v>
      </c>
      <c r="BC51">
        <f>(_xlfn.PERCENTRANK.INC(ifood_data[[#All],[RFM]],ifood_data[[#This Row],[RFM]],1))*10</f>
        <v>8</v>
      </c>
      <c r="BD51" t="str">
        <f>VLOOKUP(ifood_data[[#This Row],[RFM Score]],'RFM Analysis'!$A$3:$B$14,2,FALSE)</f>
        <v>Loyal Customer</v>
      </c>
      <c r="BE51">
        <f>'Regression Models'!$B$101+'Regression Models'!$B$102*ifood_data[[#This Row],[Income]]+'Regression Models'!$B$103*ifood_data[[#This Row],[Age]]+'Regression Models'!$B$104*ifood_data[[#This Row],[Family]]</f>
        <v>1517.8729275204664</v>
      </c>
      <c r="BF51" t="str">
        <f>IF(ifood_data[[#This Row],[AcceptedCmpOverall]]=1,"Campaign Respondent","Non-respondent")</f>
        <v>Campaign Respondent</v>
      </c>
    </row>
    <row r="52" spans="1:58" x14ac:dyDescent="0.35">
      <c r="A52">
        <v>100</v>
      </c>
      <c r="B52">
        <v>89058</v>
      </c>
      <c r="C52">
        <v>0</v>
      </c>
      <c r="D52">
        <v>0</v>
      </c>
      <c r="E52">
        <v>18</v>
      </c>
      <c r="F52">
        <v>454</v>
      </c>
      <c r="G52">
        <v>194</v>
      </c>
      <c r="H52">
        <v>106</v>
      </c>
      <c r="I52">
        <v>31</v>
      </c>
      <c r="J52">
        <v>22</v>
      </c>
      <c r="K52">
        <v>43</v>
      </c>
      <c r="L52">
        <v>1</v>
      </c>
      <c r="M52">
        <v>5</v>
      </c>
      <c r="N52">
        <v>4</v>
      </c>
      <c r="O52">
        <v>4</v>
      </c>
      <c r="P52">
        <v>2</v>
      </c>
      <c r="Q52">
        <v>0</v>
      </c>
      <c r="R52">
        <v>0</v>
      </c>
      <c r="S52">
        <v>0</v>
      </c>
      <c r="T52">
        <v>0</v>
      </c>
      <c r="U52">
        <v>0</v>
      </c>
      <c r="V52">
        <f>IF(SUM(ifood_data[[#This Row],[AcceptedCmp1]:[AcceptedCmp5]])&gt;0,1,0)</f>
        <v>0</v>
      </c>
      <c r="W52">
        <v>0</v>
      </c>
      <c r="X52">
        <v>3</v>
      </c>
      <c r="Y52">
        <v>11</v>
      </c>
      <c r="Z52">
        <v>0</v>
      </c>
      <c r="AA52">
        <v>60</v>
      </c>
      <c r="AB52">
        <v>2728</v>
      </c>
      <c r="AC52" s="28">
        <f>ifood_data[[#This Row],[Customer_Days]]/365</f>
        <v>7.4739726027397264</v>
      </c>
      <c r="AD52">
        <v>0</v>
      </c>
      <c r="AE52">
        <v>1</v>
      </c>
      <c r="AF52">
        <v>0</v>
      </c>
      <c r="AG52">
        <v>0</v>
      </c>
      <c r="AH52">
        <v>0</v>
      </c>
      <c r="AI52">
        <v>0</v>
      </c>
      <c r="AJ52">
        <v>0</v>
      </c>
      <c r="AK52">
        <v>0</v>
      </c>
      <c r="AL52">
        <v>1</v>
      </c>
      <c r="AM52">
        <v>0</v>
      </c>
      <c r="AN52">
        <v>807</v>
      </c>
      <c r="AO52">
        <v>764</v>
      </c>
      <c r="AP52">
        <f>ifood_data[[#This Row],[MntTotal]]-ifood_data[[#This Row],[MntRegularProds]]</f>
        <v>43</v>
      </c>
      <c r="AQ52">
        <v>0</v>
      </c>
      <c r="AR52">
        <f>IF(SUM(ifood_data[[#This Row],[Kidhome]:[Teenhome]])&gt;0,1,0)</f>
        <v>0</v>
      </c>
      <c r="AS52" t="str">
        <f>IF(SUM(ifood_data[[#This Row],[Kidhome]:[Teenhome]])&gt;0,"Has Family","No Family")</f>
        <v>No Family</v>
      </c>
      <c r="AT52" t="str">
        <f>IF(ifood_data[[#This Row],[marital_Married]]=1,"Married", (IF(ifood_data[[#This Row],[marital_Single]]=1,"Single",(IF(ifood_data[[#This Row],[marital_Divorced]]=1,"Divorced",(IF(ifood_data[[#This Row],[marital_Together]]=1,"Living Together",(IF(ifood_data[[#This Row],[marital_Widow]]=1,"Widow","Other")))))))))</f>
        <v>Married</v>
      </c>
      <c r="AU52" t="str">
        <f>IF(ifood_data[[#This Row],[education_Basic]]=1,"High School",(IF(ifood_data[[#This Row],[education_Graduation]]=1,"Undergraduate Degree",(IF(SUM(AM52,AL52,AI52)&gt;0,"Master's Degree or Higher","Other")))))</f>
        <v>Master's Degree or Higher</v>
      </c>
      <c r="AV52" t="str">
        <f>IF(ifood_data[[#All],[Income]]&gt;75000,"75K+",(IF(ifood_data[[#All],[Income]]&gt;50000,"50K-75K",(IF(ifood_data[[#All],[Income]]&gt;35000,"35K-50K","&lt;35K")))))</f>
        <v>75K+</v>
      </c>
      <c r="AW52" t="str">
        <f>IF(ifood_data[[#All],[Age]]&gt;60,"60+",(IF(ifood_data[[#All],[Age]]&gt;50,"50-60",(IF(ifood_data[[#All],[Age]]&gt;40,"40-50",(IF(ifood_data[[#All],[Age]]&gt;30,"30-40","&lt;30")))))))</f>
        <v>50-60</v>
      </c>
      <c r="AX52">
        <f t="shared" si="0"/>
        <v>16</v>
      </c>
      <c r="AY52">
        <f t="shared" si="1"/>
        <v>9</v>
      </c>
      <c r="AZ52">
        <f t="shared" si="2"/>
        <v>3</v>
      </c>
      <c r="BA52">
        <f t="shared" si="3"/>
        <v>6</v>
      </c>
      <c r="BB52">
        <f>SUM(ifood_data[[#This Row],[Recency Score]:[Monetary Score]])</f>
        <v>18</v>
      </c>
      <c r="BC52">
        <f>(_xlfn.PERCENTRANK.INC(ifood_data[[#All],[RFM]],ifood_data[[#This Row],[RFM]],1))*10</f>
        <v>6</v>
      </c>
      <c r="BD52" t="str">
        <f>VLOOKUP(ifood_data[[#This Row],[RFM Score]],'RFM Analysis'!$A$3:$B$14,2,FALSE)</f>
        <v>Promising</v>
      </c>
      <c r="BE52">
        <f>'Regression Models'!$B$101+'Regression Models'!$B$102*ifood_data[[#This Row],[Income]]+'Regression Models'!$B$103*ifood_data[[#This Row],[Age]]+'Regression Models'!$B$104*ifood_data[[#This Row],[Family]]</f>
        <v>1517.7813123512237</v>
      </c>
      <c r="BF52" t="str">
        <f>IF(ifood_data[[#This Row],[AcceptedCmpOverall]]=1,"Campaign Respondent","Non-respondent")</f>
        <v>Non-respondent</v>
      </c>
    </row>
    <row r="53" spans="1:58" x14ac:dyDescent="0.35">
      <c r="A53">
        <v>487</v>
      </c>
      <c r="B53">
        <v>89120</v>
      </c>
      <c r="C53">
        <v>0</v>
      </c>
      <c r="D53">
        <v>0</v>
      </c>
      <c r="E53">
        <v>78</v>
      </c>
      <c r="F53">
        <v>1168</v>
      </c>
      <c r="G53">
        <v>92</v>
      </c>
      <c r="H53">
        <v>408</v>
      </c>
      <c r="I53">
        <v>72</v>
      </c>
      <c r="J53">
        <v>129</v>
      </c>
      <c r="K53">
        <v>55</v>
      </c>
      <c r="L53">
        <v>1</v>
      </c>
      <c r="M53">
        <v>5</v>
      </c>
      <c r="N53">
        <v>6</v>
      </c>
      <c r="O53">
        <v>7</v>
      </c>
      <c r="P53">
        <v>1</v>
      </c>
      <c r="Q53">
        <v>0</v>
      </c>
      <c r="R53">
        <v>0</v>
      </c>
      <c r="S53">
        <v>0</v>
      </c>
      <c r="T53">
        <v>0</v>
      </c>
      <c r="U53">
        <v>1</v>
      </c>
      <c r="V53">
        <f>IF(SUM(ifood_data[[#This Row],[AcceptedCmp1]:[AcceptedCmp5]])&gt;0,1,0)</f>
        <v>1</v>
      </c>
      <c r="W53">
        <v>0</v>
      </c>
      <c r="X53">
        <v>3</v>
      </c>
      <c r="Y53">
        <v>11</v>
      </c>
      <c r="Z53">
        <v>0</v>
      </c>
      <c r="AA53">
        <v>61</v>
      </c>
      <c r="AB53">
        <v>2263</v>
      </c>
      <c r="AC53" s="28">
        <f>ifood_data[[#This Row],[Customer_Days]]/365</f>
        <v>6.2</v>
      </c>
      <c r="AD53">
        <v>0</v>
      </c>
      <c r="AE53">
        <v>0</v>
      </c>
      <c r="AF53">
        <v>0</v>
      </c>
      <c r="AG53">
        <v>1</v>
      </c>
      <c r="AH53">
        <v>0</v>
      </c>
      <c r="AI53">
        <v>0</v>
      </c>
      <c r="AJ53">
        <v>0</v>
      </c>
      <c r="AK53">
        <v>0</v>
      </c>
      <c r="AL53">
        <v>1</v>
      </c>
      <c r="AM53">
        <v>0</v>
      </c>
      <c r="AN53">
        <v>1869</v>
      </c>
      <c r="AO53">
        <v>1814</v>
      </c>
      <c r="AP53">
        <f>ifood_data[[#This Row],[MntTotal]]-ifood_data[[#This Row],[MntRegularProds]]</f>
        <v>55</v>
      </c>
      <c r="AQ53">
        <v>1</v>
      </c>
      <c r="AR53">
        <f>IF(SUM(ifood_data[[#This Row],[Kidhome]:[Teenhome]])&gt;0,1,0)</f>
        <v>0</v>
      </c>
      <c r="AS53" t="str">
        <f>IF(SUM(ifood_data[[#This Row],[Kidhome]:[Teenhome]])&gt;0,"Has Family","No Family")</f>
        <v>No Family</v>
      </c>
      <c r="AT53" t="str">
        <f>IF(ifood_data[[#This Row],[marital_Married]]=1,"Married", (IF(ifood_data[[#This Row],[marital_Single]]=1,"Single",(IF(ifood_data[[#This Row],[marital_Divorced]]=1,"Divorced",(IF(ifood_data[[#This Row],[marital_Together]]=1,"Living Together",(IF(ifood_data[[#This Row],[marital_Widow]]=1,"Widow","Other")))))))))</f>
        <v>Living Together</v>
      </c>
      <c r="AU53" t="str">
        <f>IF(ifood_data[[#This Row],[education_Basic]]=1,"High School",(IF(ifood_data[[#This Row],[education_Graduation]]=1,"Undergraduate Degree",(IF(SUM(AM53,AL53,AI53)&gt;0,"Master's Degree or Higher","Other")))))</f>
        <v>Master's Degree or Higher</v>
      </c>
      <c r="AV53" t="str">
        <f>IF(ifood_data[[#All],[Income]]&gt;75000,"75K+",(IF(ifood_data[[#All],[Income]]&gt;50000,"50K-75K",(IF(ifood_data[[#All],[Income]]&gt;35000,"35K-50K","&lt;35K")))))</f>
        <v>75K+</v>
      </c>
      <c r="AW53" t="str">
        <f>IF(ifood_data[[#All],[Age]]&gt;60,"60+",(IF(ifood_data[[#All],[Age]]&gt;50,"50-60",(IF(ifood_data[[#All],[Age]]&gt;40,"40-50",(IF(ifood_data[[#All],[Age]]&gt;30,"30-40","&lt;30")))))))</f>
        <v>60+</v>
      </c>
      <c r="AX53">
        <f t="shared" si="0"/>
        <v>20</v>
      </c>
      <c r="AY53">
        <f t="shared" si="1"/>
        <v>3.0000000000000004</v>
      </c>
      <c r="AZ53">
        <f t="shared" si="2"/>
        <v>4</v>
      </c>
      <c r="BA53">
        <f t="shared" si="3"/>
        <v>9</v>
      </c>
      <c r="BB53">
        <f>SUM(ifood_data[[#This Row],[Recency Score]:[Monetary Score]])</f>
        <v>16</v>
      </c>
      <c r="BC53">
        <f>(_xlfn.PERCENTRANK.INC(ifood_data[[#All],[RFM]],ifood_data[[#This Row],[RFM]],1))*10</f>
        <v>5</v>
      </c>
      <c r="BD53" t="str">
        <f>VLOOKUP(ifood_data[[#This Row],[RFM Score]],'RFM Analysis'!$A$3:$B$14,2,FALSE)</f>
        <v>Promising</v>
      </c>
      <c r="BE53">
        <f>'Regression Models'!$B$101+'Regression Models'!$B$102*ifood_data[[#This Row],[Income]]+'Regression Models'!$B$103*ifood_data[[#This Row],[Age]]+'Regression Models'!$B$104*ifood_data[[#This Row],[Family]]</f>
        <v>1517.2089768972512</v>
      </c>
      <c r="BF53" t="str">
        <f>IF(ifood_data[[#This Row],[AcceptedCmpOverall]]=1,"Campaign Respondent","Non-respondent")</f>
        <v>Campaign Respondent</v>
      </c>
    </row>
    <row r="54" spans="1:58" x14ac:dyDescent="0.35">
      <c r="A54">
        <v>104</v>
      </c>
      <c r="B54">
        <v>86037</v>
      </c>
      <c r="C54">
        <v>0</v>
      </c>
      <c r="D54">
        <v>0</v>
      </c>
      <c r="E54">
        <v>95</v>
      </c>
      <c r="F54">
        <v>490</v>
      </c>
      <c r="G54">
        <v>44</v>
      </c>
      <c r="H54">
        <v>125</v>
      </c>
      <c r="I54">
        <v>29</v>
      </c>
      <c r="J54">
        <v>20</v>
      </c>
      <c r="K54">
        <v>22</v>
      </c>
      <c r="L54">
        <v>1</v>
      </c>
      <c r="M54">
        <v>6</v>
      </c>
      <c r="N54">
        <v>7</v>
      </c>
      <c r="O54">
        <v>11</v>
      </c>
      <c r="P54">
        <v>3</v>
      </c>
      <c r="Q54">
        <v>0</v>
      </c>
      <c r="R54">
        <v>0</v>
      </c>
      <c r="S54">
        <v>0</v>
      </c>
      <c r="T54">
        <v>1</v>
      </c>
      <c r="U54">
        <v>1</v>
      </c>
      <c r="V54">
        <f>IF(SUM(ifood_data[[#This Row],[AcceptedCmp1]:[AcceptedCmp5]])&gt;0,1,0)</f>
        <v>1</v>
      </c>
      <c r="W54">
        <v>0</v>
      </c>
      <c r="X54">
        <v>3</v>
      </c>
      <c r="Y54">
        <v>11</v>
      </c>
      <c r="Z54">
        <v>1</v>
      </c>
      <c r="AA54">
        <v>29</v>
      </c>
      <c r="AB54">
        <v>2702</v>
      </c>
      <c r="AC54" s="28">
        <f>ifood_data[[#This Row],[Customer_Days]]/365</f>
        <v>7.4027397260273968</v>
      </c>
      <c r="AD54">
        <v>0</v>
      </c>
      <c r="AE54">
        <v>0</v>
      </c>
      <c r="AF54">
        <v>1</v>
      </c>
      <c r="AG54">
        <v>0</v>
      </c>
      <c r="AH54">
        <v>0</v>
      </c>
      <c r="AI54">
        <v>0</v>
      </c>
      <c r="AJ54">
        <v>0</v>
      </c>
      <c r="AK54">
        <v>1</v>
      </c>
      <c r="AL54">
        <v>0</v>
      </c>
      <c r="AM54">
        <v>0</v>
      </c>
      <c r="AN54">
        <v>708</v>
      </c>
      <c r="AO54">
        <v>686</v>
      </c>
      <c r="AP54">
        <f>ifood_data[[#This Row],[MntTotal]]-ifood_data[[#This Row],[MntRegularProds]]</f>
        <v>22</v>
      </c>
      <c r="AQ54">
        <v>2</v>
      </c>
      <c r="AR54">
        <f>IF(SUM(ifood_data[[#This Row],[Kidhome]:[Teenhome]])&gt;0,1,0)</f>
        <v>0</v>
      </c>
      <c r="AS54" t="str">
        <f>IF(SUM(ifood_data[[#This Row],[Kidhome]:[Teenhome]])&gt;0,"Has Family","No Family")</f>
        <v>No Family</v>
      </c>
      <c r="AT54" t="str">
        <f>IF(ifood_data[[#This Row],[marital_Married]]=1,"Married", (IF(ifood_data[[#This Row],[marital_Single]]=1,"Single",(IF(ifood_data[[#This Row],[marital_Divorced]]=1,"Divorced",(IF(ifood_data[[#This Row],[marital_Together]]=1,"Living Together",(IF(ifood_data[[#This Row],[marital_Widow]]=1,"Widow","Other")))))))))</f>
        <v>Single</v>
      </c>
      <c r="AU54" t="str">
        <f>IF(ifood_data[[#This Row],[education_Basic]]=1,"High School",(IF(ifood_data[[#This Row],[education_Graduation]]=1,"Undergraduate Degree",(IF(SUM(AM54,AL54,AI54)&gt;0,"Master's Degree or Higher","Other")))))</f>
        <v>Undergraduate Degree</v>
      </c>
      <c r="AV54" t="str">
        <f>IF(ifood_data[[#All],[Income]]&gt;75000,"75K+",(IF(ifood_data[[#All],[Income]]&gt;50000,"50K-75K",(IF(ifood_data[[#All],[Income]]&gt;35000,"35K-50K","&lt;35K")))))</f>
        <v>75K+</v>
      </c>
      <c r="AW54" t="str">
        <f>IF(ifood_data[[#All],[Age]]&gt;60,"60+",(IF(ifood_data[[#All],[Age]]&gt;50,"50-60",(IF(ifood_data[[#All],[Age]]&gt;40,"40-50",(IF(ifood_data[[#All],[Age]]&gt;30,"30-40","&lt;30")))))))</f>
        <v>&lt;30</v>
      </c>
      <c r="AX54">
        <f t="shared" si="0"/>
        <v>28</v>
      </c>
      <c r="AY54">
        <f t="shared" si="1"/>
        <v>0.99999999999999978</v>
      </c>
      <c r="AZ54">
        <f t="shared" si="2"/>
        <v>8</v>
      </c>
      <c r="BA54">
        <f t="shared" si="3"/>
        <v>6</v>
      </c>
      <c r="BB54">
        <f>SUM(ifood_data[[#This Row],[Recency Score]:[Monetary Score]])</f>
        <v>15</v>
      </c>
      <c r="BC54">
        <f>(_xlfn.PERCENTRANK.INC(ifood_data[[#All],[RFM]],ifood_data[[#This Row],[RFM]],1))*10</f>
        <v>4</v>
      </c>
      <c r="BD54" t="str">
        <f>VLOOKUP(ifood_data[[#This Row],[RFM Score]],'RFM Analysis'!$A$3:$B$14,2,FALSE)</f>
        <v>At Risk</v>
      </c>
      <c r="BE54">
        <f>'Regression Models'!$B$101+'Regression Models'!$B$102*ifood_data[[#This Row],[Income]]+'Regression Models'!$B$103*ifood_data[[#This Row],[Age]]+'Regression Models'!$B$104*ifood_data[[#This Row],[Family]]</f>
        <v>1513.1164552342279</v>
      </c>
      <c r="BF54" t="str">
        <f>IF(ifood_data[[#This Row],[AcceptedCmpOverall]]=1,"Campaign Respondent","Non-respondent")</f>
        <v>Campaign Respondent</v>
      </c>
    </row>
    <row r="55" spans="1:58" x14ac:dyDescent="0.35">
      <c r="A55">
        <v>1561</v>
      </c>
      <c r="B55">
        <v>86580</v>
      </c>
      <c r="C55">
        <v>0</v>
      </c>
      <c r="D55">
        <v>0</v>
      </c>
      <c r="E55">
        <v>72</v>
      </c>
      <c r="F55">
        <v>532</v>
      </c>
      <c r="G55">
        <v>21</v>
      </c>
      <c r="H55">
        <v>127</v>
      </c>
      <c r="I55">
        <v>26</v>
      </c>
      <c r="J55">
        <v>20</v>
      </c>
      <c r="K55">
        <v>20</v>
      </c>
      <c r="L55">
        <v>0</v>
      </c>
      <c r="M55">
        <v>4</v>
      </c>
      <c r="N55">
        <v>2</v>
      </c>
      <c r="O55">
        <v>5</v>
      </c>
      <c r="P55">
        <v>1</v>
      </c>
      <c r="Q55">
        <v>0</v>
      </c>
      <c r="R55">
        <v>0</v>
      </c>
      <c r="S55">
        <v>0</v>
      </c>
      <c r="T55">
        <v>0</v>
      </c>
      <c r="U55">
        <v>1</v>
      </c>
      <c r="V55">
        <f>IF(SUM(ifood_data[[#This Row],[AcceptedCmp1]:[AcceptedCmp5]])&gt;0,1,0)</f>
        <v>1</v>
      </c>
      <c r="W55">
        <v>0</v>
      </c>
      <c r="X55">
        <v>3</v>
      </c>
      <c r="Y55">
        <v>11</v>
      </c>
      <c r="Z55">
        <v>0</v>
      </c>
      <c r="AA55">
        <v>37</v>
      </c>
      <c r="AB55">
        <v>2646</v>
      </c>
      <c r="AC55" s="28">
        <f>ifood_data[[#This Row],[Customer_Days]]/365</f>
        <v>7.2493150684931509</v>
      </c>
      <c r="AD55">
        <v>0</v>
      </c>
      <c r="AE55">
        <v>1</v>
      </c>
      <c r="AF55">
        <v>0</v>
      </c>
      <c r="AG55">
        <v>0</v>
      </c>
      <c r="AH55">
        <v>0</v>
      </c>
      <c r="AI55">
        <v>0</v>
      </c>
      <c r="AJ55">
        <v>0</v>
      </c>
      <c r="AK55">
        <v>0</v>
      </c>
      <c r="AL55">
        <v>0</v>
      </c>
      <c r="AM55">
        <v>1</v>
      </c>
      <c r="AN55">
        <v>726</v>
      </c>
      <c r="AO55">
        <v>706</v>
      </c>
      <c r="AP55">
        <f>ifood_data[[#This Row],[MntTotal]]-ifood_data[[#This Row],[MntRegularProds]]</f>
        <v>20</v>
      </c>
      <c r="AQ55">
        <v>1</v>
      </c>
      <c r="AR55">
        <f>IF(SUM(ifood_data[[#This Row],[Kidhome]:[Teenhome]])&gt;0,1,0)</f>
        <v>0</v>
      </c>
      <c r="AS55" t="str">
        <f>IF(SUM(ifood_data[[#This Row],[Kidhome]:[Teenhome]])&gt;0,"Has Family","No Family")</f>
        <v>No Family</v>
      </c>
      <c r="AT55" t="str">
        <f>IF(ifood_data[[#This Row],[marital_Married]]=1,"Married", (IF(ifood_data[[#This Row],[marital_Single]]=1,"Single",(IF(ifood_data[[#This Row],[marital_Divorced]]=1,"Divorced",(IF(ifood_data[[#This Row],[marital_Together]]=1,"Living Together",(IF(ifood_data[[#This Row],[marital_Widow]]=1,"Widow","Other")))))))))</f>
        <v>Married</v>
      </c>
      <c r="AU55" t="str">
        <f>IF(ifood_data[[#This Row],[education_Basic]]=1,"High School",(IF(ifood_data[[#This Row],[education_Graduation]]=1,"Undergraduate Degree",(IF(SUM(AM55,AL55,AI55)&gt;0,"Master's Degree or Higher","Other")))))</f>
        <v>Master's Degree or Higher</v>
      </c>
      <c r="AV55" t="str">
        <f>IF(ifood_data[[#All],[Income]]&gt;75000,"75K+",(IF(ifood_data[[#All],[Income]]&gt;50000,"50K-75K",(IF(ifood_data[[#All],[Income]]&gt;35000,"35K-50K","&lt;35K")))))</f>
        <v>75K+</v>
      </c>
      <c r="AW55" t="str">
        <f>IF(ifood_data[[#All],[Age]]&gt;60,"60+",(IF(ifood_data[[#All],[Age]]&gt;50,"50-60",(IF(ifood_data[[#All],[Age]]&gt;40,"40-50",(IF(ifood_data[[#All],[Age]]&gt;30,"30-40","&lt;30")))))))</f>
        <v>30-40</v>
      </c>
      <c r="AX55">
        <f t="shared" si="0"/>
        <v>12</v>
      </c>
      <c r="AY55">
        <f t="shared" si="1"/>
        <v>3.0000000000000004</v>
      </c>
      <c r="AZ55">
        <f t="shared" si="2"/>
        <v>1</v>
      </c>
      <c r="BA55">
        <f t="shared" si="3"/>
        <v>6</v>
      </c>
      <c r="BB55">
        <f>SUM(ifood_data[[#This Row],[Recency Score]:[Monetary Score]])</f>
        <v>10</v>
      </c>
      <c r="BC55">
        <f>(_xlfn.PERCENTRANK.INC(ifood_data[[#All],[RFM]],ifood_data[[#This Row],[RFM]],1))*10</f>
        <v>2</v>
      </c>
      <c r="BD55" t="str">
        <f>VLOOKUP(ifood_data[[#This Row],[RFM Score]],'RFM Analysis'!$A$3:$B$14,2,FALSE)</f>
        <v>At Risk</v>
      </c>
      <c r="BE55">
        <f>'Regression Models'!$B$101+'Regression Models'!$B$102*ifood_data[[#This Row],[Income]]+'Regression Models'!$B$103*ifood_data[[#This Row],[Age]]+'Regression Models'!$B$104*ifood_data[[#This Row],[Family]]</f>
        <v>1509.4960437052109</v>
      </c>
      <c r="BF55" t="str">
        <f>IF(ifood_data[[#This Row],[AcceptedCmpOverall]]=1,"Campaign Respondent","Non-respondent")</f>
        <v>Campaign Respondent</v>
      </c>
    </row>
    <row r="56" spans="1:58" x14ac:dyDescent="0.35">
      <c r="A56">
        <v>1016</v>
      </c>
      <c r="B56">
        <v>88347</v>
      </c>
      <c r="C56">
        <v>0</v>
      </c>
      <c r="D56">
        <v>0</v>
      </c>
      <c r="E56">
        <v>32</v>
      </c>
      <c r="F56">
        <v>1050</v>
      </c>
      <c r="G56">
        <v>178</v>
      </c>
      <c r="H56">
        <v>555</v>
      </c>
      <c r="I56">
        <v>77</v>
      </c>
      <c r="J56">
        <v>138</v>
      </c>
      <c r="K56">
        <v>118</v>
      </c>
      <c r="L56">
        <v>1</v>
      </c>
      <c r="M56">
        <v>4</v>
      </c>
      <c r="N56">
        <v>7</v>
      </c>
      <c r="O56">
        <v>9</v>
      </c>
      <c r="P56">
        <v>1</v>
      </c>
      <c r="Q56">
        <v>1</v>
      </c>
      <c r="R56">
        <v>0</v>
      </c>
      <c r="S56">
        <v>0</v>
      </c>
      <c r="T56">
        <v>0</v>
      </c>
      <c r="U56">
        <v>0</v>
      </c>
      <c r="V56">
        <f>IF(SUM(ifood_data[[#This Row],[AcceptedCmp1]:[AcceptedCmp5]])&gt;0,1,0)</f>
        <v>1</v>
      </c>
      <c r="W56">
        <v>0</v>
      </c>
      <c r="X56">
        <v>3</v>
      </c>
      <c r="Y56">
        <v>11</v>
      </c>
      <c r="Z56">
        <v>0</v>
      </c>
      <c r="AA56">
        <v>59</v>
      </c>
      <c r="AB56">
        <v>2520</v>
      </c>
      <c r="AC56" s="28">
        <f>ifood_data[[#This Row],[Customer_Days]]/365</f>
        <v>6.904109589041096</v>
      </c>
      <c r="AD56">
        <v>0</v>
      </c>
      <c r="AE56">
        <v>0</v>
      </c>
      <c r="AF56">
        <v>0</v>
      </c>
      <c r="AG56">
        <v>1</v>
      </c>
      <c r="AH56">
        <v>0</v>
      </c>
      <c r="AI56">
        <v>0</v>
      </c>
      <c r="AJ56">
        <v>0</v>
      </c>
      <c r="AK56">
        <v>1</v>
      </c>
      <c r="AL56">
        <v>0</v>
      </c>
      <c r="AM56">
        <v>0</v>
      </c>
      <c r="AN56">
        <v>1998</v>
      </c>
      <c r="AO56">
        <v>1880</v>
      </c>
      <c r="AP56">
        <f>ifood_data[[#This Row],[MntTotal]]-ifood_data[[#This Row],[MntRegularProds]]</f>
        <v>118</v>
      </c>
      <c r="AQ56">
        <v>1</v>
      </c>
      <c r="AR56">
        <f>IF(SUM(ifood_data[[#This Row],[Kidhome]:[Teenhome]])&gt;0,1,0)</f>
        <v>0</v>
      </c>
      <c r="AS56" t="str">
        <f>IF(SUM(ifood_data[[#This Row],[Kidhome]:[Teenhome]])&gt;0,"Has Family","No Family")</f>
        <v>No Family</v>
      </c>
      <c r="AT56" t="str">
        <f>IF(ifood_data[[#This Row],[marital_Married]]=1,"Married", (IF(ifood_data[[#This Row],[marital_Single]]=1,"Single",(IF(ifood_data[[#This Row],[marital_Divorced]]=1,"Divorced",(IF(ifood_data[[#This Row],[marital_Together]]=1,"Living Together",(IF(ifood_data[[#This Row],[marital_Widow]]=1,"Widow","Other")))))))))</f>
        <v>Living Together</v>
      </c>
      <c r="AU56" t="str">
        <f>IF(ifood_data[[#This Row],[education_Basic]]=1,"High School",(IF(ifood_data[[#This Row],[education_Graduation]]=1,"Undergraduate Degree",(IF(SUM(AM56,AL56,AI56)&gt;0,"Master's Degree or Higher","Other")))))</f>
        <v>Undergraduate Degree</v>
      </c>
      <c r="AV56" t="str">
        <f>IF(ifood_data[[#All],[Income]]&gt;75000,"75K+",(IF(ifood_data[[#All],[Income]]&gt;50000,"50K-75K",(IF(ifood_data[[#All],[Income]]&gt;35000,"35K-50K","&lt;35K")))))</f>
        <v>75K+</v>
      </c>
      <c r="AW56" t="str">
        <f>IF(ifood_data[[#All],[Age]]&gt;60,"60+",(IF(ifood_data[[#All],[Age]]&gt;50,"50-60",(IF(ifood_data[[#All],[Age]]&gt;40,"40-50",(IF(ifood_data[[#All],[Age]]&gt;30,"30-40","&lt;30")))))))</f>
        <v>50-60</v>
      </c>
      <c r="AX56">
        <f t="shared" si="0"/>
        <v>22</v>
      </c>
      <c r="AY56">
        <f t="shared" si="1"/>
        <v>7</v>
      </c>
      <c r="AZ56">
        <f t="shared" si="2"/>
        <v>5</v>
      </c>
      <c r="BA56">
        <f t="shared" si="3"/>
        <v>9</v>
      </c>
      <c r="BB56">
        <f>SUM(ifood_data[[#This Row],[Recency Score]:[Monetary Score]])</f>
        <v>21</v>
      </c>
      <c r="BC56">
        <f>(_xlfn.PERCENTRANK.INC(ifood_data[[#All],[RFM]],ifood_data[[#This Row],[RFM]],1))*10</f>
        <v>8</v>
      </c>
      <c r="BD56" t="str">
        <f>VLOOKUP(ifood_data[[#This Row],[RFM Score]],'RFM Analysis'!$A$3:$B$14,2,FALSE)</f>
        <v>Loyal Customer</v>
      </c>
      <c r="BE56">
        <f>'Regression Models'!$B$101+'Regression Models'!$B$102*ifood_data[[#This Row],[Income]]+'Regression Models'!$B$103*ifood_data[[#This Row],[Age]]+'Regression Models'!$B$104*ifood_data[[#This Row],[Family]]</f>
        <v>1505.1213372798061</v>
      </c>
      <c r="BF56" t="str">
        <f>IF(ifood_data[[#This Row],[AcceptedCmpOverall]]=1,"Campaign Respondent","Non-respondent")</f>
        <v>Campaign Respondent</v>
      </c>
    </row>
    <row r="57" spans="1:58" x14ac:dyDescent="0.35">
      <c r="A57">
        <v>813</v>
      </c>
      <c r="B57">
        <v>85710</v>
      </c>
      <c r="C57">
        <v>0</v>
      </c>
      <c r="D57">
        <v>0</v>
      </c>
      <c r="E57">
        <v>5</v>
      </c>
      <c r="F57">
        <v>600</v>
      </c>
      <c r="G57">
        <v>20</v>
      </c>
      <c r="H57">
        <v>350</v>
      </c>
      <c r="I57">
        <v>29</v>
      </c>
      <c r="J57">
        <v>30</v>
      </c>
      <c r="K57">
        <v>33</v>
      </c>
      <c r="L57">
        <v>1</v>
      </c>
      <c r="M57">
        <v>6</v>
      </c>
      <c r="N57">
        <v>9</v>
      </c>
      <c r="O57">
        <v>10</v>
      </c>
      <c r="P57">
        <v>2</v>
      </c>
      <c r="Q57">
        <v>0</v>
      </c>
      <c r="R57">
        <v>0</v>
      </c>
      <c r="S57">
        <v>0</v>
      </c>
      <c r="T57">
        <v>0</v>
      </c>
      <c r="U57">
        <v>1</v>
      </c>
      <c r="V57">
        <f>IF(SUM(ifood_data[[#This Row],[AcceptedCmp1]:[AcceptedCmp5]])&gt;0,1,0)</f>
        <v>1</v>
      </c>
      <c r="W57">
        <v>0</v>
      </c>
      <c r="X57">
        <v>3</v>
      </c>
      <c r="Y57">
        <v>11</v>
      </c>
      <c r="Z57">
        <v>0</v>
      </c>
      <c r="AA57">
        <v>31</v>
      </c>
      <c r="AB57">
        <v>2579</v>
      </c>
      <c r="AC57" s="28">
        <f>ifood_data[[#This Row],[Customer_Days]]/365</f>
        <v>7.065753424657534</v>
      </c>
      <c r="AD57">
        <v>0</v>
      </c>
      <c r="AE57">
        <v>1</v>
      </c>
      <c r="AF57">
        <v>0</v>
      </c>
      <c r="AG57">
        <v>0</v>
      </c>
      <c r="AH57">
        <v>0</v>
      </c>
      <c r="AI57">
        <v>1</v>
      </c>
      <c r="AJ57">
        <v>0</v>
      </c>
      <c r="AK57">
        <v>0</v>
      </c>
      <c r="AL57">
        <v>0</v>
      </c>
      <c r="AM57">
        <v>0</v>
      </c>
      <c r="AN57">
        <v>1029</v>
      </c>
      <c r="AO57">
        <v>996</v>
      </c>
      <c r="AP57">
        <f>ifood_data[[#This Row],[MntTotal]]-ifood_data[[#This Row],[MntRegularProds]]</f>
        <v>33</v>
      </c>
      <c r="AQ57">
        <v>1</v>
      </c>
      <c r="AR57">
        <f>IF(SUM(ifood_data[[#This Row],[Kidhome]:[Teenhome]])&gt;0,1,0)</f>
        <v>0</v>
      </c>
      <c r="AS57" t="str">
        <f>IF(SUM(ifood_data[[#This Row],[Kidhome]:[Teenhome]])&gt;0,"Has Family","No Family")</f>
        <v>No Family</v>
      </c>
      <c r="AT57" t="str">
        <f>IF(ifood_data[[#This Row],[marital_Married]]=1,"Married", (IF(ifood_data[[#This Row],[marital_Single]]=1,"Single",(IF(ifood_data[[#This Row],[marital_Divorced]]=1,"Divorced",(IF(ifood_data[[#This Row],[marital_Together]]=1,"Living Together",(IF(ifood_data[[#This Row],[marital_Widow]]=1,"Widow","Other")))))))))</f>
        <v>Married</v>
      </c>
      <c r="AU57" t="str">
        <f>IF(ifood_data[[#This Row],[education_Basic]]=1,"High School",(IF(ifood_data[[#This Row],[education_Graduation]]=1,"Undergraduate Degree",(IF(SUM(AM57,AL57,AI57)&gt;0,"Master's Degree or Higher","Other")))))</f>
        <v>Master's Degree or Higher</v>
      </c>
      <c r="AV57" t="str">
        <f>IF(ifood_data[[#All],[Income]]&gt;75000,"75K+",(IF(ifood_data[[#All],[Income]]&gt;50000,"50K-75K",(IF(ifood_data[[#All],[Income]]&gt;35000,"35K-50K","&lt;35K")))))</f>
        <v>75K+</v>
      </c>
      <c r="AW57" t="str">
        <f>IF(ifood_data[[#All],[Age]]&gt;60,"60+",(IF(ifood_data[[#All],[Age]]&gt;50,"50-60",(IF(ifood_data[[#All],[Age]]&gt;40,"40-50",(IF(ifood_data[[#All],[Age]]&gt;30,"30-40","&lt;30")))))))</f>
        <v>30-40</v>
      </c>
      <c r="AX57">
        <f t="shared" si="0"/>
        <v>28</v>
      </c>
      <c r="AY57">
        <f t="shared" si="1"/>
        <v>10</v>
      </c>
      <c r="AZ57">
        <f t="shared" si="2"/>
        <v>8</v>
      </c>
      <c r="BA57">
        <f t="shared" si="3"/>
        <v>7</v>
      </c>
      <c r="BB57">
        <f>SUM(ifood_data[[#This Row],[Recency Score]:[Monetary Score]])</f>
        <v>25</v>
      </c>
      <c r="BC57">
        <f>(_xlfn.PERCENTRANK.INC(ifood_data[[#All],[RFM]],ifood_data[[#This Row],[RFM]],1))*10</f>
        <v>9</v>
      </c>
      <c r="BD57" t="str">
        <f>VLOOKUP(ifood_data[[#This Row],[RFM Score]],'RFM Analysis'!$A$3:$B$14,2,FALSE)</f>
        <v>Top Customer</v>
      </c>
      <c r="BE57">
        <f>'Regression Models'!$B$101+'Regression Models'!$B$102*ifood_data[[#This Row],[Income]]+'Regression Models'!$B$103*ifood_data[[#This Row],[Age]]+'Regression Models'!$B$104*ifood_data[[#This Row],[Family]]</f>
        <v>1502.7764498933843</v>
      </c>
      <c r="BF57" t="str">
        <f>IF(ifood_data[[#This Row],[AcceptedCmpOverall]]=1,"Campaign Respondent","Non-respondent")</f>
        <v>Campaign Respondent</v>
      </c>
    </row>
    <row r="58" spans="1:58" x14ac:dyDescent="0.35">
      <c r="A58">
        <v>1686</v>
      </c>
      <c r="B58">
        <v>86836</v>
      </c>
      <c r="C58">
        <v>0</v>
      </c>
      <c r="D58">
        <v>0</v>
      </c>
      <c r="E58">
        <v>7</v>
      </c>
      <c r="F58">
        <v>179</v>
      </c>
      <c r="G58">
        <v>21</v>
      </c>
      <c r="H58">
        <v>273</v>
      </c>
      <c r="I58">
        <v>0</v>
      </c>
      <c r="J58">
        <v>21</v>
      </c>
      <c r="K58">
        <v>63</v>
      </c>
      <c r="L58">
        <v>1</v>
      </c>
      <c r="M58">
        <v>6</v>
      </c>
      <c r="N58">
        <v>10</v>
      </c>
      <c r="O58">
        <v>6</v>
      </c>
      <c r="P58">
        <v>5</v>
      </c>
      <c r="Q58">
        <v>1</v>
      </c>
      <c r="R58">
        <v>0</v>
      </c>
      <c r="S58">
        <v>1</v>
      </c>
      <c r="T58">
        <v>0</v>
      </c>
      <c r="U58">
        <v>1</v>
      </c>
      <c r="V58">
        <f>IF(SUM(ifood_data[[#This Row],[AcceptedCmp1]:[AcceptedCmp5]])&gt;0,1,0)</f>
        <v>1</v>
      </c>
      <c r="W58">
        <v>0</v>
      </c>
      <c r="X58">
        <v>3</v>
      </c>
      <c r="Y58">
        <v>11</v>
      </c>
      <c r="Z58">
        <v>1</v>
      </c>
      <c r="AA58">
        <v>45</v>
      </c>
      <c r="AB58">
        <v>2814</v>
      </c>
      <c r="AC58" s="28">
        <f>ifood_data[[#This Row],[Customer_Days]]/365</f>
        <v>7.7095890410958905</v>
      </c>
      <c r="AD58">
        <v>0</v>
      </c>
      <c r="AE58">
        <v>1</v>
      </c>
      <c r="AF58">
        <v>0</v>
      </c>
      <c r="AG58">
        <v>0</v>
      </c>
      <c r="AH58">
        <v>0</v>
      </c>
      <c r="AI58">
        <v>0</v>
      </c>
      <c r="AJ58">
        <v>0</v>
      </c>
      <c r="AK58">
        <v>0</v>
      </c>
      <c r="AL58">
        <v>0</v>
      </c>
      <c r="AM58">
        <v>1</v>
      </c>
      <c r="AN58">
        <v>494</v>
      </c>
      <c r="AO58">
        <v>431</v>
      </c>
      <c r="AP58">
        <f>ifood_data[[#This Row],[MntTotal]]-ifood_data[[#This Row],[MntRegularProds]]</f>
        <v>63</v>
      </c>
      <c r="AQ58">
        <v>3</v>
      </c>
      <c r="AR58">
        <f>IF(SUM(ifood_data[[#This Row],[Kidhome]:[Teenhome]])&gt;0,1,0)</f>
        <v>0</v>
      </c>
      <c r="AS58" t="str">
        <f>IF(SUM(ifood_data[[#This Row],[Kidhome]:[Teenhome]])&gt;0,"Has Family","No Family")</f>
        <v>No Family</v>
      </c>
      <c r="AT58" t="str">
        <f>IF(ifood_data[[#This Row],[marital_Married]]=1,"Married", (IF(ifood_data[[#This Row],[marital_Single]]=1,"Single",(IF(ifood_data[[#This Row],[marital_Divorced]]=1,"Divorced",(IF(ifood_data[[#This Row],[marital_Together]]=1,"Living Together",(IF(ifood_data[[#This Row],[marital_Widow]]=1,"Widow","Other")))))))))</f>
        <v>Married</v>
      </c>
      <c r="AU58" t="str">
        <f>IF(ifood_data[[#This Row],[education_Basic]]=1,"High School",(IF(ifood_data[[#This Row],[education_Graduation]]=1,"Undergraduate Degree",(IF(SUM(AM58,AL58,AI58)&gt;0,"Master's Degree or Higher","Other")))))</f>
        <v>Master's Degree or Higher</v>
      </c>
      <c r="AV58" t="str">
        <f>IF(ifood_data[[#All],[Income]]&gt;75000,"75K+",(IF(ifood_data[[#All],[Income]]&gt;50000,"50K-75K",(IF(ifood_data[[#All],[Income]]&gt;35000,"35K-50K","&lt;35K")))))</f>
        <v>75K+</v>
      </c>
      <c r="AW58" t="str">
        <f>IF(ifood_data[[#All],[Age]]&gt;60,"60+",(IF(ifood_data[[#All],[Age]]&gt;50,"50-60",(IF(ifood_data[[#All],[Age]]&gt;40,"40-50",(IF(ifood_data[[#All],[Age]]&gt;30,"30-40","&lt;30")))))))</f>
        <v>40-50</v>
      </c>
      <c r="AX58">
        <f t="shared" si="0"/>
        <v>28</v>
      </c>
      <c r="AY58">
        <f t="shared" si="1"/>
        <v>10</v>
      </c>
      <c r="AZ58">
        <f t="shared" si="2"/>
        <v>8</v>
      </c>
      <c r="BA58">
        <f t="shared" si="3"/>
        <v>5</v>
      </c>
      <c r="BB58">
        <f>SUM(ifood_data[[#This Row],[Recency Score]:[Monetary Score]])</f>
        <v>23</v>
      </c>
      <c r="BC58">
        <f>(_xlfn.PERCENTRANK.INC(ifood_data[[#All],[RFM]],ifood_data[[#This Row],[RFM]],1))*10</f>
        <v>8</v>
      </c>
      <c r="BD58" t="str">
        <f>VLOOKUP(ifood_data[[#This Row],[RFM Score]],'RFM Analysis'!$A$3:$B$14,2,FALSE)</f>
        <v>Loyal Customer</v>
      </c>
      <c r="BE58">
        <f>'Regression Models'!$B$101+'Regression Models'!$B$102*ifood_data[[#This Row],[Income]]+'Regression Models'!$B$103*ifood_data[[#This Row],[Age]]+'Regression Models'!$B$104*ifood_data[[#This Row],[Family]]</f>
        <v>1500.0240557188945</v>
      </c>
      <c r="BF58" t="str">
        <f>IF(ifood_data[[#This Row],[AcceptedCmpOverall]]=1,"Campaign Respondent","Non-respondent")</f>
        <v>Campaign Respondent</v>
      </c>
    </row>
    <row r="59" spans="1:58" x14ac:dyDescent="0.35">
      <c r="A59">
        <v>1726</v>
      </c>
      <c r="B59">
        <v>86979</v>
      </c>
      <c r="C59">
        <v>0</v>
      </c>
      <c r="D59">
        <v>0</v>
      </c>
      <c r="E59">
        <v>67</v>
      </c>
      <c r="F59">
        <v>584</v>
      </c>
      <c r="G59">
        <v>100</v>
      </c>
      <c r="H59">
        <v>835</v>
      </c>
      <c r="I59">
        <v>65</v>
      </c>
      <c r="J59">
        <v>83</v>
      </c>
      <c r="K59">
        <v>35</v>
      </c>
      <c r="L59">
        <v>1</v>
      </c>
      <c r="M59">
        <v>5</v>
      </c>
      <c r="N59">
        <v>5</v>
      </c>
      <c r="O59">
        <v>5</v>
      </c>
      <c r="P59">
        <v>2</v>
      </c>
      <c r="Q59">
        <v>0</v>
      </c>
      <c r="R59">
        <v>0</v>
      </c>
      <c r="S59">
        <v>1</v>
      </c>
      <c r="T59">
        <v>0</v>
      </c>
      <c r="U59">
        <v>0</v>
      </c>
      <c r="V59">
        <f>IF(SUM(ifood_data[[#This Row],[AcceptedCmp1]:[AcceptedCmp5]])&gt;0,1,0)</f>
        <v>1</v>
      </c>
      <c r="W59">
        <v>0</v>
      </c>
      <c r="X59">
        <v>3</v>
      </c>
      <c r="Y59">
        <v>11</v>
      </c>
      <c r="Z59">
        <v>1</v>
      </c>
      <c r="AA59">
        <v>49</v>
      </c>
      <c r="AB59">
        <v>2393</v>
      </c>
      <c r="AC59" s="28">
        <f>ifood_data[[#This Row],[Customer_Days]]/365</f>
        <v>6.5561643835616437</v>
      </c>
      <c r="AD59">
        <v>1</v>
      </c>
      <c r="AE59">
        <v>0</v>
      </c>
      <c r="AF59">
        <v>0</v>
      </c>
      <c r="AG59">
        <v>0</v>
      </c>
      <c r="AH59">
        <v>0</v>
      </c>
      <c r="AI59">
        <v>0</v>
      </c>
      <c r="AJ59">
        <v>0</v>
      </c>
      <c r="AK59">
        <v>0</v>
      </c>
      <c r="AL59">
        <v>0</v>
      </c>
      <c r="AM59">
        <v>1</v>
      </c>
      <c r="AN59">
        <v>1667</v>
      </c>
      <c r="AO59">
        <v>1632</v>
      </c>
      <c r="AP59">
        <f>ifood_data[[#This Row],[MntTotal]]-ifood_data[[#This Row],[MntRegularProds]]</f>
        <v>35</v>
      </c>
      <c r="AQ59">
        <v>1</v>
      </c>
      <c r="AR59">
        <f>IF(SUM(ifood_data[[#This Row],[Kidhome]:[Teenhome]])&gt;0,1,0)</f>
        <v>0</v>
      </c>
      <c r="AS59" t="str">
        <f>IF(SUM(ifood_data[[#This Row],[Kidhome]:[Teenhome]])&gt;0,"Has Family","No Family")</f>
        <v>No Family</v>
      </c>
      <c r="AT59" t="str">
        <f>IF(ifood_data[[#This Row],[marital_Married]]=1,"Married", (IF(ifood_data[[#This Row],[marital_Single]]=1,"Single",(IF(ifood_data[[#This Row],[marital_Divorced]]=1,"Divorced",(IF(ifood_data[[#This Row],[marital_Together]]=1,"Living Together",(IF(ifood_data[[#This Row],[marital_Widow]]=1,"Widow","Other")))))))))</f>
        <v>Divorced</v>
      </c>
      <c r="AU59" t="str">
        <f>IF(ifood_data[[#This Row],[education_Basic]]=1,"High School",(IF(ifood_data[[#This Row],[education_Graduation]]=1,"Undergraduate Degree",(IF(SUM(AM59,AL59,AI59)&gt;0,"Master's Degree or Higher","Other")))))</f>
        <v>Master's Degree or Higher</v>
      </c>
      <c r="AV59" t="str">
        <f>IF(ifood_data[[#All],[Income]]&gt;75000,"75K+",(IF(ifood_data[[#All],[Income]]&gt;50000,"50K-75K",(IF(ifood_data[[#All],[Income]]&gt;35000,"35K-50K","&lt;35K")))))</f>
        <v>75K+</v>
      </c>
      <c r="AW59" t="str">
        <f>IF(ifood_data[[#All],[Age]]&gt;60,"60+",(IF(ifood_data[[#All],[Age]]&gt;50,"50-60",(IF(ifood_data[[#All],[Age]]&gt;40,"40-50",(IF(ifood_data[[#All],[Age]]&gt;30,"30-40","&lt;30")))))))</f>
        <v>40-50</v>
      </c>
      <c r="AX59">
        <f t="shared" si="0"/>
        <v>18</v>
      </c>
      <c r="AY59">
        <f t="shared" si="1"/>
        <v>4</v>
      </c>
      <c r="AZ59">
        <f t="shared" si="2"/>
        <v>4</v>
      </c>
      <c r="BA59">
        <f t="shared" si="3"/>
        <v>9</v>
      </c>
      <c r="BB59">
        <f>SUM(ifood_data[[#This Row],[Recency Score]:[Monetary Score]])</f>
        <v>17</v>
      </c>
      <c r="BC59">
        <f>(_xlfn.PERCENTRANK.INC(ifood_data[[#All],[RFM]],ifood_data[[#This Row],[RFM]],1))*10</f>
        <v>6</v>
      </c>
      <c r="BD59" t="str">
        <f>VLOOKUP(ifood_data[[#This Row],[RFM Score]],'RFM Analysis'!$A$3:$B$14,2,FALSE)</f>
        <v>Promising</v>
      </c>
      <c r="BE59">
        <f>'Regression Models'!$B$101+'Regression Models'!$B$102*ifood_data[[#This Row],[Income]]+'Regression Models'!$B$103*ifood_data[[#This Row],[Age]]+'Regression Models'!$B$104*ifood_data[[#This Row],[Family]]</f>
        <v>1495.5938932478953</v>
      </c>
      <c r="BF59" t="str">
        <f>IF(ifood_data[[#This Row],[AcceptedCmpOverall]]=1,"Campaign Respondent","Non-respondent")</f>
        <v>Campaign Respondent</v>
      </c>
    </row>
    <row r="60" spans="1:58" x14ac:dyDescent="0.35">
      <c r="A60">
        <v>650</v>
      </c>
      <c r="B60">
        <v>86857</v>
      </c>
      <c r="C60">
        <v>0</v>
      </c>
      <c r="D60">
        <v>0</v>
      </c>
      <c r="E60">
        <v>96</v>
      </c>
      <c r="F60">
        <v>899</v>
      </c>
      <c r="G60">
        <v>102</v>
      </c>
      <c r="H60">
        <v>838</v>
      </c>
      <c r="I60">
        <v>133</v>
      </c>
      <c r="J60">
        <v>102</v>
      </c>
      <c r="K60">
        <v>40</v>
      </c>
      <c r="L60">
        <v>1</v>
      </c>
      <c r="M60">
        <v>5</v>
      </c>
      <c r="N60">
        <v>6</v>
      </c>
      <c r="O60">
        <v>10</v>
      </c>
      <c r="P60">
        <v>2</v>
      </c>
      <c r="Q60">
        <v>0</v>
      </c>
      <c r="R60">
        <v>0</v>
      </c>
      <c r="S60">
        <v>0</v>
      </c>
      <c r="T60">
        <v>0</v>
      </c>
      <c r="U60">
        <v>0</v>
      </c>
      <c r="V60">
        <f>IF(SUM(ifood_data[[#This Row],[AcceptedCmp1]:[AcceptedCmp5]])&gt;0,1,0)</f>
        <v>0</v>
      </c>
      <c r="W60">
        <v>0</v>
      </c>
      <c r="X60">
        <v>3</v>
      </c>
      <c r="Y60">
        <v>11</v>
      </c>
      <c r="Z60">
        <v>1</v>
      </c>
      <c r="AA60">
        <v>48</v>
      </c>
      <c r="AB60">
        <v>2814</v>
      </c>
      <c r="AC60" s="28">
        <f>ifood_data[[#This Row],[Customer_Days]]/365</f>
        <v>7.7095890410958905</v>
      </c>
      <c r="AD60">
        <v>0</v>
      </c>
      <c r="AE60">
        <v>0</v>
      </c>
      <c r="AF60">
        <v>1</v>
      </c>
      <c r="AG60">
        <v>0</v>
      </c>
      <c r="AH60">
        <v>0</v>
      </c>
      <c r="AI60">
        <v>0</v>
      </c>
      <c r="AJ60">
        <v>0</v>
      </c>
      <c r="AK60">
        <v>0</v>
      </c>
      <c r="AL60">
        <v>0</v>
      </c>
      <c r="AM60">
        <v>1</v>
      </c>
      <c r="AN60">
        <v>2074</v>
      </c>
      <c r="AO60">
        <v>2034</v>
      </c>
      <c r="AP60">
        <f>ifood_data[[#This Row],[MntTotal]]-ifood_data[[#This Row],[MntRegularProds]]</f>
        <v>40</v>
      </c>
      <c r="AQ60">
        <v>0</v>
      </c>
      <c r="AR60">
        <f>IF(SUM(ifood_data[[#This Row],[Kidhome]:[Teenhome]])&gt;0,1,0)</f>
        <v>0</v>
      </c>
      <c r="AS60" t="str">
        <f>IF(SUM(ifood_data[[#This Row],[Kidhome]:[Teenhome]])&gt;0,"Has Family","No Family")</f>
        <v>No Family</v>
      </c>
      <c r="AT60" t="str">
        <f>IF(ifood_data[[#This Row],[marital_Married]]=1,"Married", (IF(ifood_data[[#This Row],[marital_Single]]=1,"Single",(IF(ifood_data[[#This Row],[marital_Divorced]]=1,"Divorced",(IF(ifood_data[[#This Row],[marital_Together]]=1,"Living Together",(IF(ifood_data[[#This Row],[marital_Widow]]=1,"Widow","Other")))))))))</f>
        <v>Single</v>
      </c>
      <c r="AU60" t="str">
        <f>IF(ifood_data[[#This Row],[education_Basic]]=1,"High School",(IF(ifood_data[[#This Row],[education_Graduation]]=1,"Undergraduate Degree",(IF(SUM(AM60,AL60,AI60)&gt;0,"Master's Degree or Higher","Other")))))</f>
        <v>Master's Degree or Higher</v>
      </c>
      <c r="AV60" t="str">
        <f>IF(ifood_data[[#All],[Income]]&gt;75000,"75K+",(IF(ifood_data[[#All],[Income]]&gt;50000,"50K-75K",(IF(ifood_data[[#All],[Income]]&gt;35000,"35K-50K","&lt;35K")))))</f>
        <v>75K+</v>
      </c>
      <c r="AW60" t="str">
        <f>IF(ifood_data[[#All],[Age]]&gt;60,"60+",(IF(ifood_data[[#All],[Age]]&gt;50,"50-60",(IF(ifood_data[[#All],[Age]]&gt;40,"40-50",(IF(ifood_data[[#All],[Age]]&gt;30,"30-40","&lt;30")))))))</f>
        <v>40-50</v>
      </c>
      <c r="AX60">
        <f t="shared" si="0"/>
        <v>24</v>
      </c>
      <c r="AY60">
        <f t="shared" si="1"/>
        <v>0.99999999999999978</v>
      </c>
      <c r="AZ60">
        <f t="shared" si="2"/>
        <v>6</v>
      </c>
      <c r="BA60">
        <f t="shared" si="3"/>
        <v>9</v>
      </c>
      <c r="BB60">
        <f>SUM(ifood_data[[#This Row],[Recency Score]:[Monetary Score]])</f>
        <v>16</v>
      </c>
      <c r="BC60">
        <f>(_xlfn.PERCENTRANK.INC(ifood_data[[#All],[RFM]],ifood_data[[#This Row],[RFM]],1))*10</f>
        <v>5</v>
      </c>
      <c r="BD60" t="str">
        <f>VLOOKUP(ifood_data[[#This Row],[RFM Score]],'RFM Analysis'!$A$3:$B$14,2,FALSE)</f>
        <v>Promising</v>
      </c>
      <c r="BE60">
        <f>'Regression Models'!$B$101+'Regression Models'!$B$102*ifood_data[[#This Row],[Income]]+'Regression Models'!$B$103*ifood_data[[#This Row],[Age]]+'Regression Models'!$B$104*ifood_data[[#This Row],[Family]]</f>
        <v>1494.9429026132339</v>
      </c>
      <c r="BF60" t="str">
        <f>IF(ifood_data[[#This Row],[AcceptedCmpOverall]]=1,"Campaign Respondent","Non-respondent")</f>
        <v>Non-respondent</v>
      </c>
    </row>
    <row r="61" spans="1:58" x14ac:dyDescent="0.35">
      <c r="A61">
        <v>1797</v>
      </c>
      <c r="B61">
        <v>85738</v>
      </c>
      <c r="C61">
        <v>0</v>
      </c>
      <c r="D61">
        <v>0</v>
      </c>
      <c r="E61">
        <v>41</v>
      </c>
      <c r="F61">
        <v>913</v>
      </c>
      <c r="G61">
        <v>26</v>
      </c>
      <c r="H61">
        <v>376</v>
      </c>
      <c r="I61">
        <v>17</v>
      </c>
      <c r="J61">
        <v>26</v>
      </c>
      <c r="K61">
        <v>13</v>
      </c>
      <c r="L61">
        <v>1</v>
      </c>
      <c r="M61">
        <v>3</v>
      </c>
      <c r="N61">
        <v>6</v>
      </c>
      <c r="O61">
        <v>11</v>
      </c>
      <c r="P61">
        <v>1</v>
      </c>
      <c r="Q61">
        <v>0</v>
      </c>
      <c r="R61">
        <v>0</v>
      </c>
      <c r="S61">
        <v>0</v>
      </c>
      <c r="T61">
        <v>1</v>
      </c>
      <c r="U61">
        <v>1</v>
      </c>
      <c r="V61">
        <f>IF(SUM(ifood_data[[#This Row],[AcceptedCmp1]:[AcceptedCmp5]])&gt;0,1,0)</f>
        <v>1</v>
      </c>
      <c r="W61">
        <v>0</v>
      </c>
      <c r="X61">
        <v>3</v>
      </c>
      <c r="Y61">
        <v>11</v>
      </c>
      <c r="Z61">
        <v>0</v>
      </c>
      <c r="AA61">
        <v>42</v>
      </c>
      <c r="AB61">
        <v>2316</v>
      </c>
      <c r="AC61" s="28">
        <f>ifood_data[[#This Row],[Customer_Days]]/365</f>
        <v>6.3452054794520549</v>
      </c>
      <c r="AD61">
        <v>0</v>
      </c>
      <c r="AE61">
        <v>0</v>
      </c>
      <c r="AF61">
        <v>0</v>
      </c>
      <c r="AG61">
        <v>1</v>
      </c>
      <c r="AH61">
        <v>0</v>
      </c>
      <c r="AI61">
        <v>0</v>
      </c>
      <c r="AJ61">
        <v>0</v>
      </c>
      <c r="AK61">
        <v>0</v>
      </c>
      <c r="AL61">
        <v>1</v>
      </c>
      <c r="AM61">
        <v>0</v>
      </c>
      <c r="AN61">
        <v>1358</v>
      </c>
      <c r="AO61">
        <v>1345</v>
      </c>
      <c r="AP61">
        <f>ifood_data[[#This Row],[MntTotal]]-ifood_data[[#This Row],[MntRegularProds]]</f>
        <v>13</v>
      </c>
      <c r="AQ61">
        <v>2</v>
      </c>
      <c r="AR61">
        <f>IF(SUM(ifood_data[[#This Row],[Kidhome]:[Teenhome]])&gt;0,1,0)</f>
        <v>0</v>
      </c>
      <c r="AS61" t="str">
        <f>IF(SUM(ifood_data[[#This Row],[Kidhome]:[Teenhome]])&gt;0,"Has Family","No Family")</f>
        <v>No Family</v>
      </c>
      <c r="AT61" t="str">
        <f>IF(ifood_data[[#This Row],[marital_Married]]=1,"Married", (IF(ifood_data[[#This Row],[marital_Single]]=1,"Single",(IF(ifood_data[[#This Row],[marital_Divorced]]=1,"Divorced",(IF(ifood_data[[#This Row],[marital_Together]]=1,"Living Together",(IF(ifood_data[[#This Row],[marital_Widow]]=1,"Widow","Other")))))))))</f>
        <v>Living Together</v>
      </c>
      <c r="AU61" t="str">
        <f>IF(ifood_data[[#This Row],[education_Basic]]=1,"High School",(IF(ifood_data[[#This Row],[education_Graduation]]=1,"Undergraduate Degree",(IF(SUM(AM61,AL61,AI61)&gt;0,"Master's Degree or Higher","Other")))))</f>
        <v>Master's Degree or Higher</v>
      </c>
      <c r="AV61" t="str">
        <f>IF(ifood_data[[#All],[Income]]&gt;75000,"75K+",(IF(ifood_data[[#All],[Income]]&gt;50000,"50K-75K",(IF(ifood_data[[#All],[Income]]&gt;35000,"35K-50K","&lt;35K")))))</f>
        <v>75K+</v>
      </c>
      <c r="AW61" t="str">
        <f>IF(ifood_data[[#All],[Age]]&gt;60,"60+",(IF(ifood_data[[#All],[Age]]&gt;50,"50-60",(IF(ifood_data[[#All],[Age]]&gt;40,"40-50",(IF(ifood_data[[#All],[Age]]&gt;30,"30-40","&lt;30")))))))</f>
        <v>40-50</v>
      </c>
      <c r="AX61">
        <f t="shared" si="0"/>
        <v>22</v>
      </c>
      <c r="AY61">
        <f t="shared" si="1"/>
        <v>6</v>
      </c>
      <c r="AZ61">
        <f t="shared" si="2"/>
        <v>5</v>
      </c>
      <c r="BA61">
        <f t="shared" si="3"/>
        <v>8</v>
      </c>
      <c r="BB61">
        <f>SUM(ifood_data[[#This Row],[Recency Score]:[Monetary Score]])</f>
        <v>19</v>
      </c>
      <c r="BC61">
        <f>(_xlfn.PERCENTRANK.INC(ifood_data[[#All],[RFM]],ifood_data[[#This Row],[RFM]],1))*10</f>
        <v>7</v>
      </c>
      <c r="BD61" t="str">
        <f>VLOOKUP(ifood_data[[#This Row],[RFM Score]],'RFM Analysis'!$A$3:$B$14,2,FALSE)</f>
        <v>Loyal Customer</v>
      </c>
      <c r="BE61">
        <f>'Regression Models'!$B$101+'Regression Models'!$B$102*ifood_data[[#This Row],[Income]]+'Regression Models'!$B$103*ifood_data[[#This Row],[Age]]+'Regression Models'!$B$104*ifood_data[[#This Row],[Family]]</f>
        <v>1483.1465055335766</v>
      </c>
      <c r="BF61" t="str">
        <f>IF(ifood_data[[#This Row],[AcceptedCmpOverall]]=1,"Campaign Respondent","Non-respondent")</f>
        <v>Campaign Respondent</v>
      </c>
    </row>
    <row r="62" spans="1:58" x14ac:dyDescent="0.35">
      <c r="A62">
        <v>677</v>
      </c>
      <c r="B62">
        <v>87305</v>
      </c>
      <c r="C62">
        <v>0</v>
      </c>
      <c r="D62">
        <v>0</v>
      </c>
      <c r="E62">
        <v>19</v>
      </c>
      <c r="F62">
        <v>345</v>
      </c>
      <c r="G62">
        <v>25</v>
      </c>
      <c r="H62">
        <v>501</v>
      </c>
      <c r="I62">
        <v>63</v>
      </c>
      <c r="J62">
        <v>138</v>
      </c>
      <c r="K62">
        <v>80</v>
      </c>
      <c r="L62">
        <v>1</v>
      </c>
      <c r="M62">
        <v>5</v>
      </c>
      <c r="N62">
        <v>3</v>
      </c>
      <c r="O62">
        <v>8</v>
      </c>
      <c r="P62">
        <v>2</v>
      </c>
      <c r="Q62">
        <v>0</v>
      </c>
      <c r="R62">
        <v>0</v>
      </c>
      <c r="S62">
        <v>0</v>
      </c>
      <c r="T62">
        <v>0</v>
      </c>
      <c r="U62">
        <v>1</v>
      </c>
      <c r="V62">
        <f>IF(SUM(ifood_data[[#This Row],[AcceptedCmp1]:[AcceptedCmp5]])&gt;0,1,0)</f>
        <v>1</v>
      </c>
      <c r="W62">
        <v>0</v>
      </c>
      <c r="X62">
        <v>3</v>
      </c>
      <c r="Y62">
        <v>11</v>
      </c>
      <c r="Z62">
        <v>1</v>
      </c>
      <c r="AA62">
        <v>60</v>
      </c>
      <c r="AB62">
        <v>2803</v>
      </c>
      <c r="AC62" s="28">
        <f>ifood_data[[#This Row],[Customer_Days]]/365</f>
        <v>7.6794520547945204</v>
      </c>
      <c r="AD62">
        <v>1</v>
      </c>
      <c r="AE62">
        <v>0</v>
      </c>
      <c r="AF62">
        <v>0</v>
      </c>
      <c r="AG62">
        <v>0</v>
      </c>
      <c r="AH62">
        <v>0</v>
      </c>
      <c r="AI62">
        <v>1</v>
      </c>
      <c r="AJ62">
        <v>0</v>
      </c>
      <c r="AK62">
        <v>0</v>
      </c>
      <c r="AL62">
        <v>0</v>
      </c>
      <c r="AM62">
        <v>0</v>
      </c>
      <c r="AN62">
        <v>1072</v>
      </c>
      <c r="AO62">
        <v>992</v>
      </c>
      <c r="AP62">
        <f>ifood_data[[#This Row],[MntTotal]]-ifood_data[[#This Row],[MntRegularProds]]</f>
        <v>80</v>
      </c>
      <c r="AQ62">
        <v>1</v>
      </c>
      <c r="AR62">
        <f>IF(SUM(ifood_data[[#This Row],[Kidhome]:[Teenhome]])&gt;0,1,0)</f>
        <v>0</v>
      </c>
      <c r="AS62" t="str">
        <f>IF(SUM(ifood_data[[#This Row],[Kidhome]:[Teenhome]])&gt;0,"Has Family","No Family")</f>
        <v>No Family</v>
      </c>
      <c r="AT62" t="str">
        <f>IF(ifood_data[[#This Row],[marital_Married]]=1,"Married", (IF(ifood_data[[#This Row],[marital_Single]]=1,"Single",(IF(ifood_data[[#This Row],[marital_Divorced]]=1,"Divorced",(IF(ifood_data[[#This Row],[marital_Together]]=1,"Living Together",(IF(ifood_data[[#This Row],[marital_Widow]]=1,"Widow","Other")))))))))</f>
        <v>Divorced</v>
      </c>
      <c r="AU62" t="str">
        <f>IF(ifood_data[[#This Row],[education_Basic]]=1,"High School",(IF(ifood_data[[#This Row],[education_Graduation]]=1,"Undergraduate Degree",(IF(SUM(AM62,AL62,AI62)&gt;0,"Master's Degree or Higher","Other")))))</f>
        <v>Master's Degree or Higher</v>
      </c>
      <c r="AV62" t="str">
        <f>IF(ifood_data[[#All],[Income]]&gt;75000,"75K+",(IF(ifood_data[[#All],[Income]]&gt;50000,"50K-75K",(IF(ifood_data[[#All],[Income]]&gt;35000,"35K-50K","&lt;35K")))))</f>
        <v>75K+</v>
      </c>
      <c r="AW62" t="str">
        <f>IF(ifood_data[[#All],[Age]]&gt;60,"60+",(IF(ifood_data[[#All],[Age]]&gt;50,"50-60",(IF(ifood_data[[#All],[Age]]&gt;40,"40-50",(IF(ifood_data[[#All],[Age]]&gt;30,"30-40","&lt;30")))))))</f>
        <v>50-60</v>
      </c>
      <c r="AX62">
        <f t="shared" si="0"/>
        <v>19</v>
      </c>
      <c r="AY62">
        <f t="shared" si="1"/>
        <v>9</v>
      </c>
      <c r="AZ62">
        <f t="shared" si="2"/>
        <v>4</v>
      </c>
      <c r="BA62">
        <f t="shared" si="3"/>
        <v>7</v>
      </c>
      <c r="BB62">
        <f>SUM(ifood_data[[#This Row],[Recency Score]:[Monetary Score]])</f>
        <v>20</v>
      </c>
      <c r="BC62">
        <f>(_xlfn.PERCENTRANK.INC(ifood_data[[#All],[RFM]],ifood_data[[#This Row],[RFM]],1))*10</f>
        <v>7</v>
      </c>
      <c r="BD62" t="str">
        <f>VLOOKUP(ifood_data[[#This Row],[RFM Score]],'RFM Analysis'!$A$3:$B$14,2,FALSE)</f>
        <v>Loyal Customer</v>
      </c>
      <c r="BE62">
        <f>'Regression Models'!$B$101+'Regression Models'!$B$102*ifood_data[[#This Row],[Income]]+'Regression Models'!$B$103*ifood_data[[#This Row],[Age]]+'Regression Models'!$B$104*ifood_data[[#This Row],[Family]]</f>
        <v>1482.0398017949692</v>
      </c>
      <c r="BF62" t="str">
        <f>IF(ifood_data[[#This Row],[AcceptedCmpOverall]]=1,"Campaign Respondent","Non-respondent")</f>
        <v>Campaign Respondent</v>
      </c>
    </row>
    <row r="63" spans="1:58" x14ac:dyDescent="0.35">
      <c r="A63">
        <v>95</v>
      </c>
      <c r="B63">
        <v>87195</v>
      </c>
      <c r="C63">
        <v>0</v>
      </c>
      <c r="D63">
        <v>0</v>
      </c>
      <c r="E63">
        <v>35</v>
      </c>
      <c r="F63">
        <v>217</v>
      </c>
      <c r="G63">
        <v>76</v>
      </c>
      <c r="H63">
        <v>690</v>
      </c>
      <c r="I63">
        <v>50</v>
      </c>
      <c r="J63">
        <v>26</v>
      </c>
      <c r="K63">
        <v>38</v>
      </c>
      <c r="L63">
        <v>1</v>
      </c>
      <c r="M63">
        <v>3</v>
      </c>
      <c r="N63">
        <v>11</v>
      </c>
      <c r="O63">
        <v>5</v>
      </c>
      <c r="P63">
        <v>1</v>
      </c>
      <c r="Q63">
        <v>0</v>
      </c>
      <c r="R63">
        <v>0</v>
      </c>
      <c r="S63">
        <v>0</v>
      </c>
      <c r="T63">
        <v>0</v>
      </c>
      <c r="U63">
        <v>0</v>
      </c>
      <c r="V63">
        <f>IF(SUM(ifood_data[[#This Row],[AcceptedCmp1]:[AcceptedCmp5]])&gt;0,1,0)</f>
        <v>0</v>
      </c>
      <c r="W63">
        <v>0</v>
      </c>
      <c r="X63">
        <v>3</v>
      </c>
      <c r="Y63">
        <v>11</v>
      </c>
      <c r="Z63">
        <v>1</v>
      </c>
      <c r="AA63">
        <v>61</v>
      </c>
      <c r="AB63">
        <v>2211</v>
      </c>
      <c r="AC63" s="28">
        <f>ifood_data[[#This Row],[Customer_Days]]/365</f>
        <v>6.0575342465753428</v>
      </c>
      <c r="AD63">
        <v>0</v>
      </c>
      <c r="AE63">
        <v>1</v>
      </c>
      <c r="AF63">
        <v>0</v>
      </c>
      <c r="AG63">
        <v>0</v>
      </c>
      <c r="AH63">
        <v>0</v>
      </c>
      <c r="AI63">
        <v>0</v>
      </c>
      <c r="AJ63">
        <v>0</v>
      </c>
      <c r="AK63">
        <v>1</v>
      </c>
      <c r="AL63">
        <v>0</v>
      </c>
      <c r="AM63">
        <v>0</v>
      </c>
      <c r="AN63">
        <v>1059</v>
      </c>
      <c r="AO63">
        <v>1021</v>
      </c>
      <c r="AP63">
        <f>ifood_data[[#This Row],[MntTotal]]-ifood_data[[#This Row],[MntRegularProds]]</f>
        <v>38</v>
      </c>
      <c r="AQ63">
        <v>0</v>
      </c>
      <c r="AR63">
        <f>IF(SUM(ifood_data[[#This Row],[Kidhome]:[Teenhome]])&gt;0,1,0)</f>
        <v>0</v>
      </c>
      <c r="AS63" t="str">
        <f>IF(SUM(ifood_data[[#This Row],[Kidhome]:[Teenhome]])&gt;0,"Has Family","No Family")</f>
        <v>No Family</v>
      </c>
      <c r="AT63" t="str">
        <f>IF(ifood_data[[#This Row],[marital_Married]]=1,"Married", (IF(ifood_data[[#This Row],[marital_Single]]=1,"Single",(IF(ifood_data[[#This Row],[marital_Divorced]]=1,"Divorced",(IF(ifood_data[[#This Row],[marital_Together]]=1,"Living Together",(IF(ifood_data[[#This Row],[marital_Widow]]=1,"Widow","Other")))))))))</f>
        <v>Married</v>
      </c>
      <c r="AU63" t="str">
        <f>IF(ifood_data[[#This Row],[education_Basic]]=1,"High School",(IF(ifood_data[[#This Row],[education_Graduation]]=1,"Undergraduate Degree",(IF(SUM(AM63,AL63,AI63)&gt;0,"Master's Degree or Higher","Other")))))</f>
        <v>Undergraduate Degree</v>
      </c>
      <c r="AV63" t="str">
        <f>IF(ifood_data[[#All],[Income]]&gt;75000,"75K+",(IF(ifood_data[[#All],[Income]]&gt;50000,"50K-75K",(IF(ifood_data[[#All],[Income]]&gt;35000,"35K-50K","&lt;35K")))))</f>
        <v>75K+</v>
      </c>
      <c r="AW63" t="str">
        <f>IF(ifood_data[[#All],[Age]]&gt;60,"60+",(IF(ifood_data[[#All],[Age]]&gt;50,"50-60",(IF(ifood_data[[#All],[Age]]&gt;40,"40-50",(IF(ifood_data[[#All],[Age]]&gt;30,"30-40","&lt;30")))))))</f>
        <v>60+</v>
      </c>
      <c r="AX63">
        <f t="shared" si="0"/>
        <v>21</v>
      </c>
      <c r="AY63">
        <f t="shared" si="1"/>
        <v>7</v>
      </c>
      <c r="AZ63">
        <f t="shared" si="2"/>
        <v>5</v>
      </c>
      <c r="BA63">
        <f t="shared" si="3"/>
        <v>7</v>
      </c>
      <c r="BB63">
        <f>SUM(ifood_data[[#This Row],[Recency Score]:[Monetary Score]])</f>
        <v>19</v>
      </c>
      <c r="BC63">
        <f>(_xlfn.PERCENTRANK.INC(ifood_data[[#All],[RFM]],ifood_data[[#This Row],[RFM]],1))*10</f>
        <v>7</v>
      </c>
      <c r="BD63" t="str">
        <f>VLOOKUP(ifood_data[[#This Row],[RFM Score]],'RFM Analysis'!$A$3:$B$14,2,FALSE)</f>
        <v>Loyal Customer</v>
      </c>
      <c r="BE63">
        <f>'Regression Models'!$B$101+'Regression Models'!$B$102*ifood_data[[#This Row],[Income]]+'Regression Models'!$B$103*ifood_data[[#This Row],[Age]]+'Regression Models'!$B$104*ifood_data[[#This Row],[Family]]</f>
        <v>1477.9605982202459</v>
      </c>
      <c r="BF63" t="str">
        <f>IF(ifood_data[[#This Row],[AcceptedCmpOverall]]=1,"Campaign Respondent","Non-respondent")</f>
        <v>Non-respondent</v>
      </c>
    </row>
    <row r="64" spans="1:58" x14ac:dyDescent="0.35">
      <c r="A64">
        <v>1031</v>
      </c>
      <c r="B64">
        <v>85844</v>
      </c>
      <c r="C64">
        <v>0</v>
      </c>
      <c r="D64">
        <v>0</v>
      </c>
      <c r="E64">
        <v>62</v>
      </c>
      <c r="F64">
        <v>938</v>
      </c>
      <c r="G64">
        <v>19</v>
      </c>
      <c r="H64">
        <v>843</v>
      </c>
      <c r="I64">
        <v>25</v>
      </c>
      <c r="J64">
        <v>95</v>
      </c>
      <c r="K64">
        <v>38</v>
      </c>
      <c r="L64">
        <v>1</v>
      </c>
      <c r="M64">
        <v>6</v>
      </c>
      <c r="N64">
        <v>6</v>
      </c>
      <c r="O64">
        <v>7</v>
      </c>
      <c r="P64">
        <v>2</v>
      </c>
      <c r="Q64">
        <v>0</v>
      </c>
      <c r="R64">
        <v>0</v>
      </c>
      <c r="S64">
        <v>0</v>
      </c>
      <c r="T64">
        <v>0</v>
      </c>
      <c r="U64">
        <v>1</v>
      </c>
      <c r="V64">
        <f>IF(SUM(ifood_data[[#This Row],[AcceptedCmp1]:[AcceptedCmp5]])&gt;0,1,0)</f>
        <v>1</v>
      </c>
      <c r="W64">
        <v>0</v>
      </c>
      <c r="X64">
        <v>3</v>
      </c>
      <c r="Y64">
        <v>11</v>
      </c>
      <c r="Z64">
        <v>0</v>
      </c>
      <c r="AA64">
        <v>47</v>
      </c>
      <c r="AB64">
        <v>2190</v>
      </c>
      <c r="AC64" s="28">
        <f>ifood_data[[#This Row],[Customer_Days]]/365</f>
        <v>6</v>
      </c>
      <c r="AD64">
        <v>0</v>
      </c>
      <c r="AE64">
        <v>1</v>
      </c>
      <c r="AF64">
        <v>0</v>
      </c>
      <c r="AG64">
        <v>0</v>
      </c>
      <c r="AH64">
        <v>0</v>
      </c>
      <c r="AI64">
        <v>0</v>
      </c>
      <c r="AJ64">
        <v>0</v>
      </c>
      <c r="AK64">
        <v>0</v>
      </c>
      <c r="AL64">
        <v>0</v>
      </c>
      <c r="AM64">
        <v>1</v>
      </c>
      <c r="AN64">
        <v>1920</v>
      </c>
      <c r="AO64">
        <v>1882</v>
      </c>
      <c r="AP64">
        <f>ifood_data[[#This Row],[MntTotal]]-ifood_data[[#This Row],[MntRegularProds]]</f>
        <v>38</v>
      </c>
      <c r="AQ64">
        <v>1</v>
      </c>
      <c r="AR64">
        <f>IF(SUM(ifood_data[[#This Row],[Kidhome]:[Teenhome]])&gt;0,1,0)</f>
        <v>0</v>
      </c>
      <c r="AS64" t="str">
        <f>IF(SUM(ifood_data[[#This Row],[Kidhome]:[Teenhome]])&gt;0,"Has Family","No Family")</f>
        <v>No Family</v>
      </c>
      <c r="AT64" t="str">
        <f>IF(ifood_data[[#This Row],[marital_Married]]=1,"Married", (IF(ifood_data[[#This Row],[marital_Single]]=1,"Single",(IF(ifood_data[[#This Row],[marital_Divorced]]=1,"Divorced",(IF(ifood_data[[#This Row],[marital_Together]]=1,"Living Together",(IF(ifood_data[[#This Row],[marital_Widow]]=1,"Widow","Other")))))))))</f>
        <v>Married</v>
      </c>
      <c r="AU64" t="str">
        <f>IF(ifood_data[[#This Row],[education_Basic]]=1,"High School",(IF(ifood_data[[#This Row],[education_Graduation]]=1,"Undergraduate Degree",(IF(SUM(AM64,AL64,AI64)&gt;0,"Master's Degree or Higher","Other")))))</f>
        <v>Master's Degree or Higher</v>
      </c>
      <c r="AV64" t="str">
        <f>IF(ifood_data[[#All],[Income]]&gt;75000,"75K+",(IF(ifood_data[[#All],[Income]]&gt;50000,"50K-75K",(IF(ifood_data[[#All],[Income]]&gt;35000,"35K-50K","&lt;35K")))))</f>
        <v>75K+</v>
      </c>
      <c r="AW64" t="str">
        <f>IF(ifood_data[[#All],[Age]]&gt;60,"60+",(IF(ifood_data[[#All],[Age]]&gt;50,"50-60",(IF(ifood_data[[#All],[Age]]&gt;40,"40-50",(IF(ifood_data[[#All],[Age]]&gt;30,"30-40","&lt;30")))))))</f>
        <v>40-50</v>
      </c>
      <c r="AX64">
        <f t="shared" si="0"/>
        <v>22</v>
      </c>
      <c r="AY64">
        <f t="shared" si="1"/>
        <v>4</v>
      </c>
      <c r="AZ64">
        <f t="shared" si="2"/>
        <v>5</v>
      </c>
      <c r="BA64">
        <f t="shared" si="3"/>
        <v>9</v>
      </c>
      <c r="BB64">
        <f>SUM(ifood_data[[#This Row],[Recency Score]:[Monetary Score]])</f>
        <v>18</v>
      </c>
      <c r="BC64">
        <f>(_xlfn.PERCENTRANK.INC(ifood_data[[#All],[RFM]],ifood_data[[#This Row],[RFM]],1))*10</f>
        <v>6</v>
      </c>
      <c r="BD64" t="str">
        <f>VLOOKUP(ifood_data[[#This Row],[RFM Score]],'RFM Analysis'!$A$3:$B$14,2,FALSE)</f>
        <v>Promising</v>
      </c>
      <c r="BE64">
        <f>'Regression Models'!$B$101+'Regression Models'!$B$102*ifood_data[[#This Row],[Income]]+'Regression Models'!$B$103*ifood_data[[#This Row],[Age]]+'Regression Models'!$B$104*ifood_data[[#This Row],[Family]]</f>
        <v>1476.1255195623585</v>
      </c>
      <c r="BF64" t="str">
        <f>IF(ifood_data[[#This Row],[AcceptedCmpOverall]]=1,"Campaign Respondent","Non-respondent")</f>
        <v>Campaign Respondent</v>
      </c>
    </row>
    <row r="65" spans="1:58" x14ac:dyDescent="0.35">
      <c r="A65">
        <v>919</v>
      </c>
      <c r="B65">
        <v>84219</v>
      </c>
      <c r="C65">
        <v>0</v>
      </c>
      <c r="D65">
        <v>0</v>
      </c>
      <c r="E65">
        <v>27</v>
      </c>
      <c r="F65">
        <v>434</v>
      </c>
      <c r="G65">
        <v>137</v>
      </c>
      <c r="H65">
        <v>400</v>
      </c>
      <c r="I65">
        <v>45</v>
      </c>
      <c r="J65">
        <v>137</v>
      </c>
      <c r="K65">
        <v>45</v>
      </c>
      <c r="L65">
        <v>1</v>
      </c>
      <c r="M65">
        <v>3</v>
      </c>
      <c r="N65">
        <v>4</v>
      </c>
      <c r="O65">
        <v>10</v>
      </c>
      <c r="P65">
        <v>1</v>
      </c>
      <c r="Q65">
        <v>0</v>
      </c>
      <c r="R65">
        <v>0</v>
      </c>
      <c r="S65">
        <v>0</v>
      </c>
      <c r="T65">
        <v>0</v>
      </c>
      <c r="U65">
        <v>0</v>
      </c>
      <c r="V65">
        <f>IF(SUM(ifood_data[[#This Row],[AcceptedCmp1]:[AcceptedCmp5]])&gt;0,1,0)</f>
        <v>0</v>
      </c>
      <c r="W65">
        <v>0</v>
      </c>
      <c r="X65">
        <v>3</v>
      </c>
      <c r="Y65">
        <v>11</v>
      </c>
      <c r="Z65">
        <v>0</v>
      </c>
      <c r="AA65">
        <v>32</v>
      </c>
      <c r="AB65">
        <v>2306</v>
      </c>
      <c r="AC65" s="28">
        <f>ifood_data[[#This Row],[Customer_Days]]/365</f>
        <v>6.3178082191780822</v>
      </c>
      <c r="AD65">
        <v>0</v>
      </c>
      <c r="AE65">
        <v>1</v>
      </c>
      <c r="AF65">
        <v>0</v>
      </c>
      <c r="AG65">
        <v>0</v>
      </c>
      <c r="AH65">
        <v>0</v>
      </c>
      <c r="AI65">
        <v>0</v>
      </c>
      <c r="AJ65">
        <v>0</v>
      </c>
      <c r="AK65">
        <v>1</v>
      </c>
      <c r="AL65">
        <v>0</v>
      </c>
      <c r="AM65">
        <v>0</v>
      </c>
      <c r="AN65">
        <v>1153</v>
      </c>
      <c r="AO65">
        <v>1108</v>
      </c>
      <c r="AP65">
        <f>ifood_data[[#This Row],[MntTotal]]-ifood_data[[#This Row],[MntRegularProds]]</f>
        <v>45</v>
      </c>
      <c r="AQ65">
        <v>0</v>
      </c>
      <c r="AR65">
        <f>IF(SUM(ifood_data[[#This Row],[Kidhome]:[Teenhome]])&gt;0,1,0)</f>
        <v>0</v>
      </c>
      <c r="AS65" t="str">
        <f>IF(SUM(ifood_data[[#This Row],[Kidhome]:[Teenhome]])&gt;0,"Has Family","No Family")</f>
        <v>No Family</v>
      </c>
      <c r="AT65" t="str">
        <f>IF(ifood_data[[#This Row],[marital_Married]]=1,"Married", (IF(ifood_data[[#This Row],[marital_Single]]=1,"Single",(IF(ifood_data[[#This Row],[marital_Divorced]]=1,"Divorced",(IF(ifood_data[[#This Row],[marital_Together]]=1,"Living Together",(IF(ifood_data[[#This Row],[marital_Widow]]=1,"Widow","Other")))))))))</f>
        <v>Married</v>
      </c>
      <c r="AU65" t="str">
        <f>IF(ifood_data[[#This Row],[education_Basic]]=1,"High School",(IF(ifood_data[[#This Row],[education_Graduation]]=1,"Undergraduate Degree",(IF(SUM(AM65,AL65,AI65)&gt;0,"Master's Degree or Higher","Other")))))</f>
        <v>Undergraduate Degree</v>
      </c>
      <c r="AV65" t="str">
        <f>IF(ifood_data[[#All],[Income]]&gt;75000,"75K+",(IF(ifood_data[[#All],[Income]]&gt;50000,"50K-75K",(IF(ifood_data[[#All],[Income]]&gt;35000,"35K-50K","&lt;35K")))))</f>
        <v>75K+</v>
      </c>
      <c r="AW65" t="str">
        <f>IF(ifood_data[[#All],[Age]]&gt;60,"60+",(IF(ifood_data[[#All],[Age]]&gt;50,"50-60",(IF(ifood_data[[#All],[Age]]&gt;40,"40-50",(IF(ifood_data[[#All],[Age]]&gt;30,"30-40","&lt;30")))))))</f>
        <v>30-40</v>
      </c>
      <c r="AX65">
        <f t="shared" si="0"/>
        <v>19</v>
      </c>
      <c r="AY65">
        <f t="shared" si="1"/>
        <v>8</v>
      </c>
      <c r="AZ65">
        <f t="shared" si="2"/>
        <v>4</v>
      </c>
      <c r="BA65">
        <f t="shared" si="3"/>
        <v>8</v>
      </c>
      <c r="BB65">
        <f>SUM(ifood_data[[#This Row],[Recency Score]:[Monetary Score]])</f>
        <v>20</v>
      </c>
      <c r="BC65">
        <f>(_xlfn.PERCENTRANK.INC(ifood_data[[#All],[RFM]],ifood_data[[#This Row],[RFM]],1))*10</f>
        <v>7</v>
      </c>
      <c r="BD65" t="str">
        <f>VLOOKUP(ifood_data[[#This Row],[RFM Score]],'RFM Analysis'!$A$3:$B$14,2,FALSE)</f>
        <v>Loyal Customer</v>
      </c>
      <c r="BE65">
        <f>'Regression Models'!$B$101+'Regression Models'!$B$102*ifood_data[[#This Row],[Income]]+'Regression Models'!$B$103*ifood_data[[#This Row],[Age]]+'Regression Models'!$B$104*ifood_data[[#This Row],[Family]]</f>
        <v>1470.5403575119367</v>
      </c>
      <c r="BF65" t="str">
        <f>IF(ifood_data[[#This Row],[AcceptedCmpOverall]]=1,"Campaign Respondent","Non-respondent")</f>
        <v>Non-respondent</v>
      </c>
    </row>
    <row r="66" spans="1:58" x14ac:dyDescent="0.35">
      <c r="A66">
        <v>857</v>
      </c>
      <c r="B66">
        <v>85072</v>
      </c>
      <c r="C66">
        <v>0</v>
      </c>
      <c r="D66">
        <v>0</v>
      </c>
      <c r="E66">
        <v>94</v>
      </c>
      <c r="F66">
        <v>494</v>
      </c>
      <c r="G66">
        <v>92</v>
      </c>
      <c r="H66">
        <v>391</v>
      </c>
      <c r="I66">
        <v>194</v>
      </c>
      <c r="J66">
        <v>11</v>
      </c>
      <c r="K66">
        <v>241</v>
      </c>
      <c r="L66">
        <v>1</v>
      </c>
      <c r="M66">
        <v>3</v>
      </c>
      <c r="N66">
        <v>4</v>
      </c>
      <c r="O66">
        <v>10</v>
      </c>
      <c r="P66">
        <v>0</v>
      </c>
      <c r="Q66">
        <v>0</v>
      </c>
      <c r="R66">
        <v>0</v>
      </c>
      <c r="S66">
        <v>0</v>
      </c>
      <c r="T66">
        <v>0</v>
      </c>
      <c r="U66">
        <v>0</v>
      </c>
      <c r="V66">
        <f>IF(SUM(ifood_data[[#This Row],[AcceptedCmp1]:[AcceptedCmp5]])&gt;0,1,0)</f>
        <v>0</v>
      </c>
      <c r="W66">
        <v>0</v>
      </c>
      <c r="X66">
        <v>3</v>
      </c>
      <c r="Y66">
        <v>11</v>
      </c>
      <c r="Z66">
        <v>0</v>
      </c>
      <c r="AA66">
        <v>43</v>
      </c>
      <c r="AB66">
        <v>2240</v>
      </c>
      <c r="AC66" s="28">
        <f>ifood_data[[#This Row],[Customer_Days]]/365</f>
        <v>6.1369863013698627</v>
      </c>
      <c r="AD66">
        <v>0</v>
      </c>
      <c r="AE66">
        <v>0</v>
      </c>
      <c r="AF66">
        <v>1</v>
      </c>
      <c r="AG66">
        <v>0</v>
      </c>
      <c r="AH66">
        <v>0</v>
      </c>
      <c r="AI66">
        <v>0</v>
      </c>
      <c r="AJ66">
        <v>0</v>
      </c>
      <c r="AK66">
        <v>1</v>
      </c>
      <c r="AL66">
        <v>0</v>
      </c>
      <c r="AM66">
        <v>0</v>
      </c>
      <c r="AN66">
        <v>1182</v>
      </c>
      <c r="AO66">
        <v>941</v>
      </c>
      <c r="AP66">
        <f>ifood_data[[#This Row],[MntTotal]]-ifood_data[[#This Row],[MntRegularProds]]</f>
        <v>241</v>
      </c>
      <c r="AQ66">
        <v>0</v>
      </c>
      <c r="AR66">
        <f>IF(SUM(ifood_data[[#This Row],[Kidhome]:[Teenhome]])&gt;0,1,0)</f>
        <v>0</v>
      </c>
      <c r="AS66" t="str">
        <f>IF(SUM(ifood_data[[#This Row],[Kidhome]:[Teenhome]])&gt;0,"Has Family","No Family")</f>
        <v>No Family</v>
      </c>
      <c r="AT66" t="str">
        <f>IF(ifood_data[[#This Row],[marital_Married]]=1,"Married", (IF(ifood_data[[#This Row],[marital_Single]]=1,"Single",(IF(ifood_data[[#This Row],[marital_Divorced]]=1,"Divorced",(IF(ifood_data[[#This Row],[marital_Together]]=1,"Living Together",(IF(ifood_data[[#This Row],[marital_Widow]]=1,"Widow","Other")))))))))</f>
        <v>Single</v>
      </c>
      <c r="AU66" t="str">
        <f>IF(ifood_data[[#This Row],[education_Basic]]=1,"High School",(IF(ifood_data[[#This Row],[education_Graduation]]=1,"Undergraduate Degree",(IF(SUM(AM66,AL66,AI66)&gt;0,"Master's Degree or Higher","Other")))))</f>
        <v>Undergraduate Degree</v>
      </c>
      <c r="AV66" t="str">
        <f>IF(ifood_data[[#All],[Income]]&gt;75000,"75K+",(IF(ifood_data[[#All],[Income]]&gt;50000,"50K-75K",(IF(ifood_data[[#All],[Income]]&gt;35000,"35K-50K","&lt;35K")))))</f>
        <v>75K+</v>
      </c>
      <c r="AW66" t="str">
        <f>IF(ifood_data[[#All],[Age]]&gt;60,"60+",(IF(ifood_data[[#All],[Age]]&gt;50,"50-60",(IF(ifood_data[[#All],[Age]]&gt;40,"40-50",(IF(ifood_data[[#All],[Age]]&gt;30,"30-40","&lt;30")))))))</f>
        <v>40-50</v>
      </c>
      <c r="AX66">
        <f t="shared" ref="AX66:AX129" si="4">SUM(L66:P66)</f>
        <v>18</v>
      </c>
      <c r="AY66">
        <f t="shared" ref="AY66:AY129" si="5">(1-_xlfn.PERCENTRANK.INC($E$2:$E$2022,E66,1))*10</f>
        <v>0.99999999999999978</v>
      </c>
      <c r="AZ66">
        <f t="shared" ref="AZ66:AZ129" si="6">_xlfn.PERCENTRANK.INC($AX$2:$AX$2022,AX66,1)*10</f>
        <v>4</v>
      </c>
      <c r="BA66">
        <f t="shared" ref="BA66:BA129" si="7">_xlfn.PERCENTRANK.INC($AN$2:$AN$2022,AN66,1)*10</f>
        <v>8</v>
      </c>
      <c r="BB66">
        <f>SUM(ifood_data[[#This Row],[Recency Score]:[Monetary Score]])</f>
        <v>13</v>
      </c>
      <c r="BC66">
        <f>(_xlfn.PERCENTRANK.INC(ifood_data[[#All],[RFM]],ifood_data[[#This Row],[RFM]],1))*10</f>
        <v>3</v>
      </c>
      <c r="BD66" t="str">
        <f>VLOOKUP(ifood_data[[#This Row],[RFM Score]],'RFM Analysis'!$A$3:$B$14,2,FALSE)</f>
        <v>At Risk</v>
      </c>
      <c r="BE66">
        <f>'Regression Models'!$B$101+'Regression Models'!$B$102*ifood_data[[#This Row],[Income]]+'Regression Models'!$B$103*ifood_data[[#This Row],[Age]]+'Regression Models'!$B$104*ifood_data[[#This Row],[Family]]</f>
        <v>1467.7311468708458</v>
      </c>
      <c r="BF66" t="str">
        <f>IF(ifood_data[[#This Row],[AcceptedCmpOverall]]=1,"Campaign Respondent","Non-respondent")</f>
        <v>Non-respondent</v>
      </c>
    </row>
    <row r="67" spans="1:58" x14ac:dyDescent="0.35">
      <c r="A67">
        <v>858</v>
      </c>
      <c r="B67">
        <v>86429</v>
      </c>
      <c r="C67">
        <v>0</v>
      </c>
      <c r="D67">
        <v>0</v>
      </c>
      <c r="E67">
        <v>10</v>
      </c>
      <c r="F67">
        <v>464</v>
      </c>
      <c r="G67">
        <v>28</v>
      </c>
      <c r="H67">
        <v>873</v>
      </c>
      <c r="I67">
        <v>29</v>
      </c>
      <c r="J67">
        <v>18</v>
      </c>
      <c r="K67">
        <v>37</v>
      </c>
      <c r="L67">
        <v>0</v>
      </c>
      <c r="M67">
        <v>7</v>
      </c>
      <c r="N67">
        <v>4</v>
      </c>
      <c r="O67">
        <v>7</v>
      </c>
      <c r="P67">
        <v>2</v>
      </c>
      <c r="Q67">
        <v>1</v>
      </c>
      <c r="R67">
        <v>0</v>
      </c>
      <c r="S67">
        <v>0</v>
      </c>
      <c r="T67">
        <v>0</v>
      </c>
      <c r="U67">
        <v>0</v>
      </c>
      <c r="V67">
        <f>IF(SUM(ifood_data[[#This Row],[AcceptedCmp1]:[AcceptedCmp5]])&gt;0,1,0)</f>
        <v>1</v>
      </c>
      <c r="W67">
        <v>0</v>
      </c>
      <c r="X67">
        <v>3</v>
      </c>
      <c r="Y67">
        <v>11</v>
      </c>
      <c r="Z67">
        <v>1</v>
      </c>
      <c r="AA67">
        <v>59</v>
      </c>
      <c r="AB67">
        <v>2379</v>
      </c>
      <c r="AC67" s="28">
        <f>ifood_data[[#This Row],[Customer_Days]]/365</f>
        <v>6.5178082191780824</v>
      </c>
      <c r="AD67">
        <v>0</v>
      </c>
      <c r="AE67">
        <v>0</v>
      </c>
      <c r="AF67">
        <v>1</v>
      </c>
      <c r="AG67">
        <v>0</v>
      </c>
      <c r="AH67">
        <v>0</v>
      </c>
      <c r="AI67">
        <v>0</v>
      </c>
      <c r="AJ67">
        <v>0</v>
      </c>
      <c r="AK67">
        <v>1</v>
      </c>
      <c r="AL67">
        <v>0</v>
      </c>
      <c r="AM67">
        <v>0</v>
      </c>
      <c r="AN67">
        <v>1412</v>
      </c>
      <c r="AO67">
        <v>1375</v>
      </c>
      <c r="AP67">
        <f>ifood_data[[#This Row],[MntTotal]]-ifood_data[[#This Row],[MntRegularProds]]</f>
        <v>37</v>
      </c>
      <c r="AQ67">
        <v>1</v>
      </c>
      <c r="AR67">
        <f>IF(SUM(ifood_data[[#This Row],[Kidhome]:[Teenhome]])&gt;0,1,0)</f>
        <v>0</v>
      </c>
      <c r="AS67" t="str">
        <f>IF(SUM(ifood_data[[#This Row],[Kidhome]:[Teenhome]])&gt;0,"Has Family","No Family")</f>
        <v>No Family</v>
      </c>
      <c r="AT67" t="str">
        <f>IF(ifood_data[[#This Row],[marital_Married]]=1,"Married", (IF(ifood_data[[#This Row],[marital_Single]]=1,"Single",(IF(ifood_data[[#This Row],[marital_Divorced]]=1,"Divorced",(IF(ifood_data[[#This Row],[marital_Together]]=1,"Living Together",(IF(ifood_data[[#This Row],[marital_Widow]]=1,"Widow","Other")))))))))</f>
        <v>Single</v>
      </c>
      <c r="AU67" t="str">
        <f>IF(ifood_data[[#This Row],[education_Basic]]=1,"High School",(IF(ifood_data[[#This Row],[education_Graduation]]=1,"Undergraduate Degree",(IF(SUM(AM67,AL67,AI67)&gt;0,"Master's Degree or Higher","Other")))))</f>
        <v>Undergraduate Degree</v>
      </c>
      <c r="AV67" t="str">
        <f>IF(ifood_data[[#All],[Income]]&gt;75000,"75K+",(IF(ifood_data[[#All],[Income]]&gt;50000,"50K-75K",(IF(ifood_data[[#All],[Income]]&gt;35000,"35K-50K","&lt;35K")))))</f>
        <v>75K+</v>
      </c>
      <c r="AW67" t="str">
        <f>IF(ifood_data[[#All],[Age]]&gt;60,"60+",(IF(ifood_data[[#All],[Age]]&gt;50,"50-60",(IF(ifood_data[[#All],[Age]]&gt;40,"40-50",(IF(ifood_data[[#All],[Age]]&gt;30,"30-40","&lt;30")))))))</f>
        <v>50-60</v>
      </c>
      <c r="AX67">
        <f t="shared" si="4"/>
        <v>20</v>
      </c>
      <c r="AY67">
        <f t="shared" si="5"/>
        <v>9</v>
      </c>
      <c r="AZ67">
        <f t="shared" si="6"/>
        <v>4</v>
      </c>
      <c r="BA67">
        <f t="shared" si="7"/>
        <v>8</v>
      </c>
      <c r="BB67">
        <f>SUM(ifood_data[[#This Row],[Recency Score]:[Monetary Score]])</f>
        <v>21</v>
      </c>
      <c r="BC67">
        <f>(_xlfn.PERCENTRANK.INC(ifood_data[[#All],[RFM]],ifood_data[[#This Row],[RFM]],1))*10</f>
        <v>8</v>
      </c>
      <c r="BD67" t="str">
        <f>VLOOKUP(ifood_data[[#This Row],[RFM Score]],'RFM Analysis'!$A$3:$B$14,2,FALSE)</f>
        <v>Loyal Customer</v>
      </c>
      <c r="BE67">
        <f>'Regression Models'!$B$101+'Regression Models'!$B$102*ifood_data[[#This Row],[Income]]+'Regression Models'!$B$103*ifood_data[[#This Row],[Age]]+'Regression Models'!$B$104*ifood_data[[#This Row],[Family]]</f>
        <v>1466.0156799798078</v>
      </c>
      <c r="BF67" t="str">
        <f>IF(ifood_data[[#This Row],[AcceptedCmpOverall]]=1,"Campaign Respondent","Non-respondent")</f>
        <v>Campaign Respondent</v>
      </c>
    </row>
    <row r="68" spans="1:58" x14ac:dyDescent="0.35">
      <c r="A68">
        <v>1008</v>
      </c>
      <c r="B68">
        <v>83528</v>
      </c>
      <c r="C68">
        <v>0</v>
      </c>
      <c r="D68">
        <v>0</v>
      </c>
      <c r="E68">
        <v>7</v>
      </c>
      <c r="F68">
        <v>530</v>
      </c>
      <c r="G68">
        <v>117</v>
      </c>
      <c r="H68">
        <v>678</v>
      </c>
      <c r="I68">
        <v>134</v>
      </c>
      <c r="J68">
        <v>44</v>
      </c>
      <c r="K68">
        <v>147</v>
      </c>
      <c r="L68">
        <v>1</v>
      </c>
      <c r="M68">
        <v>4</v>
      </c>
      <c r="N68">
        <v>10</v>
      </c>
      <c r="O68">
        <v>8</v>
      </c>
      <c r="P68">
        <v>1</v>
      </c>
      <c r="Q68">
        <v>1</v>
      </c>
      <c r="R68">
        <v>0</v>
      </c>
      <c r="S68">
        <v>1</v>
      </c>
      <c r="T68">
        <v>0</v>
      </c>
      <c r="U68">
        <v>0</v>
      </c>
      <c r="V68">
        <f>IF(SUM(ifood_data[[#This Row],[AcceptedCmp1]:[AcceptedCmp5]])&gt;0,1,0)</f>
        <v>1</v>
      </c>
      <c r="W68">
        <v>0</v>
      </c>
      <c r="X68">
        <v>3</v>
      </c>
      <c r="Y68">
        <v>11</v>
      </c>
      <c r="Z68">
        <v>1</v>
      </c>
      <c r="AA68">
        <v>28</v>
      </c>
      <c r="AB68">
        <v>2218</v>
      </c>
      <c r="AC68" s="28">
        <f>ifood_data[[#This Row],[Customer_Days]]/365</f>
        <v>6.0767123287671234</v>
      </c>
      <c r="AD68">
        <v>0</v>
      </c>
      <c r="AE68">
        <v>0</v>
      </c>
      <c r="AF68">
        <v>1</v>
      </c>
      <c r="AG68">
        <v>0</v>
      </c>
      <c r="AH68">
        <v>0</v>
      </c>
      <c r="AI68">
        <v>0</v>
      </c>
      <c r="AJ68">
        <v>0</v>
      </c>
      <c r="AK68">
        <v>1</v>
      </c>
      <c r="AL68">
        <v>0</v>
      </c>
      <c r="AM68">
        <v>0</v>
      </c>
      <c r="AN68">
        <v>1503</v>
      </c>
      <c r="AO68">
        <v>1356</v>
      </c>
      <c r="AP68">
        <f>ifood_data[[#This Row],[MntTotal]]-ifood_data[[#This Row],[MntRegularProds]]</f>
        <v>147</v>
      </c>
      <c r="AQ68">
        <v>2</v>
      </c>
      <c r="AR68">
        <f>IF(SUM(ifood_data[[#This Row],[Kidhome]:[Teenhome]])&gt;0,1,0)</f>
        <v>0</v>
      </c>
      <c r="AS68" t="str">
        <f>IF(SUM(ifood_data[[#This Row],[Kidhome]:[Teenhome]])&gt;0,"Has Family","No Family")</f>
        <v>No Family</v>
      </c>
      <c r="AT68" t="str">
        <f>IF(ifood_data[[#This Row],[marital_Married]]=1,"Married", (IF(ifood_data[[#This Row],[marital_Single]]=1,"Single",(IF(ifood_data[[#This Row],[marital_Divorced]]=1,"Divorced",(IF(ifood_data[[#This Row],[marital_Together]]=1,"Living Together",(IF(ifood_data[[#This Row],[marital_Widow]]=1,"Widow","Other")))))))))</f>
        <v>Single</v>
      </c>
      <c r="AU68" t="str">
        <f>IF(ifood_data[[#This Row],[education_Basic]]=1,"High School",(IF(ifood_data[[#This Row],[education_Graduation]]=1,"Undergraduate Degree",(IF(SUM(AM68,AL68,AI68)&gt;0,"Master's Degree or Higher","Other")))))</f>
        <v>Undergraduate Degree</v>
      </c>
      <c r="AV68" t="str">
        <f>IF(ifood_data[[#All],[Income]]&gt;75000,"75K+",(IF(ifood_data[[#All],[Income]]&gt;50000,"50K-75K",(IF(ifood_data[[#All],[Income]]&gt;35000,"35K-50K","&lt;35K")))))</f>
        <v>75K+</v>
      </c>
      <c r="AW68" t="str">
        <f>IF(ifood_data[[#All],[Age]]&gt;60,"60+",(IF(ifood_data[[#All],[Age]]&gt;50,"50-60",(IF(ifood_data[[#All],[Age]]&gt;40,"40-50",(IF(ifood_data[[#All],[Age]]&gt;30,"30-40","&lt;30")))))))</f>
        <v>&lt;30</v>
      </c>
      <c r="AX68">
        <f t="shared" si="4"/>
        <v>24</v>
      </c>
      <c r="AY68">
        <f t="shared" si="5"/>
        <v>10</v>
      </c>
      <c r="AZ68">
        <f t="shared" si="6"/>
        <v>6</v>
      </c>
      <c r="BA68">
        <f t="shared" si="7"/>
        <v>9</v>
      </c>
      <c r="BB68">
        <f>SUM(ifood_data[[#This Row],[Recency Score]:[Monetary Score]])</f>
        <v>25</v>
      </c>
      <c r="BC68">
        <f>(_xlfn.PERCENTRANK.INC(ifood_data[[#All],[RFM]],ifood_data[[#This Row],[RFM]],1))*10</f>
        <v>9</v>
      </c>
      <c r="BD68" t="str">
        <f>VLOOKUP(ifood_data[[#This Row],[RFM Score]],'RFM Analysis'!$A$3:$B$14,2,FALSE)</f>
        <v>Top Customer</v>
      </c>
      <c r="BE68">
        <f>'Regression Models'!$B$101+'Regression Models'!$B$102*ifood_data[[#This Row],[Income]]+'Regression Models'!$B$103*ifood_data[[#This Row],[Age]]+'Regression Models'!$B$104*ifood_data[[#This Row],[Family]]</f>
        <v>1463.7974750400799</v>
      </c>
      <c r="BF68" t="str">
        <f>IF(ifood_data[[#This Row],[AcceptedCmpOverall]]=1,"Campaign Respondent","Non-respondent")</f>
        <v>Campaign Respondent</v>
      </c>
    </row>
    <row r="69" spans="1:58" x14ac:dyDescent="0.35">
      <c r="A69">
        <v>1691</v>
      </c>
      <c r="B69">
        <v>83257</v>
      </c>
      <c r="C69">
        <v>0</v>
      </c>
      <c r="D69">
        <v>0</v>
      </c>
      <c r="E69">
        <v>56</v>
      </c>
      <c r="F69">
        <v>536</v>
      </c>
      <c r="G69">
        <v>27</v>
      </c>
      <c r="H69">
        <v>590</v>
      </c>
      <c r="I69">
        <v>38</v>
      </c>
      <c r="J69">
        <v>107</v>
      </c>
      <c r="K69">
        <v>67</v>
      </c>
      <c r="L69">
        <v>1</v>
      </c>
      <c r="M69">
        <v>5</v>
      </c>
      <c r="N69">
        <v>10</v>
      </c>
      <c r="O69">
        <v>12</v>
      </c>
      <c r="P69">
        <v>6</v>
      </c>
      <c r="Q69">
        <v>0</v>
      </c>
      <c r="R69">
        <v>0</v>
      </c>
      <c r="S69">
        <v>1</v>
      </c>
      <c r="T69">
        <v>0</v>
      </c>
      <c r="U69">
        <v>1</v>
      </c>
      <c r="V69">
        <f>IF(SUM(ifood_data[[#This Row],[AcceptedCmp1]:[AcceptedCmp5]])&gt;0,1,0)</f>
        <v>1</v>
      </c>
      <c r="W69">
        <v>1</v>
      </c>
      <c r="X69">
        <v>3</v>
      </c>
      <c r="Y69">
        <v>11</v>
      </c>
      <c r="Z69">
        <v>1</v>
      </c>
      <c r="AA69">
        <v>25</v>
      </c>
      <c r="AB69">
        <v>2808</v>
      </c>
      <c r="AC69" s="28">
        <f>ifood_data[[#This Row],[Customer_Days]]/365</f>
        <v>7.6931506849315072</v>
      </c>
      <c r="AD69">
        <v>0</v>
      </c>
      <c r="AE69">
        <v>0</v>
      </c>
      <c r="AF69">
        <v>1</v>
      </c>
      <c r="AG69">
        <v>0</v>
      </c>
      <c r="AH69">
        <v>0</v>
      </c>
      <c r="AI69">
        <v>1</v>
      </c>
      <c r="AJ69">
        <v>0</v>
      </c>
      <c r="AK69">
        <v>0</v>
      </c>
      <c r="AL69">
        <v>0</v>
      </c>
      <c r="AM69">
        <v>0</v>
      </c>
      <c r="AN69">
        <v>1298</v>
      </c>
      <c r="AO69">
        <v>1231</v>
      </c>
      <c r="AP69">
        <f>ifood_data[[#This Row],[MntTotal]]-ifood_data[[#This Row],[MntRegularProds]]</f>
        <v>67</v>
      </c>
      <c r="AQ69">
        <v>2</v>
      </c>
      <c r="AR69">
        <f>IF(SUM(ifood_data[[#This Row],[Kidhome]:[Teenhome]])&gt;0,1,0)</f>
        <v>0</v>
      </c>
      <c r="AS69" t="str">
        <f>IF(SUM(ifood_data[[#This Row],[Kidhome]:[Teenhome]])&gt;0,"Has Family","No Family")</f>
        <v>No Family</v>
      </c>
      <c r="AT69" t="str">
        <f>IF(ifood_data[[#This Row],[marital_Married]]=1,"Married", (IF(ifood_data[[#This Row],[marital_Single]]=1,"Single",(IF(ifood_data[[#This Row],[marital_Divorced]]=1,"Divorced",(IF(ifood_data[[#This Row],[marital_Together]]=1,"Living Together",(IF(ifood_data[[#This Row],[marital_Widow]]=1,"Widow","Other")))))))))</f>
        <v>Single</v>
      </c>
      <c r="AU69" t="str">
        <f>IF(ifood_data[[#This Row],[education_Basic]]=1,"High School",(IF(ifood_data[[#This Row],[education_Graduation]]=1,"Undergraduate Degree",(IF(SUM(AM69,AL69,AI69)&gt;0,"Master's Degree or Higher","Other")))))</f>
        <v>Master's Degree or Higher</v>
      </c>
      <c r="AV69" t="str">
        <f>IF(ifood_data[[#All],[Income]]&gt;75000,"75K+",(IF(ifood_data[[#All],[Income]]&gt;50000,"50K-75K",(IF(ifood_data[[#All],[Income]]&gt;35000,"35K-50K","&lt;35K")))))</f>
        <v>75K+</v>
      </c>
      <c r="AW69" t="str">
        <f>IF(ifood_data[[#All],[Age]]&gt;60,"60+",(IF(ifood_data[[#All],[Age]]&gt;50,"50-60",(IF(ifood_data[[#All],[Age]]&gt;40,"40-50",(IF(ifood_data[[#All],[Age]]&gt;30,"30-40","&lt;30")))))))</f>
        <v>&lt;30</v>
      </c>
      <c r="AX69">
        <f t="shared" si="4"/>
        <v>34</v>
      </c>
      <c r="AY69">
        <f t="shared" si="5"/>
        <v>5</v>
      </c>
      <c r="AZ69">
        <f t="shared" si="6"/>
        <v>9</v>
      </c>
      <c r="BA69">
        <f t="shared" si="7"/>
        <v>8</v>
      </c>
      <c r="BB69">
        <f>SUM(ifood_data[[#This Row],[Recency Score]:[Monetary Score]])</f>
        <v>22</v>
      </c>
      <c r="BC69">
        <f>(_xlfn.PERCENTRANK.INC(ifood_data[[#All],[RFM]],ifood_data[[#This Row],[RFM]],1))*10</f>
        <v>8</v>
      </c>
      <c r="BD69" t="str">
        <f>VLOOKUP(ifood_data[[#This Row],[RFM Score]],'RFM Analysis'!$A$3:$B$14,2,FALSE)</f>
        <v>Loyal Customer</v>
      </c>
      <c r="BE69">
        <f>'Regression Models'!$B$101+'Regression Models'!$B$102*ifood_data[[#This Row],[Income]]+'Regression Models'!$B$103*ifood_data[[#This Row],[Age]]+'Regression Models'!$B$104*ifood_data[[#This Row],[Family]]</f>
        <v>1463.7814361097662</v>
      </c>
      <c r="BF69" t="str">
        <f>IF(ifood_data[[#This Row],[AcceptedCmpOverall]]=1,"Campaign Respondent","Non-respondent")</f>
        <v>Campaign Respondent</v>
      </c>
    </row>
    <row r="70" spans="1:58" x14ac:dyDescent="0.35">
      <c r="A70">
        <v>131</v>
      </c>
      <c r="B70">
        <v>86111</v>
      </c>
      <c r="C70">
        <v>0</v>
      </c>
      <c r="D70">
        <v>0</v>
      </c>
      <c r="E70">
        <v>73</v>
      </c>
      <c r="F70">
        <v>399</v>
      </c>
      <c r="G70">
        <v>28</v>
      </c>
      <c r="H70">
        <v>756</v>
      </c>
      <c r="I70">
        <v>36</v>
      </c>
      <c r="J70">
        <v>40</v>
      </c>
      <c r="K70">
        <v>126</v>
      </c>
      <c r="L70">
        <v>1</v>
      </c>
      <c r="M70">
        <v>5</v>
      </c>
      <c r="N70">
        <v>7</v>
      </c>
      <c r="O70">
        <v>10</v>
      </c>
      <c r="P70">
        <v>2</v>
      </c>
      <c r="Q70">
        <v>0</v>
      </c>
      <c r="R70">
        <v>0</v>
      </c>
      <c r="S70">
        <v>0</v>
      </c>
      <c r="T70">
        <v>0</v>
      </c>
      <c r="U70">
        <v>0</v>
      </c>
      <c r="V70">
        <f>IF(SUM(ifood_data[[#This Row],[AcceptedCmp1]:[AcceptedCmp5]])&gt;0,1,0)</f>
        <v>0</v>
      </c>
      <c r="W70">
        <v>0</v>
      </c>
      <c r="X70">
        <v>3</v>
      </c>
      <c r="Y70">
        <v>11</v>
      </c>
      <c r="Z70">
        <v>0</v>
      </c>
      <c r="AA70">
        <v>58</v>
      </c>
      <c r="AB70">
        <v>2595</v>
      </c>
      <c r="AC70" s="28">
        <f>ifood_data[[#This Row],[Customer_Days]]/365</f>
        <v>7.1095890410958908</v>
      </c>
      <c r="AD70">
        <v>0</v>
      </c>
      <c r="AE70">
        <v>1</v>
      </c>
      <c r="AF70">
        <v>0</v>
      </c>
      <c r="AG70">
        <v>0</v>
      </c>
      <c r="AH70">
        <v>0</v>
      </c>
      <c r="AI70">
        <v>0</v>
      </c>
      <c r="AJ70">
        <v>0</v>
      </c>
      <c r="AK70">
        <v>1</v>
      </c>
      <c r="AL70">
        <v>0</v>
      </c>
      <c r="AM70">
        <v>0</v>
      </c>
      <c r="AN70">
        <v>1259</v>
      </c>
      <c r="AO70">
        <v>1133</v>
      </c>
      <c r="AP70">
        <f>ifood_data[[#This Row],[MntTotal]]-ifood_data[[#This Row],[MntRegularProds]]</f>
        <v>126</v>
      </c>
      <c r="AQ70">
        <v>0</v>
      </c>
      <c r="AR70">
        <f>IF(SUM(ifood_data[[#This Row],[Kidhome]:[Teenhome]])&gt;0,1,0)</f>
        <v>0</v>
      </c>
      <c r="AS70" t="str">
        <f>IF(SUM(ifood_data[[#This Row],[Kidhome]:[Teenhome]])&gt;0,"Has Family","No Family")</f>
        <v>No Family</v>
      </c>
      <c r="AT70" t="str">
        <f>IF(ifood_data[[#This Row],[marital_Married]]=1,"Married", (IF(ifood_data[[#This Row],[marital_Single]]=1,"Single",(IF(ifood_data[[#This Row],[marital_Divorced]]=1,"Divorced",(IF(ifood_data[[#This Row],[marital_Together]]=1,"Living Together",(IF(ifood_data[[#This Row],[marital_Widow]]=1,"Widow","Other")))))))))</f>
        <v>Married</v>
      </c>
      <c r="AU70" t="str">
        <f>IF(ifood_data[[#This Row],[education_Basic]]=1,"High School",(IF(ifood_data[[#This Row],[education_Graduation]]=1,"Undergraduate Degree",(IF(SUM(AM70,AL70,AI70)&gt;0,"Master's Degree or Higher","Other")))))</f>
        <v>Undergraduate Degree</v>
      </c>
      <c r="AV70" t="str">
        <f>IF(ifood_data[[#All],[Income]]&gt;75000,"75K+",(IF(ifood_data[[#All],[Income]]&gt;50000,"50K-75K",(IF(ifood_data[[#All],[Income]]&gt;35000,"35K-50K","&lt;35K")))))</f>
        <v>75K+</v>
      </c>
      <c r="AW70" t="str">
        <f>IF(ifood_data[[#All],[Age]]&gt;60,"60+",(IF(ifood_data[[#All],[Age]]&gt;50,"50-60",(IF(ifood_data[[#All],[Age]]&gt;40,"40-50",(IF(ifood_data[[#All],[Age]]&gt;30,"30-40","&lt;30")))))))</f>
        <v>50-60</v>
      </c>
      <c r="AX70">
        <f t="shared" si="4"/>
        <v>25</v>
      </c>
      <c r="AY70">
        <f t="shared" si="5"/>
        <v>3.0000000000000004</v>
      </c>
      <c r="AZ70">
        <f t="shared" si="6"/>
        <v>7</v>
      </c>
      <c r="BA70">
        <f t="shared" si="7"/>
        <v>8</v>
      </c>
      <c r="BB70">
        <f>SUM(ifood_data[[#This Row],[Recency Score]:[Monetary Score]])</f>
        <v>18</v>
      </c>
      <c r="BC70">
        <f>(_xlfn.PERCENTRANK.INC(ifood_data[[#All],[RFM]],ifood_data[[#This Row],[RFM]],1))*10</f>
        <v>6</v>
      </c>
      <c r="BD70" t="str">
        <f>VLOOKUP(ifood_data[[#This Row],[RFM Score]],'RFM Analysis'!$A$3:$B$14,2,FALSE)</f>
        <v>Promising</v>
      </c>
      <c r="BE70">
        <f>'Regression Models'!$B$101+'Regression Models'!$B$102*ifood_data[[#This Row],[Income]]+'Regression Models'!$B$103*ifood_data[[#This Row],[Age]]+'Regression Models'!$B$104*ifood_data[[#This Row],[Family]]</f>
        <v>1461.3684907889424</v>
      </c>
      <c r="BF70" t="str">
        <f>IF(ifood_data[[#This Row],[AcceptedCmpOverall]]=1,"Campaign Respondent","Non-respondent")</f>
        <v>Non-respondent</v>
      </c>
    </row>
    <row r="71" spans="1:58" x14ac:dyDescent="0.35">
      <c r="A71">
        <v>184</v>
      </c>
      <c r="B71">
        <v>86718</v>
      </c>
      <c r="C71">
        <v>0</v>
      </c>
      <c r="D71">
        <v>0</v>
      </c>
      <c r="E71">
        <v>20</v>
      </c>
      <c r="F71">
        <v>344</v>
      </c>
      <c r="G71">
        <v>189</v>
      </c>
      <c r="H71">
        <v>482</v>
      </c>
      <c r="I71">
        <v>50</v>
      </c>
      <c r="J71">
        <v>33</v>
      </c>
      <c r="K71">
        <v>172</v>
      </c>
      <c r="L71">
        <v>1</v>
      </c>
      <c r="M71">
        <v>5</v>
      </c>
      <c r="N71">
        <v>6</v>
      </c>
      <c r="O71">
        <v>5</v>
      </c>
      <c r="P71">
        <v>2</v>
      </c>
      <c r="Q71">
        <v>0</v>
      </c>
      <c r="R71">
        <v>0</v>
      </c>
      <c r="S71">
        <v>0</v>
      </c>
      <c r="T71">
        <v>0</v>
      </c>
      <c r="U71">
        <v>0</v>
      </c>
      <c r="V71">
        <f>IF(SUM(ifood_data[[#This Row],[AcceptedCmp1]:[AcceptedCmp5]])&gt;0,1,0)</f>
        <v>0</v>
      </c>
      <c r="W71">
        <v>0</v>
      </c>
      <c r="X71">
        <v>3</v>
      </c>
      <c r="Y71">
        <v>11</v>
      </c>
      <c r="Z71">
        <v>0</v>
      </c>
      <c r="AA71">
        <v>66</v>
      </c>
      <c r="AB71">
        <v>2687</v>
      </c>
      <c r="AC71" s="28">
        <f>ifood_data[[#This Row],[Customer_Days]]/365</f>
        <v>7.3616438356164382</v>
      </c>
      <c r="AD71">
        <v>0</v>
      </c>
      <c r="AE71">
        <v>1</v>
      </c>
      <c r="AF71">
        <v>0</v>
      </c>
      <c r="AG71">
        <v>0</v>
      </c>
      <c r="AH71">
        <v>0</v>
      </c>
      <c r="AI71">
        <v>0</v>
      </c>
      <c r="AJ71">
        <v>0</v>
      </c>
      <c r="AK71">
        <v>1</v>
      </c>
      <c r="AL71">
        <v>0</v>
      </c>
      <c r="AM71">
        <v>0</v>
      </c>
      <c r="AN71">
        <v>1098</v>
      </c>
      <c r="AO71">
        <v>926</v>
      </c>
      <c r="AP71">
        <f>ifood_data[[#This Row],[MntTotal]]-ifood_data[[#This Row],[MntRegularProds]]</f>
        <v>172</v>
      </c>
      <c r="AQ71">
        <v>0</v>
      </c>
      <c r="AR71">
        <f>IF(SUM(ifood_data[[#This Row],[Kidhome]:[Teenhome]])&gt;0,1,0)</f>
        <v>0</v>
      </c>
      <c r="AS71" t="str">
        <f>IF(SUM(ifood_data[[#This Row],[Kidhome]:[Teenhome]])&gt;0,"Has Family","No Family")</f>
        <v>No Family</v>
      </c>
      <c r="AT71" t="str">
        <f>IF(ifood_data[[#This Row],[marital_Married]]=1,"Married", (IF(ifood_data[[#This Row],[marital_Single]]=1,"Single",(IF(ifood_data[[#This Row],[marital_Divorced]]=1,"Divorced",(IF(ifood_data[[#This Row],[marital_Together]]=1,"Living Together",(IF(ifood_data[[#This Row],[marital_Widow]]=1,"Widow","Other")))))))))</f>
        <v>Married</v>
      </c>
      <c r="AU71" t="str">
        <f>IF(ifood_data[[#This Row],[education_Basic]]=1,"High School",(IF(ifood_data[[#This Row],[education_Graduation]]=1,"Undergraduate Degree",(IF(SUM(AM71,AL71,AI71)&gt;0,"Master's Degree or Higher","Other")))))</f>
        <v>Undergraduate Degree</v>
      </c>
      <c r="AV71" t="str">
        <f>IF(ifood_data[[#All],[Income]]&gt;75000,"75K+",(IF(ifood_data[[#All],[Income]]&gt;50000,"50K-75K",(IF(ifood_data[[#All],[Income]]&gt;35000,"35K-50K","&lt;35K")))))</f>
        <v>75K+</v>
      </c>
      <c r="AW71" t="str">
        <f>IF(ifood_data[[#All],[Age]]&gt;60,"60+",(IF(ifood_data[[#All],[Age]]&gt;50,"50-60",(IF(ifood_data[[#All],[Age]]&gt;40,"40-50",(IF(ifood_data[[#All],[Age]]&gt;30,"30-40","&lt;30")))))))</f>
        <v>60+</v>
      </c>
      <c r="AX71">
        <f t="shared" si="4"/>
        <v>19</v>
      </c>
      <c r="AY71">
        <f t="shared" si="5"/>
        <v>8</v>
      </c>
      <c r="AZ71">
        <f t="shared" si="6"/>
        <v>4</v>
      </c>
      <c r="BA71">
        <f t="shared" si="7"/>
        <v>8</v>
      </c>
      <c r="BB71">
        <f>SUM(ifood_data[[#This Row],[Recency Score]:[Monetary Score]])</f>
        <v>20</v>
      </c>
      <c r="BC71">
        <f>(_xlfn.PERCENTRANK.INC(ifood_data[[#All],[RFM]],ifood_data[[#This Row],[RFM]],1))*10</f>
        <v>7</v>
      </c>
      <c r="BD71" t="str">
        <f>VLOOKUP(ifood_data[[#This Row],[RFM Score]],'RFM Analysis'!$A$3:$B$14,2,FALSE)</f>
        <v>Loyal Customer</v>
      </c>
      <c r="BE71">
        <f>'Regression Models'!$B$101+'Regression Models'!$B$102*ifood_data[[#This Row],[Income]]+'Regression Models'!$B$103*ifood_data[[#This Row],[Age]]+'Regression Models'!$B$104*ifood_data[[#This Row],[Family]]</f>
        <v>1459.0529604211345</v>
      </c>
      <c r="BF71" t="str">
        <f>IF(ifood_data[[#This Row],[AcceptedCmpOverall]]=1,"Campaign Respondent","Non-respondent")</f>
        <v>Non-respondent</v>
      </c>
    </row>
    <row r="72" spans="1:58" x14ac:dyDescent="0.35">
      <c r="A72">
        <v>517</v>
      </c>
      <c r="B72">
        <v>84169</v>
      </c>
      <c r="C72">
        <v>0</v>
      </c>
      <c r="D72">
        <v>0</v>
      </c>
      <c r="E72">
        <v>9</v>
      </c>
      <c r="F72">
        <v>1478</v>
      </c>
      <c r="G72">
        <v>19</v>
      </c>
      <c r="H72">
        <v>403</v>
      </c>
      <c r="I72">
        <v>0</v>
      </c>
      <c r="J72">
        <v>19</v>
      </c>
      <c r="K72">
        <v>0</v>
      </c>
      <c r="L72">
        <v>1</v>
      </c>
      <c r="M72">
        <v>7</v>
      </c>
      <c r="N72">
        <v>6</v>
      </c>
      <c r="O72">
        <v>6</v>
      </c>
      <c r="P72">
        <v>3</v>
      </c>
      <c r="Q72">
        <v>0</v>
      </c>
      <c r="R72">
        <v>0</v>
      </c>
      <c r="S72">
        <v>0</v>
      </c>
      <c r="T72">
        <v>1</v>
      </c>
      <c r="U72">
        <v>1</v>
      </c>
      <c r="V72">
        <f>IF(SUM(ifood_data[[#This Row],[AcceptedCmp1]:[AcceptedCmp5]])&gt;0,1,0)</f>
        <v>1</v>
      </c>
      <c r="W72">
        <v>0</v>
      </c>
      <c r="X72">
        <v>3</v>
      </c>
      <c r="Y72">
        <v>11</v>
      </c>
      <c r="Z72">
        <v>1</v>
      </c>
      <c r="AA72">
        <v>38</v>
      </c>
      <c r="AB72">
        <v>2485</v>
      </c>
      <c r="AC72" s="28">
        <f>ifood_data[[#This Row],[Customer_Days]]/365</f>
        <v>6.8082191780821919</v>
      </c>
      <c r="AD72">
        <v>0</v>
      </c>
      <c r="AE72">
        <v>1</v>
      </c>
      <c r="AF72">
        <v>0</v>
      </c>
      <c r="AG72">
        <v>0</v>
      </c>
      <c r="AH72">
        <v>0</v>
      </c>
      <c r="AI72">
        <v>0</v>
      </c>
      <c r="AJ72">
        <v>0</v>
      </c>
      <c r="AK72">
        <v>0</v>
      </c>
      <c r="AL72">
        <v>0</v>
      </c>
      <c r="AM72">
        <v>1</v>
      </c>
      <c r="AN72">
        <v>1919</v>
      </c>
      <c r="AO72">
        <v>1919</v>
      </c>
      <c r="AP72">
        <f>ifood_data[[#This Row],[MntTotal]]-ifood_data[[#This Row],[MntRegularProds]]</f>
        <v>0</v>
      </c>
      <c r="AQ72">
        <v>2</v>
      </c>
      <c r="AR72">
        <f>IF(SUM(ifood_data[[#This Row],[Kidhome]:[Teenhome]])&gt;0,1,0)</f>
        <v>0</v>
      </c>
      <c r="AS72" t="str">
        <f>IF(SUM(ifood_data[[#This Row],[Kidhome]:[Teenhome]])&gt;0,"Has Family","No Family")</f>
        <v>No Family</v>
      </c>
      <c r="AT72" t="str">
        <f>IF(ifood_data[[#This Row],[marital_Married]]=1,"Married", (IF(ifood_data[[#This Row],[marital_Single]]=1,"Single",(IF(ifood_data[[#This Row],[marital_Divorced]]=1,"Divorced",(IF(ifood_data[[#This Row],[marital_Together]]=1,"Living Together",(IF(ifood_data[[#This Row],[marital_Widow]]=1,"Widow","Other")))))))))</f>
        <v>Married</v>
      </c>
      <c r="AU72" t="str">
        <f>IF(ifood_data[[#This Row],[education_Basic]]=1,"High School",(IF(ifood_data[[#This Row],[education_Graduation]]=1,"Undergraduate Degree",(IF(SUM(AM72,AL72,AI72)&gt;0,"Master's Degree or Higher","Other")))))</f>
        <v>Master's Degree or Higher</v>
      </c>
      <c r="AV72" t="str">
        <f>IF(ifood_data[[#All],[Income]]&gt;75000,"75K+",(IF(ifood_data[[#All],[Income]]&gt;50000,"50K-75K",(IF(ifood_data[[#All],[Income]]&gt;35000,"35K-50K","&lt;35K")))))</f>
        <v>75K+</v>
      </c>
      <c r="AW72" t="str">
        <f>IF(ifood_data[[#All],[Age]]&gt;60,"60+",(IF(ifood_data[[#All],[Age]]&gt;50,"50-60",(IF(ifood_data[[#All],[Age]]&gt;40,"40-50",(IF(ifood_data[[#All],[Age]]&gt;30,"30-40","&lt;30")))))))</f>
        <v>30-40</v>
      </c>
      <c r="AX72">
        <f t="shared" si="4"/>
        <v>23</v>
      </c>
      <c r="AY72">
        <f t="shared" si="5"/>
        <v>10</v>
      </c>
      <c r="AZ72">
        <f t="shared" si="6"/>
        <v>6</v>
      </c>
      <c r="BA72">
        <f t="shared" si="7"/>
        <v>9</v>
      </c>
      <c r="BB72">
        <f>SUM(ifood_data[[#This Row],[Recency Score]:[Monetary Score]])</f>
        <v>25</v>
      </c>
      <c r="BC72">
        <f>(_xlfn.PERCENTRANK.INC(ifood_data[[#All],[RFM]],ifood_data[[#This Row],[RFM]],1))*10</f>
        <v>9</v>
      </c>
      <c r="BD72" t="str">
        <f>VLOOKUP(ifood_data[[#This Row],[RFM Score]],'RFM Analysis'!$A$3:$B$14,2,FALSE)</f>
        <v>Top Customer</v>
      </c>
      <c r="BE72">
        <f>'Regression Models'!$B$101+'Regression Models'!$B$102*ifood_data[[#This Row],[Income]]+'Regression Models'!$B$103*ifood_data[[#This Row],[Age]]+'Regression Models'!$B$104*ifood_data[[#This Row],[Family]]</f>
        <v>1458.5022846313764</v>
      </c>
      <c r="BF72" t="str">
        <f>IF(ifood_data[[#This Row],[AcceptedCmpOverall]]=1,"Campaign Respondent","Non-respondent")</f>
        <v>Campaign Respondent</v>
      </c>
    </row>
    <row r="73" spans="1:58" x14ac:dyDescent="0.35">
      <c r="A73">
        <v>832</v>
      </c>
      <c r="B73">
        <v>86424</v>
      </c>
      <c r="C73">
        <v>0</v>
      </c>
      <c r="D73">
        <v>0</v>
      </c>
      <c r="E73">
        <v>12</v>
      </c>
      <c r="F73">
        <v>387</v>
      </c>
      <c r="G73">
        <v>68</v>
      </c>
      <c r="H73">
        <v>569</v>
      </c>
      <c r="I73">
        <v>89</v>
      </c>
      <c r="J73">
        <v>45</v>
      </c>
      <c r="K73">
        <v>68</v>
      </c>
      <c r="L73">
        <v>1</v>
      </c>
      <c r="M73">
        <v>6</v>
      </c>
      <c r="N73">
        <v>9</v>
      </c>
      <c r="O73">
        <v>12</v>
      </c>
      <c r="P73">
        <v>1</v>
      </c>
      <c r="Q73">
        <v>0</v>
      </c>
      <c r="R73">
        <v>0</v>
      </c>
      <c r="S73">
        <v>0</v>
      </c>
      <c r="T73">
        <v>0</v>
      </c>
      <c r="U73">
        <v>0</v>
      </c>
      <c r="V73">
        <f>IF(SUM(ifood_data[[#This Row],[AcceptedCmp1]:[AcceptedCmp5]])&gt;0,1,0)</f>
        <v>0</v>
      </c>
      <c r="W73">
        <v>0</v>
      </c>
      <c r="X73">
        <v>3</v>
      </c>
      <c r="Y73">
        <v>11</v>
      </c>
      <c r="Z73">
        <v>0</v>
      </c>
      <c r="AA73">
        <v>64</v>
      </c>
      <c r="AB73">
        <v>2244</v>
      </c>
      <c r="AC73" s="28">
        <f>ifood_data[[#This Row],[Customer_Days]]/365</f>
        <v>6.1479452054794521</v>
      </c>
      <c r="AD73">
        <v>0</v>
      </c>
      <c r="AE73">
        <v>0</v>
      </c>
      <c r="AF73">
        <v>1</v>
      </c>
      <c r="AG73">
        <v>0</v>
      </c>
      <c r="AH73">
        <v>0</v>
      </c>
      <c r="AI73">
        <v>0</v>
      </c>
      <c r="AJ73">
        <v>0</v>
      </c>
      <c r="AK73">
        <v>0</v>
      </c>
      <c r="AL73">
        <v>1</v>
      </c>
      <c r="AM73">
        <v>0</v>
      </c>
      <c r="AN73">
        <v>1158</v>
      </c>
      <c r="AO73">
        <v>1090</v>
      </c>
      <c r="AP73">
        <f>ifood_data[[#This Row],[MntTotal]]-ifood_data[[#This Row],[MntRegularProds]]</f>
        <v>68</v>
      </c>
      <c r="AQ73">
        <v>0</v>
      </c>
      <c r="AR73">
        <f>IF(SUM(ifood_data[[#This Row],[Kidhome]:[Teenhome]])&gt;0,1,0)</f>
        <v>0</v>
      </c>
      <c r="AS73" t="str">
        <f>IF(SUM(ifood_data[[#This Row],[Kidhome]:[Teenhome]])&gt;0,"Has Family","No Family")</f>
        <v>No Family</v>
      </c>
      <c r="AT73" t="str">
        <f>IF(ifood_data[[#This Row],[marital_Married]]=1,"Married", (IF(ifood_data[[#This Row],[marital_Single]]=1,"Single",(IF(ifood_data[[#This Row],[marital_Divorced]]=1,"Divorced",(IF(ifood_data[[#This Row],[marital_Together]]=1,"Living Together",(IF(ifood_data[[#This Row],[marital_Widow]]=1,"Widow","Other")))))))))</f>
        <v>Single</v>
      </c>
      <c r="AU73" t="str">
        <f>IF(ifood_data[[#This Row],[education_Basic]]=1,"High School",(IF(ifood_data[[#This Row],[education_Graduation]]=1,"Undergraduate Degree",(IF(SUM(AM73,AL73,AI73)&gt;0,"Master's Degree or Higher","Other")))))</f>
        <v>Master's Degree or Higher</v>
      </c>
      <c r="AV73" t="str">
        <f>IF(ifood_data[[#All],[Income]]&gt;75000,"75K+",(IF(ifood_data[[#All],[Income]]&gt;50000,"50K-75K",(IF(ifood_data[[#All],[Income]]&gt;35000,"35K-50K","&lt;35K")))))</f>
        <v>75K+</v>
      </c>
      <c r="AW73" t="str">
        <f>IF(ifood_data[[#All],[Age]]&gt;60,"60+",(IF(ifood_data[[#All],[Age]]&gt;50,"50-60",(IF(ifood_data[[#All],[Age]]&gt;40,"40-50",(IF(ifood_data[[#All],[Age]]&gt;30,"30-40","&lt;30")))))))</f>
        <v>60+</v>
      </c>
      <c r="AX73">
        <f t="shared" si="4"/>
        <v>29</v>
      </c>
      <c r="AY73">
        <f t="shared" si="5"/>
        <v>9</v>
      </c>
      <c r="AZ73">
        <f t="shared" si="6"/>
        <v>8</v>
      </c>
      <c r="BA73">
        <f t="shared" si="7"/>
        <v>8</v>
      </c>
      <c r="BB73">
        <f>SUM(ifood_data[[#This Row],[Recency Score]:[Monetary Score]])</f>
        <v>25</v>
      </c>
      <c r="BC73">
        <f>(_xlfn.PERCENTRANK.INC(ifood_data[[#All],[RFM]],ifood_data[[#This Row],[RFM]],1))*10</f>
        <v>9</v>
      </c>
      <c r="BD73" t="str">
        <f>VLOOKUP(ifood_data[[#This Row],[RFM Score]],'RFM Analysis'!$A$3:$B$14,2,FALSE)</f>
        <v>Top Customer</v>
      </c>
      <c r="BE73">
        <f>'Regression Models'!$B$101+'Regression Models'!$B$102*ifood_data[[#This Row],[Income]]+'Regression Models'!$B$103*ifood_data[[#This Row],[Age]]+'Regression Models'!$B$104*ifood_data[[#This Row],[Family]]</f>
        <v>1456.731540744617</v>
      </c>
      <c r="BF73" t="str">
        <f>IF(ifood_data[[#This Row],[AcceptedCmpOverall]]=1,"Campaign Respondent","Non-respondent")</f>
        <v>Non-respondent</v>
      </c>
    </row>
    <row r="74" spans="1:58" x14ac:dyDescent="0.35">
      <c r="A74">
        <v>1166</v>
      </c>
      <c r="B74">
        <v>84906</v>
      </c>
      <c r="C74">
        <v>0</v>
      </c>
      <c r="D74">
        <v>0</v>
      </c>
      <c r="E74">
        <v>98</v>
      </c>
      <c r="F74">
        <v>997</v>
      </c>
      <c r="G74">
        <v>15</v>
      </c>
      <c r="H74">
        <v>414</v>
      </c>
      <c r="I74">
        <v>99</v>
      </c>
      <c r="J74">
        <v>30</v>
      </c>
      <c r="K74">
        <v>76</v>
      </c>
      <c r="L74">
        <v>1</v>
      </c>
      <c r="M74">
        <v>5</v>
      </c>
      <c r="N74">
        <v>6</v>
      </c>
      <c r="O74">
        <v>12</v>
      </c>
      <c r="P74">
        <v>2</v>
      </c>
      <c r="Q74">
        <v>0</v>
      </c>
      <c r="R74">
        <v>1</v>
      </c>
      <c r="S74">
        <v>0</v>
      </c>
      <c r="T74">
        <v>1</v>
      </c>
      <c r="U74">
        <v>1</v>
      </c>
      <c r="V74">
        <f>IF(SUM(ifood_data[[#This Row],[AcceptedCmp1]:[AcceptedCmp5]])&gt;0,1,0)</f>
        <v>1</v>
      </c>
      <c r="W74">
        <v>0</v>
      </c>
      <c r="X74">
        <v>3</v>
      </c>
      <c r="Y74">
        <v>11</v>
      </c>
      <c r="Z74">
        <v>0</v>
      </c>
      <c r="AA74">
        <v>48</v>
      </c>
      <c r="AB74">
        <v>2427</v>
      </c>
      <c r="AC74" s="28">
        <f>ifood_data[[#This Row],[Customer_Days]]/365</f>
        <v>6.6493150684931503</v>
      </c>
      <c r="AD74">
        <v>0</v>
      </c>
      <c r="AE74">
        <v>0</v>
      </c>
      <c r="AF74">
        <v>0</v>
      </c>
      <c r="AG74">
        <v>1</v>
      </c>
      <c r="AH74">
        <v>0</v>
      </c>
      <c r="AI74">
        <v>0</v>
      </c>
      <c r="AJ74">
        <v>0</v>
      </c>
      <c r="AK74">
        <v>1</v>
      </c>
      <c r="AL74">
        <v>0</v>
      </c>
      <c r="AM74">
        <v>0</v>
      </c>
      <c r="AN74">
        <v>1555</v>
      </c>
      <c r="AO74">
        <v>1479</v>
      </c>
      <c r="AP74">
        <f>ifood_data[[#This Row],[MntTotal]]-ifood_data[[#This Row],[MntRegularProds]]</f>
        <v>76</v>
      </c>
      <c r="AQ74">
        <v>3</v>
      </c>
      <c r="AR74">
        <f>IF(SUM(ifood_data[[#This Row],[Kidhome]:[Teenhome]])&gt;0,1,0)</f>
        <v>0</v>
      </c>
      <c r="AS74" t="str">
        <f>IF(SUM(ifood_data[[#This Row],[Kidhome]:[Teenhome]])&gt;0,"Has Family","No Family")</f>
        <v>No Family</v>
      </c>
      <c r="AT74" t="str">
        <f>IF(ifood_data[[#This Row],[marital_Married]]=1,"Married", (IF(ifood_data[[#This Row],[marital_Single]]=1,"Single",(IF(ifood_data[[#This Row],[marital_Divorced]]=1,"Divorced",(IF(ifood_data[[#This Row],[marital_Together]]=1,"Living Together",(IF(ifood_data[[#This Row],[marital_Widow]]=1,"Widow","Other")))))))))</f>
        <v>Living Together</v>
      </c>
      <c r="AU74" t="str">
        <f>IF(ifood_data[[#This Row],[education_Basic]]=1,"High School",(IF(ifood_data[[#This Row],[education_Graduation]]=1,"Undergraduate Degree",(IF(SUM(AM74,AL74,AI74)&gt;0,"Master's Degree or Higher","Other")))))</f>
        <v>Undergraduate Degree</v>
      </c>
      <c r="AV74" t="str">
        <f>IF(ifood_data[[#All],[Income]]&gt;75000,"75K+",(IF(ifood_data[[#All],[Income]]&gt;50000,"50K-75K",(IF(ifood_data[[#All],[Income]]&gt;35000,"35K-50K","&lt;35K")))))</f>
        <v>75K+</v>
      </c>
      <c r="AW74" t="str">
        <f>IF(ifood_data[[#All],[Age]]&gt;60,"60+",(IF(ifood_data[[#All],[Age]]&gt;50,"50-60",(IF(ifood_data[[#All],[Age]]&gt;40,"40-50",(IF(ifood_data[[#All],[Age]]&gt;30,"30-40","&lt;30")))))))</f>
        <v>40-50</v>
      </c>
      <c r="AX74">
        <f t="shared" si="4"/>
        <v>26</v>
      </c>
      <c r="AY74">
        <f t="shared" si="5"/>
        <v>0.99999999999999978</v>
      </c>
      <c r="AZ74">
        <f t="shared" si="6"/>
        <v>7</v>
      </c>
      <c r="BA74">
        <f t="shared" si="7"/>
        <v>9</v>
      </c>
      <c r="BB74">
        <f>SUM(ifood_data[[#This Row],[Recency Score]:[Monetary Score]])</f>
        <v>17</v>
      </c>
      <c r="BC74">
        <f>(_xlfn.PERCENTRANK.INC(ifood_data[[#All],[RFM]],ifood_data[[#This Row],[RFM]],1))*10</f>
        <v>6</v>
      </c>
      <c r="BD74" t="str">
        <f>VLOOKUP(ifood_data[[#This Row],[RFM Score]],'RFM Analysis'!$A$3:$B$14,2,FALSE)</f>
        <v>Promising</v>
      </c>
      <c r="BE74">
        <f>'Regression Models'!$B$101+'Regression Models'!$B$102*ifood_data[[#This Row],[Income]]+'Regression Models'!$B$103*ifood_data[[#This Row],[Age]]+'Regression Models'!$B$104*ifood_data[[#This Row],[Family]]</f>
        <v>1455.164415964487</v>
      </c>
      <c r="BF74" t="str">
        <f>IF(ifood_data[[#This Row],[AcceptedCmpOverall]]=1,"Campaign Respondent","Non-respondent")</f>
        <v>Campaign Respondent</v>
      </c>
    </row>
    <row r="75" spans="1:58" x14ac:dyDescent="0.35">
      <c r="A75">
        <v>520</v>
      </c>
      <c r="B75">
        <v>85620</v>
      </c>
      <c r="C75">
        <v>0</v>
      </c>
      <c r="D75">
        <v>0</v>
      </c>
      <c r="E75">
        <v>68</v>
      </c>
      <c r="F75">
        <v>416</v>
      </c>
      <c r="G75">
        <v>46</v>
      </c>
      <c r="H75">
        <v>925</v>
      </c>
      <c r="I75">
        <v>60</v>
      </c>
      <c r="J75">
        <v>107</v>
      </c>
      <c r="K75">
        <v>46</v>
      </c>
      <c r="L75">
        <v>1</v>
      </c>
      <c r="M75">
        <v>3</v>
      </c>
      <c r="N75">
        <v>6</v>
      </c>
      <c r="O75">
        <v>4</v>
      </c>
      <c r="P75">
        <v>1</v>
      </c>
      <c r="Q75">
        <v>0</v>
      </c>
      <c r="R75">
        <v>0</v>
      </c>
      <c r="S75">
        <v>0</v>
      </c>
      <c r="T75">
        <v>0</v>
      </c>
      <c r="U75">
        <v>0</v>
      </c>
      <c r="V75">
        <f>IF(SUM(ifood_data[[#This Row],[AcceptedCmp1]:[AcceptedCmp5]])&gt;0,1,0)</f>
        <v>0</v>
      </c>
      <c r="W75">
        <v>0</v>
      </c>
      <c r="X75">
        <v>3</v>
      </c>
      <c r="Y75">
        <v>11</v>
      </c>
      <c r="Z75">
        <v>1</v>
      </c>
      <c r="AA75">
        <v>56</v>
      </c>
      <c r="AB75">
        <v>2332</v>
      </c>
      <c r="AC75" s="28">
        <f>ifood_data[[#This Row],[Customer_Days]]/365</f>
        <v>6.3890410958904109</v>
      </c>
      <c r="AD75">
        <v>0</v>
      </c>
      <c r="AE75">
        <v>0</v>
      </c>
      <c r="AF75">
        <v>0</v>
      </c>
      <c r="AG75">
        <v>0</v>
      </c>
      <c r="AH75">
        <v>1</v>
      </c>
      <c r="AI75">
        <v>0</v>
      </c>
      <c r="AJ75">
        <v>0</v>
      </c>
      <c r="AK75">
        <v>1</v>
      </c>
      <c r="AL75">
        <v>0</v>
      </c>
      <c r="AM75">
        <v>0</v>
      </c>
      <c r="AN75">
        <v>1554</v>
      </c>
      <c r="AO75">
        <v>1508</v>
      </c>
      <c r="AP75">
        <f>ifood_data[[#This Row],[MntTotal]]-ifood_data[[#This Row],[MntRegularProds]]</f>
        <v>46</v>
      </c>
      <c r="AQ75">
        <v>0</v>
      </c>
      <c r="AR75">
        <f>IF(SUM(ifood_data[[#This Row],[Kidhome]:[Teenhome]])&gt;0,1,0)</f>
        <v>0</v>
      </c>
      <c r="AS75" t="str">
        <f>IF(SUM(ifood_data[[#This Row],[Kidhome]:[Teenhome]])&gt;0,"Has Family","No Family")</f>
        <v>No Family</v>
      </c>
      <c r="AT75" t="str">
        <f>IF(ifood_data[[#This Row],[marital_Married]]=1,"Married", (IF(ifood_data[[#This Row],[marital_Single]]=1,"Single",(IF(ifood_data[[#This Row],[marital_Divorced]]=1,"Divorced",(IF(ifood_data[[#This Row],[marital_Together]]=1,"Living Together",(IF(ifood_data[[#This Row],[marital_Widow]]=1,"Widow","Other")))))))))</f>
        <v>Widow</v>
      </c>
      <c r="AU75" t="str">
        <f>IF(ifood_data[[#This Row],[education_Basic]]=1,"High School",(IF(ifood_data[[#This Row],[education_Graduation]]=1,"Undergraduate Degree",(IF(SUM(AM75,AL75,AI75)&gt;0,"Master's Degree or Higher","Other")))))</f>
        <v>Undergraduate Degree</v>
      </c>
      <c r="AV75" t="str">
        <f>IF(ifood_data[[#All],[Income]]&gt;75000,"75K+",(IF(ifood_data[[#All],[Income]]&gt;50000,"50K-75K",(IF(ifood_data[[#All],[Income]]&gt;35000,"35K-50K","&lt;35K")))))</f>
        <v>75K+</v>
      </c>
      <c r="AW75" t="str">
        <f>IF(ifood_data[[#All],[Age]]&gt;60,"60+",(IF(ifood_data[[#All],[Age]]&gt;50,"50-60",(IF(ifood_data[[#All],[Age]]&gt;40,"40-50",(IF(ifood_data[[#All],[Age]]&gt;30,"30-40","&lt;30")))))))</f>
        <v>50-60</v>
      </c>
      <c r="AX75">
        <f t="shared" si="4"/>
        <v>15</v>
      </c>
      <c r="AY75">
        <f t="shared" si="5"/>
        <v>4</v>
      </c>
      <c r="AZ75">
        <f t="shared" si="6"/>
        <v>2</v>
      </c>
      <c r="BA75">
        <f t="shared" si="7"/>
        <v>9</v>
      </c>
      <c r="BB75">
        <f>SUM(ifood_data[[#This Row],[Recency Score]:[Monetary Score]])</f>
        <v>15</v>
      </c>
      <c r="BC75">
        <f>(_xlfn.PERCENTRANK.INC(ifood_data[[#All],[RFM]],ifood_data[[#This Row],[RFM]],1))*10</f>
        <v>4</v>
      </c>
      <c r="BD75" t="str">
        <f>VLOOKUP(ifood_data[[#This Row],[RFM Score]],'RFM Analysis'!$A$3:$B$14,2,FALSE)</f>
        <v>At Risk</v>
      </c>
      <c r="BE75">
        <f>'Regression Models'!$B$101+'Regression Models'!$B$102*ifood_data[[#This Row],[Income]]+'Regression Models'!$B$103*ifood_data[[#This Row],[Age]]+'Regression Models'!$B$104*ifood_data[[#This Row],[Family]]</f>
        <v>1455.0304837880767</v>
      </c>
      <c r="BF75" t="str">
        <f>IF(ifood_data[[#This Row],[AcceptedCmpOverall]]=1,"Campaign Respondent","Non-respondent")</f>
        <v>Non-respondent</v>
      </c>
    </row>
    <row r="76" spans="1:58" x14ac:dyDescent="0.35">
      <c r="A76">
        <v>1075</v>
      </c>
      <c r="B76">
        <v>85696</v>
      </c>
      <c r="C76">
        <v>0</v>
      </c>
      <c r="D76">
        <v>0</v>
      </c>
      <c r="E76">
        <v>88</v>
      </c>
      <c r="F76">
        <v>714</v>
      </c>
      <c r="G76">
        <v>76</v>
      </c>
      <c r="H76">
        <v>395</v>
      </c>
      <c r="I76">
        <v>116</v>
      </c>
      <c r="J76">
        <v>0</v>
      </c>
      <c r="K76">
        <v>12</v>
      </c>
      <c r="L76">
        <v>1</v>
      </c>
      <c r="M76">
        <v>4</v>
      </c>
      <c r="N76">
        <v>6</v>
      </c>
      <c r="O76">
        <v>9</v>
      </c>
      <c r="P76">
        <v>1</v>
      </c>
      <c r="Q76">
        <v>0</v>
      </c>
      <c r="R76">
        <v>0</v>
      </c>
      <c r="S76">
        <v>0</v>
      </c>
      <c r="T76">
        <v>0</v>
      </c>
      <c r="U76">
        <v>0</v>
      </c>
      <c r="V76">
        <f>IF(SUM(ifood_data[[#This Row],[AcceptedCmp1]:[AcceptedCmp5]])&gt;0,1,0)</f>
        <v>0</v>
      </c>
      <c r="W76">
        <v>0</v>
      </c>
      <c r="X76">
        <v>3</v>
      </c>
      <c r="Y76">
        <v>11</v>
      </c>
      <c r="Z76">
        <v>1</v>
      </c>
      <c r="AA76">
        <v>58</v>
      </c>
      <c r="AB76">
        <v>2581</v>
      </c>
      <c r="AC76" s="28">
        <f>ifood_data[[#This Row],[Customer_Days]]/365</f>
        <v>7.0712328767123287</v>
      </c>
      <c r="AD76">
        <v>1</v>
      </c>
      <c r="AE76">
        <v>0</v>
      </c>
      <c r="AF76">
        <v>0</v>
      </c>
      <c r="AG76">
        <v>0</v>
      </c>
      <c r="AH76">
        <v>0</v>
      </c>
      <c r="AI76">
        <v>0</v>
      </c>
      <c r="AJ76">
        <v>0</v>
      </c>
      <c r="AK76">
        <v>0</v>
      </c>
      <c r="AL76">
        <v>0</v>
      </c>
      <c r="AM76">
        <v>1</v>
      </c>
      <c r="AN76">
        <v>1301</v>
      </c>
      <c r="AO76">
        <v>1289</v>
      </c>
      <c r="AP76">
        <f>ifood_data[[#This Row],[MntTotal]]-ifood_data[[#This Row],[MntRegularProds]]</f>
        <v>12</v>
      </c>
      <c r="AQ76">
        <v>0</v>
      </c>
      <c r="AR76">
        <f>IF(SUM(ifood_data[[#This Row],[Kidhome]:[Teenhome]])&gt;0,1,0)</f>
        <v>0</v>
      </c>
      <c r="AS76" t="str">
        <f>IF(SUM(ifood_data[[#This Row],[Kidhome]:[Teenhome]])&gt;0,"Has Family","No Family")</f>
        <v>No Family</v>
      </c>
      <c r="AT76" t="str">
        <f>IF(ifood_data[[#This Row],[marital_Married]]=1,"Married", (IF(ifood_data[[#This Row],[marital_Single]]=1,"Single",(IF(ifood_data[[#This Row],[marital_Divorced]]=1,"Divorced",(IF(ifood_data[[#This Row],[marital_Together]]=1,"Living Together",(IF(ifood_data[[#This Row],[marital_Widow]]=1,"Widow","Other")))))))))</f>
        <v>Divorced</v>
      </c>
      <c r="AU76" t="str">
        <f>IF(ifood_data[[#This Row],[education_Basic]]=1,"High School",(IF(ifood_data[[#This Row],[education_Graduation]]=1,"Undergraduate Degree",(IF(SUM(AM76,AL76,AI76)&gt;0,"Master's Degree or Higher","Other")))))</f>
        <v>Master's Degree or Higher</v>
      </c>
      <c r="AV76" t="str">
        <f>IF(ifood_data[[#All],[Income]]&gt;75000,"75K+",(IF(ifood_data[[#All],[Income]]&gt;50000,"50K-75K",(IF(ifood_data[[#All],[Income]]&gt;35000,"35K-50K","&lt;35K")))))</f>
        <v>75K+</v>
      </c>
      <c r="AW76" t="str">
        <f>IF(ifood_data[[#All],[Age]]&gt;60,"60+",(IF(ifood_data[[#All],[Age]]&gt;50,"50-60",(IF(ifood_data[[#All],[Age]]&gt;40,"40-50",(IF(ifood_data[[#All],[Age]]&gt;30,"30-40","&lt;30")))))))</f>
        <v>50-60</v>
      </c>
      <c r="AX76">
        <f t="shared" si="4"/>
        <v>21</v>
      </c>
      <c r="AY76">
        <f t="shared" si="5"/>
        <v>1.9999999999999996</v>
      </c>
      <c r="AZ76">
        <f t="shared" si="6"/>
        <v>5</v>
      </c>
      <c r="BA76">
        <f t="shared" si="7"/>
        <v>8</v>
      </c>
      <c r="BB76">
        <f>SUM(ifood_data[[#This Row],[Recency Score]:[Monetary Score]])</f>
        <v>15</v>
      </c>
      <c r="BC76">
        <f>(_xlfn.PERCENTRANK.INC(ifood_data[[#All],[RFM]],ifood_data[[#This Row],[RFM]],1))*10</f>
        <v>4</v>
      </c>
      <c r="BD76" t="str">
        <f>VLOOKUP(ifood_data[[#This Row],[RFM Score]],'RFM Analysis'!$A$3:$B$14,2,FALSE)</f>
        <v>At Risk</v>
      </c>
      <c r="BE76">
        <f>'Regression Models'!$B$101+'Regression Models'!$B$102*ifood_data[[#This Row],[Income]]+'Regression Models'!$B$103*ifood_data[[#This Row],[Age]]+'Regression Models'!$B$104*ifood_data[[#This Row],[Family]]</f>
        <v>1452.9071520092243</v>
      </c>
      <c r="BF76" t="str">
        <f>IF(ifood_data[[#This Row],[AcceptedCmpOverall]]=1,"Campaign Respondent","Non-respondent")</f>
        <v>Non-respondent</v>
      </c>
    </row>
    <row r="77" spans="1:58" x14ac:dyDescent="0.35">
      <c r="A77">
        <v>1573</v>
      </c>
      <c r="B77">
        <v>83512</v>
      </c>
      <c r="C77">
        <v>0</v>
      </c>
      <c r="D77">
        <v>0</v>
      </c>
      <c r="E77">
        <v>31</v>
      </c>
      <c r="F77">
        <v>1060</v>
      </c>
      <c r="G77">
        <v>61</v>
      </c>
      <c r="H77">
        <v>835</v>
      </c>
      <c r="I77">
        <v>80</v>
      </c>
      <c r="J77">
        <v>20</v>
      </c>
      <c r="K77">
        <v>101</v>
      </c>
      <c r="L77">
        <v>1</v>
      </c>
      <c r="M77">
        <v>4</v>
      </c>
      <c r="N77">
        <v>7</v>
      </c>
      <c r="O77">
        <v>10</v>
      </c>
      <c r="P77">
        <v>1</v>
      </c>
      <c r="Q77">
        <v>1</v>
      </c>
      <c r="R77">
        <v>1</v>
      </c>
      <c r="S77">
        <v>1</v>
      </c>
      <c r="T77">
        <v>0</v>
      </c>
      <c r="U77">
        <v>1</v>
      </c>
      <c r="V77">
        <f>IF(SUM(ifood_data[[#This Row],[AcceptedCmp1]:[AcceptedCmp5]])&gt;0,1,0)</f>
        <v>1</v>
      </c>
      <c r="W77">
        <v>0</v>
      </c>
      <c r="X77">
        <v>3</v>
      </c>
      <c r="Y77">
        <v>11</v>
      </c>
      <c r="Z77">
        <v>1</v>
      </c>
      <c r="AA77">
        <v>34</v>
      </c>
      <c r="AB77">
        <v>2171</v>
      </c>
      <c r="AC77" s="28">
        <f>ifood_data[[#This Row],[Customer_Days]]/365</f>
        <v>5.9479452054794519</v>
      </c>
      <c r="AD77">
        <v>0</v>
      </c>
      <c r="AE77">
        <v>1</v>
      </c>
      <c r="AF77">
        <v>0</v>
      </c>
      <c r="AG77">
        <v>0</v>
      </c>
      <c r="AH77">
        <v>0</v>
      </c>
      <c r="AI77">
        <v>0</v>
      </c>
      <c r="AJ77">
        <v>0</v>
      </c>
      <c r="AK77">
        <v>1</v>
      </c>
      <c r="AL77">
        <v>0</v>
      </c>
      <c r="AM77">
        <v>0</v>
      </c>
      <c r="AN77">
        <v>2056</v>
      </c>
      <c r="AO77">
        <v>1955</v>
      </c>
      <c r="AP77">
        <f>ifood_data[[#This Row],[MntTotal]]-ifood_data[[#This Row],[MntRegularProds]]</f>
        <v>101</v>
      </c>
      <c r="AQ77">
        <v>4</v>
      </c>
      <c r="AR77">
        <f>IF(SUM(ifood_data[[#This Row],[Kidhome]:[Teenhome]])&gt;0,1,0)</f>
        <v>0</v>
      </c>
      <c r="AS77" t="str">
        <f>IF(SUM(ifood_data[[#This Row],[Kidhome]:[Teenhome]])&gt;0,"Has Family","No Family")</f>
        <v>No Family</v>
      </c>
      <c r="AT77" t="str">
        <f>IF(ifood_data[[#This Row],[marital_Married]]=1,"Married", (IF(ifood_data[[#This Row],[marital_Single]]=1,"Single",(IF(ifood_data[[#This Row],[marital_Divorced]]=1,"Divorced",(IF(ifood_data[[#This Row],[marital_Together]]=1,"Living Together",(IF(ifood_data[[#This Row],[marital_Widow]]=1,"Widow","Other")))))))))</f>
        <v>Married</v>
      </c>
      <c r="AU77" t="str">
        <f>IF(ifood_data[[#This Row],[education_Basic]]=1,"High School",(IF(ifood_data[[#This Row],[education_Graduation]]=1,"Undergraduate Degree",(IF(SUM(AM77,AL77,AI77)&gt;0,"Master's Degree or Higher","Other")))))</f>
        <v>Undergraduate Degree</v>
      </c>
      <c r="AV77" t="str">
        <f>IF(ifood_data[[#All],[Income]]&gt;75000,"75K+",(IF(ifood_data[[#All],[Income]]&gt;50000,"50K-75K",(IF(ifood_data[[#All],[Income]]&gt;35000,"35K-50K","&lt;35K")))))</f>
        <v>75K+</v>
      </c>
      <c r="AW77" t="str">
        <f>IF(ifood_data[[#All],[Age]]&gt;60,"60+",(IF(ifood_data[[#All],[Age]]&gt;50,"50-60",(IF(ifood_data[[#All],[Age]]&gt;40,"40-50",(IF(ifood_data[[#All],[Age]]&gt;30,"30-40","&lt;30")))))))</f>
        <v>30-40</v>
      </c>
      <c r="AX77">
        <f t="shared" si="4"/>
        <v>23</v>
      </c>
      <c r="AY77">
        <f t="shared" si="5"/>
        <v>7</v>
      </c>
      <c r="AZ77">
        <f t="shared" si="6"/>
        <v>6</v>
      </c>
      <c r="BA77">
        <f t="shared" si="7"/>
        <v>9</v>
      </c>
      <c r="BB77">
        <f>SUM(ifood_data[[#This Row],[Recency Score]:[Monetary Score]])</f>
        <v>22</v>
      </c>
      <c r="BC77">
        <f>(_xlfn.PERCENTRANK.INC(ifood_data[[#All],[RFM]],ifood_data[[#This Row],[RFM]],1))*10</f>
        <v>8</v>
      </c>
      <c r="BD77" t="str">
        <f>VLOOKUP(ifood_data[[#This Row],[RFM Score]],'RFM Analysis'!$A$3:$B$14,2,FALSE)</f>
        <v>Loyal Customer</v>
      </c>
      <c r="BE77">
        <f>'Regression Models'!$B$101+'Regression Models'!$B$102*ifood_data[[#This Row],[Income]]+'Regression Models'!$B$103*ifood_data[[#This Row],[Age]]+'Regression Models'!$B$104*ifood_data[[#This Row],[Family]]</f>
        <v>1452.4526202764118</v>
      </c>
      <c r="BF77" t="str">
        <f>IF(ifood_data[[#This Row],[AcceptedCmpOverall]]=1,"Campaign Respondent","Non-respondent")</f>
        <v>Campaign Respondent</v>
      </c>
    </row>
    <row r="78" spans="1:58" x14ac:dyDescent="0.35">
      <c r="A78">
        <v>1537</v>
      </c>
      <c r="B78">
        <v>86610</v>
      </c>
      <c r="C78">
        <v>0</v>
      </c>
      <c r="D78">
        <v>0</v>
      </c>
      <c r="E78">
        <v>66</v>
      </c>
      <c r="F78">
        <v>446</v>
      </c>
      <c r="G78">
        <v>107</v>
      </c>
      <c r="H78">
        <v>768</v>
      </c>
      <c r="I78">
        <v>33</v>
      </c>
      <c r="J78">
        <v>196</v>
      </c>
      <c r="K78">
        <v>53</v>
      </c>
      <c r="L78">
        <v>1</v>
      </c>
      <c r="M78">
        <v>5</v>
      </c>
      <c r="N78">
        <v>6</v>
      </c>
      <c r="O78">
        <v>6</v>
      </c>
      <c r="P78">
        <v>2</v>
      </c>
      <c r="Q78">
        <v>0</v>
      </c>
      <c r="R78">
        <v>0</v>
      </c>
      <c r="S78">
        <v>0</v>
      </c>
      <c r="T78">
        <v>0</v>
      </c>
      <c r="U78">
        <v>0</v>
      </c>
      <c r="V78">
        <f>IF(SUM(ifood_data[[#This Row],[AcceptedCmp1]:[AcceptedCmp5]])&gt;0,1,0)</f>
        <v>0</v>
      </c>
      <c r="W78">
        <v>0</v>
      </c>
      <c r="X78">
        <v>3</v>
      </c>
      <c r="Y78">
        <v>11</v>
      </c>
      <c r="Z78">
        <v>0</v>
      </c>
      <c r="AA78">
        <v>69</v>
      </c>
      <c r="AB78">
        <v>2456</v>
      </c>
      <c r="AC78" s="28">
        <f>ifood_data[[#This Row],[Customer_Days]]/365</f>
        <v>6.7287671232876711</v>
      </c>
      <c r="AD78">
        <v>0</v>
      </c>
      <c r="AE78">
        <v>0</v>
      </c>
      <c r="AF78">
        <v>0</v>
      </c>
      <c r="AG78">
        <v>1</v>
      </c>
      <c r="AH78">
        <v>0</v>
      </c>
      <c r="AI78">
        <v>0</v>
      </c>
      <c r="AJ78">
        <v>0</v>
      </c>
      <c r="AK78">
        <v>1</v>
      </c>
      <c r="AL78">
        <v>0</v>
      </c>
      <c r="AM78">
        <v>0</v>
      </c>
      <c r="AN78">
        <v>1550</v>
      </c>
      <c r="AO78">
        <v>1497</v>
      </c>
      <c r="AP78">
        <f>ifood_data[[#This Row],[MntTotal]]-ifood_data[[#This Row],[MntRegularProds]]</f>
        <v>53</v>
      </c>
      <c r="AQ78">
        <v>0</v>
      </c>
      <c r="AR78">
        <f>IF(SUM(ifood_data[[#This Row],[Kidhome]:[Teenhome]])&gt;0,1,0)</f>
        <v>0</v>
      </c>
      <c r="AS78" t="str">
        <f>IF(SUM(ifood_data[[#This Row],[Kidhome]:[Teenhome]])&gt;0,"Has Family","No Family")</f>
        <v>No Family</v>
      </c>
      <c r="AT78" t="str">
        <f>IF(ifood_data[[#This Row],[marital_Married]]=1,"Married", (IF(ifood_data[[#This Row],[marital_Single]]=1,"Single",(IF(ifood_data[[#This Row],[marital_Divorced]]=1,"Divorced",(IF(ifood_data[[#This Row],[marital_Together]]=1,"Living Together",(IF(ifood_data[[#This Row],[marital_Widow]]=1,"Widow","Other")))))))))</f>
        <v>Living Together</v>
      </c>
      <c r="AU78" t="str">
        <f>IF(ifood_data[[#This Row],[education_Basic]]=1,"High School",(IF(ifood_data[[#This Row],[education_Graduation]]=1,"Undergraduate Degree",(IF(SUM(AM78,AL78,AI78)&gt;0,"Master's Degree or Higher","Other")))))</f>
        <v>Undergraduate Degree</v>
      </c>
      <c r="AV78" t="str">
        <f>IF(ifood_data[[#All],[Income]]&gt;75000,"75K+",(IF(ifood_data[[#All],[Income]]&gt;50000,"50K-75K",(IF(ifood_data[[#All],[Income]]&gt;35000,"35K-50K","&lt;35K")))))</f>
        <v>75K+</v>
      </c>
      <c r="AW78" t="str">
        <f>IF(ifood_data[[#All],[Age]]&gt;60,"60+",(IF(ifood_data[[#All],[Age]]&gt;50,"50-60",(IF(ifood_data[[#All],[Age]]&gt;40,"40-50",(IF(ifood_data[[#All],[Age]]&gt;30,"30-40","&lt;30")))))))</f>
        <v>60+</v>
      </c>
      <c r="AX78">
        <f t="shared" si="4"/>
        <v>20</v>
      </c>
      <c r="AY78">
        <f t="shared" si="5"/>
        <v>4</v>
      </c>
      <c r="AZ78">
        <f t="shared" si="6"/>
        <v>4</v>
      </c>
      <c r="BA78">
        <f t="shared" si="7"/>
        <v>9</v>
      </c>
      <c r="BB78">
        <f>SUM(ifood_data[[#This Row],[Recency Score]:[Monetary Score]])</f>
        <v>17</v>
      </c>
      <c r="BC78">
        <f>(_xlfn.PERCENTRANK.INC(ifood_data[[#All],[RFM]],ifood_data[[#This Row],[RFM]],1))*10</f>
        <v>6</v>
      </c>
      <c r="BD78" t="str">
        <f>VLOOKUP(ifood_data[[#This Row],[RFM Score]],'RFM Analysis'!$A$3:$B$14,2,FALSE)</f>
        <v>Promising</v>
      </c>
      <c r="BE78">
        <f>'Regression Models'!$B$101+'Regression Models'!$B$102*ifood_data[[#This Row],[Income]]+'Regression Models'!$B$103*ifood_data[[#This Row],[Age]]+'Regression Models'!$B$104*ifood_data[[#This Row],[Family]]</f>
        <v>1451.3416562249106</v>
      </c>
      <c r="BF78" t="str">
        <f>IF(ifood_data[[#This Row],[AcceptedCmpOverall]]=1,"Campaign Respondent","Non-respondent")</f>
        <v>Non-respondent</v>
      </c>
    </row>
    <row r="79" spans="1:58" x14ac:dyDescent="0.35">
      <c r="A79">
        <v>327</v>
      </c>
      <c r="B79">
        <v>84835</v>
      </c>
      <c r="C79">
        <v>0</v>
      </c>
      <c r="D79">
        <v>0</v>
      </c>
      <c r="E79">
        <v>0</v>
      </c>
      <c r="F79">
        <v>189</v>
      </c>
      <c r="G79">
        <v>104</v>
      </c>
      <c r="H79">
        <v>379</v>
      </c>
      <c r="I79">
        <v>111</v>
      </c>
      <c r="J79">
        <v>189</v>
      </c>
      <c r="K79">
        <v>218</v>
      </c>
      <c r="L79">
        <v>1</v>
      </c>
      <c r="M79">
        <v>4</v>
      </c>
      <c r="N79">
        <v>4</v>
      </c>
      <c r="O79">
        <v>6</v>
      </c>
      <c r="P79">
        <v>1</v>
      </c>
      <c r="Q79">
        <v>0</v>
      </c>
      <c r="R79">
        <v>0</v>
      </c>
      <c r="S79">
        <v>0</v>
      </c>
      <c r="T79">
        <v>0</v>
      </c>
      <c r="U79">
        <v>0</v>
      </c>
      <c r="V79">
        <f>IF(SUM(ifood_data[[#This Row],[AcceptedCmp1]:[AcceptedCmp5]])&gt;0,1,0)</f>
        <v>0</v>
      </c>
      <c r="W79">
        <v>0</v>
      </c>
      <c r="X79">
        <v>3</v>
      </c>
      <c r="Y79">
        <v>11</v>
      </c>
      <c r="Z79">
        <v>1</v>
      </c>
      <c r="AA79">
        <v>50</v>
      </c>
      <c r="AB79">
        <v>2172</v>
      </c>
      <c r="AC79" s="28">
        <f>ifood_data[[#This Row],[Customer_Days]]/365</f>
        <v>5.9506849315068493</v>
      </c>
      <c r="AD79">
        <v>1</v>
      </c>
      <c r="AE79">
        <v>0</v>
      </c>
      <c r="AF79">
        <v>0</v>
      </c>
      <c r="AG79">
        <v>0</v>
      </c>
      <c r="AH79">
        <v>0</v>
      </c>
      <c r="AI79">
        <v>0</v>
      </c>
      <c r="AJ79">
        <v>0</v>
      </c>
      <c r="AK79">
        <v>1</v>
      </c>
      <c r="AL79">
        <v>0</v>
      </c>
      <c r="AM79">
        <v>0</v>
      </c>
      <c r="AN79">
        <v>972</v>
      </c>
      <c r="AO79">
        <v>754</v>
      </c>
      <c r="AP79">
        <f>ifood_data[[#This Row],[MntTotal]]-ifood_data[[#This Row],[MntRegularProds]]</f>
        <v>218</v>
      </c>
      <c r="AQ79">
        <v>0</v>
      </c>
      <c r="AR79">
        <f>IF(SUM(ifood_data[[#This Row],[Kidhome]:[Teenhome]])&gt;0,1,0)</f>
        <v>0</v>
      </c>
      <c r="AS79" t="str">
        <f>IF(SUM(ifood_data[[#This Row],[Kidhome]:[Teenhome]])&gt;0,"Has Family","No Family")</f>
        <v>No Family</v>
      </c>
      <c r="AT79" t="str">
        <f>IF(ifood_data[[#This Row],[marital_Married]]=1,"Married", (IF(ifood_data[[#This Row],[marital_Single]]=1,"Single",(IF(ifood_data[[#This Row],[marital_Divorced]]=1,"Divorced",(IF(ifood_data[[#This Row],[marital_Together]]=1,"Living Together",(IF(ifood_data[[#This Row],[marital_Widow]]=1,"Widow","Other")))))))))</f>
        <v>Divorced</v>
      </c>
      <c r="AU79" t="str">
        <f>IF(ifood_data[[#This Row],[education_Basic]]=1,"High School",(IF(ifood_data[[#This Row],[education_Graduation]]=1,"Undergraduate Degree",(IF(SUM(AM79,AL79,AI79)&gt;0,"Master's Degree or Higher","Other")))))</f>
        <v>Undergraduate Degree</v>
      </c>
      <c r="AV79" t="str">
        <f>IF(ifood_data[[#All],[Income]]&gt;75000,"75K+",(IF(ifood_data[[#All],[Income]]&gt;50000,"50K-75K",(IF(ifood_data[[#All],[Income]]&gt;35000,"35K-50K","&lt;35K")))))</f>
        <v>75K+</v>
      </c>
      <c r="AW79" t="str">
        <f>IF(ifood_data[[#All],[Age]]&gt;60,"60+",(IF(ifood_data[[#All],[Age]]&gt;50,"50-60",(IF(ifood_data[[#All],[Age]]&gt;40,"40-50",(IF(ifood_data[[#All],[Age]]&gt;30,"30-40","&lt;30")))))))</f>
        <v>40-50</v>
      </c>
      <c r="AX79">
        <f t="shared" si="4"/>
        <v>16</v>
      </c>
      <c r="AY79">
        <f t="shared" si="5"/>
        <v>10</v>
      </c>
      <c r="AZ79">
        <f t="shared" si="6"/>
        <v>3</v>
      </c>
      <c r="BA79">
        <f t="shared" si="7"/>
        <v>7</v>
      </c>
      <c r="BB79">
        <f>SUM(ifood_data[[#This Row],[Recency Score]:[Monetary Score]])</f>
        <v>20</v>
      </c>
      <c r="BC79">
        <f>(_xlfn.PERCENTRANK.INC(ifood_data[[#All],[RFM]],ifood_data[[#This Row],[RFM]],1))*10</f>
        <v>7</v>
      </c>
      <c r="BD79" t="str">
        <f>VLOOKUP(ifood_data[[#This Row],[RFM Score]],'RFM Analysis'!$A$3:$B$14,2,FALSE)</f>
        <v>Loyal Customer</v>
      </c>
      <c r="BE79">
        <f>'Regression Models'!$B$101+'Regression Models'!$B$102*ifood_data[[#This Row],[Income]]+'Regression Models'!$B$103*ifood_data[[#This Row],[Age]]+'Regression Models'!$B$104*ifood_data[[#This Row],[Family]]</f>
        <v>1450.0439352684816</v>
      </c>
      <c r="BF79" t="str">
        <f>IF(ifood_data[[#This Row],[AcceptedCmpOverall]]=1,"Campaign Respondent","Non-respondent")</f>
        <v>Non-respondent</v>
      </c>
    </row>
    <row r="80" spans="1:58" x14ac:dyDescent="0.35">
      <c r="A80">
        <v>1194</v>
      </c>
      <c r="B80">
        <v>85485</v>
      </c>
      <c r="C80">
        <v>0</v>
      </c>
      <c r="D80">
        <v>0</v>
      </c>
      <c r="E80">
        <v>73</v>
      </c>
      <c r="F80">
        <v>630</v>
      </c>
      <c r="G80">
        <v>26</v>
      </c>
      <c r="H80">
        <v>611</v>
      </c>
      <c r="I80">
        <v>44</v>
      </c>
      <c r="J80">
        <v>18</v>
      </c>
      <c r="K80">
        <v>54</v>
      </c>
      <c r="L80">
        <v>1</v>
      </c>
      <c r="M80">
        <v>6</v>
      </c>
      <c r="N80">
        <v>6</v>
      </c>
      <c r="O80">
        <v>6</v>
      </c>
      <c r="P80">
        <v>2</v>
      </c>
      <c r="Q80">
        <v>0</v>
      </c>
      <c r="R80">
        <v>0</v>
      </c>
      <c r="S80">
        <v>0</v>
      </c>
      <c r="T80">
        <v>0</v>
      </c>
      <c r="U80">
        <v>0</v>
      </c>
      <c r="V80">
        <f>IF(SUM(ifood_data[[#This Row],[AcceptedCmp1]:[AcceptedCmp5]])&gt;0,1,0)</f>
        <v>0</v>
      </c>
      <c r="W80">
        <v>0</v>
      </c>
      <c r="X80">
        <v>3</v>
      </c>
      <c r="Y80">
        <v>11</v>
      </c>
      <c r="Z80">
        <v>0</v>
      </c>
      <c r="AA80">
        <v>62</v>
      </c>
      <c r="AB80">
        <v>2167</v>
      </c>
      <c r="AC80" s="28">
        <f>ifood_data[[#This Row],[Customer_Days]]/365</f>
        <v>5.9369863013698634</v>
      </c>
      <c r="AD80">
        <v>0</v>
      </c>
      <c r="AE80">
        <v>0</v>
      </c>
      <c r="AF80">
        <v>1</v>
      </c>
      <c r="AG80">
        <v>0</v>
      </c>
      <c r="AH80">
        <v>0</v>
      </c>
      <c r="AI80">
        <v>1</v>
      </c>
      <c r="AJ80">
        <v>0</v>
      </c>
      <c r="AK80">
        <v>0</v>
      </c>
      <c r="AL80">
        <v>0</v>
      </c>
      <c r="AM80">
        <v>0</v>
      </c>
      <c r="AN80">
        <v>1329</v>
      </c>
      <c r="AO80">
        <v>1275</v>
      </c>
      <c r="AP80">
        <f>ifood_data[[#This Row],[MntTotal]]-ifood_data[[#This Row],[MntRegularProds]]</f>
        <v>54</v>
      </c>
      <c r="AQ80">
        <v>0</v>
      </c>
      <c r="AR80">
        <f>IF(SUM(ifood_data[[#This Row],[Kidhome]:[Teenhome]])&gt;0,1,0)</f>
        <v>0</v>
      </c>
      <c r="AS80" t="str">
        <f>IF(SUM(ifood_data[[#This Row],[Kidhome]:[Teenhome]])&gt;0,"Has Family","No Family")</f>
        <v>No Family</v>
      </c>
      <c r="AT80" t="str">
        <f>IF(ifood_data[[#This Row],[marital_Married]]=1,"Married", (IF(ifood_data[[#This Row],[marital_Single]]=1,"Single",(IF(ifood_data[[#This Row],[marital_Divorced]]=1,"Divorced",(IF(ifood_data[[#This Row],[marital_Together]]=1,"Living Together",(IF(ifood_data[[#This Row],[marital_Widow]]=1,"Widow","Other")))))))))</f>
        <v>Single</v>
      </c>
      <c r="AU80" t="str">
        <f>IF(ifood_data[[#This Row],[education_Basic]]=1,"High School",(IF(ifood_data[[#This Row],[education_Graduation]]=1,"Undergraduate Degree",(IF(SUM(AM80,AL80,AI80)&gt;0,"Master's Degree or Higher","Other")))))</f>
        <v>Master's Degree or Higher</v>
      </c>
      <c r="AV80" t="str">
        <f>IF(ifood_data[[#All],[Income]]&gt;75000,"75K+",(IF(ifood_data[[#All],[Income]]&gt;50000,"50K-75K",(IF(ifood_data[[#All],[Income]]&gt;35000,"35K-50K","&lt;35K")))))</f>
        <v>75K+</v>
      </c>
      <c r="AW80" t="str">
        <f>IF(ifood_data[[#All],[Age]]&gt;60,"60+",(IF(ifood_data[[#All],[Age]]&gt;50,"50-60",(IF(ifood_data[[#All],[Age]]&gt;40,"40-50",(IF(ifood_data[[#All],[Age]]&gt;30,"30-40","&lt;30")))))))</f>
        <v>60+</v>
      </c>
      <c r="AX80">
        <f t="shared" si="4"/>
        <v>21</v>
      </c>
      <c r="AY80">
        <f t="shared" si="5"/>
        <v>3.0000000000000004</v>
      </c>
      <c r="AZ80">
        <f t="shared" si="6"/>
        <v>5</v>
      </c>
      <c r="BA80">
        <f t="shared" si="7"/>
        <v>8</v>
      </c>
      <c r="BB80">
        <f>SUM(ifood_data[[#This Row],[Recency Score]:[Monetary Score]])</f>
        <v>16</v>
      </c>
      <c r="BC80">
        <f>(_xlfn.PERCENTRANK.INC(ifood_data[[#All],[RFM]],ifood_data[[#This Row],[RFM]],1))*10</f>
        <v>5</v>
      </c>
      <c r="BD80" t="str">
        <f>VLOOKUP(ifood_data[[#This Row],[RFM Score]],'RFM Analysis'!$A$3:$B$14,2,FALSE)</f>
        <v>Promising</v>
      </c>
      <c r="BE80">
        <f>'Regression Models'!$B$101+'Regression Models'!$B$102*ifood_data[[#This Row],[Income]]+'Regression Models'!$B$103*ifood_data[[#This Row],[Age]]+'Regression Models'!$B$104*ifood_data[[#This Row],[Family]]</f>
        <v>1441.2593656152847</v>
      </c>
      <c r="BF80" t="str">
        <f>IF(ifood_data[[#This Row],[AcceptedCmpOverall]]=1,"Campaign Respondent","Non-respondent")</f>
        <v>Non-respondent</v>
      </c>
    </row>
    <row r="81" spans="1:58" x14ac:dyDescent="0.35">
      <c r="A81">
        <v>1040</v>
      </c>
      <c r="B81">
        <v>83829</v>
      </c>
      <c r="C81">
        <v>0</v>
      </c>
      <c r="D81">
        <v>0</v>
      </c>
      <c r="E81">
        <v>78</v>
      </c>
      <c r="F81">
        <v>897</v>
      </c>
      <c r="G81">
        <v>161</v>
      </c>
      <c r="H81">
        <v>430</v>
      </c>
      <c r="I81">
        <v>186</v>
      </c>
      <c r="J81">
        <v>161</v>
      </c>
      <c r="K81">
        <v>27</v>
      </c>
      <c r="L81">
        <v>0</v>
      </c>
      <c r="M81">
        <v>4</v>
      </c>
      <c r="N81">
        <v>7</v>
      </c>
      <c r="O81">
        <v>6</v>
      </c>
      <c r="P81">
        <v>1</v>
      </c>
      <c r="Q81">
        <v>1</v>
      </c>
      <c r="R81">
        <v>0</v>
      </c>
      <c r="S81">
        <v>1</v>
      </c>
      <c r="T81">
        <v>0</v>
      </c>
      <c r="U81">
        <v>1</v>
      </c>
      <c r="V81">
        <f>IF(SUM(ifood_data[[#This Row],[AcceptedCmp1]:[AcceptedCmp5]])&gt;0,1,0)</f>
        <v>1</v>
      </c>
      <c r="W81">
        <v>0</v>
      </c>
      <c r="X81">
        <v>3</v>
      </c>
      <c r="Y81">
        <v>11</v>
      </c>
      <c r="Z81">
        <v>1</v>
      </c>
      <c r="AA81">
        <v>45</v>
      </c>
      <c r="AB81">
        <v>2423</v>
      </c>
      <c r="AC81" s="28">
        <f>ifood_data[[#This Row],[Customer_Days]]/365</f>
        <v>6.6383561643835618</v>
      </c>
      <c r="AD81">
        <v>1</v>
      </c>
      <c r="AE81">
        <v>0</v>
      </c>
      <c r="AF81">
        <v>0</v>
      </c>
      <c r="AG81">
        <v>0</v>
      </c>
      <c r="AH81">
        <v>0</v>
      </c>
      <c r="AI81">
        <v>0</v>
      </c>
      <c r="AJ81">
        <v>0</v>
      </c>
      <c r="AK81">
        <v>1</v>
      </c>
      <c r="AL81">
        <v>0</v>
      </c>
      <c r="AM81">
        <v>0</v>
      </c>
      <c r="AN81">
        <v>1835</v>
      </c>
      <c r="AO81">
        <v>1808</v>
      </c>
      <c r="AP81">
        <f>ifood_data[[#This Row],[MntTotal]]-ifood_data[[#This Row],[MntRegularProds]]</f>
        <v>27</v>
      </c>
      <c r="AQ81">
        <v>3</v>
      </c>
      <c r="AR81">
        <f>IF(SUM(ifood_data[[#This Row],[Kidhome]:[Teenhome]])&gt;0,1,0)</f>
        <v>0</v>
      </c>
      <c r="AS81" t="str">
        <f>IF(SUM(ifood_data[[#This Row],[Kidhome]:[Teenhome]])&gt;0,"Has Family","No Family")</f>
        <v>No Family</v>
      </c>
      <c r="AT81" t="str">
        <f>IF(ifood_data[[#This Row],[marital_Married]]=1,"Married", (IF(ifood_data[[#This Row],[marital_Single]]=1,"Single",(IF(ifood_data[[#This Row],[marital_Divorced]]=1,"Divorced",(IF(ifood_data[[#This Row],[marital_Together]]=1,"Living Together",(IF(ifood_data[[#This Row],[marital_Widow]]=1,"Widow","Other")))))))))</f>
        <v>Divorced</v>
      </c>
      <c r="AU81" t="str">
        <f>IF(ifood_data[[#This Row],[education_Basic]]=1,"High School",(IF(ifood_data[[#This Row],[education_Graduation]]=1,"Undergraduate Degree",(IF(SUM(AM81,AL81,AI81)&gt;0,"Master's Degree or Higher","Other")))))</f>
        <v>Undergraduate Degree</v>
      </c>
      <c r="AV81" t="str">
        <f>IF(ifood_data[[#All],[Income]]&gt;75000,"75K+",(IF(ifood_data[[#All],[Income]]&gt;50000,"50K-75K",(IF(ifood_data[[#All],[Income]]&gt;35000,"35K-50K","&lt;35K")))))</f>
        <v>75K+</v>
      </c>
      <c r="AW81" t="str">
        <f>IF(ifood_data[[#All],[Age]]&gt;60,"60+",(IF(ifood_data[[#All],[Age]]&gt;50,"50-60",(IF(ifood_data[[#All],[Age]]&gt;40,"40-50",(IF(ifood_data[[#All],[Age]]&gt;30,"30-40","&lt;30")))))))</f>
        <v>40-50</v>
      </c>
      <c r="AX81">
        <f t="shared" si="4"/>
        <v>18</v>
      </c>
      <c r="AY81">
        <f t="shared" si="5"/>
        <v>3.0000000000000004</v>
      </c>
      <c r="AZ81">
        <f t="shared" si="6"/>
        <v>4</v>
      </c>
      <c r="BA81">
        <f t="shared" si="7"/>
        <v>9</v>
      </c>
      <c r="BB81">
        <f>SUM(ifood_data[[#This Row],[Recency Score]:[Monetary Score]])</f>
        <v>16</v>
      </c>
      <c r="BC81">
        <f>(_xlfn.PERCENTRANK.INC(ifood_data[[#All],[RFM]],ifood_data[[#This Row],[RFM]],1))*10</f>
        <v>5</v>
      </c>
      <c r="BD81" t="str">
        <f>VLOOKUP(ifood_data[[#This Row],[RFM Score]],'RFM Analysis'!$A$3:$B$14,2,FALSE)</f>
        <v>Promising</v>
      </c>
      <c r="BE81">
        <f>'Regression Models'!$B$101+'Regression Models'!$B$102*ifood_data[[#This Row],[Income]]+'Regression Models'!$B$103*ifood_data[[#This Row],[Age]]+'Regression Models'!$B$104*ifood_data[[#This Row],[Family]]</f>
        <v>1438.7150299101909</v>
      </c>
      <c r="BF81" t="str">
        <f>IF(ifood_data[[#This Row],[AcceptedCmpOverall]]=1,"Campaign Respondent","Non-respondent")</f>
        <v>Campaign Respondent</v>
      </c>
    </row>
    <row r="82" spans="1:58" x14ac:dyDescent="0.35">
      <c r="A82">
        <v>937</v>
      </c>
      <c r="B82">
        <v>85683</v>
      </c>
      <c r="C82">
        <v>0</v>
      </c>
      <c r="D82">
        <v>0</v>
      </c>
      <c r="E82">
        <v>6</v>
      </c>
      <c r="F82">
        <v>1296</v>
      </c>
      <c r="G82">
        <v>17</v>
      </c>
      <c r="H82">
        <v>311</v>
      </c>
      <c r="I82">
        <v>45</v>
      </c>
      <c r="J82">
        <v>69</v>
      </c>
      <c r="K82">
        <v>51</v>
      </c>
      <c r="L82">
        <v>1</v>
      </c>
      <c r="M82">
        <v>2</v>
      </c>
      <c r="N82">
        <v>4</v>
      </c>
      <c r="O82">
        <v>10</v>
      </c>
      <c r="P82">
        <v>1</v>
      </c>
      <c r="Q82">
        <v>1</v>
      </c>
      <c r="R82">
        <v>1</v>
      </c>
      <c r="S82">
        <v>0</v>
      </c>
      <c r="T82">
        <v>1</v>
      </c>
      <c r="U82">
        <v>1</v>
      </c>
      <c r="V82">
        <f>IF(SUM(ifood_data[[#This Row],[AcceptedCmp1]:[AcceptedCmp5]])&gt;0,1,0)</f>
        <v>1</v>
      </c>
      <c r="W82">
        <v>0</v>
      </c>
      <c r="X82">
        <v>3</v>
      </c>
      <c r="Y82">
        <v>11</v>
      </c>
      <c r="Z82">
        <v>1</v>
      </c>
      <c r="AA82">
        <v>66</v>
      </c>
      <c r="AB82">
        <v>2259</v>
      </c>
      <c r="AC82" s="28">
        <f>ifood_data[[#This Row],[Customer_Days]]/365</f>
        <v>6.1890410958904107</v>
      </c>
      <c r="AD82">
        <v>1</v>
      </c>
      <c r="AE82">
        <v>0</v>
      </c>
      <c r="AF82">
        <v>0</v>
      </c>
      <c r="AG82">
        <v>0</v>
      </c>
      <c r="AH82">
        <v>0</v>
      </c>
      <c r="AI82">
        <v>0</v>
      </c>
      <c r="AJ82">
        <v>0</v>
      </c>
      <c r="AK82">
        <v>1</v>
      </c>
      <c r="AL82">
        <v>0</v>
      </c>
      <c r="AM82">
        <v>0</v>
      </c>
      <c r="AN82">
        <v>1738</v>
      </c>
      <c r="AO82">
        <v>1687</v>
      </c>
      <c r="AP82">
        <f>ifood_data[[#This Row],[MntTotal]]-ifood_data[[#This Row],[MntRegularProds]]</f>
        <v>51</v>
      </c>
      <c r="AQ82">
        <v>4</v>
      </c>
      <c r="AR82">
        <f>IF(SUM(ifood_data[[#This Row],[Kidhome]:[Teenhome]])&gt;0,1,0)</f>
        <v>0</v>
      </c>
      <c r="AS82" t="str">
        <f>IF(SUM(ifood_data[[#This Row],[Kidhome]:[Teenhome]])&gt;0,"Has Family","No Family")</f>
        <v>No Family</v>
      </c>
      <c r="AT82" t="str">
        <f>IF(ifood_data[[#This Row],[marital_Married]]=1,"Married", (IF(ifood_data[[#This Row],[marital_Single]]=1,"Single",(IF(ifood_data[[#This Row],[marital_Divorced]]=1,"Divorced",(IF(ifood_data[[#This Row],[marital_Together]]=1,"Living Together",(IF(ifood_data[[#This Row],[marital_Widow]]=1,"Widow","Other")))))))))</f>
        <v>Divorced</v>
      </c>
      <c r="AU82" t="str">
        <f>IF(ifood_data[[#This Row],[education_Basic]]=1,"High School",(IF(ifood_data[[#This Row],[education_Graduation]]=1,"Undergraduate Degree",(IF(SUM(AM82,AL82,AI82)&gt;0,"Master's Degree or Higher","Other")))))</f>
        <v>Undergraduate Degree</v>
      </c>
      <c r="AV82" t="str">
        <f>IF(ifood_data[[#All],[Income]]&gt;75000,"75K+",(IF(ifood_data[[#All],[Income]]&gt;50000,"50K-75K",(IF(ifood_data[[#All],[Income]]&gt;35000,"35K-50K","&lt;35K")))))</f>
        <v>75K+</v>
      </c>
      <c r="AW82" t="str">
        <f>IF(ifood_data[[#All],[Age]]&gt;60,"60+",(IF(ifood_data[[#All],[Age]]&gt;50,"50-60",(IF(ifood_data[[#All],[Age]]&gt;40,"40-50",(IF(ifood_data[[#All],[Age]]&gt;30,"30-40","&lt;30")))))))</f>
        <v>60+</v>
      </c>
      <c r="AX82">
        <f t="shared" si="4"/>
        <v>18</v>
      </c>
      <c r="AY82">
        <f t="shared" si="5"/>
        <v>10</v>
      </c>
      <c r="AZ82">
        <f t="shared" si="6"/>
        <v>4</v>
      </c>
      <c r="BA82">
        <f t="shared" si="7"/>
        <v>9</v>
      </c>
      <c r="BB82">
        <f>SUM(ifood_data[[#This Row],[Recency Score]:[Monetary Score]])</f>
        <v>23</v>
      </c>
      <c r="BC82">
        <f>(_xlfn.PERCENTRANK.INC(ifood_data[[#All],[RFM]],ifood_data[[#This Row],[RFM]],1))*10</f>
        <v>8</v>
      </c>
      <c r="BD82" t="str">
        <f>VLOOKUP(ifood_data[[#This Row],[RFM Score]],'RFM Analysis'!$A$3:$B$14,2,FALSE)</f>
        <v>Loyal Customer</v>
      </c>
      <c r="BE82">
        <f>'Regression Models'!$B$101+'Regression Models'!$B$102*ifood_data[[#This Row],[Income]]+'Regression Models'!$B$103*ifood_data[[#This Row],[Age]]+'Regression Models'!$B$104*ifood_data[[#This Row],[Family]]</f>
        <v>1437.9505853921994</v>
      </c>
      <c r="BF82" t="str">
        <f>IF(ifood_data[[#This Row],[AcceptedCmpOverall]]=1,"Campaign Respondent","Non-respondent")</f>
        <v>Campaign Respondent</v>
      </c>
    </row>
    <row r="83" spans="1:58" x14ac:dyDescent="0.35">
      <c r="A83">
        <v>603</v>
      </c>
      <c r="B83">
        <v>83917</v>
      </c>
      <c r="C83">
        <v>0</v>
      </c>
      <c r="D83">
        <v>0</v>
      </c>
      <c r="E83">
        <v>12</v>
      </c>
      <c r="F83">
        <v>514</v>
      </c>
      <c r="G83">
        <v>22</v>
      </c>
      <c r="H83">
        <v>732</v>
      </c>
      <c r="I83">
        <v>42</v>
      </c>
      <c r="J83">
        <v>198</v>
      </c>
      <c r="K83">
        <v>79</v>
      </c>
      <c r="L83">
        <v>1</v>
      </c>
      <c r="M83">
        <v>6</v>
      </c>
      <c r="N83">
        <v>7</v>
      </c>
      <c r="O83">
        <v>7</v>
      </c>
      <c r="P83">
        <v>3</v>
      </c>
      <c r="Q83">
        <v>0</v>
      </c>
      <c r="R83">
        <v>0</v>
      </c>
      <c r="S83">
        <v>0</v>
      </c>
      <c r="T83">
        <v>0</v>
      </c>
      <c r="U83">
        <v>0</v>
      </c>
      <c r="V83">
        <f>IF(SUM(ifood_data[[#This Row],[AcceptedCmp1]:[AcceptedCmp5]])&gt;0,1,0)</f>
        <v>0</v>
      </c>
      <c r="W83">
        <v>0</v>
      </c>
      <c r="X83">
        <v>3</v>
      </c>
      <c r="Y83">
        <v>11</v>
      </c>
      <c r="Z83">
        <v>1</v>
      </c>
      <c r="AA83">
        <v>47</v>
      </c>
      <c r="AB83">
        <v>2596</v>
      </c>
      <c r="AC83" s="28">
        <f>ifood_data[[#This Row],[Customer_Days]]/365</f>
        <v>7.1123287671232873</v>
      </c>
      <c r="AD83">
        <v>0</v>
      </c>
      <c r="AE83">
        <v>0</v>
      </c>
      <c r="AF83">
        <v>1</v>
      </c>
      <c r="AG83">
        <v>0</v>
      </c>
      <c r="AH83">
        <v>0</v>
      </c>
      <c r="AI83">
        <v>0</v>
      </c>
      <c r="AJ83">
        <v>0</v>
      </c>
      <c r="AK83">
        <v>1</v>
      </c>
      <c r="AL83">
        <v>0</v>
      </c>
      <c r="AM83">
        <v>0</v>
      </c>
      <c r="AN83">
        <v>1508</v>
      </c>
      <c r="AO83">
        <v>1429</v>
      </c>
      <c r="AP83">
        <f>ifood_data[[#This Row],[MntTotal]]-ifood_data[[#This Row],[MntRegularProds]]</f>
        <v>79</v>
      </c>
      <c r="AQ83">
        <v>0</v>
      </c>
      <c r="AR83">
        <f>IF(SUM(ifood_data[[#This Row],[Kidhome]:[Teenhome]])&gt;0,1,0)</f>
        <v>0</v>
      </c>
      <c r="AS83" t="str">
        <f>IF(SUM(ifood_data[[#This Row],[Kidhome]:[Teenhome]])&gt;0,"Has Family","No Family")</f>
        <v>No Family</v>
      </c>
      <c r="AT83" t="str">
        <f>IF(ifood_data[[#This Row],[marital_Married]]=1,"Married", (IF(ifood_data[[#This Row],[marital_Single]]=1,"Single",(IF(ifood_data[[#This Row],[marital_Divorced]]=1,"Divorced",(IF(ifood_data[[#This Row],[marital_Together]]=1,"Living Together",(IF(ifood_data[[#This Row],[marital_Widow]]=1,"Widow","Other")))))))))</f>
        <v>Single</v>
      </c>
      <c r="AU83" t="str">
        <f>IF(ifood_data[[#This Row],[education_Basic]]=1,"High School",(IF(ifood_data[[#This Row],[education_Graduation]]=1,"Undergraduate Degree",(IF(SUM(AM83,AL83,AI83)&gt;0,"Master's Degree or Higher","Other")))))</f>
        <v>Undergraduate Degree</v>
      </c>
      <c r="AV83" t="str">
        <f>IF(ifood_data[[#All],[Income]]&gt;75000,"75K+",(IF(ifood_data[[#All],[Income]]&gt;50000,"50K-75K",(IF(ifood_data[[#All],[Income]]&gt;35000,"35K-50K","&lt;35K")))))</f>
        <v>75K+</v>
      </c>
      <c r="AW83" t="str">
        <f>IF(ifood_data[[#All],[Age]]&gt;60,"60+",(IF(ifood_data[[#All],[Age]]&gt;50,"50-60",(IF(ifood_data[[#All],[Age]]&gt;40,"40-50",(IF(ifood_data[[#All],[Age]]&gt;30,"30-40","&lt;30")))))))</f>
        <v>40-50</v>
      </c>
      <c r="AX83">
        <f t="shared" si="4"/>
        <v>24</v>
      </c>
      <c r="AY83">
        <f t="shared" si="5"/>
        <v>9</v>
      </c>
      <c r="AZ83">
        <f t="shared" si="6"/>
        <v>6</v>
      </c>
      <c r="BA83">
        <f t="shared" si="7"/>
        <v>9</v>
      </c>
      <c r="BB83">
        <f>SUM(ifood_data[[#This Row],[Recency Score]:[Monetary Score]])</f>
        <v>24</v>
      </c>
      <c r="BC83">
        <f>(_xlfn.PERCENTRANK.INC(ifood_data[[#All],[RFM]],ifood_data[[#This Row],[RFM]],1))*10</f>
        <v>9</v>
      </c>
      <c r="BD83" t="str">
        <f>VLOOKUP(ifood_data[[#This Row],[RFM Score]],'RFM Analysis'!$A$3:$B$14,2,FALSE)</f>
        <v>Top Customer</v>
      </c>
      <c r="BE83">
        <f>'Regression Models'!$B$101+'Regression Models'!$B$102*ifood_data[[#This Row],[Income]]+'Regression Models'!$B$103*ifood_data[[#This Row],[Age]]+'Regression Models'!$B$104*ifood_data[[#This Row],[Family]]</f>
        <v>1436.8363633490653</v>
      </c>
      <c r="BF83" t="str">
        <f>IF(ifood_data[[#This Row],[AcceptedCmpOverall]]=1,"Campaign Respondent","Non-respondent")</f>
        <v>Non-respondent</v>
      </c>
    </row>
    <row r="84" spans="1:58" x14ac:dyDescent="0.35">
      <c r="A84">
        <v>28</v>
      </c>
      <c r="B84">
        <v>84618</v>
      </c>
      <c r="C84">
        <v>0</v>
      </c>
      <c r="D84">
        <v>0</v>
      </c>
      <c r="E84">
        <v>96</v>
      </c>
      <c r="F84">
        <v>684</v>
      </c>
      <c r="G84">
        <v>100</v>
      </c>
      <c r="H84">
        <v>801</v>
      </c>
      <c r="I84">
        <v>21</v>
      </c>
      <c r="J84">
        <v>66</v>
      </c>
      <c r="K84">
        <v>0</v>
      </c>
      <c r="L84">
        <v>1</v>
      </c>
      <c r="M84">
        <v>6</v>
      </c>
      <c r="N84">
        <v>9</v>
      </c>
      <c r="O84">
        <v>10</v>
      </c>
      <c r="P84">
        <v>2</v>
      </c>
      <c r="Q84">
        <v>0</v>
      </c>
      <c r="R84">
        <v>0</v>
      </c>
      <c r="S84">
        <v>0</v>
      </c>
      <c r="T84">
        <v>0</v>
      </c>
      <c r="U84">
        <v>1</v>
      </c>
      <c r="V84">
        <f>IF(SUM(ifood_data[[#This Row],[AcceptedCmp1]:[AcceptedCmp5]])&gt;0,1,0)</f>
        <v>1</v>
      </c>
      <c r="W84">
        <v>0</v>
      </c>
      <c r="X84">
        <v>3</v>
      </c>
      <c r="Y84">
        <v>11</v>
      </c>
      <c r="Z84">
        <v>0</v>
      </c>
      <c r="AA84">
        <v>55</v>
      </c>
      <c r="AB84">
        <v>2378</v>
      </c>
      <c r="AC84" s="28">
        <f>ifood_data[[#This Row],[Customer_Days]]/365</f>
        <v>6.515068493150685</v>
      </c>
      <c r="AD84">
        <v>0</v>
      </c>
      <c r="AE84">
        <v>1</v>
      </c>
      <c r="AF84">
        <v>0</v>
      </c>
      <c r="AG84">
        <v>0</v>
      </c>
      <c r="AH84">
        <v>0</v>
      </c>
      <c r="AI84">
        <v>0</v>
      </c>
      <c r="AJ84">
        <v>0</v>
      </c>
      <c r="AK84">
        <v>0</v>
      </c>
      <c r="AL84">
        <v>0</v>
      </c>
      <c r="AM84">
        <v>1</v>
      </c>
      <c r="AN84">
        <v>1672</v>
      </c>
      <c r="AO84">
        <v>1672</v>
      </c>
      <c r="AP84">
        <f>ifood_data[[#This Row],[MntTotal]]-ifood_data[[#This Row],[MntRegularProds]]</f>
        <v>0</v>
      </c>
      <c r="AQ84">
        <v>1</v>
      </c>
      <c r="AR84">
        <f>IF(SUM(ifood_data[[#This Row],[Kidhome]:[Teenhome]])&gt;0,1,0)</f>
        <v>0</v>
      </c>
      <c r="AS84" t="str">
        <f>IF(SUM(ifood_data[[#This Row],[Kidhome]:[Teenhome]])&gt;0,"Has Family","No Family")</f>
        <v>No Family</v>
      </c>
      <c r="AT84" t="str">
        <f>IF(ifood_data[[#This Row],[marital_Married]]=1,"Married", (IF(ifood_data[[#This Row],[marital_Single]]=1,"Single",(IF(ifood_data[[#This Row],[marital_Divorced]]=1,"Divorced",(IF(ifood_data[[#This Row],[marital_Together]]=1,"Living Together",(IF(ifood_data[[#This Row],[marital_Widow]]=1,"Widow","Other")))))))))</f>
        <v>Married</v>
      </c>
      <c r="AU84" t="str">
        <f>IF(ifood_data[[#This Row],[education_Basic]]=1,"High School",(IF(ifood_data[[#This Row],[education_Graduation]]=1,"Undergraduate Degree",(IF(SUM(AM84,AL84,AI84)&gt;0,"Master's Degree or Higher","Other")))))</f>
        <v>Master's Degree or Higher</v>
      </c>
      <c r="AV84" t="str">
        <f>IF(ifood_data[[#All],[Income]]&gt;75000,"75K+",(IF(ifood_data[[#All],[Income]]&gt;50000,"50K-75K",(IF(ifood_data[[#All],[Income]]&gt;35000,"35K-50K","&lt;35K")))))</f>
        <v>75K+</v>
      </c>
      <c r="AW84" t="str">
        <f>IF(ifood_data[[#All],[Age]]&gt;60,"60+",(IF(ifood_data[[#All],[Age]]&gt;50,"50-60",(IF(ifood_data[[#All],[Age]]&gt;40,"40-50",(IF(ifood_data[[#All],[Age]]&gt;30,"30-40","&lt;30")))))))</f>
        <v>50-60</v>
      </c>
      <c r="AX84">
        <f t="shared" si="4"/>
        <v>28</v>
      </c>
      <c r="AY84">
        <f t="shared" si="5"/>
        <v>0.99999999999999978</v>
      </c>
      <c r="AZ84">
        <f t="shared" si="6"/>
        <v>8</v>
      </c>
      <c r="BA84">
        <f t="shared" si="7"/>
        <v>9</v>
      </c>
      <c r="BB84">
        <f>SUM(ifood_data[[#This Row],[Recency Score]:[Monetary Score]])</f>
        <v>18</v>
      </c>
      <c r="BC84">
        <f>(_xlfn.PERCENTRANK.INC(ifood_data[[#All],[RFM]],ifood_data[[#This Row],[RFM]],1))*10</f>
        <v>6</v>
      </c>
      <c r="BD84" t="str">
        <f>VLOOKUP(ifood_data[[#This Row],[RFM Score]],'RFM Analysis'!$A$3:$B$14,2,FALSE)</f>
        <v>Promising</v>
      </c>
      <c r="BE84">
        <f>'Regression Models'!$B$101+'Regression Models'!$B$102*ifood_data[[#This Row],[Income]]+'Regression Models'!$B$103*ifood_data[[#This Row],[Age]]+'Regression Models'!$B$104*ifood_data[[#This Row],[Family]]</f>
        <v>1436.437377186784</v>
      </c>
      <c r="BF84" t="str">
        <f>IF(ifood_data[[#This Row],[AcceptedCmpOverall]]=1,"Campaign Respondent","Non-respondent")</f>
        <v>Campaign Respondent</v>
      </c>
    </row>
    <row r="85" spans="1:58" x14ac:dyDescent="0.35">
      <c r="A85">
        <v>407</v>
      </c>
      <c r="B85">
        <v>84865</v>
      </c>
      <c r="C85">
        <v>0</v>
      </c>
      <c r="D85">
        <v>0</v>
      </c>
      <c r="E85">
        <v>1</v>
      </c>
      <c r="F85">
        <v>1248</v>
      </c>
      <c r="G85">
        <v>16</v>
      </c>
      <c r="H85">
        <v>349</v>
      </c>
      <c r="I85">
        <v>43</v>
      </c>
      <c r="J85">
        <v>16</v>
      </c>
      <c r="K85">
        <v>16</v>
      </c>
      <c r="L85">
        <v>1</v>
      </c>
      <c r="M85">
        <v>2</v>
      </c>
      <c r="N85">
        <v>4</v>
      </c>
      <c r="O85">
        <v>9</v>
      </c>
      <c r="P85">
        <v>4</v>
      </c>
      <c r="Q85">
        <v>1</v>
      </c>
      <c r="R85">
        <v>1</v>
      </c>
      <c r="S85">
        <v>0</v>
      </c>
      <c r="T85">
        <v>1</v>
      </c>
      <c r="U85">
        <v>1</v>
      </c>
      <c r="V85">
        <f>IF(SUM(ifood_data[[#This Row],[AcceptedCmp1]:[AcceptedCmp5]])&gt;0,1,0)</f>
        <v>1</v>
      </c>
      <c r="W85">
        <v>0</v>
      </c>
      <c r="X85">
        <v>3</v>
      </c>
      <c r="Y85">
        <v>11</v>
      </c>
      <c r="Z85">
        <v>1</v>
      </c>
      <c r="AA85">
        <v>59</v>
      </c>
      <c r="AB85">
        <v>2575</v>
      </c>
      <c r="AC85" s="28">
        <f>ifood_data[[#This Row],[Customer_Days]]/365</f>
        <v>7.0547945205479454</v>
      </c>
      <c r="AD85">
        <v>0</v>
      </c>
      <c r="AE85">
        <v>0</v>
      </c>
      <c r="AF85">
        <v>1</v>
      </c>
      <c r="AG85">
        <v>0</v>
      </c>
      <c r="AH85">
        <v>0</v>
      </c>
      <c r="AI85">
        <v>0</v>
      </c>
      <c r="AJ85">
        <v>0</v>
      </c>
      <c r="AK85">
        <v>0</v>
      </c>
      <c r="AL85">
        <v>0</v>
      </c>
      <c r="AM85">
        <v>1</v>
      </c>
      <c r="AN85">
        <v>1672</v>
      </c>
      <c r="AO85">
        <v>1656</v>
      </c>
      <c r="AP85">
        <f>ifood_data[[#This Row],[MntTotal]]-ifood_data[[#This Row],[MntRegularProds]]</f>
        <v>16</v>
      </c>
      <c r="AQ85">
        <v>4</v>
      </c>
      <c r="AR85">
        <f>IF(SUM(ifood_data[[#This Row],[Kidhome]:[Teenhome]])&gt;0,1,0)</f>
        <v>0</v>
      </c>
      <c r="AS85" t="str">
        <f>IF(SUM(ifood_data[[#This Row],[Kidhome]:[Teenhome]])&gt;0,"Has Family","No Family")</f>
        <v>No Family</v>
      </c>
      <c r="AT85" t="str">
        <f>IF(ifood_data[[#This Row],[marital_Married]]=1,"Married", (IF(ifood_data[[#This Row],[marital_Single]]=1,"Single",(IF(ifood_data[[#This Row],[marital_Divorced]]=1,"Divorced",(IF(ifood_data[[#This Row],[marital_Together]]=1,"Living Together",(IF(ifood_data[[#This Row],[marital_Widow]]=1,"Widow","Other")))))))))</f>
        <v>Single</v>
      </c>
      <c r="AU85" t="str">
        <f>IF(ifood_data[[#This Row],[education_Basic]]=1,"High School",(IF(ifood_data[[#This Row],[education_Graduation]]=1,"Undergraduate Degree",(IF(SUM(AM85,AL85,AI85)&gt;0,"Master's Degree or Higher","Other")))))</f>
        <v>Master's Degree or Higher</v>
      </c>
      <c r="AV85" t="str">
        <f>IF(ifood_data[[#All],[Income]]&gt;75000,"75K+",(IF(ifood_data[[#All],[Income]]&gt;50000,"50K-75K",(IF(ifood_data[[#All],[Income]]&gt;35000,"35K-50K","&lt;35K")))))</f>
        <v>75K+</v>
      </c>
      <c r="AW85" t="str">
        <f>IF(ifood_data[[#All],[Age]]&gt;60,"60+",(IF(ifood_data[[#All],[Age]]&gt;50,"50-60",(IF(ifood_data[[#All],[Age]]&gt;40,"40-50",(IF(ifood_data[[#All],[Age]]&gt;30,"30-40","&lt;30")))))))</f>
        <v>50-60</v>
      </c>
      <c r="AX85">
        <f t="shared" si="4"/>
        <v>20</v>
      </c>
      <c r="AY85">
        <f t="shared" si="5"/>
        <v>10</v>
      </c>
      <c r="AZ85">
        <f t="shared" si="6"/>
        <v>4</v>
      </c>
      <c r="BA85">
        <f t="shared" si="7"/>
        <v>9</v>
      </c>
      <c r="BB85">
        <f>SUM(ifood_data[[#This Row],[Recency Score]:[Monetary Score]])</f>
        <v>23</v>
      </c>
      <c r="BC85">
        <f>(_xlfn.PERCENTRANK.INC(ifood_data[[#All],[RFM]],ifood_data[[#This Row],[RFM]],1))*10</f>
        <v>8</v>
      </c>
      <c r="BD85" t="str">
        <f>VLOOKUP(ifood_data[[#This Row],[RFM Score]],'RFM Analysis'!$A$3:$B$14,2,FALSE)</f>
        <v>Loyal Customer</v>
      </c>
      <c r="BE85">
        <f>'Regression Models'!$B$101+'Regression Models'!$B$102*ifood_data[[#This Row],[Income]]+'Regression Models'!$B$103*ifood_data[[#This Row],[Age]]+'Regression Models'!$B$104*ifood_data[[#This Row],[Family]]</f>
        <v>1434.1276466027502</v>
      </c>
      <c r="BF85" t="str">
        <f>IF(ifood_data[[#This Row],[AcceptedCmpOverall]]=1,"Campaign Respondent","Non-respondent")</f>
        <v>Campaign Respondent</v>
      </c>
    </row>
    <row r="86" spans="1:58" x14ac:dyDescent="0.35">
      <c r="A86">
        <v>1695</v>
      </c>
      <c r="B86">
        <v>82733</v>
      </c>
      <c r="C86">
        <v>0</v>
      </c>
      <c r="D86">
        <v>0</v>
      </c>
      <c r="E86">
        <v>28</v>
      </c>
      <c r="F86">
        <v>712</v>
      </c>
      <c r="G86">
        <v>50</v>
      </c>
      <c r="H86">
        <v>420</v>
      </c>
      <c r="I86">
        <v>65</v>
      </c>
      <c r="J86">
        <v>38</v>
      </c>
      <c r="K86">
        <v>38</v>
      </c>
      <c r="L86">
        <v>1</v>
      </c>
      <c r="M86">
        <v>8</v>
      </c>
      <c r="N86">
        <v>4</v>
      </c>
      <c r="O86">
        <v>7</v>
      </c>
      <c r="P86">
        <v>4</v>
      </c>
      <c r="Q86">
        <v>0</v>
      </c>
      <c r="R86">
        <v>0</v>
      </c>
      <c r="S86">
        <v>0</v>
      </c>
      <c r="T86">
        <v>0</v>
      </c>
      <c r="U86">
        <v>0</v>
      </c>
      <c r="V86">
        <f>IF(SUM(ifood_data[[#This Row],[AcceptedCmp1]:[AcceptedCmp5]])&gt;0,1,0)</f>
        <v>0</v>
      </c>
      <c r="W86">
        <v>0</v>
      </c>
      <c r="X86">
        <v>3</v>
      </c>
      <c r="Y86">
        <v>11</v>
      </c>
      <c r="Z86">
        <v>1</v>
      </c>
      <c r="AA86">
        <v>36</v>
      </c>
      <c r="AB86">
        <v>2451</v>
      </c>
      <c r="AC86" s="28">
        <f>ifood_data[[#This Row],[Customer_Days]]/365</f>
        <v>6.7150684931506852</v>
      </c>
      <c r="AD86">
        <v>0</v>
      </c>
      <c r="AE86">
        <v>0</v>
      </c>
      <c r="AF86">
        <v>1</v>
      </c>
      <c r="AG86">
        <v>0</v>
      </c>
      <c r="AH86">
        <v>0</v>
      </c>
      <c r="AI86">
        <v>0</v>
      </c>
      <c r="AJ86">
        <v>0</v>
      </c>
      <c r="AK86">
        <v>0</v>
      </c>
      <c r="AL86">
        <v>0</v>
      </c>
      <c r="AM86">
        <v>1</v>
      </c>
      <c r="AN86">
        <v>1285</v>
      </c>
      <c r="AO86">
        <v>1247</v>
      </c>
      <c r="AP86">
        <f>ifood_data[[#This Row],[MntTotal]]-ifood_data[[#This Row],[MntRegularProds]]</f>
        <v>38</v>
      </c>
      <c r="AQ86">
        <v>0</v>
      </c>
      <c r="AR86">
        <f>IF(SUM(ifood_data[[#This Row],[Kidhome]:[Teenhome]])&gt;0,1,0)</f>
        <v>0</v>
      </c>
      <c r="AS86" t="str">
        <f>IF(SUM(ifood_data[[#This Row],[Kidhome]:[Teenhome]])&gt;0,"Has Family","No Family")</f>
        <v>No Family</v>
      </c>
      <c r="AT86" t="str">
        <f>IF(ifood_data[[#This Row],[marital_Married]]=1,"Married", (IF(ifood_data[[#This Row],[marital_Single]]=1,"Single",(IF(ifood_data[[#This Row],[marital_Divorced]]=1,"Divorced",(IF(ifood_data[[#This Row],[marital_Together]]=1,"Living Together",(IF(ifood_data[[#This Row],[marital_Widow]]=1,"Widow","Other")))))))))</f>
        <v>Single</v>
      </c>
      <c r="AU86" t="str">
        <f>IF(ifood_data[[#This Row],[education_Basic]]=1,"High School",(IF(ifood_data[[#This Row],[education_Graduation]]=1,"Undergraduate Degree",(IF(SUM(AM86,AL86,AI86)&gt;0,"Master's Degree or Higher","Other")))))</f>
        <v>Master's Degree or Higher</v>
      </c>
      <c r="AV86" t="str">
        <f>IF(ifood_data[[#All],[Income]]&gt;75000,"75K+",(IF(ifood_data[[#All],[Income]]&gt;50000,"50K-75K",(IF(ifood_data[[#All],[Income]]&gt;35000,"35K-50K","&lt;35K")))))</f>
        <v>75K+</v>
      </c>
      <c r="AW86" t="str">
        <f>IF(ifood_data[[#All],[Age]]&gt;60,"60+",(IF(ifood_data[[#All],[Age]]&gt;50,"50-60",(IF(ifood_data[[#All],[Age]]&gt;40,"40-50",(IF(ifood_data[[#All],[Age]]&gt;30,"30-40","&lt;30")))))))</f>
        <v>30-40</v>
      </c>
      <c r="AX86">
        <f t="shared" si="4"/>
        <v>24</v>
      </c>
      <c r="AY86">
        <f t="shared" si="5"/>
        <v>8</v>
      </c>
      <c r="AZ86">
        <f t="shared" si="6"/>
        <v>6</v>
      </c>
      <c r="BA86">
        <f t="shared" si="7"/>
        <v>8</v>
      </c>
      <c r="BB86">
        <f>SUM(ifood_data[[#This Row],[Recency Score]:[Monetary Score]])</f>
        <v>22</v>
      </c>
      <c r="BC86">
        <f>(_xlfn.PERCENTRANK.INC(ifood_data[[#All],[RFM]],ifood_data[[#This Row],[RFM]],1))*10</f>
        <v>8</v>
      </c>
      <c r="BD86" t="str">
        <f>VLOOKUP(ifood_data[[#This Row],[RFM Score]],'RFM Analysis'!$A$3:$B$14,2,FALSE)</f>
        <v>Loyal Customer</v>
      </c>
      <c r="BE86">
        <f>'Regression Models'!$B$101+'Regression Models'!$B$102*ifood_data[[#This Row],[Income]]+'Regression Models'!$B$103*ifood_data[[#This Row],[Age]]+'Regression Models'!$B$104*ifood_data[[#This Row],[Family]]</f>
        <v>1432.896891734526</v>
      </c>
      <c r="BF86" t="str">
        <f>IF(ifood_data[[#This Row],[AcceptedCmpOverall]]=1,"Campaign Respondent","Non-respondent")</f>
        <v>Non-respondent</v>
      </c>
    </row>
    <row r="87" spans="1:58" x14ac:dyDescent="0.35">
      <c r="A87">
        <v>1626</v>
      </c>
      <c r="B87">
        <v>85431</v>
      </c>
      <c r="C87">
        <v>0</v>
      </c>
      <c r="D87">
        <v>0</v>
      </c>
      <c r="E87">
        <v>54</v>
      </c>
      <c r="F87">
        <v>376</v>
      </c>
      <c r="G87">
        <v>53</v>
      </c>
      <c r="H87">
        <v>462</v>
      </c>
      <c r="I87">
        <v>168</v>
      </c>
      <c r="J87">
        <v>53</v>
      </c>
      <c r="K87">
        <v>53</v>
      </c>
      <c r="L87">
        <v>1</v>
      </c>
      <c r="M87">
        <v>2</v>
      </c>
      <c r="N87">
        <v>7</v>
      </c>
      <c r="O87">
        <v>7</v>
      </c>
      <c r="P87">
        <v>0</v>
      </c>
      <c r="Q87">
        <v>0</v>
      </c>
      <c r="R87">
        <v>0</v>
      </c>
      <c r="S87">
        <v>0</v>
      </c>
      <c r="T87">
        <v>0</v>
      </c>
      <c r="U87">
        <v>0</v>
      </c>
      <c r="V87">
        <f>IF(SUM(ifood_data[[#This Row],[AcceptedCmp1]:[AcceptedCmp5]])&gt;0,1,0)</f>
        <v>0</v>
      </c>
      <c r="W87">
        <v>0</v>
      </c>
      <c r="X87">
        <v>3</v>
      </c>
      <c r="Y87">
        <v>11</v>
      </c>
      <c r="Z87">
        <v>0</v>
      </c>
      <c r="AA87">
        <v>68</v>
      </c>
      <c r="AB87">
        <v>2545</v>
      </c>
      <c r="AC87" s="28">
        <f>ifood_data[[#This Row],[Customer_Days]]/365</f>
        <v>6.9726027397260273</v>
      </c>
      <c r="AD87">
        <v>0</v>
      </c>
      <c r="AE87">
        <v>0</v>
      </c>
      <c r="AF87">
        <v>0</v>
      </c>
      <c r="AG87">
        <v>1</v>
      </c>
      <c r="AH87">
        <v>0</v>
      </c>
      <c r="AI87">
        <v>0</v>
      </c>
      <c r="AJ87">
        <v>0</v>
      </c>
      <c r="AK87">
        <v>0</v>
      </c>
      <c r="AL87">
        <v>0</v>
      </c>
      <c r="AM87">
        <v>1</v>
      </c>
      <c r="AN87">
        <v>1112</v>
      </c>
      <c r="AO87">
        <v>1059</v>
      </c>
      <c r="AP87">
        <f>ifood_data[[#This Row],[MntTotal]]-ifood_data[[#This Row],[MntRegularProds]]</f>
        <v>53</v>
      </c>
      <c r="AQ87">
        <v>0</v>
      </c>
      <c r="AR87">
        <f>IF(SUM(ifood_data[[#This Row],[Kidhome]:[Teenhome]])&gt;0,1,0)</f>
        <v>0</v>
      </c>
      <c r="AS87" t="str">
        <f>IF(SUM(ifood_data[[#This Row],[Kidhome]:[Teenhome]])&gt;0,"Has Family","No Family")</f>
        <v>No Family</v>
      </c>
      <c r="AT87" t="str">
        <f>IF(ifood_data[[#This Row],[marital_Married]]=1,"Married", (IF(ifood_data[[#This Row],[marital_Single]]=1,"Single",(IF(ifood_data[[#This Row],[marital_Divorced]]=1,"Divorced",(IF(ifood_data[[#This Row],[marital_Together]]=1,"Living Together",(IF(ifood_data[[#This Row],[marital_Widow]]=1,"Widow","Other")))))))))</f>
        <v>Living Together</v>
      </c>
      <c r="AU87" t="str">
        <f>IF(ifood_data[[#This Row],[education_Basic]]=1,"High School",(IF(ifood_data[[#This Row],[education_Graduation]]=1,"Undergraduate Degree",(IF(SUM(AM87,AL87,AI87)&gt;0,"Master's Degree or Higher","Other")))))</f>
        <v>Master's Degree or Higher</v>
      </c>
      <c r="AV87" t="str">
        <f>IF(ifood_data[[#All],[Income]]&gt;75000,"75K+",(IF(ifood_data[[#All],[Income]]&gt;50000,"50K-75K",(IF(ifood_data[[#All],[Income]]&gt;35000,"35K-50K","&lt;35K")))))</f>
        <v>75K+</v>
      </c>
      <c r="AW87" t="str">
        <f>IF(ifood_data[[#All],[Age]]&gt;60,"60+",(IF(ifood_data[[#All],[Age]]&gt;50,"50-60",(IF(ifood_data[[#All],[Age]]&gt;40,"40-50",(IF(ifood_data[[#All],[Age]]&gt;30,"30-40","&lt;30")))))))</f>
        <v>60+</v>
      </c>
      <c r="AX87">
        <f t="shared" si="4"/>
        <v>17</v>
      </c>
      <c r="AY87">
        <f t="shared" si="5"/>
        <v>5</v>
      </c>
      <c r="AZ87">
        <f t="shared" si="6"/>
        <v>3</v>
      </c>
      <c r="BA87">
        <f t="shared" si="7"/>
        <v>8</v>
      </c>
      <c r="BB87">
        <f>SUM(ifood_data[[#This Row],[Recency Score]:[Monetary Score]])</f>
        <v>16</v>
      </c>
      <c r="BC87">
        <f>(_xlfn.PERCENTRANK.INC(ifood_data[[#All],[RFM]],ifood_data[[#This Row],[RFM]],1))*10</f>
        <v>5</v>
      </c>
      <c r="BD87" t="str">
        <f>VLOOKUP(ifood_data[[#This Row],[RFM Score]],'RFM Analysis'!$A$3:$B$14,2,FALSE)</f>
        <v>Promising</v>
      </c>
      <c r="BE87">
        <f>'Regression Models'!$B$101+'Regression Models'!$B$102*ifood_data[[#This Row],[Income]]+'Regression Models'!$B$103*ifood_data[[#This Row],[Age]]+'Regression Models'!$B$104*ifood_data[[#This Row],[Family]]</f>
        <v>1429.1397376621483</v>
      </c>
      <c r="BF87" t="str">
        <f>IF(ifood_data[[#This Row],[AcceptedCmpOverall]]=1,"Campaign Respondent","Non-respondent")</f>
        <v>Non-respondent</v>
      </c>
    </row>
    <row r="88" spans="1:58" x14ac:dyDescent="0.35">
      <c r="A88">
        <v>1928</v>
      </c>
      <c r="B88">
        <v>82333</v>
      </c>
      <c r="C88">
        <v>0</v>
      </c>
      <c r="D88">
        <v>0</v>
      </c>
      <c r="E88">
        <v>60</v>
      </c>
      <c r="F88">
        <v>1311</v>
      </c>
      <c r="G88">
        <v>0</v>
      </c>
      <c r="H88">
        <v>359</v>
      </c>
      <c r="I88">
        <v>46</v>
      </c>
      <c r="J88">
        <v>89</v>
      </c>
      <c r="K88">
        <v>17</v>
      </c>
      <c r="L88">
        <v>1</v>
      </c>
      <c r="M88">
        <v>4</v>
      </c>
      <c r="N88">
        <v>3</v>
      </c>
      <c r="O88">
        <v>10</v>
      </c>
      <c r="P88">
        <v>2</v>
      </c>
      <c r="Q88">
        <v>0</v>
      </c>
      <c r="R88">
        <v>0</v>
      </c>
      <c r="S88">
        <v>0</v>
      </c>
      <c r="T88">
        <v>0</v>
      </c>
      <c r="U88">
        <v>1</v>
      </c>
      <c r="V88">
        <f>IF(SUM(ifood_data[[#This Row],[AcceptedCmp1]:[AcceptedCmp5]])&gt;0,1,0)</f>
        <v>1</v>
      </c>
      <c r="W88">
        <v>0</v>
      </c>
      <c r="X88">
        <v>3</v>
      </c>
      <c r="Y88">
        <v>11</v>
      </c>
      <c r="Z88">
        <v>1</v>
      </c>
      <c r="AA88">
        <v>34</v>
      </c>
      <c r="AB88">
        <v>2615</v>
      </c>
      <c r="AC88" s="28">
        <f>ifood_data[[#This Row],[Customer_Days]]/365</f>
        <v>7.1643835616438354</v>
      </c>
      <c r="AD88">
        <v>0</v>
      </c>
      <c r="AE88">
        <v>1</v>
      </c>
      <c r="AF88">
        <v>0</v>
      </c>
      <c r="AG88">
        <v>0</v>
      </c>
      <c r="AH88">
        <v>0</v>
      </c>
      <c r="AI88">
        <v>0</v>
      </c>
      <c r="AJ88">
        <v>0</v>
      </c>
      <c r="AK88">
        <v>0</v>
      </c>
      <c r="AL88">
        <v>0</v>
      </c>
      <c r="AM88">
        <v>1</v>
      </c>
      <c r="AN88">
        <v>1805</v>
      </c>
      <c r="AO88">
        <v>1788</v>
      </c>
      <c r="AP88">
        <f>ifood_data[[#This Row],[MntTotal]]-ifood_data[[#This Row],[MntRegularProds]]</f>
        <v>17</v>
      </c>
      <c r="AQ88">
        <v>1</v>
      </c>
      <c r="AR88">
        <f>IF(SUM(ifood_data[[#This Row],[Kidhome]:[Teenhome]])&gt;0,1,0)</f>
        <v>0</v>
      </c>
      <c r="AS88" t="str">
        <f>IF(SUM(ifood_data[[#This Row],[Kidhome]:[Teenhome]])&gt;0,"Has Family","No Family")</f>
        <v>No Family</v>
      </c>
      <c r="AT88" t="str">
        <f>IF(ifood_data[[#This Row],[marital_Married]]=1,"Married", (IF(ifood_data[[#This Row],[marital_Single]]=1,"Single",(IF(ifood_data[[#This Row],[marital_Divorced]]=1,"Divorced",(IF(ifood_data[[#This Row],[marital_Together]]=1,"Living Together",(IF(ifood_data[[#This Row],[marital_Widow]]=1,"Widow","Other")))))))))</f>
        <v>Married</v>
      </c>
      <c r="AU88" t="str">
        <f>IF(ifood_data[[#This Row],[education_Basic]]=1,"High School",(IF(ifood_data[[#This Row],[education_Graduation]]=1,"Undergraduate Degree",(IF(SUM(AM88,AL88,AI88)&gt;0,"Master's Degree or Higher","Other")))))</f>
        <v>Master's Degree or Higher</v>
      </c>
      <c r="AV88" t="str">
        <f>IF(ifood_data[[#All],[Income]]&gt;75000,"75K+",(IF(ifood_data[[#All],[Income]]&gt;50000,"50K-75K",(IF(ifood_data[[#All],[Income]]&gt;35000,"35K-50K","&lt;35K")))))</f>
        <v>75K+</v>
      </c>
      <c r="AW88" t="str">
        <f>IF(ifood_data[[#All],[Age]]&gt;60,"60+",(IF(ifood_data[[#All],[Age]]&gt;50,"50-60",(IF(ifood_data[[#All],[Age]]&gt;40,"40-50",(IF(ifood_data[[#All],[Age]]&gt;30,"30-40","&lt;30")))))))</f>
        <v>30-40</v>
      </c>
      <c r="AX88">
        <f t="shared" si="4"/>
        <v>20</v>
      </c>
      <c r="AY88">
        <f t="shared" si="5"/>
        <v>4</v>
      </c>
      <c r="AZ88">
        <f t="shared" si="6"/>
        <v>4</v>
      </c>
      <c r="BA88">
        <f t="shared" si="7"/>
        <v>9</v>
      </c>
      <c r="BB88">
        <f>SUM(ifood_data[[#This Row],[Recency Score]:[Monetary Score]])</f>
        <v>17</v>
      </c>
      <c r="BC88">
        <f>(_xlfn.PERCENTRANK.INC(ifood_data[[#All],[RFM]],ifood_data[[#This Row],[RFM]],1))*10</f>
        <v>6</v>
      </c>
      <c r="BD88" t="str">
        <f>VLOOKUP(ifood_data[[#This Row],[RFM Score]],'RFM Analysis'!$A$3:$B$14,2,FALSE)</f>
        <v>Promising</v>
      </c>
      <c r="BE88">
        <f>'Regression Models'!$B$101+'Regression Models'!$B$102*ifood_data[[#This Row],[Income]]+'Regression Models'!$B$103*ifood_data[[#This Row],[Age]]+'Regression Models'!$B$104*ifood_data[[#This Row],[Family]]</f>
        <v>1428.4142626347552</v>
      </c>
      <c r="BF88" t="str">
        <f>IF(ifood_data[[#This Row],[AcceptedCmpOverall]]=1,"Campaign Respondent","Non-respondent")</f>
        <v>Campaign Respondent</v>
      </c>
    </row>
    <row r="89" spans="1:58" x14ac:dyDescent="0.35">
      <c r="A89">
        <v>709</v>
      </c>
      <c r="B89">
        <v>83443</v>
      </c>
      <c r="C89">
        <v>0</v>
      </c>
      <c r="D89">
        <v>0</v>
      </c>
      <c r="E89">
        <v>89</v>
      </c>
      <c r="F89">
        <v>518</v>
      </c>
      <c r="G89">
        <v>42</v>
      </c>
      <c r="H89">
        <v>742</v>
      </c>
      <c r="I89">
        <v>55</v>
      </c>
      <c r="J89">
        <v>56</v>
      </c>
      <c r="K89">
        <v>84</v>
      </c>
      <c r="L89">
        <v>1</v>
      </c>
      <c r="M89">
        <v>6</v>
      </c>
      <c r="N89">
        <v>10</v>
      </c>
      <c r="O89">
        <v>5</v>
      </c>
      <c r="P89">
        <v>2</v>
      </c>
      <c r="Q89">
        <v>0</v>
      </c>
      <c r="R89">
        <v>0</v>
      </c>
      <c r="S89">
        <v>0</v>
      </c>
      <c r="T89">
        <v>0</v>
      </c>
      <c r="U89">
        <v>0</v>
      </c>
      <c r="V89">
        <f>IF(SUM(ifood_data[[#This Row],[AcceptedCmp1]:[AcceptedCmp5]])&gt;0,1,0)</f>
        <v>0</v>
      </c>
      <c r="W89">
        <v>0</v>
      </c>
      <c r="X89">
        <v>3</v>
      </c>
      <c r="Y89">
        <v>11</v>
      </c>
      <c r="Z89">
        <v>0</v>
      </c>
      <c r="AA89">
        <v>48</v>
      </c>
      <c r="AB89">
        <v>2339</v>
      </c>
      <c r="AC89" s="28">
        <f>ifood_data[[#This Row],[Customer_Days]]/365</f>
        <v>6.4082191780821915</v>
      </c>
      <c r="AD89">
        <v>0</v>
      </c>
      <c r="AE89">
        <v>0</v>
      </c>
      <c r="AF89">
        <v>0</v>
      </c>
      <c r="AG89">
        <v>1</v>
      </c>
      <c r="AH89">
        <v>0</v>
      </c>
      <c r="AI89">
        <v>0</v>
      </c>
      <c r="AJ89">
        <v>0</v>
      </c>
      <c r="AK89">
        <v>0</v>
      </c>
      <c r="AL89">
        <v>0</v>
      </c>
      <c r="AM89">
        <v>1</v>
      </c>
      <c r="AN89">
        <v>1413</v>
      </c>
      <c r="AO89">
        <v>1329</v>
      </c>
      <c r="AP89">
        <f>ifood_data[[#This Row],[MntTotal]]-ifood_data[[#This Row],[MntRegularProds]]</f>
        <v>84</v>
      </c>
      <c r="AQ89">
        <v>0</v>
      </c>
      <c r="AR89">
        <f>IF(SUM(ifood_data[[#This Row],[Kidhome]:[Teenhome]])&gt;0,1,0)</f>
        <v>0</v>
      </c>
      <c r="AS89" t="str">
        <f>IF(SUM(ifood_data[[#This Row],[Kidhome]:[Teenhome]])&gt;0,"Has Family","No Family")</f>
        <v>No Family</v>
      </c>
      <c r="AT89" t="str">
        <f>IF(ifood_data[[#This Row],[marital_Married]]=1,"Married", (IF(ifood_data[[#This Row],[marital_Single]]=1,"Single",(IF(ifood_data[[#This Row],[marital_Divorced]]=1,"Divorced",(IF(ifood_data[[#This Row],[marital_Together]]=1,"Living Together",(IF(ifood_data[[#This Row],[marital_Widow]]=1,"Widow","Other")))))))))</f>
        <v>Living Together</v>
      </c>
      <c r="AU89" t="str">
        <f>IF(ifood_data[[#This Row],[education_Basic]]=1,"High School",(IF(ifood_data[[#This Row],[education_Graduation]]=1,"Undergraduate Degree",(IF(SUM(AM89,AL89,AI89)&gt;0,"Master's Degree or Higher","Other")))))</f>
        <v>Master's Degree or Higher</v>
      </c>
      <c r="AV89" t="str">
        <f>IF(ifood_data[[#All],[Income]]&gt;75000,"75K+",(IF(ifood_data[[#All],[Income]]&gt;50000,"50K-75K",(IF(ifood_data[[#All],[Income]]&gt;35000,"35K-50K","&lt;35K")))))</f>
        <v>75K+</v>
      </c>
      <c r="AW89" t="str">
        <f>IF(ifood_data[[#All],[Age]]&gt;60,"60+",(IF(ifood_data[[#All],[Age]]&gt;50,"50-60",(IF(ifood_data[[#All],[Age]]&gt;40,"40-50",(IF(ifood_data[[#All],[Age]]&gt;30,"30-40","&lt;30")))))))</f>
        <v>40-50</v>
      </c>
      <c r="AX89">
        <f t="shared" si="4"/>
        <v>24</v>
      </c>
      <c r="AY89">
        <f t="shared" si="5"/>
        <v>1.9999999999999996</v>
      </c>
      <c r="AZ89">
        <f t="shared" si="6"/>
        <v>6</v>
      </c>
      <c r="BA89">
        <f t="shared" si="7"/>
        <v>8</v>
      </c>
      <c r="BB89">
        <f>SUM(ifood_data[[#This Row],[Recency Score]:[Monetary Score]])</f>
        <v>16</v>
      </c>
      <c r="BC89">
        <f>(_xlfn.PERCENTRANK.INC(ifood_data[[#All],[RFM]],ifood_data[[#This Row],[RFM]],1))*10</f>
        <v>5</v>
      </c>
      <c r="BD89" t="str">
        <f>VLOOKUP(ifood_data[[#This Row],[RFM Score]],'RFM Analysis'!$A$3:$B$14,2,FALSE)</f>
        <v>Promising</v>
      </c>
      <c r="BE89">
        <f>'Regression Models'!$B$101+'Regression Models'!$B$102*ifood_data[[#This Row],[Income]]+'Regression Models'!$B$103*ifood_data[[#This Row],[Age]]+'Regression Models'!$B$104*ifood_data[[#This Row],[Family]]</f>
        <v>1425.335648169963</v>
      </c>
      <c r="BF89" t="str">
        <f>IF(ifood_data[[#This Row],[AcceptedCmpOverall]]=1,"Campaign Respondent","Non-respondent")</f>
        <v>Non-respondent</v>
      </c>
    </row>
    <row r="90" spans="1:58" x14ac:dyDescent="0.35">
      <c r="A90">
        <v>1089</v>
      </c>
      <c r="B90">
        <v>83145</v>
      </c>
      <c r="C90">
        <v>0</v>
      </c>
      <c r="D90">
        <v>0</v>
      </c>
      <c r="E90">
        <v>14</v>
      </c>
      <c r="F90">
        <v>777</v>
      </c>
      <c r="G90">
        <v>35</v>
      </c>
      <c r="H90">
        <v>731</v>
      </c>
      <c r="I90">
        <v>39</v>
      </c>
      <c r="J90">
        <v>137</v>
      </c>
      <c r="K90">
        <v>114</v>
      </c>
      <c r="L90">
        <v>1</v>
      </c>
      <c r="M90">
        <v>5</v>
      </c>
      <c r="N90">
        <v>9</v>
      </c>
      <c r="O90">
        <v>11</v>
      </c>
      <c r="P90">
        <v>2</v>
      </c>
      <c r="Q90">
        <v>0</v>
      </c>
      <c r="R90">
        <v>0</v>
      </c>
      <c r="S90">
        <v>0</v>
      </c>
      <c r="T90">
        <v>0</v>
      </c>
      <c r="U90">
        <v>1</v>
      </c>
      <c r="V90">
        <f>IF(SUM(ifood_data[[#This Row],[AcceptedCmp1]:[AcceptedCmp5]])&gt;0,1,0)</f>
        <v>1</v>
      </c>
      <c r="W90">
        <v>0</v>
      </c>
      <c r="X90">
        <v>3</v>
      </c>
      <c r="Y90">
        <v>11</v>
      </c>
      <c r="Z90">
        <v>1</v>
      </c>
      <c r="AA90">
        <v>46</v>
      </c>
      <c r="AB90">
        <v>2804</v>
      </c>
      <c r="AC90" s="28">
        <f>ifood_data[[#This Row],[Customer_Days]]/365</f>
        <v>7.6821917808219178</v>
      </c>
      <c r="AD90">
        <v>0</v>
      </c>
      <c r="AE90">
        <v>0</v>
      </c>
      <c r="AF90">
        <v>0</v>
      </c>
      <c r="AG90">
        <v>1</v>
      </c>
      <c r="AH90">
        <v>0</v>
      </c>
      <c r="AI90">
        <v>0</v>
      </c>
      <c r="AJ90">
        <v>0</v>
      </c>
      <c r="AK90">
        <v>1</v>
      </c>
      <c r="AL90">
        <v>0</v>
      </c>
      <c r="AM90">
        <v>0</v>
      </c>
      <c r="AN90">
        <v>1719</v>
      </c>
      <c r="AO90">
        <v>1605</v>
      </c>
      <c r="AP90">
        <f>ifood_data[[#This Row],[MntTotal]]-ifood_data[[#This Row],[MntRegularProds]]</f>
        <v>114</v>
      </c>
      <c r="AQ90">
        <v>1</v>
      </c>
      <c r="AR90">
        <f>IF(SUM(ifood_data[[#This Row],[Kidhome]:[Teenhome]])&gt;0,1,0)</f>
        <v>0</v>
      </c>
      <c r="AS90" t="str">
        <f>IF(SUM(ifood_data[[#This Row],[Kidhome]:[Teenhome]])&gt;0,"Has Family","No Family")</f>
        <v>No Family</v>
      </c>
      <c r="AT90" t="str">
        <f>IF(ifood_data[[#This Row],[marital_Married]]=1,"Married", (IF(ifood_data[[#This Row],[marital_Single]]=1,"Single",(IF(ifood_data[[#This Row],[marital_Divorced]]=1,"Divorced",(IF(ifood_data[[#This Row],[marital_Together]]=1,"Living Together",(IF(ifood_data[[#This Row],[marital_Widow]]=1,"Widow","Other")))))))))</f>
        <v>Living Together</v>
      </c>
      <c r="AU90" t="str">
        <f>IF(ifood_data[[#This Row],[education_Basic]]=1,"High School",(IF(ifood_data[[#This Row],[education_Graduation]]=1,"Undergraduate Degree",(IF(SUM(AM90,AL90,AI90)&gt;0,"Master's Degree or Higher","Other")))))</f>
        <v>Undergraduate Degree</v>
      </c>
      <c r="AV90" t="str">
        <f>IF(ifood_data[[#All],[Income]]&gt;75000,"75K+",(IF(ifood_data[[#All],[Income]]&gt;50000,"50K-75K",(IF(ifood_data[[#All],[Income]]&gt;35000,"35K-50K","&lt;35K")))))</f>
        <v>75K+</v>
      </c>
      <c r="AW90" t="str">
        <f>IF(ifood_data[[#All],[Age]]&gt;60,"60+",(IF(ifood_data[[#All],[Age]]&gt;50,"50-60",(IF(ifood_data[[#All],[Age]]&gt;40,"40-50",(IF(ifood_data[[#All],[Age]]&gt;30,"30-40","&lt;30")))))))</f>
        <v>40-50</v>
      </c>
      <c r="AX90">
        <f t="shared" si="4"/>
        <v>28</v>
      </c>
      <c r="AY90">
        <f t="shared" si="5"/>
        <v>9</v>
      </c>
      <c r="AZ90">
        <f t="shared" si="6"/>
        <v>8</v>
      </c>
      <c r="BA90">
        <f t="shared" si="7"/>
        <v>9</v>
      </c>
      <c r="BB90">
        <f>SUM(ifood_data[[#This Row],[Recency Score]:[Monetary Score]])</f>
        <v>26</v>
      </c>
      <c r="BC90">
        <f>(_xlfn.PERCENTRANK.INC(ifood_data[[#All],[RFM]],ifood_data[[#This Row],[RFM]],1))*10</f>
        <v>9</v>
      </c>
      <c r="BD90" t="str">
        <f>VLOOKUP(ifood_data[[#This Row],[RFM Score]],'RFM Analysis'!$A$3:$B$14,2,FALSE)</f>
        <v>Top Customer</v>
      </c>
      <c r="BE90">
        <f>'Regression Models'!$B$101+'Regression Models'!$B$102*ifood_data[[#This Row],[Income]]+'Regression Models'!$B$103*ifood_data[[#This Row],[Age]]+'Regression Models'!$B$104*ifood_data[[#This Row],[Family]]</f>
        <v>1422.9326734208698</v>
      </c>
      <c r="BF90" t="str">
        <f>IF(ifood_data[[#This Row],[AcceptedCmpOverall]]=1,"Campaign Respondent","Non-respondent")</f>
        <v>Campaign Respondent</v>
      </c>
    </row>
    <row r="91" spans="1:58" x14ac:dyDescent="0.35">
      <c r="A91">
        <v>1682</v>
      </c>
      <c r="B91">
        <v>84953</v>
      </c>
      <c r="C91">
        <v>0</v>
      </c>
      <c r="D91">
        <v>0</v>
      </c>
      <c r="E91">
        <v>73</v>
      </c>
      <c r="F91">
        <v>167</v>
      </c>
      <c r="G91">
        <v>48</v>
      </c>
      <c r="H91">
        <v>602</v>
      </c>
      <c r="I91">
        <v>63</v>
      </c>
      <c r="J91">
        <v>72</v>
      </c>
      <c r="K91">
        <v>72</v>
      </c>
      <c r="L91">
        <v>1</v>
      </c>
      <c r="M91">
        <v>3</v>
      </c>
      <c r="N91">
        <v>10</v>
      </c>
      <c r="O91">
        <v>4</v>
      </c>
      <c r="P91">
        <v>2</v>
      </c>
      <c r="Q91">
        <v>1</v>
      </c>
      <c r="R91">
        <v>0</v>
      </c>
      <c r="S91">
        <v>0</v>
      </c>
      <c r="T91">
        <v>1</v>
      </c>
      <c r="U91">
        <v>1</v>
      </c>
      <c r="V91">
        <f>IF(SUM(ifood_data[[#This Row],[AcceptedCmp1]:[AcceptedCmp5]])&gt;0,1,0)</f>
        <v>1</v>
      </c>
      <c r="W91">
        <v>0</v>
      </c>
      <c r="X91">
        <v>3</v>
      </c>
      <c r="Y91">
        <v>11</v>
      </c>
      <c r="Z91">
        <v>1</v>
      </c>
      <c r="AA91">
        <v>67</v>
      </c>
      <c r="AB91">
        <v>2550</v>
      </c>
      <c r="AC91" s="28">
        <f>ifood_data[[#This Row],[Customer_Days]]/365</f>
        <v>6.9863013698630141</v>
      </c>
      <c r="AD91">
        <v>0</v>
      </c>
      <c r="AE91">
        <v>0</v>
      </c>
      <c r="AF91">
        <v>0</v>
      </c>
      <c r="AG91">
        <v>0</v>
      </c>
      <c r="AH91">
        <v>1</v>
      </c>
      <c r="AI91">
        <v>0</v>
      </c>
      <c r="AJ91">
        <v>0</v>
      </c>
      <c r="AK91">
        <v>0</v>
      </c>
      <c r="AL91">
        <v>1</v>
      </c>
      <c r="AM91">
        <v>0</v>
      </c>
      <c r="AN91">
        <v>952</v>
      </c>
      <c r="AO91">
        <v>880</v>
      </c>
      <c r="AP91">
        <f>ifood_data[[#This Row],[MntTotal]]-ifood_data[[#This Row],[MntRegularProds]]</f>
        <v>72</v>
      </c>
      <c r="AQ91">
        <v>3</v>
      </c>
      <c r="AR91">
        <f>IF(SUM(ifood_data[[#This Row],[Kidhome]:[Teenhome]])&gt;0,1,0)</f>
        <v>0</v>
      </c>
      <c r="AS91" t="str">
        <f>IF(SUM(ifood_data[[#This Row],[Kidhome]:[Teenhome]])&gt;0,"Has Family","No Family")</f>
        <v>No Family</v>
      </c>
      <c r="AT91" t="str">
        <f>IF(ifood_data[[#This Row],[marital_Married]]=1,"Married", (IF(ifood_data[[#This Row],[marital_Single]]=1,"Single",(IF(ifood_data[[#This Row],[marital_Divorced]]=1,"Divorced",(IF(ifood_data[[#This Row],[marital_Together]]=1,"Living Together",(IF(ifood_data[[#This Row],[marital_Widow]]=1,"Widow","Other")))))))))</f>
        <v>Widow</v>
      </c>
      <c r="AU91" t="str">
        <f>IF(ifood_data[[#This Row],[education_Basic]]=1,"High School",(IF(ifood_data[[#This Row],[education_Graduation]]=1,"Undergraduate Degree",(IF(SUM(AM91,AL91,AI91)&gt;0,"Master's Degree or Higher","Other")))))</f>
        <v>Master's Degree or Higher</v>
      </c>
      <c r="AV91" t="str">
        <f>IF(ifood_data[[#All],[Income]]&gt;75000,"75K+",(IF(ifood_data[[#All],[Income]]&gt;50000,"50K-75K",(IF(ifood_data[[#All],[Income]]&gt;35000,"35K-50K","&lt;35K")))))</f>
        <v>75K+</v>
      </c>
      <c r="AW91" t="str">
        <f>IF(ifood_data[[#All],[Age]]&gt;60,"60+",(IF(ifood_data[[#All],[Age]]&gt;50,"50-60",(IF(ifood_data[[#All],[Age]]&gt;40,"40-50",(IF(ifood_data[[#All],[Age]]&gt;30,"30-40","&lt;30")))))))</f>
        <v>60+</v>
      </c>
      <c r="AX91">
        <f t="shared" si="4"/>
        <v>20</v>
      </c>
      <c r="AY91">
        <f t="shared" si="5"/>
        <v>3.0000000000000004</v>
      </c>
      <c r="AZ91">
        <f t="shared" si="6"/>
        <v>4</v>
      </c>
      <c r="BA91">
        <f t="shared" si="7"/>
        <v>7</v>
      </c>
      <c r="BB91">
        <f>SUM(ifood_data[[#This Row],[Recency Score]:[Monetary Score]])</f>
        <v>14</v>
      </c>
      <c r="BC91">
        <f>(_xlfn.PERCENTRANK.INC(ifood_data[[#All],[RFM]],ifood_data[[#This Row],[RFM]],1))*10</f>
        <v>4</v>
      </c>
      <c r="BD91" t="str">
        <f>VLOOKUP(ifood_data[[#This Row],[RFM Score]],'RFM Analysis'!$A$3:$B$14,2,FALSE)</f>
        <v>At Risk</v>
      </c>
      <c r="BE91">
        <f>'Regression Models'!$B$101+'Regression Models'!$B$102*ifood_data[[#This Row],[Income]]+'Regression Models'!$B$103*ifood_data[[#This Row],[Age]]+'Regression Models'!$B$104*ifood_data[[#This Row],[Family]]</f>
        <v>1421.2303455682588</v>
      </c>
      <c r="BF91" t="str">
        <f>IF(ifood_data[[#This Row],[AcceptedCmpOverall]]=1,"Campaign Respondent","Non-respondent")</f>
        <v>Campaign Respondent</v>
      </c>
    </row>
    <row r="92" spans="1:58" x14ac:dyDescent="0.35">
      <c r="A92">
        <v>275</v>
      </c>
      <c r="B92">
        <v>82497</v>
      </c>
      <c r="C92">
        <v>0</v>
      </c>
      <c r="D92">
        <v>0</v>
      </c>
      <c r="E92">
        <v>32</v>
      </c>
      <c r="F92">
        <v>777</v>
      </c>
      <c r="G92">
        <v>129</v>
      </c>
      <c r="H92">
        <v>573</v>
      </c>
      <c r="I92">
        <v>216</v>
      </c>
      <c r="J92">
        <v>21</v>
      </c>
      <c r="K92">
        <v>203</v>
      </c>
      <c r="L92">
        <v>1</v>
      </c>
      <c r="M92">
        <v>2</v>
      </c>
      <c r="N92">
        <v>7</v>
      </c>
      <c r="O92">
        <v>9</v>
      </c>
      <c r="P92">
        <v>4</v>
      </c>
      <c r="Q92">
        <v>0</v>
      </c>
      <c r="R92">
        <v>0</v>
      </c>
      <c r="S92">
        <v>0</v>
      </c>
      <c r="T92">
        <v>0</v>
      </c>
      <c r="U92">
        <v>1</v>
      </c>
      <c r="V92">
        <f>IF(SUM(ifood_data[[#This Row],[AcceptedCmp1]:[AcceptedCmp5]])&gt;0,1,0)</f>
        <v>1</v>
      </c>
      <c r="W92">
        <v>0</v>
      </c>
      <c r="X92">
        <v>3</v>
      </c>
      <c r="Y92">
        <v>11</v>
      </c>
      <c r="Z92">
        <v>0</v>
      </c>
      <c r="AA92">
        <v>40</v>
      </c>
      <c r="AB92">
        <v>2765</v>
      </c>
      <c r="AC92" s="28">
        <f>ifood_data[[#This Row],[Customer_Days]]/365</f>
        <v>7.5753424657534243</v>
      </c>
      <c r="AD92">
        <v>0</v>
      </c>
      <c r="AE92">
        <v>1</v>
      </c>
      <c r="AF92">
        <v>0</v>
      </c>
      <c r="AG92">
        <v>0</v>
      </c>
      <c r="AH92">
        <v>0</v>
      </c>
      <c r="AI92">
        <v>0</v>
      </c>
      <c r="AJ92">
        <v>0</v>
      </c>
      <c r="AK92">
        <v>1</v>
      </c>
      <c r="AL92">
        <v>0</v>
      </c>
      <c r="AM92">
        <v>0</v>
      </c>
      <c r="AN92">
        <v>1716</v>
      </c>
      <c r="AO92">
        <v>1513</v>
      </c>
      <c r="AP92">
        <f>ifood_data[[#This Row],[MntTotal]]-ifood_data[[#This Row],[MntRegularProds]]</f>
        <v>203</v>
      </c>
      <c r="AQ92">
        <v>1</v>
      </c>
      <c r="AR92">
        <f>IF(SUM(ifood_data[[#This Row],[Kidhome]:[Teenhome]])&gt;0,1,0)</f>
        <v>0</v>
      </c>
      <c r="AS92" t="str">
        <f>IF(SUM(ifood_data[[#This Row],[Kidhome]:[Teenhome]])&gt;0,"Has Family","No Family")</f>
        <v>No Family</v>
      </c>
      <c r="AT92" t="str">
        <f>IF(ifood_data[[#This Row],[marital_Married]]=1,"Married", (IF(ifood_data[[#This Row],[marital_Single]]=1,"Single",(IF(ifood_data[[#This Row],[marital_Divorced]]=1,"Divorced",(IF(ifood_data[[#This Row],[marital_Together]]=1,"Living Together",(IF(ifood_data[[#This Row],[marital_Widow]]=1,"Widow","Other")))))))))</f>
        <v>Married</v>
      </c>
      <c r="AU92" t="str">
        <f>IF(ifood_data[[#This Row],[education_Basic]]=1,"High School",(IF(ifood_data[[#This Row],[education_Graduation]]=1,"Undergraduate Degree",(IF(SUM(AM92,AL92,AI92)&gt;0,"Master's Degree or Higher","Other")))))</f>
        <v>Undergraduate Degree</v>
      </c>
      <c r="AV92" t="str">
        <f>IF(ifood_data[[#All],[Income]]&gt;75000,"75K+",(IF(ifood_data[[#All],[Income]]&gt;50000,"50K-75K",(IF(ifood_data[[#All],[Income]]&gt;35000,"35K-50K","&lt;35K")))))</f>
        <v>75K+</v>
      </c>
      <c r="AW92" t="str">
        <f>IF(ifood_data[[#All],[Age]]&gt;60,"60+",(IF(ifood_data[[#All],[Age]]&gt;50,"50-60",(IF(ifood_data[[#All],[Age]]&gt;40,"40-50",(IF(ifood_data[[#All],[Age]]&gt;30,"30-40","&lt;30")))))))</f>
        <v>30-40</v>
      </c>
      <c r="AX92">
        <f t="shared" si="4"/>
        <v>23</v>
      </c>
      <c r="AY92">
        <f t="shared" si="5"/>
        <v>7</v>
      </c>
      <c r="AZ92">
        <f t="shared" si="6"/>
        <v>6</v>
      </c>
      <c r="BA92">
        <f t="shared" si="7"/>
        <v>9</v>
      </c>
      <c r="BB92">
        <f>SUM(ifood_data[[#This Row],[Recency Score]:[Monetary Score]])</f>
        <v>22</v>
      </c>
      <c r="BC92">
        <f>(_xlfn.PERCENTRANK.INC(ifood_data[[#All],[RFM]],ifood_data[[#This Row],[RFM]],1))*10</f>
        <v>8</v>
      </c>
      <c r="BD92" t="str">
        <f>VLOOKUP(ifood_data[[#This Row],[RFM Score]],'RFM Analysis'!$A$3:$B$14,2,FALSE)</f>
        <v>Loyal Customer</v>
      </c>
      <c r="BE92">
        <f>'Regression Models'!$B$101+'Regression Models'!$B$102*ifood_data[[#This Row],[Income]]+'Regression Models'!$B$103*ifood_data[[#This Row],[Age]]+'Regression Models'!$B$104*ifood_data[[#This Row],[Family]]</f>
        <v>1420.7393861369887</v>
      </c>
      <c r="BF92" t="str">
        <f>IF(ifood_data[[#This Row],[AcceptedCmpOverall]]=1,"Campaign Respondent","Non-respondent")</f>
        <v>Campaign Respondent</v>
      </c>
    </row>
    <row r="93" spans="1:58" x14ac:dyDescent="0.35">
      <c r="A93">
        <v>1028</v>
      </c>
      <c r="B93">
        <v>84460</v>
      </c>
      <c r="C93">
        <v>0</v>
      </c>
      <c r="D93">
        <v>0</v>
      </c>
      <c r="E93">
        <v>80</v>
      </c>
      <c r="F93">
        <v>152</v>
      </c>
      <c r="G93">
        <v>27</v>
      </c>
      <c r="H93">
        <v>103</v>
      </c>
      <c r="I93">
        <v>106</v>
      </c>
      <c r="J93">
        <v>54</v>
      </c>
      <c r="K93">
        <v>81</v>
      </c>
      <c r="L93">
        <v>0</v>
      </c>
      <c r="M93">
        <v>9</v>
      </c>
      <c r="N93">
        <v>9</v>
      </c>
      <c r="O93">
        <v>4</v>
      </c>
      <c r="P93">
        <v>5</v>
      </c>
      <c r="Q93">
        <v>1</v>
      </c>
      <c r="R93">
        <v>1</v>
      </c>
      <c r="S93">
        <v>0</v>
      </c>
      <c r="T93">
        <v>1</v>
      </c>
      <c r="U93">
        <v>1</v>
      </c>
      <c r="V93">
        <f>IF(SUM(ifood_data[[#This Row],[AcceptedCmp1]:[AcceptedCmp5]])&gt;0,1,0)</f>
        <v>1</v>
      </c>
      <c r="W93">
        <v>0</v>
      </c>
      <c r="X93">
        <v>3</v>
      </c>
      <c r="Y93">
        <v>11</v>
      </c>
      <c r="Z93">
        <v>1</v>
      </c>
      <c r="AA93">
        <v>62</v>
      </c>
      <c r="AB93">
        <v>2700</v>
      </c>
      <c r="AC93" s="28">
        <f>ifood_data[[#This Row],[Customer_Days]]/365</f>
        <v>7.397260273972603</v>
      </c>
      <c r="AD93">
        <v>0</v>
      </c>
      <c r="AE93">
        <v>0</v>
      </c>
      <c r="AF93">
        <v>0</v>
      </c>
      <c r="AG93">
        <v>1</v>
      </c>
      <c r="AH93">
        <v>0</v>
      </c>
      <c r="AI93">
        <v>0</v>
      </c>
      <c r="AJ93">
        <v>0</v>
      </c>
      <c r="AK93">
        <v>0</v>
      </c>
      <c r="AL93">
        <v>0</v>
      </c>
      <c r="AM93">
        <v>1</v>
      </c>
      <c r="AN93">
        <v>442</v>
      </c>
      <c r="AO93">
        <v>361</v>
      </c>
      <c r="AP93">
        <f>ifood_data[[#This Row],[MntTotal]]-ifood_data[[#This Row],[MntRegularProds]]</f>
        <v>81</v>
      </c>
      <c r="AQ93">
        <v>4</v>
      </c>
      <c r="AR93">
        <f>IF(SUM(ifood_data[[#This Row],[Kidhome]:[Teenhome]])&gt;0,1,0)</f>
        <v>0</v>
      </c>
      <c r="AS93" t="str">
        <f>IF(SUM(ifood_data[[#This Row],[Kidhome]:[Teenhome]])&gt;0,"Has Family","No Family")</f>
        <v>No Family</v>
      </c>
      <c r="AT93" t="str">
        <f>IF(ifood_data[[#This Row],[marital_Married]]=1,"Married", (IF(ifood_data[[#This Row],[marital_Single]]=1,"Single",(IF(ifood_data[[#This Row],[marital_Divorced]]=1,"Divorced",(IF(ifood_data[[#This Row],[marital_Together]]=1,"Living Together",(IF(ifood_data[[#This Row],[marital_Widow]]=1,"Widow","Other")))))))))</f>
        <v>Living Together</v>
      </c>
      <c r="AU93" t="str">
        <f>IF(ifood_data[[#This Row],[education_Basic]]=1,"High School",(IF(ifood_data[[#This Row],[education_Graduation]]=1,"Undergraduate Degree",(IF(SUM(AM93,AL93,AI93)&gt;0,"Master's Degree or Higher","Other")))))</f>
        <v>Master's Degree or Higher</v>
      </c>
      <c r="AV93" t="str">
        <f>IF(ifood_data[[#All],[Income]]&gt;75000,"75K+",(IF(ifood_data[[#All],[Income]]&gt;50000,"50K-75K",(IF(ifood_data[[#All],[Income]]&gt;35000,"35K-50K","&lt;35K")))))</f>
        <v>75K+</v>
      </c>
      <c r="AW93" t="str">
        <f>IF(ifood_data[[#All],[Age]]&gt;60,"60+",(IF(ifood_data[[#All],[Age]]&gt;50,"50-60",(IF(ifood_data[[#All],[Age]]&gt;40,"40-50",(IF(ifood_data[[#All],[Age]]&gt;30,"30-40","&lt;30")))))))</f>
        <v>60+</v>
      </c>
      <c r="AX93">
        <f t="shared" si="4"/>
        <v>27</v>
      </c>
      <c r="AY93">
        <f t="shared" si="5"/>
        <v>1.9999999999999996</v>
      </c>
      <c r="AZ93">
        <f t="shared" si="6"/>
        <v>7</v>
      </c>
      <c r="BA93">
        <f t="shared" si="7"/>
        <v>5</v>
      </c>
      <c r="BB93">
        <f>SUM(ifood_data[[#This Row],[Recency Score]:[Monetary Score]])</f>
        <v>14</v>
      </c>
      <c r="BC93">
        <f>(_xlfn.PERCENTRANK.INC(ifood_data[[#All],[RFM]],ifood_data[[#This Row],[RFM]],1))*10</f>
        <v>4</v>
      </c>
      <c r="BD93" t="str">
        <f>VLOOKUP(ifood_data[[#This Row],[RFM Score]],'RFM Analysis'!$A$3:$B$14,2,FALSE)</f>
        <v>At Risk</v>
      </c>
      <c r="BE93">
        <f>'Regression Models'!$B$101+'Regression Models'!$B$102*ifood_data[[#This Row],[Income]]+'Regression Models'!$B$103*ifood_data[[#This Row],[Age]]+'Regression Models'!$B$104*ifood_data[[#This Row],[Family]]</f>
        <v>1420.3608782677882</v>
      </c>
      <c r="BF93" t="str">
        <f>IF(ifood_data[[#This Row],[AcceptedCmpOverall]]=1,"Campaign Respondent","Non-respondent")</f>
        <v>Campaign Respondent</v>
      </c>
    </row>
    <row r="94" spans="1:58" x14ac:dyDescent="0.35">
      <c r="A94">
        <v>1213</v>
      </c>
      <c r="B94">
        <v>83151</v>
      </c>
      <c r="C94">
        <v>0</v>
      </c>
      <c r="D94">
        <v>0</v>
      </c>
      <c r="E94">
        <v>80</v>
      </c>
      <c r="F94">
        <v>968</v>
      </c>
      <c r="G94">
        <v>147</v>
      </c>
      <c r="H94">
        <v>842</v>
      </c>
      <c r="I94">
        <v>137</v>
      </c>
      <c r="J94">
        <v>42</v>
      </c>
      <c r="K94">
        <v>210</v>
      </c>
      <c r="L94">
        <v>1</v>
      </c>
      <c r="M94">
        <v>5</v>
      </c>
      <c r="N94">
        <v>7</v>
      </c>
      <c r="O94">
        <v>10</v>
      </c>
      <c r="P94">
        <v>2</v>
      </c>
      <c r="Q94">
        <v>1</v>
      </c>
      <c r="R94">
        <v>0</v>
      </c>
      <c r="S94">
        <v>1</v>
      </c>
      <c r="T94">
        <v>0</v>
      </c>
      <c r="U94">
        <v>1</v>
      </c>
      <c r="V94">
        <f>IF(SUM(ifood_data[[#This Row],[AcceptedCmp1]:[AcceptedCmp5]])&gt;0,1,0)</f>
        <v>1</v>
      </c>
      <c r="W94">
        <v>0</v>
      </c>
      <c r="X94">
        <v>3</v>
      </c>
      <c r="Y94">
        <v>11</v>
      </c>
      <c r="Z94">
        <v>1</v>
      </c>
      <c r="AA94">
        <v>48</v>
      </c>
      <c r="AB94">
        <v>2663</v>
      </c>
      <c r="AC94" s="28">
        <f>ifood_data[[#This Row],[Customer_Days]]/365</f>
        <v>7.2958904109589042</v>
      </c>
      <c r="AD94">
        <v>0</v>
      </c>
      <c r="AE94">
        <v>1</v>
      </c>
      <c r="AF94">
        <v>0</v>
      </c>
      <c r="AG94">
        <v>0</v>
      </c>
      <c r="AH94">
        <v>0</v>
      </c>
      <c r="AI94">
        <v>0</v>
      </c>
      <c r="AJ94">
        <v>0</v>
      </c>
      <c r="AK94">
        <v>0</v>
      </c>
      <c r="AL94">
        <v>1</v>
      </c>
      <c r="AM94">
        <v>0</v>
      </c>
      <c r="AN94">
        <v>2136</v>
      </c>
      <c r="AO94">
        <v>1926</v>
      </c>
      <c r="AP94">
        <f>ifood_data[[#This Row],[MntTotal]]-ifood_data[[#This Row],[MntRegularProds]]</f>
        <v>210</v>
      </c>
      <c r="AQ94">
        <v>3</v>
      </c>
      <c r="AR94">
        <f>IF(SUM(ifood_data[[#This Row],[Kidhome]:[Teenhome]])&gt;0,1,0)</f>
        <v>0</v>
      </c>
      <c r="AS94" t="str">
        <f>IF(SUM(ifood_data[[#This Row],[Kidhome]:[Teenhome]])&gt;0,"Has Family","No Family")</f>
        <v>No Family</v>
      </c>
      <c r="AT94" t="str">
        <f>IF(ifood_data[[#This Row],[marital_Married]]=1,"Married", (IF(ifood_data[[#This Row],[marital_Single]]=1,"Single",(IF(ifood_data[[#This Row],[marital_Divorced]]=1,"Divorced",(IF(ifood_data[[#This Row],[marital_Together]]=1,"Living Together",(IF(ifood_data[[#This Row],[marital_Widow]]=1,"Widow","Other")))))))))</f>
        <v>Married</v>
      </c>
      <c r="AU94" t="str">
        <f>IF(ifood_data[[#This Row],[education_Basic]]=1,"High School",(IF(ifood_data[[#This Row],[education_Graduation]]=1,"Undergraduate Degree",(IF(SUM(AM94,AL94,AI94)&gt;0,"Master's Degree or Higher","Other")))))</f>
        <v>Master's Degree or Higher</v>
      </c>
      <c r="AV94" t="str">
        <f>IF(ifood_data[[#All],[Income]]&gt;75000,"75K+",(IF(ifood_data[[#All],[Income]]&gt;50000,"50K-75K",(IF(ifood_data[[#All],[Income]]&gt;35000,"35K-50K","&lt;35K")))))</f>
        <v>75K+</v>
      </c>
      <c r="AW94" t="str">
        <f>IF(ifood_data[[#All],[Age]]&gt;60,"60+",(IF(ifood_data[[#All],[Age]]&gt;50,"50-60",(IF(ifood_data[[#All],[Age]]&gt;40,"40-50",(IF(ifood_data[[#All],[Age]]&gt;30,"30-40","&lt;30")))))))</f>
        <v>40-50</v>
      </c>
      <c r="AX94">
        <f t="shared" si="4"/>
        <v>25</v>
      </c>
      <c r="AY94">
        <f t="shared" si="5"/>
        <v>1.9999999999999996</v>
      </c>
      <c r="AZ94">
        <f t="shared" si="6"/>
        <v>7</v>
      </c>
      <c r="BA94">
        <f t="shared" si="7"/>
        <v>9</v>
      </c>
      <c r="BB94">
        <f>SUM(ifood_data[[#This Row],[Recency Score]:[Monetary Score]])</f>
        <v>18</v>
      </c>
      <c r="BC94">
        <f>(_xlfn.PERCENTRANK.INC(ifood_data[[#All],[RFM]],ifood_data[[#This Row],[RFM]],1))*10</f>
        <v>6</v>
      </c>
      <c r="BD94" t="str">
        <f>VLOOKUP(ifood_data[[#This Row],[RFM Score]],'RFM Analysis'!$A$3:$B$14,2,FALSE)</f>
        <v>Promising</v>
      </c>
      <c r="BE94">
        <f>'Regression Models'!$B$101+'Regression Models'!$B$102*ifood_data[[#This Row],[Income]]+'Regression Models'!$B$103*ifood_data[[#This Row],[Age]]+'Regression Models'!$B$104*ifood_data[[#This Row],[Family]]</f>
        <v>1419.3821278719447</v>
      </c>
      <c r="BF94" t="str">
        <f>IF(ifood_data[[#This Row],[AcceptedCmpOverall]]=1,"Campaign Respondent","Non-respondent")</f>
        <v>Campaign Respondent</v>
      </c>
    </row>
    <row r="95" spans="1:58" x14ac:dyDescent="0.35">
      <c r="A95">
        <v>50</v>
      </c>
      <c r="B95">
        <v>82582</v>
      </c>
      <c r="C95">
        <v>0</v>
      </c>
      <c r="D95">
        <v>0</v>
      </c>
      <c r="E95">
        <v>54</v>
      </c>
      <c r="F95">
        <v>510</v>
      </c>
      <c r="G95">
        <v>120</v>
      </c>
      <c r="H95">
        <v>550</v>
      </c>
      <c r="I95">
        <v>156</v>
      </c>
      <c r="J95">
        <v>40</v>
      </c>
      <c r="K95">
        <v>241</v>
      </c>
      <c r="L95">
        <v>1</v>
      </c>
      <c r="M95">
        <v>4</v>
      </c>
      <c r="N95">
        <v>9</v>
      </c>
      <c r="O95">
        <v>7</v>
      </c>
      <c r="P95">
        <v>1</v>
      </c>
      <c r="Q95">
        <v>1</v>
      </c>
      <c r="R95">
        <v>0</v>
      </c>
      <c r="S95">
        <v>1</v>
      </c>
      <c r="T95">
        <v>0</v>
      </c>
      <c r="U95">
        <v>0</v>
      </c>
      <c r="V95">
        <f>IF(SUM(ifood_data[[#This Row],[AcceptedCmp1]:[AcceptedCmp5]])&gt;0,1,0)</f>
        <v>1</v>
      </c>
      <c r="W95">
        <v>0</v>
      </c>
      <c r="X95">
        <v>3</v>
      </c>
      <c r="Y95">
        <v>11</v>
      </c>
      <c r="Z95">
        <v>1</v>
      </c>
      <c r="AA95">
        <v>43</v>
      </c>
      <c r="AB95">
        <v>2181</v>
      </c>
      <c r="AC95" s="28">
        <f>ifood_data[[#This Row],[Customer_Days]]/365</f>
        <v>5.9753424657534246</v>
      </c>
      <c r="AD95">
        <v>1</v>
      </c>
      <c r="AE95">
        <v>0</v>
      </c>
      <c r="AF95">
        <v>0</v>
      </c>
      <c r="AG95">
        <v>0</v>
      </c>
      <c r="AH95">
        <v>0</v>
      </c>
      <c r="AI95">
        <v>0</v>
      </c>
      <c r="AJ95">
        <v>0</v>
      </c>
      <c r="AK95">
        <v>1</v>
      </c>
      <c r="AL95">
        <v>0</v>
      </c>
      <c r="AM95">
        <v>0</v>
      </c>
      <c r="AN95">
        <v>1376</v>
      </c>
      <c r="AO95">
        <v>1135</v>
      </c>
      <c r="AP95">
        <f>ifood_data[[#This Row],[MntTotal]]-ifood_data[[#This Row],[MntRegularProds]]</f>
        <v>241</v>
      </c>
      <c r="AQ95">
        <v>2</v>
      </c>
      <c r="AR95">
        <f>IF(SUM(ifood_data[[#This Row],[Kidhome]:[Teenhome]])&gt;0,1,0)</f>
        <v>0</v>
      </c>
      <c r="AS95" t="str">
        <f>IF(SUM(ifood_data[[#This Row],[Kidhome]:[Teenhome]])&gt;0,"Has Family","No Family")</f>
        <v>No Family</v>
      </c>
      <c r="AT95" t="str">
        <f>IF(ifood_data[[#This Row],[marital_Married]]=1,"Married", (IF(ifood_data[[#This Row],[marital_Single]]=1,"Single",(IF(ifood_data[[#This Row],[marital_Divorced]]=1,"Divorced",(IF(ifood_data[[#This Row],[marital_Together]]=1,"Living Together",(IF(ifood_data[[#This Row],[marital_Widow]]=1,"Widow","Other")))))))))</f>
        <v>Divorced</v>
      </c>
      <c r="AU95" t="str">
        <f>IF(ifood_data[[#This Row],[education_Basic]]=1,"High School",(IF(ifood_data[[#This Row],[education_Graduation]]=1,"Undergraduate Degree",(IF(SUM(AM95,AL95,AI95)&gt;0,"Master's Degree or Higher","Other")))))</f>
        <v>Undergraduate Degree</v>
      </c>
      <c r="AV95" t="str">
        <f>IF(ifood_data[[#All],[Income]]&gt;75000,"75K+",(IF(ifood_data[[#All],[Income]]&gt;50000,"50K-75K",(IF(ifood_data[[#All],[Income]]&gt;35000,"35K-50K","&lt;35K")))))</f>
        <v>75K+</v>
      </c>
      <c r="AW95" t="str">
        <f>IF(ifood_data[[#All],[Age]]&gt;60,"60+",(IF(ifood_data[[#All],[Age]]&gt;50,"50-60",(IF(ifood_data[[#All],[Age]]&gt;40,"40-50",(IF(ifood_data[[#All],[Age]]&gt;30,"30-40","&lt;30")))))))</f>
        <v>40-50</v>
      </c>
      <c r="AX95">
        <f t="shared" si="4"/>
        <v>22</v>
      </c>
      <c r="AY95">
        <f t="shared" si="5"/>
        <v>5</v>
      </c>
      <c r="AZ95">
        <f t="shared" si="6"/>
        <v>5</v>
      </c>
      <c r="BA95">
        <f t="shared" si="7"/>
        <v>8</v>
      </c>
      <c r="BB95">
        <f>SUM(ifood_data[[#This Row],[Recency Score]:[Monetary Score]])</f>
        <v>18</v>
      </c>
      <c r="BC95">
        <f>(_xlfn.PERCENTRANK.INC(ifood_data[[#All],[RFM]],ifood_data[[#This Row],[RFM]],1))*10</f>
        <v>6</v>
      </c>
      <c r="BD95" t="str">
        <f>VLOOKUP(ifood_data[[#This Row],[RFM Score]],'RFM Analysis'!$A$3:$B$14,2,FALSE)</f>
        <v>Promising</v>
      </c>
      <c r="BE95">
        <f>'Regression Models'!$B$101+'Regression Models'!$B$102*ifood_data[[#This Row],[Income]]+'Regression Models'!$B$103*ifood_data[[#This Row],[Age]]+'Regression Models'!$B$104*ifood_data[[#This Row],[Family]]</f>
        <v>1416.9631141925374</v>
      </c>
      <c r="BF95" t="str">
        <f>IF(ifood_data[[#This Row],[AcceptedCmpOverall]]=1,"Campaign Respondent","Non-respondent")</f>
        <v>Campaign Respondent</v>
      </c>
    </row>
    <row r="96" spans="1:58" x14ac:dyDescent="0.35">
      <c r="A96">
        <v>891</v>
      </c>
      <c r="B96">
        <v>82025</v>
      </c>
      <c r="C96">
        <v>0</v>
      </c>
      <c r="D96">
        <v>0</v>
      </c>
      <c r="E96">
        <v>76</v>
      </c>
      <c r="F96">
        <v>267</v>
      </c>
      <c r="G96">
        <v>98</v>
      </c>
      <c r="H96">
        <v>606</v>
      </c>
      <c r="I96">
        <v>48</v>
      </c>
      <c r="J96">
        <v>70</v>
      </c>
      <c r="K96">
        <v>98</v>
      </c>
      <c r="L96">
        <v>1</v>
      </c>
      <c r="M96">
        <v>3</v>
      </c>
      <c r="N96">
        <v>2</v>
      </c>
      <c r="O96">
        <v>6</v>
      </c>
      <c r="P96">
        <v>1</v>
      </c>
      <c r="Q96">
        <v>0</v>
      </c>
      <c r="R96">
        <v>0</v>
      </c>
      <c r="S96">
        <v>0</v>
      </c>
      <c r="T96">
        <v>0</v>
      </c>
      <c r="U96">
        <v>1</v>
      </c>
      <c r="V96">
        <f>IF(SUM(ifood_data[[#This Row],[AcceptedCmp1]:[AcceptedCmp5]])&gt;0,1,0)</f>
        <v>1</v>
      </c>
      <c r="W96">
        <v>0</v>
      </c>
      <c r="X96">
        <v>3</v>
      </c>
      <c r="Y96">
        <v>11</v>
      </c>
      <c r="Z96">
        <v>1</v>
      </c>
      <c r="AA96">
        <v>37</v>
      </c>
      <c r="AB96">
        <v>2556</v>
      </c>
      <c r="AC96" s="28">
        <f>ifood_data[[#This Row],[Customer_Days]]/365</f>
        <v>7.0027397260273974</v>
      </c>
      <c r="AD96">
        <v>1</v>
      </c>
      <c r="AE96">
        <v>0</v>
      </c>
      <c r="AF96">
        <v>0</v>
      </c>
      <c r="AG96">
        <v>0</v>
      </c>
      <c r="AH96">
        <v>0</v>
      </c>
      <c r="AI96">
        <v>0</v>
      </c>
      <c r="AJ96">
        <v>0</v>
      </c>
      <c r="AK96">
        <v>1</v>
      </c>
      <c r="AL96">
        <v>0</v>
      </c>
      <c r="AM96">
        <v>0</v>
      </c>
      <c r="AN96">
        <v>1089</v>
      </c>
      <c r="AO96">
        <v>991</v>
      </c>
      <c r="AP96">
        <f>ifood_data[[#This Row],[MntTotal]]-ifood_data[[#This Row],[MntRegularProds]]</f>
        <v>98</v>
      </c>
      <c r="AQ96">
        <v>1</v>
      </c>
      <c r="AR96">
        <f>IF(SUM(ifood_data[[#This Row],[Kidhome]:[Teenhome]])&gt;0,1,0)</f>
        <v>0</v>
      </c>
      <c r="AS96" t="str">
        <f>IF(SUM(ifood_data[[#This Row],[Kidhome]:[Teenhome]])&gt;0,"Has Family","No Family")</f>
        <v>No Family</v>
      </c>
      <c r="AT96" t="str">
        <f>IF(ifood_data[[#This Row],[marital_Married]]=1,"Married", (IF(ifood_data[[#This Row],[marital_Single]]=1,"Single",(IF(ifood_data[[#This Row],[marital_Divorced]]=1,"Divorced",(IF(ifood_data[[#This Row],[marital_Together]]=1,"Living Together",(IF(ifood_data[[#This Row],[marital_Widow]]=1,"Widow","Other")))))))))</f>
        <v>Divorced</v>
      </c>
      <c r="AU96" t="str">
        <f>IF(ifood_data[[#This Row],[education_Basic]]=1,"High School",(IF(ifood_data[[#This Row],[education_Graduation]]=1,"Undergraduate Degree",(IF(SUM(AM96,AL96,AI96)&gt;0,"Master's Degree or Higher","Other")))))</f>
        <v>Undergraduate Degree</v>
      </c>
      <c r="AV96" t="str">
        <f>IF(ifood_data[[#All],[Income]]&gt;75000,"75K+",(IF(ifood_data[[#All],[Income]]&gt;50000,"50K-75K",(IF(ifood_data[[#All],[Income]]&gt;35000,"35K-50K","&lt;35K")))))</f>
        <v>75K+</v>
      </c>
      <c r="AW96" t="str">
        <f>IF(ifood_data[[#All],[Age]]&gt;60,"60+",(IF(ifood_data[[#All],[Age]]&gt;50,"50-60",(IF(ifood_data[[#All],[Age]]&gt;40,"40-50",(IF(ifood_data[[#All],[Age]]&gt;30,"30-40","&lt;30")))))))</f>
        <v>30-40</v>
      </c>
      <c r="AX96">
        <f t="shared" si="4"/>
        <v>13</v>
      </c>
      <c r="AY96">
        <f t="shared" si="5"/>
        <v>3.0000000000000004</v>
      </c>
      <c r="AZ96">
        <f t="shared" si="6"/>
        <v>1</v>
      </c>
      <c r="BA96">
        <f t="shared" si="7"/>
        <v>7</v>
      </c>
      <c r="BB96">
        <f>SUM(ifood_data[[#This Row],[Recency Score]:[Monetary Score]])</f>
        <v>11</v>
      </c>
      <c r="BC96">
        <f>(_xlfn.PERCENTRANK.INC(ifood_data[[#All],[RFM]],ifood_data[[#This Row],[RFM]],1))*10</f>
        <v>2</v>
      </c>
      <c r="BD96" t="str">
        <f>VLOOKUP(ifood_data[[#This Row],[RFM Score]],'RFM Analysis'!$A$3:$B$14,2,FALSE)</f>
        <v>At Risk</v>
      </c>
      <c r="BE96">
        <f>'Regression Models'!$B$101+'Regression Models'!$B$102*ifood_data[[#This Row],[Income]]+'Regression Models'!$B$103*ifood_data[[#This Row],[Age]]+'Regression Models'!$B$104*ifood_data[[#This Row],[Family]]</f>
        <v>1416.6252048097513</v>
      </c>
      <c r="BF96" t="str">
        <f>IF(ifood_data[[#This Row],[AcceptedCmpOverall]]=1,"Campaign Respondent","Non-respondent")</f>
        <v>Campaign Respondent</v>
      </c>
    </row>
    <row r="97" spans="1:58" x14ac:dyDescent="0.35">
      <c r="A97">
        <v>924</v>
      </c>
      <c r="B97">
        <v>83715</v>
      </c>
      <c r="C97">
        <v>0</v>
      </c>
      <c r="D97">
        <v>0</v>
      </c>
      <c r="E97">
        <v>2</v>
      </c>
      <c r="F97">
        <v>318</v>
      </c>
      <c r="G97">
        <v>8</v>
      </c>
      <c r="H97">
        <v>407</v>
      </c>
      <c r="I97">
        <v>150</v>
      </c>
      <c r="J97">
        <v>35</v>
      </c>
      <c r="K97">
        <v>8</v>
      </c>
      <c r="L97">
        <v>1</v>
      </c>
      <c r="M97">
        <v>2</v>
      </c>
      <c r="N97">
        <v>8</v>
      </c>
      <c r="O97">
        <v>13</v>
      </c>
      <c r="P97">
        <v>0</v>
      </c>
      <c r="Q97">
        <v>0</v>
      </c>
      <c r="R97">
        <v>0</v>
      </c>
      <c r="S97">
        <v>0</v>
      </c>
      <c r="T97">
        <v>0</v>
      </c>
      <c r="U97">
        <v>0</v>
      </c>
      <c r="V97">
        <f>IF(SUM(ifood_data[[#This Row],[AcceptedCmp1]:[AcceptedCmp5]])&gt;0,1,0)</f>
        <v>0</v>
      </c>
      <c r="W97">
        <v>0</v>
      </c>
      <c r="X97">
        <v>3</v>
      </c>
      <c r="Y97">
        <v>11</v>
      </c>
      <c r="Z97">
        <v>0</v>
      </c>
      <c r="AA97">
        <v>58</v>
      </c>
      <c r="AB97">
        <v>2305</v>
      </c>
      <c r="AC97" s="28">
        <f>ifood_data[[#This Row],[Customer_Days]]/365</f>
        <v>6.3150684931506849</v>
      </c>
      <c r="AD97">
        <v>0</v>
      </c>
      <c r="AE97">
        <v>1</v>
      </c>
      <c r="AF97">
        <v>0</v>
      </c>
      <c r="AG97">
        <v>0</v>
      </c>
      <c r="AH97">
        <v>0</v>
      </c>
      <c r="AI97">
        <v>0</v>
      </c>
      <c r="AJ97">
        <v>0</v>
      </c>
      <c r="AK97">
        <v>1</v>
      </c>
      <c r="AL97">
        <v>0</v>
      </c>
      <c r="AM97">
        <v>0</v>
      </c>
      <c r="AN97">
        <v>918</v>
      </c>
      <c r="AO97">
        <v>910</v>
      </c>
      <c r="AP97">
        <f>ifood_data[[#This Row],[MntTotal]]-ifood_data[[#This Row],[MntRegularProds]]</f>
        <v>8</v>
      </c>
      <c r="AQ97">
        <v>0</v>
      </c>
      <c r="AR97">
        <f>IF(SUM(ifood_data[[#This Row],[Kidhome]:[Teenhome]])&gt;0,1,0)</f>
        <v>0</v>
      </c>
      <c r="AS97" t="str">
        <f>IF(SUM(ifood_data[[#This Row],[Kidhome]:[Teenhome]])&gt;0,"Has Family","No Family")</f>
        <v>No Family</v>
      </c>
      <c r="AT97" t="str">
        <f>IF(ifood_data[[#This Row],[marital_Married]]=1,"Married", (IF(ifood_data[[#This Row],[marital_Single]]=1,"Single",(IF(ifood_data[[#This Row],[marital_Divorced]]=1,"Divorced",(IF(ifood_data[[#This Row],[marital_Together]]=1,"Living Together",(IF(ifood_data[[#This Row],[marital_Widow]]=1,"Widow","Other")))))))))</f>
        <v>Married</v>
      </c>
      <c r="AU97" t="str">
        <f>IF(ifood_data[[#This Row],[education_Basic]]=1,"High School",(IF(ifood_data[[#This Row],[education_Graduation]]=1,"Undergraduate Degree",(IF(SUM(AM97,AL97,AI97)&gt;0,"Master's Degree or Higher","Other")))))</f>
        <v>Undergraduate Degree</v>
      </c>
      <c r="AV97" t="str">
        <f>IF(ifood_data[[#All],[Income]]&gt;75000,"75K+",(IF(ifood_data[[#All],[Income]]&gt;50000,"50K-75K",(IF(ifood_data[[#All],[Income]]&gt;35000,"35K-50K","&lt;35K")))))</f>
        <v>75K+</v>
      </c>
      <c r="AW97" t="str">
        <f>IF(ifood_data[[#All],[Age]]&gt;60,"60+",(IF(ifood_data[[#All],[Age]]&gt;50,"50-60",(IF(ifood_data[[#All],[Age]]&gt;40,"40-50",(IF(ifood_data[[#All],[Age]]&gt;30,"30-40","&lt;30")))))))</f>
        <v>50-60</v>
      </c>
      <c r="AX97">
        <f t="shared" si="4"/>
        <v>24</v>
      </c>
      <c r="AY97">
        <f t="shared" si="5"/>
        <v>10</v>
      </c>
      <c r="AZ97">
        <f t="shared" si="6"/>
        <v>6</v>
      </c>
      <c r="BA97">
        <f t="shared" si="7"/>
        <v>7</v>
      </c>
      <c r="BB97">
        <f>SUM(ifood_data[[#This Row],[Recency Score]:[Monetary Score]])</f>
        <v>23</v>
      </c>
      <c r="BC97">
        <f>(_xlfn.PERCENTRANK.INC(ifood_data[[#All],[RFM]],ifood_data[[#This Row],[RFM]],1))*10</f>
        <v>8</v>
      </c>
      <c r="BD97" t="str">
        <f>VLOOKUP(ifood_data[[#This Row],[RFM Score]],'RFM Analysis'!$A$3:$B$14,2,FALSE)</f>
        <v>Loyal Customer</v>
      </c>
      <c r="BE97">
        <f>'Regression Models'!$B$101+'Regression Models'!$B$102*ifood_data[[#This Row],[Income]]+'Regression Models'!$B$103*ifood_data[[#This Row],[Age]]+'Regression Models'!$B$104*ifood_data[[#This Row],[Family]]</f>
        <v>1412.5170023161609</v>
      </c>
      <c r="BF97" t="str">
        <f>IF(ifood_data[[#This Row],[AcceptedCmpOverall]]=1,"Campaign Respondent","Non-respondent")</f>
        <v>Non-respondent</v>
      </c>
    </row>
    <row r="98" spans="1:58" x14ac:dyDescent="0.35">
      <c r="A98">
        <v>1708</v>
      </c>
      <c r="B98">
        <v>82326</v>
      </c>
      <c r="C98">
        <v>0</v>
      </c>
      <c r="D98">
        <v>0</v>
      </c>
      <c r="E98">
        <v>30</v>
      </c>
      <c r="F98">
        <v>938</v>
      </c>
      <c r="G98">
        <v>142</v>
      </c>
      <c r="H98">
        <v>754</v>
      </c>
      <c r="I98">
        <v>159</v>
      </c>
      <c r="J98">
        <v>81</v>
      </c>
      <c r="K98">
        <v>183</v>
      </c>
      <c r="L98">
        <v>1</v>
      </c>
      <c r="M98">
        <v>5</v>
      </c>
      <c r="N98">
        <v>10</v>
      </c>
      <c r="O98">
        <v>6</v>
      </c>
      <c r="P98">
        <v>2</v>
      </c>
      <c r="Q98">
        <v>1</v>
      </c>
      <c r="R98">
        <v>0</v>
      </c>
      <c r="S98">
        <v>0</v>
      </c>
      <c r="T98">
        <v>1</v>
      </c>
      <c r="U98">
        <v>1</v>
      </c>
      <c r="V98">
        <f>IF(SUM(ifood_data[[#This Row],[AcceptedCmp1]:[AcceptedCmp5]])&gt;0,1,0)</f>
        <v>1</v>
      </c>
      <c r="W98">
        <v>0</v>
      </c>
      <c r="X98">
        <v>3</v>
      </c>
      <c r="Y98">
        <v>11</v>
      </c>
      <c r="Z98">
        <v>1</v>
      </c>
      <c r="AA98">
        <v>43</v>
      </c>
      <c r="AB98">
        <v>2270</v>
      </c>
      <c r="AC98" s="28">
        <f>ifood_data[[#This Row],[Customer_Days]]/365</f>
        <v>6.2191780821917808</v>
      </c>
      <c r="AD98">
        <v>0</v>
      </c>
      <c r="AE98">
        <v>0</v>
      </c>
      <c r="AF98">
        <v>0</v>
      </c>
      <c r="AG98">
        <v>1</v>
      </c>
      <c r="AH98">
        <v>0</v>
      </c>
      <c r="AI98">
        <v>1</v>
      </c>
      <c r="AJ98">
        <v>0</v>
      </c>
      <c r="AK98">
        <v>0</v>
      </c>
      <c r="AL98">
        <v>0</v>
      </c>
      <c r="AM98">
        <v>0</v>
      </c>
      <c r="AN98">
        <v>2074</v>
      </c>
      <c r="AO98">
        <v>1891</v>
      </c>
      <c r="AP98">
        <f>ifood_data[[#This Row],[MntTotal]]-ifood_data[[#This Row],[MntRegularProds]]</f>
        <v>183</v>
      </c>
      <c r="AQ98">
        <v>3</v>
      </c>
      <c r="AR98">
        <f>IF(SUM(ifood_data[[#This Row],[Kidhome]:[Teenhome]])&gt;0,1,0)</f>
        <v>0</v>
      </c>
      <c r="AS98" t="str">
        <f>IF(SUM(ifood_data[[#This Row],[Kidhome]:[Teenhome]])&gt;0,"Has Family","No Family")</f>
        <v>No Family</v>
      </c>
      <c r="AT98" t="str">
        <f>IF(ifood_data[[#This Row],[marital_Married]]=1,"Married", (IF(ifood_data[[#This Row],[marital_Single]]=1,"Single",(IF(ifood_data[[#This Row],[marital_Divorced]]=1,"Divorced",(IF(ifood_data[[#This Row],[marital_Together]]=1,"Living Together",(IF(ifood_data[[#This Row],[marital_Widow]]=1,"Widow","Other")))))))))</f>
        <v>Living Together</v>
      </c>
      <c r="AU98" t="str">
        <f>IF(ifood_data[[#This Row],[education_Basic]]=1,"High School",(IF(ifood_data[[#This Row],[education_Graduation]]=1,"Undergraduate Degree",(IF(SUM(AM98,AL98,AI98)&gt;0,"Master's Degree or Higher","Other")))))</f>
        <v>Master's Degree or Higher</v>
      </c>
      <c r="AV98" t="str">
        <f>IF(ifood_data[[#All],[Income]]&gt;75000,"75K+",(IF(ifood_data[[#All],[Income]]&gt;50000,"50K-75K",(IF(ifood_data[[#All],[Income]]&gt;35000,"35K-50K","&lt;35K")))))</f>
        <v>75K+</v>
      </c>
      <c r="AW98" t="str">
        <f>IF(ifood_data[[#All],[Age]]&gt;60,"60+",(IF(ifood_data[[#All],[Age]]&gt;50,"50-60",(IF(ifood_data[[#All],[Age]]&gt;40,"40-50",(IF(ifood_data[[#All],[Age]]&gt;30,"30-40","&lt;30")))))))</f>
        <v>40-50</v>
      </c>
      <c r="AX98">
        <f t="shared" si="4"/>
        <v>24</v>
      </c>
      <c r="AY98">
        <f t="shared" si="5"/>
        <v>7</v>
      </c>
      <c r="AZ98">
        <f t="shared" si="6"/>
        <v>6</v>
      </c>
      <c r="BA98">
        <f t="shared" si="7"/>
        <v>9</v>
      </c>
      <c r="BB98">
        <f>SUM(ifood_data[[#This Row],[Recency Score]:[Monetary Score]])</f>
        <v>22</v>
      </c>
      <c r="BC98">
        <f>(_xlfn.PERCENTRANK.INC(ifood_data[[#All],[RFM]],ifood_data[[#This Row],[RFM]],1))*10</f>
        <v>8</v>
      </c>
      <c r="BD98" t="str">
        <f>VLOOKUP(ifood_data[[#This Row],[RFM Score]],'RFM Analysis'!$A$3:$B$14,2,FALSE)</f>
        <v>Loyal Customer</v>
      </c>
      <c r="BE98">
        <f>'Regression Models'!$B$101+'Regression Models'!$B$102*ifood_data[[#This Row],[Income]]+'Regression Models'!$B$103*ifood_data[[#This Row],[Age]]+'Regression Models'!$B$104*ifood_data[[#This Row],[Family]]</f>
        <v>1411.7435895476992</v>
      </c>
      <c r="BF98" t="str">
        <f>IF(ifood_data[[#This Row],[AcceptedCmpOverall]]=1,"Campaign Respondent","Non-respondent")</f>
        <v>Campaign Respondent</v>
      </c>
    </row>
    <row r="99" spans="1:58" x14ac:dyDescent="0.35">
      <c r="A99">
        <v>605</v>
      </c>
      <c r="B99">
        <v>84574</v>
      </c>
      <c r="C99">
        <v>0</v>
      </c>
      <c r="D99">
        <v>0</v>
      </c>
      <c r="E99">
        <v>72</v>
      </c>
      <c r="F99">
        <v>387</v>
      </c>
      <c r="G99">
        <v>20</v>
      </c>
      <c r="H99">
        <v>713</v>
      </c>
      <c r="I99">
        <v>38</v>
      </c>
      <c r="J99">
        <v>54</v>
      </c>
      <c r="K99">
        <v>163</v>
      </c>
      <c r="L99">
        <v>1</v>
      </c>
      <c r="M99">
        <v>9</v>
      </c>
      <c r="N99">
        <v>11</v>
      </c>
      <c r="O99">
        <v>11</v>
      </c>
      <c r="P99">
        <v>5</v>
      </c>
      <c r="Q99">
        <v>0</v>
      </c>
      <c r="R99">
        <v>0</v>
      </c>
      <c r="S99">
        <v>0</v>
      </c>
      <c r="T99">
        <v>0</v>
      </c>
      <c r="U99">
        <v>0</v>
      </c>
      <c r="V99">
        <f>IF(SUM(ifood_data[[#This Row],[AcceptedCmp1]:[AcceptedCmp5]])&gt;0,1,0)</f>
        <v>0</v>
      </c>
      <c r="W99">
        <v>0</v>
      </c>
      <c r="X99">
        <v>3</v>
      </c>
      <c r="Y99">
        <v>11</v>
      </c>
      <c r="Z99">
        <v>0</v>
      </c>
      <c r="AA99">
        <v>68</v>
      </c>
      <c r="AB99">
        <v>2549</v>
      </c>
      <c r="AC99" s="28">
        <f>ifood_data[[#This Row],[Customer_Days]]/365</f>
        <v>6.9835616438356167</v>
      </c>
      <c r="AD99">
        <v>0</v>
      </c>
      <c r="AE99">
        <v>0</v>
      </c>
      <c r="AF99">
        <v>1</v>
      </c>
      <c r="AG99">
        <v>0</v>
      </c>
      <c r="AH99">
        <v>0</v>
      </c>
      <c r="AI99">
        <v>0</v>
      </c>
      <c r="AJ99">
        <v>0</v>
      </c>
      <c r="AK99">
        <v>1</v>
      </c>
      <c r="AL99">
        <v>0</v>
      </c>
      <c r="AM99">
        <v>0</v>
      </c>
      <c r="AN99">
        <v>1212</v>
      </c>
      <c r="AO99">
        <v>1049</v>
      </c>
      <c r="AP99">
        <f>ifood_data[[#This Row],[MntTotal]]-ifood_data[[#This Row],[MntRegularProds]]</f>
        <v>163</v>
      </c>
      <c r="AQ99">
        <v>0</v>
      </c>
      <c r="AR99">
        <f>IF(SUM(ifood_data[[#This Row],[Kidhome]:[Teenhome]])&gt;0,1,0)</f>
        <v>0</v>
      </c>
      <c r="AS99" t="str">
        <f>IF(SUM(ifood_data[[#This Row],[Kidhome]:[Teenhome]])&gt;0,"Has Family","No Family")</f>
        <v>No Family</v>
      </c>
      <c r="AT99" t="str">
        <f>IF(ifood_data[[#This Row],[marital_Married]]=1,"Married", (IF(ifood_data[[#This Row],[marital_Single]]=1,"Single",(IF(ifood_data[[#This Row],[marital_Divorced]]=1,"Divorced",(IF(ifood_data[[#This Row],[marital_Together]]=1,"Living Together",(IF(ifood_data[[#This Row],[marital_Widow]]=1,"Widow","Other")))))))))</f>
        <v>Single</v>
      </c>
      <c r="AU99" t="str">
        <f>IF(ifood_data[[#This Row],[education_Basic]]=1,"High School",(IF(ifood_data[[#This Row],[education_Graduation]]=1,"Undergraduate Degree",(IF(SUM(AM99,AL99,AI99)&gt;0,"Master's Degree or Higher","Other")))))</f>
        <v>Undergraduate Degree</v>
      </c>
      <c r="AV99" t="str">
        <f>IF(ifood_data[[#All],[Income]]&gt;75000,"75K+",(IF(ifood_data[[#All],[Income]]&gt;50000,"50K-75K",(IF(ifood_data[[#All],[Income]]&gt;35000,"35K-50K","&lt;35K")))))</f>
        <v>75K+</v>
      </c>
      <c r="AW99" t="str">
        <f>IF(ifood_data[[#All],[Age]]&gt;60,"60+",(IF(ifood_data[[#All],[Age]]&gt;50,"50-60",(IF(ifood_data[[#All],[Age]]&gt;40,"40-50",(IF(ifood_data[[#All],[Age]]&gt;30,"30-40","&lt;30")))))))</f>
        <v>60+</v>
      </c>
      <c r="AX99">
        <f t="shared" si="4"/>
        <v>37</v>
      </c>
      <c r="AY99">
        <f t="shared" si="5"/>
        <v>3.0000000000000004</v>
      </c>
      <c r="AZ99">
        <f t="shared" si="6"/>
        <v>9</v>
      </c>
      <c r="BA99">
        <f t="shared" si="7"/>
        <v>8</v>
      </c>
      <c r="BB99">
        <f>SUM(ifood_data[[#This Row],[Recency Score]:[Monetary Score]])</f>
        <v>20</v>
      </c>
      <c r="BC99">
        <f>(_xlfn.PERCENTRANK.INC(ifood_data[[#All],[RFM]],ifood_data[[#This Row],[RFM]],1))*10</f>
        <v>7</v>
      </c>
      <c r="BD99" t="str">
        <f>VLOOKUP(ifood_data[[#This Row],[RFM Score]],'RFM Analysis'!$A$3:$B$14,2,FALSE)</f>
        <v>Loyal Customer</v>
      </c>
      <c r="BE99">
        <f>'Regression Models'!$B$101+'Regression Models'!$B$102*ifood_data[[#This Row],[Income]]+'Regression Models'!$B$103*ifood_data[[#This Row],[Age]]+'Regression Models'!$B$104*ifood_data[[#This Row],[Family]]</f>
        <v>1411.666563362827</v>
      </c>
      <c r="BF99" t="str">
        <f>IF(ifood_data[[#This Row],[AcceptedCmpOverall]]=1,"Campaign Respondent","Non-respondent")</f>
        <v>Non-respondent</v>
      </c>
    </row>
    <row r="100" spans="1:58" x14ac:dyDescent="0.35">
      <c r="A100">
        <v>400</v>
      </c>
      <c r="B100">
        <v>82584</v>
      </c>
      <c r="C100">
        <v>0</v>
      </c>
      <c r="D100">
        <v>0</v>
      </c>
      <c r="E100">
        <v>26</v>
      </c>
      <c r="F100">
        <v>1076</v>
      </c>
      <c r="G100">
        <v>68</v>
      </c>
      <c r="H100">
        <v>103</v>
      </c>
      <c r="I100">
        <v>29</v>
      </c>
      <c r="J100">
        <v>91</v>
      </c>
      <c r="K100">
        <v>68</v>
      </c>
      <c r="L100">
        <v>1</v>
      </c>
      <c r="M100">
        <v>3</v>
      </c>
      <c r="N100">
        <v>4</v>
      </c>
      <c r="O100">
        <v>8</v>
      </c>
      <c r="P100">
        <v>1</v>
      </c>
      <c r="Q100">
        <v>0</v>
      </c>
      <c r="R100">
        <v>0</v>
      </c>
      <c r="S100">
        <v>0</v>
      </c>
      <c r="T100">
        <v>1</v>
      </c>
      <c r="U100">
        <v>1</v>
      </c>
      <c r="V100">
        <f>IF(SUM(ifood_data[[#This Row],[AcceptedCmp1]:[AcceptedCmp5]])&gt;0,1,0)</f>
        <v>1</v>
      </c>
      <c r="W100">
        <v>0</v>
      </c>
      <c r="X100">
        <v>3</v>
      </c>
      <c r="Y100">
        <v>11</v>
      </c>
      <c r="Z100">
        <v>1</v>
      </c>
      <c r="AA100">
        <v>46</v>
      </c>
      <c r="AB100">
        <v>2549</v>
      </c>
      <c r="AC100" s="28">
        <f>ifood_data[[#This Row],[Customer_Days]]/365</f>
        <v>6.9835616438356167</v>
      </c>
      <c r="AD100">
        <v>0</v>
      </c>
      <c r="AE100">
        <v>1</v>
      </c>
      <c r="AF100">
        <v>0</v>
      </c>
      <c r="AG100">
        <v>0</v>
      </c>
      <c r="AH100">
        <v>0</v>
      </c>
      <c r="AI100">
        <v>0</v>
      </c>
      <c r="AJ100">
        <v>0</v>
      </c>
      <c r="AK100">
        <v>0</v>
      </c>
      <c r="AL100">
        <v>1</v>
      </c>
      <c r="AM100">
        <v>0</v>
      </c>
      <c r="AN100">
        <v>1367</v>
      </c>
      <c r="AO100">
        <v>1299</v>
      </c>
      <c r="AP100">
        <f>ifood_data[[#This Row],[MntTotal]]-ifood_data[[#This Row],[MntRegularProds]]</f>
        <v>68</v>
      </c>
      <c r="AQ100">
        <v>2</v>
      </c>
      <c r="AR100">
        <f>IF(SUM(ifood_data[[#This Row],[Kidhome]:[Teenhome]])&gt;0,1,0)</f>
        <v>0</v>
      </c>
      <c r="AS100" t="str">
        <f>IF(SUM(ifood_data[[#This Row],[Kidhome]:[Teenhome]])&gt;0,"Has Family","No Family")</f>
        <v>No Family</v>
      </c>
      <c r="AT100" t="str">
        <f>IF(ifood_data[[#This Row],[marital_Married]]=1,"Married", (IF(ifood_data[[#This Row],[marital_Single]]=1,"Single",(IF(ifood_data[[#This Row],[marital_Divorced]]=1,"Divorced",(IF(ifood_data[[#This Row],[marital_Together]]=1,"Living Together",(IF(ifood_data[[#This Row],[marital_Widow]]=1,"Widow","Other")))))))))</f>
        <v>Married</v>
      </c>
      <c r="AU100" t="str">
        <f>IF(ifood_data[[#This Row],[education_Basic]]=1,"High School",(IF(ifood_data[[#This Row],[education_Graduation]]=1,"Undergraduate Degree",(IF(SUM(AM100,AL100,AI100)&gt;0,"Master's Degree or Higher","Other")))))</f>
        <v>Master's Degree or Higher</v>
      </c>
      <c r="AV100" t="str">
        <f>IF(ifood_data[[#All],[Income]]&gt;75000,"75K+",(IF(ifood_data[[#All],[Income]]&gt;50000,"50K-75K",(IF(ifood_data[[#All],[Income]]&gt;35000,"35K-50K","&lt;35K")))))</f>
        <v>75K+</v>
      </c>
      <c r="AW100" t="str">
        <f>IF(ifood_data[[#All],[Age]]&gt;60,"60+",(IF(ifood_data[[#All],[Age]]&gt;50,"50-60",(IF(ifood_data[[#All],[Age]]&gt;40,"40-50",(IF(ifood_data[[#All],[Age]]&gt;30,"30-40","&lt;30")))))))</f>
        <v>40-50</v>
      </c>
      <c r="AX100">
        <f t="shared" si="4"/>
        <v>17</v>
      </c>
      <c r="AY100">
        <f t="shared" si="5"/>
        <v>8</v>
      </c>
      <c r="AZ100">
        <f t="shared" si="6"/>
        <v>3</v>
      </c>
      <c r="BA100">
        <f t="shared" si="7"/>
        <v>8</v>
      </c>
      <c r="BB100">
        <f>SUM(ifood_data[[#This Row],[Recency Score]:[Monetary Score]])</f>
        <v>19</v>
      </c>
      <c r="BC100">
        <f>(_xlfn.PERCENTRANK.INC(ifood_data[[#All],[RFM]],ifood_data[[#This Row],[RFM]],1))*10</f>
        <v>7</v>
      </c>
      <c r="BD100" t="str">
        <f>VLOOKUP(ifood_data[[#This Row],[RFM Score]],'RFM Analysis'!$A$3:$B$14,2,FALSE)</f>
        <v>Loyal Customer</v>
      </c>
      <c r="BE100">
        <f>'Regression Models'!$B$101+'Regression Models'!$B$102*ifood_data[[#This Row],[Income]]+'Regression Models'!$B$103*ifood_data[[#This Row],[Age]]+'Regression Models'!$B$104*ifood_data[[#This Row],[Family]]</f>
        <v>1411.4945744921424</v>
      </c>
      <c r="BF100" t="str">
        <f>IF(ifood_data[[#This Row],[AcceptedCmpOverall]]=1,"Campaign Respondent","Non-respondent")</f>
        <v>Campaign Respondent</v>
      </c>
    </row>
    <row r="101" spans="1:58" x14ac:dyDescent="0.35">
      <c r="A101">
        <v>481</v>
      </c>
      <c r="B101">
        <v>81217</v>
      </c>
      <c r="C101">
        <v>0</v>
      </c>
      <c r="D101">
        <v>0</v>
      </c>
      <c r="E101">
        <v>77</v>
      </c>
      <c r="F101">
        <v>493</v>
      </c>
      <c r="G101">
        <v>70</v>
      </c>
      <c r="H101">
        <v>324</v>
      </c>
      <c r="I101">
        <v>146</v>
      </c>
      <c r="J101">
        <v>40</v>
      </c>
      <c r="K101">
        <v>84</v>
      </c>
      <c r="L101">
        <v>1</v>
      </c>
      <c r="M101">
        <v>3</v>
      </c>
      <c r="N101">
        <v>7</v>
      </c>
      <c r="O101">
        <v>11</v>
      </c>
      <c r="P101">
        <v>1</v>
      </c>
      <c r="Q101">
        <v>0</v>
      </c>
      <c r="R101">
        <v>0</v>
      </c>
      <c r="S101">
        <v>0</v>
      </c>
      <c r="T101">
        <v>0</v>
      </c>
      <c r="U101">
        <v>0</v>
      </c>
      <c r="V101">
        <f>IF(SUM(ifood_data[[#This Row],[AcceptedCmp1]:[AcceptedCmp5]])&gt;0,1,0)</f>
        <v>0</v>
      </c>
      <c r="W101">
        <v>0</v>
      </c>
      <c r="X101">
        <v>3</v>
      </c>
      <c r="Y101">
        <v>11</v>
      </c>
      <c r="Z101">
        <v>0</v>
      </c>
      <c r="AA101">
        <v>31</v>
      </c>
      <c r="AB101">
        <v>2504</v>
      </c>
      <c r="AC101" s="28">
        <f>ifood_data[[#This Row],[Customer_Days]]/365</f>
        <v>6.86027397260274</v>
      </c>
      <c r="AD101">
        <v>0</v>
      </c>
      <c r="AE101">
        <v>0</v>
      </c>
      <c r="AF101">
        <v>1</v>
      </c>
      <c r="AG101">
        <v>0</v>
      </c>
      <c r="AH101">
        <v>0</v>
      </c>
      <c r="AI101">
        <v>0</v>
      </c>
      <c r="AJ101">
        <v>0</v>
      </c>
      <c r="AK101">
        <v>1</v>
      </c>
      <c r="AL101">
        <v>0</v>
      </c>
      <c r="AM101">
        <v>0</v>
      </c>
      <c r="AN101">
        <v>1073</v>
      </c>
      <c r="AO101">
        <v>989</v>
      </c>
      <c r="AP101">
        <f>ifood_data[[#This Row],[MntTotal]]-ifood_data[[#This Row],[MntRegularProds]]</f>
        <v>84</v>
      </c>
      <c r="AQ101">
        <v>0</v>
      </c>
      <c r="AR101">
        <f>IF(SUM(ifood_data[[#This Row],[Kidhome]:[Teenhome]])&gt;0,1,0)</f>
        <v>0</v>
      </c>
      <c r="AS101" t="str">
        <f>IF(SUM(ifood_data[[#This Row],[Kidhome]:[Teenhome]])&gt;0,"Has Family","No Family")</f>
        <v>No Family</v>
      </c>
      <c r="AT101" t="str">
        <f>IF(ifood_data[[#This Row],[marital_Married]]=1,"Married", (IF(ifood_data[[#This Row],[marital_Single]]=1,"Single",(IF(ifood_data[[#This Row],[marital_Divorced]]=1,"Divorced",(IF(ifood_data[[#This Row],[marital_Together]]=1,"Living Together",(IF(ifood_data[[#This Row],[marital_Widow]]=1,"Widow","Other")))))))))</f>
        <v>Single</v>
      </c>
      <c r="AU101" t="str">
        <f>IF(ifood_data[[#This Row],[education_Basic]]=1,"High School",(IF(ifood_data[[#This Row],[education_Graduation]]=1,"Undergraduate Degree",(IF(SUM(AM101,AL101,AI101)&gt;0,"Master's Degree or Higher","Other")))))</f>
        <v>Undergraduate Degree</v>
      </c>
      <c r="AV101" t="str">
        <f>IF(ifood_data[[#All],[Income]]&gt;75000,"75K+",(IF(ifood_data[[#All],[Income]]&gt;50000,"50K-75K",(IF(ifood_data[[#All],[Income]]&gt;35000,"35K-50K","&lt;35K")))))</f>
        <v>75K+</v>
      </c>
      <c r="AW101" t="str">
        <f>IF(ifood_data[[#All],[Age]]&gt;60,"60+",(IF(ifood_data[[#All],[Age]]&gt;50,"50-60",(IF(ifood_data[[#All],[Age]]&gt;40,"40-50",(IF(ifood_data[[#All],[Age]]&gt;30,"30-40","&lt;30")))))))</f>
        <v>30-40</v>
      </c>
      <c r="AX101">
        <f t="shared" si="4"/>
        <v>23</v>
      </c>
      <c r="AY101">
        <f t="shared" si="5"/>
        <v>3.0000000000000004</v>
      </c>
      <c r="AZ101">
        <f t="shared" si="6"/>
        <v>6</v>
      </c>
      <c r="BA101">
        <f t="shared" si="7"/>
        <v>7</v>
      </c>
      <c r="BB101">
        <f>SUM(ifood_data[[#This Row],[Recency Score]:[Monetary Score]])</f>
        <v>16</v>
      </c>
      <c r="BC101">
        <f>(_xlfn.PERCENTRANK.INC(ifood_data[[#All],[RFM]],ifood_data[[#This Row],[RFM]],1))*10</f>
        <v>5</v>
      </c>
      <c r="BD101" t="str">
        <f>VLOOKUP(ifood_data[[#This Row],[RFM Score]],'RFM Analysis'!$A$3:$B$14,2,FALSE)</f>
        <v>Promising</v>
      </c>
      <c r="BE101">
        <f>'Regression Models'!$B$101+'Regression Models'!$B$102*ifood_data[[#This Row],[Income]]+'Regression Models'!$B$103*ifood_data[[#This Row],[Age]]+'Regression Models'!$B$104*ifood_data[[#This Row],[Family]]</f>
        <v>1411.1697146228466</v>
      </c>
      <c r="BF101" t="str">
        <f>IF(ifood_data[[#This Row],[AcceptedCmpOverall]]=1,"Campaign Respondent","Non-respondent")</f>
        <v>Non-respondent</v>
      </c>
    </row>
    <row r="102" spans="1:58" x14ac:dyDescent="0.35">
      <c r="A102">
        <v>78</v>
      </c>
      <c r="B102">
        <v>81361</v>
      </c>
      <c r="C102">
        <v>0</v>
      </c>
      <c r="D102">
        <v>0</v>
      </c>
      <c r="E102">
        <v>18</v>
      </c>
      <c r="F102">
        <v>163</v>
      </c>
      <c r="G102">
        <v>23</v>
      </c>
      <c r="H102">
        <v>424</v>
      </c>
      <c r="I102">
        <v>27</v>
      </c>
      <c r="J102">
        <v>65</v>
      </c>
      <c r="K102">
        <v>76</v>
      </c>
      <c r="L102">
        <v>1</v>
      </c>
      <c r="M102">
        <v>3</v>
      </c>
      <c r="N102">
        <v>10</v>
      </c>
      <c r="O102">
        <v>13</v>
      </c>
      <c r="P102">
        <v>1</v>
      </c>
      <c r="Q102">
        <v>0</v>
      </c>
      <c r="R102">
        <v>0</v>
      </c>
      <c r="S102">
        <v>0</v>
      </c>
      <c r="T102">
        <v>0</v>
      </c>
      <c r="U102">
        <v>0</v>
      </c>
      <c r="V102">
        <f>IF(SUM(ifood_data[[#This Row],[AcceptedCmp1]:[AcceptedCmp5]])&gt;0,1,0)</f>
        <v>0</v>
      </c>
      <c r="W102">
        <v>0</v>
      </c>
      <c r="X102">
        <v>3</v>
      </c>
      <c r="Y102">
        <v>11</v>
      </c>
      <c r="Z102">
        <v>0</v>
      </c>
      <c r="AA102">
        <v>33</v>
      </c>
      <c r="AB102">
        <v>2283</v>
      </c>
      <c r="AC102" s="28">
        <f>ifood_data[[#This Row],[Customer_Days]]/365</f>
        <v>6.2547945205479456</v>
      </c>
      <c r="AD102">
        <v>1</v>
      </c>
      <c r="AE102">
        <v>0</v>
      </c>
      <c r="AF102">
        <v>0</v>
      </c>
      <c r="AG102">
        <v>0</v>
      </c>
      <c r="AH102">
        <v>0</v>
      </c>
      <c r="AI102">
        <v>0</v>
      </c>
      <c r="AJ102">
        <v>0</v>
      </c>
      <c r="AK102">
        <v>1</v>
      </c>
      <c r="AL102">
        <v>0</v>
      </c>
      <c r="AM102">
        <v>0</v>
      </c>
      <c r="AN102">
        <v>702</v>
      </c>
      <c r="AO102">
        <v>626</v>
      </c>
      <c r="AP102">
        <f>ifood_data[[#This Row],[MntTotal]]-ifood_data[[#This Row],[MntRegularProds]]</f>
        <v>76</v>
      </c>
      <c r="AQ102">
        <v>0</v>
      </c>
      <c r="AR102">
        <f>IF(SUM(ifood_data[[#This Row],[Kidhome]:[Teenhome]])&gt;0,1,0)</f>
        <v>0</v>
      </c>
      <c r="AS102" t="str">
        <f>IF(SUM(ifood_data[[#This Row],[Kidhome]:[Teenhome]])&gt;0,"Has Family","No Family")</f>
        <v>No Family</v>
      </c>
      <c r="AT102" t="str">
        <f>IF(ifood_data[[#This Row],[marital_Married]]=1,"Married", (IF(ifood_data[[#This Row],[marital_Single]]=1,"Single",(IF(ifood_data[[#This Row],[marital_Divorced]]=1,"Divorced",(IF(ifood_data[[#This Row],[marital_Together]]=1,"Living Together",(IF(ifood_data[[#This Row],[marital_Widow]]=1,"Widow","Other")))))))))</f>
        <v>Divorced</v>
      </c>
      <c r="AU102" t="str">
        <f>IF(ifood_data[[#This Row],[education_Basic]]=1,"High School",(IF(ifood_data[[#This Row],[education_Graduation]]=1,"Undergraduate Degree",(IF(SUM(AM102,AL102,AI102)&gt;0,"Master's Degree or Higher","Other")))))</f>
        <v>Undergraduate Degree</v>
      </c>
      <c r="AV102" t="str">
        <f>IF(ifood_data[[#All],[Income]]&gt;75000,"75K+",(IF(ifood_data[[#All],[Income]]&gt;50000,"50K-75K",(IF(ifood_data[[#All],[Income]]&gt;35000,"35K-50K","&lt;35K")))))</f>
        <v>75K+</v>
      </c>
      <c r="AW102" t="str">
        <f>IF(ifood_data[[#All],[Age]]&gt;60,"60+",(IF(ifood_data[[#All],[Age]]&gt;50,"50-60",(IF(ifood_data[[#All],[Age]]&gt;40,"40-50",(IF(ifood_data[[#All],[Age]]&gt;30,"30-40","&lt;30")))))))</f>
        <v>30-40</v>
      </c>
      <c r="AX102">
        <f t="shared" si="4"/>
        <v>28</v>
      </c>
      <c r="AY102">
        <f t="shared" si="5"/>
        <v>9</v>
      </c>
      <c r="AZ102">
        <f t="shared" si="6"/>
        <v>8</v>
      </c>
      <c r="BA102">
        <f t="shared" si="7"/>
        <v>6</v>
      </c>
      <c r="BB102">
        <f>SUM(ifood_data[[#This Row],[Recency Score]:[Monetary Score]])</f>
        <v>23</v>
      </c>
      <c r="BC102">
        <f>(_xlfn.PERCENTRANK.INC(ifood_data[[#All],[RFM]],ifood_data[[#This Row],[RFM]],1))*10</f>
        <v>8</v>
      </c>
      <c r="BD102" t="str">
        <f>VLOOKUP(ifood_data[[#This Row],[RFM Score]],'RFM Analysis'!$A$3:$B$14,2,FALSE)</f>
        <v>Loyal Customer</v>
      </c>
      <c r="BE102">
        <f>'Regression Models'!$B$101+'Regression Models'!$B$102*ifood_data[[#This Row],[Income]]+'Regression Models'!$B$103*ifood_data[[#This Row],[Age]]+'Regression Models'!$B$104*ifood_data[[#This Row],[Family]]</f>
        <v>1410.4328190777796</v>
      </c>
      <c r="BF102" t="str">
        <f>IF(ifood_data[[#This Row],[AcceptedCmpOverall]]=1,"Campaign Respondent","Non-respondent")</f>
        <v>Non-respondent</v>
      </c>
    </row>
    <row r="103" spans="1:58" x14ac:dyDescent="0.35">
      <c r="A103">
        <v>1464</v>
      </c>
      <c r="B103">
        <v>81361</v>
      </c>
      <c r="C103">
        <v>0</v>
      </c>
      <c r="D103">
        <v>0</v>
      </c>
      <c r="E103">
        <v>18</v>
      </c>
      <c r="F103">
        <v>163</v>
      </c>
      <c r="G103">
        <v>23</v>
      </c>
      <c r="H103">
        <v>424</v>
      </c>
      <c r="I103">
        <v>27</v>
      </c>
      <c r="J103">
        <v>65</v>
      </c>
      <c r="K103">
        <v>76</v>
      </c>
      <c r="L103">
        <v>1</v>
      </c>
      <c r="M103">
        <v>3</v>
      </c>
      <c r="N103">
        <v>10</v>
      </c>
      <c r="O103">
        <v>13</v>
      </c>
      <c r="P103">
        <v>1</v>
      </c>
      <c r="Q103">
        <v>0</v>
      </c>
      <c r="R103">
        <v>0</v>
      </c>
      <c r="S103">
        <v>0</v>
      </c>
      <c r="T103">
        <v>0</v>
      </c>
      <c r="U103">
        <v>0</v>
      </c>
      <c r="V103">
        <f>IF(SUM(ifood_data[[#This Row],[AcceptedCmp1]:[AcceptedCmp5]])&gt;0,1,0)</f>
        <v>0</v>
      </c>
      <c r="W103">
        <v>0</v>
      </c>
      <c r="X103">
        <v>3</v>
      </c>
      <c r="Y103">
        <v>11</v>
      </c>
      <c r="Z103">
        <v>1</v>
      </c>
      <c r="AA103">
        <v>33</v>
      </c>
      <c r="AB103">
        <v>2283</v>
      </c>
      <c r="AC103" s="28">
        <f>ifood_data[[#This Row],[Customer_Days]]/365</f>
        <v>6.2547945205479456</v>
      </c>
      <c r="AD103">
        <v>1</v>
      </c>
      <c r="AE103">
        <v>0</v>
      </c>
      <c r="AF103">
        <v>0</v>
      </c>
      <c r="AG103">
        <v>0</v>
      </c>
      <c r="AH103">
        <v>0</v>
      </c>
      <c r="AI103">
        <v>0</v>
      </c>
      <c r="AJ103">
        <v>0</v>
      </c>
      <c r="AK103">
        <v>1</v>
      </c>
      <c r="AL103">
        <v>0</v>
      </c>
      <c r="AM103">
        <v>0</v>
      </c>
      <c r="AN103">
        <v>702</v>
      </c>
      <c r="AO103">
        <v>626</v>
      </c>
      <c r="AP103">
        <f>ifood_data[[#This Row],[MntTotal]]-ifood_data[[#This Row],[MntRegularProds]]</f>
        <v>76</v>
      </c>
      <c r="AQ103">
        <v>0</v>
      </c>
      <c r="AR103">
        <f>IF(SUM(ifood_data[[#This Row],[Kidhome]:[Teenhome]])&gt;0,1,0)</f>
        <v>0</v>
      </c>
      <c r="AS103" t="str">
        <f>IF(SUM(ifood_data[[#This Row],[Kidhome]:[Teenhome]])&gt;0,"Has Family","No Family")</f>
        <v>No Family</v>
      </c>
      <c r="AT103" t="str">
        <f>IF(ifood_data[[#This Row],[marital_Married]]=1,"Married", (IF(ifood_data[[#This Row],[marital_Single]]=1,"Single",(IF(ifood_data[[#This Row],[marital_Divorced]]=1,"Divorced",(IF(ifood_data[[#This Row],[marital_Together]]=1,"Living Together",(IF(ifood_data[[#This Row],[marital_Widow]]=1,"Widow","Other")))))))))</f>
        <v>Divorced</v>
      </c>
      <c r="AU103" t="str">
        <f>IF(ifood_data[[#This Row],[education_Basic]]=1,"High School",(IF(ifood_data[[#This Row],[education_Graduation]]=1,"Undergraduate Degree",(IF(SUM(AM103,AL103,AI103)&gt;0,"Master's Degree or Higher","Other")))))</f>
        <v>Undergraduate Degree</v>
      </c>
      <c r="AV103" t="str">
        <f>IF(ifood_data[[#All],[Income]]&gt;75000,"75K+",(IF(ifood_data[[#All],[Income]]&gt;50000,"50K-75K",(IF(ifood_data[[#All],[Income]]&gt;35000,"35K-50K","&lt;35K")))))</f>
        <v>75K+</v>
      </c>
      <c r="AW103" t="str">
        <f>IF(ifood_data[[#All],[Age]]&gt;60,"60+",(IF(ifood_data[[#All],[Age]]&gt;50,"50-60",(IF(ifood_data[[#All],[Age]]&gt;40,"40-50",(IF(ifood_data[[#All],[Age]]&gt;30,"30-40","&lt;30")))))))</f>
        <v>30-40</v>
      </c>
      <c r="AX103">
        <f t="shared" si="4"/>
        <v>28</v>
      </c>
      <c r="AY103">
        <f t="shared" si="5"/>
        <v>9</v>
      </c>
      <c r="AZ103">
        <f t="shared" si="6"/>
        <v>8</v>
      </c>
      <c r="BA103">
        <f t="shared" si="7"/>
        <v>6</v>
      </c>
      <c r="BB103">
        <f>SUM(ifood_data[[#This Row],[Recency Score]:[Monetary Score]])</f>
        <v>23</v>
      </c>
      <c r="BC103">
        <f>(_xlfn.PERCENTRANK.INC(ifood_data[[#All],[RFM]],ifood_data[[#This Row],[RFM]],1))*10</f>
        <v>8</v>
      </c>
      <c r="BD103" t="str">
        <f>VLOOKUP(ifood_data[[#This Row],[RFM Score]],'RFM Analysis'!$A$3:$B$14,2,FALSE)</f>
        <v>Loyal Customer</v>
      </c>
      <c r="BE103">
        <f>'Regression Models'!$B$101+'Regression Models'!$B$102*ifood_data[[#This Row],[Income]]+'Regression Models'!$B$103*ifood_data[[#This Row],[Age]]+'Regression Models'!$B$104*ifood_data[[#This Row],[Family]]</f>
        <v>1410.4328190777796</v>
      </c>
      <c r="BF103" t="str">
        <f>IF(ifood_data[[#This Row],[AcceptedCmpOverall]]=1,"Campaign Respondent","Non-respondent")</f>
        <v>Non-respondent</v>
      </c>
    </row>
    <row r="104" spans="1:58" x14ac:dyDescent="0.35">
      <c r="A104">
        <v>933</v>
      </c>
      <c r="B104">
        <v>82170</v>
      </c>
      <c r="C104">
        <v>0</v>
      </c>
      <c r="D104">
        <v>0</v>
      </c>
      <c r="E104">
        <v>13</v>
      </c>
      <c r="F104">
        <v>1023</v>
      </c>
      <c r="G104">
        <v>93</v>
      </c>
      <c r="H104">
        <v>651</v>
      </c>
      <c r="I104">
        <v>49</v>
      </c>
      <c r="J104">
        <v>55</v>
      </c>
      <c r="K104">
        <v>37</v>
      </c>
      <c r="L104">
        <v>1</v>
      </c>
      <c r="M104">
        <v>5</v>
      </c>
      <c r="N104">
        <v>6</v>
      </c>
      <c r="O104">
        <v>7</v>
      </c>
      <c r="P104">
        <v>2</v>
      </c>
      <c r="Q104">
        <v>0</v>
      </c>
      <c r="R104">
        <v>0</v>
      </c>
      <c r="S104">
        <v>0</v>
      </c>
      <c r="T104">
        <v>0</v>
      </c>
      <c r="U104">
        <v>0</v>
      </c>
      <c r="V104">
        <f>IF(SUM(ifood_data[[#This Row],[AcceptedCmp1]:[AcceptedCmp5]])&gt;0,1,0)</f>
        <v>0</v>
      </c>
      <c r="W104">
        <v>0</v>
      </c>
      <c r="X104">
        <v>3</v>
      </c>
      <c r="Y104">
        <v>11</v>
      </c>
      <c r="Z104">
        <v>0</v>
      </c>
      <c r="AA104">
        <v>42</v>
      </c>
      <c r="AB104">
        <v>2375</v>
      </c>
      <c r="AC104" s="28">
        <f>ifood_data[[#This Row],[Customer_Days]]/365</f>
        <v>6.506849315068493</v>
      </c>
      <c r="AD104">
        <v>0</v>
      </c>
      <c r="AE104">
        <v>1</v>
      </c>
      <c r="AF104">
        <v>0</v>
      </c>
      <c r="AG104">
        <v>0</v>
      </c>
      <c r="AH104">
        <v>0</v>
      </c>
      <c r="AI104">
        <v>0</v>
      </c>
      <c r="AJ104">
        <v>0</v>
      </c>
      <c r="AK104">
        <v>0</v>
      </c>
      <c r="AL104">
        <v>0</v>
      </c>
      <c r="AM104">
        <v>1</v>
      </c>
      <c r="AN104">
        <v>1871</v>
      </c>
      <c r="AO104">
        <v>1834</v>
      </c>
      <c r="AP104">
        <f>ifood_data[[#This Row],[MntTotal]]-ifood_data[[#This Row],[MntRegularProds]]</f>
        <v>37</v>
      </c>
      <c r="AQ104">
        <v>0</v>
      </c>
      <c r="AR104">
        <f>IF(SUM(ifood_data[[#This Row],[Kidhome]:[Teenhome]])&gt;0,1,0)</f>
        <v>0</v>
      </c>
      <c r="AS104" t="str">
        <f>IF(SUM(ifood_data[[#This Row],[Kidhome]:[Teenhome]])&gt;0,"Has Family","No Family")</f>
        <v>No Family</v>
      </c>
      <c r="AT104" t="str">
        <f>IF(ifood_data[[#This Row],[marital_Married]]=1,"Married", (IF(ifood_data[[#This Row],[marital_Single]]=1,"Single",(IF(ifood_data[[#This Row],[marital_Divorced]]=1,"Divorced",(IF(ifood_data[[#This Row],[marital_Together]]=1,"Living Together",(IF(ifood_data[[#This Row],[marital_Widow]]=1,"Widow","Other")))))))))</f>
        <v>Married</v>
      </c>
      <c r="AU104" t="str">
        <f>IF(ifood_data[[#This Row],[education_Basic]]=1,"High School",(IF(ifood_data[[#This Row],[education_Graduation]]=1,"Undergraduate Degree",(IF(SUM(AM104,AL104,AI104)&gt;0,"Master's Degree or Higher","Other")))))</f>
        <v>Master's Degree or Higher</v>
      </c>
      <c r="AV104" t="str">
        <f>IF(ifood_data[[#All],[Income]]&gt;75000,"75K+",(IF(ifood_data[[#All],[Income]]&gt;50000,"50K-75K",(IF(ifood_data[[#All],[Income]]&gt;35000,"35K-50K","&lt;35K")))))</f>
        <v>75K+</v>
      </c>
      <c r="AW104" t="str">
        <f>IF(ifood_data[[#All],[Age]]&gt;60,"60+",(IF(ifood_data[[#All],[Age]]&gt;50,"50-60",(IF(ifood_data[[#All],[Age]]&gt;40,"40-50",(IF(ifood_data[[#All],[Age]]&gt;30,"30-40","&lt;30")))))))</f>
        <v>40-50</v>
      </c>
      <c r="AX104">
        <f t="shared" si="4"/>
        <v>21</v>
      </c>
      <c r="AY104">
        <f t="shared" si="5"/>
        <v>9</v>
      </c>
      <c r="AZ104">
        <f t="shared" si="6"/>
        <v>5</v>
      </c>
      <c r="BA104">
        <f t="shared" si="7"/>
        <v>9</v>
      </c>
      <c r="BB104">
        <f>SUM(ifood_data[[#This Row],[Recency Score]:[Monetary Score]])</f>
        <v>23</v>
      </c>
      <c r="BC104">
        <f>(_xlfn.PERCENTRANK.INC(ifood_data[[#All],[RFM]],ifood_data[[#This Row],[RFM]],1))*10</f>
        <v>8</v>
      </c>
      <c r="BD104" t="str">
        <f>VLOOKUP(ifood_data[[#This Row],[RFM Score]],'RFM Analysis'!$A$3:$B$14,2,FALSE)</f>
        <v>Loyal Customer</v>
      </c>
      <c r="BE104">
        <f>'Regression Models'!$B$101+'Regression Models'!$B$102*ifood_data[[#This Row],[Income]]+'Regression Models'!$B$103*ifood_data[[#This Row],[Age]]+'Regression Models'!$B$104*ifood_data[[#This Row],[Family]]</f>
        <v>1410.3993807961451</v>
      </c>
      <c r="BF104" t="str">
        <f>IF(ifood_data[[#This Row],[AcceptedCmpOverall]]=1,"Campaign Respondent","Non-respondent")</f>
        <v>Non-respondent</v>
      </c>
    </row>
    <row r="105" spans="1:58" x14ac:dyDescent="0.35">
      <c r="A105">
        <v>1050</v>
      </c>
      <c r="B105">
        <v>81698</v>
      </c>
      <c r="C105">
        <v>0</v>
      </c>
      <c r="D105">
        <v>0</v>
      </c>
      <c r="E105">
        <v>1</v>
      </c>
      <c r="F105">
        <v>709</v>
      </c>
      <c r="G105">
        <v>45</v>
      </c>
      <c r="H105">
        <v>115</v>
      </c>
      <c r="I105">
        <v>30</v>
      </c>
      <c r="J105">
        <v>160</v>
      </c>
      <c r="K105">
        <v>45</v>
      </c>
      <c r="L105">
        <v>1</v>
      </c>
      <c r="M105">
        <v>8</v>
      </c>
      <c r="N105">
        <v>2</v>
      </c>
      <c r="O105">
        <v>5</v>
      </c>
      <c r="P105">
        <v>5</v>
      </c>
      <c r="Q105">
        <v>1</v>
      </c>
      <c r="R105">
        <v>0</v>
      </c>
      <c r="S105">
        <v>0</v>
      </c>
      <c r="T105">
        <v>0</v>
      </c>
      <c r="U105">
        <v>0</v>
      </c>
      <c r="V105">
        <f>IF(SUM(ifood_data[[#This Row],[AcceptedCmp1]:[AcceptedCmp5]])&gt;0,1,0)</f>
        <v>1</v>
      </c>
      <c r="W105">
        <v>0</v>
      </c>
      <c r="X105">
        <v>3</v>
      </c>
      <c r="Y105">
        <v>11</v>
      </c>
      <c r="Z105">
        <v>1</v>
      </c>
      <c r="AA105">
        <v>37</v>
      </c>
      <c r="AB105">
        <v>2644</v>
      </c>
      <c r="AC105" s="28">
        <f>ifood_data[[#This Row],[Customer_Days]]/365</f>
        <v>7.2438356164383562</v>
      </c>
      <c r="AD105">
        <v>0</v>
      </c>
      <c r="AE105">
        <v>0</v>
      </c>
      <c r="AF105">
        <v>1</v>
      </c>
      <c r="AG105">
        <v>0</v>
      </c>
      <c r="AH105">
        <v>0</v>
      </c>
      <c r="AI105">
        <v>1</v>
      </c>
      <c r="AJ105">
        <v>0</v>
      </c>
      <c r="AK105">
        <v>0</v>
      </c>
      <c r="AL105">
        <v>0</v>
      </c>
      <c r="AM105">
        <v>0</v>
      </c>
      <c r="AN105">
        <v>1059</v>
      </c>
      <c r="AO105">
        <v>1014</v>
      </c>
      <c r="AP105">
        <f>ifood_data[[#This Row],[MntTotal]]-ifood_data[[#This Row],[MntRegularProds]]</f>
        <v>45</v>
      </c>
      <c r="AQ105">
        <v>1</v>
      </c>
      <c r="AR105">
        <f>IF(SUM(ifood_data[[#This Row],[Kidhome]:[Teenhome]])&gt;0,1,0)</f>
        <v>0</v>
      </c>
      <c r="AS105" t="str">
        <f>IF(SUM(ifood_data[[#This Row],[Kidhome]:[Teenhome]])&gt;0,"Has Family","No Family")</f>
        <v>No Family</v>
      </c>
      <c r="AT105" t="str">
        <f>IF(ifood_data[[#This Row],[marital_Married]]=1,"Married", (IF(ifood_data[[#This Row],[marital_Single]]=1,"Single",(IF(ifood_data[[#This Row],[marital_Divorced]]=1,"Divorced",(IF(ifood_data[[#This Row],[marital_Together]]=1,"Living Together",(IF(ifood_data[[#This Row],[marital_Widow]]=1,"Widow","Other")))))))))</f>
        <v>Single</v>
      </c>
      <c r="AU105" t="str">
        <f>IF(ifood_data[[#This Row],[education_Basic]]=1,"High School",(IF(ifood_data[[#This Row],[education_Graduation]]=1,"Undergraduate Degree",(IF(SUM(AM105,AL105,AI105)&gt;0,"Master's Degree or Higher","Other")))))</f>
        <v>Master's Degree or Higher</v>
      </c>
      <c r="AV105" t="str">
        <f>IF(ifood_data[[#All],[Income]]&gt;75000,"75K+",(IF(ifood_data[[#All],[Income]]&gt;50000,"50K-75K",(IF(ifood_data[[#All],[Income]]&gt;35000,"35K-50K","&lt;35K")))))</f>
        <v>75K+</v>
      </c>
      <c r="AW105" t="str">
        <f>IF(ifood_data[[#All],[Age]]&gt;60,"60+",(IF(ifood_data[[#All],[Age]]&gt;50,"50-60",(IF(ifood_data[[#All],[Age]]&gt;40,"40-50",(IF(ifood_data[[#All],[Age]]&gt;30,"30-40","&lt;30")))))))</f>
        <v>30-40</v>
      </c>
      <c r="AX105">
        <f t="shared" si="4"/>
        <v>21</v>
      </c>
      <c r="AY105">
        <f t="shared" si="5"/>
        <v>10</v>
      </c>
      <c r="AZ105">
        <f t="shared" si="6"/>
        <v>5</v>
      </c>
      <c r="BA105">
        <f t="shared" si="7"/>
        <v>7</v>
      </c>
      <c r="BB105">
        <f>SUM(ifood_data[[#This Row],[Recency Score]:[Monetary Score]])</f>
        <v>22</v>
      </c>
      <c r="BC105">
        <f>(_xlfn.PERCENTRANK.INC(ifood_data[[#All],[RFM]],ifood_data[[#This Row],[RFM]],1))*10</f>
        <v>8</v>
      </c>
      <c r="BD105" t="str">
        <f>VLOOKUP(ifood_data[[#This Row],[RFM Score]],'RFM Analysis'!$A$3:$B$14,2,FALSE)</f>
        <v>Loyal Customer</v>
      </c>
      <c r="BE105">
        <f>'Regression Models'!$B$101+'Regression Models'!$B$102*ifood_data[[#This Row],[Income]]+'Regression Models'!$B$103*ifood_data[[#This Row],[Age]]+'Regression Models'!$B$104*ifood_data[[#This Row],[Family]]</f>
        <v>1409.9580776266966</v>
      </c>
      <c r="BF105" t="str">
        <f>IF(ifood_data[[#This Row],[AcceptedCmpOverall]]=1,"Campaign Respondent","Non-respondent")</f>
        <v>Campaign Respondent</v>
      </c>
    </row>
    <row r="106" spans="1:58" x14ac:dyDescent="0.35">
      <c r="A106">
        <v>2004</v>
      </c>
      <c r="B106">
        <v>80617</v>
      </c>
      <c r="C106">
        <v>0</v>
      </c>
      <c r="D106">
        <v>0</v>
      </c>
      <c r="E106">
        <v>42</v>
      </c>
      <c r="F106">
        <v>594</v>
      </c>
      <c r="G106">
        <v>51</v>
      </c>
      <c r="H106">
        <v>631</v>
      </c>
      <c r="I106">
        <v>72</v>
      </c>
      <c r="J106">
        <v>55</v>
      </c>
      <c r="K106">
        <v>32</v>
      </c>
      <c r="L106">
        <v>1</v>
      </c>
      <c r="M106">
        <v>4</v>
      </c>
      <c r="N106">
        <v>6</v>
      </c>
      <c r="O106">
        <v>8</v>
      </c>
      <c r="P106">
        <v>2</v>
      </c>
      <c r="Q106">
        <v>0</v>
      </c>
      <c r="R106">
        <v>0</v>
      </c>
      <c r="S106">
        <v>0</v>
      </c>
      <c r="T106">
        <v>0</v>
      </c>
      <c r="U106">
        <v>0</v>
      </c>
      <c r="V106">
        <f>IF(SUM(ifood_data[[#This Row],[AcceptedCmp1]:[AcceptedCmp5]])&gt;0,1,0)</f>
        <v>0</v>
      </c>
      <c r="W106">
        <v>0</v>
      </c>
      <c r="X106">
        <v>3</v>
      </c>
      <c r="Y106">
        <v>11</v>
      </c>
      <c r="Z106">
        <v>0</v>
      </c>
      <c r="AA106">
        <v>25</v>
      </c>
      <c r="AB106">
        <v>2784</v>
      </c>
      <c r="AC106" s="28">
        <f>ifood_data[[#This Row],[Customer_Days]]/365</f>
        <v>7.6273972602739724</v>
      </c>
      <c r="AD106">
        <v>0</v>
      </c>
      <c r="AE106">
        <v>0</v>
      </c>
      <c r="AF106">
        <v>1</v>
      </c>
      <c r="AG106">
        <v>0</v>
      </c>
      <c r="AH106">
        <v>0</v>
      </c>
      <c r="AI106">
        <v>1</v>
      </c>
      <c r="AJ106">
        <v>0</v>
      </c>
      <c r="AK106">
        <v>0</v>
      </c>
      <c r="AL106">
        <v>0</v>
      </c>
      <c r="AM106">
        <v>0</v>
      </c>
      <c r="AN106">
        <v>1403</v>
      </c>
      <c r="AO106">
        <v>1371</v>
      </c>
      <c r="AP106">
        <f>ifood_data[[#This Row],[MntTotal]]-ifood_data[[#This Row],[MntRegularProds]]</f>
        <v>32</v>
      </c>
      <c r="AQ106">
        <v>0</v>
      </c>
      <c r="AR106">
        <f>IF(SUM(ifood_data[[#This Row],[Kidhome]:[Teenhome]])&gt;0,1,0)</f>
        <v>0</v>
      </c>
      <c r="AS106" t="str">
        <f>IF(SUM(ifood_data[[#This Row],[Kidhome]:[Teenhome]])&gt;0,"Has Family","No Family")</f>
        <v>No Family</v>
      </c>
      <c r="AT106" t="str">
        <f>IF(ifood_data[[#This Row],[marital_Married]]=1,"Married", (IF(ifood_data[[#This Row],[marital_Single]]=1,"Single",(IF(ifood_data[[#This Row],[marital_Divorced]]=1,"Divorced",(IF(ifood_data[[#This Row],[marital_Together]]=1,"Living Together",(IF(ifood_data[[#This Row],[marital_Widow]]=1,"Widow","Other")))))))))</f>
        <v>Single</v>
      </c>
      <c r="AU106" t="str">
        <f>IF(ifood_data[[#This Row],[education_Basic]]=1,"High School",(IF(ifood_data[[#This Row],[education_Graduation]]=1,"Undergraduate Degree",(IF(SUM(AM106,AL106,AI106)&gt;0,"Master's Degree or Higher","Other")))))</f>
        <v>Master's Degree or Higher</v>
      </c>
      <c r="AV106" t="str">
        <f>IF(ifood_data[[#All],[Income]]&gt;75000,"75K+",(IF(ifood_data[[#All],[Income]]&gt;50000,"50K-75K",(IF(ifood_data[[#All],[Income]]&gt;35000,"35K-50K","&lt;35K")))))</f>
        <v>75K+</v>
      </c>
      <c r="AW106" t="str">
        <f>IF(ifood_data[[#All],[Age]]&gt;60,"60+",(IF(ifood_data[[#All],[Age]]&gt;50,"50-60",(IF(ifood_data[[#All],[Age]]&gt;40,"40-50",(IF(ifood_data[[#All],[Age]]&gt;30,"30-40","&lt;30")))))))</f>
        <v>&lt;30</v>
      </c>
      <c r="AX106">
        <f t="shared" si="4"/>
        <v>21</v>
      </c>
      <c r="AY106">
        <f t="shared" si="5"/>
        <v>6</v>
      </c>
      <c r="AZ106">
        <f t="shared" si="6"/>
        <v>5</v>
      </c>
      <c r="BA106">
        <f t="shared" si="7"/>
        <v>8</v>
      </c>
      <c r="BB106">
        <f>SUM(ifood_data[[#This Row],[Recency Score]:[Monetary Score]])</f>
        <v>19</v>
      </c>
      <c r="BC106">
        <f>(_xlfn.PERCENTRANK.INC(ifood_data[[#All],[RFM]],ifood_data[[#This Row],[RFM]],1))*10</f>
        <v>7</v>
      </c>
      <c r="BD106" t="str">
        <f>VLOOKUP(ifood_data[[#This Row],[RFM Score]],'RFM Analysis'!$A$3:$B$14,2,FALSE)</f>
        <v>Loyal Customer</v>
      </c>
      <c r="BE106">
        <f>'Regression Models'!$B$101+'Regression Models'!$B$102*ifood_data[[#This Row],[Income]]+'Regression Models'!$B$103*ifood_data[[#This Row],[Age]]+'Regression Models'!$B$104*ifood_data[[#This Row],[Family]]</f>
        <v>1409.9550882098729</v>
      </c>
      <c r="BF106" t="str">
        <f>IF(ifood_data[[#This Row],[AcceptedCmpOverall]]=1,"Campaign Respondent","Non-respondent")</f>
        <v>Non-respondent</v>
      </c>
    </row>
    <row r="107" spans="1:58" x14ac:dyDescent="0.35">
      <c r="A107">
        <v>1980</v>
      </c>
      <c r="B107">
        <v>84117</v>
      </c>
      <c r="C107">
        <v>0</v>
      </c>
      <c r="D107">
        <v>0</v>
      </c>
      <c r="E107">
        <v>60</v>
      </c>
      <c r="F107">
        <v>611</v>
      </c>
      <c r="G107">
        <v>76</v>
      </c>
      <c r="H107">
        <v>749</v>
      </c>
      <c r="I107">
        <v>59</v>
      </c>
      <c r="J107">
        <v>45</v>
      </c>
      <c r="K107">
        <v>26</v>
      </c>
      <c r="L107">
        <v>1</v>
      </c>
      <c r="M107">
        <v>7</v>
      </c>
      <c r="N107">
        <v>10</v>
      </c>
      <c r="O107">
        <v>6</v>
      </c>
      <c r="P107">
        <v>2</v>
      </c>
      <c r="Q107">
        <v>0</v>
      </c>
      <c r="R107">
        <v>0</v>
      </c>
      <c r="S107">
        <v>0</v>
      </c>
      <c r="T107">
        <v>0</v>
      </c>
      <c r="U107">
        <v>1</v>
      </c>
      <c r="V107">
        <f>IF(SUM(ifood_data[[#This Row],[AcceptedCmp1]:[AcceptedCmp5]])&gt;0,1,0)</f>
        <v>1</v>
      </c>
      <c r="W107">
        <v>0</v>
      </c>
      <c r="X107">
        <v>3</v>
      </c>
      <c r="Y107">
        <v>11</v>
      </c>
      <c r="Z107">
        <v>0</v>
      </c>
      <c r="AA107">
        <v>64</v>
      </c>
      <c r="AB107">
        <v>2208</v>
      </c>
      <c r="AC107" s="28">
        <f>ifood_data[[#This Row],[Customer_Days]]/365</f>
        <v>6.0493150684931507</v>
      </c>
      <c r="AD107">
        <v>0</v>
      </c>
      <c r="AE107">
        <v>1</v>
      </c>
      <c r="AF107">
        <v>0</v>
      </c>
      <c r="AG107">
        <v>0</v>
      </c>
      <c r="AH107">
        <v>0</v>
      </c>
      <c r="AI107">
        <v>0</v>
      </c>
      <c r="AJ107">
        <v>0</v>
      </c>
      <c r="AK107">
        <v>0</v>
      </c>
      <c r="AL107">
        <v>0</v>
      </c>
      <c r="AM107">
        <v>1</v>
      </c>
      <c r="AN107">
        <v>1540</v>
      </c>
      <c r="AO107">
        <v>1514</v>
      </c>
      <c r="AP107">
        <f>ifood_data[[#This Row],[MntTotal]]-ifood_data[[#This Row],[MntRegularProds]]</f>
        <v>26</v>
      </c>
      <c r="AQ107">
        <v>1</v>
      </c>
      <c r="AR107">
        <f>IF(SUM(ifood_data[[#This Row],[Kidhome]:[Teenhome]])&gt;0,1,0)</f>
        <v>0</v>
      </c>
      <c r="AS107" t="str">
        <f>IF(SUM(ifood_data[[#This Row],[Kidhome]:[Teenhome]])&gt;0,"Has Family","No Family")</f>
        <v>No Family</v>
      </c>
      <c r="AT107" t="str">
        <f>IF(ifood_data[[#This Row],[marital_Married]]=1,"Married", (IF(ifood_data[[#This Row],[marital_Single]]=1,"Single",(IF(ifood_data[[#This Row],[marital_Divorced]]=1,"Divorced",(IF(ifood_data[[#This Row],[marital_Together]]=1,"Living Together",(IF(ifood_data[[#This Row],[marital_Widow]]=1,"Widow","Other")))))))))</f>
        <v>Married</v>
      </c>
      <c r="AU107" t="str">
        <f>IF(ifood_data[[#This Row],[education_Basic]]=1,"High School",(IF(ifood_data[[#This Row],[education_Graduation]]=1,"Undergraduate Degree",(IF(SUM(AM107,AL107,AI107)&gt;0,"Master's Degree or Higher","Other")))))</f>
        <v>Master's Degree or Higher</v>
      </c>
      <c r="AV107" t="str">
        <f>IF(ifood_data[[#All],[Income]]&gt;75000,"75K+",(IF(ifood_data[[#All],[Income]]&gt;50000,"50K-75K",(IF(ifood_data[[#All],[Income]]&gt;35000,"35K-50K","&lt;35K")))))</f>
        <v>75K+</v>
      </c>
      <c r="AW107" t="str">
        <f>IF(ifood_data[[#All],[Age]]&gt;60,"60+",(IF(ifood_data[[#All],[Age]]&gt;50,"50-60",(IF(ifood_data[[#All],[Age]]&gt;40,"40-50",(IF(ifood_data[[#All],[Age]]&gt;30,"30-40","&lt;30")))))))</f>
        <v>60+</v>
      </c>
      <c r="AX107">
        <f t="shared" si="4"/>
        <v>26</v>
      </c>
      <c r="AY107">
        <f t="shared" si="5"/>
        <v>4</v>
      </c>
      <c r="AZ107">
        <f t="shared" si="6"/>
        <v>7</v>
      </c>
      <c r="BA107">
        <f t="shared" si="7"/>
        <v>9</v>
      </c>
      <c r="BB107">
        <f>SUM(ifood_data[[#This Row],[Recency Score]:[Monetary Score]])</f>
        <v>20</v>
      </c>
      <c r="BC107">
        <f>(_xlfn.PERCENTRANK.INC(ifood_data[[#All],[RFM]],ifood_data[[#This Row],[RFM]],1))*10</f>
        <v>7</v>
      </c>
      <c r="BD107" t="str">
        <f>VLOOKUP(ifood_data[[#This Row],[RFM Score]],'RFM Analysis'!$A$3:$B$14,2,FALSE)</f>
        <v>Loyal Customer</v>
      </c>
      <c r="BE107">
        <f>'Regression Models'!$B$101+'Regression Models'!$B$102*ifood_data[[#This Row],[Income]]+'Regression Models'!$B$103*ifood_data[[#This Row],[Age]]+'Regression Models'!$B$104*ifood_data[[#This Row],[Family]]</f>
        <v>1409.6946526366421</v>
      </c>
      <c r="BF107" t="str">
        <f>IF(ifood_data[[#This Row],[AcceptedCmpOverall]]=1,"Campaign Respondent","Non-respondent")</f>
        <v>Campaign Respondent</v>
      </c>
    </row>
    <row r="108" spans="1:58" x14ac:dyDescent="0.35">
      <c r="A108">
        <v>1098</v>
      </c>
      <c r="B108">
        <v>80685</v>
      </c>
      <c r="C108">
        <v>0</v>
      </c>
      <c r="D108">
        <v>0</v>
      </c>
      <c r="E108">
        <v>55</v>
      </c>
      <c r="F108">
        <v>241</v>
      </c>
      <c r="G108">
        <v>45</v>
      </c>
      <c r="H108">
        <v>604</v>
      </c>
      <c r="I108">
        <v>34</v>
      </c>
      <c r="J108">
        <v>26</v>
      </c>
      <c r="K108">
        <v>54</v>
      </c>
      <c r="L108">
        <v>1</v>
      </c>
      <c r="M108">
        <v>6</v>
      </c>
      <c r="N108">
        <v>4</v>
      </c>
      <c r="O108">
        <v>10</v>
      </c>
      <c r="P108">
        <v>2</v>
      </c>
      <c r="Q108">
        <v>0</v>
      </c>
      <c r="R108">
        <v>0</v>
      </c>
      <c r="S108">
        <v>0</v>
      </c>
      <c r="T108">
        <v>0</v>
      </c>
      <c r="U108">
        <v>0</v>
      </c>
      <c r="V108">
        <f>IF(SUM(ifood_data[[#This Row],[AcceptedCmp1]:[AcceptedCmp5]])&gt;0,1,0)</f>
        <v>0</v>
      </c>
      <c r="W108">
        <v>0</v>
      </c>
      <c r="X108">
        <v>3</v>
      </c>
      <c r="Y108">
        <v>11</v>
      </c>
      <c r="Z108">
        <v>0</v>
      </c>
      <c r="AA108">
        <v>26</v>
      </c>
      <c r="AB108">
        <v>2835</v>
      </c>
      <c r="AC108" s="28">
        <f>ifood_data[[#This Row],[Customer_Days]]/365</f>
        <v>7.7671232876712333</v>
      </c>
      <c r="AD108">
        <v>0</v>
      </c>
      <c r="AE108">
        <v>0</v>
      </c>
      <c r="AF108">
        <v>0</v>
      </c>
      <c r="AG108">
        <v>1</v>
      </c>
      <c r="AH108">
        <v>0</v>
      </c>
      <c r="AI108">
        <v>0</v>
      </c>
      <c r="AJ108">
        <v>0</v>
      </c>
      <c r="AK108">
        <v>1</v>
      </c>
      <c r="AL108">
        <v>0</v>
      </c>
      <c r="AM108">
        <v>0</v>
      </c>
      <c r="AN108">
        <v>950</v>
      </c>
      <c r="AO108">
        <v>896</v>
      </c>
      <c r="AP108">
        <f>ifood_data[[#This Row],[MntTotal]]-ifood_data[[#This Row],[MntRegularProds]]</f>
        <v>54</v>
      </c>
      <c r="AQ108">
        <v>0</v>
      </c>
      <c r="AR108">
        <f>IF(SUM(ifood_data[[#This Row],[Kidhome]:[Teenhome]])&gt;0,1,0)</f>
        <v>0</v>
      </c>
      <c r="AS108" t="str">
        <f>IF(SUM(ifood_data[[#This Row],[Kidhome]:[Teenhome]])&gt;0,"Has Family","No Family")</f>
        <v>No Family</v>
      </c>
      <c r="AT108" t="str">
        <f>IF(ifood_data[[#This Row],[marital_Married]]=1,"Married", (IF(ifood_data[[#This Row],[marital_Single]]=1,"Single",(IF(ifood_data[[#This Row],[marital_Divorced]]=1,"Divorced",(IF(ifood_data[[#This Row],[marital_Together]]=1,"Living Together",(IF(ifood_data[[#This Row],[marital_Widow]]=1,"Widow","Other")))))))))</f>
        <v>Living Together</v>
      </c>
      <c r="AU108" t="str">
        <f>IF(ifood_data[[#This Row],[education_Basic]]=1,"High School",(IF(ifood_data[[#This Row],[education_Graduation]]=1,"Undergraduate Degree",(IF(SUM(AM108,AL108,AI108)&gt;0,"Master's Degree or Higher","Other")))))</f>
        <v>Undergraduate Degree</v>
      </c>
      <c r="AV108" t="str">
        <f>IF(ifood_data[[#All],[Income]]&gt;75000,"75K+",(IF(ifood_data[[#All],[Income]]&gt;50000,"50K-75K",(IF(ifood_data[[#All],[Income]]&gt;35000,"35K-50K","&lt;35K")))))</f>
        <v>75K+</v>
      </c>
      <c r="AW108" t="str">
        <f>IF(ifood_data[[#All],[Age]]&gt;60,"60+",(IF(ifood_data[[#All],[Age]]&gt;50,"50-60",(IF(ifood_data[[#All],[Age]]&gt;40,"40-50",(IF(ifood_data[[#All],[Age]]&gt;30,"30-40","&lt;30")))))))</f>
        <v>&lt;30</v>
      </c>
      <c r="AX108">
        <f t="shared" si="4"/>
        <v>23</v>
      </c>
      <c r="AY108">
        <f t="shared" si="5"/>
        <v>5</v>
      </c>
      <c r="AZ108">
        <f t="shared" si="6"/>
        <v>6</v>
      </c>
      <c r="BA108">
        <f t="shared" si="7"/>
        <v>7</v>
      </c>
      <c r="BB108">
        <f>SUM(ifood_data[[#This Row],[Recency Score]:[Monetary Score]])</f>
        <v>18</v>
      </c>
      <c r="BC108">
        <f>(_xlfn.PERCENTRANK.INC(ifood_data[[#All],[RFM]],ifood_data[[#This Row],[RFM]],1))*10</f>
        <v>6</v>
      </c>
      <c r="BD108" t="str">
        <f>VLOOKUP(ifood_data[[#This Row],[RFM Score]],'RFM Analysis'!$A$3:$B$14,2,FALSE)</f>
        <v>Promising</v>
      </c>
      <c r="BE108">
        <f>'Regression Models'!$B$101+'Regression Models'!$B$102*ifood_data[[#This Row],[Income]]+'Regression Models'!$B$103*ifood_data[[#This Row],[Age]]+'Regression Models'!$B$104*ifood_data[[#This Row],[Family]]</f>
        <v>1409.505085364764</v>
      </c>
      <c r="BF108" t="str">
        <f>IF(ifood_data[[#This Row],[AcceptedCmpOverall]]=1,"Campaign Respondent","Non-respondent")</f>
        <v>Non-respondent</v>
      </c>
    </row>
    <row r="109" spans="1:58" x14ac:dyDescent="0.35">
      <c r="A109">
        <v>535</v>
      </c>
      <c r="B109">
        <v>81741</v>
      </c>
      <c r="C109">
        <v>0</v>
      </c>
      <c r="D109">
        <v>0</v>
      </c>
      <c r="E109">
        <v>75</v>
      </c>
      <c r="F109">
        <v>249</v>
      </c>
      <c r="G109">
        <v>153</v>
      </c>
      <c r="H109">
        <v>940</v>
      </c>
      <c r="I109">
        <v>58</v>
      </c>
      <c r="J109">
        <v>134</v>
      </c>
      <c r="K109">
        <v>38</v>
      </c>
      <c r="L109">
        <v>0</v>
      </c>
      <c r="M109">
        <v>6</v>
      </c>
      <c r="N109">
        <v>6</v>
      </c>
      <c r="O109">
        <v>7</v>
      </c>
      <c r="P109">
        <v>2</v>
      </c>
      <c r="Q109">
        <v>0</v>
      </c>
      <c r="R109">
        <v>0</v>
      </c>
      <c r="S109">
        <v>0</v>
      </c>
      <c r="T109">
        <v>0</v>
      </c>
      <c r="U109">
        <v>0</v>
      </c>
      <c r="V109">
        <f>IF(SUM(ifood_data[[#This Row],[AcceptedCmp1]:[AcceptedCmp5]])&gt;0,1,0)</f>
        <v>0</v>
      </c>
      <c r="W109">
        <v>0</v>
      </c>
      <c r="X109">
        <v>3</v>
      </c>
      <c r="Y109">
        <v>11</v>
      </c>
      <c r="Z109">
        <v>0</v>
      </c>
      <c r="AA109">
        <v>40</v>
      </c>
      <c r="AB109">
        <v>2537</v>
      </c>
      <c r="AC109" s="28">
        <f>ifood_data[[#This Row],[Customer_Days]]/365</f>
        <v>6.9506849315068493</v>
      </c>
      <c r="AD109">
        <v>0</v>
      </c>
      <c r="AE109">
        <v>0</v>
      </c>
      <c r="AF109">
        <v>1</v>
      </c>
      <c r="AG109">
        <v>0</v>
      </c>
      <c r="AH109">
        <v>0</v>
      </c>
      <c r="AI109">
        <v>0</v>
      </c>
      <c r="AJ109">
        <v>0</v>
      </c>
      <c r="AK109">
        <v>1</v>
      </c>
      <c r="AL109">
        <v>0</v>
      </c>
      <c r="AM109">
        <v>0</v>
      </c>
      <c r="AN109">
        <v>1534</v>
      </c>
      <c r="AO109">
        <v>1496</v>
      </c>
      <c r="AP109">
        <f>ifood_data[[#This Row],[MntTotal]]-ifood_data[[#This Row],[MntRegularProds]]</f>
        <v>38</v>
      </c>
      <c r="AQ109">
        <v>0</v>
      </c>
      <c r="AR109">
        <f>IF(SUM(ifood_data[[#This Row],[Kidhome]:[Teenhome]])&gt;0,1,0)</f>
        <v>0</v>
      </c>
      <c r="AS109" t="str">
        <f>IF(SUM(ifood_data[[#This Row],[Kidhome]:[Teenhome]])&gt;0,"Has Family","No Family")</f>
        <v>No Family</v>
      </c>
      <c r="AT109" t="str">
        <f>IF(ifood_data[[#This Row],[marital_Married]]=1,"Married", (IF(ifood_data[[#This Row],[marital_Single]]=1,"Single",(IF(ifood_data[[#This Row],[marital_Divorced]]=1,"Divorced",(IF(ifood_data[[#This Row],[marital_Together]]=1,"Living Together",(IF(ifood_data[[#This Row],[marital_Widow]]=1,"Widow","Other")))))))))</f>
        <v>Single</v>
      </c>
      <c r="AU109" t="str">
        <f>IF(ifood_data[[#This Row],[education_Basic]]=1,"High School",(IF(ifood_data[[#This Row],[education_Graduation]]=1,"Undergraduate Degree",(IF(SUM(AM109,AL109,AI109)&gt;0,"Master's Degree or Higher","Other")))))</f>
        <v>Undergraduate Degree</v>
      </c>
      <c r="AV109" t="str">
        <f>IF(ifood_data[[#All],[Income]]&gt;75000,"75K+",(IF(ifood_data[[#All],[Income]]&gt;50000,"50K-75K",(IF(ifood_data[[#All],[Income]]&gt;35000,"35K-50K","&lt;35K")))))</f>
        <v>75K+</v>
      </c>
      <c r="AW109" t="str">
        <f>IF(ifood_data[[#All],[Age]]&gt;60,"60+",(IF(ifood_data[[#All],[Age]]&gt;50,"50-60",(IF(ifood_data[[#All],[Age]]&gt;40,"40-50",(IF(ifood_data[[#All],[Age]]&gt;30,"30-40","&lt;30")))))))</f>
        <v>30-40</v>
      </c>
      <c r="AX109">
        <f t="shared" si="4"/>
        <v>21</v>
      </c>
      <c r="AY109">
        <f t="shared" si="5"/>
        <v>3.0000000000000004</v>
      </c>
      <c r="AZ109">
        <f t="shared" si="6"/>
        <v>5</v>
      </c>
      <c r="BA109">
        <f t="shared" si="7"/>
        <v>9</v>
      </c>
      <c r="BB109">
        <f>SUM(ifood_data[[#This Row],[Recency Score]:[Monetary Score]])</f>
        <v>17</v>
      </c>
      <c r="BC109">
        <f>(_xlfn.PERCENTRANK.INC(ifood_data[[#All],[RFM]],ifood_data[[#This Row],[RFM]],1))*10</f>
        <v>6</v>
      </c>
      <c r="BD109" t="str">
        <f>VLOOKUP(ifood_data[[#This Row],[RFM Score]],'RFM Analysis'!$A$3:$B$14,2,FALSE)</f>
        <v>Promising</v>
      </c>
      <c r="BE109">
        <f>'Regression Models'!$B$101+'Regression Models'!$B$102*ifood_data[[#This Row],[Income]]+'Regression Models'!$B$103*ifood_data[[#This Row],[Age]]+'Regression Models'!$B$104*ifood_data[[#This Row],[Family]]</f>
        <v>1405.3254774202014</v>
      </c>
      <c r="BF109" t="str">
        <f>IF(ifood_data[[#This Row],[AcceptedCmpOverall]]=1,"Campaign Respondent","Non-respondent")</f>
        <v>Non-respondent</v>
      </c>
    </row>
    <row r="110" spans="1:58" x14ac:dyDescent="0.35">
      <c r="A110">
        <v>793</v>
      </c>
      <c r="B110">
        <v>81702</v>
      </c>
      <c r="C110">
        <v>0</v>
      </c>
      <c r="D110">
        <v>0</v>
      </c>
      <c r="E110">
        <v>98</v>
      </c>
      <c r="F110">
        <v>563</v>
      </c>
      <c r="G110">
        <v>50</v>
      </c>
      <c r="H110">
        <v>774</v>
      </c>
      <c r="I110">
        <v>28</v>
      </c>
      <c r="J110">
        <v>31</v>
      </c>
      <c r="K110">
        <v>187</v>
      </c>
      <c r="L110">
        <v>1</v>
      </c>
      <c r="M110">
        <v>7</v>
      </c>
      <c r="N110">
        <v>7</v>
      </c>
      <c r="O110">
        <v>12</v>
      </c>
      <c r="P110">
        <v>3</v>
      </c>
      <c r="Q110">
        <v>0</v>
      </c>
      <c r="R110">
        <v>0</v>
      </c>
      <c r="S110">
        <v>0</v>
      </c>
      <c r="T110">
        <v>0</v>
      </c>
      <c r="U110">
        <v>0</v>
      </c>
      <c r="V110">
        <f>IF(SUM(ifood_data[[#This Row],[AcceptedCmp1]:[AcceptedCmp5]])&gt;0,1,0)</f>
        <v>0</v>
      </c>
      <c r="W110">
        <v>0</v>
      </c>
      <c r="X110">
        <v>3</v>
      </c>
      <c r="Y110">
        <v>11</v>
      </c>
      <c r="Z110">
        <v>0</v>
      </c>
      <c r="AA110">
        <v>40</v>
      </c>
      <c r="AB110">
        <v>2803</v>
      </c>
      <c r="AC110" s="28">
        <f>ifood_data[[#This Row],[Customer_Days]]/365</f>
        <v>7.6794520547945204</v>
      </c>
      <c r="AD110">
        <v>1</v>
      </c>
      <c r="AE110">
        <v>0</v>
      </c>
      <c r="AF110">
        <v>0</v>
      </c>
      <c r="AG110">
        <v>0</v>
      </c>
      <c r="AH110">
        <v>0</v>
      </c>
      <c r="AI110">
        <v>0</v>
      </c>
      <c r="AJ110">
        <v>0</v>
      </c>
      <c r="AK110">
        <v>1</v>
      </c>
      <c r="AL110">
        <v>0</v>
      </c>
      <c r="AM110">
        <v>0</v>
      </c>
      <c r="AN110">
        <v>1446</v>
      </c>
      <c r="AO110">
        <v>1259</v>
      </c>
      <c r="AP110">
        <f>ifood_data[[#This Row],[MntTotal]]-ifood_data[[#This Row],[MntRegularProds]]</f>
        <v>187</v>
      </c>
      <c r="AQ110">
        <v>0</v>
      </c>
      <c r="AR110">
        <f>IF(SUM(ifood_data[[#This Row],[Kidhome]:[Teenhome]])&gt;0,1,0)</f>
        <v>0</v>
      </c>
      <c r="AS110" t="str">
        <f>IF(SUM(ifood_data[[#This Row],[Kidhome]:[Teenhome]])&gt;0,"Has Family","No Family")</f>
        <v>No Family</v>
      </c>
      <c r="AT110" t="str">
        <f>IF(ifood_data[[#This Row],[marital_Married]]=1,"Married", (IF(ifood_data[[#This Row],[marital_Single]]=1,"Single",(IF(ifood_data[[#This Row],[marital_Divorced]]=1,"Divorced",(IF(ifood_data[[#This Row],[marital_Together]]=1,"Living Together",(IF(ifood_data[[#This Row],[marital_Widow]]=1,"Widow","Other")))))))))</f>
        <v>Divorced</v>
      </c>
      <c r="AU110" t="str">
        <f>IF(ifood_data[[#This Row],[education_Basic]]=1,"High School",(IF(ifood_data[[#This Row],[education_Graduation]]=1,"Undergraduate Degree",(IF(SUM(AM110,AL110,AI110)&gt;0,"Master's Degree or Higher","Other")))))</f>
        <v>Undergraduate Degree</v>
      </c>
      <c r="AV110" t="str">
        <f>IF(ifood_data[[#All],[Income]]&gt;75000,"75K+",(IF(ifood_data[[#All],[Income]]&gt;50000,"50K-75K",(IF(ifood_data[[#All],[Income]]&gt;35000,"35K-50K","&lt;35K")))))</f>
        <v>75K+</v>
      </c>
      <c r="AW110" t="str">
        <f>IF(ifood_data[[#All],[Age]]&gt;60,"60+",(IF(ifood_data[[#All],[Age]]&gt;50,"50-60",(IF(ifood_data[[#All],[Age]]&gt;40,"40-50",(IF(ifood_data[[#All],[Age]]&gt;30,"30-40","&lt;30")))))))</f>
        <v>30-40</v>
      </c>
      <c r="AX110">
        <f t="shared" si="4"/>
        <v>30</v>
      </c>
      <c r="AY110">
        <f t="shared" si="5"/>
        <v>0.99999999999999978</v>
      </c>
      <c r="AZ110">
        <f t="shared" si="6"/>
        <v>8</v>
      </c>
      <c r="BA110">
        <f t="shared" si="7"/>
        <v>8</v>
      </c>
      <c r="BB110">
        <f>SUM(ifood_data[[#This Row],[Recency Score]:[Monetary Score]])</f>
        <v>17</v>
      </c>
      <c r="BC110">
        <f>(_xlfn.PERCENTRANK.INC(ifood_data[[#All],[RFM]],ifood_data[[#This Row],[RFM]],1))*10</f>
        <v>6</v>
      </c>
      <c r="BD110" t="str">
        <f>VLOOKUP(ifood_data[[#This Row],[RFM Score]],'RFM Analysis'!$A$3:$B$14,2,FALSE)</f>
        <v>Promising</v>
      </c>
      <c r="BE110">
        <f>'Regression Models'!$B$101+'Regression Models'!$B$102*ifood_data[[#This Row],[Income]]+'Regression Models'!$B$103*ifood_data[[#This Row],[Age]]+'Regression Models'!$B$104*ifood_data[[#This Row],[Family]]</f>
        <v>1404.530315462589</v>
      </c>
      <c r="BF110" t="str">
        <f>IF(ifood_data[[#This Row],[AcceptedCmpOverall]]=1,"Campaign Respondent","Non-respondent")</f>
        <v>Non-respondent</v>
      </c>
    </row>
    <row r="111" spans="1:58" x14ac:dyDescent="0.35">
      <c r="A111">
        <v>319</v>
      </c>
      <c r="B111">
        <v>83003</v>
      </c>
      <c r="C111">
        <v>0</v>
      </c>
      <c r="D111">
        <v>0</v>
      </c>
      <c r="E111">
        <v>18</v>
      </c>
      <c r="F111">
        <v>856</v>
      </c>
      <c r="G111">
        <v>61</v>
      </c>
      <c r="H111">
        <v>570</v>
      </c>
      <c r="I111">
        <v>40</v>
      </c>
      <c r="J111">
        <v>25</v>
      </c>
      <c r="K111">
        <v>122</v>
      </c>
      <c r="L111">
        <v>1</v>
      </c>
      <c r="M111">
        <v>7</v>
      </c>
      <c r="N111">
        <v>6</v>
      </c>
      <c r="O111">
        <v>8</v>
      </c>
      <c r="P111">
        <v>3</v>
      </c>
      <c r="Q111">
        <v>0</v>
      </c>
      <c r="R111">
        <v>0</v>
      </c>
      <c r="S111">
        <v>0</v>
      </c>
      <c r="T111">
        <v>0</v>
      </c>
      <c r="U111">
        <v>1</v>
      </c>
      <c r="V111">
        <f>IF(SUM(ifood_data[[#This Row],[AcceptedCmp1]:[AcceptedCmp5]])&gt;0,1,0)</f>
        <v>1</v>
      </c>
      <c r="W111">
        <v>0</v>
      </c>
      <c r="X111">
        <v>3</v>
      </c>
      <c r="Y111">
        <v>11</v>
      </c>
      <c r="Z111">
        <v>1</v>
      </c>
      <c r="AA111">
        <v>55</v>
      </c>
      <c r="AB111">
        <v>2642</v>
      </c>
      <c r="AC111" s="28">
        <f>ifood_data[[#This Row],[Customer_Days]]/365</f>
        <v>7.2383561643835614</v>
      </c>
      <c r="AD111">
        <v>0</v>
      </c>
      <c r="AE111">
        <v>0</v>
      </c>
      <c r="AF111">
        <v>0</v>
      </c>
      <c r="AG111">
        <v>1</v>
      </c>
      <c r="AH111">
        <v>0</v>
      </c>
      <c r="AI111">
        <v>0</v>
      </c>
      <c r="AJ111">
        <v>0</v>
      </c>
      <c r="AK111">
        <v>1</v>
      </c>
      <c r="AL111">
        <v>0</v>
      </c>
      <c r="AM111">
        <v>0</v>
      </c>
      <c r="AN111">
        <v>1552</v>
      </c>
      <c r="AO111">
        <v>1430</v>
      </c>
      <c r="AP111">
        <f>ifood_data[[#This Row],[MntTotal]]-ifood_data[[#This Row],[MntRegularProds]]</f>
        <v>122</v>
      </c>
      <c r="AQ111">
        <v>1</v>
      </c>
      <c r="AR111">
        <f>IF(SUM(ifood_data[[#This Row],[Kidhome]:[Teenhome]])&gt;0,1,0)</f>
        <v>0</v>
      </c>
      <c r="AS111" t="str">
        <f>IF(SUM(ifood_data[[#This Row],[Kidhome]:[Teenhome]])&gt;0,"Has Family","No Family")</f>
        <v>No Family</v>
      </c>
      <c r="AT111" t="str">
        <f>IF(ifood_data[[#This Row],[marital_Married]]=1,"Married", (IF(ifood_data[[#This Row],[marital_Single]]=1,"Single",(IF(ifood_data[[#This Row],[marital_Divorced]]=1,"Divorced",(IF(ifood_data[[#This Row],[marital_Together]]=1,"Living Together",(IF(ifood_data[[#This Row],[marital_Widow]]=1,"Widow","Other")))))))))</f>
        <v>Living Together</v>
      </c>
      <c r="AU111" t="str">
        <f>IF(ifood_data[[#This Row],[education_Basic]]=1,"High School",(IF(ifood_data[[#This Row],[education_Graduation]]=1,"Undergraduate Degree",(IF(SUM(AM111,AL111,AI111)&gt;0,"Master's Degree or Higher","Other")))))</f>
        <v>Undergraduate Degree</v>
      </c>
      <c r="AV111" t="str">
        <f>IF(ifood_data[[#All],[Income]]&gt;75000,"75K+",(IF(ifood_data[[#All],[Income]]&gt;50000,"50K-75K",(IF(ifood_data[[#All],[Income]]&gt;35000,"35K-50K","&lt;35K")))))</f>
        <v>75K+</v>
      </c>
      <c r="AW111" t="str">
        <f>IF(ifood_data[[#All],[Age]]&gt;60,"60+",(IF(ifood_data[[#All],[Age]]&gt;50,"50-60",(IF(ifood_data[[#All],[Age]]&gt;40,"40-50",(IF(ifood_data[[#All],[Age]]&gt;30,"30-40","&lt;30")))))))</f>
        <v>50-60</v>
      </c>
      <c r="AX111">
        <f t="shared" si="4"/>
        <v>25</v>
      </c>
      <c r="AY111">
        <f t="shared" si="5"/>
        <v>9</v>
      </c>
      <c r="AZ111">
        <f t="shared" si="6"/>
        <v>7</v>
      </c>
      <c r="BA111">
        <f t="shared" si="7"/>
        <v>9</v>
      </c>
      <c r="BB111">
        <f>SUM(ifood_data[[#This Row],[Recency Score]:[Monetary Score]])</f>
        <v>25</v>
      </c>
      <c r="BC111">
        <f>(_xlfn.PERCENTRANK.INC(ifood_data[[#All],[RFM]],ifood_data[[#This Row],[RFM]],1))*10</f>
        <v>9</v>
      </c>
      <c r="BD111" t="str">
        <f>VLOOKUP(ifood_data[[#This Row],[RFM Score]],'RFM Analysis'!$A$3:$B$14,2,FALSE)</f>
        <v>Top Customer</v>
      </c>
      <c r="BE111">
        <f>'Regression Models'!$B$101+'Regression Models'!$B$102*ifood_data[[#This Row],[Income]]+'Regression Models'!$B$103*ifood_data[[#This Row],[Age]]+'Regression Models'!$B$104*ifood_data[[#This Row],[Family]]</f>
        <v>1403.5095166343876</v>
      </c>
      <c r="BF111" t="str">
        <f>IF(ifood_data[[#This Row],[AcceptedCmpOverall]]=1,"Campaign Respondent","Non-respondent")</f>
        <v>Campaign Respondent</v>
      </c>
    </row>
    <row r="112" spans="1:58" x14ac:dyDescent="0.35">
      <c r="A112">
        <v>1037</v>
      </c>
      <c r="B112">
        <v>80910</v>
      </c>
      <c r="C112">
        <v>0</v>
      </c>
      <c r="D112">
        <v>0</v>
      </c>
      <c r="E112">
        <v>71</v>
      </c>
      <c r="F112">
        <v>160</v>
      </c>
      <c r="G112">
        <v>80</v>
      </c>
      <c r="H112">
        <v>369</v>
      </c>
      <c r="I112">
        <v>67</v>
      </c>
      <c r="J112">
        <v>39</v>
      </c>
      <c r="K112">
        <v>41</v>
      </c>
      <c r="L112">
        <v>1</v>
      </c>
      <c r="M112">
        <v>3</v>
      </c>
      <c r="N112">
        <v>3</v>
      </c>
      <c r="O112">
        <v>8</v>
      </c>
      <c r="P112">
        <v>1</v>
      </c>
      <c r="Q112">
        <v>0</v>
      </c>
      <c r="R112">
        <v>0</v>
      </c>
      <c r="S112">
        <v>0</v>
      </c>
      <c r="T112">
        <v>0</v>
      </c>
      <c r="U112">
        <v>0</v>
      </c>
      <c r="V112">
        <f>IF(SUM(ifood_data[[#This Row],[AcceptedCmp1]:[AcceptedCmp5]])&gt;0,1,0)</f>
        <v>0</v>
      </c>
      <c r="W112">
        <v>0</v>
      </c>
      <c r="X112">
        <v>3</v>
      </c>
      <c r="Y112">
        <v>11</v>
      </c>
      <c r="Z112">
        <v>0</v>
      </c>
      <c r="AA112">
        <v>34</v>
      </c>
      <c r="AB112">
        <v>2765</v>
      </c>
      <c r="AC112" s="28">
        <f>ifood_data[[#This Row],[Customer_Days]]/365</f>
        <v>7.5753424657534243</v>
      </c>
      <c r="AD112">
        <v>0</v>
      </c>
      <c r="AE112">
        <v>0</v>
      </c>
      <c r="AF112">
        <v>1</v>
      </c>
      <c r="AG112">
        <v>0</v>
      </c>
      <c r="AH112">
        <v>0</v>
      </c>
      <c r="AI112">
        <v>1</v>
      </c>
      <c r="AJ112">
        <v>0</v>
      </c>
      <c r="AK112">
        <v>0</v>
      </c>
      <c r="AL112">
        <v>0</v>
      </c>
      <c r="AM112">
        <v>0</v>
      </c>
      <c r="AN112">
        <v>715</v>
      </c>
      <c r="AO112">
        <v>674</v>
      </c>
      <c r="AP112">
        <f>ifood_data[[#This Row],[MntTotal]]-ifood_data[[#This Row],[MntRegularProds]]</f>
        <v>41</v>
      </c>
      <c r="AQ112">
        <v>0</v>
      </c>
      <c r="AR112">
        <f>IF(SUM(ifood_data[[#This Row],[Kidhome]:[Teenhome]])&gt;0,1,0)</f>
        <v>0</v>
      </c>
      <c r="AS112" t="str">
        <f>IF(SUM(ifood_data[[#This Row],[Kidhome]:[Teenhome]])&gt;0,"Has Family","No Family")</f>
        <v>No Family</v>
      </c>
      <c r="AT112" t="str">
        <f>IF(ifood_data[[#This Row],[marital_Married]]=1,"Married", (IF(ifood_data[[#This Row],[marital_Single]]=1,"Single",(IF(ifood_data[[#This Row],[marital_Divorced]]=1,"Divorced",(IF(ifood_data[[#This Row],[marital_Together]]=1,"Living Together",(IF(ifood_data[[#This Row],[marital_Widow]]=1,"Widow","Other")))))))))</f>
        <v>Single</v>
      </c>
      <c r="AU112" t="str">
        <f>IF(ifood_data[[#This Row],[education_Basic]]=1,"High School",(IF(ifood_data[[#This Row],[education_Graduation]]=1,"Undergraduate Degree",(IF(SUM(AM112,AL112,AI112)&gt;0,"Master's Degree or Higher","Other")))))</f>
        <v>Master's Degree or Higher</v>
      </c>
      <c r="AV112" t="str">
        <f>IF(ifood_data[[#All],[Income]]&gt;75000,"75K+",(IF(ifood_data[[#All],[Income]]&gt;50000,"50K-75K",(IF(ifood_data[[#All],[Income]]&gt;35000,"35K-50K","&lt;35K")))))</f>
        <v>75K+</v>
      </c>
      <c r="AW112" t="str">
        <f>IF(ifood_data[[#All],[Age]]&gt;60,"60+",(IF(ifood_data[[#All],[Age]]&gt;50,"50-60",(IF(ifood_data[[#All],[Age]]&gt;40,"40-50",(IF(ifood_data[[#All],[Age]]&gt;30,"30-40","&lt;30")))))))</f>
        <v>30-40</v>
      </c>
      <c r="AX112">
        <f t="shared" si="4"/>
        <v>16</v>
      </c>
      <c r="AY112">
        <f t="shared" si="5"/>
        <v>3.0000000000000004</v>
      </c>
      <c r="AZ112">
        <f t="shared" si="6"/>
        <v>3</v>
      </c>
      <c r="BA112">
        <f t="shared" si="7"/>
        <v>6</v>
      </c>
      <c r="BB112">
        <f>SUM(ifood_data[[#This Row],[Recency Score]:[Monetary Score]])</f>
        <v>12</v>
      </c>
      <c r="BC112">
        <f>(_xlfn.PERCENTRANK.INC(ifood_data[[#All],[RFM]],ifood_data[[#This Row],[RFM]],1))*10</f>
        <v>3</v>
      </c>
      <c r="BD112" t="str">
        <f>VLOOKUP(ifood_data[[#This Row],[RFM Score]],'RFM Analysis'!$A$3:$B$14,2,FALSE)</f>
        <v>At Risk</v>
      </c>
      <c r="BE112">
        <f>'Regression Models'!$B$101+'Regression Models'!$B$102*ifood_data[[#This Row],[Income]]+'Regression Models'!$B$103*ifood_data[[#This Row],[Age]]+'Regression Models'!$B$104*ifood_data[[#This Row],[Family]]</f>
        <v>1399.4010455659868</v>
      </c>
      <c r="BF112" t="str">
        <f>IF(ifood_data[[#This Row],[AcceptedCmpOverall]]=1,"Campaign Respondent","Non-respondent")</f>
        <v>Non-respondent</v>
      </c>
    </row>
    <row r="113" spans="1:58" x14ac:dyDescent="0.35">
      <c r="A113">
        <v>395</v>
      </c>
      <c r="B113">
        <v>80134</v>
      </c>
      <c r="C113">
        <v>0</v>
      </c>
      <c r="D113">
        <v>0</v>
      </c>
      <c r="E113">
        <v>11</v>
      </c>
      <c r="F113">
        <v>966</v>
      </c>
      <c r="G113">
        <v>26</v>
      </c>
      <c r="H113">
        <v>282</v>
      </c>
      <c r="I113">
        <v>52</v>
      </c>
      <c r="J113">
        <v>26</v>
      </c>
      <c r="K113">
        <v>26</v>
      </c>
      <c r="L113">
        <v>1</v>
      </c>
      <c r="M113">
        <v>2</v>
      </c>
      <c r="N113">
        <v>7</v>
      </c>
      <c r="O113">
        <v>11</v>
      </c>
      <c r="P113">
        <v>5</v>
      </c>
      <c r="Q113">
        <v>1</v>
      </c>
      <c r="R113">
        <v>1</v>
      </c>
      <c r="S113">
        <v>0</v>
      </c>
      <c r="T113">
        <v>1</v>
      </c>
      <c r="U113">
        <v>1</v>
      </c>
      <c r="V113">
        <f>IF(SUM(ifood_data[[#This Row],[AcceptedCmp1]:[AcceptedCmp5]])&gt;0,1,0)</f>
        <v>1</v>
      </c>
      <c r="W113">
        <v>0</v>
      </c>
      <c r="X113">
        <v>3</v>
      </c>
      <c r="Y113">
        <v>11</v>
      </c>
      <c r="Z113">
        <v>0</v>
      </c>
      <c r="AA113">
        <v>26</v>
      </c>
      <c r="AB113">
        <v>2294</v>
      </c>
      <c r="AC113" s="28">
        <f>ifood_data[[#This Row],[Customer_Days]]/365</f>
        <v>6.2849315068493148</v>
      </c>
      <c r="AD113">
        <v>0</v>
      </c>
      <c r="AE113">
        <v>0</v>
      </c>
      <c r="AF113">
        <v>0</v>
      </c>
      <c r="AG113">
        <v>1</v>
      </c>
      <c r="AH113">
        <v>0</v>
      </c>
      <c r="AI113">
        <v>0</v>
      </c>
      <c r="AJ113">
        <v>0</v>
      </c>
      <c r="AK113">
        <v>1</v>
      </c>
      <c r="AL113">
        <v>0</v>
      </c>
      <c r="AM113">
        <v>0</v>
      </c>
      <c r="AN113">
        <v>1352</v>
      </c>
      <c r="AO113">
        <v>1326</v>
      </c>
      <c r="AP113">
        <f>ifood_data[[#This Row],[MntTotal]]-ifood_data[[#This Row],[MntRegularProds]]</f>
        <v>26</v>
      </c>
      <c r="AQ113">
        <v>4</v>
      </c>
      <c r="AR113">
        <f>IF(SUM(ifood_data[[#This Row],[Kidhome]:[Teenhome]])&gt;0,1,0)</f>
        <v>0</v>
      </c>
      <c r="AS113" t="str">
        <f>IF(SUM(ifood_data[[#This Row],[Kidhome]:[Teenhome]])&gt;0,"Has Family","No Family")</f>
        <v>No Family</v>
      </c>
      <c r="AT113" t="str">
        <f>IF(ifood_data[[#This Row],[marital_Married]]=1,"Married", (IF(ifood_data[[#This Row],[marital_Single]]=1,"Single",(IF(ifood_data[[#This Row],[marital_Divorced]]=1,"Divorced",(IF(ifood_data[[#This Row],[marital_Together]]=1,"Living Together",(IF(ifood_data[[#This Row],[marital_Widow]]=1,"Widow","Other")))))))))</f>
        <v>Living Together</v>
      </c>
      <c r="AU113" t="str">
        <f>IF(ifood_data[[#This Row],[education_Basic]]=1,"High School",(IF(ifood_data[[#This Row],[education_Graduation]]=1,"Undergraduate Degree",(IF(SUM(AM113,AL113,AI113)&gt;0,"Master's Degree or Higher","Other")))))</f>
        <v>Undergraduate Degree</v>
      </c>
      <c r="AV113" t="str">
        <f>IF(ifood_data[[#All],[Income]]&gt;75000,"75K+",(IF(ifood_data[[#All],[Income]]&gt;50000,"50K-75K",(IF(ifood_data[[#All],[Income]]&gt;35000,"35K-50K","&lt;35K")))))</f>
        <v>75K+</v>
      </c>
      <c r="AW113" t="str">
        <f>IF(ifood_data[[#All],[Age]]&gt;60,"60+",(IF(ifood_data[[#All],[Age]]&gt;50,"50-60",(IF(ifood_data[[#All],[Age]]&gt;40,"40-50",(IF(ifood_data[[#All],[Age]]&gt;30,"30-40","&lt;30")))))))</f>
        <v>&lt;30</v>
      </c>
      <c r="AX113">
        <f t="shared" si="4"/>
        <v>26</v>
      </c>
      <c r="AY113">
        <f t="shared" si="5"/>
        <v>9</v>
      </c>
      <c r="AZ113">
        <f t="shared" si="6"/>
        <v>7</v>
      </c>
      <c r="BA113">
        <f t="shared" si="7"/>
        <v>8</v>
      </c>
      <c r="BB113">
        <f>SUM(ifood_data[[#This Row],[Recency Score]:[Monetary Score]])</f>
        <v>24</v>
      </c>
      <c r="BC113">
        <f>(_xlfn.PERCENTRANK.INC(ifood_data[[#All],[RFM]],ifood_data[[#This Row],[RFM]],1))*10</f>
        <v>9</v>
      </c>
      <c r="BD113" t="str">
        <f>VLOOKUP(ifood_data[[#This Row],[RFM Score]],'RFM Analysis'!$A$3:$B$14,2,FALSE)</f>
        <v>Top Customer</v>
      </c>
      <c r="BE113">
        <f>'Regression Models'!$B$101+'Regression Models'!$B$102*ifood_data[[#This Row],[Income]]+'Regression Models'!$B$103*ifood_data[[#This Row],[Age]]+'Regression Models'!$B$104*ifood_data[[#This Row],[Family]]</f>
        <v>1398.2708741174756</v>
      </c>
      <c r="BF113" t="str">
        <f>IF(ifood_data[[#This Row],[AcceptedCmpOverall]]=1,"Campaign Respondent","Non-respondent")</f>
        <v>Campaign Respondent</v>
      </c>
    </row>
    <row r="114" spans="1:58" x14ac:dyDescent="0.35">
      <c r="A114">
        <v>459</v>
      </c>
      <c r="B114">
        <v>83151</v>
      </c>
      <c r="C114">
        <v>0</v>
      </c>
      <c r="D114">
        <v>0</v>
      </c>
      <c r="E114">
        <v>93</v>
      </c>
      <c r="F114">
        <v>407</v>
      </c>
      <c r="G114">
        <v>28</v>
      </c>
      <c r="H114">
        <v>100</v>
      </c>
      <c r="I114">
        <v>120</v>
      </c>
      <c r="J114">
        <v>74</v>
      </c>
      <c r="K114">
        <v>18</v>
      </c>
      <c r="L114">
        <v>1</v>
      </c>
      <c r="M114">
        <v>5</v>
      </c>
      <c r="N114">
        <v>9</v>
      </c>
      <c r="O114">
        <v>4</v>
      </c>
      <c r="P114">
        <v>3</v>
      </c>
      <c r="Q114">
        <v>0</v>
      </c>
      <c r="R114">
        <v>0</v>
      </c>
      <c r="S114">
        <v>0</v>
      </c>
      <c r="T114">
        <v>0</v>
      </c>
      <c r="U114">
        <v>0</v>
      </c>
      <c r="V114">
        <f>IF(SUM(ifood_data[[#This Row],[AcceptedCmp1]:[AcceptedCmp5]])&gt;0,1,0)</f>
        <v>0</v>
      </c>
      <c r="W114">
        <v>0</v>
      </c>
      <c r="X114">
        <v>3</v>
      </c>
      <c r="Y114">
        <v>11</v>
      </c>
      <c r="Z114">
        <v>0</v>
      </c>
      <c r="AA114">
        <v>60</v>
      </c>
      <c r="AB114">
        <v>2786</v>
      </c>
      <c r="AC114" s="28">
        <f>ifood_data[[#This Row],[Customer_Days]]/365</f>
        <v>7.6328767123287671</v>
      </c>
      <c r="AD114">
        <v>0</v>
      </c>
      <c r="AE114">
        <v>0</v>
      </c>
      <c r="AF114">
        <v>0</v>
      </c>
      <c r="AG114">
        <v>1</v>
      </c>
      <c r="AH114">
        <v>0</v>
      </c>
      <c r="AI114">
        <v>0</v>
      </c>
      <c r="AJ114">
        <v>0</v>
      </c>
      <c r="AK114">
        <v>0</v>
      </c>
      <c r="AL114">
        <v>1</v>
      </c>
      <c r="AM114">
        <v>0</v>
      </c>
      <c r="AN114">
        <v>729</v>
      </c>
      <c r="AO114">
        <v>711</v>
      </c>
      <c r="AP114">
        <f>ifood_data[[#This Row],[MntTotal]]-ifood_data[[#This Row],[MntRegularProds]]</f>
        <v>18</v>
      </c>
      <c r="AQ114">
        <v>0</v>
      </c>
      <c r="AR114">
        <f>IF(SUM(ifood_data[[#This Row],[Kidhome]:[Teenhome]])&gt;0,1,0)</f>
        <v>0</v>
      </c>
      <c r="AS114" t="str">
        <f>IF(SUM(ifood_data[[#This Row],[Kidhome]:[Teenhome]])&gt;0,"Has Family","No Family")</f>
        <v>No Family</v>
      </c>
      <c r="AT114" t="str">
        <f>IF(ifood_data[[#This Row],[marital_Married]]=1,"Married", (IF(ifood_data[[#This Row],[marital_Single]]=1,"Single",(IF(ifood_data[[#This Row],[marital_Divorced]]=1,"Divorced",(IF(ifood_data[[#This Row],[marital_Together]]=1,"Living Together",(IF(ifood_data[[#This Row],[marital_Widow]]=1,"Widow","Other")))))))))</f>
        <v>Living Together</v>
      </c>
      <c r="AU114" t="str">
        <f>IF(ifood_data[[#This Row],[education_Basic]]=1,"High School",(IF(ifood_data[[#This Row],[education_Graduation]]=1,"Undergraduate Degree",(IF(SUM(AM114,AL114,AI114)&gt;0,"Master's Degree or Higher","Other")))))</f>
        <v>Master's Degree or Higher</v>
      </c>
      <c r="AV114" t="str">
        <f>IF(ifood_data[[#All],[Income]]&gt;75000,"75K+",(IF(ifood_data[[#All],[Income]]&gt;50000,"50K-75K",(IF(ifood_data[[#All],[Income]]&gt;35000,"35K-50K","&lt;35K")))))</f>
        <v>75K+</v>
      </c>
      <c r="AW114" t="str">
        <f>IF(ifood_data[[#All],[Age]]&gt;60,"60+",(IF(ifood_data[[#All],[Age]]&gt;50,"50-60",(IF(ifood_data[[#All],[Age]]&gt;40,"40-50",(IF(ifood_data[[#All],[Age]]&gt;30,"30-40","&lt;30")))))))</f>
        <v>50-60</v>
      </c>
      <c r="AX114">
        <f t="shared" si="4"/>
        <v>22</v>
      </c>
      <c r="AY114">
        <f t="shared" si="5"/>
        <v>0.99999999999999978</v>
      </c>
      <c r="AZ114">
        <f t="shared" si="6"/>
        <v>5</v>
      </c>
      <c r="BA114">
        <f t="shared" si="7"/>
        <v>6</v>
      </c>
      <c r="BB114">
        <f>SUM(ifood_data[[#This Row],[Recency Score]:[Monetary Score]])</f>
        <v>12</v>
      </c>
      <c r="BC114">
        <f>(_xlfn.PERCENTRANK.INC(ifood_data[[#All],[RFM]],ifood_data[[#This Row],[RFM]],1))*10</f>
        <v>3</v>
      </c>
      <c r="BD114" t="str">
        <f>VLOOKUP(ifood_data[[#This Row],[RFM Score]],'RFM Analysis'!$A$3:$B$14,2,FALSE)</f>
        <v>At Risk</v>
      </c>
      <c r="BE114">
        <f>'Regression Models'!$B$101+'Regression Models'!$B$102*ifood_data[[#This Row],[Income]]+'Regression Models'!$B$103*ifood_data[[#This Row],[Age]]+'Regression Models'!$B$104*ifood_data[[#This Row],[Family]]</f>
        <v>1397.3448589252134</v>
      </c>
      <c r="BF114" t="str">
        <f>IF(ifood_data[[#This Row],[AcceptedCmpOverall]]=1,"Campaign Respondent","Non-respondent")</f>
        <v>Non-respondent</v>
      </c>
    </row>
    <row r="115" spans="1:58" x14ac:dyDescent="0.35">
      <c r="A115">
        <v>704</v>
      </c>
      <c r="B115">
        <v>83844</v>
      </c>
      <c r="C115">
        <v>0</v>
      </c>
      <c r="D115">
        <v>0</v>
      </c>
      <c r="E115">
        <v>57</v>
      </c>
      <c r="F115">
        <v>901</v>
      </c>
      <c r="G115">
        <v>31</v>
      </c>
      <c r="H115">
        <v>345</v>
      </c>
      <c r="I115">
        <v>75</v>
      </c>
      <c r="J115">
        <v>31</v>
      </c>
      <c r="K115">
        <v>191</v>
      </c>
      <c r="L115">
        <v>1</v>
      </c>
      <c r="M115">
        <v>4</v>
      </c>
      <c r="N115">
        <v>4</v>
      </c>
      <c r="O115">
        <v>11</v>
      </c>
      <c r="P115">
        <v>1</v>
      </c>
      <c r="Q115">
        <v>0</v>
      </c>
      <c r="R115">
        <v>0</v>
      </c>
      <c r="S115">
        <v>0</v>
      </c>
      <c r="T115">
        <v>0</v>
      </c>
      <c r="U115">
        <v>1</v>
      </c>
      <c r="V115">
        <f>IF(SUM(ifood_data[[#This Row],[AcceptedCmp1]:[AcceptedCmp5]])&gt;0,1,0)</f>
        <v>1</v>
      </c>
      <c r="W115">
        <v>0</v>
      </c>
      <c r="X115">
        <v>3</v>
      </c>
      <c r="Y115">
        <v>11</v>
      </c>
      <c r="Z115">
        <v>0</v>
      </c>
      <c r="AA115">
        <v>68</v>
      </c>
      <c r="AB115">
        <v>2572</v>
      </c>
      <c r="AC115" s="28">
        <f>ifood_data[[#This Row],[Customer_Days]]/365</f>
        <v>7.0465753424657533</v>
      </c>
      <c r="AD115">
        <v>0</v>
      </c>
      <c r="AE115">
        <v>0</v>
      </c>
      <c r="AF115">
        <v>0</v>
      </c>
      <c r="AG115">
        <v>1</v>
      </c>
      <c r="AH115">
        <v>0</v>
      </c>
      <c r="AI115">
        <v>0</v>
      </c>
      <c r="AJ115">
        <v>0</v>
      </c>
      <c r="AK115">
        <v>1</v>
      </c>
      <c r="AL115">
        <v>0</v>
      </c>
      <c r="AM115">
        <v>0</v>
      </c>
      <c r="AN115">
        <v>1383</v>
      </c>
      <c r="AO115">
        <v>1192</v>
      </c>
      <c r="AP115">
        <f>ifood_data[[#This Row],[MntTotal]]-ifood_data[[#This Row],[MntRegularProds]]</f>
        <v>191</v>
      </c>
      <c r="AQ115">
        <v>1</v>
      </c>
      <c r="AR115">
        <f>IF(SUM(ifood_data[[#This Row],[Kidhome]:[Teenhome]])&gt;0,1,0)</f>
        <v>0</v>
      </c>
      <c r="AS115" t="str">
        <f>IF(SUM(ifood_data[[#This Row],[Kidhome]:[Teenhome]])&gt;0,"Has Family","No Family")</f>
        <v>No Family</v>
      </c>
      <c r="AT115" t="str">
        <f>IF(ifood_data[[#This Row],[marital_Married]]=1,"Married", (IF(ifood_data[[#This Row],[marital_Single]]=1,"Single",(IF(ifood_data[[#This Row],[marital_Divorced]]=1,"Divorced",(IF(ifood_data[[#This Row],[marital_Together]]=1,"Living Together",(IF(ifood_data[[#This Row],[marital_Widow]]=1,"Widow","Other")))))))))</f>
        <v>Living Together</v>
      </c>
      <c r="AU115" t="str">
        <f>IF(ifood_data[[#This Row],[education_Basic]]=1,"High School",(IF(ifood_data[[#This Row],[education_Graduation]]=1,"Undergraduate Degree",(IF(SUM(AM115,AL115,AI115)&gt;0,"Master's Degree or Higher","Other")))))</f>
        <v>Undergraduate Degree</v>
      </c>
      <c r="AV115" t="str">
        <f>IF(ifood_data[[#All],[Income]]&gt;75000,"75K+",(IF(ifood_data[[#All],[Income]]&gt;50000,"50K-75K",(IF(ifood_data[[#All],[Income]]&gt;35000,"35K-50K","&lt;35K")))))</f>
        <v>75K+</v>
      </c>
      <c r="AW115" t="str">
        <f>IF(ifood_data[[#All],[Age]]&gt;60,"60+",(IF(ifood_data[[#All],[Age]]&gt;50,"50-60",(IF(ifood_data[[#All],[Age]]&gt;40,"40-50",(IF(ifood_data[[#All],[Age]]&gt;30,"30-40","&lt;30")))))))</f>
        <v>60+</v>
      </c>
      <c r="AX115">
        <f t="shared" si="4"/>
        <v>21</v>
      </c>
      <c r="AY115">
        <f t="shared" si="5"/>
        <v>5</v>
      </c>
      <c r="AZ115">
        <f t="shared" si="6"/>
        <v>5</v>
      </c>
      <c r="BA115">
        <f t="shared" si="7"/>
        <v>8</v>
      </c>
      <c r="BB115">
        <f>SUM(ifood_data[[#This Row],[Recency Score]:[Monetary Score]])</f>
        <v>18</v>
      </c>
      <c r="BC115">
        <f>(_xlfn.PERCENTRANK.INC(ifood_data[[#All],[RFM]],ifood_data[[#This Row],[RFM]],1))*10</f>
        <v>6</v>
      </c>
      <c r="BD115" t="str">
        <f>VLOOKUP(ifood_data[[#This Row],[RFM Score]],'RFM Analysis'!$A$3:$B$14,2,FALSE)</f>
        <v>Promising</v>
      </c>
      <c r="BE115">
        <f>'Regression Models'!$B$101+'Regression Models'!$B$102*ifood_data[[#This Row],[Income]]+'Regression Models'!$B$103*ifood_data[[#This Row],[Age]]+'Regression Models'!$B$104*ifood_data[[#This Row],[Family]]</f>
        <v>1396.7827626177807</v>
      </c>
      <c r="BF115" t="str">
        <f>IF(ifood_data[[#This Row],[AcceptedCmpOverall]]=1,"Campaign Respondent","Non-respondent")</f>
        <v>Campaign Respondent</v>
      </c>
    </row>
    <row r="116" spans="1:58" x14ac:dyDescent="0.35">
      <c r="A116">
        <v>838</v>
      </c>
      <c r="B116">
        <v>82072</v>
      </c>
      <c r="C116">
        <v>0</v>
      </c>
      <c r="D116">
        <v>0</v>
      </c>
      <c r="E116">
        <v>67</v>
      </c>
      <c r="F116">
        <v>889</v>
      </c>
      <c r="G116">
        <v>55</v>
      </c>
      <c r="H116">
        <v>685</v>
      </c>
      <c r="I116">
        <v>168</v>
      </c>
      <c r="J116">
        <v>92</v>
      </c>
      <c r="K116">
        <v>129</v>
      </c>
      <c r="L116">
        <v>1</v>
      </c>
      <c r="M116">
        <v>3</v>
      </c>
      <c r="N116">
        <v>2</v>
      </c>
      <c r="O116">
        <v>13</v>
      </c>
      <c r="P116">
        <v>1</v>
      </c>
      <c r="Q116">
        <v>0</v>
      </c>
      <c r="R116">
        <v>0</v>
      </c>
      <c r="S116">
        <v>0</v>
      </c>
      <c r="T116">
        <v>0</v>
      </c>
      <c r="U116">
        <v>0</v>
      </c>
      <c r="V116">
        <f>IF(SUM(ifood_data[[#This Row],[AcceptedCmp1]:[AcceptedCmp5]])&gt;0,1,0)</f>
        <v>0</v>
      </c>
      <c r="W116">
        <v>0</v>
      </c>
      <c r="X116">
        <v>3</v>
      </c>
      <c r="Y116">
        <v>11</v>
      </c>
      <c r="Z116">
        <v>0</v>
      </c>
      <c r="AA116">
        <v>50</v>
      </c>
      <c r="AB116">
        <v>2521</v>
      </c>
      <c r="AC116" s="28">
        <f>ifood_data[[#This Row],[Customer_Days]]/365</f>
        <v>6.9068493150684933</v>
      </c>
      <c r="AD116">
        <v>0</v>
      </c>
      <c r="AE116">
        <v>0</v>
      </c>
      <c r="AF116">
        <v>0</v>
      </c>
      <c r="AG116">
        <v>1</v>
      </c>
      <c r="AH116">
        <v>0</v>
      </c>
      <c r="AI116">
        <v>0</v>
      </c>
      <c r="AJ116">
        <v>0</v>
      </c>
      <c r="AK116">
        <v>0</v>
      </c>
      <c r="AL116">
        <v>0</v>
      </c>
      <c r="AM116">
        <v>1</v>
      </c>
      <c r="AN116">
        <v>1889</v>
      </c>
      <c r="AO116">
        <v>1760</v>
      </c>
      <c r="AP116">
        <f>ifood_data[[#This Row],[MntTotal]]-ifood_data[[#This Row],[MntRegularProds]]</f>
        <v>129</v>
      </c>
      <c r="AQ116">
        <v>0</v>
      </c>
      <c r="AR116">
        <f>IF(SUM(ifood_data[[#This Row],[Kidhome]:[Teenhome]])&gt;0,1,0)</f>
        <v>0</v>
      </c>
      <c r="AS116" t="str">
        <f>IF(SUM(ifood_data[[#This Row],[Kidhome]:[Teenhome]])&gt;0,"Has Family","No Family")</f>
        <v>No Family</v>
      </c>
      <c r="AT116" t="str">
        <f>IF(ifood_data[[#This Row],[marital_Married]]=1,"Married", (IF(ifood_data[[#This Row],[marital_Single]]=1,"Single",(IF(ifood_data[[#This Row],[marital_Divorced]]=1,"Divorced",(IF(ifood_data[[#This Row],[marital_Together]]=1,"Living Together",(IF(ifood_data[[#This Row],[marital_Widow]]=1,"Widow","Other")))))))))</f>
        <v>Living Together</v>
      </c>
      <c r="AU116" t="str">
        <f>IF(ifood_data[[#This Row],[education_Basic]]=1,"High School",(IF(ifood_data[[#This Row],[education_Graduation]]=1,"Undergraduate Degree",(IF(SUM(AM116,AL116,AI116)&gt;0,"Master's Degree or Higher","Other")))))</f>
        <v>Master's Degree or Higher</v>
      </c>
      <c r="AV116" t="str">
        <f>IF(ifood_data[[#All],[Income]]&gt;75000,"75K+",(IF(ifood_data[[#All],[Income]]&gt;50000,"50K-75K",(IF(ifood_data[[#All],[Income]]&gt;35000,"35K-50K","&lt;35K")))))</f>
        <v>75K+</v>
      </c>
      <c r="AW116" t="str">
        <f>IF(ifood_data[[#All],[Age]]&gt;60,"60+",(IF(ifood_data[[#All],[Age]]&gt;50,"50-60",(IF(ifood_data[[#All],[Age]]&gt;40,"40-50",(IF(ifood_data[[#All],[Age]]&gt;30,"30-40","&lt;30")))))))</f>
        <v>40-50</v>
      </c>
      <c r="AX116">
        <f t="shared" si="4"/>
        <v>20</v>
      </c>
      <c r="AY116">
        <f t="shared" si="5"/>
        <v>4</v>
      </c>
      <c r="AZ116">
        <f t="shared" si="6"/>
        <v>4</v>
      </c>
      <c r="BA116">
        <f t="shared" si="7"/>
        <v>9</v>
      </c>
      <c r="BB116">
        <f>SUM(ifood_data[[#This Row],[Recency Score]:[Monetary Score]])</f>
        <v>17</v>
      </c>
      <c r="BC116">
        <f>(_xlfn.PERCENTRANK.INC(ifood_data[[#All],[RFM]],ifood_data[[#This Row],[RFM]],1))*10</f>
        <v>6</v>
      </c>
      <c r="BD116" t="str">
        <f>VLOOKUP(ifood_data[[#This Row],[RFM Score]],'RFM Analysis'!$A$3:$B$14,2,FALSE)</f>
        <v>Promising</v>
      </c>
      <c r="BE116">
        <f>'Regression Models'!$B$101+'Regression Models'!$B$102*ifood_data[[#This Row],[Income]]+'Regression Models'!$B$103*ifood_data[[#This Row],[Age]]+'Regression Models'!$B$104*ifood_data[[#This Row],[Family]]</f>
        <v>1393.7097688868889</v>
      </c>
      <c r="BF116" t="str">
        <f>IF(ifood_data[[#This Row],[AcceptedCmpOverall]]=1,"Campaign Respondent","Non-respondent")</f>
        <v>Non-respondent</v>
      </c>
    </row>
    <row r="117" spans="1:58" x14ac:dyDescent="0.35">
      <c r="A117">
        <v>1594</v>
      </c>
      <c r="B117">
        <v>82427</v>
      </c>
      <c r="C117">
        <v>0</v>
      </c>
      <c r="D117">
        <v>0</v>
      </c>
      <c r="E117">
        <v>35</v>
      </c>
      <c r="F117">
        <v>482</v>
      </c>
      <c r="G117">
        <v>147</v>
      </c>
      <c r="H117">
        <v>509</v>
      </c>
      <c r="I117">
        <v>104</v>
      </c>
      <c r="J117">
        <v>107</v>
      </c>
      <c r="K117">
        <v>107</v>
      </c>
      <c r="L117">
        <v>1</v>
      </c>
      <c r="M117">
        <v>3</v>
      </c>
      <c r="N117">
        <v>5</v>
      </c>
      <c r="O117">
        <v>12</v>
      </c>
      <c r="P117">
        <v>1</v>
      </c>
      <c r="Q117">
        <v>0</v>
      </c>
      <c r="R117">
        <v>0</v>
      </c>
      <c r="S117">
        <v>0</v>
      </c>
      <c r="T117">
        <v>0</v>
      </c>
      <c r="U117">
        <v>1</v>
      </c>
      <c r="V117">
        <f>IF(SUM(ifood_data[[#This Row],[AcceptedCmp1]:[AcceptedCmp5]])&gt;0,1,0)</f>
        <v>1</v>
      </c>
      <c r="W117">
        <v>0</v>
      </c>
      <c r="X117">
        <v>3</v>
      </c>
      <c r="Y117">
        <v>11</v>
      </c>
      <c r="Z117">
        <v>0</v>
      </c>
      <c r="AA117">
        <v>54</v>
      </c>
      <c r="AB117">
        <v>2268</v>
      </c>
      <c r="AC117" s="28">
        <f>ifood_data[[#This Row],[Customer_Days]]/365</f>
        <v>6.2136986301369861</v>
      </c>
      <c r="AD117">
        <v>0</v>
      </c>
      <c r="AE117">
        <v>0</v>
      </c>
      <c r="AF117">
        <v>0</v>
      </c>
      <c r="AG117">
        <v>1</v>
      </c>
      <c r="AH117">
        <v>0</v>
      </c>
      <c r="AI117">
        <v>0</v>
      </c>
      <c r="AJ117">
        <v>0</v>
      </c>
      <c r="AK117">
        <v>1</v>
      </c>
      <c r="AL117">
        <v>0</v>
      </c>
      <c r="AM117">
        <v>0</v>
      </c>
      <c r="AN117">
        <v>1349</v>
      </c>
      <c r="AO117">
        <v>1242</v>
      </c>
      <c r="AP117">
        <f>ifood_data[[#This Row],[MntTotal]]-ifood_data[[#This Row],[MntRegularProds]]</f>
        <v>107</v>
      </c>
      <c r="AQ117">
        <v>1</v>
      </c>
      <c r="AR117">
        <f>IF(SUM(ifood_data[[#This Row],[Kidhome]:[Teenhome]])&gt;0,1,0)</f>
        <v>0</v>
      </c>
      <c r="AS117" t="str">
        <f>IF(SUM(ifood_data[[#This Row],[Kidhome]:[Teenhome]])&gt;0,"Has Family","No Family")</f>
        <v>No Family</v>
      </c>
      <c r="AT117" t="str">
        <f>IF(ifood_data[[#This Row],[marital_Married]]=1,"Married", (IF(ifood_data[[#This Row],[marital_Single]]=1,"Single",(IF(ifood_data[[#This Row],[marital_Divorced]]=1,"Divorced",(IF(ifood_data[[#This Row],[marital_Together]]=1,"Living Together",(IF(ifood_data[[#This Row],[marital_Widow]]=1,"Widow","Other")))))))))</f>
        <v>Living Together</v>
      </c>
      <c r="AU117" t="str">
        <f>IF(ifood_data[[#This Row],[education_Basic]]=1,"High School",(IF(ifood_data[[#This Row],[education_Graduation]]=1,"Undergraduate Degree",(IF(SUM(AM117,AL117,AI117)&gt;0,"Master's Degree or Higher","Other")))))</f>
        <v>Undergraduate Degree</v>
      </c>
      <c r="AV117" t="str">
        <f>IF(ifood_data[[#All],[Income]]&gt;75000,"75K+",(IF(ifood_data[[#All],[Income]]&gt;50000,"50K-75K",(IF(ifood_data[[#All],[Income]]&gt;35000,"35K-50K","&lt;35K")))))</f>
        <v>75K+</v>
      </c>
      <c r="AW117" t="str">
        <f>IF(ifood_data[[#All],[Age]]&gt;60,"60+",(IF(ifood_data[[#All],[Age]]&gt;50,"50-60",(IF(ifood_data[[#All],[Age]]&gt;40,"40-50",(IF(ifood_data[[#All],[Age]]&gt;30,"30-40","&lt;30")))))))</f>
        <v>50-60</v>
      </c>
      <c r="AX117">
        <f t="shared" si="4"/>
        <v>22</v>
      </c>
      <c r="AY117">
        <f t="shared" si="5"/>
        <v>7</v>
      </c>
      <c r="AZ117">
        <f t="shared" si="6"/>
        <v>5</v>
      </c>
      <c r="BA117">
        <f t="shared" si="7"/>
        <v>8</v>
      </c>
      <c r="BB117">
        <f>SUM(ifood_data[[#This Row],[Recency Score]:[Monetary Score]])</f>
        <v>20</v>
      </c>
      <c r="BC117">
        <f>(_xlfn.PERCENTRANK.INC(ifood_data[[#All],[RFM]],ifood_data[[#This Row],[RFM]],1))*10</f>
        <v>7</v>
      </c>
      <c r="BD117" t="str">
        <f>VLOOKUP(ifood_data[[#This Row],[RFM Score]],'RFM Analysis'!$A$3:$B$14,2,FALSE)</f>
        <v>Loyal Customer</v>
      </c>
      <c r="BE117">
        <f>'Regression Models'!$B$101+'Regression Models'!$B$102*ifood_data[[#This Row],[Income]]+'Regression Models'!$B$103*ifood_data[[#This Row],[Age]]+'Regression Models'!$B$104*ifood_data[[#This Row],[Family]]</f>
        <v>1393.6020252623962</v>
      </c>
      <c r="BF117" t="str">
        <f>IF(ifood_data[[#This Row],[AcceptedCmpOverall]]=1,"Campaign Respondent","Non-respondent")</f>
        <v>Campaign Respondent</v>
      </c>
    </row>
    <row r="118" spans="1:58" x14ac:dyDescent="0.35">
      <c r="A118">
        <v>164</v>
      </c>
      <c r="B118">
        <v>83837</v>
      </c>
      <c r="C118">
        <v>0</v>
      </c>
      <c r="D118">
        <v>0</v>
      </c>
      <c r="E118">
        <v>79</v>
      </c>
      <c r="F118">
        <v>847</v>
      </c>
      <c r="G118">
        <v>66</v>
      </c>
      <c r="H118">
        <v>119</v>
      </c>
      <c r="I118">
        <v>86</v>
      </c>
      <c r="J118">
        <v>89</v>
      </c>
      <c r="K118">
        <v>111</v>
      </c>
      <c r="L118">
        <v>1</v>
      </c>
      <c r="M118">
        <v>9</v>
      </c>
      <c r="N118">
        <v>10</v>
      </c>
      <c r="O118">
        <v>5</v>
      </c>
      <c r="P118">
        <v>4</v>
      </c>
      <c r="Q118">
        <v>1</v>
      </c>
      <c r="R118">
        <v>0</v>
      </c>
      <c r="S118">
        <v>0</v>
      </c>
      <c r="T118">
        <v>1</v>
      </c>
      <c r="U118">
        <v>0</v>
      </c>
      <c r="V118">
        <f>IF(SUM(ifood_data[[#This Row],[AcceptedCmp1]:[AcceptedCmp5]])&gt;0,1,0)</f>
        <v>1</v>
      </c>
      <c r="W118">
        <v>0</v>
      </c>
      <c r="X118">
        <v>3</v>
      </c>
      <c r="Y118">
        <v>11</v>
      </c>
      <c r="Z118">
        <v>1</v>
      </c>
      <c r="AA118">
        <v>72</v>
      </c>
      <c r="AB118">
        <v>2719</v>
      </c>
      <c r="AC118" s="28">
        <f>ifood_data[[#This Row],[Customer_Days]]/365</f>
        <v>7.4493150684931511</v>
      </c>
      <c r="AD118">
        <v>0</v>
      </c>
      <c r="AE118">
        <v>1</v>
      </c>
      <c r="AF118">
        <v>0</v>
      </c>
      <c r="AG118">
        <v>0</v>
      </c>
      <c r="AH118">
        <v>0</v>
      </c>
      <c r="AI118">
        <v>0</v>
      </c>
      <c r="AJ118">
        <v>0</v>
      </c>
      <c r="AK118">
        <v>0</v>
      </c>
      <c r="AL118">
        <v>0</v>
      </c>
      <c r="AM118">
        <v>1</v>
      </c>
      <c r="AN118">
        <v>1207</v>
      </c>
      <c r="AO118">
        <v>1096</v>
      </c>
      <c r="AP118">
        <f>ifood_data[[#This Row],[MntTotal]]-ifood_data[[#This Row],[MntRegularProds]]</f>
        <v>111</v>
      </c>
      <c r="AQ118">
        <v>2</v>
      </c>
      <c r="AR118">
        <f>IF(SUM(ifood_data[[#This Row],[Kidhome]:[Teenhome]])&gt;0,1,0)</f>
        <v>0</v>
      </c>
      <c r="AS118" t="str">
        <f>IF(SUM(ifood_data[[#This Row],[Kidhome]:[Teenhome]])&gt;0,"Has Family","No Family")</f>
        <v>No Family</v>
      </c>
      <c r="AT118" t="str">
        <f>IF(ifood_data[[#This Row],[marital_Married]]=1,"Married", (IF(ifood_data[[#This Row],[marital_Single]]=1,"Single",(IF(ifood_data[[#This Row],[marital_Divorced]]=1,"Divorced",(IF(ifood_data[[#This Row],[marital_Together]]=1,"Living Together",(IF(ifood_data[[#This Row],[marital_Widow]]=1,"Widow","Other")))))))))</f>
        <v>Married</v>
      </c>
      <c r="AU118" t="str">
        <f>IF(ifood_data[[#This Row],[education_Basic]]=1,"High School",(IF(ifood_data[[#This Row],[education_Graduation]]=1,"Undergraduate Degree",(IF(SUM(AM118,AL118,AI118)&gt;0,"Master's Degree or Higher","Other")))))</f>
        <v>Master's Degree or Higher</v>
      </c>
      <c r="AV118" t="str">
        <f>IF(ifood_data[[#All],[Income]]&gt;75000,"75K+",(IF(ifood_data[[#All],[Income]]&gt;50000,"50K-75K",(IF(ifood_data[[#All],[Income]]&gt;35000,"35K-50K","&lt;35K")))))</f>
        <v>75K+</v>
      </c>
      <c r="AW118" t="str">
        <f>IF(ifood_data[[#All],[Age]]&gt;60,"60+",(IF(ifood_data[[#All],[Age]]&gt;50,"50-60",(IF(ifood_data[[#All],[Age]]&gt;40,"40-50",(IF(ifood_data[[#All],[Age]]&gt;30,"30-40","&lt;30")))))))</f>
        <v>60+</v>
      </c>
      <c r="AX118">
        <f t="shared" si="4"/>
        <v>29</v>
      </c>
      <c r="AY118">
        <f t="shared" si="5"/>
        <v>3.0000000000000004</v>
      </c>
      <c r="AZ118">
        <f t="shared" si="6"/>
        <v>8</v>
      </c>
      <c r="BA118">
        <f t="shared" si="7"/>
        <v>8</v>
      </c>
      <c r="BB118">
        <f>SUM(ifood_data[[#This Row],[Recency Score]:[Monetary Score]])</f>
        <v>19</v>
      </c>
      <c r="BC118">
        <f>(_xlfn.PERCENTRANK.INC(ifood_data[[#All],[RFM]],ifood_data[[#This Row],[RFM]],1))*10</f>
        <v>7</v>
      </c>
      <c r="BD118" t="str">
        <f>VLOOKUP(ifood_data[[#This Row],[RFM Score]],'RFM Analysis'!$A$3:$B$14,2,FALSE)</f>
        <v>Loyal Customer</v>
      </c>
      <c r="BE118">
        <f>'Regression Models'!$B$101+'Regression Models'!$B$102*ifood_data[[#This Row],[Income]]+'Regression Models'!$B$103*ifood_data[[#This Row],[Age]]+'Regression Models'!$B$104*ifood_data[[#This Row],[Family]]</f>
        <v>1389.2942849251965</v>
      </c>
      <c r="BF118" t="str">
        <f>IF(ifood_data[[#This Row],[AcceptedCmpOverall]]=1,"Campaign Respondent","Non-respondent")</f>
        <v>Campaign Respondent</v>
      </c>
    </row>
    <row r="119" spans="1:58" x14ac:dyDescent="0.35">
      <c r="A119">
        <v>1586</v>
      </c>
      <c r="B119">
        <v>82571</v>
      </c>
      <c r="C119">
        <v>0</v>
      </c>
      <c r="D119">
        <v>0</v>
      </c>
      <c r="E119">
        <v>28</v>
      </c>
      <c r="F119">
        <v>861</v>
      </c>
      <c r="G119">
        <v>31</v>
      </c>
      <c r="H119">
        <v>558</v>
      </c>
      <c r="I119">
        <v>62</v>
      </c>
      <c r="J119">
        <v>95</v>
      </c>
      <c r="K119">
        <v>79</v>
      </c>
      <c r="L119">
        <v>0</v>
      </c>
      <c r="M119">
        <v>6</v>
      </c>
      <c r="N119">
        <v>5</v>
      </c>
      <c r="O119">
        <v>13</v>
      </c>
      <c r="P119">
        <v>2</v>
      </c>
      <c r="Q119">
        <v>0</v>
      </c>
      <c r="R119">
        <v>0</v>
      </c>
      <c r="S119">
        <v>0</v>
      </c>
      <c r="T119">
        <v>0</v>
      </c>
      <c r="U119">
        <v>1</v>
      </c>
      <c r="V119">
        <f>IF(SUM(ifood_data[[#This Row],[AcceptedCmp1]:[AcceptedCmp5]])&gt;0,1,0)</f>
        <v>1</v>
      </c>
      <c r="W119">
        <v>0</v>
      </c>
      <c r="X119">
        <v>3</v>
      </c>
      <c r="Y119">
        <v>11</v>
      </c>
      <c r="Z119">
        <v>0</v>
      </c>
      <c r="AA119">
        <v>58</v>
      </c>
      <c r="AB119">
        <v>2247</v>
      </c>
      <c r="AC119" s="28">
        <f>ifood_data[[#This Row],[Customer_Days]]/365</f>
        <v>6.1561643835616442</v>
      </c>
      <c r="AD119">
        <v>0</v>
      </c>
      <c r="AE119">
        <v>0</v>
      </c>
      <c r="AF119">
        <v>0</v>
      </c>
      <c r="AG119">
        <v>0</v>
      </c>
      <c r="AH119">
        <v>1</v>
      </c>
      <c r="AI119">
        <v>0</v>
      </c>
      <c r="AJ119">
        <v>0</v>
      </c>
      <c r="AK119">
        <v>0</v>
      </c>
      <c r="AL119">
        <v>0</v>
      </c>
      <c r="AM119">
        <v>1</v>
      </c>
      <c r="AN119">
        <v>1607</v>
      </c>
      <c r="AO119">
        <v>1528</v>
      </c>
      <c r="AP119">
        <f>ifood_data[[#This Row],[MntTotal]]-ifood_data[[#This Row],[MntRegularProds]]</f>
        <v>79</v>
      </c>
      <c r="AQ119">
        <v>1</v>
      </c>
      <c r="AR119">
        <f>IF(SUM(ifood_data[[#This Row],[Kidhome]:[Teenhome]])&gt;0,1,0)</f>
        <v>0</v>
      </c>
      <c r="AS119" t="str">
        <f>IF(SUM(ifood_data[[#This Row],[Kidhome]:[Teenhome]])&gt;0,"Has Family","No Family")</f>
        <v>No Family</v>
      </c>
      <c r="AT119" t="str">
        <f>IF(ifood_data[[#This Row],[marital_Married]]=1,"Married", (IF(ifood_data[[#This Row],[marital_Single]]=1,"Single",(IF(ifood_data[[#This Row],[marital_Divorced]]=1,"Divorced",(IF(ifood_data[[#This Row],[marital_Together]]=1,"Living Together",(IF(ifood_data[[#This Row],[marital_Widow]]=1,"Widow","Other")))))))))</f>
        <v>Widow</v>
      </c>
      <c r="AU119" t="str">
        <f>IF(ifood_data[[#This Row],[education_Basic]]=1,"High School",(IF(ifood_data[[#This Row],[education_Graduation]]=1,"Undergraduate Degree",(IF(SUM(AM119,AL119,AI119)&gt;0,"Master's Degree or Higher","Other")))))</f>
        <v>Master's Degree or Higher</v>
      </c>
      <c r="AV119" t="str">
        <f>IF(ifood_data[[#All],[Income]]&gt;75000,"75K+",(IF(ifood_data[[#All],[Income]]&gt;50000,"50K-75K",(IF(ifood_data[[#All],[Income]]&gt;35000,"35K-50K","&lt;35K")))))</f>
        <v>75K+</v>
      </c>
      <c r="AW119" t="str">
        <f>IF(ifood_data[[#All],[Age]]&gt;60,"60+",(IF(ifood_data[[#All],[Age]]&gt;50,"50-60",(IF(ifood_data[[#All],[Age]]&gt;40,"40-50",(IF(ifood_data[[#All],[Age]]&gt;30,"30-40","&lt;30")))))))</f>
        <v>50-60</v>
      </c>
      <c r="AX119">
        <f t="shared" si="4"/>
        <v>26</v>
      </c>
      <c r="AY119">
        <f t="shared" si="5"/>
        <v>8</v>
      </c>
      <c r="AZ119">
        <f t="shared" si="6"/>
        <v>7</v>
      </c>
      <c r="BA119">
        <f t="shared" si="7"/>
        <v>9</v>
      </c>
      <c r="BB119">
        <f>SUM(ifood_data[[#This Row],[Recency Score]:[Monetary Score]])</f>
        <v>24</v>
      </c>
      <c r="BC119">
        <f>(_xlfn.PERCENTRANK.INC(ifood_data[[#All],[RFM]],ifood_data[[#This Row],[RFM]],1))*10</f>
        <v>9</v>
      </c>
      <c r="BD119" t="str">
        <f>VLOOKUP(ifood_data[[#This Row],[RFM Score]],'RFM Analysis'!$A$3:$B$14,2,FALSE)</f>
        <v>Top Customer</v>
      </c>
      <c r="BE119">
        <f>'Regression Models'!$B$101+'Regression Models'!$B$102*ifood_data[[#This Row],[Income]]+'Regression Models'!$B$103*ifood_data[[#This Row],[Age]]+'Regression Models'!$B$104*ifood_data[[#This Row],[Family]]</f>
        <v>1389.1922515595406</v>
      </c>
      <c r="BF119" t="str">
        <f>IF(ifood_data[[#This Row],[AcceptedCmpOverall]]=1,"Campaign Respondent","Non-respondent")</f>
        <v>Campaign Respondent</v>
      </c>
    </row>
    <row r="120" spans="1:58" x14ac:dyDescent="0.35">
      <c r="A120">
        <v>203</v>
      </c>
      <c r="B120">
        <v>83790</v>
      </c>
      <c r="C120">
        <v>0</v>
      </c>
      <c r="D120">
        <v>0</v>
      </c>
      <c r="E120">
        <v>81</v>
      </c>
      <c r="F120">
        <v>1076</v>
      </c>
      <c r="G120">
        <v>16</v>
      </c>
      <c r="H120">
        <v>417</v>
      </c>
      <c r="I120">
        <v>42</v>
      </c>
      <c r="J120">
        <v>48</v>
      </c>
      <c r="K120">
        <v>16</v>
      </c>
      <c r="L120">
        <v>1</v>
      </c>
      <c r="M120">
        <v>8</v>
      </c>
      <c r="N120">
        <v>10</v>
      </c>
      <c r="O120">
        <v>6</v>
      </c>
      <c r="P120">
        <v>3</v>
      </c>
      <c r="Q120">
        <v>0</v>
      </c>
      <c r="R120">
        <v>0</v>
      </c>
      <c r="S120">
        <v>0</v>
      </c>
      <c r="T120">
        <v>1</v>
      </c>
      <c r="U120">
        <v>1</v>
      </c>
      <c r="V120">
        <f>IF(SUM(ifood_data[[#This Row],[AcceptedCmp1]:[AcceptedCmp5]])&gt;0,1,0)</f>
        <v>1</v>
      </c>
      <c r="W120">
        <v>0</v>
      </c>
      <c r="X120">
        <v>3</v>
      </c>
      <c r="Y120">
        <v>11</v>
      </c>
      <c r="Z120">
        <v>0</v>
      </c>
      <c r="AA120">
        <v>72</v>
      </c>
      <c r="AB120">
        <v>2385</v>
      </c>
      <c r="AC120" s="28">
        <f>ifood_data[[#This Row],[Customer_Days]]/365</f>
        <v>6.5342465753424657</v>
      </c>
      <c r="AD120">
        <v>0</v>
      </c>
      <c r="AE120">
        <v>1</v>
      </c>
      <c r="AF120">
        <v>0</v>
      </c>
      <c r="AG120">
        <v>0</v>
      </c>
      <c r="AH120">
        <v>0</v>
      </c>
      <c r="AI120">
        <v>0</v>
      </c>
      <c r="AJ120">
        <v>0</v>
      </c>
      <c r="AK120">
        <v>0</v>
      </c>
      <c r="AL120">
        <v>1</v>
      </c>
      <c r="AM120">
        <v>0</v>
      </c>
      <c r="AN120">
        <v>1599</v>
      </c>
      <c r="AO120">
        <v>1583</v>
      </c>
      <c r="AP120">
        <f>ifood_data[[#This Row],[MntTotal]]-ifood_data[[#This Row],[MntRegularProds]]</f>
        <v>16</v>
      </c>
      <c r="AQ120">
        <v>2</v>
      </c>
      <c r="AR120">
        <f>IF(SUM(ifood_data[[#This Row],[Kidhome]:[Teenhome]])&gt;0,1,0)</f>
        <v>0</v>
      </c>
      <c r="AS120" t="str">
        <f>IF(SUM(ifood_data[[#This Row],[Kidhome]:[Teenhome]])&gt;0,"Has Family","No Family")</f>
        <v>No Family</v>
      </c>
      <c r="AT120" t="str">
        <f>IF(ifood_data[[#This Row],[marital_Married]]=1,"Married", (IF(ifood_data[[#This Row],[marital_Single]]=1,"Single",(IF(ifood_data[[#This Row],[marital_Divorced]]=1,"Divorced",(IF(ifood_data[[#This Row],[marital_Together]]=1,"Living Together",(IF(ifood_data[[#This Row],[marital_Widow]]=1,"Widow","Other")))))))))</f>
        <v>Married</v>
      </c>
      <c r="AU120" t="str">
        <f>IF(ifood_data[[#This Row],[education_Basic]]=1,"High School",(IF(ifood_data[[#This Row],[education_Graduation]]=1,"Undergraduate Degree",(IF(SUM(AM120,AL120,AI120)&gt;0,"Master's Degree or Higher","Other")))))</f>
        <v>Master's Degree or Higher</v>
      </c>
      <c r="AV120" t="str">
        <f>IF(ifood_data[[#All],[Income]]&gt;75000,"75K+",(IF(ifood_data[[#All],[Income]]&gt;50000,"50K-75K",(IF(ifood_data[[#All],[Income]]&gt;35000,"35K-50K","&lt;35K")))))</f>
        <v>75K+</v>
      </c>
      <c r="AW120" t="str">
        <f>IF(ifood_data[[#All],[Age]]&gt;60,"60+",(IF(ifood_data[[#All],[Age]]&gt;50,"50-60",(IF(ifood_data[[#All],[Age]]&gt;40,"40-50",(IF(ifood_data[[#All],[Age]]&gt;30,"30-40","&lt;30")))))))</f>
        <v>60+</v>
      </c>
      <c r="AX120">
        <f t="shared" si="4"/>
        <v>28</v>
      </c>
      <c r="AY120">
        <f t="shared" si="5"/>
        <v>1.9999999999999996</v>
      </c>
      <c r="AZ120">
        <f t="shared" si="6"/>
        <v>8</v>
      </c>
      <c r="BA120">
        <f t="shared" si="7"/>
        <v>9</v>
      </c>
      <c r="BB120">
        <f>SUM(ifood_data[[#This Row],[Recency Score]:[Monetary Score]])</f>
        <v>19</v>
      </c>
      <c r="BC120">
        <f>(_xlfn.PERCENTRANK.INC(ifood_data[[#All],[RFM]],ifood_data[[#This Row],[RFM]],1))*10</f>
        <v>7</v>
      </c>
      <c r="BD120" t="str">
        <f>VLOOKUP(ifood_data[[#This Row],[RFM Score]],'RFM Analysis'!$A$3:$B$14,2,FALSE)</f>
        <v>Loyal Customer</v>
      </c>
      <c r="BE120">
        <f>'Regression Models'!$B$101+'Regression Models'!$B$102*ifood_data[[#This Row],[Income]]+'Regression Models'!$B$103*ifood_data[[#This Row],[Age]]+'Regression Models'!$B$104*ifood_data[[#This Row],[Family]]</f>
        <v>1388.3360128224333</v>
      </c>
      <c r="BF120" t="str">
        <f>IF(ifood_data[[#This Row],[AcceptedCmpOverall]]=1,"Campaign Respondent","Non-respondent")</f>
        <v>Campaign Respondent</v>
      </c>
    </row>
    <row r="121" spans="1:58" x14ac:dyDescent="0.35">
      <c r="A121">
        <v>703</v>
      </c>
      <c r="B121">
        <v>82224</v>
      </c>
      <c r="C121">
        <v>0</v>
      </c>
      <c r="D121">
        <v>0</v>
      </c>
      <c r="E121">
        <v>83</v>
      </c>
      <c r="F121">
        <v>307</v>
      </c>
      <c r="G121">
        <v>26</v>
      </c>
      <c r="H121">
        <v>360</v>
      </c>
      <c r="I121">
        <v>138</v>
      </c>
      <c r="J121">
        <v>31</v>
      </c>
      <c r="K121">
        <v>40</v>
      </c>
      <c r="L121">
        <v>1</v>
      </c>
      <c r="M121">
        <v>6</v>
      </c>
      <c r="N121">
        <v>9</v>
      </c>
      <c r="O121">
        <v>5</v>
      </c>
      <c r="P121">
        <v>3</v>
      </c>
      <c r="Q121">
        <v>1</v>
      </c>
      <c r="R121">
        <v>0</v>
      </c>
      <c r="S121">
        <v>0</v>
      </c>
      <c r="T121">
        <v>0</v>
      </c>
      <c r="U121">
        <v>0</v>
      </c>
      <c r="V121">
        <f>IF(SUM(ifood_data[[#This Row],[AcceptedCmp1]:[AcceptedCmp5]])&gt;0,1,0)</f>
        <v>1</v>
      </c>
      <c r="W121">
        <v>0</v>
      </c>
      <c r="X121">
        <v>3</v>
      </c>
      <c r="Y121">
        <v>11</v>
      </c>
      <c r="Z121">
        <v>0</v>
      </c>
      <c r="AA121">
        <v>56</v>
      </c>
      <c r="AB121">
        <v>2314</v>
      </c>
      <c r="AC121" s="28">
        <f>ifood_data[[#This Row],[Customer_Days]]/365</f>
        <v>6.3397260273972602</v>
      </c>
      <c r="AD121">
        <v>0</v>
      </c>
      <c r="AE121">
        <v>1</v>
      </c>
      <c r="AF121">
        <v>0</v>
      </c>
      <c r="AG121">
        <v>0</v>
      </c>
      <c r="AH121">
        <v>0</v>
      </c>
      <c r="AI121">
        <v>0</v>
      </c>
      <c r="AJ121">
        <v>0</v>
      </c>
      <c r="AK121">
        <v>1</v>
      </c>
      <c r="AL121">
        <v>0</v>
      </c>
      <c r="AM121">
        <v>0</v>
      </c>
      <c r="AN121">
        <v>862</v>
      </c>
      <c r="AO121">
        <v>822</v>
      </c>
      <c r="AP121">
        <f>ifood_data[[#This Row],[MntTotal]]-ifood_data[[#This Row],[MntRegularProds]]</f>
        <v>40</v>
      </c>
      <c r="AQ121">
        <v>1</v>
      </c>
      <c r="AR121">
        <f>IF(SUM(ifood_data[[#This Row],[Kidhome]:[Teenhome]])&gt;0,1,0)</f>
        <v>0</v>
      </c>
      <c r="AS121" t="str">
        <f>IF(SUM(ifood_data[[#This Row],[Kidhome]:[Teenhome]])&gt;0,"Has Family","No Family")</f>
        <v>No Family</v>
      </c>
      <c r="AT121" t="str">
        <f>IF(ifood_data[[#This Row],[marital_Married]]=1,"Married", (IF(ifood_data[[#This Row],[marital_Single]]=1,"Single",(IF(ifood_data[[#This Row],[marital_Divorced]]=1,"Divorced",(IF(ifood_data[[#This Row],[marital_Together]]=1,"Living Together",(IF(ifood_data[[#This Row],[marital_Widow]]=1,"Widow","Other")))))))))</f>
        <v>Married</v>
      </c>
      <c r="AU121" t="str">
        <f>IF(ifood_data[[#This Row],[education_Basic]]=1,"High School",(IF(ifood_data[[#This Row],[education_Graduation]]=1,"Undergraduate Degree",(IF(SUM(AM121,AL121,AI121)&gt;0,"Master's Degree or Higher","Other")))))</f>
        <v>Undergraduate Degree</v>
      </c>
      <c r="AV121" t="str">
        <f>IF(ifood_data[[#All],[Income]]&gt;75000,"75K+",(IF(ifood_data[[#All],[Income]]&gt;50000,"50K-75K",(IF(ifood_data[[#All],[Income]]&gt;35000,"35K-50K","&lt;35K")))))</f>
        <v>75K+</v>
      </c>
      <c r="AW121" t="str">
        <f>IF(ifood_data[[#All],[Age]]&gt;60,"60+",(IF(ifood_data[[#All],[Age]]&gt;50,"50-60",(IF(ifood_data[[#All],[Age]]&gt;40,"40-50",(IF(ifood_data[[#All],[Age]]&gt;30,"30-40","&lt;30")))))))</f>
        <v>50-60</v>
      </c>
      <c r="AX121">
        <f t="shared" si="4"/>
        <v>24</v>
      </c>
      <c r="AY121">
        <f t="shared" si="5"/>
        <v>1.9999999999999996</v>
      </c>
      <c r="AZ121">
        <f t="shared" si="6"/>
        <v>6</v>
      </c>
      <c r="BA121">
        <f t="shared" si="7"/>
        <v>7</v>
      </c>
      <c r="BB121">
        <f>SUM(ifood_data[[#This Row],[Recency Score]:[Monetary Score]])</f>
        <v>15</v>
      </c>
      <c r="BC121">
        <f>(_xlfn.PERCENTRANK.INC(ifood_data[[#All],[RFM]],ifood_data[[#This Row],[RFM]],1))*10</f>
        <v>4</v>
      </c>
      <c r="BD121" t="str">
        <f>VLOOKUP(ifood_data[[#This Row],[RFM Score]],'RFM Analysis'!$A$3:$B$14,2,FALSE)</f>
        <v>At Risk</v>
      </c>
      <c r="BE121">
        <f>'Regression Models'!$B$101+'Regression Models'!$B$102*ifood_data[[#This Row],[Income]]+'Regression Models'!$B$103*ifood_data[[#This Row],[Age]]+'Regression Models'!$B$104*ifood_data[[#This Row],[Family]]</f>
        <v>1385.7902271713961</v>
      </c>
      <c r="BF121" t="str">
        <f>IF(ifood_data[[#This Row],[AcceptedCmpOverall]]=1,"Campaign Respondent","Non-respondent")</f>
        <v>Campaign Respondent</v>
      </c>
    </row>
    <row r="122" spans="1:58" x14ac:dyDescent="0.35">
      <c r="A122">
        <v>489</v>
      </c>
      <c r="B122">
        <v>81169</v>
      </c>
      <c r="C122">
        <v>0</v>
      </c>
      <c r="D122">
        <v>0</v>
      </c>
      <c r="E122">
        <v>47</v>
      </c>
      <c r="F122">
        <v>1288</v>
      </c>
      <c r="G122">
        <v>20</v>
      </c>
      <c r="H122">
        <v>613</v>
      </c>
      <c r="I122">
        <v>80</v>
      </c>
      <c r="J122">
        <v>61</v>
      </c>
      <c r="K122">
        <v>27</v>
      </c>
      <c r="L122">
        <v>1</v>
      </c>
      <c r="M122">
        <v>5</v>
      </c>
      <c r="N122">
        <v>7</v>
      </c>
      <c r="O122">
        <v>9</v>
      </c>
      <c r="P122">
        <v>2</v>
      </c>
      <c r="Q122">
        <v>0</v>
      </c>
      <c r="R122">
        <v>0</v>
      </c>
      <c r="S122">
        <v>0</v>
      </c>
      <c r="T122">
        <v>0</v>
      </c>
      <c r="U122">
        <v>0</v>
      </c>
      <c r="V122">
        <f>IF(SUM(ifood_data[[#This Row],[AcceptedCmp1]:[AcceptedCmp5]])&gt;0,1,0)</f>
        <v>0</v>
      </c>
      <c r="W122">
        <v>0</v>
      </c>
      <c r="X122">
        <v>3</v>
      </c>
      <c r="Y122">
        <v>11</v>
      </c>
      <c r="Z122">
        <v>0</v>
      </c>
      <c r="AA122">
        <v>45</v>
      </c>
      <c r="AB122">
        <v>2600</v>
      </c>
      <c r="AC122" s="28">
        <f>ifood_data[[#This Row],[Customer_Days]]/365</f>
        <v>7.1232876712328768</v>
      </c>
      <c r="AD122">
        <v>0</v>
      </c>
      <c r="AE122">
        <v>0</v>
      </c>
      <c r="AF122">
        <v>1</v>
      </c>
      <c r="AG122">
        <v>0</v>
      </c>
      <c r="AH122">
        <v>0</v>
      </c>
      <c r="AI122">
        <v>0</v>
      </c>
      <c r="AJ122">
        <v>0</v>
      </c>
      <c r="AK122">
        <v>0</v>
      </c>
      <c r="AL122">
        <v>1</v>
      </c>
      <c r="AM122">
        <v>0</v>
      </c>
      <c r="AN122">
        <v>2062</v>
      </c>
      <c r="AO122">
        <v>2035</v>
      </c>
      <c r="AP122">
        <f>ifood_data[[#This Row],[MntTotal]]-ifood_data[[#This Row],[MntRegularProds]]</f>
        <v>27</v>
      </c>
      <c r="AQ122">
        <v>0</v>
      </c>
      <c r="AR122">
        <f>IF(SUM(ifood_data[[#This Row],[Kidhome]:[Teenhome]])&gt;0,1,0)</f>
        <v>0</v>
      </c>
      <c r="AS122" t="str">
        <f>IF(SUM(ifood_data[[#This Row],[Kidhome]:[Teenhome]])&gt;0,"Has Family","No Family")</f>
        <v>No Family</v>
      </c>
      <c r="AT122" t="str">
        <f>IF(ifood_data[[#This Row],[marital_Married]]=1,"Married", (IF(ifood_data[[#This Row],[marital_Single]]=1,"Single",(IF(ifood_data[[#This Row],[marital_Divorced]]=1,"Divorced",(IF(ifood_data[[#This Row],[marital_Together]]=1,"Living Together",(IF(ifood_data[[#This Row],[marital_Widow]]=1,"Widow","Other")))))))))</f>
        <v>Single</v>
      </c>
      <c r="AU122" t="str">
        <f>IF(ifood_data[[#This Row],[education_Basic]]=1,"High School",(IF(ifood_data[[#This Row],[education_Graduation]]=1,"Undergraduate Degree",(IF(SUM(AM122,AL122,AI122)&gt;0,"Master's Degree or Higher","Other")))))</f>
        <v>Master's Degree or Higher</v>
      </c>
      <c r="AV122" t="str">
        <f>IF(ifood_data[[#All],[Income]]&gt;75000,"75K+",(IF(ifood_data[[#All],[Income]]&gt;50000,"50K-75K",(IF(ifood_data[[#All],[Income]]&gt;35000,"35K-50K","&lt;35K")))))</f>
        <v>75K+</v>
      </c>
      <c r="AW122" t="str">
        <f>IF(ifood_data[[#All],[Age]]&gt;60,"60+",(IF(ifood_data[[#All],[Age]]&gt;50,"50-60",(IF(ifood_data[[#All],[Age]]&gt;40,"40-50",(IF(ifood_data[[#All],[Age]]&gt;30,"30-40","&lt;30")))))))</f>
        <v>40-50</v>
      </c>
      <c r="AX122">
        <f t="shared" si="4"/>
        <v>24</v>
      </c>
      <c r="AY122">
        <f t="shared" si="5"/>
        <v>6</v>
      </c>
      <c r="AZ122">
        <f t="shared" si="6"/>
        <v>6</v>
      </c>
      <c r="BA122">
        <f t="shared" si="7"/>
        <v>9</v>
      </c>
      <c r="BB122">
        <f>SUM(ifood_data[[#This Row],[Recency Score]:[Monetary Score]])</f>
        <v>21</v>
      </c>
      <c r="BC122">
        <f>(_xlfn.PERCENTRANK.INC(ifood_data[[#All],[RFM]],ifood_data[[#This Row],[RFM]],1))*10</f>
        <v>8</v>
      </c>
      <c r="BD122" t="str">
        <f>VLOOKUP(ifood_data[[#This Row],[RFM Score]],'RFM Analysis'!$A$3:$B$14,2,FALSE)</f>
        <v>Loyal Customer</v>
      </c>
      <c r="BE122">
        <f>'Regression Models'!$B$101+'Regression Models'!$B$102*ifood_data[[#This Row],[Income]]+'Regression Models'!$B$103*ifood_data[[#This Row],[Age]]+'Regression Models'!$B$104*ifood_data[[#This Row],[Family]]</f>
        <v>1384.4809066474199</v>
      </c>
      <c r="BF122" t="str">
        <f>IF(ifood_data[[#This Row],[AcceptedCmpOverall]]=1,"Campaign Respondent","Non-respondent")</f>
        <v>Non-respondent</v>
      </c>
    </row>
    <row r="123" spans="1:58" x14ac:dyDescent="0.35">
      <c r="A123">
        <v>799</v>
      </c>
      <c r="B123">
        <v>82504</v>
      </c>
      <c r="C123">
        <v>0</v>
      </c>
      <c r="D123">
        <v>0</v>
      </c>
      <c r="E123">
        <v>2</v>
      </c>
      <c r="F123">
        <v>362</v>
      </c>
      <c r="G123">
        <v>50</v>
      </c>
      <c r="H123">
        <v>431</v>
      </c>
      <c r="I123">
        <v>134</v>
      </c>
      <c r="J123">
        <v>35</v>
      </c>
      <c r="K123">
        <v>54</v>
      </c>
      <c r="L123">
        <v>1</v>
      </c>
      <c r="M123">
        <v>3</v>
      </c>
      <c r="N123">
        <v>6</v>
      </c>
      <c r="O123">
        <v>7</v>
      </c>
      <c r="P123">
        <v>1</v>
      </c>
      <c r="Q123">
        <v>0</v>
      </c>
      <c r="R123">
        <v>0</v>
      </c>
      <c r="S123">
        <v>0</v>
      </c>
      <c r="T123">
        <v>0</v>
      </c>
      <c r="U123">
        <v>0</v>
      </c>
      <c r="V123">
        <f>IF(SUM(ifood_data[[#This Row],[AcceptedCmp1]:[AcceptedCmp5]])&gt;0,1,0)</f>
        <v>0</v>
      </c>
      <c r="W123">
        <v>0</v>
      </c>
      <c r="X123">
        <v>3</v>
      </c>
      <c r="Y123">
        <v>11</v>
      </c>
      <c r="Z123">
        <v>0</v>
      </c>
      <c r="AA123">
        <v>60</v>
      </c>
      <c r="AB123">
        <v>2496</v>
      </c>
      <c r="AC123" s="28">
        <f>ifood_data[[#This Row],[Customer_Days]]/365</f>
        <v>6.838356164383562</v>
      </c>
      <c r="AD123">
        <v>0</v>
      </c>
      <c r="AE123">
        <v>1</v>
      </c>
      <c r="AF123">
        <v>0</v>
      </c>
      <c r="AG123">
        <v>0</v>
      </c>
      <c r="AH123">
        <v>0</v>
      </c>
      <c r="AI123">
        <v>1</v>
      </c>
      <c r="AJ123">
        <v>0</v>
      </c>
      <c r="AK123">
        <v>0</v>
      </c>
      <c r="AL123">
        <v>0</v>
      </c>
      <c r="AM123">
        <v>0</v>
      </c>
      <c r="AN123">
        <v>1012</v>
      </c>
      <c r="AO123">
        <v>958</v>
      </c>
      <c r="AP123">
        <f>ifood_data[[#This Row],[MntTotal]]-ifood_data[[#This Row],[MntRegularProds]]</f>
        <v>54</v>
      </c>
      <c r="AQ123">
        <v>0</v>
      </c>
      <c r="AR123">
        <f>IF(SUM(ifood_data[[#This Row],[Kidhome]:[Teenhome]])&gt;0,1,0)</f>
        <v>0</v>
      </c>
      <c r="AS123" t="str">
        <f>IF(SUM(ifood_data[[#This Row],[Kidhome]:[Teenhome]])&gt;0,"Has Family","No Family")</f>
        <v>No Family</v>
      </c>
      <c r="AT123" t="str">
        <f>IF(ifood_data[[#This Row],[marital_Married]]=1,"Married", (IF(ifood_data[[#This Row],[marital_Single]]=1,"Single",(IF(ifood_data[[#This Row],[marital_Divorced]]=1,"Divorced",(IF(ifood_data[[#This Row],[marital_Together]]=1,"Living Together",(IF(ifood_data[[#This Row],[marital_Widow]]=1,"Widow","Other")))))))))</f>
        <v>Married</v>
      </c>
      <c r="AU123" t="str">
        <f>IF(ifood_data[[#This Row],[education_Basic]]=1,"High School",(IF(ifood_data[[#This Row],[education_Graduation]]=1,"Undergraduate Degree",(IF(SUM(AM123,AL123,AI123)&gt;0,"Master's Degree or Higher","Other")))))</f>
        <v>Master's Degree or Higher</v>
      </c>
      <c r="AV123" t="str">
        <f>IF(ifood_data[[#All],[Income]]&gt;75000,"75K+",(IF(ifood_data[[#All],[Income]]&gt;50000,"50K-75K",(IF(ifood_data[[#All],[Income]]&gt;35000,"35K-50K","&lt;35K")))))</f>
        <v>75K+</v>
      </c>
      <c r="AW123" t="str">
        <f>IF(ifood_data[[#All],[Age]]&gt;60,"60+",(IF(ifood_data[[#All],[Age]]&gt;50,"50-60",(IF(ifood_data[[#All],[Age]]&gt;40,"40-50",(IF(ifood_data[[#All],[Age]]&gt;30,"30-40","&lt;30")))))))</f>
        <v>50-60</v>
      </c>
      <c r="AX123">
        <f t="shared" si="4"/>
        <v>18</v>
      </c>
      <c r="AY123">
        <f t="shared" si="5"/>
        <v>10</v>
      </c>
      <c r="AZ123">
        <f t="shared" si="6"/>
        <v>4</v>
      </c>
      <c r="BA123">
        <f t="shared" si="7"/>
        <v>7</v>
      </c>
      <c r="BB123">
        <f>SUM(ifood_data[[#This Row],[Recency Score]:[Monetary Score]])</f>
        <v>21</v>
      </c>
      <c r="BC123">
        <f>(_xlfn.PERCENTRANK.INC(ifood_data[[#All],[RFM]],ifood_data[[#This Row],[RFM]],1))*10</f>
        <v>8</v>
      </c>
      <c r="BD123" t="str">
        <f>VLOOKUP(ifood_data[[#This Row],[RFM Score]],'RFM Analysis'!$A$3:$B$14,2,FALSE)</f>
        <v>Loyal Customer</v>
      </c>
      <c r="BE123">
        <f>'Regression Models'!$B$101+'Regression Models'!$B$102*ifood_data[[#This Row],[Income]]+'Regression Models'!$B$103*ifood_data[[#This Row],[Age]]+'Regression Models'!$B$104*ifood_data[[#This Row],[Family]]</f>
        <v>1384.1533259361108</v>
      </c>
      <c r="BF123" t="str">
        <f>IF(ifood_data[[#This Row],[AcceptedCmpOverall]]=1,"Campaign Respondent","Non-respondent")</f>
        <v>Non-respondent</v>
      </c>
    </row>
    <row r="124" spans="1:58" x14ac:dyDescent="0.35">
      <c r="A124">
        <v>925</v>
      </c>
      <c r="B124">
        <v>82576</v>
      </c>
      <c r="C124">
        <v>0</v>
      </c>
      <c r="D124">
        <v>0</v>
      </c>
      <c r="E124">
        <v>66</v>
      </c>
      <c r="F124">
        <v>1206</v>
      </c>
      <c r="G124">
        <v>55</v>
      </c>
      <c r="H124">
        <v>445</v>
      </c>
      <c r="I124">
        <v>168</v>
      </c>
      <c r="J124">
        <v>18</v>
      </c>
      <c r="K124">
        <v>18</v>
      </c>
      <c r="L124">
        <v>1</v>
      </c>
      <c r="M124">
        <v>2</v>
      </c>
      <c r="N124">
        <v>4</v>
      </c>
      <c r="O124">
        <v>12</v>
      </c>
      <c r="P124">
        <v>1</v>
      </c>
      <c r="Q124">
        <v>0</v>
      </c>
      <c r="R124">
        <v>0</v>
      </c>
      <c r="S124">
        <v>0</v>
      </c>
      <c r="T124">
        <v>0</v>
      </c>
      <c r="U124">
        <v>1</v>
      </c>
      <c r="V124">
        <f>IF(SUM(ifood_data[[#This Row],[AcceptedCmp1]:[AcceptedCmp5]])&gt;0,1,0)</f>
        <v>1</v>
      </c>
      <c r="W124">
        <v>0</v>
      </c>
      <c r="X124">
        <v>3</v>
      </c>
      <c r="Y124">
        <v>11</v>
      </c>
      <c r="Z124">
        <v>0</v>
      </c>
      <c r="AA124">
        <v>61</v>
      </c>
      <c r="AB124">
        <v>2856</v>
      </c>
      <c r="AC124" s="28">
        <f>ifood_data[[#This Row],[Customer_Days]]/365</f>
        <v>7.8246575342465752</v>
      </c>
      <c r="AD124">
        <v>0</v>
      </c>
      <c r="AE124">
        <v>0</v>
      </c>
      <c r="AF124">
        <v>0</v>
      </c>
      <c r="AG124">
        <v>1</v>
      </c>
      <c r="AH124">
        <v>0</v>
      </c>
      <c r="AI124">
        <v>0</v>
      </c>
      <c r="AJ124">
        <v>0</v>
      </c>
      <c r="AK124">
        <v>0</v>
      </c>
      <c r="AL124">
        <v>1</v>
      </c>
      <c r="AM124">
        <v>0</v>
      </c>
      <c r="AN124">
        <v>1892</v>
      </c>
      <c r="AO124">
        <v>1874</v>
      </c>
      <c r="AP124">
        <f>ifood_data[[#This Row],[MntTotal]]-ifood_data[[#This Row],[MntRegularProds]]</f>
        <v>18</v>
      </c>
      <c r="AQ124">
        <v>1</v>
      </c>
      <c r="AR124">
        <f>IF(SUM(ifood_data[[#This Row],[Kidhome]:[Teenhome]])&gt;0,1,0)</f>
        <v>0</v>
      </c>
      <c r="AS124" t="str">
        <f>IF(SUM(ifood_data[[#This Row],[Kidhome]:[Teenhome]])&gt;0,"Has Family","No Family")</f>
        <v>No Family</v>
      </c>
      <c r="AT124" t="str">
        <f>IF(ifood_data[[#This Row],[marital_Married]]=1,"Married", (IF(ifood_data[[#This Row],[marital_Single]]=1,"Single",(IF(ifood_data[[#This Row],[marital_Divorced]]=1,"Divorced",(IF(ifood_data[[#This Row],[marital_Together]]=1,"Living Together",(IF(ifood_data[[#This Row],[marital_Widow]]=1,"Widow","Other")))))))))</f>
        <v>Living Together</v>
      </c>
      <c r="AU124" t="str">
        <f>IF(ifood_data[[#This Row],[education_Basic]]=1,"High School",(IF(ifood_data[[#This Row],[education_Graduation]]=1,"Undergraduate Degree",(IF(SUM(AM124,AL124,AI124)&gt;0,"Master's Degree or Higher","Other")))))</f>
        <v>Master's Degree or Higher</v>
      </c>
      <c r="AV124" t="str">
        <f>IF(ifood_data[[#All],[Income]]&gt;75000,"75K+",(IF(ifood_data[[#All],[Income]]&gt;50000,"50K-75K",(IF(ifood_data[[#All],[Income]]&gt;35000,"35K-50K","&lt;35K")))))</f>
        <v>75K+</v>
      </c>
      <c r="AW124" t="str">
        <f>IF(ifood_data[[#All],[Age]]&gt;60,"60+",(IF(ifood_data[[#All],[Age]]&gt;50,"50-60",(IF(ifood_data[[#All],[Age]]&gt;40,"40-50",(IF(ifood_data[[#All],[Age]]&gt;30,"30-40","&lt;30")))))))</f>
        <v>60+</v>
      </c>
      <c r="AX124">
        <f t="shared" si="4"/>
        <v>20</v>
      </c>
      <c r="AY124">
        <f t="shared" si="5"/>
        <v>4</v>
      </c>
      <c r="AZ124">
        <f t="shared" si="6"/>
        <v>4</v>
      </c>
      <c r="BA124">
        <f t="shared" si="7"/>
        <v>9</v>
      </c>
      <c r="BB124">
        <f>SUM(ifood_data[[#This Row],[Recency Score]:[Monetary Score]])</f>
        <v>17</v>
      </c>
      <c r="BC124">
        <f>(_xlfn.PERCENTRANK.INC(ifood_data[[#All],[RFM]],ifood_data[[#This Row],[RFM]],1))*10</f>
        <v>6</v>
      </c>
      <c r="BD124" t="str">
        <f>VLOOKUP(ifood_data[[#This Row],[RFM Score]],'RFM Analysis'!$A$3:$B$14,2,FALSE)</f>
        <v>Promising</v>
      </c>
      <c r="BE124">
        <f>'Regression Models'!$B$101+'Regression Models'!$B$102*ifood_data[[#This Row],[Income]]+'Regression Models'!$B$103*ifood_data[[#This Row],[Age]]+'Regression Models'!$B$104*ifood_data[[#This Row],[Family]]</f>
        <v>1383.7848781635769</v>
      </c>
      <c r="BF124" t="str">
        <f>IF(ifood_data[[#This Row],[AcceptedCmpOverall]]=1,"Campaign Respondent","Non-respondent")</f>
        <v>Campaign Respondent</v>
      </c>
    </row>
    <row r="125" spans="1:58" x14ac:dyDescent="0.35">
      <c r="A125">
        <v>1538</v>
      </c>
      <c r="B125">
        <v>80141</v>
      </c>
      <c r="C125">
        <v>0</v>
      </c>
      <c r="D125">
        <v>0</v>
      </c>
      <c r="E125">
        <v>20</v>
      </c>
      <c r="F125">
        <v>1184</v>
      </c>
      <c r="G125">
        <v>102</v>
      </c>
      <c r="H125">
        <v>673</v>
      </c>
      <c r="I125">
        <v>52</v>
      </c>
      <c r="J125">
        <v>40</v>
      </c>
      <c r="K125">
        <v>40</v>
      </c>
      <c r="L125">
        <v>1</v>
      </c>
      <c r="M125">
        <v>7</v>
      </c>
      <c r="N125">
        <v>4</v>
      </c>
      <c r="O125">
        <v>10</v>
      </c>
      <c r="P125">
        <v>6</v>
      </c>
      <c r="Q125">
        <v>0</v>
      </c>
      <c r="R125">
        <v>0</v>
      </c>
      <c r="S125">
        <v>0</v>
      </c>
      <c r="T125">
        <v>0</v>
      </c>
      <c r="U125">
        <v>1</v>
      </c>
      <c r="V125">
        <f>IF(SUM(ifood_data[[#This Row],[AcceptedCmp1]:[AcceptedCmp5]])&gt;0,1,0)</f>
        <v>1</v>
      </c>
      <c r="W125">
        <v>0</v>
      </c>
      <c r="X125">
        <v>3</v>
      </c>
      <c r="Y125">
        <v>11</v>
      </c>
      <c r="Z125">
        <v>1</v>
      </c>
      <c r="AA125">
        <v>34</v>
      </c>
      <c r="AB125">
        <v>2693</v>
      </c>
      <c r="AC125" s="28">
        <f>ifood_data[[#This Row],[Customer_Days]]/365</f>
        <v>7.3780821917808215</v>
      </c>
      <c r="AD125">
        <v>0</v>
      </c>
      <c r="AE125">
        <v>1</v>
      </c>
      <c r="AF125">
        <v>0</v>
      </c>
      <c r="AG125">
        <v>0</v>
      </c>
      <c r="AH125">
        <v>0</v>
      </c>
      <c r="AI125">
        <v>0</v>
      </c>
      <c r="AJ125">
        <v>0</v>
      </c>
      <c r="AK125">
        <v>0</v>
      </c>
      <c r="AL125">
        <v>1</v>
      </c>
      <c r="AM125">
        <v>0</v>
      </c>
      <c r="AN125">
        <v>2051</v>
      </c>
      <c r="AO125">
        <v>2011</v>
      </c>
      <c r="AP125">
        <f>ifood_data[[#This Row],[MntTotal]]-ifood_data[[#This Row],[MntRegularProds]]</f>
        <v>40</v>
      </c>
      <c r="AQ125">
        <v>1</v>
      </c>
      <c r="AR125">
        <f>IF(SUM(ifood_data[[#This Row],[Kidhome]:[Teenhome]])&gt;0,1,0)</f>
        <v>0</v>
      </c>
      <c r="AS125" t="str">
        <f>IF(SUM(ifood_data[[#This Row],[Kidhome]:[Teenhome]])&gt;0,"Has Family","No Family")</f>
        <v>No Family</v>
      </c>
      <c r="AT125" t="str">
        <f>IF(ifood_data[[#This Row],[marital_Married]]=1,"Married", (IF(ifood_data[[#This Row],[marital_Single]]=1,"Single",(IF(ifood_data[[#This Row],[marital_Divorced]]=1,"Divorced",(IF(ifood_data[[#This Row],[marital_Together]]=1,"Living Together",(IF(ifood_data[[#This Row],[marital_Widow]]=1,"Widow","Other")))))))))</f>
        <v>Married</v>
      </c>
      <c r="AU125" t="str">
        <f>IF(ifood_data[[#This Row],[education_Basic]]=1,"High School",(IF(ifood_data[[#This Row],[education_Graduation]]=1,"Undergraduate Degree",(IF(SUM(AM125,AL125,AI125)&gt;0,"Master's Degree or Higher","Other")))))</f>
        <v>Master's Degree or Higher</v>
      </c>
      <c r="AV125" t="str">
        <f>IF(ifood_data[[#All],[Income]]&gt;75000,"75K+",(IF(ifood_data[[#All],[Income]]&gt;50000,"50K-75K",(IF(ifood_data[[#All],[Income]]&gt;35000,"35K-50K","&lt;35K")))))</f>
        <v>75K+</v>
      </c>
      <c r="AW125" t="str">
        <f>IF(ifood_data[[#All],[Age]]&gt;60,"60+",(IF(ifood_data[[#All],[Age]]&gt;50,"50-60",(IF(ifood_data[[#All],[Age]]&gt;40,"40-50",(IF(ifood_data[[#All],[Age]]&gt;30,"30-40","&lt;30")))))))</f>
        <v>30-40</v>
      </c>
      <c r="AX125">
        <f t="shared" si="4"/>
        <v>28</v>
      </c>
      <c r="AY125">
        <f t="shared" si="5"/>
        <v>8</v>
      </c>
      <c r="AZ125">
        <f t="shared" si="6"/>
        <v>8</v>
      </c>
      <c r="BA125">
        <f t="shared" si="7"/>
        <v>9</v>
      </c>
      <c r="BB125">
        <f>SUM(ifood_data[[#This Row],[Recency Score]:[Monetary Score]])</f>
        <v>25</v>
      </c>
      <c r="BC125">
        <f>(_xlfn.PERCENTRANK.INC(ifood_data[[#All],[RFM]],ifood_data[[#This Row],[RFM]],1))*10</f>
        <v>9</v>
      </c>
      <c r="BD125" t="str">
        <f>VLOOKUP(ifood_data[[#This Row],[RFM Score]],'RFM Analysis'!$A$3:$B$14,2,FALSE)</f>
        <v>Top Customer</v>
      </c>
      <c r="BE125">
        <f>'Regression Models'!$B$101+'Regression Models'!$B$102*ifood_data[[#This Row],[Income]]+'Regression Models'!$B$103*ifood_data[[#This Row],[Age]]+'Regression Models'!$B$104*ifood_data[[#This Row],[Family]]</f>
        <v>1383.7220828633285</v>
      </c>
      <c r="BF125" t="str">
        <f>IF(ifood_data[[#This Row],[AcceptedCmpOverall]]=1,"Campaign Respondent","Non-respondent")</f>
        <v>Campaign Respondent</v>
      </c>
    </row>
    <row r="126" spans="1:58" x14ac:dyDescent="0.35">
      <c r="A126">
        <v>1104</v>
      </c>
      <c r="B126">
        <v>81657</v>
      </c>
      <c r="C126">
        <v>0</v>
      </c>
      <c r="D126">
        <v>0</v>
      </c>
      <c r="E126">
        <v>69</v>
      </c>
      <c r="F126">
        <v>364</v>
      </c>
      <c r="G126">
        <v>40</v>
      </c>
      <c r="H126">
        <v>425</v>
      </c>
      <c r="I126">
        <v>158</v>
      </c>
      <c r="J126">
        <v>60</v>
      </c>
      <c r="K126">
        <v>50</v>
      </c>
      <c r="L126">
        <v>1</v>
      </c>
      <c r="M126">
        <v>3</v>
      </c>
      <c r="N126">
        <v>4</v>
      </c>
      <c r="O126">
        <v>8</v>
      </c>
      <c r="P126">
        <v>1</v>
      </c>
      <c r="Q126">
        <v>0</v>
      </c>
      <c r="R126">
        <v>0</v>
      </c>
      <c r="S126">
        <v>0</v>
      </c>
      <c r="T126">
        <v>0</v>
      </c>
      <c r="U126">
        <v>0</v>
      </c>
      <c r="V126">
        <f>IF(SUM(ifood_data[[#This Row],[AcceptedCmp1]:[AcceptedCmp5]])&gt;0,1,0)</f>
        <v>0</v>
      </c>
      <c r="W126">
        <v>0</v>
      </c>
      <c r="X126">
        <v>3</v>
      </c>
      <c r="Y126">
        <v>11</v>
      </c>
      <c r="Z126">
        <v>0</v>
      </c>
      <c r="AA126">
        <v>51</v>
      </c>
      <c r="AB126">
        <v>2317</v>
      </c>
      <c r="AC126" s="28">
        <f>ifood_data[[#This Row],[Customer_Days]]/365</f>
        <v>6.3479452054794523</v>
      </c>
      <c r="AD126">
        <v>0</v>
      </c>
      <c r="AE126">
        <v>0</v>
      </c>
      <c r="AF126">
        <v>1</v>
      </c>
      <c r="AG126">
        <v>0</v>
      </c>
      <c r="AH126">
        <v>0</v>
      </c>
      <c r="AI126">
        <v>0</v>
      </c>
      <c r="AJ126">
        <v>0</v>
      </c>
      <c r="AK126">
        <v>1</v>
      </c>
      <c r="AL126">
        <v>0</v>
      </c>
      <c r="AM126">
        <v>0</v>
      </c>
      <c r="AN126">
        <v>1047</v>
      </c>
      <c r="AO126">
        <v>997</v>
      </c>
      <c r="AP126">
        <f>ifood_data[[#This Row],[MntTotal]]-ifood_data[[#This Row],[MntRegularProds]]</f>
        <v>50</v>
      </c>
      <c r="AQ126">
        <v>0</v>
      </c>
      <c r="AR126">
        <f>IF(SUM(ifood_data[[#This Row],[Kidhome]:[Teenhome]])&gt;0,1,0)</f>
        <v>0</v>
      </c>
      <c r="AS126" t="str">
        <f>IF(SUM(ifood_data[[#This Row],[Kidhome]:[Teenhome]])&gt;0,"Has Family","No Family")</f>
        <v>No Family</v>
      </c>
      <c r="AT126" t="str">
        <f>IF(ifood_data[[#This Row],[marital_Married]]=1,"Married", (IF(ifood_data[[#This Row],[marital_Single]]=1,"Single",(IF(ifood_data[[#This Row],[marital_Divorced]]=1,"Divorced",(IF(ifood_data[[#This Row],[marital_Together]]=1,"Living Together",(IF(ifood_data[[#This Row],[marital_Widow]]=1,"Widow","Other")))))))))</f>
        <v>Single</v>
      </c>
      <c r="AU126" t="str">
        <f>IF(ifood_data[[#This Row],[education_Basic]]=1,"High School",(IF(ifood_data[[#This Row],[education_Graduation]]=1,"Undergraduate Degree",(IF(SUM(AM126,AL126,AI126)&gt;0,"Master's Degree or Higher","Other")))))</f>
        <v>Undergraduate Degree</v>
      </c>
      <c r="AV126" t="str">
        <f>IF(ifood_data[[#All],[Income]]&gt;75000,"75K+",(IF(ifood_data[[#All],[Income]]&gt;50000,"50K-75K",(IF(ifood_data[[#All],[Income]]&gt;35000,"35K-50K","&lt;35K")))))</f>
        <v>75K+</v>
      </c>
      <c r="AW126" t="str">
        <f>IF(ifood_data[[#All],[Age]]&gt;60,"60+",(IF(ifood_data[[#All],[Age]]&gt;50,"50-60",(IF(ifood_data[[#All],[Age]]&gt;40,"40-50",(IF(ifood_data[[#All],[Age]]&gt;30,"30-40","&lt;30")))))))</f>
        <v>50-60</v>
      </c>
      <c r="AX126">
        <f t="shared" si="4"/>
        <v>17</v>
      </c>
      <c r="AY126">
        <f t="shared" si="5"/>
        <v>4</v>
      </c>
      <c r="AZ126">
        <f t="shared" si="6"/>
        <v>3</v>
      </c>
      <c r="BA126">
        <f t="shared" si="7"/>
        <v>7</v>
      </c>
      <c r="BB126">
        <f>SUM(ifood_data[[#This Row],[Recency Score]:[Monetary Score]])</f>
        <v>14</v>
      </c>
      <c r="BC126">
        <f>(_xlfn.PERCENTRANK.INC(ifood_data[[#All],[RFM]],ifood_data[[#This Row],[RFM]],1))*10</f>
        <v>4</v>
      </c>
      <c r="BD126" t="str">
        <f>VLOOKUP(ifood_data[[#This Row],[RFM Score]],'RFM Analysis'!$A$3:$B$14,2,FALSE)</f>
        <v>At Risk</v>
      </c>
      <c r="BE126">
        <f>'Regression Models'!$B$101+'Regression Models'!$B$102*ifood_data[[#This Row],[Income]]+'Regression Models'!$B$103*ifood_data[[#This Row],[Age]]+'Regression Models'!$B$104*ifood_data[[#This Row],[Family]]</f>
        <v>1383.4119910282766</v>
      </c>
      <c r="BF126" t="str">
        <f>IF(ifood_data[[#This Row],[AcceptedCmpOverall]]=1,"Campaign Respondent","Non-respondent")</f>
        <v>Non-respondent</v>
      </c>
    </row>
    <row r="127" spans="1:58" x14ac:dyDescent="0.35">
      <c r="A127">
        <v>1912</v>
      </c>
      <c r="B127">
        <v>82332</v>
      </c>
      <c r="C127">
        <v>0</v>
      </c>
      <c r="D127">
        <v>0</v>
      </c>
      <c r="E127">
        <v>89</v>
      </c>
      <c r="F127">
        <v>830</v>
      </c>
      <c r="G127">
        <v>59</v>
      </c>
      <c r="H127">
        <v>968</v>
      </c>
      <c r="I127">
        <v>51</v>
      </c>
      <c r="J127">
        <v>79</v>
      </c>
      <c r="K127">
        <v>19</v>
      </c>
      <c r="L127">
        <v>1</v>
      </c>
      <c r="M127">
        <v>5</v>
      </c>
      <c r="N127">
        <v>3</v>
      </c>
      <c r="O127">
        <v>12</v>
      </c>
      <c r="P127">
        <v>2</v>
      </c>
      <c r="Q127">
        <v>0</v>
      </c>
      <c r="R127">
        <v>0</v>
      </c>
      <c r="S127">
        <v>0</v>
      </c>
      <c r="T127">
        <v>0</v>
      </c>
      <c r="U127">
        <v>1</v>
      </c>
      <c r="V127">
        <f>IF(SUM(ifood_data[[#This Row],[AcceptedCmp1]:[AcceptedCmp5]])&gt;0,1,0)</f>
        <v>1</v>
      </c>
      <c r="W127">
        <v>0</v>
      </c>
      <c r="X127">
        <v>3</v>
      </c>
      <c r="Y127">
        <v>11</v>
      </c>
      <c r="Z127">
        <v>1</v>
      </c>
      <c r="AA127">
        <v>59</v>
      </c>
      <c r="AB127">
        <v>2809</v>
      </c>
      <c r="AC127" s="28">
        <f>ifood_data[[#This Row],[Customer_Days]]/365</f>
        <v>7.6958904109589037</v>
      </c>
      <c r="AD127">
        <v>0</v>
      </c>
      <c r="AE127">
        <v>0</v>
      </c>
      <c r="AF127">
        <v>1</v>
      </c>
      <c r="AG127">
        <v>0</v>
      </c>
      <c r="AH127">
        <v>0</v>
      </c>
      <c r="AI127">
        <v>0</v>
      </c>
      <c r="AJ127">
        <v>0</v>
      </c>
      <c r="AK127">
        <v>1</v>
      </c>
      <c r="AL127">
        <v>0</v>
      </c>
      <c r="AM127">
        <v>0</v>
      </c>
      <c r="AN127">
        <v>1987</v>
      </c>
      <c r="AO127">
        <v>1968</v>
      </c>
      <c r="AP127">
        <f>ifood_data[[#This Row],[MntTotal]]-ifood_data[[#This Row],[MntRegularProds]]</f>
        <v>19</v>
      </c>
      <c r="AQ127">
        <v>1</v>
      </c>
      <c r="AR127">
        <f>IF(SUM(ifood_data[[#This Row],[Kidhome]:[Teenhome]])&gt;0,1,0)</f>
        <v>0</v>
      </c>
      <c r="AS127" t="str">
        <f>IF(SUM(ifood_data[[#This Row],[Kidhome]:[Teenhome]])&gt;0,"Has Family","No Family")</f>
        <v>No Family</v>
      </c>
      <c r="AT127" t="str">
        <f>IF(ifood_data[[#This Row],[marital_Married]]=1,"Married", (IF(ifood_data[[#This Row],[marital_Single]]=1,"Single",(IF(ifood_data[[#This Row],[marital_Divorced]]=1,"Divorced",(IF(ifood_data[[#This Row],[marital_Together]]=1,"Living Together",(IF(ifood_data[[#This Row],[marital_Widow]]=1,"Widow","Other")))))))))</f>
        <v>Single</v>
      </c>
      <c r="AU127" t="str">
        <f>IF(ifood_data[[#This Row],[education_Basic]]=1,"High School",(IF(ifood_data[[#This Row],[education_Graduation]]=1,"Undergraduate Degree",(IF(SUM(AM127,AL127,AI127)&gt;0,"Master's Degree or Higher","Other")))))</f>
        <v>Undergraduate Degree</v>
      </c>
      <c r="AV127" t="str">
        <f>IF(ifood_data[[#All],[Income]]&gt;75000,"75K+",(IF(ifood_data[[#All],[Income]]&gt;50000,"50K-75K",(IF(ifood_data[[#All],[Income]]&gt;35000,"35K-50K","&lt;35K")))))</f>
        <v>75K+</v>
      </c>
      <c r="AW127" t="str">
        <f>IF(ifood_data[[#All],[Age]]&gt;60,"60+",(IF(ifood_data[[#All],[Age]]&gt;50,"50-60",(IF(ifood_data[[#All],[Age]]&gt;40,"40-50",(IF(ifood_data[[#All],[Age]]&gt;30,"30-40","&lt;30")))))))</f>
        <v>50-60</v>
      </c>
      <c r="AX127">
        <f t="shared" si="4"/>
        <v>23</v>
      </c>
      <c r="AY127">
        <f t="shared" si="5"/>
        <v>1.9999999999999996</v>
      </c>
      <c r="AZ127">
        <f t="shared" si="6"/>
        <v>6</v>
      </c>
      <c r="BA127">
        <f t="shared" si="7"/>
        <v>9</v>
      </c>
      <c r="BB127">
        <f>SUM(ifood_data[[#This Row],[Recency Score]:[Monetary Score]])</f>
        <v>17</v>
      </c>
      <c r="BC127">
        <f>(_xlfn.PERCENTRANK.INC(ifood_data[[#All],[RFM]],ifood_data[[#This Row],[RFM]],1))*10</f>
        <v>6</v>
      </c>
      <c r="BD127" t="str">
        <f>VLOOKUP(ifood_data[[#This Row],[RFM Score]],'RFM Analysis'!$A$3:$B$14,2,FALSE)</f>
        <v>Promising</v>
      </c>
      <c r="BE127">
        <f>'Regression Models'!$B$101+'Regression Models'!$B$102*ifood_data[[#This Row],[Income]]+'Regression Models'!$B$103*ifood_data[[#This Row],[Age]]+'Regression Models'!$B$104*ifood_data[[#This Row],[Family]]</f>
        <v>1382.4828968942543</v>
      </c>
      <c r="BF127" t="str">
        <f>IF(ifood_data[[#This Row],[AcceptedCmpOverall]]=1,"Campaign Respondent","Non-respondent")</f>
        <v>Campaign Respondent</v>
      </c>
    </row>
    <row r="128" spans="1:58" x14ac:dyDescent="0.35">
      <c r="A128">
        <v>1640</v>
      </c>
      <c r="B128">
        <v>82122</v>
      </c>
      <c r="C128">
        <v>0</v>
      </c>
      <c r="D128">
        <v>0</v>
      </c>
      <c r="E128">
        <v>89</v>
      </c>
      <c r="F128">
        <v>734</v>
      </c>
      <c r="G128">
        <v>22</v>
      </c>
      <c r="H128">
        <v>350</v>
      </c>
      <c r="I128">
        <v>151</v>
      </c>
      <c r="J128">
        <v>25</v>
      </c>
      <c r="K128">
        <v>100</v>
      </c>
      <c r="L128">
        <v>1</v>
      </c>
      <c r="M128">
        <v>3</v>
      </c>
      <c r="N128">
        <v>9</v>
      </c>
      <c r="O128">
        <v>13</v>
      </c>
      <c r="P128">
        <v>1</v>
      </c>
      <c r="Q128">
        <v>0</v>
      </c>
      <c r="R128">
        <v>0</v>
      </c>
      <c r="S128">
        <v>0</v>
      </c>
      <c r="T128">
        <v>0</v>
      </c>
      <c r="U128">
        <v>1</v>
      </c>
      <c r="V128">
        <f>IF(SUM(ifood_data[[#This Row],[AcceptedCmp1]:[AcceptedCmp5]])&gt;0,1,0)</f>
        <v>1</v>
      </c>
      <c r="W128">
        <v>0</v>
      </c>
      <c r="X128">
        <v>3</v>
      </c>
      <c r="Y128">
        <v>11</v>
      </c>
      <c r="Z128">
        <v>0</v>
      </c>
      <c r="AA128">
        <v>58</v>
      </c>
      <c r="AB128">
        <v>2477</v>
      </c>
      <c r="AC128" s="28">
        <f>ifood_data[[#This Row],[Customer_Days]]/365</f>
        <v>6.7863013698630139</v>
      </c>
      <c r="AD128">
        <v>0</v>
      </c>
      <c r="AE128">
        <v>0</v>
      </c>
      <c r="AF128">
        <v>0</v>
      </c>
      <c r="AG128">
        <v>1</v>
      </c>
      <c r="AH128">
        <v>0</v>
      </c>
      <c r="AI128">
        <v>1</v>
      </c>
      <c r="AJ128">
        <v>0</v>
      </c>
      <c r="AK128">
        <v>0</v>
      </c>
      <c r="AL128">
        <v>0</v>
      </c>
      <c r="AM128">
        <v>0</v>
      </c>
      <c r="AN128">
        <v>1282</v>
      </c>
      <c r="AO128">
        <v>1182</v>
      </c>
      <c r="AP128">
        <f>ifood_data[[#This Row],[MntTotal]]-ifood_data[[#This Row],[MntRegularProds]]</f>
        <v>100</v>
      </c>
      <c r="AQ128">
        <v>1</v>
      </c>
      <c r="AR128">
        <f>IF(SUM(ifood_data[[#This Row],[Kidhome]:[Teenhome]])&gt;0,1,0)</f>
        <v>0</v>
      </c>
      <c r="AS128" t="str">
        <f>IF(SUM(ifood_data[[#This Row],[Kidhome]:[Teenhome]])&gt;0,"Has Family","No Family")</f>
        <v>No Family</v>
      </c>
      <c r="AT128" t="str">
        <f>IF(ifood_data[[#This Row],[marital_Married]]=1,"Married", (IF(ifood_data[[#This Row],[marital_Single]]=1,"Single",(IF(ifood_data[[#This Row],[marital_Divorced]]=1,"Divorced",(IF(ifood_data[[#This Row],[marital_Together]]=1,"Living Together",(IF(ifood_data[[#This Row],[marital_Widow]]=1,"Widow","Other")))))))))</f>
        <v>Living Together</v>
      </c>
      <c r="AU128" t="str">
        <f>IF(ifood_data[[#This Row],[education_Basic]]=1,"High School",(IF(ifood_data[[#This Row],[education_Graduation]]=1,"Undergraduate Degree",(IF(SUM(AM128,AL128,AI128)&gt;0,"Master's Degree or Higher","Other")))))</f>
        <v>Master's Degree or Higher</v>
      </c>
      <c r="AV128" t="str">
        <f>IF(ifood_data[[#All],[Income]]&gt;75000,"75K+",(IF(ifood_data[[#All],[Income]]&gt;50000,"50K-75K",(IF(ifood_data[[#All],[Income]]&gt;35000,"35K-50K","&lt;35K")))))</f>
        <v>75K+</v>
      </c>
      <c r="AW128" t="str">
        <f>IF(ifood_data[[#All],[Age]]&gt;60,"60+",(IF(ifood_data[[#All],[Age]]&gt;50,"50-60",(IF(ifood_data[[#All],[Age]]&gt;40,"40-50",(IF(ifood_data[[#All],[Age]]&gt;30,"30-40","&lt;30")))))))</f>
        <v>50-60</v>
      </c>
      <c r="AX128">
        <f t="shared" si="4"/>
        <v>27</v>
      </c>
      <c r="AY128">
        <f t="shared" si="5"/>
        <v>1.9999999999999996</v>
      </c>
      <c r="AZ128">
        <f t="shared" si="6"/>
        <v>7</v>
      </c>
      <c r="BA128">
        <f t="shared" si="7"/>
        <v>8</v>
      </c>
      <c r="BB128">
        <f>SUM(ifood_data[[#This Row],[Recency Score]:[Monetary Score]])</f>
        <v>17</v>
      </c>
      <c r="BC128">
        <f>(_xlfn.PERCENTRANK.INC(ifood_data[[#All],[RFM]],ifood_data[[#This Row],[RFM]],1))*10</f>
        <v>6</v>
      </c>
      <c r="BD128" t="str">
        <f>VLOOKUP(ifood_data[[#This Row],[RFM Score]],'RFM Analysis'!$A$3:$B$14,2,FALSE)</f>
        <v>Promising</v>
      </c>
      <c r="BE128">
        <f>'Regression Models'!$B$101+'Regression Models'!$B$102*ifood_data[[#This Row],[Income]]+'Regression Models'!$B$103*ifood_data[[#This Row],[Age]]+'Regression Models'!$B$104*ifood_data[[#This Row],[Family]]</f>
        <v>1380.0376946629299</v>
      </c>
      <c r="BF128" t="str">
        <f>IF(ifood_data[[#This Row],[AcceptedCmpOverall]]=1,"Campaign Respondent","Non-respondent")</f>
        <v>Campaign Respondent</v>
      </c>
    </row>
    <row r="129" spans="1:58" x14ac:dyDescent="0.35">
      <c r="A129">
        <v>1900</v>
      </c>
      <c r="B129">
        <v>79244</v>
      </c>
      <c r="C129">
        <v>0</v>
      </c>
      <c r="D129">
        <v>0</v>
      </c>
      <c r="E129">
        <v>58</v>
      </c>
      <c r="F129">
        <v>471</v>
      </c>
      <c r="G129">
        <v>102</v>
      </c>
      <c r="H129">
        <v>125</v>
      </c>
      <c r="I129">
        <v>212</v>
      </c>
      <c r="J129">
        <v>61</v>
      </c>
      <c r="K129">
        <v>245</v>
      </c>
      <c r="L129">
        <v>1</v>
      </c>
      <c r="M129">
        <v>4</v>
      </c>
      <c r="N129">
        <v>10</v>
      </c>
      <c r="O129">
        <v>7</v>
      </c>
      <c r="P129">
        <v>1</v>
      </c>
      <c r="Q129">
        <v>1</v>
      </c>
      <c r="R129">
        <v>0</v>
      </c>
      <c r="S129">
        <v>0</v>
      </c>
      <c r="T129">
        <v>0</v>
      </c>
      <c r="U129">
        <v>1</v>
      </c>
      <c r="V129">
        <f>IF(SUM(ifood_data[[#This Row],[AcceptedCmp1]:[AcceptedCmp5]])&gt;0,1,0)</f>
        <v>1</v>
      </c>
      <c r="W129">
        <v>0</v>
      </c>
      <c r="X129">
        <v>3</v>
      </c>
      <c r="Y129">
        <v>11</v>
      </c>
      <c r="Z129">
        <v>1</v>
      </c>
      <c r="AA129">
        <v>27</v>
      </c>
      <c r="AB129">
        <v>2716</v>
      </c>
      <c r="AC129" s="28">
        <f>ifood_data[[#This Row],[Customer_Days]]/365</f>
        <v>7.441095890410959</v>
      </c>
      <c r="AD129">
        <v>0</v>
      </c>
      <c r="AE129">
        <v>0</v>
      </c>
      <c r="AF129">
        <v>1</v>
      </c>
      <c r="AG129">
        <v>0</v>
      </c>
      <c r="AH129">
        <v>0</v>
      </c>
      <c r="AI129">
        <v>0</v>
      </c>
      <c r="AJ129">
        <v>0</v>
      </c>
      <c r="AK129">
        <v>1</v>
      </c>
      <c r="AL129">
        <v>0</v>
      </c>
      <c r="AM129">
        <v>0</v>
      </c>
      <c r="AN129">
        <v>971</v>
      </c>
      <c r="AO129">
        <v>726</v>
      </c>
      <c r="AP129">
        <f>ifood_data[[#This Row],[MntTotal]]-ifood_data[[#This Row],[MntRegularProds]]</f>
        <v>245</v>
      </c>
      <c r="AQ129">
        <v>2</v>
      </c>
      <c r="AR129">
        <f>IF(SUM(ifood_data[[#This Row],[Kidhome]:[Teenhome]])&gt;0,1,0)</f>
        <v>0</v>
      </c>
      <c r="AS129" t="str">
        <f>IF(SUM(ifood_data[[#This Row],[Kidhome]:[Teenhome]])&gt;0,"Has Family","No Family")</f>
        <v>No Family</v>
      </c>
      <c r="AT129" t="str">
        <f>IF(ifood_data[[#This Row],[marital_Married]]=1,"Married", (IF(ifood_data[[#This Row],[marital_Single]]=1,"Single",(IF(ifood_data[[#This Row],[marital_Divorced]]=1,"Divorced",(IF(ifood_data[[#This Row],[marital_Together]]=1,"Living Together",(IF(ifood_data[[#This Row],[marital_Widow]]=1,"Widow","Other")))))))))</f>
        <v>Single</v>
      </c>
      <c r="AU129" t="str">
        <f>IF(ifood_data[[#This Row],[education_Basic]]=1,"High School",(IF(ifood_data[[#This Row],[education_Graduation]]=1,"Undergraduate Degree",(IF(SUM(AM129,AL129,AI129)&gt;0,"Master's Degree or Higher","Other")))))</f>
        <v>Undergraduate Degree</v>
      </c>
      <c r="AV129" t="str">
        <f>IF(ifood_data[[#All],[Income]]&gt;75000,"75K+",(IF(ifood_data[[#All],[Income]]&gt;50000,"50K-75K",(IF(ifood_data[[#All],[Income]]&gt;35000,"35K-50K","&lt;35K")))))</f>
        <v>75K+</v>
      </c>
      <c r="AW129" t="str">
        <f>IF(ifood_data[[#All],[Age]]&gt;60,"60+",(IF(ifood_data[[#All],[Age]]&gt;50,"50-60",(IF(ifood_data[[#All],[Age]]&gt;40,"40-50",(IF(ifood_data[[#All],[Age]]&gt;30,"30-40","&lt;30")))))))</f>
        <v>&lt;30</v>
      </c>
      <c r="AX129">
        <f t="shared" si="4"/>
        <v>23</v>
      </c>
      <c r="AY129">
        <f t="shared" si="5"/>
        <v>5</v>
      </c>
      <c r="AZ129">
        <f t="shared" si="6"/>
        <v>6</v>
      </c>
      <c r="BA129">
        <f t="shared" si="7"/>
        <v>7</v>
      </c>
      <c r="BB129">
        <f>SUM(ifood_data[[#This Row],[Recency Score]:[Monetary Score]])</f>
        <v>18</v>
      </c>
      <c r="BC129">
        <f>(_xlfn.PERCENTRANK.INC(ifood_data[[#All],[RFM]],ifood_data[[#This Row],[RFM]],1))*10</f>
        <v>6</v>
      </c>
      <c r="BD129" t="str">
        <f>VLOOKUP(ifood_data[[#This Row],[RFM Score]],'RFM Analysis'!$A$3:$B$14,2,FALSE)</f>
        <v>Promising</v>
      </c>
      <c r="BE129">
        <f>'Regression Models'!$B$101+'Regression Models'!$B$102*ifood_data[[#This Row],[Income]]+'Regression Models'!$B$103*ifood_data[[#This Row],[Age]]+'Regression Models'!$B$104*ifood_data[[#This Row],[Family]]</f>
        <v>1378.2884313905115</v>
      </c>
      <c r="BF129" t="str">
        <f>IF(ifood_data[[#This Row],[AcceptedCmpOverall]]=1,"Campaign Respondent","Non-respondent")</f>
        <v>Campaign Respondent</v>
      </c>
    </row>
    <row r="130" spans="1:58" x14ac:dyDescent="0.35">
      <c r="A130">
        <v>800</v>
      </c>
      <c r="B130">
        <v>81205</v>
      </c>
      <c r="C130">
        <v>0</v>
      </c>
      <c r="D130">
        <v>0</v>
      </c>
      <c r="E130">
        <v>43</v>
      </c>
      <c r="F130">
        <v>724</v>
      </c>
      <c r="G130">
        <v>74</v>
      </c>
      <c r="H130">
        <v>929</v>
      </c>
      <c r="I130">
        <v>97</v>
      </c>
      <c r="J130">
        <v>55</v>
      </c>
      <c r="K130">
        <v>130</v>
      </c>
      <c r="L130">
        <v>1</v>
      </c>
      <c r="M130">
        <v>5</v>
      </c>
      <c r="N130">
        <v>6</v>
      </c>
      <c r="O130">
        <v>7</v>
      </c>
      <c r="P130">
        <v>2</v>
      </c>
      <c r="Q130">
        <v>0</v>
      </c>
      <c r="R130">
        <v>1</v>
      </c>
      <c r="S130">
        <v>1</v>
      </c>
      <c r="T130">
        <v>0</v>
      </c>
      <c r="U130">
        <v>1</v>
      </c>
      <c r="V130">
        <f>IF(SUM(ifood_data[[#This Row],[AcceptedCmp1]:[AcceptedCmp5]])&gt;0,1,0)</f>
        <v>1</v>
      </c>
      <c r="W130">
        <v>0</v>
      </c>
      <c r="X130">
        <v>3</v>
      </c>
      <c r="Y130">
        <v>11</v>
      </c>
      <c r="Z130">
        <v>1</v>
      </c>
      <c r="AA130">
        <v>50</v>
      </c>
      <c r="AB130">
        <v>2326</v>
      </c>
      <c r="AC130" s="28">
        <f>ifood_data[[#This Row],[Customer_Days]]/365</f>
        <v>6.3726027397260276</v>
      </c>
      <c r="AD130">
        <v>0</v>
      </c>
      <c r="AE130">
        <v>0</v>
      </c>
      <c r="AF130">
        <v>0</v>
      </c>
      <c r="AG130">
        <v>1</v>
      </c>
      <c r="AH130">
        <v>0</v>
      </c>
      <c r="AI130">
        <v>0</v>
      </c>
      <c r="AJ130">
        <v>0</v>
      </c>
      <c r="AK130">
        <v>1</v>
      </c>
      <c r="AL130">
        <v>0</v>
      </c>
      <c r="AM130">
        <v>0</v>
      </c>
      <c r="AN130">
        <v>1879</v>
      </c>
      <c r="AO130">
        <v>1749</v>
      </c>
      <c r="AP130">
        <f>ifood_data[[#This Row],[MntTotal]]-ifood_data[[#This Row],[MntRegularProds]]</f>
        <v>130</v>
      </c>
      <c r="AQ130">
        <v>3</v>
      </c>
      <c r="AR130">
        <f>IF(SUM(ifood_data[[#This Row],[Kidhome]:[Teenhome]])&gt;0,1,0)</f>
        <v>0</v>
      </c>
      <c r="AS130" t="str">
        <f>IF(SUM(ifood_data[[#This Row],[Kidhome]:[Teenhome]])&gt;0,"Has Family","No Family")</f>
        <v>No Family</v>
      </c>
      <c r="AT130" t="str">
        <f>IF(ifood_data[[#This Row],[marital_Married]]=1,"Married", (IF(ifood_data[[#This Row],[marital_Single]]=1,"Single",(IF(ifood_data[[#This Row],[marital_Divorced]]=1,"Divorced",(IF(ifood_data[[#This Row],[marital_Together]]=1,"Living Together",(IF(ifood_data[[#This Row],[marital_Widow]]=1,"Widow","Other")))))))))</f>
        <v>Living Together</v>
      </c>
      <c r="AU130" t="str">
        <f>IF(ifood_data[[#This Row],[education_Basic]]=1,"High School",(IF(ifood_data[[#This Row],[education_Graduation]]=1,"Undergraduate Degree",(IF(SUM(AM130,AL130,AI130)&gt;0,"Master's Degree or Higher","Other")))))</f>
        <v>Undergraduate Degree</v>
      </c>
      <c r="AV130" t="str">
        <f>IF(ifood_data[[#All],[Income]]&gt;75000,"75K+",(IF(ifood_data[[#All],[Income]]&gt;50000,"50K-75K",(IF(ifood_data[[#All],[Income]]&gt;35000,"35K-50K","&lt;35K")))))</f>
        <v>75K+</v>
      </c>
      <c r="AW130" t="str">
        <f>IF(ifood_data[[#All],[Age]]&gt;60,"60+",(IF(ifood_data[[#All],[Age]]&gt;50,"50-60",(IF(ifood_data[[#All],[Age]]&gt;40,"40-50",(IF(ifood_data[[#All],[Age]]&gt;30,"30-40","&lt;30")))))))</f>
        <v>40-50</v>
      </c>
      <c r="AX130">
        <f t="shared" ref="AX130:AX193" si="8">SUM(L130:P130)</f>
        <v>21</v>
      </c>
      <c r="AY130">
        <f t="shared" ref="AY130:AY193" si="9">(1-_xlfn.PERCENTRANK.INC($E$2:$E$2022,E130,1))*10</f>
        <v>6</v>
      </c>
      <c r="AZ130">
        <f t="shared" ref="AZ130:AZ193" si="10">_xlfn.PERCENTRANK.INC($AX$2:$AX$2022,AX130,1)*10</f>
        <v>5</v>
      </c>
      <c r="BA130">
        <f t="shared" ref="BA130:BA193" si="11">_xlfn.PERCENTRANK.INC($AN$2:$AN$2022,AN130,1)*10</f>
        <v>9</v>
      </c>
      <c r="BB130">
        <f>SUM(ifood_data[[#This Row],[Recency Score]:[Monetary Score]])</f>
        <v>20</v>
      </c>
      <c r="BC130">
        <f>(_xlfn.PERCENTRANK.INC(ifood_data[[#All],[RFM]],ifood_data[[#This Row],[RFM]],1))*10</f>
        <v>7</v>
      </c>
      <c r="BD130" t="str">
        <f>VLOOKUP(ifood_data[[#This Row],[RFM Score]],'RFM Analysis'!$A$3:$B$14,2,FALSE)</f>
        <v>Loyal Customer</v>
      </c>
      <c r="BE130">
        <f>'Regression Models'!$B$101+'Regression Models'!$B$102*ifood_data[[#This Row],[Income]]+'Regression Models'!$B$103*ifood_data[[#This Row],[Age]]+'Regression Models'!$B$104*ifood_data[[#This Row],[Family]]</f>
        <v>1376.0327069061286</v>
      </c>
      <c r="BF130" t="str">
        <f>IF(ifood_data[[#This Row],[AcceptedCmpOverall]]=1,"Campaign Respondent","Non-respondent")</f>
        <v>Campaign Respondent</v>
      </c>
    </row>
    <row r="131" spans="1:58" x14ac:dyDescent="0.35">
      <c r="A131">
        <v>1521</v>
      </c>
      <c r="B131">
        <v>82014</v>
      </c>
      <c r="C131">
        <v>0</v>
      </c>
      <c r="D131">
        <v>0</v>
      </c>
      <c r="E131">
        <v>48</v>
      </c>
      <c r="F131">
        <v>980</v>
      </c>
      <c r="G131">
        <v>37</v>
      </c>
      <c r="H131">
        <v>265</v>
      </c>
      <c r="I131">
        <v>35</v>
      </c>
      <c r="J131">
        <v>163</v>
      </c>
      <c r="K131">
        <v>31</v>
      </c>
      <c r="L131">
        <v>1</v>
      </c>
      <c r="M131">
        <v>3</v>
      </c>
      <c r="N131">
        <v>6</v>
      </c>
      <c r="O131">
        <v>12</v>
      </c>
      <c r="P131">
        <v>6</v>
      </c>
      <c r="Q131">
        <v>0</v>
      </c>
      <c r="R131">
        <v>0</v>
      </c>
      <c r="S131">
        <v>0</v>
      </c>
      <c r="T131">
        <v>0</v>
      </c>
      <c r="U131">
        <v>0</v>
      </c>
      <c r="V131">
        <f>IF(SUM(ifood_data[[#This Row],[AcceptedCmp1]:[AcceptedCmp5]])&gt;0,1,0)</f>
        <v>0</v>
      </c>
      <c r="W131">
        <v>0</v>
      </c>
      <c r="X131">
        <v>3</v>
      </c>
      <c r="Y131">
        <v>11</v>
      </c>
      <c r="Z131">
        <v>1</v>
      </c>
      <c r="AA131">
        <v>59</v>
      </c>
      <c r="AB131">
        <v>2837</v>
      </c>
      <c r="AC131" s="28">
        <f>ifood_data[[#This Row],[Customer_Days]]/365</f>
        <v>7.7726027397260271</v>
      </c>
      <c r="AD131">
        <v>0</v>
      </c>
      <c r="AE131">
        <v>0</v>
      </c>
      <c r="AF131">
        <v>1</v>
      </c>
      <c r="AG131">
        <v>0</v>
      </c>
      <c r="AH131">
        <v>0</v>
      </c>
      <c r="AI131">
        <v>0</v>
      </c>
      <c r="AJ131">
        <v>0</v>
      </c>
      <c r="AK131">
        <v>1</v>
      </c>
      <c r="AL131">
        <v>0</v>
      </c>
      <c r="AM131">
        <v>0</v>
      </c>
      <c r="AN131">
        <v>1480</v>
      </c>
      <c r="AO131">
        <v>1449</v>
      </c>
      <c r="AP131">
        <f>ifood_data[[#This Row],[MntTotal]]-ifood_data[[#This Row],[MntRegularProds]]</f>
        <v>31</v>
      </c>
      <c r="AQ131">
        <v>0</v>
      </c>
      <c r="AR131">
        <f>IF(SUM(ifood_data[[#This Row],[Kidhome]:[Teenhome]])&gt;0,1,0)</f>
        <v>0</v>
      </c>
      <c r="AS131" t="str">
        <f>IF(SUM(ifood_data[[#This Row],[Kidhome]:[Teenhome]])&gt;0,"Has Family","No Family")</f>
        <v>No Family</v>
      </c>
      <c r="AT131" t="str">
        <f>IF(ifood_data[[#This Row],[marital_Married]]=1,"Married", (IF(ifood_data[[#This Row],[marital_Single]]=1,"Single",(IF(ifood_data[[#This Row],[marital_Divorced]]=1,"Divorced",(IF(ifood_data[[#This Row],[marital_Together]]=1,"Living Together",(IF(ifood_data[[#This Row],[marital_Widow]]=1,"Widow","Other")))))))))</f>
        <v>Single</v>
      </c>
      <c r="AU131" t="str">
        <f>IF(ifood_data[[#This Row],[education_Basic]]=1,"High School",(IF(ifood_data[[#This Row],[education_Graduation]]=1,"Undergraduate Degree",(IF(SUM(AM131,AL131,AI131)&gt;0,"Master's Degree or Higher","Other")))))</f>
        <v>Undergraduate Degree</v>
      </c>
      <c r="AV131" t="str">
        <f>IF(ifood_data[[#All],[Income]]&gt;75000,"75K+",(IF(ifood_data[[#All],[Income]]&gt;50000,"50K-75K",(IF(ifood_data[[#All],[Income]]&gt;35000,"35K-50K","&lt;35K")))))</f>
        <v>75K+</v>
      </c>
      <c r="AW131" t="str">
        <f>IF(ifood_data[[#All],[Age]]&gt;60,"60+",(IF(ifood_data[[#All],[Age]]&gt;50,"50-60",(IF(ifood_data[[#All],[Age]]&gt;40,"40-50",(IF(ifood_data[[#All],[Age]]&gt;30,"30-40","&lt;30")))))))</f>
        <v>50-60</v>
      </c>
      <c r="AX131">
        <f t="shared" si="8"/>
        <v>28</v>
      </c>
      <c r="AY131">
        <f t="shared" si="9"/>
        <v>6</v>
      </c>
      <c r="AZ131">
        <f t="shared" si="10"/>
        <v>8</v>
      </c>
      <c r="BA131">
        <f t="shared" si="11"/>
        <v>9</v>
      </c>
      <c r="BB131">
        <f>SUM(ifood_data[[#This Row],[Recency Score]:[Monetary Score]])</f>
        <v>23</v>
      </c>
      <c r="BC131">
        <f>(_xlfn.PERCENTRANK.INC(ifood_data[[#All],[RFM]],ifood_data[[#This Row],[RFM]],1))*10</f>
        <v>8</v>
      </c>
      <c r="BD131" t="str">
        <f>VLOOKUP(ifood_data[[#This Row],[RFM Score]],'RFM Analysis'!$A$3:$B$14,2,FALSE)</f>
        <v>Loyal Customer</v>
      </c>
      <c r="BE131">
        <f>'Regression Models'!$B$101+'Regression Models'!$B$102*ifood_data[[#This Row],[Income]]+'Regression Models'!$B$103*ifood_data[[#This Row],[Age]]+'Regression Models'!$B$104*ifood_data[[#This Row],[Family]]</f>
        <v>1375.9992686244946</v>
      </c>
      <c r="BF131" t="str">
        <f>IF(ifood_data[[#This Row],[AcceptedCmpOverall]]=1,"Campaign Respondent","Non-respondent")</f>
        <v>Non-respondent</v>
      </c>
    </row>
    <row r="132" spans="1:58" x14ac:dyDescent="0.35">
      <c r="A132">
        <v>806</v>
      </c>
      <c r="B132">
        <v>82347</v>
      </c>
      <c r="C132">
        <v>0</v>
      </c>
      <c r="D132">
        <v>0</v>
      </c>
      <c r="E132">
        <v>38</v>
      </c>
      <c r="F132">
        <v>556</v>
      </c>
      <c r="G132">
        <v>54</v>
      </c>
      <c r="H132">
        <v>845</v>
      </c>
      <c r="I132">
        <v>202</v>
      </c>
      <c r="J132">
        <v>133</v>
      </c>
      <c r="K132">
        <v>63</v>
      </c>
      <c r="L132">
        <v>1</v>
      </c>
      <c r="M132">
        <v>7</v>
      </c>
      <c r="N132">
        <v>7</v>
      </c>
      <c r="O132">
        <v>10</v>
      </c>
      <c r="P132">
        <v>3</v>
      </c>
      <c r="Q132">
        <v>1</v>
      </c>
      <c r="R132">
        <v>0</v>
      </c>
      <c r="S132">
        <v>1</v>
      </c>
      <c r="T132">
        <v>0</v>
      </c>
      <c r="U132">
        <v>0</v>
      </c>
      <c r="V132">
        <f>IF(SUM(ifood_data[[#This Row],[AcceptedCmp1]:[AcceptedCmp5]])&gt;0,1,0)</f>
        <v>1</v>
      </c>
      <c r="W132">
        <v>0</v>
      </c>
      <c r="X132">
        <v>3</v>
      </c>
      <c r="Y132">
        <v>11</v>
      </c>
      <c r="Z132">
        <v>0</v>
      </c>
      <c r="AA132">
        <v>63</v>
      </c>
      <c r="AB132">
        <v>2759</v>
      </c>
      <c r="AC132" s="28">
        <f>ifood_data[[#This Row],[Customer_Days]]/365</f>
        <v>7.558904109589041</v>
      </c>
      <c r="AD132">
        <v>0</v>
      </c>
      <c r="AE132">
        <v>1</v>
      </c>
      <c r="AF132">
        <v>0</v>
      </c>
      <c r="AG132">
        <v>0</v>
      </c>
      <c r="AH132">
        <v>0</v>
      </c>
      <c r="AI132">
        <v>1</v>
      </c>
      <c r="AJ132">
        <v>0</v>
      </c>
      <c r="AK132">
        <v>0</v>
      </c>
      <c r="AL132">
        <v>0</v>
      </c>
      <c r="AM132">
        <v>0</v>
      </c>
      <c r="AN132">
        <v>1790</v>
      </c>
      <c r="AO132">
        <v>1727</v>
      </c>
      <c r="AP132">
        <f>ifood_data[[#This Row],[MntTotal]]-ifood_data[[#This Row],[MntRegularProds]]</f>
        <v>63</v>
      </c>
      <c r="AQ132">
        <v>2</v>
      </c>
      <c r="AR132">
        <f>IF(SUM(ifood_data[[#This Row],[Kidhome]:[Teenhome]])&gt;0,1,0)</f>
        <v>0</v>
      </c>
      <c r="AS132" t="str">
        <f>IF(SUM(ifood_data[[#This Row],[Kidhome]:[Teenhome]])&gt;0,"Has Family","No Family")</f>
        <v>No Family</v>
      </c>
      <c r="AT132" t="str">
        <f>IF(ifood_data[[#This Row],[marital_Married]]=1,"Married", (IF(ifood_data[[#This Row],[marital_Single]]=1,"Single",(IF(ifood_data[[#This Row],[marital_Divorced]]=1,"Divorced",(IF(ifood_data[[#This Row],[marital_Together]]=1,"Living Together",(IF(ifood_data[[#This Row],[marital_Widow]]=1,"Widow","Other")))))))))</f>
        <v>Married</v>
      </c>
      <c r="AU132" t="str">
        <f>IF(ifood_data[[#This Row],[education_Basic]]=1,"High School",(IF(ifood_data[[#This Row],[education_Graduation]]=1,"Undergraduate Degree",(IF(SUM(AM132,AL132,AI132)&gt;0,"Master's Degree or Higher","Other")))))</f>
        <v>Master's Degree or Higher</v>
      </c>
      <c r="AV132" t="str">
        <f>IF(ifood_data[[#All],[Income]]&gt;75000,"75K+",(IF(ifood_data[[#All],[Income]]&gt;50000,"50K-75K",(IF(ifood_data[[#All],[Income]]&gt;35000,"35K-50K","&lt;35K")))))</f>
        <v>75K+</v>
      </c>
      <c r="AW132" t="str">
        <f>IF(ifood_data[[#All],[Age]]&gt;60,"60+",(IF(ifood_data[[#All],[Age]]&gt;50,"50-60",(IF(ifood_data[[#All],[Age]]&gt;40,"40-50",(IF(ifood_data[[#All],[Age]]&gt;30,"30-40","&lt;30")))))))</f>
        <v>60+</v>
      </c>
      <c r="AX132">
        <f t="shared" si="8"/>
        <v>28</v>
      </c>
      <c r="AY132">
        <f t="shared" si="9"/>
        <v>7</v>
      </c>
      <c r="AZ132">
        <f t="shared" si="10"/>
        <v>8</v>
      </c>
      <c r="BA132">
        <f t="shared" si="11"/>
        <v>9</v>
      </c>
      <c r="BB132">
        <f>SUM(ifood_data[[#This Row],[Recency Score]:[Monetary Score]])</f>
        <v>24</v>
      </c>
      <c r="BC132">
        <f>(_xlfn.PERCENTRANK.INC(ifood_data[[#All],[RFM]],ifood_data[[#This Row],[RFM]],1))*10</f>
        <v>9</v>
      </c>
      <c r="BD132" t="str">
        <f>VLOOKUP(ifood_data[[#This Row],[RFM Score]],'RFM Analysis'!$A$3:$B$14,2,FALSE)</f>
        <v>Top Customer</v>
      </c>
      <c r="BE132">
        <f>'Regression Models'!$B$101+'Regression Models'!$B$102*ifood_data[[#This Row],[Income]]+'Regression Models'!$B$103*ifood_data[[#This Row],[Age]]+'Regression Models'!$B$104*ifood_data[[#This Row],[Family]]</f>
        <v>1375.4429721008353</v>
      </c>
      <c r="BF132" t="str">
        <f>IF(ifood_data[[#This Row],[AcceptedCmpOverall]]=1,"Campaign Respondent","Non-respondent")</f>
        <v>Campaign Respondent</v>
      </c>
    </row>
    <row r="133" spans="1:58" x14ac:dyDescent="0.35">
      <c r="A133">
        <v>1986</v>
      </c>
      <c r="B133">
        <v>82347</v>
      </c>
      <c r="C133">
        <v>0</v>
      </c>
      <c r="D133">
        <v>0</v>
      </c>
      <c r="E133">
        <v>38</v>
      </c>
      <c r="F133">
        <v>556</v>
      </c>
      <c r="G133">
        <v>54</v>
      </c>
      <c r="H133">
        <v>845</v>
      </c>
      <c r="I133">
        <v>202</v>
      </c>
      <c r="J133">
        <v>133</v>
      </c>
      <c r="K133">
        <v>63</v>
      </c>
      <c r="L133">
        <v>1</v>
      </c>
      <c r="M133">
        <v>7</v>
      </c>
      <c r="N133">
        <v>7</v>
      </c>
      <c r="O133">
        <v>10</v>
      </c>
      <c r="P133">
        <v>3</v>
      </c>
      <c r="Q133">
        <v>1</v>
      </c>
      <c r="R133">
        <v>0</v>
      </c>
      <c r="S133">
        <v>1</v>
      </c>
      <c r="T133">
        <v>0</v>
      </c>
      <c r="U133">
        <v>0</v>
      </c>
      <c r="V133">
        <f>IF(SUM(ifood_data[[#This Row],[AcceptedCmp1]:[AcceptedCmp5]])&gt;0,1,0)</f>
        <v>1</v>
      </c>
      <c r="W133">
        <v>0</v>
      </c>
      <c r="X133">
        <v>3</v>
      </c>
      <c r="Y133">
        <v>11</v>
      </c>
      <c r="Z133">
        <v>1</v>
      </c>
      <c r="AA133">
        <v>63</v>
      </c>
      <c r="AB133">
        <v>2759</v>
      </c>
      <c r="AC133" s="28">
        <f>ifood_data[[#This Row],[Customer_Days]]/365</f>
        <v>7.558904109589041</v>
      </c>
      <c r="AD133">
        <v>0</v>
      </c>
      <c r="AE133">
        <v>1</v>
      </c>
      <c r="AF133">
        <v>0</v>
      </c>
      <c r="AG133">
        <v>0</v>
      </c>
      <c r="AH133">
        <v>0</v>
      </c>
      <c r="AI133">
        <v>1</v>
      </c>
      <c r="AJ133">
        <v>0</v>
      </c>
      <c r="AK133">
        <v>0</v>
      </c>
      <c r="AL133">
        <v>0</v>
      </c>
      <c r="AM133">
        <v>0</v>
      </c>
      <c r="AN133">
        <v>1790</v>
      </c>
      <c r="AO133">
        <v>1727</v>
      </c>
      <c r="AP133">
        <f>ifood_data[[#This Row],[MntTotal]]-ifood_data[[#This Row],[MntRegularProds]]</f>
        <v>63</v>
      </c>
      <c r="AQ133">
        <v>2</v>
      </c>
      <c r="AR133">
        <f>IF(SUM(ifood_data[[#This Row],[Kidhome]:[Teenhome]])&gt;0,1,0)</f>
        <v>0</v>
      </c>
      <c r="AS133" t="str">
        <f>IF(SUM(ifood_data[[#This Row],[Kidhome]:[Teenhome]])&gt;0,"Has Family","No Family")</f>
        <v>No Family</v>
      </c>
      <c r="AT133" t="str">
        <f>IF(ifood_data[[#This Row],[marital_Married]]=1,"Married", (IF(ifood_data[[#This Row],[marital_Single]]=1,"Single",(IF(ifood_data[[#This Row],[marital_Divorced]]=1,"Divorced",(IF(ifood_data[[#This Row],[marital_Together]]=1,"Living Together",(IF(ifood_data[[#This Row],[marital_Widow]]=1,"Widow","Other")))))))))</f>
        <v>Married</v>
      </c>
      <c r="AU133" t="str">
        <f>IF(ifood_data[[#This Row],[education_Basic]]=1,"High School",(IF(ifood_data[[#This Row],[education_Graduation]]=1,"Undergraduate Degree",(IF(SUM(AM133,AL133,AI133)&gt;0,"Master's Degree or Higher","Other")))))</f>
        <v>Master's Degree or Higher</v>
      </c>
      <c r="AV133" t="str">
        <f>IF(ifood_data[[#All],[Income]]&gt;75000,"75K+",(IF(ifood_data[[#All],[Income]]&gt;50000,"50K-75K",(IF(ifood_data[[#All],[Income]]&gt;35000,"35K-50K","&lt;35K")))))</f>
        <v>75K+</v>
      </c>
      <c r="AW133" t="str">
        <f>IF(ifood_data[[#All],[Age]]&gt;60,"60+",(IF(ifood_data[[#All],[Age]]&gt;50,"50-60",(IF(ifood_data[[#All],[Age]]&gt;40,"40-50",(IF(ifood_data[[#All],[Age]]&gt;30,"30-40","&lt;30")))))))</f>
        <v>60+</v>
      </c>
      <c r="AX133">
        <f t="shared" si="8"/>
        <v>28</v>
      </c>
      <c r="AY133">
        <f t="shared" si="9"/>
        <v>7</v>
      </c>
      <c r="AZ133">
        <f t="shared" si="10"/>
        <v>8</v>
      </c>
      <c r="BA133">
        <f t="shared" si="11"/>
        <v>9</v>
      </c>
      <c r="BB133">
        <f>SUM(ifood_data[[#This Row],[Recency Score]:[Monetary Score]])</f>
        <v>24</v>
      </c>
      <c r="BC133">
        <f>(_xlfn.PERCENTRANK.INC(ifood_data[[#All],[RFM]],ifood_data[[#This Row],[RFM]],1))*10</f>
        <v>9</v>
      </c>
      <c r="BD133" t="str">
        <f>VLOOKUP(ifood_data[[#This Row],[RFM Score]],'RFM Analysis'!$A$3:$B$14,2,FALSE)</f>
        <v>Top Customer</v>
      </c>
      <c r="BE133">
        <f>'Regression Models'!$B$101+'Regression Models'!$B$102*ifood_data[[#This Row],[Income]]+'Regression Models'!$B$103*ifood_data[[#This Row],[Age]]+'Regression Models'!$B$104*ifood_data[[#This Row],[Family]]</f>
        <v>1375.4429721008353</v>
      </c>
      <c r="BF133" t="str">
        <f>IF(ifood_data[[#This Row],[AcceptedCmpOverall]]=1,"Campaign Respondent","Non-respondent")</f>
        <v>Campaign Respondent</v>
      </c>
    </row>
    <row r="134" spans="1:58" x14ac:dyDescent="0.35">
      <c r="A134">
        <v>1971</v>
      </c>
      <c r="B134">
        <v>81380</v>
      </c>
      <c r="C134">
        <v>0</v>
      </c>
      <c r="D134">
        <v>0</v>
      </c>
      <c r="E134">
        <v>51</v>
      </c>
      <c r="F134">
        <v>741</v>
      </c>
      <c r="G134">
        <v>68</v>
      </c>
      <c r="H134">
        <v>689</v>
      </c>
      <c r="I134">
        <v>224</v>
      </c>
      <c r="J134">
        <v>68</v>
      </c>
      <c r="K134">
        <v>103</v>
      </c>
      <c r="L134">
        <v>1</v>
      </c>
      <c r="M134">
        <v>4</v>
      </c>
      <c r="N134">
        <v>2</v>
      </c>
      <c r="O134">
        <v>10</v>
      </c>
      <c r="P134">
        <v>2</v>
      </c>
      <c r="Q134">
        <v>0</v>
      </c>
      <c r="R134">
        <v>0</v>
      </c>
      <c r="S134">
        <v>0</v>
      </c>
      <c r="T134">
        <v>0</v>
      </c>
      <c r="U134">
        <v>0</v>
      </c>
      <c r="V134">
        <f>IF(SUM(ifood_data[[#This Row],[AcceptedCmp1]:[AcceptedCmp5]])&gt;0,1,0)</f>
        <v>0</v>
      </c>
      <c r="W134">
        <v>0</v>
      </c>
      <c r="X134">
        <v>3</v>
      </c>
      <c r="Y134">
        <v>11</v>
      </c>
      <c r="Z134">
        <v>0</v>
      </c>
      <c r="AA134">
        <v>53</v>
      </c>
      <c r="AB134">
        <v>2713</v>
      </c>
      <c r="AC134" s="28">
        <f>ifood_data[[#This Row],[Customer_Days]]/365</f>
        <v>7.4328767123287669</v>
      </c>
      <c r="AD134">
        <v>1</v>
      </c>
      <c r="AE134">
        <v>0</v>
      </c>
      <c r="AF134">
        <v>0</v>
      </c>
      <c r="AG134">
        <v>0</v>
      </c>
      <c r="AH134">
        <v>0</v>
      </c>
      <c r="AI134">
        <v>0</v>
      </c>
      <c r="AJ134">
        <v>0</v>
      </c>
      <c r="AK134">
        <v>0</v>
      </c>
      <c r="AL134">
        <v>1</v>
      </c>
      <c r="AM134">
        <v>0</v>
      </c>
      <c r="AN134">
        <v>1790</v>
      </c>
      <c r="AO134">
        <v>1687</v>
      </c>
      <c r="AP134">
        <f>ifood_data[[#This Row],[MntTotal]]-ifood_data[[#This Row],[MntRegularProds]]</f>
        <v>103</v>
      </c>
      <c r="AQ134">
        <v>0</v>
      </c>
      <c r="AR134">
        <f>IF(SUM(ifood_data[[#This Row],[Kidhome]:[Teenhome]])&gt;0,1,0)</f>
        <v>0</v>
      </c>
      <c r="AS134" t="str">
        <f>IF(SUM(ifood_data[[#This Row],[Kidhome]:[Teenhome]])&gt;0,"Has Family","No Family")</f>
        <v>No Family</v>
      </c>
      <c r="AT134" t="str">
        <f>IF(ifood_data[[#This Row],[marital_Married]]=1,"Married", (IF(ifood_data[[#This Row],[marital_Single]]=1,"Single",(IF(ifood_data[[#This Row],[marital_Divorced]]=1,"Divorced",(IF(ifood_data[[#This Row],[marital_Together]]=1,"Living Together",(IF(ifood_data[[#This Row],[marital_Widow]]=1,"Widow","Other")))))))))</f>
        <v>Divorced</v>
      </c>
      <c r="AU134" t="str">
        <f>IF(ifood_data[[#This Row],[education_Basic]]=1,"High School",(IF(ifood_data[[#This Row],[education_Graduation]]=1,"Undergraduate Degree",(IF(SUM(AM134,AL134,AI134)&gt;0,"Master's Degree or Higher","Other")))))</f>
        <v>Master's Degree or Higher</v>
      </c>
      <c r="AV134" t="str">
        <f>IF(ifood_data[[#All],[Income]]&gt;75000,"75K+",(IF(ifood_data[[#All],[Income]]&gt;50000,"50K-75K",(IF(ifood_data[[#All],[Income]]&gt;35000,"35K-50K","&lt;35K")))))</f>
        <v>75K+</v>
      </c>
      <c r="AW134" t="str">
        <f>IF(ifood_data[[#All],[Age]]&gt;60,"60+",(IF(ifood_data[[#All],[Age]]&gt;50,"50-60",(IF(ifood_data[[#All],[Age]]&gt;40,"40-50",(IF(ifood_data[[#All],[Age]]&gt;30,"30-40","&lt;30")))))))</f>
        <v>50-60</v>
      </c>
      <c r="AX134">
        <f t="shared" si="8"/>
        <v>19</v>
      </c>
      <c r="AY134">
        <f t="shared" si="9"/>
        <v>5</v>
      </c>
      <c r="AZ134">
        <f t="shared" si="10"/>
        <v>4</v>
      </c>
      <c r="BA134">
        <f t="shared" si="11"/>
        <v>9</v>
      </c>
      <c r="BB134">
        <f>SUM(ifood_data[[#This Row],[Recency Score]:[Monetary Score]])</f>
        <v>18</v>
      </c>
      <c r="BC134">
        <f>(_xlfn.PERCENTRANK.INC(ifood_data[[#All],[RFM]],ifood_data[[#This Row],[RFM]],1))*10</f>
        <v>6</v>
      </c>
      <c r="BD134" t="str">
        <f>VLOOKUP(ifood_data[[#This Row],[RFM Score]],'RFM Analysis'!$A$3:$B$14,2,FALSE)</f>
        <v>Promising</v>
      </c>
      <c r="BE134">
        <f>'Regression Models'!$B$101+'Regression Models'!$B$102*ifood_data[[#This Row],[Income]]+'Regression Models'!$B$103*ifood_data[[#This Row],[Age]]+'Regression Models'!$B$104*ifood_data[[#This Row],[Family]]</f>
        <v>1374.0914240946281</v>
      </c>
      <c r="BF134" t="str">
        <f>IF(ifood_data[[#This Row],[AcceptedCmpOverall]]=1,"Campaign Respondent","Non-respondent")</f>
        <v>Non-respondent</v>
      </c>
    </row>
    <row r="135" spans="1:58" x14ac:dyDescent="0.35">
      <c r="A135">
        <v>52</v>
      </c>
      <c r="B135">
        <v>82384</v>
      </c>
      <c r="C135">
        <v>0</v>
      </c>
      <c r="D135">
        <v>0</v>
      </c>
      <c r="E135">
        <v>55</v>
      </c>
      <c r="F135">
        <v>984</v>
      </c>
      <c r="G135">
        <v>51</v>
      </c>
      <c r="H135">
        <v>432</v>
      </c>
      <c r="I135">
        <v>180</v>
      </c>
      <c r="J135">
        <v>120</v>
      </c>
      <c r="K135">
        <v>190</v>
      </c>
      <c r="L135">
        <v>1</v>
      </c>
      <c r="M135">
        <v>3</v>
      </c>
      <c r="N135">
        <v>10</v>
      </c>
      <c r="O135">
        <v>13</v>
      </c>
      <c r="P135">
        <v>1</v>
      </c>
      <c r="Q135">
        <v>0</v>
      </c>
      <c r="R135">
        <v>0</v>
      </c>
      <c r="S135">
        <v>0</v>
      </c>
      <c r="T135">
        <v>0</v>
      </c>
      <c r="U135">
        <v>1</v>
      </c>
      <c r="V135">
        <f>IF(SUM(ifood_data[[#This Row],[AcceptedCmp1]:[AcceptedCmp5]])&gt;0,1,0)</f>
        <v>1</v>
      </c>
      <c r="W135">
        <v>0</v>
      </c>
      <c r="X135">
        <v>3</v>
      </c>
      <c r="Y135">
        <v>11</v>
      </c>
      <c r="Z135">
        <v>1</v>
      </c>
      <c r="AA135">
        <v>65</v>
      </c>
      <c r="AB135">
        <v>2746</v>
      </c>
      <c r="AC135" s="28">
        <f>ifood_data[[#This Row],[Customer_Days]]/365</f>
        <v>7.5232876712328771</v>
      </c>
      <c r="AD135">
        <v>0</v>
      </c>
      <c r="AE135">
        <v>0</v>
      </c>
      <c r="AF135">
        <v>0</v>
      </c>
      <c r="AG135">
        <v>1</v>
      </c>
      <c r="AH135">
        <v>0</v>
      </c>
      <c r="AI135">
        <v>0</v>
      </c>
      <c r="AJ135">
        <v>0</v>
      </c>
      <c r="AK135">
        <v>0</v>
      </c>
      <c r="AL135">
        <v>1</v>
      </c>
      <c r="AM135">
        <v>0</v>
      </c>
      <c r="AN135">
        <v>1767</v>
      </c>
      <c r="AO135">
        <v>1577</v>
      </c>
      <c r="AP135">
        <f>ifood_data[[#This Row],[MntTotal]]-ifood_data[[#This Row],[MntRegularProds]]</f>
        <v>190</v>
      </c>
      <c r="AQ135">
        <v>1</v>
      </c>
      <c r="AR135">
        <f>IF(SUM(ifood_data[[#This Row],[Kidhome]:[Teenhome]])&gt;0,1,0)</f>
        <v>0</v>
      </c>
      <c r="AS135" t="str">
        <f>IF(SUM(ifood_data[[#This Row],[Kidhome]:[Teenhome]])&gt;0,"Has Family","No Family")</f>
        <v>No Family</v>
      </c>
      <c r="AT135" t="str">
        <f>IF(ifood_data[[#This Row],[marital_Married]]=1,"Married", (IF(ifood_data[[#This Row],[marital_Single]]=1,"Single",(IF(ifood_data[[#This Row],[marital_Divorced]]=1,"Divorced",(IF(ifood_data[[#This Row],[marital_Together]]=1,"Living Together",(IF(ifood_data[[#This Row],[marital_Widow]]=1,"Widow","Other")))))))))</f>
        <v>Living Together</v>
      </c>
      <c r="AU135" t="str">
        <f>IF(ifood_data[[#This Row],[education_Basic]]=1,"High School",(IF(ifood_data[[#This Row],[education_Graduation]]=1,"Undergraduate Degree",(IF(SUM(AM135,AL135,AI135)&gt;0,"Master's Degree or Higher","Other")))))</f>
        <v>Master's Degree or Higher</v>
      </c>
      <c r="AV135" t="str">
        <f>IF(ifood_data[[#All],[Income]]&gt;75000,"75K+",(IF(ifood_data[[#All],[Income]]&gt;50000,"50K-75K",(IF(ifood_data[[#All],[Income]]&gt;35000,"35K-50K","&lt;35K")))))</f>
        <v>75K+</v>
      </c>
      <c r="AW135" t="str">
        <f>IF(ifood_data[[#All],[Age]]&gt;60,"60+",(IF(ifood_data[[#All],[Age]]&gt;50,"50-60",(IF(ifood_data[[#All],[Age]]&gt;40,"40-50",(IF(ifood_data[[#All],[Age]]&gt;30,"30-40","&lt;30")))))))</f>
        <v>60+</v>
      </c>
      <c r="AX135">
        <f t="shared" si="8"/>
        <v>28</v>
      </c>
      <c r="AY135">
        <f t="shared" si="9"/>
        <v>5</v>
      </c>
      <c r="AZ135">
        <f t="shared" si="10"/>
        <v>8</v>
      </c>
      <c r="BA135">
        <f t="shared" si="11"/>
        <v>9</v>
      </c>
      <c r="BB135">
        <f>SUM(ifood_data[[#This Row],[Recency Score]:[Monetary Score]])</f>
        <v>22</v>
      </c>
      <c r="BC135">
        <f>(_xlfn.PERCENTRANK.INC(ifood_data[[#All],[RFM]],ifood_data[[#This Row],[RFM]],1))*10</f>
        <v>8</v>
      </c>
      <c r="BD135" t="str">
        <f>VLOOKUP(ifood_data[[#This Row],[RFM Score]],'RFM Analysis'!$A$3:$B$14,2,FALSE)</f>
        <v>Loyal Customer</v>
      </c>
      <c r="BE135">
        <f>'Regression Models'!$B$101+'Regression Models'!$B$102*ifood_data[[#This Row],[Income]]+'Regression Models'!$B$103*ifood_data[[#This Row],[Age]]+'Regression Models'!$B$104*ifood_data[[#This Row],[Family]]</f>
        <v>1372.5244783643714</v>
      </c>
      <c r="BF135" t="str">
        <f>IF(ifood_data[[#This Row],[AcceptedCmpOverall]]=1,"Campaign Respondent","Non-respondent")</f>
        <v>Campaign Respondent</v>
      </c>
    </row>
    <row r="136" spans="1:58" x14ac:dyDescent="0.35">
      <c r="A136">
        <v>325</v>
      </c>
      <c r="B136">
        <v>82623</v>
      </c>
      <c r="C136">
        <v>0</v>
      </c>
      <c r="D136">
        <v>0</v>
      </c>
      <c r="E136">
        <v>58</v>
      </c>
      <c r="F136">
        <v>204</v>
      </c>
      <c r="G136">
        <v>34</v>
      </c>
      <c r="H136">
        <v>204</v>
      </c>
      <c r="I136">
        <v>172</v>
      </c>
      <c r="J136">
        <v>153</v>
      </c>
      <c r="K136">
        <v>173</v>
      </c>
      <c r="L136">
        <v>1</v>
      </c>
      <c r="M136">
        <v>2</v>
      </c>
      <c r="N136">
        <v>9</v>
      </c>
      <c r="O136">
        <v>4</v>
      </c>
      <c r="P136">
        <v>1</v>
      </c>
      <c r="Q136">
        <v>0</v>
      </c>
      <c r="R136">
        <v>0</v>
      </c>
      <c r="S136">
        <v>0</v>
      </c>
      <c r="T136">
        <v>0</v>
      </c>
      <c r="U136">
        <v>0</v>
      </c>
      <c r="V136">
        <f>IF(SUM(ifood_data[[#This Row],[AcceptedCmp1]:[AcceptedCmp5]])&gt;0,1,0)</f>
        <v>0</v>
      </c>
      <c r="W136">
        <v>0</v>
      </c>
      <c r="X136">
        <v>3</v>
      </c>
      <c r="Y136">
        <v>11</v>
      </c>
      <c r="Z136">
        <v>0</v>
      </c>
      <c r="AA136">
        <v>68</v>
      </c>
      <c r="AB136">
        <v>2390</v>
      </c>
      <c r="AC136" s="28">
        <f>ifood_data[[#This Row],[Customer_Days]]/365</f>
        <v>6.5479452054794525</v>
      </c>
      <c r="AD136">
        <v>1</v>
      </c>
      <c r="AE136">
        <v>0</v>
      </c>
      <c r="AF136">
        <v>0</v>
      </c>
      <c r="AG136">
        <v>0</v>
      </c>
      <c r="AH136">
        <v>0</v>
      </c>
      <c r="AI136">
        <v>0</v>
      </c>
      <c r="AJ136">
        <v>0</v>
      </c>
      <c r="AK136">
        <v>1</v>
      </c>
      <c r="AL136">
        <v>0</v>
      </c>
      <c r="AM136">
        <v>0</v>
      </c>
      <c r="AN136">
        <v>767</v>
      </c>
      <c r="AO136">
        <v>594</v>
      </c>
      <c r="AP136">
        <f>ifood_data[[#This Row],[MntTotal]]-ifood_data[[#This Row],[MntRegularProds]]</f>
        <v>173</v>
      </c>
      <c r="AQ136">
        <v>0</v>
      </c>
      <c r="AR136">
        <f>IF(SUM(ifood_data[[#This Row],[Kidhome]:[Teenhome]])&gt;0,1,0)</f>
        <v>0</v>
      </c>
      <c r="AS136" t="str">
        <f>IF(SUM(ifood_data[[#This Row],[Kidhome]:[Teenhome]])&gt;0,"Has Family","No Family")</f>
        <v>No Family</v>
      </c>
      <c r="AT136" t="str">
        <f>IF(ifood_data[[#This Row],[marital_Married]]=1,"Married", (IF(ifood_data[[#This Row],[marital_Single]]=1,"Single",(IF(ifood_data[[#This Row],[marital_Divorced]]=1,"Divorced",(IF(ifood_data[[#This Row],[marital_Together]]=1,"Living Together",(IF(ifood_data[[#This Row],[marital_Widow]]=1,"Widow","Other")))))))))</f>
        <v>Divorced</v>
      </c>
      <c r="AU136" t="str">
        <f>IF(ifood_data[[#This Row],[education_Basic]]=1,"High School",(IF(ifood_data[[#This Row],[education_Graduation]]=1,"Undergraduate Degree",(IF(SUM(AM136,AL136,AI136)&gt;0,"Master's Degree or Higher","Other")))))</f>
        <v>Undergraduate Degree</v>
      </c>
      <c r="AV136" t="str">
        <f>IF(ifood_data[[#All],[Income]]&gt;75000,"75K+",(IF(ifood_data[[#All],[Income]]&gt;50000,"50K-75K",(IF(ifood_data[[#All],[Income]]&gt;35000,"35K-50K","&lt;35K")))))</f>
        <v>75K+</v>
      </c>
      <c r="AW136" t="str">
        <f>IF(ifood_data[[#All],[Age]]&gt;60,"60+",(IF(ifood_data[[#All],[Age]]&gt;50,"50-60",(IF(ifood_data[[#All],[Age]]&gt;40,"40-50",(IF(ifood_data[[#All],[Age]]&gt;30,"30-40","&lt;30")))))))</f>
        <v>60+</v>
      </c>
      <c r="AX136">
        <f t="shared" si="8"/>
        <v>17</v>
      </c>
      <c r="AY136">
        <f t="shared" si="9"/>
        <v>5</v>
      </c>
      <c r="AZ136">
        <f t="shared" si="10"/>
        <v>3</v>
      </c>
      <c r="BA136">
        <f t="shared" si="11"/>
        <v>6</v>
      </c>
      <c r="BB136">
        <f>SUM(ifood_data[[#This Row],[Recency Score]:[Monetary Score]])</f>
        <v>14</v>
      </c>
      <c r="BC136">
        <f>(_xlfn.PERCENTRANK.INC(ifood_data[[#All],[RFM]],ifood_data[[#This Row],[RFM]],1))*10</f>
        <v>4</v>
      </c>
      <c r="BD136" t="str">
        <f>VLOOKUP(ifood_data[[#This Row],[RFM Score]],'RFM Analysis'!$A$3:$B$14,2,FALSE)</f>
        <v>At Risk</v>
      </c>
      <c r="BE136">
        <f>'Regression Models'!$B$101+'Regression Models'!$B$102*ifood_data[[#This Row],[Income]]+'Regression Models'!$B$103*ifood_data[[#This Row],[Age]]+'Regression Models'!$B$104*ifood_data[[#This Row],[Family]]</f>
        <v>1371.8880767140802</v>
      </c>
      <c r="BF136" t="str">
        <f>IF(ifood_data[[#This Row],[AcceptedCmpOverall]]=1,"Campaign Respondent","Non-respondent")</f>
        <v>Non-respondent</v>
      </c>
    </row>
    <row r="137" spans="1:58" x14ac:dyDescent="0.35">
      <c r="A137">
        <v>531</v>
      </c>
      <c r="B137">
        <v>79908</v>
      </c>
      <c r="C137">
        <v>0</v>
      </c>
      <c r="D137">
        <v>0</v>
      </c>
      <c r="E137">
        <v>30</v>
      </c>
      <c r="F137">
        <v>557</v>
      </c>
      <c r="G137">
        <v>129</v>
      </c>
      <c r="H137">
        <v>761</v>
      </c>
      <c r="I137">
        <v>29</v>
      </c>
      <c r="J137">
        <v>185</v>
      </c>
      <c r="K137">
        <v>111</v>
      </c>
      <c r="L137">
        <v>1</v>
      </c>
      <c r="M137">
        <v>5</v>
      </c>
      <c r="N137">
        <v>6</v>
      </c>
      <c r="O137">
        <v>7</v>
      </c>
      <c r="P137">
        <v>2</v>
      </c>
      <c r="Q137">
        <v>0</v>
      </c>
      <c r="R137">
        <v>0</v>
      </c>
      <c r="S137">
        <v>0</v>
      </c>
      <c r="T137">
        <v>0</v>
      </c>
      <c r="U137">
        <v>1</v>
      </c>
      <c r="V137">
        <f>IF(SUM(ifood_data[[#This Row],[AcceptedCmp1]:[AcceptedCmp5]])&gt;0,1,0)</f>
        <v>1</v>
      </c>
      <c r="W137">
        <v>0</v>
      </c>
      <c r="X137">
        <v>3</v>
      </c>
      <c r="Y137">
        <v>11</v>
      </c>
      <c r="Z137">
        <v>0</v>
      </c>
      <c r="AA137">
        <v>38</v>
      </c>
      <c r="AB137">
        <v>2609</v>
      </c>
      <c r="AC137" s="28">
        <f>ifood_data[[#This Row],[Customer_Days]]/365</f>
        <v>7.1479452054794521</v>
      </c>
      <c r="AD137">
        <v>0</v>
      </c>
      <c r="AE137">
        <v>1</v>
      </c>
      <c r="AF137">
        <v>0</v>
      </c>
      <c r="AG137">
        <v>0</v>
      </c>
      <c r="AH137">
        <v>0</v>
      </c>
      <c r="AI137">
        <v>0</v>
      </c>
      <c r="AJ137">
        <v>0</v>
      </c>
      <c r="AK137">
        <v>1</v>
      </c>
      <c r="AL137">
        <v>0</v>
      </c>
      <c r="AM137">
        <v>0</v>
      </c>
      <c r="AN137">
        <v>1661</v>
      </c>
      <c r="AO137">
        <v>1550</v>
      </c>
      <c r="AP137">
        <f>ifood_data[[#This Row],[MntTotal]]-ifood_data[[#This Row],[MntRegularProds]]</f>
        <v>111</v>
      </c>
      <c r="AQ137">
        <v>1</v>
      </c>
      <c r="AR137">
        <f>IF(SUM(ifood_data[[#This Row],[Kidhome]:[Teenhome]])&gt;0,1,0)</f>
        <v>0</v>
      </c>
      <c r="AS137" t="str">
        <f>IF(SUM(ifood_data[[#This Row],[Kidhome]:[Teenhome]])&gt;0,"Has Family","No Family")</f>
        <v>No Family</v>
      </c>
      <c r="AT137" t="str">
        <f>IF(ifood_data[[#This Row],[marital_Married]]=1,"Married", (IF(ifood_data[[#This Row],[marital_Single]]=1,"Single",(IF(ifood_data[[#This Row],[marital_Divorced]]=1,"Divorced",(IF(ifood_data[[#This Row],[marital_Together]]=1,"Living Together",(IF(ifood_data[[#This Row],[marital_Widow]]=1,"Widow","Other")))))))))</f>
        <v>Married</v>
      </c>
      <c r="AU137" t="str">
        <f>IF(ifood_data[[#This Row],[education_Basic]]=1,"High School",(IF(ifood_data[[#This Row],[education_Graduation]]=1,"Undergraduate Degree",(IF(SUM(AM137,AL137,AI137)&gt;0,"Master's Degree or Higher","Other")))))</f>
        <v>Undergraduate Degree</v>
      </c>
      <c r="AV137" t="str">
        <f>IF(ifood_data[[#All],[Income]]&gt;75000,"75K+",(IF(ifood_data[[#All],[Income]]&gt;50000,"50K-75K",(IF(ifood_data[[#All],[Income]]&gt;35000,"35K-50K","&lt;35K")))))</f>
        <v>75K+</v>
      </c>
      <c r="AW137" t="str">
        <f>IF(ifood_data[[#All],[Age]]&gt;60,"60+",(IF(ifood_data[[#All],[Age]]&gt;50,"50-60",(IF(ifood_data[[#All],[Age]]&gt;40,"40-50",(IF(ifood_data[[#All],[Age]]&gt;30,"30-40","&lt;30")))))))</f>
        <v>30-40</v>
      </c>
      <c r="AX137">
        <f t="shared" si="8"/>
        <v>21</v>
      </c>
      <c r="AY137">
        <f t="shared" si="9"/>
        <v>7</v>
      </c>
      <c r="AZ137">
        <f t="shared" si="10"/>
        <v>5</v>
      </c>
      <c r="BA137">
        <f t="shared" si="11"/>
        <v>9</v>
      </c>
      <c r="BB137">
        <f>SUM(ifood_data[[#This Row],[Recency Score]:[Monetary Score]])</f>
        <v>21</v>
      </c>
      <c r="BC137">
        <f>(_xlfn.PERCENTRANK.INC(ifood_data[[#All],[RFM]],ifood_data[[#This Row],[RFM]],1))*10</f>
        <v>8</v>
      </c>
      <c r="BD137" t="str">
        <f>VLOOKUP(ifood_data[[#This Row],[RFM Score]],'RFM Analysis'!$A$3:$B$14,2,FALSE)</f>
        <v>Loyal Customer</v>
      </c>
      <c r="BE137">
        <f>'Regression Models'!$B$101+'Regression Models'!$B$102*ifood_data[[#This Row],[Income]]+'Regression Models'!$B$103*ifood_data[[#This Row],[Age]]+'Regression Models'!$B$104*ifood_data[[#This Row],[Family]]</f>
        <v>1371.6257435702232</v>
      </c>
      <c r="BF137" t="str">
        <f>IF(ifood_data[[#This Row],[AcceptedCmpOverall]]=1,"Campaign Respondent","Non-respondent")</f>
        <v>Campaign Respondent</v>
      </c>
    </row>
    <row r="138" spans="1:58" x14ac:dyDescent="0.35">
      <c r="A138">
        <v>1404</v>
      </c>
      <c r="B138">
        <v>79529</v>
      </c>
      <c r="C138">
        <v>0</v>
      </c>
      <c r="D138">
        <v>0</v>
      </c>
      <c r="E138">
        <v>1</v>
      </c>
      <c r="F138">
        <v>423</v>
      </c>
      <c r="G138">
        <v>42</v>
      </c>
      <c r="H138">
        <v>706</v>
      </c>
      <c r="I138">
        <v>73</v>
      </c>
      <c r="J138">
        <v>197</v>
      </c>
      <c r="K138">
        <v>197</v>
      </c>
      <c r="L138">
        <v>1</v>
      </c>
      <c r="M138">
        <v>4</v>
      </c>
      <c r="N138">
        <v>8</v>
      </c>
      <c r="O138">
        <v>9</v>
      </c>
      <c r="P138">
        <v>2</v>
      </c>
      <c r="Q138">
        <v>0</v>
      </c>
      <c r="R138">
        <v>0</v>
      </c>
      <c r="S138">
        <v>0</v>
      </c>
      <c r="T138">
        <v>0</v>
      </c>
      <c r="U138">
        <v>0</v>
      </c>
      <c r="V138">
        <f>IF(SUM(ifood_data[[#This Row],[AcceptedCmp1]:[AcceptedCmp5]])&gt;0,1,0)</f>
        <v>0</v>
      </c>
      <c r="W138">
        <v>0</v>
      </c>
      <c r="X138">
        <v>3</v>
      </c>
      <c r="Y138">
        <v>11</v>
      </c>
      <c r="Z138">
        <v>0</v>
      </c>
      <c r="AA138">
        <v>34</v>
      </c>
      <c r="AB138">
        <v>2222</v>
      </c>
      <c r="AC138" s="28">
        <f>ifood_data[[#This Row],[Customer_Days]]/365</f>
        <v>6.087671232876712</v>
      </c>
      <c r="AD138">
        <v>0</v>
      </c>
      <c r="AE138">
        <v>1</v>
      </c>
      <c r="AF138">
        <v>0</v>
      </c>
      <c r="AG138">
        <v>0</v>
      </c>
      <c r="AH138">
        <v>0</v>
      </c>
      <c r="AI138">
        <v>0</v>
      </c>
      <c r="AJ138">
        <v>0</v>
      </c>
      <c r="AK138">
        <v>1</v>
      </c>
      <c r="AL138">
        <v>0</v>
      </c>
      <c r="AM138">
        <v>0</v>
      </c>
      <c r="AN138">
        <v>1441</v>
      </c>
      <c r="AO138">
        <v>1244</v>
      </c>
      <c r="AP138">
        <f>ifood_data[[#This Row],[MntTotal]]-ifood_data[[#This Row],[MntRegularProds]]</f>
        <v>197</v>
      </c>
      <c r="AQ138">
        <v>0</v>
      </c>
      <c r="AR138">
        <f>IF(SUM(ifood_data[[#This Row],[Kidhome]:[Teenhome]])&gt;0,1,0)</f>
        <v>0</v>
      </c>
      <c r="AS138" t="str">
        <f>IF(SUM(ifood_data[[#This Row],[Kidhome]:[Teenhome]])&gt;0,"Has Family","No Family")</f>
        <v>No Family</v>
      </c>
      <c r="AT138" t="str">
        <f>IF(ifood_data[[#This Row],[marital_Married]]=1,"Married", (IF(ifood_data[[#This Row],[marital_Single]]=1,"Single",(IF(ifood_data[[#This Row],[marital_Divorced]]=1,"Divorced",(IF(ifood_data[[#This Row],[marital_Together]]=1,"Living Together",(IF(ifood_data[[#This Row],[marital_Widow]]=1,"Widow","Other")))))))))</f>
        <v>Married</v>
      </c>
      <c r="AU138" t="str">
        <f>IF(ifood_data[[#This Row],[education_Basic]]=1,"High School",(IF(ifood_data[[#This Row],[education_Graduation]]=1,"Undergraduate Degree",(IF(SUM(AM138,AL138,AI138)&gt;0,"Master's Degree or Higher","Other")))))</f>
        <v>Undergraduate Degree</v>
      </c>
      <c r="AV138" t="str">
        <f>IF(ifood_data[[#All],[Income]]&gt;75000,"75K+",(IF(ifood_data[[#All],[Income]]&gt;50000,"50K-75K",(IF(ifood_data[[#All],[Income]]&gt;35000,"35K-50K","&lt;35K")))))</f>
        <v>75K+</v>
      </c>
      <c r="AW138" t="str">
        <f>IF(ifood_data[[#All],[Age]]&gt;60,"60+",(IF(ifood_data[[#All],[Age]]&gt;50,"50-60",(IF(ifood_data[[#All],[Age]]&gt;40,"40-50",(IF(ifood_data[[#All],[Age]]&gt;30,"30-40","&lt;30")))))))</f>
        <v>30-40</v>
      </c>
      <c r="AX138">
        <f t="shared" si="8"/>
        <v>24</v>
      </c>
      <c r="AY138">
        <f t="shared" si="9"/>
        <v>10</v>
      </c>
      <c r="AZ138">
        <f t="shared" si="10"/>
        <v>6</v>
      </c>
      <c r="BA138">
        <f t="shared" si="11"/>
        <v>8</v>
      </c>
      <c r="BB138">
        <f>SUM(ifood_data[[#This Row],[Recency Score]:[Monetary Score]])</f>
        <v>24</v>
      </c>
      <c r="BC138">
        <f>(_xlfn.PERCENTRANK.INC(ifood_data[[#All],[RFM]],ifood_data[[#This Row],[RFM]],1))*10</f>
        <v>9</v>
      </c>
      <c r="BD138" t="str">
        <f>VLOOKUP(ifood_data[[#This Row],[RFM Score]],'RFM Analysis'!$A$3:$B$14,2,FALSE)</f>
        <v>Top Customer</v>
      </c>
      <c r="BE138">
        <f>'Regression Models'!$B$101+'Regression Models'!$B$102*ifood_data[[#This Row],[Income]]+'Regression Models'!$B$103*ifood_data[[#This Row],[Age]]+'Regression Models'!$B$104*ifood_data[[#This Row],[Family]]</f>
        <v>1371.2441567592628</v>
      </c>
      <c r="BF138" t="str">
        <f>IF(ifood_data[[#This Row],[AcceptedCmpOverall]]=1,"Campaign Respondent","Non-respondent")</f>
        <v>Non-respondent</v>
      </c>
    </row>
    <row r="139" spans="1:58" x14ac:dyDescent="0.35">
      <c r="A139">
        <v>1241</v>
      </c>
      <c r="B139">
        <v>81843</v>
      </c>
      <c r="C139">
        <v>0</v>
      </c>
      <c r="D139">
        <v>0</v>
      </c>
      <c r="E139">
        <v>13</v>
      </c>
      <c r="F139">
        <v>779</v>
      </c>
      <c r="G139">
        <v>86</v>
      </c>
      <c r="H139">
        <v>537</v>
      </c>
      <c r="I139">
        <v>34</v>
      </c>
      <c r="J139">
        <v>69</v>
      </c>
      <c r="K139">
        <v>138</v>
      </c>
      <c r="L139">
        <v>1</v>
      </c>
      <c r="M139">
        <v>5</v>
      </c>
      <c r="N139">
        <v>9</v>
      </c>
      <c r="O139">
        <v>12</v>
      </c>
      <c r="P139">
        <v>3</v>
      </c>
      <c r="Q139">
        <v>0</v>
      </c>
      <c r="R139">
        <v>0</v>
      </c>
      <c r="S139">
        <v>0</v>
      </c>
      <c r="T139">
        <v>0</v>
      </c>
      <c r="U139">
        <v>0</v>
      </c>
      <c r="V139">
        <f>IF(SUM(ifood_data[[#This Row],[AcceptedCmp1]:[AcceptedCmp5]])&gt;0,1,0)</f>
        <v>0</v>
      </c>
      <c r="W139">
        <v>0</v>
      </c>
      <c r="X139">
        <v>3</v>
      </c>
      <c r="Y139">
        <v>11</v>
      </c>
      <c r="Z139">
        <v>0</v>
      </c>
      <c r="AA139">
        <v>60</v>
      </c>
      <c r="AB139">
        <v>2592</v>
      </c>
      <c r="AC139" s="28">
        <f>ifood_data[[#This Row],[Customer_Days]]/365</f>
        <v>7.1013698630136988</v>
      </c>
      <c r="AD139">
        <v>0</v>
      </c>
      <c r="AE139">
        <v>1</v>
      </c>
      <c r="AF139">
        <v>0</v>
      </c>
      <c r="AG139">
        <v>0</v>
      </c>
      <c r="AH139">
        <v>0</v>
      </c>
      <c r="AI139">
        <v>0</v>
      </c>
      <c r="AJ139">
        <v>0</v>
      </c>
      <c r="AK139">
        <v>0</v>
      </c>
      <c r="AL139">
        <v>1</v>
      </c>
      <c r="AM139">
        <v>0</v>
      </c>
      <c r="AN139">
        <v>1505</v>
      </c>
      <c r="AO139">
        <v>1367</v>
      </c>
      <c r="AP139">
        <f>ifood_data[[#This Row],[MntTotal]]-ifood_data[[#This Row],[MntRegularProds]]</f>
        <v>138</v>
      </c>
      <c r="AQ139">
        <v>0</v>
      </c>
      <c r="AR139">
        <f>IF(SUM(ifood_data[[#This Row],[Kidhome]:[Teenhome]])&gt;0,1,0)</f>
        <v>0</v>
      </c>
      <c r="AS139" t="str">
        <f>IF(SUM(ifood_data[[#This Row],[Kidhome]:[Teenhome]])&gt;0,"Has Family","No Family")</f>
        <v>No Family</v>
      </c>
      <c r="AT139" t="str">
        <f>IF(ifood_data[[#This Row],[marital_Married]]=1,"Married", (IF(ifood_data[[#This Row],[marital_Single]]=1,"Single",(IF(ifood_data[[#This Row],[marital_Divorced]]=1,"Divorced",(IF(ifood_data[[#This Row],[marital_Together]]=1,"Living Together",(IF(ifood_data[[#This Row],[marital_Widow]]=1,"Widow","Other")))))))))</f>
        <v>Married</v>
      </c>
      <c r="AU139" t="str">
        <f>IF(ifood_data[[#This Row],[education_Basic]]=1,"High School",(IF(ifood_data[[#This Row],[education_Graduation]]=1,"Undergraduate Degree",(IF(SUM(AM139,AL139,AI139)&gt;0,"Master's Degree or Higher","Other")))))</f>
        <v>Master's Degree or Higher</v>
      </c>
      <c r="AV139" t="str">
        <f>IF(ifood_data[[#All],[Income]]&gt;75000,"75K+",(IF(ifood_data[[#All],[Income]]&gt;50000,"50K-75K",(IF(ifood_data[[#All],[Income]]&gt;35000,"35K-50K","&lt;35K")))))</f>
        <v>75K+</v>
      </c>
      <c r="AW139" t="str">
        <f>IF(ifood_data[[#All],[Age]]&gt;60,"60+",(IF(ifood_data[[#All],[Age]]&gt;50,"50-60",(IF(ifood_data[[#All],[Age]]&gt;40,"40-50",(IF(ifood_data[[#All],[Age]]&gt;30,"30-40","&lt;30")))))))</f>
        <v>50-60</v>
      </c>
      <c r="AX139">
        <f t="shared" si="8"/>
        <v>30</v>
      </c>
      <c r="AY139">
        <f t="shared" si="9"/>
        <v>9</v>
      </c>
      <c r="AZ139">
        <f t="shared" si="10"/>
        <v>8</v>
      </c>
      <c r="BA139">
        <f t="shared" si="11"/>
        <v>9</v>
      </c>
      <c r="BB139">
        <f>SUM(ifood_data[[#This Row],[Recency Score]:[Monetary Score]])</f>
        <v>26</v>
      </c>
      <c r="BC139">
        <f>(_xlfn.PERCENTRANK.INC(ifood_data[[#All],[RFM]],ifood_data[[#This Row],[RFM]],1))*10</f>
        <v>9</v>
      </c>
      <c r="BD139" t="str">
        <f>VLOOKUP(ifood_data[[#This Row],[RFM Score]],'RFM Analysis'!$A$3:$B$14,2,FALSE)</f>
        <v>Top Customer</v>
      </c>
      <c r="BE139">
        <f>'Regression Models'!$B$101+'Regression Models'!$B$102*ifood_data[[#This Row],[Income]]+'Regression Models'!$B$103*ifood_data[[#This Row],[Age]]+'Regression Models'!$B$104*ifood_data[[#This Row],[Family]]</f>
        <v>1370.6763501929936</v>
      </c>
      <c r="BF139" t="str">
        <f>IF(ifood_data[[#This Row],[AcceptedCmpOverall]]=1,"Campaign Respondent","Non-respondent")</f>
        <v>Non-respondent</v>
      </c>
    </row>
    <row r="140" spans="1:58" x14ac:dyDescent="0.35">
      <c r="A140">
        <v>117</v>
      </c>
      <c r="B140">
        <v>79607</v>
      </c>
      <c r="C140">
        <v>0</v>
      </c>
      <c r="D140">
        <v>0</v>
      </c>
      <c r="E140">
        <v>37</v>
      </c>
      <c r="F140">
        <v>450</v>
      </c>
      <c r="G140">
        <v>133</v>
      </c>
      <c r="H140">
        <v>951</v>
      </c>
      <c r="I140">
        <v>173</v>
      </c>
      <c r="J140">
        <v>0</v>
      </c>
      <c r="K140">
        <v>216</v>
      </c>
      <c r="L140">
        <v>1</v>
      </c>
      <c r="M140">
        <v>3</v>
      </c>
      <c r="N140">
        <v>6</v>
      </c>
      <c r="O140">
        <v>6</v>
      </c>
      <c r="P140">
        <v>1</v>
      </c>
      <c r="Q140">
        <v>0</v>
      </c>
      <c r="R140">
        <v>0</v>
      </c>
      <c r="S140">
        <v>0</v>
      </c>
      <c r="T140">
        <v>0</v>
      </c>
      <c r="U140">
        <v>0</v>
      </c>
      <c r="V140">
        <f>IF(SUM(ifood_data[[#This Row],[AcceptedCmp1]:[AcceptedCmp5]])&gt;0,1,0)</f>
        <v>0</v>
      </c>
      <c r="W140">
        <v>0</v>
      </c>
      <c r="X140">
        <v>3</v>
      </c>
      <c r="Y140">
        <v>11</v>
      </c>
      <c r="Z140">
        <v>1</v>
      </c>
      <c r="AA140">
        <v>36</v>
      </c>
      <c r="AB140">
        <v>2593</v>
      </c>
      <c r="AC140" s="28">
        <f>ifood_data[[#This Row],[Customer_Days]]/365</f>
        <v>7.1041095890410961</v>
      </c>
      <c r="AD140">
        <v>0</v>
      </c>
      <c r="AE140">
        <v>0</v>
      </c>
      <c r="AF140">
        <v>1</v>
      </c>
      <c r="AG140">
        <v>0</v>
      </c>
      <c r="AH140">
        <v>0</v>
      </c>
      <c r="AI140">
        <v>0</v>
      </c>
      <c r="AJ140">
        <v>0</v>
      </c>
      <c r="AK140">
        <v>1</v>
      </c>
      <c r="AL140">
        <v>0</v>
      </c>
      <c r="AM140">
        <v>0</v>
      </c>
      <c r="AN140">
        <v>1707</v>
      </c>
      <c r="AO140">
        <v>1491</v>
      </c>
      <c r="AP140">
        <f>ifood_data[[#This Row],[MntTotal]]-ifood_data[[#This Row],[MntRegularProds]]</f>
        <v>216</v>
      </c>
      <c r="AQ140">
        <v>0</v>
      </c>
      <c r="AR140">
        <f>IF(SUM(ifood_data[[#This Row],[Kidhome]:[Teenhome]])&gt;0,1,0)</f>
        <v>0</v>
      </c>
      <c r="AS140" t="str">
        <f>IF(SUM(ifood_data[[#This Row],[Kidhome]:[Teenhome]])&gt;0,"Has Family","No Family")</f>
        <v>No Family</v>
      </c>
      <c r="AT140" t="str">
        <f>IF(ifood_data[[#This Row],[marital_Married]]=1,"Married", (IF(ifood_data[[#This Row],[marital_Single]]=1,"Single",(IF(ifood_data[[#This Row],[marital_Divorced]]=1,"Divorced",(IF(ifood_data[[#This Row],[marital_Together]]=1,"Living Together",(IF(ifood_data[[#This Row],[marital_Widow]]=1,"Widow","Other")))))))))</f>
        <v>Single</v>
      </c>
      <c r="AU140" t="str">
        <f>IF(ifood_data[[#This Row],[education_Basic]]=1,"High School",(IF(ifood_data[[#This Row],[education_Graduation]]=1,"Undergraduate Degree",(IF(SUM(AM140,AL140,AI140)&gt;0,"Master's Degree or Higher","Other")))))</f>
        <v>Undergraduate Degree</v>
      </c>
      <c r="AV140" t="str">
        <f>IF(ifood_data[[#All],[Income]]&gt;75000,"75K+",(IF(ifood_data[[#All],[Income]]&gt;50000,"50K-75K",(IF(ifood_data[[#All],[Income]]&gt;35000,"35K-50K","&lt;35K")))))</f>
        <v>75K+</v>
      </c>
      <c r="AW140" t="str">
        <f>IF(ifood_data[[#All],[Age]]&gt;60,"60+",(IF(ifood_data[[#All],[Age]]&gt;50,"50-60",(IF(ifood_data[[#All],[Age]]&gt;40,"40-50",(IF(ifood_data[[#All],[Age]]&gt;30,"30-40","&lt;30")))))))</f>
        <v>30-40</v>
      </c>
      <c r="AX140">
        <f t="shared" si="8"/>
        <v>17</v>
      </c>
      <c r="AY140">
        <f t="shared" si="9"/>
        <v>7</v>
      </c>
      <c r="AZ140">
        <f t="shared" si="10"/>
        <v>3</v>
      </c>
      <c r="BA140">
        <f t="shared" si="11"/>
        <v>9</v>
      </c>
      <c r="BB140">
        <f>SUM(ifood_data[[#This Row],[Recency Score]:[Monetary Score]])</f>
        <v>19</v>
      </c>
      <c r="BC140">
        <f>(_xlfn.PERCENTRANK.INC(ifood_data[[#All],[RFM]],ifood_data[[#This Row],[RFM]],1))*10</f>
        <v>7</v>
      </c>
      <c r="BD140" t="str">
        <f>VLOOKUP(ifood_data[[#This Row],[RFM Score]],'RFM Analysis'!$A$3:$B$14,2,FALSE)</f>
        <v>Loyal Customer</v>
      </c>
      <c r="BE140">
        <f>'Regression Models'!$B$101+'Regression Models'!$B$102*ifood_data[[#This Row],[Income]]+'Regression Models'!$B$103*ifood_data[[#This Row],[Age]]+'Regression Models'!$B$104*ifood_data[[#This Row],[Family]]</f>
        <v>1369.1616025166982</v>
      </c>
      <c r="BF140" t="str">
        <f>IF(ifood_data[[#This Row],[AcceptedCmpOverall]]=1,"Campaign Respondent","Non-respondent")</f>
        <v>Non-respondent</v>
      </c>
    </row>
    <row r="141" spans="1:58" x14ac:dyDescent="0.35">
      <c r="A141">
        <v>711</v>
      </c>
      <c r="B141">
        <v>80952</v>
      </c>
      <c r="C141">
        <v>0</v>
      </c>
      <c r="D141">
        <v>0</v>
      </c>
      <c r="E141">
        <v>20</v>
      </c>
      <c r="F141">
        <v>778</v>
      </c>
      <c r="G141">
        <v>178</v>
      </c>
      <c r="H141">
        <v>689</v>
      </c>
      <c r="I141">
        <v>41</v>
      </c>
      <c r="J141">
        <v>27</v>
      </c>
      <c r="K141">
        <v>44</v>
      </c>
      <c r="L141">
        <v>1</v>
      </c>
      <c r="M141">
        <v>8</v>
      </c>
      <c r="N141">
        <v>5</v>
      </c>
      <c r="O141">
        <v>11</v>
      </c>
      <c r="P141">
        <v>8</v>
      </c>
      <c r="Q141">
        <v>1</v>
      </c>
      <c r="R141">
        <v>0</v>
      </c>
      <c r="S141">
        <v>0</v>
      </c>
      <c r="T141">
        <v>1</v>
      </c>
      <c r="U141">
        <v>1</v>
      </c>
      <c r="V141">
        <f>IF(SUM(ifood_data[[#This Row],[AcceptedCmp1]:[AcceptedCmp5]])&gt;0,1,0)</f>
        <v>1</v>
      </c>
      <c r="W141">
        <v>0</v>
      </c>
      <c r="X141">
        <v>3</v>
      </c>
      <c r="Y141">
        <v>11</v>
      </c>
      <c r="Z141">
        <v>1</v>
      </c>
      <c r="AA141">
        <v>51</v>
      </c>
      <c r="AB141">
        <v>2645</v>
      </c>
      <c r="AC141" s="28">
        <f>ifood_data[[#This Row],[Customer_Days]]/365</f>
        <v>7.2465753424657535</v>
      </c>
      <c r="AD141">
        <v>0</v>
      </c>
      <c r="AE141">
        <v>1</v>
      </c>
      <c r="AF141">
        <v>0</v>
      </c>
      <c r="AG141">
        <v>0</v>
      </c>
      <c r="AH141">
        <v>0</v>
      </c>
      <c r="AI141">
        <v>0</v>
      </c>
      <c r="AJ141">
        <v>0</v>
      </c>
      <c r="AK141">
        <v>1</v>
      </c>
      <c r="AL141">
        <v>0</v>
      </c>
      <c r="AM141">
        <v>0</v>
      </c>
      <c r="AN141">
        <v>1713</v>
      </c>
      <c r="AO141">
        <v>1669</v>
      </c>
      <c r="AP141">
        <f>ifood_data[[#This Row],[MntTotal]]-ifood_data[[#This Row],[MntRegularProds]]</f>
        <v>44</v>
      </c>
      <c r="AQ141">
        <v>3</v>
      </c>
      <c r="AR141">
        <f>IF(SUM(ifood_data[[#This Row],[Kidhome]:[Teenhome]])&gt;0,1,0)</f>
        <v>0</v>
      </c>
      <c r="AS141" t="str">
        <f>IF(SUM(ifood_data[[#This Row],[Kidhome]:[Teenhome]])&gt;0,"Has Family","No Family")</f>
        <v>No Family</v>
      </c>
      <c r="AT141" t="str">
        <f>IF(ifood_data[[#This Row],[marital_Married]]=1,"Married", (IF(ifood_data[[#This Row],[marital_Single]]=1,"Single",(IF(ifood_data[[#This Row],[marital_Divorced]]=1,"Divorced",(IF(ifood_data[[#This Row],[marital_Together]]=1,"Living Together",(IF(ifood_data[[#This Row],[marital_Widow]]=1,"Widow","Other")))))))))</f>
        <v>Married</v>
      </c>
      <c r="AU141" t="str">
        <f>IF(ifood_data[[#This Row],[education_Basic]]=1,"High School",(IF(ifood_data[[#This Row],[education_Graduation]]=1,"Undergraduate Degree",(IF(SUM(AM141,AL141,AI141)&gt;0,"Master's Degree or Higher","Other")))))</f>
        <v>Undergraduate Degree</v>
      </c>
      <c r="AV141" t="str">
        <f>IF(ifood_data[[#All],[Income]]&gt;75000,"75K+",(IF(ifood_data[[#All],[Income]]&gt;50000,"50K-75K",(IF(ifood_data[[#All],[Income]]&gt;35000,"35K-50K","&lt;35K")))))</f>
        <v>75K+</v>
      </c>
      <c r="AW141" t="str">
        <f>IF(ifood_data[[#All],[Age]]&gt;60,"60+",(IF(ifood_data[[#All],[Age]]&gt;50,"50-60",(IF(ifood_data[[#All],[Age]]&gt;40,"40-50",(IF(ifood_data[[#All],[Age]]&gt;30,"30-40","&lt;30")))))))</f>
        <v>50-60</v>
      </c>
      <c r="AX141">
        <f t="shared" si="8"/>
        <v>33</v>
      </c>
      <c r="AY141">
        <f t="shared" si="9"/>
        <v>8</v>
      </c>
      <c r="AZ141">
        <f t="shared" si="10"/>
        <v>9</v>
      </c>
      <c r="BA141">
        <f t="shared" si="11"/>
        <v>9</v>
      </c>
      <c r="BB141">
        <f>SUM(ifood_data[[#This Row],[Recency Score]:[Monetary Score]])</f>
        <v>26</v>
      </c>
      <c r="BC141">
        <f>(_xlfn.PERCENTRANK.INC(ifood_data[[#All],[RFM]],ifood_data[[#This Row],[RFM]],1))*10</f>
        <v>9</v>
      </c>
      <c r="BD141" t="str">
        <f>VLOOKUP(ifood_data[[#This Row],[RFM Score]],'RFM Analysis'!$A$3:$B$14,2,FALSE)</f>
        <v>Top Customer</v>
      </c>
      <c r="BE141">
        <f>'Regression Models'!$B$101+'Regression Models'!$B$102*ifood_data[[#This Row],[Income]]+'Regression Models'!$B$103*ifood_data[[#This Row],[Age]]+'Regression Models'!$B$104*ifood_data[[#This Row],[Family]]</f>
        <v>1369.0379094868281</v>
      </c>
      <c r="BF141" t="str">
        <f>IF(ifood_data[[#This Row],[AcceptedCmpOverall]]=1,"Campaign Respondent","Non-respondent")</f>
        <v>Campaign Respondent</v>
      </c>
    </row>
    <row r="142" spans="1:58" x14ac:dyDescent="0.35">
      <c r="A142">
        <v>749</v>
      </c>
      <c r="B142">
        <v>82017</v>
      </c>
      <c r="C142">
        <v>0</v>
      </c>
      <c r="D142">
        <v>0</v>
      </c>
      <c r="E142">
        <v>58</v>
      </c>
      <c r="F142">
        <v>184</v>
      </c>
      <c r="G142">
        <v>23</v>
      </c>
      <c r="H142">
        <v>446</v>
      </c>
      <c r="I142">
        <v>30</v>
      </c>
      <c r="J142">
        <v>23</v>
      </c>
      <c r="K142">
        <v>23</v>
      </c>
      <c r="L142">
        <v>1</v>
      </c>
      <c r="M142">
        <v>5</v>
      </c>
      <c r="N142">
        <v>4</v>
      </c>
      <c r="O142">
        <v>7</v>
      </c>
      <c r="P142">
        <v>2</v>
      </c>
      <c r="Q142">
        <v>1</v>
      </c>
      <c r="R142">
        <v>0</v>
      </c>
      <c r="S142">
        <v>0</v>
      </c>
      <c r="T142">
        <v>1</v>
      </c>
      <c r="U142">
        <v>1</v>
      </c>
      <c r="V142">
        <f>IF(SUM(ifood_data[[#This Row],[AcceptedCmp1]:[AcceptedCmp5]])&gt;0,1,0)</f>
        <v>1</v>
      </c>
      <c r="W142">
        <v>0</v>
      </c>
      <c r="X142">
        <v>3</v>
      </c>
      <c r="Y142">
        <v>11</v>
      </c>
      <c r="Z142">
        <v>1</v>
      </c>
      <c r="AA142">
        <v>63</v>
      </c>
      <c r="AB142">
        <v>2758</v>
      </c>
      <c r="AC142" s="28">
        <f>ifood_data[[#This Row],[Customer_Days]]/365</f>
        <v>7.5561643835616437</v>
      </c>
      <c r="AD142">
        <v>0</v>
      </c>
      <c r="AE142">
        <v>1</v>
      </c>
      <c r="AF142">
        <v>0</v>
      </c>
      <c r="AG142">
        <v>0</v>
      </c>
      <c r="AH142">
        <v>0</v>
      </c>
      <c r="AI142">
        <v>0</v>
      </c>
      <c r="AJ142">
        <v>0</v>
      </c>
      <c r="AK142">
        <v>0</v>
      </c>
      <c r="AL142">
        <v>0</v>
      </c>
      <c r="AM142">
        <v>1</v>
      </c>
      <c r="AN142">
        <v>706</v>
      </c>
      <c r="AO142">
        <v>683</v>
      </c>
      <c r="AP142">
        <f>ifood_data[[#This Row],[MntTotal]]-ifood_data[[#This Row],[MntRegularProds]]</f>
        <v>23</v>
      </c>
      <c r="AQ142">
        <v>3</v>
      </c>
      <c r="AR142">
        <f>IF(SUM(ifood_data[[#This Row],[Kidhome]:[Teenhome]])&gt;0,1,0)</f>
        <v>0</v>
      </c>
      <c r="AS142" t="str">
        <f>IF(SUM(ifood_data[[#This Row],[Kidhome]:[Teenhome]])&gt;0,"Has Family","No Family")</f>
        <v>No Family</v>
      </c>
      <c r="AT142" t="str">
        <f>IF(ifood_data[[#This Row],[marital_Married]]=1,"Married", (IF(ifood_data[[#This Row],[marital_Single]]=1,"Single",(IF(ifood_data[[#This Row],[marital_Divorced]]=1,"Divorced",(IF(ifood_data[[#This Row],[marital_Together]]=1,"Living Together",(IF(ifood_data[[#This Row],[marital_Widow]]=1,"Widow","Other")))))))))</f>
        <v>Married</v>
      </c>
      <c r="AU142" t="str">
        <f>IF(ifood_data[[#This Row],[education_Basic]]=1,"High School",(IF(ifood_data[[#This Row],[education_Graduation]]=1,"Undergraduate Degree",(IF(SUM(AM142,AL142,AI142)&gt;0,"Master's Degree or Higher","Other")))))</f>
        <v>Master's Degree or Higher</v>
      </c>
      <c r="AV142" t="str">
        <f>IF(ifood_data[[#All],[Income]]&gt;75000,"75K+",(IF(ifood_data[[#All],[Income]]&gt;50000,"50K-75K",(IF(ifood_data[[#All],[Income]]&gt;35000,"35K-50K","&lt;35K")))))</f>
        <v>75K+</v>
      </c>
      <c r="AW142" t="str">
        <f>IF(ifood_data[[#All],[Age]]&gt;60,"60+",(IF(ifood_data[[#All],[Age]]&gt;50,"50-60",(IF(ifood_data[[#All],[Age]]&gt;40,"40-50",(IF(ifood_data[[#All],[Age]]&gt;30,"30-40","&lt;30")))))))</f>
        <v>60+</v>
      </c>
      <c r="AX142">
        <f t="shared" si="8"/>
        <v>19</v>
      </c>
      <c r="AY142">
        <f t="shared" si="9"/>
        <v>5</v>
      </c>
      <c r="AZ142">
        <f t="shared" si="10"/>
        <v>4</v>
      </c>
      <c r="BA142">
        <f t="shared" si="11"/>
        <v>6</v>
      </c>
      <c r="BB142">
        <f>SUM(ifood_data[[#This Row],[Recency Score]:[Monetary Score]])</f>
        <v>15</v>
      </c>
      <c r="BC142">
        <f>(_xlfn.PERCENTRANK.INC(ifood_data[[#All],[RFM]],ifood_data[[#This Row],[RFM]],1))*10</f>
        <v>4</v>
      </c>
      <c r="BD142" t="str">
        <f>VLOOKUP(ifood_data[[#This Row],[RFM Score]],'RFM Analysis'!$A$3:$B$14,2,FALSE)</f>
        <v>At Risk</v>
      </c>
      <c r="BE142">
        <f>'Regression Models'!$B$101+'Regression Models'!$B$102*ifood_data[[#This Row],[Income]]+'Regression Models'!$B$103*ifood_data[[#This Row],[Age]]+'Regression Models'!$B$104*ifood_data[[#This Row],[Family]]</f>
        <v>1368.7146786133487</v>
      </c>
      <c r="BF142" t="str">
        <f>IF(ifood_data[[#This Row],[AcceptedCmpOverall]]=1,"Campaign Respondent","Non-respondent")</f>
        <v>Campaign Respondent</v>
      </c>
    </row>
    <row r="143" spans="1:58" x14ac:dyDescent="0.35">
      <c r="A143">
        <v>581</v>
      </c>
      <c r="B143">
        <v>81168</v>
      </c>
      <c r="C143">
        <v>0</v>
      </c>
      <c r="D143">
        <v>0</v>
      </c>
      <c r="E143">
        <v>84</v>
      </c>
      <c r="F143">
        <v>410</v>
      </c>
      <c r="G143">
        <v>0</v>
      </c>
      <c r="H143">
        <v>592</v>
      </c>
      <c r="I143">
        <v>147</v>
      </c>
      <c r="J143">
        <v>22</v>
      </c>
      <c r="K143">
        <v>22</v>
      </c>
      <c r="L143">
        <v>1</v>
      </c>
      <c r="M143">
        <v>6</v>
      </c>
      <c r="N143">
        <v>4</v>
      </c>
      <c r="O143">
        <v>7</v>
      </c>
      <c r="P143">
        <v>3</v>
      </c>
      <c r="Q143">
        <v>1</v>
      </c>
      <c r="R143">
        <v>0</v>
      </c>
      <c r="S143">
        <v>0</v>
      </c>
      <c r="T143">
        <v>0</v>
      </c>
      <c r="U143">
        <v>0</v>
      </c>
      <c r="V143">
        <f>IF(SUM(ifood_data[[#This Row],[AcceptedCmp1]:[AcceptedCmp5]])&gt;0,1,0)</f>
        <v>1</v>
      </c>
      <c r="W143">
        <v>0</v>
      </c>
      <c r="X143">
        <v>3</v>
      </c>
      <c r="Y143">
        <v>11</v>
      </c>
      <c r="Z143">
        <v>0</v>
      </c>
      <c r="AA143">
        <v>55</v>
      </c>
      <c r="AB143">
        <v>2212</v>
      </c>
      <c r="AC143" s="28">
        <f>ifood_data[[#This Row],[Customer_Days]]/365</f>
        <v>6.0602739726027401</v>
      </c>
      <c r="AD143">
        <v>0</v>
      </c>
      <c r="AE143">
        <v>1</v>
      </c>
      <c r="AF143">
        <v>0</v>
      </c>
      <c r="AG143">
        <v>0</v>
      </c>
      <c r="AH143">
        <v>0</v>
      </c>
      <c r="AI143">
        <v>0</v>
      </c>
      <c r="AJ143">
        <v>0</v>
      </c>
      <c r="AK143">
        <v>1</v>
      </c>
      <c r="AL143">
        <v>0</v>
      </c>
      <c r="AM143">
        <v>0</v>
      </c>
      <c r="AN143">
        <v>1171</v>
      </c>
      <c r="AO143">
        <v>1149</v>
      </c>
      <c r="AP143">
        <f>ifood_data[[#This Row],[MntTotal]]-ifood_data[[#This Row],[MntRegularProds]]</f>
        <v>22</v>
      </c>
      <c r="AQ143">
        <v>1</v>
      </c>
      <c r="AR143">
        <f>IF(SUM(ifood_data[[#This Row],[Kidhome]:[Teenhome]])&gt;0,1,0)</f>
        <v>0</v>
      </c>
      <c r="AS143" t="str">
        <f>IF(SUM(ifood_data[[#This Row],[Kidhome]:[Teenhome]])&gt;0,"Has Family","No Family")</f>
        <v>No Family</v>
      </c>
      <c r="AT143" t="str">
        <f>IF(ifood_data[[#This Row],[marital_Married]]=1,"Married", (IF(ifood_data[[#This Row],[marital_Single]]=1,"Single",(IF(ifood_data[[#This Row],[marital_Divorced]]=1,"Divorced",(IF(ifood_data[[#This Row],[marital_Together]]=1,"Living Together",(IF(ifood_data[[#This Row],[marital_Widow]]=1,"Widow","Other")))))))))</f>
        <v>Married</v>
      </c>
      <c r="AU143" t="str">
        <f>IF(ifood_data[[#This Row],[education_Basic]]=1,"High School",(IF(ifood_data[[#This Row],[education_Graduation]]=1,"Undergraduate Degree",(IF(SUM(AM143,AL143,AI143)&gt;0,"Master's Degree or Higher","Other")))))</f>
        <v>Undergraduate Degree</v>
      </c>
      <c r="AV143" t="str">
        <f>IF(ifood_data[[#All],[Income]]&gt;75000,"75K+",(IF(ifood_data[[#All],[Income]]&gt;50000,"50K-75K",(IF(ifood_data[[#All],[Income]]&gt;35000,"35K-50K","&lt;35K")))))</f>
        <v>75K+</v>
      </c>
      <c r="AW143" t="str">
        <f>IF(ifood_data[[#All],[Age]]&gt;60,"60+",(IF(ifood_data[[#All],[Age]]&gt;50,"50-60",(IF(ifood_data[[#All],[Age]]&gt;40,"40-50",(IF(ifood_data[[#All],[Age]]&gt;30,"30-40","&lt;30")))))))</f>
        <v>50-60</v>
      </c>
      <c r="AX143">
        <f t="shared" si="8"/>
        <v>21</v>
      </c>
      <c r="AY143">
        <f t="shared" si="9"/>
        <v>1.9999999999999996</v>
      </c>
      <c r="AZ143">
        <f t="shared" si="10"/>
        <v>5</v>
      </c>
      <c r="BA143">
        <f t="shared" si="11"/>
        <v>8</v>
      </c>
      <c r="BB143">
        <f>SUM(ifood_data[[#This Row],[Recency Score]:[Monetary Score]])</f>
        <v>15</v>
      </c>
      <c r="BC143">
        <f>(_xlfn.PERCENTRANK.INC(ifood_data[[#All],[RFM]],ifood_data[[#This Row],[RFM]],1))*10</f>
        <v>4</v>
      </c>
      <c r="BD143" t="str">
        <f>VLOOKUP(ifood_data[[#This Row],[RFM Score]],'RFM Analysis'!$A$3:$B$14,2,FALSE)</f>
        <v>At Risk</v>
      </c>
      <c r="BE143">
        <f>'Regression Models'!$B$101+'Regression Models'!$B$102*ifood_data[[#This Row],[Income]]+'Regression Models'!$B$103*ifood_data[[#This Row],[Age]]+'Regression Models'!$B$104*ifood_data[[#This Row],[Family]]</f>
        <v>1366.0961270903331</v>
      </c>
      <c r="BF143" t="str">
        <f>IF(ifood_data[[#This Row],[AcceptedCmpOverall]]=1,"Campaign Respondent","Non-respondent")</f>
        <v>Campaign Respondent</v>
      </c>
    </row>
    <row r="144" spans="1:58" x14ac:dyDescent="0.35">
      <c r="A144">
        <v>423</v>
      </c>
      <c r="B144">
        <v>81246</v>
      </c>
      <c r="C144">
        <v>0</v>
      </c>
      <c r="D144">
        <v>0</v>
      </c>
      <c r="E144">
        <v>87</v>
      </c>
      <c r="F144">
        <v>398</v>
      </c>
      <c r="G144">
        <v>190</v>
      </c>
      <c r="H144">
        <v>537</v>
      </c>
      <c r="I144">
        <v>61</v>
      </c>
      <c r="J144">
        <v>156</v>
      </c>
      <c r="K144">
        <v>37</v>
      </c>
      <c r="L144">
        <v>1</v>
      </c>
      <c r="M144">
        <v>4</v>
      </c>
      <c r="N144">
        <v>5</v>
      </c>
      <c r="O144">
        <v>7</v>
      </c>
      <c r="P144">
        <v>1</v>
      </c>
      <c r="Q144">
        <v>1</v>
      </c>
      <c r="R144">
        <v>0</v>
      </c>
      <c r="S144">
        <v>1</v>
      </c>
      <c r="T144">
        <v>0</v>
      </c>
      <c r="U144">
        <v>0</v>
      </c>
      <c r="V144">
        <f>IF(SUM(ifood_data[[#This Row],[AcceptedCmp1]:[AcceptedCmp5]])&gt;0,1,0)</f>
        <v>1</v>
      </c>
      <c r="W144">
        <v>0</v>
      </c>
      <c r="X144">
        <v>3</v>
      </c>
      <c r="Y144">
        <v>11</v>
      </c>
      <c r="Z144">
        <v>0</v>
      </c>
      <c r="AA144">
        <v>56</v>
      </c>
      <c r="AB144">
        <v>2341</v>
      </c>
      <c r="AC144" s="28">
        <f>ifood_data[[#This Row],[Customer_Days]]/365</f>
        <v>6.4136986301369863</v>
      </c>
      <c r="AD144">
        <v>0</v>
      </c>
      <c r="AE144">
        <v>0</v>
      </c>
      <c r="AF144">
        <v>1</v>
      </c>
      <c r="AG144">
        <v>0</v>
      </c>
      <c r="AH144">
        <v>0</v>
      </c>
      <c r="AI144">
        <v>0</v>
      </c>
      <c r="AJ144">
        <v>0</v>
      </c>
      <c r="AK144">
        <v>1</v>
      </c>
      <c r="AL144">
        <v>0</v>
      </c>
      <c r="AM144">
        <v>0</v>
      </c>
      <c r="AN144">
        <v>1342</v>
      </c>
      <c r="AO144">
        <v>1305</v>
      </c>
      <c r="AP144">
        <f>ifood_data[[#This Row],[MntTotal]]-ifood_data[[#This Row],[MntRegularProds]]</f>
        <v>37</v>
      </c>
      <c r="AQ144">
        <v>2</v>
      </c>
      <c r="AR144">
        <f>IF(SUM(ifood_data[[#This Row],[Kidhome]:[Teenhome]])&gt;0,1,0)</f>
        <v>0</v>
      </c>
      <c r="AS144" t="str">
        <f>IF(SUM(ifood_data[[#This Row],[Kidhome]:[Teenhome]])&gt;0,"Has Family","No Family")</f>
        <v>No Family</v>
      </c>
      <c r="AT144" t="str">
        <f>IF(ifood_data[[#This Row],[marital_Married]]=1,"Married", (IF(ifood_data[[#This Row],[marital_Single]]=1,"Single",(IF(ifood_data[[#This Row],[marital_Divorced]]=1,"Divorced",(IF(ifood_data[[#This Row],[marital_Together]]=1,"Living Together",(IF(ifood_data[[#This Row],[marital_Widow]]=1,"Widow","Other")))))))))</f>
        <v>Single</v>
      </c>
      <c r="AU144" t="str">
        <f>IF(ifood_data[[#This Row],[education_Basic]]=1,"High School",(IF(ifood_data[[#This Row],[education_Graduation]]=1,"Undergraduate Degree",(IF(SUM(AM144,AL144,AI144)&gt;0,"Master's Degree or Higher","Other")))))</f>
        <v>Undergraduate Degree</v>
      </c>
      <c r="AV144" t="str">
        <f>IF(ifood_data[[#All],[Income]]&gt;75000,"75K+",(IF(ifood_data[[#All],[Income]]&gt;50000,"50K-75K",(IF(ifood_data[[#All],[Income]]&gt;35000,"35K-50K","&lt;35K")))))</f>
        <v>75K+</v>
      </c>
      <c r="AW144" t="str">
        <f>IF(ifood_data[[#All],[Age]]&gt;60,"60+",(IF(ifood_data[[#All],[Age]]&gt;50,"50-60",(IF(ifood_data[[#All],[Age]]&gt;40,"40-50",(IF(ifood_data[[#All],[Age]]&gt;30,"30-40","&lt;30")))))))</f>
        <v>50-60</v>
      </c>
      <c r="AX144">
        <f t="shared" si="8"/>
        <v>18</v>
      </c>
      <c r="AY144">
        <f t="shared" si="9"/>
        <v>1.9999999999999996</v>
      </c>
      <c r="AZ144">
        <f t="shared" si="10"/>
        <v>4</v>
      </c>
      <c r="BA144">
        <f t="shared" si="11"/>
        <v>8</v>
      </c>
      <c r="BB144">
        <f>SUM(ifood_data[[#This Row],[Recency Score]:[Monetary Score]])</f>
        <v>14</v>
      </c>
      <c r="BC144">
        <f>(_xlfn.PERCENTRANK.INC(ifood_data[[#All],[RFM]],ifood_data[[#This Row],[RFM]],1))*10</f>
        <v>4</v>
      </c>
      <c r="BD144" t="str">
        <f>VLOOKUP(ifood_data[[#This Row],[RFM Score]],'RFM Analysis'!$A$3:$B$14,2,FALSE)</f>
        <v>At Risk</v>
      </c>
      <c r="BE144">
        <f>'Regression Models'!$B$101+'Regression Models'!$B$102*ifood_data[[#This Row],[Income]]+'Regression Models'!$B$103*ifood_data[[#This Row],[Age]]+'Regression Models'!$B$104*ifood_data[[#This Row],[Family]]</f>
        <v>1365.8500119266628</v>
      </c>
      <c r="BF144" t="str">
        <f>IF(ifood_data[[#This Row],[AcceptedCmpOverall]]=1,"Campaign Respondent","Non-respondent")</f>
        <v>Campaign Respondent</v>
      </c>
    </row>
    <row r="145" spans="1:58" x14ac:dyDescent="0.35">
      <c r="A145">
        <v>923</v>
      </c>
      <c r="B145">
        <v>80573</v>
      </c>
      <c r="C145">
        <v>0</v>
      </c>
      <c r="D145">
        <v>0</v>
      </c>
      <c r="E145">
        <v>85</v>
      </c>
      <c r="F145">
        <v>829</v>
      </c>
      <c r="G145">
        <v>138</v>
      </c>
      <c r="H145">
        <v>430</v>
      </c>
      <c r="I145">
        <v>60</v>
      </c>
      <c r="J145">
        <v>92</v>
      </c>
      <c r="K145">
        <v>15</v>
      </c>
      <c r="L145">
        <v>1</v>
      </c>
      <c r="M145">
        <v>4</v>
      </c>
      <c r="N145">
        <v>6</v>
      </c>
      <c r="O145">
        <v>13</v>
      </c>
      <c r="P145">
        <v>2</v>
      </c>
      <c r="Q145">
        <v>0</v>
      </c>
      <c r="R145">
        <v>0</v>
      </c>
      <c r="S145">
        <v>0</v>
      </c>
      <c r="T145">
        <v>0</v>
      </c>
      <c r="U145">
        <v>0</v>
      </c>
      <c r="V145">
        <f>IF(SUM(ifood_data[[#This Row],[AcceptedCmp1]:[AcceptedCmp5]])&gt;0,1,0)</f>
        <v>0</v>
      </c>
      <c r="W145">
        <v>0</v>
      </c>
      <c r="X145">
        <v>3</v>
      </c>
      <c r="Y145">
        <v>11</v>
      </c>
      <c r="Z145">
        <v>0</v>
      </c>
      <c r="AA145">
        <v>49</v>
      </c>
      <c r="AB145">
        <v>2782</v>
      </c>
      <c r="AC145" s="28">
        <f>ifood_data[[#This Row],[Customer_Days]]/365</f>
        <v>7.6219178082191785</v>
      </c>
      <c r="AD145">
        <v>0</v>
      </c>
      <c r="AE145">
        <v>0</v>
      </c>
      <c r="AF145">
        <v>0</v>
      </c>
      <c r="AG145">
        <v>1</v>
      </c>
      <c r="AH145">
        <v>0</v>
      </c>
      <c r="AI145">
        <v>0</v>
      </c>
      <c r="AJ145">
        <v>0</v>
      </c>
      <c r="AK145">
        <v>0</v>
      </c>
      <c r="AL145">
        <v>1</v>
      </c>
      <c r="AM145">
        <v>0</v>
      </c>
      <c r="AN145">
        <v>1549</v>
      </c>
      <c r="AO145">
        <v>1534</v>
      </c>
      <c r="AP145">
        <f>ifood_data[[#This Row],[MntTotal]]-ifood_data[[#This Row],[MntRegularProds]]</f>
        <v>15</v>
      </c>
      <c r="AQ145">
        <v>0</v>
      </c>
      <c r="AR145">
        <f>IF(SUM(ifood_data[[#This Row],[Kidhome]:[Teenhome]])&gt;0,1,0)</f>
        <v>0</v>
      </c>
      <c r="AS145" t="str">
        <f>IF(SUM(ifood_data[[#This Row],[Kidhome]:[Teenhome]])&gt;0,"Has Family","No Family")</f>
        <v>No Family</v>
      </c>
      <c r="AT145" t="str">
        <f>IF(ifood_data[[#This Row],[marital_Married]]=1,"Married", (IF(ifood_data[[#This Row],[marital_Single]]=1,"Single",(IF(ifood_data[[#This Row],[marital_Divorced]]=1,"Divorced",(IF(ifood_data[[#This Row],[marital_Together]]=1,"Living Together",(IF(ifood_data[[#This Row],[marital_Widow]]=1,"Widow","Other")))))))))</f>
        <v>Living Together</v>
      </c>
      <c r="AU145" t="str">
        <f>IF(ifood_data[[#This Row],[education_Basic]]=1,"High School",(IF(ifood_data[[#This Row],[education_Graduation]]=1,"Undergraduate Degree",(IF(SUM(AM145,AL145,AI145)&gt;0,"Master's Degree or Higher","Other")))))</f>
        <v>Master's Degree or Higher</v>
      </c>
      <c r="AV145" t="str">
        <f>IF(ifood_data[[#All],[Income]]&gt;75000,"75K+",(IF(ifood_data[[#All],[Income]]&gt;50000,"50K-75K",(IF(ifood_data[[#All],[Income]]&gt;35000,"35K-50K","&lt;35K")))))</f>
        <v>75K+</v>
      </c>
      <c r="AW145" t="str">
        <f>IF(ifood_data[[#All],[Age]]&gt;60,"60+",(IF(ifood_data[[#All],[Age]]&gt;50,"50-60",(IF(ifood_data[[#All],[Age]]&gt;40,"40-50",(IF(ifood_data[[#All],[Age]]&gt;30,"30-40","&lt;30")))))))</f>
        <v>40-50</v>
      </c>
      <c r="AX145">
        <f t="shared" si="8"/>
        <v>26</v>
      </c>
      <c r="AY145">
        <f t="shared" si="9"/>
        <v>1.9999999999999996</v>
      </c>
      <c r="AZ145">
        <f t="shared" si="10"/>
        <v>7</v>
      </c>
      <c r="BA145">
        <f t="shared" si="11"/>
        <v>9</v>
      </c>
      <c r="BB145">
        <f>SUM(ifood_data[[#This Row],[Recency Score]:[Monetary Score]])</f>
        <v>18</v>
      </c>
      <c r="BC145">
        <f>(_xlfn.PERCENTRANK.INC(ifood_data[[#All],[RFM]],ifood_data[[#This Row],[RFM]],1))*10</f>
        <v>6</v>
      </c>
      <c r="BD145" t="str">
        <f>VLOOKUP(ifood_data[[#This Row],[RFM Score]],'RFM Analysis'!$A$3:$B$14,2,FALSE)</f>
        <v>Promising</v>
      </c>
      <c r="BE145">
        <f>'Regression Models'!$B$101+'Regression Models'!$B$102*ifood_data[[#This Row],[Income]]+'Regression Models'!$B$103*ifood_data[[#This Row],[Age]]+'Regression Models'!$B$104*ifood_data[[#This Row],[Family]]</f>
        <v>1364.9834445180791</v>
      </c>
      <c r="BF145" t="str">
        <f>IF(ifood_data[[#This Row],[AcceptedCmpOverall]]=1,"Campaign Respondent","Non-respondent")</f>
        <v>Non-respondent</v>
      </c>
    </row>
    <row r="146" spans="1:58" x14ac:dyDescent="0.35">
      <c r="A146">
        <v>1462</v>
      </c>
      <c r="B146">
        <v>82460</v>
      </c>
      <c r="C146">
        <v>0</v>
      </c>
      <c r="D146">
        <v>0</v>
      </c>
      <c r="E146">
        <v>78</v>
      </c>
      <c r="F146">
        <v>255</v>
      </c>
      <c r="G146">
        <v>47</v>
      </c>
      <c r="H146">
        <v>573</v>
      </c>
      <c r="I146">
        <v>52</v>
      </c>
      <c r="J146">
        <v>32</v>
      </c>
      <c r="K146">
        <v>15</v>
      </c>
      <c r="L146">
        <v>1</v>
      </c>
      <c r="M146">
        <v>5</v>
      </c>
      <c r="N146">
        <v>3</v>
      </c>
      <c r="O146">
        <v>6</v>
      </c>
      <c r="P146">
        <v>1</v>
      </c>
      <c r="Q146">
        <v>0</v>
      </c>
      <c r="R146">
        <v>0</v>
      </c>
      <c r="S146">
        <v>0</v>
      </c>
      <c r="T146">
        <v>0</v>
      </c>
      <c r="U146">
        <v>0</v>
      </c>
      <c r="V146">
        <f>IF(SUM(ifood_data[[#This Row],[AcceptedCmp1]:[AcceptedCmp5]])&gt;0,1,0)</f>
        <v>0</v>
      </c>
      <c r="W146">
        <v>0</v>
      </c>
      <c r="X146">
        <v>3</v>
      </c>
      <c r="Y146">
        <v>11</v>
      </c>
      <c r="Z146">
        <v>0</v>
      </c>
      <c r="AA146">
        <v>70</v>
      </c>
      <c r="AB146">
        <v>2368</v>
      </c>
      <c r="AC146" s="28">
        <f>ifood_data[[#This Row],[Customer_Days]]/365</f>
        <v>6.4876712328767123</v>
      </c>
      <c r="AD146">
        <v>1</v>
      </c>
      <c r="AE146">
        <v>0</v>
      </c>
      <c r="AF146">
        <v>0</v>
      </c>
      <c r="AG146">
        <v>0</v>
      </c>
      <c r="AH146">
        <v>0</v>
      </c>
      <c r="AI146">
        <v>0</v>
      </c>
      <c r="AJ146">
        <v>0</v>
      </c>
      <c r="AK146">
        <v>1</v>
      </c>
      <c r="AL146">
        <v>0</v>
      </c>
      <c r="AM146">
        <v>0</v>
      </c>
      <c r="AN146">
        <v>959</v>
      </c>
      <c r="AO146">
        <v>944</v>
      </c>
      <c r="AP146">
        <f>ifood_data[[#This Row],[MntTotal]]-ifood_data[[#This Row],[MntRegularProds]]</f>
        <v>15</v>
      </c>
      <c r="AQ146">
        <v>0</v>
      </c>
      <c r="AR146">
        <f>IF(SUM(ifood_data[[#This Row],[Kidhome]:[Teenhome]])&gt;0,1,0)</f>
        <v>0</v>
      </c>
      <c r="AS146" t="str">
        <f>IF(SUM(ifood_data[[#This Row],[Kidhome]:[Teenhome]])&gt;0,"Has Family","No Family")</f>
        <v>No Family</v>
      </c>
      <c r="AT146" t="str">
        <f>IF(ifood_data[[#This Row],[marital_Married]]=1,"Married", (IF(ifood_data[[#This Row],[marital_Single]]=1,"Single",(IF(ifood_data[[#This Row],[marital_Divorced]]=1,"Divorced",(IF(ifood_data[[#This Row],[marital_Together]]=1,"Living Together",(IF(ifood_data[[#This Row],[marital_Widow]]=1,"Widow","Other")))))))))</f>
        <v>Divorced</v>
      </c>
      <c r="AU146" t="str">
        <f>IF(ifood_data[[#This Row],[education_Basic]]=1,"High School",(IF(ifood_data[[#This Row],[education_Graduation]]=1,"Undergraduate Degree",(IF(SUM(AM146,AL146,AI146)&gt;0,"Master's Degree or Higher","Other")))))</f>
        <v>Undergraduate Degree</v>
      </c>
      <c r="AV146" t="str">
        <f>IF(ifood_data[[#All],[Income]]&gt;75000,"75K+",(IF(ifood_data[[#All],[Income]]&gt;50000,"50K-75K",(IF(ifood_data[[#All],[Income]]&gt;35000,"35K-50K","&lt;35K")))))</f>
        <v>75K+</v>
      </c>
      <c r="AW146" t="str">
        <f>IF(ifood_data[[#All],[Age]]&gt;60,"60+",(IF(ifood_data[[#All],[Age]]&gt;50,"50-60",(IF(ifood_data[[#All],[Age]]&gt;40,"40-50",(IF(ifood_data[[#All],[Age]]&gt;30,"30-40","&lt;30")))))))</f>
        <v>60+</v>
      </c>
      <c r="AX146">
        <f t="shared" si="8"/>
        <v>16</v>
      </c>
      <c r="AY146">
        <f t="shared" si="9"/>
        <v>3.0000000000000004</v>
      </c>
      <c r="AZ146">
        <f t="shared" si="10"/>
        <v>3</v>
      </c>
      <c r="BA146">
        <f t="shared" si="11"/>
        <v>7</v>
      </c>
      <c r="BB146">
        <f>SUM(ifood_data[[#This Row],[Recency Score]:[Monetary Score]])</f>
        <v>13</v>
      </c>
      <c r="BC146">
        <f>(_xlfn.PERCENTRANK.INC(ifood_data[[#All],[RFM]],ifood_data[[#This Row],[RFM]],1))*10</f>
        <v>3</v>
      </c>
      <c r="BD146" t="str">
        <f>VLOOKUP(ifood_data[[#This Row],[RFM Score]],'RFM Analysis'!$A$3:$B$14,2,FALSE)</f>
        <v>At Risk</v>
      </c>
      <c r="BE146">
        <f>'Regression Models'!$B$101+'Regression Models'!$B$102*ifood_data[[#This Row],[Income]]+'Regression Models'!$B$103*ifood_data[[#This Row],[Age]]+'Regression Models'!$B$104*ifood_data[[#This Row],[Family]]</f>
        <v>1364.8918293488362</v>
      </c>
      <c r="BF146" t="str">
        <f>IF(ifood_data[[#This Row],[AcceptedCmpOverall]]=1,"Campaign Respondent","Non-respondent")</f>
        <v>Non-respondent</v>
      </c>
    </row>
    <row r="147" spans="1:58" x14ac:dyDescent="0.35">
      <c r="A147">
        <v>15</v>
      </c>
      <c r="B147">
        <v>82800</v>
      </c>
      <c r="C147">
        <v>0</v>
      </c>
      <c r="D147">
        <v>0</v>
      </c>
      <c r="E147">
        <v>23</v>
      </c>
      <c r="F147">
        <v>1006</v>
      </c>
      <c r="G147">
        <v>22</v>
      </c>
      <c r="H147">
        <v>115</v>
      </c>
      <c r="I147">
        <v>59</v>
      </c>
      <c r="J147">
        <v>68</v>
      </c>
      <c r="K147">
        <v>45</v>
      </c>
      <c r="L147">
        <v>1</v>
      </c>
      <c r="M147">
        <v>7</v>
      </c>
      <c r="N147">
        <v>6</v>
      </c>
      <c r="O147">
        <v>12</v>
      </c>
      <c r="P147">
        <v>3</v>
      </c>
      <c r="Q147">
        <v>1</v>
      </c>
      <c r="R147">
        <v>0</v>
      </c>
      <c r="S147">
        <v>0</v>
      </c>
      <c r="T147">
        <v>0</v>
      </c>
      <c r="U147">
        <v>1</v>
      </c>
      <c r="V147">
        <f>IF(SUM(ifood_data[[#This Row],[AcceptedCmp1]:[AcceptedCmp5]])&gt;0,1,0)</f>
        <v>1</v>
      </c>
      <c r="W147">
        <v>0</v>
      </c>
      <c r="X147">
        <v>3</v>
      </c>
      <c r="Y147">
        <v>11</v>
      </c>
      <c r="Z147">
        <v>1</v>
      </c>
      <c r="AA147">
        <v>74</v>
      </c>
      <c r="AB147">
        <v>2741</v>
      </c>
      <c r="AC147" s="28">
        <f>ifood_data[[#This Row],[Customer_Days]]/365</f>
        <v>7.5095890410958903</v>
      </c>
      <c r="AD147">
        <v>0</v>
      </c>
      <c r="AE147">
        <v>0</v>
      </c>
      <c r="AF147">
        <v>1</v>
      </c>
      <c r="AG147">
        <v>0</v>
      </c>
      <c r="AH147">
        <v>0</v>
      </c>
      <c r="AI147">
        <v>0</v>
      </c>
      <c r="AJ147">
        <v>0</v>
      </c>
      <c r="AK147">
        <v>0</v>
      </c>
      <c r="AL147">
        <v>0</v>
      </c>
      <c r="AM147">
        <v>1</v>
      </c>
      <c r="AN147">
        <v>1270</v>
      </c>
      <c r="AO147">
        <v>1225</v>
      </c>
      <c r="AP147">
        <f>ifood_data[[#This Row],[MntTotal]]-ifood_data[[#This Row],[MntRegularProds]]</f>
        <v>45</v>
      </c>
      <c r="AQ147">
        <v>2</v>
      </c>
      <c r="AR147">
        <f>IF(SUM(ifood_data[[#This Row],[Kidhome]:[Teenhome]])&gt;0,1,0)</f>
        <v>0</v>
      </c>
      <c r="AS147" t="str">
        <f>IF(SUM(ifood_data[[#This Row],[Kidhome]:[Teenhome]])&gt;0,"Has Family","No Family")</f>
        <v>No Family</v>
      </c>
      <c r="AT147" t="str">
        <f>IF(ifood_data[[#This Row],[marital_Married]]=1,"Married", (IF(ifood_data[[#This Row],[marital_Single]]=1,"Single",(IF(ifood_data[[#This Row],[marital_Divorced]]=1,"Divorced",(IF(ifood_data[[#This Row],[marital_Together]]=1,"Living Together",(IF(ifood_data[[#This Row],[marital_Widow]]=1,"Widow","Other")))))))))</f>
        <v>Single</v>
      </c>
      <c r="AU147" t="str">
        <f>IF(ifood_data[[#This Row],[education_Basic]]=1,"High School",(IF(ifood_data[[#This Row],[education_Graduation]]=1,"Undergraduate Degree",(IF(SUM(AM147,AL147,AI147)&gt;0,"Master's Degree or Higher","Other")))))</f>
        <v>Master's Degree or Higher</v>
      </c>
      <c r="AV147" t="str">
        <f>IF(ifood_data[[#All],[Income]]&gt;75000,"75K+",(IF(ifood_data[[#All],[Income]]&gt;50000,"50K-75K",(IF(ifood_data[[#All],[Income]]&gt;35000,"35K-50K","&lt;35K")))))</f>
        <v>75K+</v>
      </c>
      <c r="AW147" t="str">
        <f>IF(ifood_data[[#All],[Age]]&gt;60,"60+",(IF(ifood_data[[#All],[Age]]&gt;50,"50-60",(IF(ifood_data[[#All],[Age]]&gt;40,"40-50",(IF(ifood_data[[#All],[Age]]&gt;30,"30-40","&lt;30")))))))</f>
        <v>60+</v>
      </c>
      <c r="AX147">
        <f t="shared" si="8"/>
        <v>29</v>
      </c>
      <c r="AY147">
        <f t="shared" si="9"/>
        <v>8</v>
      </c>
      <c r="AZ147">
        <f t="shared" si="10"/>
        <v>8</v>
      </c>
      <c r="BA147">
        <f t="shared" si="11"/>
        <v>8</v>
      </c>
      <c r="BB147">
        <f>SUM(ifood_data[[#This Row],[Recency Score]:[Monetary Score]])</f>
        <v>24</v>
      </c>
      <c r="BC147">
        <f>(_xlfn.PERCENTRANK.INC(ifood_data[[#All],[RFM]],ifood_data[[#This Row],[RFM]],1))*10</f>
        <v>9</v>
      </c>
      <c r="BD147" t="str">
        <f>VLOOKUP(ifood_data[[#This Row],[RFM Score]],'RFM Analysis'!$A$3:$B$14,2,FALSE)</f>
        <v>Top Customer</v>
      </c>
      <c r="BE147">
        <f>'Regression Models'!$B$101+'Regression Models'!$B$102*ifood_data[[#This Row],[Income]]+'Regression Models'!$B$103*ifood_data[[#This Row],[Age]]+'Regression Models'!$B$104*ifood_data[[#This Row],[Family]]</f>
        <v>1364.4782542021846</v>
      </c>
      <c r="BF147" t="str">
        <f>IF(ifood_data[[#This Row],[AcceptedCmpOverall]]=1,"Campaign Respondent","Non-respondent")</f>
        <v>Campaign Respondent</v>
      </c>
    </row>
    <row r="148" spans="1:58" x14ac:dyDescent="0.35">
      <c r="A148">
        <v>1229</v>
      </c>
      <c r="B148">
        <v>81051</v>
      </c>
      <c r="C148">
        <v>0</v>
      </c>
      <c r="D148">
        <v>0</v>
      </c>
      <c r="E148">
        <v>43</v>
      </c>
      <c r="F148">
        <v>1142</v>
      </c>
      <c r="G148">
        <v>29</v>
      </c>
      <c r="H148">
        <v>249</v>
      </c>
      <c r="I148">
        <v>38</v>
      </c>
      <c r="J148">
        <v>29</v>
      </c>
      <c r="K148">
        <v>14</v>
      </c>
      <c r="L148">
        <v>1</v>
      </c>
      <c r="M148">
        <v>5</v>
      </c>
      <c r="N148">
        <v>5</v>
      </c>
      <c r="O148">
        <v>12</v>
      </c>
      <c r="P148">
        <v>2</v>
      </c>
      <c r="Q148">
        <v>0</v>
      </c>
      <c r="R148">
        <v>0</v>
      </c>
      <c r="S148">
        <v>0</v>
      </c>
      <c r="T148">
        <v>1</v>
      </c>
      <c r="U148">
        <v>1</v>
      </c>
      <c r="V148">
        <f>IF(SUM(ifood_data[[#This Row],[AcceptedCmp1]:[AcceptedCmp5]])&gt;0,1,0)</f>
        <v>1</v>
      </c>
      <c r="W148">
        <v>0</v>
      </c>
      <c r="X148">
        <v>3</v>
      </c>
      <c r="Y148">
        <v>11</v>
      </c>
      <c r="Z148">
        <v>0</v>
      </c>
      <c r="AA148">
        <v>55</v>
      </c>
      <c r="AB148">
        <v>2196</v>
      </c>
      <c r="AC148" s="28">
        <f>ifood_data[[#This Row],[Customer_Days]]/365</f>
        <v>6.0164383561643833</v>
      </c>
      <c r="AD148">
        <v>0</v>
      </c>
      <c r="AE148">
        <v>1</v>
      </c>
      <c r="AF148">
        <v>0</v>
      </c>
      <c r="AG148">
        <v>0</v>
      </c>
      <c r="AH148">
        <v>0</v>
      </c>
      <c r="AI148">
        <v>0</v>
      </c>
      <c r="AJ148">
        <v>0</v>
      </c>
      <c r="AK148">
        <v>0</v>
      </c>
      <c r="AL148">
        <v>0</v>
      </c>
      <c r="AM148">
        <v>1</v>
      </c>
      <c r="AN148">
        <v>1487</v>
      </c>
      <c r="AO148">
        <v>1473</v>
      </c>
      <c r="AP148">
        <f>ifood_data[[#This Row],[MntTotal]]-ifood_data[[#This Row],[MntRegularProds]]</f>
        <v>14</v>
      </c>
      <c r="AQ148">
        <v>2</v>
      </c>
      <c r="AR148">
        <f>IF(SUM(ifood_data[[#This Row],[Kidhome]:[Teenhome]])&gt;0,1,0)</f>
        <v>0</v>
      </c>
      <c r="AS148" t="str">
        <f>IF(SUM(ifood_data[[#This Row],[Kidhome]:[Teenhome]])&gt;0,"Has Family","No Family")</f>
        <v>No Family</v>
      </c>
      <c r="AT148" t="str">
        <f>IF(ifood_data[[#This Row],[marital_Married]]=1,"Married", (IF(ifood_data[[#This Row],[marital_Single]]=1,"Single",(IF(ifood_data[[#This Row],[marital_Divorced]]=1,"Divorced",(IF(ifood_data[[#This Row],[marital_Together]]=1,"Living Together",(IF(ifood_data[[#This Row],[marital_Widow]]=1,"Widow","Other")))))))))</f>
        <v>Married</v>
      </c>
      <c r="AU148" t="str">
        <f>IF(ifood_data[[#This Row],[education_Basic]]=1,"High School",(IF(ifood_data[[#This Row],[education_Graduation]]=1,"Undergraduate Degree",(IF(SUM(AM148,AL148,AI148)&gt;0,"Master's Degree or Higher","Other")))))</f>
        <v>Master's Degree or Higher</v>
      </c>
      <c r="AV148" t="str">
        <f>IF(ifood_data[[#All],[Income]]&gt;75000,"75K+",(IF(ifood_data[[#All],[Income]]&gt;50000,"50K-75K",(IF(ifood_data[[#All],[Income]]&gt;35000,"35K-50K","&lt;35K")))))</f>
        <v>75K+</v>
      </c>
      <c r="AW148" t="str">
        <f>IF(ifood_data[[#All],[Age]]&gt;60,"60+",(IF(ifood_data[[#All],[Age]]&gt;50,"50-60",(IF(ifood_data[[#All],[Age]]&gt;40,"40-50",(IF(ifood_data[[#All],[Age]]&gt;30,"30-40","&lt;30")))))))</f>
        <v>50-60</v>
      </c>
      <c r="AX148">
        <f t="shared" si="8"/>
        <v>25</v>
      </c>
      <c r="AY148">
        <f t="shared" si="9"/>
        <v>6</v>
      </c>
      <c r="AZ148">
        <f t="shared" si="10"/>
        <v>7</v>
      </c>
      <c r="BA148">
        <f t="shared" si="11"/>
        <v>9</v>
      </c>
      <c r="BB148">
        <f>SUM(ifood_data[[#This Row],[Recency Score]:[Monetary Score]])</f>
        <v>22</v>
      </c>
      <c r="BC148">
        <f>(_xlfn.PERCENTRANK.INC(ifood_data[[#All],[RFM]],ifood_data[[#This Row],[RFM]],1))*10</f>
        <v>8</v>
      </c>
      <c r="BD148" t="str">
        <f>VLOOKUP(ifood_data[[#This Row],[RFM Score]],'RFM Analysis'!$A$3:$B$14,2,FALSE)</f>
        <v>Loyal Customer</v>
      </c>
      <c r="BE148">
        <f>'Regression Models'!$B$101+'Regression Models'!$B$102*ifood_data[[#This Row],[Income]]+'Regression Models'!$B$103*ifood_data[[#This Row],[Age]]+'Regression Models'!$B$104*ifood_data[[#This Row],[Family]]</f>
        <v>1363.7106412174971</v>
      </c>
      <c r="BF148" t="str">
        <f>IF(ifood_data[[#This Row],[AcceptedCmpOverall]]=1,"Campaign Respondent","Non-respondent")</f>
        <v>Campaign Respondent</v>
      </c>
    </row>
    <row r="149" spans="1:58" x14ac:dyDescent="0.35">
      <c r="A149">
        <v>1902</v>
      </c>
      <c r="B149">
        <v>80144</v>
      </c>
      <c r="C149">
        <v>0</v>
      </c>
      <c r="D149">
        <v>0</v>
      </c>
      <c r="E149">
        <v>47</v>
      </c>
      <c r="F149">
        <v>240</v>
      </c>
      <c r="G149">
        <v>132</v>
      </c>
      <c r="H149">
        <v>445</v>
      </c>
      <c r="I149">
        <v>250</v>
      </c>
      <c r="J149">
        <v>192</v>
      </c>
      <c r="K149">
        <v>108</v>
      </c>
      <c r="L149">
        <v>1</v>
      </c>
      <c r="M149">
        <v>3</v>
      </c>
      <c r="N149">
        <v>7</v>
      </c>
      <c r="O149">
        <v>8</v>
      </c>
      <c r="P149">
        <v>1</v>
      </c>
      <c r="Q149">
        <v>0</v>
      </c>
      <c r="R149">
        <v>0</v>
      </c>
      <c r="S149">
        <v>0</v>
      </c>
      <c r="T149">
        <v>0</v>
      </c>
      <c r="U149">
        <v>0</v>
      </c>
      <c r="V149">
        <f>IF(SUM(ifood_data[[#This Row],[AcceptedCmp1]:[AcceptedCmp5]])&gt;0,1,0)</f>
        <v>0</v>
      </c>
      <c r="W149">
        <v>0</v>
      </c>
      <c r="X149">
        <v>3</v>
      </c>
      <c r="Y149">
        <v>11</v>
      </c>
      <c r="Z149">
        <v>0</v>
      </c>
      <c r="AA149">
        <v>45</v>
      </c>
      <c r="AB149">
        <v>2431</v>
      </c>
      <c r="AC149" s="28">
        <f>ifood_data[[#This Row],[Customer_Days]]/365</f>
        <v>6.6602739726027398</v>
      </c>
      <c r="AD149">
        <v>0</v>
      </c>
      <c r="AE149">
        <v>0</v>
      </c>
      <c r="AF149">
        <v>0</v>
      </c>
      <c r="AG149">
        <v>1</v>
      </c>
      <c r="AH149">
        <v>0</v>
      </c>
      <c r="AI149">
        <v>0</v>
      </c>
      <c r="AJ149">
        <v>0</v>
      </c>
      <c r="AK149">
        <v>1</v>
      </c>
      <c r="AL149">
        <v>0</v>
      </c>
      <c r="AM149">
        <v>0</v>
      </c>
      <c r="AN149">
        <v>1259</v>
      </c>
      <c r="AO149">
        <v>1151</v>
      </c>
      <c r="AP149">
        <f>ifood_data[[#This Row],[MntTotal]]-ifood_data[[#This Row],[MntRegularProds]]</f>
        <v>108</v>
      </c>
      <c r="AQ149">
        <v>0</v>
      </c>
      <c r="AR149">
        <f>IF(SUM(ifood_data[[#This Row],[Kidhome]:[Teenhome]])&gt;0,1,0)</f>
        <v>0</v>
      </c>
      <c r="AS149" t="str">
        <f>IF(SUM(ifood_data[[#This Row],[Kidhome]:[Teenhome]])&gt;0,"Has Family","No Family")</f>
        <v>No Family</v>
      </c>
      <c r="AT149" t="str">
        <f>IF(ifood_data[[#This Row],[marital_Married]]=1,"Married", (IF(ifood_data[[#This Row],[marital_Single]]=1,"Single",(IF(ifood_data[[#This Row],[marital_Divorced]]=1,"Divorced",(IF(ifood_data[[#This Row],[marital_Together]]=1,"Living Together",(IF(ifood_data[[#This Row],[marital_Widow]]=1,"Widow","Other")))))))))</f>
        <v>Living Together</v>
      </c>
      <c r="AU149" t="str">
        <f>IF(ifood_data[[#This Row],[education_Basic]]=1,"High School",(IF(ifood_data[[#This Row],[education_Graduation]]=1,"Undergraduate Degree",(IF(SUM(AM149,AL149,AI149)&gt;0,"Master's Degree or Higher","Other")))))</f>
        <v>Undergraduate Degree</v>
      </c>
      <c r="AV149" t="str">
        <f>IF(ifood_data[[#All],[Income]]&gt;75000,"75K+",(IF(ifood_data[[#All],[Income]]&gt;50000,"50K-75K",(IF(ifood_data[[#All],[Income]]&gt;35000,"35K-50K","&lt;35K")))))</f>
        <v>75K+</v>
      </c>
      <c r="AW149" t="str">
        <f>IF(ifood_data[[#All],[Age]]&gt;60,"60+",(IF(ifood_data[[#All],[Age]]&gt;50,"50-60",(IF(ifood_data[[#All],[Age]]&gt;40,"40-50",(IF(ifood_data[[#All],[Age]]&gt;30,"30-40","&lt;30")))))))</f>
        <v>40-50</v>
      </c>
      <c r="AX149">
        <f t="shared" si="8"/>
        <v>20</v>
      </c>
      <c r="AY149">
        <f t="shared" si="9"/>
        <v>6</v>
      </c>
      <c r="AZ149">
        <f t="shared" si="10"/>
        <v>4</v>
      </c>
      <c r="BA149">
        <f t="shared" si="11"/>
        <v>8</v>
      </c>
      <c r="BB149">
        <f>SUM(ifood_data[[#This Row],[Recency Score]:[Monetary Score]])</f>
        <v>18</v>
      </c>
      <c r="BC149">
        <f>(_xlfn.PERCENTRANK.INC(ifood_data[[#All],[RFM]],ifood_data[[#This Row],[RFM]],1))*10</f>
        <v>6</v>
      </c>
      <c r="BD149" t="str">
        <f>VLOOKUP(ifood_data[[#This Row],[RFM Score]],'RFM Analysis'!$A$3:$B$14,2,FALSE)</f>
        <v>Promising</v>
      </c>
      <c r="BE149">
        <f>'Regression Models'!$B$101+'Regression Models'!$B$102*ifood_data[[#This Row],[Income]]+'Regression Models'!$B$103*ifood_data[[#This Row],[Age]]+'Regression Models'!$B$104*ifood_data[[#This Row],[Family]]</f>
        <v>1363.5824192999235</v>
      </c>
      <c r="BF149" t="str">
        <f>IF(ifood_data[[#This Row],[AcceptedCmpOverall]]=1,"Campaign Respondent","Non-respondent")</f>
        <v>Non-respondent</v>
      </c>
    </row>
    <row r="150" spans="1:58" x14ac:dyDescent="0.35">
      <c r="A150">
        <v>1370</v>
      </c>
      <c r="B150">
        <v>94871</v>
      </c>
      <c r="C150">
        <v>0</v>
      </c>
      <c r="D150">
        <v>2</v>
      </c>
      <c r="E150">
        <v>99</v>
      </c>
      <c r="F150">
        <v>169</v>
      </c>
      <c r="G150">
        <v>24</v>
      </c>
      <c r="H150">
        <v>553</v>
      </c>
      <c r="I150">
        <v>188</v>
      </c>
      <c r="J150">
        <v>0</v>
      </c>
      <c r="K150">
        <v>144</v>
      </c>
      <c r="L150">
        <v>1</v>
      </c>
      <c r="M150">
        <v>8</v>
      </c>
      <c r="N150">
        <v>5</v>
      </c>
      <c r="O150">
        <v>4</v>
      </c>
      <c r="P150">
        <v>7</v>
      </c>
      <c r="Q150">
        <v>0</v>
      </c>
      <c r="R150">
        <v>0</v>
      </c>
      <c r="S150">
        <v>0</v>
      </c>
      <c r="T150">
        <v>1</v>
      </c>
      <c r="U150">
        <v>1</v>
      </c>
      <c r="V150">
        <f>IF(SUM(ifood_data[[#This Row],[AcceptedCmp1]:[AcceptedCmp5]])&gt;0,1,0)</f>
        <v>1</v>
      </c>
      <c r="W150">
        <v>0</v>
      </c>
      <c r="X150">
        <v>3</v>
      </c>
      <c r="Y150">
        <v>11</v>
      </c>
      <c r="Z150">
        <v>1</v>
      </c>
      <c r="AA150">
        <v>51</v>
      </c>
      <c r="AB150">
        <v>2825</v>
      </c>
      <c r="AC150" s="28">
        <f>ifood_data[[#This Row],[Customer_Days]]/365</f>
        <v>7.7397260273972606</v>
      </c>
      <c r="AD150">
        <v>0</v>
      </c>
      <c r="AE150">
        <v>1</v>
      </c>
      <c r="AF150">
        <v>0</v>
      </c>
      <c r="AG150">
        <v>0</v>
      </c>
      <c r="AH150">
        <v>0</v>
      </c>
      <c r="AI150">
        <v>0</v>
      </c>
      <c r="AJ150">
        <v>0</v>
      </c>
      <c r="AK150">
        <v>0</v>
      </c>
      <c r="AL150">
        <v>0</v>
      </c>
      <c r="AM150">
        <v>1</v>
      </c>
      <c r="AN150">
        <v>934</v>
      </c>
      <c r="AO150">
        <v>790</v>
      </c>
      <c r="AP150">
        <f>ifood_data[[#This Row],[MntTotal]]-ifood_data[[#This Row],[MntRegularProds]]</f>
        <v>144</v>
      </c>
      <c r="AQ150">
        <v>2</v>
      </c>
      <c r="AR150">
        <f>IF(SUM(ifood_data[[#This Row],[Kidhome]:[Teenhome]])&gt;0,1,0)</f>
        <v>1</v>
      </c>
      <c r="AS150" t="str">
        <f>IF(SUM(ifood_data[[#This Row],[Kidhome]:[Teenhome]])&gt;0,"Has Family","No Family")</f>
        <v>Has Family</v>
      </c>
      <c r="AT150" t="str">
        <f>IF(ifood_data[[#This Row],[marital_Married]]=1,"Married", (IF(ifood_data[[#This Row],[marital_Single]]=1,"Single",(IF(ifood_data[[#This Row],[marital_Divorced]]=1,"Divorced",(IF(ifood_data[[#This Row],[marital_Together]]=1,"Living Together",(IF(ifood_data[[#This Row],[marital_Widow]]=1,"Widow","Other")))))))))</f>
        <v>Married</v>
      </c>
      <c r="AU150" t="str">
        <f>IF(ifood_data[[#This Row],[education_Basic]]=1,"High School",(IF(ifood_data[[#This Row],[education_Graduation]]=1,"Undergraduate Degree",(IF(SUM(AM150,AL150,AI150)&gt;0,"Master's Degree or Higher","Other")))))</f>
        <v>Master's Degree or Higher</v>
      </c>
      <c r="AV150" t="str">
        <f>IF(ifood_data[[#All],[Income]]&gt;75000,"75K+",(IF(ifood_data[[#All],[Income]]&gt;50000,"50K-75K",(IF(ifood_data[[#All],[Income]]&gt;35000,"35K-50K","&lt;35K")))))</f>
        <v>75K+</v>
      </c>
      <c r="AW150" t="str">
        <f>IF(ifood_data[[#All],[Age]]&gt;60,"60+",(IF(ifood_data[[#All],[Age]]&gt;50,"50-60",(IF(ifood_data[[#All],[Age]]&gt;40,"40-50",(IF(ifood_data[[#All],[Age]]&gt;30,"30-40","&lt;30")))))))</f>
        <v>50-60</v>
      </c>
      <c r="AX150">
        <f t="shared" si="8"/>
        <v>25</v>
      </c>
      <c r="AY150">
        <f t="shared" si="9"/>
        <v>0.99999999999999978</v>
      </c>
      <c r="AZ150">
        <f t="shared" si="10"/>
        <v>7</v>
      </c>
      <c r="BA150">
        <f t="shared" si="11"/>
        <v>7</v>
      </c>
      <c r="BB150">
        <f>SUM(ifood_data[[#This Row],[Recency Score]:[Monetary Score]])</f>
        <v>15</v>
      </c>
      <c r="BC150">
        <f>(_xlfn.PERCENTRANK.INC(ifood_data[[#All],[RFM]],ifood_data[[#This Row],[RFM]],1))*10</f>
        <v>4</v>
      </c>
      <c r="BD150" t="str">
        <f>VLOOKUP(ifood_data[[#This Row],[RFM Score]],'RFM Analysis'!$A$3:$B$14,2,FALSE)</f>
        <v>At Risk</v>
      </c>
      <c r="BE150">
        <f>'Regression Models'!$B$101+'Regression Models'!$B$102*ifood_data[[#This Row],[Income]]+'Regression Models'!$B$103*ifood_data[[#This Row],[Age]]+'Regression Models'!$B$104*ifood_data[[#This Row],[Family]]</f>
        <v>1363.2155422087412</v>
      </c>
      <c r="BF150" t="str">
        <f>IF(ifood_data[[#This Row],[AcceptedCmpOverall]]=1,"Campaign Respondent","Non-respondent")</f>
        <v>Campaign Respondent</v>
      </c>
    </row>
    <row r="151" spans="1:58" x14ac:dyDescent="0.35">
      <c r="A151">
        <v>1344</v>
      </c>
      <c r="B151">
        <v>82657</v>
      </c>
      <c r="C151">
        <v>0</v>
      </c>
      <c r="D151">
        <v>0</v>
      </c>
      <c r="E151">
        <v>71</v>
      </c>
      <c r="F151">
        <v>966</v>
      </c>
      <c r="G151">
        <v>168</v>
      </c>
      <c r="H151">
        <v>672</v>
      </c>
      <c r="I151">
        <v>246</v>
      </c>
      <c r="J151">
        <v>105</v>
      </c>
      <c r="K151">
        <v>126</v>
      </c>
      <c r="L151">
        <v>1</v>
      </c>
      <c r="M151">
        <v>7</v>
      </c>
      <c r="N151">
        <v>5</v>
      </c>
      <c r="O151">
        <v>10</v>
      </c>
      <c r="P151">
        <v>4</v>
      </c>
      <c r="Q151">
        <v>1</v>
      </c>
      <c r="R151">
        <v>0</v>
      </c>
      <c r="S151">
        <v>0</v>
      </c>
      <c r="T151">
        <v>1</v>
      </c>
      <c r="U151">
        <v>0</v>
      </c>
      <c r="V151">
        <f>IF(SUM(ifood_data[[#This Row],[AcceptedCmp1]:[AcceptedCmp5]])&gt;0,1,0)</f>
        <v>1</v>
      </c>
      <c r="W151">
        <v>0</v>
      </c>
      <c r="X151">
        <v>3</v>
      </c>
      <c r="Y151">
        <v>11</v>
      </c>
      <c r="Z151">
        <v>0</v>
      </c>
      <c r="AA151">
        <v>74</v>
      </c>
      <c r="AB151">
        <v>2434</v>
      </c>
      <c r="AC151" s="28">
        <f>ifood_data[[#This Row],[Customer_Days]]/365</f>
        <v>6.6684931506849319</v>
      </c>
      <c r="AD151">
        <v>0</v>
      </c>
      <c r="AE151">
        <v>0</v>
      </c>
      <c r="AF151">
        <v>0</v>
      </c>
      <c r="AG151">
        <v>1</v>
      </c>
      <c r="AH151">
        <v>0</v>
      </c>
      <c r="AI151">
        <v>0</v>
      </c>
      <c r="AJ151">
        <v>0</v>
      </c>
      <c r="AK151">
        <v>1</v>
      </c>
      <c r="AL151">
        <v>0</v>
      </c>
      <c r="AM151">
        <v>0</v>
      </c>
      <c r="AN151">
        <v>2157</v>
      </c>
      <c r="AO151">
        <v>2031</v>
      </c>
      <c r="AP151">
        <f>ifood_data[[#This Row],[MntTotal]]-ifood_data[[#This Row],[MntRegularProds]]</f>
        <v>126</v>
      </c>
      <c r="AQ151">
        <v>2</v>
      </c>
      <c r="AR151">
        <f>IF(SUM(ifood_data[[#This Row],[Kidhome]:[Teenhome]])&gt;0,1,0)</f>
        <v>0</v>
      </c>
      <c r="AS151" t="str">
        <f>IF(SUM(ifood_data[[#This Row],[Kidhome]:[Teenhome]])&gt;0,"Has Family","No Family")</f>
        <v>No Family</v>
      </c>
      <c r="AT151" t="str">
        <f>IF(ifood_data[[#This Row],[marital_Married]]=1,"Married", (IF(ifood_data[[#This Row],[marital_Single]]=1,"Single",(IF(ifood_data[[#This Row],[marital_Divorced]]=1,"Divorced",(IF(ifood_data[[#This Row],[marital_Together]]=1,"Living Together",(IF(ifood_data[[#This Row],[marital_Widow]]=1,"Widow","Other")))))))))</f>
        <v>Living Together</v>
      </c>
      <c r="AU151" t="str">
        <f>IF(ifood_data[[#This Row],[education_Basic]]=1,"High School",(IF(ifood_data[[#This Row],[education_Graduation]]=1,"Undergraduate Degree",(IF(SUM(AM151,AL151,AI151)&gt;0,"Master's Degree or Higher","Other")))))</f>
        <v>Undergraduate Degree</v>
      </c>
      <c r="AV151" t="str">
        <f>IF(ifood_data[[#All],[Income]]&gt;75000,"75K+",(IF(ifood_data[[#All],[Income]]&gt;50000,"50K-75K",(IF(ifood_data[[#All],[Income]]&gt;35000,"35K-50K","&lt;35K")))))</f>
        <v>75K+</v>
      </c>
      <c r="AW151" t="str">
        <f>IF(ifood_data[[#All],[Age]]&gt;60,"60+",(IF(ifood_data[[#All],[Age]]&gt;50,"50-60",(IF(ifood_data[[#All],[Age]]&gt;40,"40-50",(IF(ifood_data[[#All],[Age]]&gt;30,"30-40","&lt;30")))))))</f>
        <v>60+</v>
      </c>
      <c r="AX151">
        <f t="shared" si="8"/>
        <v>27</v>
      </c>
      <c r="AY151">
        <f t="shared" si="9"/>
        <v>3.0000000000000004</v>
      </c>
      <c r="AZ151">
        <f t="shared" si="10"/>
        <v>7</v>
      </c>
      <c r="BA151">
        <f t="shared" si="11"/>
        <v>9</v>
      </c>
      <c r="BB151">
        <f>SUM(ifood_data[[#This Row],[Recency Score]:[Monetary Score]])</f>
        <v>19</v>
      </c>
      <c r="BC151">
        <f>(_xlfn.PERCENTRANK.INC(ifood_data[[#All],[RFM]],ifood_data[[#This Row],[RFM]],1))*10</f>
        <v>7</v>
      </c>
      <c r="BD151" t="str">
        <f>VLOOKUP(ifood_data[[#This Row],[RFM Score]],'RFM Analysis'!$A$3:$B$14,2,FALSE)</f>
        <v>Loyal Customer</v>
      </c>
      <c r="BE151">
        <f>'Regression Models'!$B$101+'Regression Models'!$B$102*ifood_data[[#This Row],[Income]]+'Regression Models'!$B$103*ifood_data[[#This Row],[Age]]+'Regression Models'!$B$104*ifood_data[[#This Row],[Family]]</f>
        <v>1361.5626603576072</v>
      </c>
      <c r="BF151" t="str">
        <f>IF(ifood_data[[#This Row],[AcceptedCmpOverall]]=1,"Campaign Respondent","Non-respondent")</f>
        <v>Campaign Respondent</v>
      </c>
    </row>
    <row r="152" spans="1:58" x14ac:dyDescent="0.35">
      <c r="A152">
        <v>43</v>
      </c>
      <c r="B152">
        <v>79941</v>
      </c>
      <c r="C152">
        <v>0</v>
      </c>
      <c r="D152">
        <v>0</v>
      </c>
      <c r="E152">
        <v>72</v>
      </c>
      <c r="F152">
        <v>123</v>
      </c>
      <c r="G152">
        <v>164</v>
      </c>
      <c r="H152">
        <v>266</v>
      </c>
      <c r="I152">
        <v>227</v>
      </c>
      <c r="J152">
        <v>30</v>
      </c>
      <c r="K152">
        <v>174</v>
      </c>
      <c r="L152">
        <v>1</v>
      </c>
      <c r="M152">
        <v>2</v>
      </c>
      <c r="N152">
        <v>4</v>
      </c>
      <c r="O152">
        <v>9</v>
      </c>
      <c r="P152">
        <v>1</v>
      </c>
      <c r="Q152">
        <v>0</v>
      </c>
      <c r="R152">
        <v>0</v>
      </c>
      <c r="S152">
        <v>0</v>
      </c>
      <c r="T152">
        <v>0</v>
      </c>
      <c r="U152">
        <v>0</v>
      </c>
      <c r="V152">
        <f>IF(SUM(ifood_data[[#This Row],[AcceptedCmp1]:[AcceptedCmp5]])&gt;0,1,0)</f>
        <v>0</v>
      </c>
      <c r="W152">
        <v>0</v>
      </c>
      <c r="X152">
        <v>3</v>
      </c>
      <c r="Y152">
        <v>11</v>
      </c>
      <c r="Z152">
        <v>0</v>
      </c>
      <c r="AA152">
        <v>44</v>
      </c>
      <c r="AB152">
        <v>2160</v>
      </c>
      <c r="AC152" s="28">
        <f>ifood_data[[#This Row],[Customer_Days]]/365</f>
        <v>5.9178082191780819</v>
      </c>
      <c r="AD152">
        <v>0</v>
      </c>
      <c r="AE152">
        <v>0</v>
      </c>
      <c r="AF152">
        <v>1</v>
      </c>
      <c r="AG152">
        <v>0</v>
      </c>
      <c r="AH152">
        <v>0</v>
      </c>
      <c r="AI152">
        <v>0</v>
      </c>
      <c r="AJ152">
        <v>0</v>
      </c>
      <c r="AK152">
        <v>1</v>
      </c>
      <c r="AL152">
        <v>0</v>
      </c>
      <c r="AM152">
        <v>0</v>
      </c>
      <c r="AN152">
        <v>810</v>
      </c>
      <c r="AO152">
        <v>636</v>
      </c>
      <c r="AP152">
        <f>ifood_data[[#This Row],[MntTotal]]-ifood_data[[#This Row],[MntRegularProds]]</f>
        <v>174</v>
      </c>
      <c r="AQ152">
        <v>0</v>
      </c>
      <c r="AR152">
        <f>IF(SUM(ifood_data[[#This Row],[Kidhome]:[Teenhome]])&gt;0,1,0)</f>
        <v>0</v>
      </c>
      <c r="AS152" t="str">
        <f>IF(SUM(ifood_data[[#This Row],[Kidhome]:[Teenhome]])&gt;0,"Has Family","No Family")</f>
        <v>No Family</v>
      </c>
      <c r="AT152" t="str">
        <f>IF(ifood_data[[#This Row],[marital_Married]]=1,"Married", (IF(ifood_data[[#This Row],[marital_Single]]=1,"Single",(IF(ifood_data[[#This Row],[marital_Divorced]]=1,"Divorced",(IF(ifood_data[[#This Row],[marital_Together]]=1,"Living Together",(IF(ifood_data[[#This Row],[marital_Widow]]=1,"Widow","Other")))))))))</f>
        <v>Single</v>
      </c>
      <c r="AU152" t="str">
        <f>IF(ifood_data[[#This Row],[education_Basic]]=1,"High School",(IF(ifood_data[[#This Row],[education_Graduation]]=1,"Undergraduate Degree",(IF(SUM(AM152,AL152,AI152)&gt;0,"Master's Degree or Higher","Other")))))</f>
        <v>Undergraduate Degree</v>
      </c>
      <c r="AV152" t="str">
        <f>IF(ifood_data[[#All],[Income]]&gt;75000,"75K+",(IF(ifood_data[[#All],[Income]]&gt;50000,"50K-75K",(IF(ifood_data[[#All],[Income]]&gt;35000,"35K-50K","&lt;35K")))))</f>
        <v>75K+</v>
      </c>
      <c r="AW152" t="str">
        <f>IF(ifood_data[[#All],[Age]]&gt;60,"60+",(IF(ifood_data[[#All],[Age]]&gt;50,"50-60",(IF(ifood_data[[#All],[Age]]&gt;40,"40-50",(IF(ifood_data[[#All],[Age]]&gt;30,"30-40","&lt;30")))))))</f>
        <v>40-50</v>
      </c>
      <c r="AX152">
        <f t="shared" si="8"/>
        <v>17</v>
      </c>
      <c r="AY152">
        <f t="shared" si="9"/>
        <v>3.0000000000000004</v>
      </c>
      <c r="AZ152">
        <f t="shared" si="10"/>
        <v>3</v>
      </c>
      <c r="BA152">
        <f t="shared" si="11"/>
        <v>6</v>
      </c>
      <c r="BB152">
        <f>SUM(ifood_data[[#This Row],[Recency Score]:[Monetary Score]])</f>
        <v>12</v>
      </c>
      <c r="BC152">
        <f>(_xlfn.PERCENTRANK.INC(ifood_data[[#All],[RFM]],ifood_data[[#This Row],[RFM]],1))*10</f>
        <v>3</v>
      </c>
      <c r="BD152" t="str">
        <f>VLOOKUP(ifood_data[[#This Row],[RFM Score]],'RFM Analysis'!$A$3:$B$14,2,FALSE)</f>
        <v>At Risk</v>
      </c>
      <c r="BE152">
        <f>'Regression Models'!$B$101+'Regression Models'!$B$102*ifood_data[[#This Row],[Income]]+'Regression Models'!$B$103*ifood_data[[#This Row],[Age]]+'Regression Models'!$B$104*ifood_data[[#This Row],[Family]]</f>
        <v>1361.2799384456061</v>
      </c>
      <c r="BF152" t="str">
        <f>IF(ifood_data[[#This Row],[AcceptedCmpOverall]]=1,"Campaign Respondent","Non-respondent")</f>
        <v>Non-respondent</v>
      </c>
    </row>
    <row r="153" spans="1:58" x14ac:dyDescent="0.35">
      <c r="A153">
        <v>761</v>
      </c>
      <c r="B153">
        <v>82716</v>
      </c>
      <c r="C153">
        <v>0</v>
      </c>
      <c r="D153">
        <v>0</v>
      </c>
      <c r="E153">
        <v>8</v>
      </c>
      <c r="F153">
        <v>606</v>
      </c>
      <c r="G153">
        <v>148</v>
      </c>
      <c r="H153">
        <v>228</v>
      </c>
      <c r="I153">
        <v>15</v>
      </c>
      <c r="J153">
        <v>148</v>
      </c>
      <c r="K153">
        <v>22</v>
      </c>
      <c r="L153">
        <v>1</v>
      </c>
      <c r="M153">
        <v>6</v>
      </c>
      <c r="N153">
        <v>8</v>
      </c>
      <c r="O153">
        <v>13</v>
      </c>
      <c r="P153">
        <v>2</v>
      </c>
      <c r="Q153">
        <v>0</v>
      </c>
      <c r="R153">
        <v>0</v>
      </c>
      <c r="S153">
        <v>0</v>
      </c>
      <c r="T153">
        <v>0</v>
      </c>
      <c r="U153">
        <v>0</v>
      </c>
      <c r="V153">
        <f>IF(SUM(ifood_data[[#This Row],[AcceptedCmp1]:[AcceptedCmp5]])&gt;0,1,0)</f>
        <v>0</v>
      </c>
      <c r="W153">
        <v>0</v>
      </c>
      <c r="X153">
        <v>3</v>
      </c>
      <c r="Y153">
        <v>11</v>
      </c>
      <c r="Z153">
        <v>0</v>
      </c>
      <c r="AA153">
        <v>76</v>
      </c>
      <c r="AB153">
        <v>2395</v>
      </c>
      <c r="AC153" s="28">
        <f>ifood_data[[#This Row],[Customer_Days]]/365</f>
        <v>6.5616438356164384</v>
      </c>
      <c r="AD153">
        <v>0</v>
      </c>
      <c r="AE153">
        <v>0</v>
      </c>
      <c r="AF153">
        <v>1</v>
      </c>
      <c r="AG153">
        <v>0</v>
      </c>
      <c r="AH153">
        <v>0</v>
      </c>
      <c r="AI153">
        <v>0</v>
      </c>
      <c r="AJ153">
        <v>0</v>
      </c>
      <c r="AK153">
        <v>0</v>
      </c>
      <c r="AL153">
        <v>0</v>
      </c>
      <c r="AM153">
        <v>1</v>
      </c>
      <c r="AN153">
        <v>1145</v>
      </c>
      <c r="AO153">
        <v>1123</v>
      </c>
      <c r="AP153">
        <f>ifood_data[[#This Row],[MntTotal]]-ifood_data[[#This Row],[MntRegularProds]]</f>
        <v>22</v>
      </c>
      <c r="AQ153">
        <v>0</v>
      </c>
      <c r="AR153">
        <f>IF(SUM(ifood_data[[#This Row],[Kidhome]:[Teenhome]])&gt;0,1,0)</f>
        <v>0</v>
      </c>
      <c r="AS153" t="str">
        <f>IF(SUM(ifood_data[[#This Row],[Kidhome]:[Teenhome]])&gt;0,"Has Family","No Family")</f>
        <v>No Family</v>
      </c>
      <c r="AT153" t="str">
        <f>IF(ifood_data[[#This Row],[marital_Married]]=1,"Married", (IF(ifood_data[[#This Row],[marital_Single]]=1,"Single",(IF(ifood_data[[#This Row],[marital_Divorced]]=1,"Divorced",(IF(ifood_data[[#This Row],[marital_Together]]=1,"Living Together",(IF(ifood_data[[#This Row],[marital_Widow]]=1,"Widow","Other")))))))))</f>
        <v>Single</v>
      </c>
      <c r="AU153" t="str">
        <f>IF(ifood_data[[#This Row],[education_Basic]]=1,"High School",(IF(ifood_data[[#This Row],[education_Graduation]]=1,"Undergraduate Degree",(IF(SUM(AM153,AL153,AI153)&gt;0,"Master's Degree or Higher","Other")))))</f>
        <v>Master's Degree or Higher</v>
      </c>
      <c r="AV153" t="str">
        <f>IF(ifood_data[[#All],[Income]]&gt;75000,"75K+",(IF(ifood_data[[#All],[Income]]&gt;50000,"50K-75K",(IF(ifood_data[[#All],[Income]]&gt;35000,"35K-50K","&lt;35K")))))</f>
        <v>75K+</v>
      </c>
      <c r="AW153" t="str">
        <f>IF(ifood_data[[#All],[Age]]&gt;60,"60+",(IF(ifood_data[[#All],[Age]]&gt;50,"50-60",(IF(ifood_data[[#All],[Age]]&gt;40,"40-50",(IF(ifood_data[[#All],[Age]]&gt;30,"30-40","&lt;30")))))))</f>
        <v>60+</v>
      </c>
      <c r="AX153">
        <f t="shared" si="8"/>
        <v>30</v>
      </c>
      <c r="AY153">
        <f t="shared" si="9"/>
        <v>10</v>
      </c>
      <c r="AZ153">
        <f t="shared" si="10"/>
        <v>8</v>
      </c>
      <c r="BA153">
        <f t="shared" si="11"/>
        <v>8</v>
      </c>
      <c r="BB153">
        <f>SUM(ifood_data[[#This Row],[Recency Score]:[Monetary Score]])</f>
        <v>26</v>
      </c>
      <c r="BC153">
        <f>(_xlfn.PERCENTRANK.INC(ifood_data[[#All],[RFM]],ifood_data[[#This Row],[RFM]],1))*10</f>
        <v>9</v>
      </c>
      <c r="BD153" t="str">
        <f>VLOOKUP(ifood_data[[#This Row],[RFM Score]],'RFM Analysis'!$A$3:$B$14,2,FALSE)</f>
        <v>Top Customer</v>
      </c>
      <c r="BE153">
        <f>'Regression Models'!$B$101+'Regression Models'!$B$102*ifood_data[[#This Row],[Income]]+'Regression Models'!$B$103*ifood_data[[#This Row],[Age]]+'Regression Models'!$B$104*ifood_data[[#This Row],[Family]]</f>
        <v>1359.0927195203087</v>
      </c>
      <c r="BF153" t="str">
        <f>IF(ifood_data[[#This Row],[AcceptedCmpOverall]]=1,"Campaign Respondent","Non-respondent")</f>
        <v>Non-respondent</v>
      </c>
    </row>
    <row r="154" spans="1:58" x14ac:dyDescent="0.35">
      <c r="A154">
        <v>1677</v>
      </c>
      <c r="B154">
        <v>80336</v>
      </c>
      <c r="C154">
        <v>0</v>
      </c>
      <c r="D154">
        <v>0</v>
      </c>
      <c r="E154">
        <v>12</v>
      </c>
      <c r="F154">
        <v>209</v>
      </c>
      <c r="G154">
        <v>19</v>
      </c>
      <c r="H154">
        <v>456</v>
      </c>
      <c r="I154">
        <v>160</v>
      </c>
      <c r="J154">
        <v>142</v>
      </c>
      <c r="K154">
        <v>66</v>
      </c>
      <c r="L154">
        <v>1</v>
      </c>
      <c r="M154">
        <v>2</v>
      </c>
      <c r="N154">
        <v>9</v>
      </c>
      <c r="O154">
        <v>13</v>
      </c>
      <c r="P154">
        <v>1</v>
      </c>
      <c r="Q154">
        <v>0</v>
      </c>
      <c r="R154">
        <v>0</v>
      </c>
      <c r="S154">
        <v>0</v>
      </c>
      <c r="T154">
        <v>0</v>
      </c>
      <c r="U154">
        <v>0</v>
      </c>
      <c r="V154">
        <f>IF(SUM(ifood_data[[#This Row],[AcceptedCmp1]:[AcceptedCmp5]])&gt;0,1,0)</f>
        <v>0</v>
      </c>
      <c r="W154">
        <v>0</v>
      </c>
      <c r="X154">
        <v>3</v>
      </c>
      <c r="Y154">
        <v>11</v>
      </c>
      <c r="Z154">
        <v>0</v>
      </c>
      <c r="AA154">
        <v>50</v>
      </c>
      <c r="AB154">
        <v>2452</v>
      </c>
      <c r="AC154" s="28">
        <f>ifood_data[[#This Row],[Customer_Days]]/365</f>
        <v>6.7178082191780826</v>
      </c>
      <c r="AD154">
        <v>0</v>
      </c>
      <c r="AE154">
        <v>1</v>
      </c>
      <c r="AF154">
        <v>0</v>
      </c>
      <c r="AG154">
        <v>0</v>
      </c>
      <c r="AH154">
        <v>0</v>
      </c>
      <c r="AI154">
        <v>0</v>
      </c>
      <c r="AJ154">
        <v>0</v>
      </c>
      <c r="AK154">
        <v>0</v>
      </c>
      <c r="AL154">
        <v>0</v>
      </c>
      <c r="AM154">
        <v>1</v>
      </c>
      <c r="AN154">
        <v>986</v>
      </c>
      <c r="AO154">
        <v>920</v>
      </c>
      <c r="AP154">
        <f>ifood_data[[#This Row],[MntTotal]]-ifood_data[[#This Row],[MntRegularProds]]</f>
        <v>66</v>
      </c>
      <c r="AQ154">
        <v>0</v>
      </c>
      <c r="AR154">
        <f>IF(SUM(ifood_data[[#This Row],[Kidhome]:[Teenhome]])&gt;0,1,0)</f>
        <v>0</v>
      </c>
      <c r="AS154" t="str">
        <f>IF(SUM(ifood_data[[#This Row],[Kidhome]:[Teenhome]])&gt;0,"Has Family","No Family")</f>
        <v>No Family</v>
      </c>
      <c r="AT154" t="str">
        <f>IF(ifood_data[[#This Row],[marital_Married]]=1,"Married", (IF(ifood_data[[#This Row],[marital_Single]]=1,"Single",(IF(ifood_data[[#This Row],[marital_Divorced]]=1,"Divorced",(IF(ifood_data[[#This Row],[marital_Together]]=1,"Living Together",(IF(ifood_data[[#This Row],[marital_Widow]]=1,"Widow","Other")))))))))</f>
        <v>Married</v>
      </c>
      <c r="AU154" t="str">
        <f>IF(ifood_data[[#This Row],[education_Basic]]=1,"High School",(IF(ifood_data[[#This Row],[education_Graduation]]=1,"Undergraduate Degree",(IF(SUM(AM154,AL154,AI154)&gt;0,"Master's Degree or Higher","Other")))))</f>
        <v>Master's Degree or Higher</v>
      </c>
      <c r="AV154" t="str">
        <f>IF(ifood_data[[#All],[Income]]&gt;75000,"75K+",(IF(ifood_data[[#All],[Income]]&gt;50000,"50K-75K",(IF(ifood_data[[#All],[Income]]&gt;35000,"35K-50K","&lt;35K")))))</f>
        <v>75K+</v>
      </c>
      <c r="AW154" t="str">
        <f>IF(ifood_data[[#All],[Age]]&gt;60,"60+",(IF(ifood_data[[#All],[Age]]&gt;50,"50-60",(IF(ifood_data[[#All],[Age]]&gt;40,"40-50",(IF(ifood_data[[#All],[Age]]&gt;30,"30-40","&lt;30")))))))</f>
        <v>40-50</v>
      </c>
      <c r="AX154">
        <f t="shared" si="8"/>
        <v>26</v>
      </c>
      <c r="AY154">
        <f t="shared" si="9"/>
        <v>9</v>
      </c>
      <c r="AZ154">
        <f t="shared" si="10"/>
        <v>7</v>
      </c>
      <c r="BA154">
        <f t="shared" si="11"/>
        <v>7</v>
      </c>
      <c r="BB154">
        <f>SUM(ifood_data[[#This Row],[Recency Score]:[Monetary Score]])</f>
        <v>23</v>
      </c>
      <c r="BC154">
        <f>(_xlfn.PERCENTRANK.INC(ifood_data[[#All],[RFM]],ifood_data[[#This Row],[RFM]],1))*10</f>
        <v>8</v>
      </c>
      <c r="BD154" t="str">
        <f>VLOOKUP(ifood_data[[#This Row],[RFM Score]],'RFM Analysis'!$A$3:$B$14,2,FALSE)</f>
        <v>Loyal Customer</v>
      </c>
      <c r="BE154">
        <f>'Regression Models'!$B$101+'Regression Models'!$B$102*ifood_data[[#This Row],[Income]]+'Regression Models'!$B$103*ifood_data[[#This Row],[Age]]+'Regression Models'!$B$104*ifood_data[[#This Row],[Family]]</f>
        <v>1358.3148673890805</v>
      </c>
      <c r="BF154" t="str">
        <f>IF(ifood_data[[#This Row],[AcceptedCmpOverall]]=1,"Campaign Respondent","Non-respondent")</f>
        <v>Non-respondent</v>
      </c>
    </row>
    <row r="155" spans="1:58" x14ac:dyDescent="0.35">
      <c r="A155">
        <v>852</v>
      </c>
      <c r="B155">
        <v>81320</v>
      </c>
      <c r="C155">
        <v>0</v>
      </c>
      <c r="D155">
        <v>0</v>
      </c>
      <c r="E155">
        <v>61</v>
      </c>
      <c r="F155">
        <v>183</v>
      </c>
      <c r="G155">
        <v>33</v>
      </c>
      <c r="H155">
        <v>493</v>
      </c>
      <c r="I155">
        <v>59</v>
      </c>
      <c r="J155">
        <v>103</v>
      </c>
      <c r="K155">
        <v>57</v>
      </c>
      <c r="L155">
        <v>1</v>
      </c>
      <c r="M155">
        <v>4</v>
      </c>
      <c r="N155">
        <v>3</v>
      </c>
      <c r="O155">
        <v>10</v>
      </c>
      <c r="P155">
        <v>2</v>
      </c>
      <c r="Q155">
        <v>0</v>
      </c>
      <c r="R155">
        <v>0</v>
      </c>
      <c r="S155">
        <v>0</v>
      </c>
      <c r="T155">
        <v>0</v>
      </c>
      <c r="U155">
        <v>0</v>
      </c>
      <c r="V155">
        <f>IF(SUM(ifood_data[[#This Row],[AcceptedCmp1]:[AcceptedCmp5]])&gt;0,1,0)</f>
        <v>0</v>
      </c>
      <c r="W155">
        <v>0</v>
      </c>
      <c r="X155">
        <v>3</v>
      </c>
      <c r="Y155">
        <v>11</v>
      </c>
      <c r="Z155">
        <v>0</v>
      </c>
      <c r="AA155">
        <v>62</v>
      </c>
      <c r="AB155">
        <v>2667</v>
      </c>
      <c r="AC155" s="28">
        <f>ifood_data[[#This Row],[Customer_Days]]/365</f>
        <v>7.3068493150684928</v>
      </c>
      <c r="AD155">
        <v>0</v>
      </c>
      <c r="AE155">
        <v>1</v>
      </c>
      <c r="AF155">
        <v>0</v>
      </c>
      <c r="AG155">
        <v>0</v>
      </c>
      <c r="AH155">
        <v>0</v>
      </c>
      <c r="AI155">
        <v>0</v>
      </c>
      <c r="AJ155">
        <v>0</v>
      </c>
      <c r="AK155">
        <v>1</v>
      </c>
      <c r="AL155">
        <v>0</v>
      </c>
      <c r="AM155">
        <v>0</v>
      </c>
      <c r="AN155">
        <v>871</v>
      </c>
      <c r="AO155">
        <v>814</v>
      </c>
      <c r="AP155">
        <f>ifood_data[[#This Row],[MntTotal]]-ifood_data[[#This Row],[MntRegularProds]]</f>
        <v>57</v>
      </c>
      <c r="AQ155">
        <v>0</v>
      </c>
      <c r="AR155">
        <f>IF(SUM(ifood_data[[#This Row],[Kidhome]:[Teenhome]])&gt;0,1,0)</f>
        <v>0</v>
      </c>
      <c r="AS155" t="str">
        <f>IF(SUM(ifood_data[[#This Row],[Kidhome]:[Teenhome]])&gt;0,"Has Family","No Family")</f>
        <v>No Family</v>
      </c>
      <c r="AT155" t="str">
        <f>IF(ifood_data[[#This Row],[marital_Married]]=1,"Married", (IF(ifood_data[[#This Row],[marital_Single]]=1,"Single",(IF(ifood_data[[#This Row],[marital_Divorced]]=1,"Divorced",(IF(ifood_data[[#This Row],[marital_Together]]=1,"Living Together",(IF(ifood_data[[#This Row],[marital_Widow]]=1,"Widow","Other")))))))))</f>
        <v>Married</v>
      </c>
      <c r="AU155" t="str">
        <f>IF(ifood_data[[#This Row],[education_Basic]]=1,"High School",(IF(ifood_data[[#This Row],[education_Graduation]]=1,"Undergraduate Degree",(IF(SUM(AM155,AL155,AI155)&gt;0,"Master's Degree or Higher","Other")))))</f>
        <v>Undergraduate Degree</v>
      </c>
      <c r="AV155" t="str">
        <f>IF(ifood_data[[#All],[Income]]&gt;75000,"75K+",(IF(ifood_data[[#All],[Income]]&gt;50000,"50K-75K",(IF(ifood_data[[#All],[Income]]&gt;35000,"35K-50K","&lt;35K")))))</f>
        <v>75K+</v>
      </c>
      <c r="AW155" t="str">
        <f>IF(ifood_data[[#All],[Age]]&gt;60,"60+",(IF(ifood_data[[#All],[Age]]&gt;50,"50-60",(IF(ifood_data[[#All],[Age]]&gt;40,"40-50",(IF(ifood_data[[#All],[Age]]&gt;30,"30-40","&lt;30")))))))</f>
        <v>60+</v>
      </c>
      <c r="AX155">
        <f t="shared" si="8"/>
        <v>20</v>
      </c>
      <c r="AY155">
        <f t="shared" si="9"/>
        <v>4</v>
      </c>
      <c r="AZ155">
        <f t="shared" si="10"/>
        <v>4</v>
      </c>
      <c r="BA155">
        <f t="shared" si="11"/>
        <v>7</v>
      </c>
      <c r="BB155">
        <f>SUM(ifood_data[[#This Row],[Recency Score]:[Monetary Score]])</f>
        <v>15</v>
      </c>
      <c r="BC155">
        <f>(_xlfn.PERCENTRANK.INC(ifood_data[[#All],[RFM]],ifood_data[[#This Row],[RFM]],1))*10</f>
        <v>4</v>
      </c>
      <c r="BD155" t="str">
        <f>VLOOKUP(ifood_data[[#This Row],[RFM Score]],'RFM Analysis'!$A$3:$B$14,2,FALSE)</f>
        <v>At Risk</v>
      </c>
      <c r="BE155">
        <f>'Regression Models'!$B$101+'Regression Models'!$B$102*ifood_data[[#This Row],[Income]]+'Regression Models'!$B$103*ifood_data[[#This Row],[Age]]+'Regression Models'!$B$104*ifood_data[[#This Row],[Family]]</f>
        <v>1356.3401462959457</v>
      </c>
      <c r="BF155" t="str">
        <f>IF(ifood_data[[#This Row],[AcceptedCmpOverall]]=1,"Campaign Respondent","Non-respondent")</f>
        <v>Non-respondent</v>
      </c>
    </row>
    <row r="156" spans="1:58" x14ac:dyDescent="0.35">
      <c r="A156">
        <v>935</v>
      </c>
      <c r="B156">
        <v>79689</v>
      </c>
      <c r="C156">
        <v>0</v>
      </c>
      <c r="D156">
        <v>0</v>
      </c>
      <c r="E156">
        <v>65</v>
      </c>
      <c r="F156">
        <v>311</v>
      </c>
      <c r="G156">
        <v>26</v>
      </c>
      <c r="H156">
        <v>640</v>
      </c>
      <c r="I156">
        <v>180</v>
      </c>
      <c r="J156">
        <v>37</v>
      </c>
      <c r="K156">
        <v>121</v>
      </c>
      <c r="L156">
        <v>1</v>
      </c>
      <c r="M156">
        <v>4</v>
      </c>
      <c r="N156">
        <v>9</v>
      </c>
      <c r="O156">
        <v>13</v>
      </c>
      <c r="P156">
        <v>2</v>
      </c>
      <c r="Q156">
        <v>0</v>
      </c>
      <c r="R156">
        <v>0</v>
      </c>
      <c r="S156">
        <v>0</v>
      </c>
      <c r="T156">
        <v>0</v>
      </c>
      <c r="U156">
        <v>0</v>
      </c>
      <c r="V156">
        <f>IF(SUM(ifood_data[[#This Row],[AcceptedCmp1]:[AcceptedCmp5]])&gt;0,1,0)</f>
        <v>0</v>
      </c>
      <c r="W156">
        <v>0</v>
      </c>
      <c r="X156">
        <v>3</v>
      </c>
      <c r="Y156">
        <v>11</v>
      </c>
      <c r="Z156">
        <v>0</v>
      </c>
      <c r="AA156">
        <v>44</v>
      </c>
      <c r="AB156">
        <v>2572</v>
      </c>
      <c r="AC156" s="28">
        <f>ifood_data[[#This Row],[Customer_Days]]/365</f>
        <v>7.0465753424657533</v>
      </c>
      <c r="AD156">
        <v>0</v>
      </c>
      <c r="AE156">
        <v>0</v>
      </c>
      <c r="AF156">
        <v>1</v>
      </c>
      <c r="AG156">
        <v>0</v>
      </c>
      <c r="AH156">
        <v>0</v>
      </c>
      <c r="AI156">
        <v>1</v>
      </c>
      <c r="AJ156">
        <v>0</v>
      </c>
      <c r="AK156">
        <v>0</v>
      </c>
      <c r="AL156">
        <v>0</v>
      </c>
      <c r="AM156">
        <v>0</v>
      </c>
      <c r="AN156">
        <v>1194</v>
      </c>
      <c r="AO156">
        <v>1073</v>
      </c>
      <c r="AP156">
        <f>ifood_data[[#This Row],[MntTotal]]-ifood_data[[#This Row],[MntRegularProds]]</f>
        <v>121</v>
      </c>
      <c r="AQ156">
        <v>0</v>
      </c>
      <c r="AR156">
        <f>IF(SUM(ifood_data[[#This Row],[Kidhome]:[Teenhome]])&gt;0,1,0)</f>
        <v>0</v>
      </c>
      <c r="AS156" t="str">
        <f>IF(SUM(ifood_data[[#This Row],[Kidhome]:[Teenhome]])&gt;0,"Has Family","No Family")</f>
        <v>No Family</v>
      </c>
      <c r="AT156" t="str">
        <f>IF(ifood_data[[#This Row],[marital_Married]]=1,"Married", (IF(ifood_data[[#This Row],[marital_Single]]=1,"Single",(IF(ifood_data[[#This Row],[marital_Divorced]]=1,"Divorced",(IF(ifood_data[[#This Row],[marital_Together]]=1,"Living Together",(IF(ifood_data[[#This Row],[marital_Widow]]=1,"Widow","Other")))))))))</f>
        <v>Single</v>
      </c>
      <c r="AU156" t="str">
        <f>IF(ifood_data[[#This Row],[education_Basic]]=1,"High School",(IF(ifood_data[[#This Row],[education_Graduation]]=1,"Undergraduate Degree",(IF(SUM(AM156,AL156,AI156)&gt;0,"Master's Degree or Higher","Other")))))</f>
        <v>Master's Degree or Higher</v>
      </c>
      <c r="AV156" t="str">
        <f>IF(ifood_data[[#All],[Income]]&gt;75000,"75K+",(IF(ifood_data[[#All],[Income]]&gt;50000,"50K-75K",(IF(ifood_data[[#All],[Income]]&gt;35000,"35K-50K","&lt;35K")))))</f>
        <v>75K+</v>
      </c>
      <c r="AW156" t="str">
        <f>IF(ifood_data[[#All],[Age]]&gt;60,"60+",(IF(ifood_data[[#All],[Age]]&gt;50,"50-60",(IF(ifood_data[[#All],[Age]]&gt;40,"40-50",(IF(ifood_data[[#All],[Age]]&gt;30,"30-40","&lt;30")))))))</f>
        <v>40-50</v>
      </c>
      <c r="AX156">
        <f t="shared" si="8"/>
        <v>29</v>
      </c>
      <c r="AY156">
        <f t="shared" si="9"/>
        <v>4</v>
      </c>
      <c r="AZ156">
        <f t="shared" si="10"/>
        <v>8</v>
      </c>
      <c r="BA156">
        <f t="shared" si="11"/>
        <v>8</v>
      </c>
      <c r="BB156">
        <f>SUM(ifood_data[[#This Row],[Recency Score]:[Monetary Score]])</f>
        <v>20</v>
      </c>
      <c r="BC156">
        <f>(_xlfn.PERCENTRANK.INC(ifood_data[[#All],[RFM]],ifood_data[[#This Row],[RFM]],1))*10</f>
        <v>7</v>
      </c>
      <c r="BD156" t="str">
        <f>VLOOKUP(ifood_data[[#This Row],[RFM Score]],'RFM Analysis'!$A$3:$B$14,2,FALSE)</f>
        <v>Loyal Customer</v>
      </c>
      <c r="BE156">
        <f>'Regression Models'!$B$101+'Regression Models'!$B$102*ifood_data[[#This Row],[Income]]+'Regression Models'!$B$103*ifood_data[[#This Row],[Age]]+'Regression Models'!$B$104*ifood_data[[#This Row],[Family]]</f>
        <v>1356.1419688733436</v>
      </c>
      <c r="BF156" t="str">
        <f>IF(ifood_data[[#This Row],[AcceptedCmpOverall]]=1,"Campaign Respondent","Non-respondent")</f>
        <v>Non-respondent</v>
      </c>
    </row>
    <row r="157" spans="1:58" x14ac:dyDescent="0.35">
      <c r="A157">
        <v>1605</v>
      </c>
      <c r="B157">
        <v>81795</v>
      </c>
      <c r="C157">
        <v>0</v>
      </c>
      <c r="D157">
        <v>0</v>
      </c>
      <c r="E157">
        <v>74</v>
      </c>
      <c r="F157">
        <v>324</v>
      </c>
      <c r="G157">
        <v>132</v>
      </c>
      <c r="H157">
        <v>693</v>
      </c>
      <c r="I157">
        <v>27</v>
      </c>
      <c r="J157">
        <v>118</v>
      </c>
      <c r="K157">
        <v>88</v>
      </c>
      <c r="L157">
        <v>1</v>
      </c>
      <c r="M157">
        <v>4</v>
      </c>
      <c r="N157">
        <v>11</v>
      </c>
      <c r="O157">
        <v>7</v>
      </c>
      <c r="P157">
        <v>2</v>
      </c>
      <c r="Q157">
        <v>0</v>
      </c>
      <c r="R157">
        <v>0</v>
      </c>
      <c r="S157">
        <v>0</v>
      </c>
      <c r="T157">
        <v>0</v>
      </c>
      <c r="U157">
        <v>0</v>
      </c>
      <c r="V157">
        <f>IF(SUM(ifood_data[[#This Row],[AcceptedCmp1]:[AcceptedCmp5]])&gt;0,1,0)</f>
        <v>0</v>
      </c>
      <c r="W157">
        <v>0</v>
      </c>
      <c r="X157">
        <v>3</v>
      </c>
      <c r="Y157">
        <v>11</v>
      </c>
      <c r="Z157">
        <v>0</v>
      </c>
      <c r="AA157">
        <v>68</v>
      </c>
      <c r="AB157">
        <v>2770</v>
      </c>
      <c r="AC157" s="28">
        <f>ifood_data[[#This Row],[Customer_Days]]/365</f>
        <v>7.5890410958904111</v>
      </c>
      <c r="AD157">
        <v>0</v>
      </c>
      <c r="AE157">
        <v>1</v>
      </c>
      <c r="AF157">
        <v>0</v>
      </c>
      <c r="AG157">
        <v>0</v>
      </c>
      <c r="AH157">
        <v>0</v>
      </c>
      <c r="AI157">
        <v>0</v>
      </c>
      <c r="AJ157">
        <v>0</v>
      </c>
      <c r="AK157">
        <v>1</v>
      </c>
      <c r="AL157">
        <v>0</v>
      </c>
      <c r="AM157">
        <v>0</v>
      </c>
      <c r="AN157">
        <v>1294</v>
      </c>
      <c r="AO157">
        <v>1206</v>
      </c>
      <c r="AP157">
        <f>ifood_data[[#This Row],[MntTotal]]-ifood_data[[#This Row],[MntRegularProds]]</f>
        <v>88</v>
      </c>
      <c r="AQ157">
        <v>0</v>
      </c>
      <c r="AR157">
        <f>IF(SUM(ifood_data[[#This Row],[Kidhome]:[Teenhome]])&gt;0,1,0)</f>
        <v>0</v>
      </c>
      <c r="AS157" t="str">
        <f>IF(SUM(ifood_data[[#This Row],[Kidhome]:[Teenhome]])&gt;0,"Has Family","No Family")</f>
        <v>No Family</v>
      </c>
      <c r="AT157" t="str">
        <f>IF(ifood_data[[#This Row],[marital_Married]]=1,"Married", (IF(ifood_data[[#This Row],[marital_Single]]=1,"Single",(IF(ifood_data[[#This Row],[marital_Divorced]]=1,"Divorced",(IF(ifood_data[[#This Row],[marital_Together]]=1,"Living Together",(IF(ifood_data[[#This Row],[marital_Widow]]=1,"Widow","Other")))))))))</f>
        <v>Married</v>
      </c>
      <c r="AU157" t="str">
        <f>IF(ifood_data[[#This Row],[education_Basic]]=1,"High School",(IF(ifood_data[[#This Row],[education_Graduation]]=1,"Undergraduate Degree",(IF(SUM(AM157,AL157,AI157)&gt;0,"Master's Degree or Higher","Other")))))</f>
        <v>Undergraduate Degree</v>
      </c>
      <c r="AV157" t="str">
        <f>IF(ifood_data[[#All],[Income]]&gt;75000,"75K+",(IF(ifood_data[[#All],[Income]]&gt;50000,"50K-75K",(IF(ifood_data[[#All],[Income]]&gt;35000,"35K-50K","&lt;35K")))))</f>
        <v>75K+</v>
      </c>
      <c r="AW157" t="str">
        <f>IF(ifood_data[[#All],[Age]]&gt;60,"60+",(IF(ifood_data[[#All],[Age]]&gt;50,"50-60",(IF(ifood_data[[#All],[Age]]&gt;40,"40-50",(IF(ifood_data[[#All],[Age]]&gt;30,"30-40","&lt;30")))))))</f>
        <v>60+</v>
      </c>
      <c r="AX157">
        <f t="shared" si="8"/>
        <v>25</v>
      </c>
      <c r="AY157">
        <f t="shared" si="9"/>
        <v>3.0000000000000004</v>
      </c>
      <c r="AZ157">
        <f t="shared" si="10"/>
        <v>7</v>
      </c>
      <c r="BA157">
        <f t="shared" si="11"/>
        <v>8</v>
      </c>
      <c r="BB157">
        <f>SUM(ifood_data[[#This Row],[Recency Score]:[Monetary Score]])</f>
        <v>18</v>
      </c>
      <c r="BC157">
        <f>(_xlfn.PERCENTRANK.INC(ifood_data[[#All],[RFM]],ifood_data[[#This Row],[RFM]],1))*10</f>
        <v>6</v>
      </c>
      <c r="BD157" t="str">
        <f>VLOOKUP(ifood_data[[#This Row],[RFM Score]],'RFM Analysis'!$A$3:$B$14,2,FALSE)</f>
        <v>Promising</v>
      </c>
      <c r="BE157">
        <f>'Regression Models'!$B$101+'Regression Models'!$B$102*ifood_data[[#This Row],[Income]]+'Regression Models'!$B$103*ifood_data[[#This Row],[Age]]+'Regression Models'!$B$104*ifood_data[[#This Row],[Family]]</f>
        <v>1355.0061766909319</v>
      </c>
      <c r="BF157" t="str">
        <f>IF(ifood_data[[#This Row],[AcceptedCmpOverall]]=1,"Campaign Respondent","Non-respondent")</f>
        <v>Non-respondent</v>
      </c>
    </row>
    <row r="158" spans="1:58" x14ac:dyDescent="0.35">
      <c r="A158">
        <v>288</v>
      </c>
      <c r="B158">
        <v>80950</v>
      </c>
      <c r="C158">
        <v>0</v>
      </c>
      <c r="D158">
        <v>0</v>
      </c>
      <c r="E158">
        <v>44</v>
      </c>
      <c r="F158">
        <v>525</v>
      </c>
      <c r="G158">
        <v>147</v>
      </c>
      <c r="H158">
        <v>112</v>
      </c>
      <c r="I158">
        <v>219</v>
      </c>
      <c r="J158">
        <v>147</v>
      </c>
      <c r="K158">
        <v>63</v>
      </c>
      <c r="L158">
        <v>1</v>
      </c>
      <c r="M158">
        <v>6</v>
      </c>
      <c r="N158">
        <v>7</v>
      </c>
      <c r="O158">
        <v>9</v>
      </c>
      <c r="P158">
        <v>2</v>
      </c>
      <c r="Q158">
        <v>1</v>
      </c>
      <c r="R158">
        <v>0</v>
      </c>
      <c r="S158">
        <v>0</v>
      </c>
      <c r="T158">
        <v>0</v>
      </c>
      <c r="U158">
        <v>0</v>
      </c>
      <c r="V158">
        <f>IF(SUM(ifood_data[[#This Row],[AcceptedCmp1]:[AcceptedCmp5]])&gt;0,1,0)</f>
        <v>1</v>
      </c>
      <c r="W158">
        <v>0</v>
      </c>
      <c r="X158">
        <v>3</v>
      </c>
      <c r="Y158">
        <v>11</v>
      </c>
      <c r="Z158">
        <v>0</v>
      </c>
      <c r="AA158">
        <v>59</v>
      </c>
      <c r="AB158">
        <v>2617</v>
      </c>
      <c r="AC158" s="28">
        <f>ifood_data[[#This Row],[Customer_Days]]/365</f>
        <v>7.1698630136986301</v>
      </c>
      <c r="AD158">
        <v>0</v>
      </c>
      <c r="AE158">
        <v>1</v>
      </c>
      <c r="AF158">
        <v>0</v>
      </c>
      <c r="AG158">
        <v>0</v>
      </c>
      <c r="AH158">
        <v>0</v>
      </c>
      <c r="AI158">
        <v>0</v>
      </c>
      <c r="AJ158">
        <v>0</v>
      </c>
      <c r="AK158">
        <v>0</v>
      </c>
      <c r="AL158">
        <v>1</v>
      </c>
      <c r="AM158">
        <v>0</v>
      </c>
      <c r="AN158">
        <v>1150</v>
      </c>
      <c r="AO158">
        <v>1087</v>
      </c>
      <c r="AP158">
        <f>ifood_data[[#This Row],[MntTotal]]-ifood_data[[#This Row],[MntRegularProds]]</f>
        <v>63</v>
      </c>
      <c r="AQ158">
        <v>1</v>
      </c>
      <c r="AR158">
        <f>IF(SUM(ifood_data[[#This Row],[Kidhome]:[Teenhome]])&gt;0,1,0)</f>
        <v>0</v>
      </c>
      <c r="AS158" t="str">
        <f>IF(SUM(ifood_data[[#This Row],[Kidhome]:[Teenhome]])&gt;0,"Has Family","No Family")</f>
        <v>No Family</v>
      </c>
      <c r="AT158" t="str">
        <f>IF(ifood_data[[#This Row],[marital_Married]]=1,"Married", (IF(ifood_data[[#This Row],[marital_Single]]=1,"Single",(IF(ifood_data[[#This Row],[marital_Divorced]]=1,"Divorced",(IF(ifood_data[[#This Row],[marital_Together]]=1,"Living Together",(IF(ifood_data[[#This Row],[marital_Widow]]=1,"Widow","Other")))))))))</f>
        <v>Married</v>
      </c>
      <c r="AU158" t="str">
        <f>IF(ifood_data[[#This Row],[education_Basic]]=1,"High School",(IF(ifood_data[[#This Row],[education_Graduation]]=1,"Undergraduate Degree",(IF(SUM(AM158,AL158,AI158)&gt;0,"Master's Degree or Higher","Other")))))</f>
        <v>Master's Degree or Higher</v>
      </c>
      <c r="AV158" t="str">
        <f>IF(ifood_data[[#All],[Income]]&gt;75000,"75K+",(IF(ifood_data[[#All],[Income]]&gt;50000,"50K-75K",(IF(ifood_data[[#All],[Income]]&gt;35000,"35K-50K","&lt;35K")))))</f>
        <v>75K+</v>
      </c>
      <c r="AW158" t="str">
        <f>IF(ifood_data[[#All],[Age]]&gt;60,"60+",(IF(ifood_data[[#All],[Age]]&gt;50,"50-60",(IF(ifood_data[[#All],[Age]]&gt;40,"40-50",(IF(ifood_data[[#All],[Age]]&gt;30,"30-40","&lt;30")))))))</f>
        <v>50-60</v>
      </c>
      <c r="AX158">
        <f t="shared" si="8"/>
        <v>25</v>
      </c>
      <c r="AY158">
        <f t="shared" si="9"/>
        <v>6</v>
      </c>
      <c r="AZ158">
        <f t="shared" si="10"/>
        <v>7</v>
      </c>
      <c r="BA158">
        <f t="shared" si="11"/>
        <v>8</v>
      </c>
      <c r="BB158">
        <f>SUM(ifood_data[[#This Row],[Recency Score]:[Monetary Score]])</f>
        <v>21</v>
      </c>
      <c r="BC158">
        <f>(_xlfn.PERCENTRANK.INC(ifood_data[[#All],[RFM]],ifood_data[[#This Row],[RFM]],1))*10</f>
        <v>8</v>
      </c>
      <c r="BD158" t="str">
        <f>VLOOKUP(ifood_data[[#This Row],[RFM Score]],'RFM Analysis'!$A$3:$B$14,2,FALSE)</f>
        <v>Loyal Customer</v>
      </c>
      <c r="BE158">
        <f>'Regression Models'!$B$101+'Regression Models'!$B$102*ifood_data[[#This Row],[Income]]+'Regression Models'!$B$103*ifood_data[[#This Row],[Age]]+'Regression Models'!$B$104*ifood_data[[#This Row],[Family]]</f>
        <v>1354.3056193193861</v>
      </c>
      <c r="BF158" t="str">
        <f>IF(ifood_data[[#This Row],[AcceptedCmpOverall]]=1,"Campaign Respondent","Non-respondent")</f>
        <v>Campaign Respondent</v>
      </c>
    </row>
    <row r="159" spans="1:58" x14ac:dyDescent="0.35">
      <c r="A159">
        <v>214</v>
      </c>
      <c r="B159">
        <v>79930</v>
      </c>
      <c r="C159">
        <v>0</v>
      </c>
      <c r="D159">
        <v>0</v>
      </c>
      <c r="E159">
        <v>72</v>
      </c>
      <c r="F159">
        <v>792</v>
      </c>
      <c r="G159">
        <v>86</v>
      </c>
      <c r="H159">
        <v>740</v>
      </c>
      <c r="I159">
        <v>67</v>
      </c>
      <c r="J159">
        <v>51</v>
      </c>
      <c r="K159">
        <v>17</v>
      </c>
      <c r="L159">
        <v>1</v>
      </c>
      <c r="M159">
        <v>3</v>
      </c>
      <c r="N159">
        <v>5</v>
      </c>
      <c r="O159">
        <v>8</v>
      </c>
      <c r="P159">
        <v>2</v>
      </c>
      <c r="Q159">
        <v>0</v>
      </c>
      <c r="R159">
        <v>0</v>
      </c>
      <c r="S159">
        <v>0</v>
      </c>
      <c r="T159">
        <v>0</v>
      </c>
      <c r="U159">
        <v>0</v>
      </c>
      <c r="V159">
        <f>IF(SUM(ifood_data[[#This Row],[AcceptedCmp1]:[AcceptedCmp5]])&gt;0,1,0)</f>
        <v>0</v>
      </c>
      <c r="W159">
        <v>0</v>
      </c>
      <c r="X159">
        <v>3</v>
      </c>
      <c r="Y159">
        <v>11</v>
      </c>
      <c r="Z159">
        <v>0</v>
      </c>
      <c r="AA159">
        <v>48</v>
      </c>
      <c r="AB159">
        <v>2849</v>
      </c>
      <c r="AC159" s="28">
        <f>ifood_data[[#This Row],[Customer_Days]]/365</f>
        <v>7.8054794520547945</v>
      </c>
      <c r="AD159">
        <v>0</v>
      </c>
      <c r="AE159">
        <v>1</v>
      </c>
      <c r="AF159">
        <v>0</v>
      </c>
      <c r="AG159">
        <v>0</v>
      </c>
      <c r="AH159">
        <v>0</v>
      </c>
      <c r="AI159">
        <v>0</v>
      </c>
      <c r="AJ159">
        <v>0</v>
      </c>
      <c r="AK159">
        <v>0</v>
      </c>
      <c r="AL159">
        <v>0</v>
      </c>
      <c r="AM159">
        <v>1</v>
      </c>
      <c r="AN159">
        <v>1736</v>
      </c>
      <c r="AO159">
        <v>1719</v>
      </c>
      <c r="AP159">
        <f>ifood_data[[#This Row],[MntTotal]]-ifood_data[[#This Row],[MntRegularProds]]</f>
        <v>17</v>
      </c>
      <c r="AQ159">
        <v>0</v>
      </c>
      <c r="AR159">
        <f>IF(SUM(ifood_data[[#This Row],[Kidhome]:[Teenhome]])&gt;0,1,0)</f>
        <v>0</v>
      </c>
      <c r="AS159" t="str">
        <f>IF(SUM(ifood_data[[#This Row],[Kidhome]:[Teenhome]])&gt;0,"Has Family","No Family")</f>
        <v>No Family</v>
      </c>
      <c r="AT159" t="str">
        <f>IF(ifood_data[[#This Row],[marital_Married]]=1,"Married", (IF(ifood_data[[#This Row],[marital_Single]]=1,"Single",(IF(ifood_data[[#This Row],[marital_Divorced]]=1,"Divorced",(IF(ifood_data[[#This Row],[marital_Together]]=1,"Living Together",(IF(ifood_data[[#This Row],[marital_Widow]]=1,"Widow","Other")))))))))</f>
        <v>Married</v>
      </c>
      <c r="AU159" t="str">
        <f>IF(ifood_data[[#This Row],[education_Basic]]=1,"High School",(IF(ifood_data[[#This Row],[education_Graduation]]=1,"Undergraduate Degree",(IF(SUM(AM159,AL159,AI159)&gt;0,"Master's Degree or Higher","Other")))))</f>
        <v>Master's Degree or Higher</v>
      </c>
      <c r="AV159" t="str">
        <f>IF(ifood_data[[#All],[Income]]&gt;75000,"75K+",(IF(ifood_data[[#All],[Income]]&gt;50000,"50K-75K",(IF(ifood_data[[#All],[Income]]&gt;35000,"35K-50K","&lt;35K")))))</f>
        <v>75K+</v>
      </c>
      <c r="AW159" t="str">
        <f>IF(ifood_data[[#All],[Age]]&gt;60,"60+",(IF(ifood_data[[#All],[Age]]&gt;50,"50-60",(IF(ifood_data[[#All],[Age]]&gt;40,"40-50",(IF(ifood_data[[#All],[Age]]&gt;30,"30-40","&lt;30")))))))</f>
        <v>40-50</v>
      </c>
      <c r="AX159">
        <f t="shared" si="8"/>
        <v>19</v>
      </c>
      <c r="AY159">
        <f t="shared" si="9"/>
        <v>3.0000000000000004</v>
      </c>
      <c r="AZ159">
        <f t="shared" si="10"/>
        <v>4</v>
      </c>
      <c r="BA159">
        <f t="shared" si="11"/>
        <v>9</v>
      </c>
      <c r="BB159">
        <f>SUM(ifood_data[[#This Row],[Recency Score]:[Monetary Score]])</f>
        <v>16</v>
      </c>
      <c r="BC159">
        <f>(_xlfn.PERCENTRANK.INC(ifood_data[[#All],[RFM]],ifood_data[[#This Row],[RFM]],1))*10</f>
        <v>5</v>
      </c>
      <c r="BD159" t="str">
        <f>VLOOKUP(ifood_data[[#This Row],[RFM Score]],'RFM Analysis'!$A$3:$B$14,2,FALSE)</f>
        <v>Promising</v>
      </c>
      <c r="BE159">
        <f>'Regression Models'!$B$101+'Regression Models'!$B$102*ifood_data[[#This Row],[Income]]+'Regression Models'!$B$103*ifood_data[[#This Row],[Age]]+'Regression Models'!$B$104*ifood_data[[#This Row],[Family]]</f>
        <v>1353.7099056804464</v>
      </c>
      <c r="BF159" t="str">
        <f>IF(ifood_data[[#This Row],[AcceptedCmpOverall]]=1,"Campaign Respondent","Non-respondent")</f>
        <v>Non-respondent</v>
      </c>
    </row>
    <row r="160" spans="1:58" x14ac:dyDescent="0.35">
      <c r="A160">
        <v>1276</v>
      </c>
      <c r="B160">
        <v>80695</v>
      </c>
      <c r="C160">
        <v>0</v>
      </c>
      <c r="D160">
        <v>0</v>
      </c>
      <c r="E160">
        <v>85</v>
      </c>
      <c r="F160">
        <v>557</v>
      </c>
      <c r="G160">
        <v>129</v>
      </c>
      <c r="H160">
        <v>984</v>
      </c>
      <c r="I160">
        <v>193</v>
      </c>
      <c r="J160">
        <v>37</v>
      </c>
      <c r="K160">
        <v>18</v>
      </c>
      <c r="L160">
        <v>1</v>
      </c>
      <c r="M160">
        <v>5</v>
      </c>
      <c r="N160">
        <v>8</v>
      </c>
      <c r="O160">
        <v>5</v>
      </c>
      <c r="P160">
        <v>2</v>
      </c>
      <c r="Q160">
        <v>0</v>
      </c>
      <c r="R160">
        <v>0</v>
      </c>
      <c r="S160">
        <v>0</v>
      </c>
      <c r="T160">
        <v>0</v>
      </c>
      <c r="U160">
        <v>0</v>
      </c>
      <c r="V160">
        <f>IF(SUM(ifood_data[[#This Row],[AcceptedCmp1]:[AcceptedCmp5]])&gt;0,1,0)</f>
        <v>0</v>
      </c>
      <c r="W160">
        <v>0</v>
      </c>
      <c r="X160">
        <v>3</v>
      </c>
      <c r="Y160">
        <v>11</v>
      </c>
      <c r="Z160">
        <v>0</v>
      </c>
      <c r="AA160">
        <v>57</v>
      </c>
      <c r="AB160">
        <v>2341</v>
      </c>
      <c r="AC160" s="28">
        <f>ifood_data[[#This Row],[Customer_Days]]/365</f>
        <v>6.4136986301369863</v>
      </c>
      <c r="AD160">
        <v>0</v>
      </c>
      <c r="AE160">
        <v>0</v>
      </c>
      <c r="AF160">
        <v>1</v>
      </c>
      <c r="AG160">
        <v>0</v>
      </c>
      <c r="AH160">
        <v>0</v>
      </c>
      <c r="AI160">
        <v>0</v>
      </c>
      <c r="AJ160">
        <v>0</v>
      </c>
      <c r="AK160">
        <v>1</v>
      </c>
      <c r="AL160">
        <v>0</v>
      </c>
      <c r="AM160">
        <v>0</v>
      </c>
      <c r="AN160">
        <v>1900</v>
      </c>
      <c r="AO160">
        <v>1882</v>
      </c>
      <c r="AP160">
        <f>ifood_data[[#This Row],[MntTotal]]-ifood_data[[#This Row],[MntRegularProds]]</f>
        <v>18</v>
      </c>
      <c r="AQ160">
        <v>0</v>
      </c>
      <c r="AR160">
        <f>IF(SUM(ifood_data[[#This Row],[Kidhome]:[Teenhome]])&gt;0,1,0)</f>
        <v>0</v>
      </c>
      <c r="AS160" t="str">
        <f>IF(SUM(ifood_data[[#This Row],[Kidhome]:[Teenhome]])&gt;0,"Has Family","No Family")</f>
        <v>No Family</v>
      </c>
      <c r="AT160" t="str">
        <f>IF(ifood_data[[#This Row],[marital_Married]]=1,"Married", (IF(ifood_data[[#This Row],[marital_Single]]=1,"Single",(IF(ifood_data[[#This Row],[marital_Divorced]]=1,"Divorced",(IF(ifood_data[[#This Row],[marital_Together]]=1,"Living Together",(IF(ifood_data[[#This Row],[marital_Widow]]=1,"Widow","Other")))))))))</f>
        <v>Single</v>
      </c>
      <c r="AU160" t="str">
        <f>IF(ifood_data[[#This Row],[education_Basic]]=1,"High School",(IF(ifood_data[[#This Row],[education_Graduation]]=1,"Undergraduate Degree",(IF(SUM(AM160,AL160,AI160)&gt;0,"Master's Degree or Higher","Other")))))</f>
        <v>Undergraduate Degree</v>
      </c>
      <c r="AV160" t="str">
        <f>IF(ifood_data[[#All],[Income]]&gt;75000,"75K+",(IF(ifood_data[[#All],[Income]]&gt;50000,"50K-75K",(IF(ifood_data[[#All],[Income]]&gt;35000,"35K-50K","&lt;35K")))))</f>
        <v>75K+</v>
      </c>
      <c r="AW160" t="str">
        <f>IF(ifood_data[[#All],[Age]]&gt;60,"60+",(IF(ifood_data[[#All],[Age]]&gt;50,"50-60",(IF(ifood_data[[#All],[Age]]&gt;40,"40-50",(IF(ifood_data[[#All],[Age]]&gt;30,"30-40","&lt;30")))))))</f>
        <v>50-60</v>
      </c>
      <c r="AX160">
        <f t="shared" si="8"/>
        <v>21</v>
      </c>
      <c r="AY160">
        <f t="shared" si="9"/>
        <v>1.9999999999999996</v>
      </c>
      <c r="AZ160">
        <f t="shared" si="10"/>
        <v>5</v>
      </c>
      <c r="BA160">
        <f t="shared" si="11"/>
        <v>9</v>
      </c>
      <c r="BB160">
        <f>SUM(ifood_data[[#This Row],[Recency Score]:[Monetary Score]])</f>
        <v>16</v>
      </c>
      <c r="BC160">
        <f>(_xlfn.PERCENTRANK.INC(ifood_data[[#All],[RFM]],ifood_data[[#This Row],[RFM]],1))*10</f>
        <v>5</v>
      </c>
      <c r="BD160" t="str">
        <f>VLOOKUP(ifood_data[[#This Row],[RFM Score]],'RFM Analysis'!$A$3:$B$14,2,FALSE)</f>
        <v>Promising</v>
      </c>
      <c r="BE160">
        <f>'Regression Models'!$B$101+'Regression Models'!$B$102*ifood_data[[#This Row],[Income]]+'Regression Models'!$B$103*ifood_data[[#This Row],[Age]]+'Regression Models'!$B$104*ifood_data[[#This Row],[Family]]</f>
        <v>1352.7793616004806</v>
      </c>
      <c r="BF160" t="str">
        <f>IF(ifood_data[[#This Row],[AcceptedCmpOverall]]=1,"Campaign Respondent","Non-respondent")</f>
        <v>Non-respondent</v>
      </c>
    </row>
    <row r="161" spans="1:58" x14ac:dyDescent="0.35">
      <c r="A161">
        <v>1415</v>
      </c>
      <c r="B161">
        <v>82032</v>
      </c>
      <c r="C161">
        <v>0</v>
      </c>
      <c r="D161">
        <v>0</v>
      </c>
      <c r="E161">
        <v>54</v>
      </c>
      <c r="F161">
        <v>332</v>
      </c>
      <c r="G161">
        <v>194</v>
      </c>
      <c r="H161">
        <v>377</v>
      </c>
      <c r="I161">
        <v>149</v>
      </c>
      <c r="J161">
        <v>125</v>
      </c>
      <c r="K161">
        <v>57</v>
      </c>
      <c r="L161">
        <v>0</v>
      </c>
      <c r="M161">
        <v>4</v>
      </c>
      <c r="N161">
        <v>6</v>
      </c>
      <c r="O161">
        <v>7</v>
      </c>
      <c r="P161">
        <v>1</v>
      </c>
      <c r="Q161">
        <v>0</v>
      </c>
      <c r="R161">
        <v>0</v>
      </c>
      <c r="S161">
        <v>0</v>
      </c>
      <c r="T161">
        <v>0</v>
      </c>
      <c r="U161">
        <v>0</v>
      </c>
      <c r="V161">
        <f>IF(SUM(ifood_data[[#This Row],[AcceptedCmp1]:[AcceptedCmp5]])&gt;0,1,0)</f>
        <v>0</v>
      </c>
      <c r="W161">
        <v>0</v>
      </c>
      <c r="X161">
        <v>3</v>
      </c>
      <c r="Y161">
        <v>11</v>
      </c>
      <c r="Z161">
        <v>0</v>
      </c>
      <c r="AA161">
        <v>72</v>
      </c>
      <c r="AB161">
        <v>2244</v>
      </c>
      <c r="AC161" s="28">
        <f>ifood_data[[#This Row],[Customer_Days]]/365</f>
        <v>6.1479452054794521</v>
      </c>
      <c r="AD161">
        <v>0</v>
      </c>
      <c r="AE161">
        <v>0</v>
      </c>
      <c r="AF161">
        <v>0</v>
      </c>
      <c r="AG161">
        <v>0</v>
      </c>
      <c r="AH161">
        <v>1</v>
      </c>
      <c r="AI161">
        <v>0</v>
      </c>
      <c r="AJ161">
        <v>0</v>
      </c>
      <c r="AK161">
        <v>0</v>
      </c>
      <c r="AL161">
        <v>0</v>
      </c>
      <c r="AM161">
        <v>1</v>
      </c>
      <c r="AN161">
        <v>1177</v>
      </c>
      <c r="AO161">
        <v>1120</v>
      </c>
      <c r="AP161">
        <f>ifood_data[[#This Row],[MntTotal]]-ifood_data[[#This Row],[MntRegularProds]]</f>
        <v>57</v>
      </c>
      <c r="AQ161">
        <v>0</v>
      </c>
      <c r="AR161">
        <f>IF(SUM(ifood_data[[#This Row],[Kidhome]:[Teenhome]])&gt;0,1,0)</f>
        <v>0</v>
      </c>
      <c r="AS161" t="str">
        <f>IF(SUM(ifood_data[[#This Row],[Kidhome]:[Teenhome]])&gt;0,"Has Family","No Family")</f>
        <v>No Family</v>
      </c>
      <c r="AT161" t="str">
        <f>IF(ifood_data[[#This Row],[marital_Married]]=1,"Married", (IF(ifood_data[[#This Row],[marital_Single]]=1,"Single",(IF(ifood_data[[#This Row],[marital_Divorced]]=1,"Divorced",(IF(ifood_data[[#This Row],[marital_Together]]=1,"Living Together",(IF(ifood_data[[#This Row],[marital_Widow]]=1,"Widow","Other")))))))))</f>
        <v>Widow</v>
      </c>
      <c r="AU161" t="str">
        <f>IF(ifood_data[[#This Row],[education_Basic]]=1,"High School",(IF(ifood_data[[#This Row],[education_Graduation]]=1,"Undergraduate Degree",(IF(SUM(AM161,AL161,AI161)&gt;0,"Master's Degree or Higher","Other")))))</f>
        <v>Master's Degree or Higher</v>
      </c>
      <c r="AV161" t="str">
        <f>IF(ifood_data[[#All],[Income]]&gt;75000,"75K+",(IF(ifood_data[[#All],[Income]]&gt;50000,"50K-75K",(IF(ifood_data[[#All],[Income]]&gt;35000,"35K-50K","&lt;35K")))))</f>
        <v>75K+</v>
      </c>
      <c r="AW161" t="str">
        <f>IF(ifood_data[[#All],[Age]]&gt;60,"60+",(IF(ifood_data[[#All],[Age]]&gt;50,"50-60",(IF(ifood_data[[#All],[Age]]&gt;40,"40-50",(IF(ifood_data[[#All],[Age]]&gt;30,"30-40","&lt;30")))))))</f>
        <v>60+</v>
      </c>
      <c r="AX161">
        <f t="shared" si="8"/>
        <v>18</v>
      </c>
      <c r="AY161">
        <f t="shared" si="9"/>
        <v>5</v>
      </c>
      <c r="AZ161">
        <f t="shared" si="10"/>
        <v>4</v>
      </c>
      <c r="BA161">
        <f t="shared" si="11"/>
        <v>8</v>
      </c>
      <c r="BB161">
        <f>SUM(ifood_data[[#This Row],[Recency Score]:[Monetary Score]])</f>
        <v>17</v>
      </c>
      <c r="BC161">
        <f>(_xlfn.PERCENTRANK.INC(ifood_data[[#All],[RFM]],ifood_data[[#This Row],[RFM]],1))*10</f>
        <v>6</v>
      </c>
      <c r="BD161" t="str">
        <f>VLOOKUP(ifood_data[[#This Row],[RFM Score]],'RFM Analysis'!$A$3:$B$14,2,FALSE)</f>
        <v>Promising</v>
      </c>
      <c r="BE161">
        <f>'Regression Models'!$B$101+'Regression Models'!$B$102*ifood_data[[#This Row],[Income]]+'Regression Models'!$B$103*ifood_data[[#This Row],[Age]]+'Regression Models'!$B$104*ifood_data[[#This Row],[Family]]</f>
        <v>1352.492558425459</v>
      </c>
      <c r="BF161" t="str">
        <f>IF(ifood_data[[#This Row],[AcceptedCmpOverall]]=1,"Campaign Respondent","Non-respondent")</f>
        <v>Non-respondent</v>
      </c>
    </row>
    <row r="162" spans="1:58" x14ac:dyDescent="0.35">
      <c r="A162">
        <v>1576</v>
      </c>
      <c r="B162">
        <v>80398</v>
      </c>
      <c r="C162">
        <v>0</v>
      </c>
      <c r="D162">
        <v>0</v>
      </c>
      <c r="E162">
        <v>92</v>
      </c>
      <c r="F162">
        <v>342</v>
      </c>
      <c r="G162">
        <v>51</v>
      </c>
      <c r="H162">
        <v>936</v>
      </c>
      <c r="I162">
        <v>207</v>
      </c>
      <c r="J162">
        <v>35</v>
      </c>
      <c r="K162">
        <v>26</v>
      </c>
      <c r="L162">
        <v>1</v>
      </c>
      <c r="M162">
        <v>5</v>
      </c>
      <c r="N162">
        <v>8</v>
      </c>
      <c r="O162">
        <v>12</v>
      </c>
      <c r="P162">
        <v>3</v>
      </c>
      <c r="Q162">
        <v>0</v>
      </c>
      <c r="R162">
        <v>0</v>
      </c>
      <c r="S162">
        <v>0</v>
      </c>
      <c r="T162">
        <v>0</v>
      </c>
      <c r="U162">
        <v>1</v>
      </c>
      <c r="V162">
        <f>IF(SUM(ifood_data[[#This Row],[AcceptedCmp1]:[AcceptedCmp5]])&gt;0,1,0)</f>
        <v>1</v>
      </c>
      <c r="W162">
        <v>0</v>
      </c>
      <c r="X162">
        <v>3</v>
      </c>
      <c r="Y162">
        <v>11</v>
      </c>
      <c r="Z162">
        <v>0</v>
      </c>
      <c r="AA162">
        <v>54</v>
      </c>
      <c r="AB162">
        <v>2755</v>
      </c>
      <c r="AC162" s="28">
        <f>ifood_data[[#This Row],[Customer_Days]]/365</f>
        <v>7.5479452054794525</v>
      </c>
      <c r="AD162">
        <v>0</v>
      </c>
      <c r="AE162">
        <v>1</v>
      </c>
      <c r="AF162">
        <v>0</v>
      </c>
      <c r="AG162">
        <v>0</v>
      </c>
      <c r="AH162">
        <v>0</v>
      </c>
      <c r="AI162">
        <v>0</v>
      </c>
      <c r="AJ162">
        <v>0</v>
      </c>
      <c r="AK162">
        <v>1</v>
      </c>
      <c r="AL162">
        <v>0</v>
      </c>
      <c r="AM162">
        <v>0</v>
      </c>
      <c r="AN162">
        <v>1571</v>
      </c>
      <c r="AO162">
        <v>1545</v>
      </c>
      <c r="AP162">
        <f>ifood_data[[#This Row],[MntTotal]]-ifood_data[[#This Row],[MntRegularProds]]</f>
        <v>26</v>
      </c>
      <c r="AQ162">
        <v>1</v>
      </c>
      <c r="AR162">
        <f>IF(SUM(ifood_data[[#This Row],[Kidhome]:[Teenhome]])&gt;0,1,0)</f>
        <v>0</v>
      </c>
      <c r="AS162" t="str">
        <f>IF(SUM(ifood_data[[#This Row],[Kidhome]:[Teenhome]])&gt;0,"Has Family","No Family")</f>
        <v>No Family</v>
      </c>
      <c r="AT162" t="str">
        <f>IF(ifood_data[[#This Row],[marital_Married]]=1,"Married", (IF(ifood_data[[#This Row],[marital_Single]]=1,"Single",(IF(ifood_data[[#This Row],[marital_Divorced]]=1,"Divorced",(IF(ifood_data[[#This Row],[marital_Together]]=1,"Living Together",(IF(ifood_data[[#This Row],[marital_Widow]]=1,"Widow","Other")))))))))</f>
        <v>Married</v>
      </c>
      <c r="AU162" t="str">
        <f>IF(ifood_data[[#This Row],[education_Basic]]=1,"High School",(IF(ifood_data[[#This Row],[education_Graduation]]=1,"Undergraduate Degree",(IF(SUM(AM162,AL162,AI162)&gt;0,"Master's Degree or Higher","Other")))))</f>
        <v>Undergraduate Degree</v>
      </c>
      <c r="AV162" t="str">
        <f>IF(ifood_data[[#All],[Income]]&gt;75000,"75K+",(IF(ifood_data[[#All],[Income]]&gt;50000,"50K-75K",(IF(ifood_data[[#All],[Income]]&gt;35000,"35K-50K","&lt;35K")))))</f>
        <v>75K+</v>
      </c>
      <c r="AW162" t="str">
        <f>IF(ifood_data[[#All],[Age]]&gt;60,"60+",(IF(ifood_data[[#All],[Age]]&gt;50,"50-60",(IF(ifood_data[[#All],[Age]]&gt;40,"40-50",(IF(ifood_data[[#All],[Age]]&gt;30,"30-40","&lt;30")))))))</f>
        <v>50-60</v>
      </c>
      <c r="AX162">
        <f t="shared" si="8"/>
        <v>29</v>
      </c>
      <c r="AY162">
        <f t="shared" si="9"/>
        <v>0.99999999999999978</v>
      </c>
      <c r="AZ162">
        <f t="shared" si="10"/>
        <v>8</v>
      </c>
      <c r="BA162">
        <f t="shared" si="11"/>
        <v>9</v>
      </c>
      <c r="BB162">
        <f>SUM(ifood_data[[#This Row],[Recency Score]:[Monetary Score]])</f>
        <v>18</v>
      </c>
      <c r="BC162">
        <f>(_xlfn.PERCENTRANK.INC(ifood_data[[#All],[RFM]],ifood_data[[#This Row],[RFM]],1))*10</f>
        <v>6</v>
      </c>
      <c r="BD162" t="str">
        <f>VLOOKUP(ifood_data[[#This Row],[RFM Score]],'RFM Analysis'!$A$3:$B$14,2,FALSE)</f>
        <v>Promising</v>
      </c>
      <c r="BE162">
        <f>'Regression Models'!$B$101+'Regression Models'!$B$102*ifood_data[[#This Row],[Income]]+'Regression Models'!$B$103*ifood_data[[#This Row],[Age]]+'Regression Models'!$B$104*ifood_data[[#This Row],[Family]]</f>
        <v>1352.2332146984254</v>
      </c>
      <c r="BF162" t="str">
        <f>IF(ifood_data[[#This Row],[AcceptedCmpOverall]]=1,"Campaign Respondent","Non-respondent")</f>
        <v>Campaign Respondent</v>
      </c>
    </row>
    <row r="163" spans="1:58" x14ac:dyDescent="0.35">
      <c r="A163">
        <v>880</v>
      </c>
      <c r="B163">
        <v>79632</v>
      </c>
      <c r="C163">
        <v>0</v>
      </c>
      <c r="D163">
        <v>0</v>
      </c>
      <c r="E163">
        <v>42</v>
      </c>
      <c r="F163">
        <v>471</v>
      </c>
      <c r="G163">
        <v>0</v>
      </c>
      <c r="H163">
        <v>510</v>
      </c>
      <c r="I163">
        <v>99</v>
      </c>
      <c r="J163">
        <v>21</v>
      </c>
      <c r="K163">
        <v>12</v>
      </c>
      <c r="L163">
        <v>1</v>
      </c>
      <c r="M163">
        <v>6</v>
      </c>
      <c r="N163">
        <v>4</v>
      </c>
      <c r="O163">
        <v>9</v>
      </c>
      <c r="P163">
        <v>2</v>
      </c>
      <c r="Q163">
        <v>0</v>
      </c>
      <c r="R163">
        <v>0</v>
      </c>
      <c r="S163">
        <v>0</v>
      </c>
      <c r="T163">
        <v>0</v>
      </c>
      <c r="U163">
        <v>0</v>
      </c>
      <c r="V163">
        <f>IF(SUM(ifood_data[[#This Row],[AcceptedCmp1]:[AcceptedCmp5]])&gt;0,1,0)</f>
        <v>0</v>
      </c>
      <c r="W163">
        <v>0</v>
      </c>
      <c r="X163">
        <v>3</v>
      </c>
      <c r="Y163">
        <v>11</v>
      </c>
      <c r="Z163">
        <v>0</v>
      </c>
      <c r="AA163">
        <v>46</v>
      </c>
      <c r="AB163">
        <v>2241</v>
      </c>
      <c r="AC163" s="28">
        <f>ifood_data[[#This Row],[Customer_Days]]/365</f>
        <v>6.13972602739726</v>
      </c>
      <c r="AD163">
        <v>0</v>
      </c>
      <c r="AE163">
        <v>0</v>
      </c>
      <c r="AF163">
        <v>0</v>
      </c>
      <c r="AG163">
        <v>1</v>
      </c>
      <c r="AH163">
        <v>0</v>
      </c>
      <c r="AI163">
        <v>0</v>
      </c>
      <c r="AJ163">
        <v>0</v>
      </c>
      <c r="AK163">
        <v>0</v>
      </c>
      <c r="AL163">
        <v>0</v>
      </c>
      <c r="AM163">
        <v>1</v>
      </c>
      <c r="AN163">
        <v>1101</v>
      </c>
      <c r="AO163">
        <v>1089</v>
      </c>
      <c r="AP163">
        <f>ifood_data[[#This Row],[MntTotal]]-ifood_data[[#This Row],[MntRegularProds]]</f>
        <v>12</v>
      </c>
      <c r="AQ163">
        <v>0</v>
      </c>
      <c r="AR163">
        <f>IF(SUM(ifood_data[[#This Row],[Kidhome]:[Teenhome]])&gt;0,1,0)</f>
        <v>0</v>
      </c>
      <c r="AS163" t="str">
        <f>IF(SUM(ifood_data[[#This Row],[Kidhome]:[Teenhome]])&gt;0,"Has Family","No Family")</f>
        <v>No Family</v>
      </c>
      <c r="AT163" t="str">
        <f>IF(ifood_data[[#This Row],[marital_Married]]=1,"Married", (IF(ifood_data[[#This Row],[marital_Single]]=1,"Single",(IF(ifood_data[[#This Row],[marital_Divorced]]=1,"Divorced",(IF(ifood_data[[#This Row],[marital_Together]]=1,"Living Together",(IF(ifood_data[[#This Row],[marital_Widow]]=1,"Widow","Other")))))))))</f>
        <v>Living Together</v>
      </c>
      <c r="AU163" t="str">
        <f>IF(ifood_data[[#This Row],[education_Basic]]=1,"High School",(IF(ifood_data[[#This Row],[education_Graduation]]=1,"Undergraduate Degree",(IF(SUM(AM163,AL163,AI163)&gt;0,"Master's Degree or Higher","Other")))))</f>
        <v>Master's Degree or Higher</v>
      </c>
      <c r="AV163" t="str">
        <f>IF(ifood_data[[#All],[Income]]&gt;75000,"75K+",(IF(ifood_data[[#All],[Income]]&gt;50000,"50K-75K",(IF(ifood_data[[#All],[Income]]&gt;35000,"35K-50K","&lt;35K")))))</f>
        <v>75K+</v>
      </c>
      <c r="AW163" t="str">
        <f>IF(ifood_data[[#All],[Age]]&gt;60,"60+",(IF(ifood_data[[#All],[Age]]&gt;50,"50-60",(IF(ifood_data[[#All],[Age]]&gt;40,"40-50",(IF(ifood_data[[#All],[Age]]&gt;30,"30-40","&lt;30")))))))</f>
        <v>40-50</v>
      </c>
      <c r="AX163">
        <f t="shared" si="8"/>
        <v>22</v>
      </c>
      <c r="AY163">
        <f t="shared" si="9"/>
        <v>6</v>
      </c>
      <c r="AZ163">
        <f t="shared" si="10"/>
        <v>5</v>
      </c>
      <c r="BA163">
        <f t="shared" si="11"/>
        <v>8</v>
      </c>
      <c r="BB163">
        <f>SUM(ifood_data[[#This Row],[Recency Score]:[Monetary Score]])</f>
        <v>19</v>
      </c>
      <c r="BC163">
        <f>(_xlfn.PERCENTRANK.INC(ifood_data[[#All],[RFM]],ifood_data[[#This Row],[RFM]],1))*10</f>
        <v>7</v>
      </c>
      <c r="BD163" t="str">
        <f>VLOOKUP(ifood_data[[#This Row],[RFM Score]],'RFM Analysis'!$A$3:$B$14,2,FALSE)</f>
        <v>Loyal Customer</v>
      </c>
      <c r="BE163">
        <f>'Regression Models'!$B$101+'Regression Models'!$B$102*ifood_data[[#This Row],[Income]]+'Regression Models'!$B$103*ifood_data[[#This Row],[Age]]+'Regression Models'!$B$104*ifood_data[[#This Row],[Family]]</f>
        <v>1351.3069309313528</v>
      </c>
      <c r="BF163" t="str">
        <f>IF(ifood_data[[#This Row],[AcceptedCmpOverall]]=1,"Campaign Respondent","Non-respondent")</f>
        <v>Non-respondent</v>
      </c>
    </row>
    <row r="164" spans="1:58" x14ac:dyDescent="0.35">
      <c r="A164">
        <v>720</v>
      </c>
      <c r="B164">
        <v>78285</v>
      </c>
      <c r="C164">
        <v>0</v>
      </c>
      <c r="D164">
        <v>0</v>
      </c>
      <c r="E164">
        <v>13</v>
      </c>
      <c r="F164">
        <v>647</v>
      </c>
      <c r="G164">
        <v>107</v>
      </c>
      <c r="H164">
        <v>391</v>
      </c>
      <c r="I164">
        <v>175</v>
      </c>
      <c r="J164">
        <v>67</v>
      </c>
      <c r="K164">
        <v>40</v>
      </c>
      <c r="L164">
        <v>1</v>
      </c>
      <c r="M164">
        <v>6</v>
      </c>
      <c r="N164">
        <v>4</v>
      </c>
      <c r="O164">
        <v>10</v>
      </c>
      <c r="P164">
        <v>3</v>
      </c>
      <c r="Q164">
        <v>0</v>
      </c>
      <c r="R164">
        <v>0</v>
      </c>
      <c r="S164">
        <v>0</v>
      </c>
      <c r="T164">
        <v>0</v>
      </c>
      <c r="U164">
        <v>0</v>
      </c>
      <c r="V164">
        <f>IF(SUM(ifood_data[[#This Row],[AcceptedCmp1]:[AcceptedCmp5]])&gt;0,1,0)</f>
        <v>0</v>
      </c>
      <c r="W164">
        <v>0</v>
      </c>
      <c r="X164">
        <v>3</v>
      </c>
      <c r="Y164">
        <v>11</v>
      </c>
      <c r="Z164">
        <v>0</v>
      </c>
      <c r="AA164">
        <v>32</v>
      </c>
      <c r="AB164">
        <v>2403</v>
      </c>
      <c r="AC164" s="28">
        <f>ifood_data[[#This Row],[Customer_Days]]/365</f>
        <v>6.5835616438356164</v>
      </c>
      <c r="AD164">
        <v>0</v>
      </c>
      <c r="AE164">
        <v>1</v>
      </c>
      <c r="AF164">
        <v>0</v>
      </c>
      <c r="AG164">
        <v>0</v>
      </c>
      <c r="AH164">
        <v>0</v>
      </c>
      <c r="AI164">
        <v>0</v>
      </c>
      <c r="AJ164">
        <v>0</v>
      </c>
      <c r="AK164">
        <v>0</v>
      </c>
      <c r="AL164">
        <v>1</v>
      </c>
      <c r="AM164">
        <v>0</v>
      </c>
      <c r="AN164">
        <v>1387</v>
      </c>
      <c r="AO164">
        <v>1347</v>
      </c>
      <c r="AP164">
        <f>ifood_data[[#This Row],[MntTotal]]-ifood_data[[#This Row],[MntRegularProds]]</f>
        <v>40</v>
      </c>
      <c r="AQ164">
        <v>0</v>
      </c>
      <c r="AR164">
        <f>IF(SUM(ifood_data[[#This Row],[Kidhome]:[Teenhome]])&gt;0,1,0)</f>
        <v>0</v>
      </c>
      <c r="AS164" t="str">
        <f>IF(SUM(ifood_data[[#This Row],[Kidhome]:[Teenhome]])&gt;0,"Has Family","No Family")</f>
        <v>No Family</v>
      </c>
      <c r="AT164" t="str">
        <f>IF(ifood_data[[#This Row],[marital_Married]]=1,"Married", (IF(ifood_data[[#This Row],[marital_Single]]=1,"Single",(IF(ifood_data[[#This Row],[marital_Divorced]]=1,"Divorced",(IF(ifood_data[[#This Row],[marital_Together]]=1,"Living Together",(IF(ifood_data[[#This Row],[marital_Widow]]=1,"Widow","Other")))))))))</f>
        <v>Married</v>
      </c>
      <c r="AU164" t="str">
        <f>IF(ifood_data[[#This Row],[education_Basic]]=1,"High School",(IF(ifood_data[[#This Row],[education_Graduation]]=1,"Undergraduate Degree",(IF(SUM(AM164,AL164,AI164)&gt;0,"Master's Degree or Higher","Other")))))</f>
        <v>Master's Degree or Higher</v>
      </c>
      <c r="AV164" t="str">
        <f>IF(ifood_data[[#All],[Income]]&gt;75000,"75K+",(IF(ifood_data[[#All],[Income]]&gt;50000,"50K-75K",(IF(ifood_data[[#All],[Income]]&gt;35000,"35K-50K","&lt;35K")))))</f>
        <v>75K+</v>
      </c>
      <c r="AW164" t="str">
        <f>IF(ifood_data[[#All],[Age]]&gt;60,"60+",(IF(ifood_data[[#All],[Age]]&gt;50,"50-60",(IF(ifood_data[[#All],[Age]]&gt;40,"40-50",(IF(ifood_data[[#All],[Age]]&gt;30,"30-40","&lt;30")))))))</f>
        <v>30-40</v>
      </c>
      <c r="AX164">
        <f t="shared" si="8"/>
        <v>24</v>
      </c>
      <c r="AY164">
        <f t="shared" si="9"/>
        <v>9</v>
      </c>
      <c r="AZ164">
        <f t="shared" si="10"/>
        <v>6</v>
      </c>
      <c r="BA164">
        <f t="shared" si="11"/>
        <v>8</v>
      </c>
      <c r="BB164">
        <f>SUM(ifood_data[[#This Row],[Recency Score]:[Monetary Score]])</f>
        <v>23</v>
      </c>
      <c r="BC164">
        <f>(_xlfn.PERCENTRANK.INC(ifood_data[[#All],[RFM]],ifood_data[[#This Row],[RFM]],1))*10</f>
        <v>8</v>
      </c>
      <c r="BD164" t="str">
        <f>VLOOKUP(ifood_data[[#This Row],[RFM Score]],'RFM Analysis'!$A$3:$B$14,2,FALSE)</f>
        <v>Loyal Customer</v>
      </c>
      <c r="BE164">
        <f>'Regression Models'!$B$101+'Regression Models'!$B$102*ifood_data[[#This Row],[Income]]+'Regression Models'!$B$103*ifood_data[[#This Row],[Age]]+'Regression Models'!$B$104*ifood_data[[#This Row],[Family]]</f>
        <v>1349.5534073460408</v>
      </c>
      <c r="BF164" t="str">
        <f>IF(ifood_data[[#This Row],[AcceptedCmpOverall]]=1,"Campaign Respondent","Non-respondent")</f>
        <v>Non-respondent</v>
      </c>
    </row>
    <row r="165" spans="1:58" x14ac:dyDescent="0.35">
      <c r="A165">
        <v>82</v>
      </c>
      <c r="B165">
        <v>79593</v>
      </c>
      <c r="C165">
        <v>0</v>
      </c>
      <c r="D165">
        <v>0</v>
      </c>
      <c r="E165">
        <v>70</v>
      </c>
      <c r="F165">
        <v>350</v>
      </c>
      <c r="G165">
        <v>60</v>
      </c>
      <c r="H165">
        <v>568</v>
      </c>
      <c r="I165">
        <v>110</v>
      </c>
      <c r="J165">
        <v>133</v>
      </c>
      <c r="K165">
        <v>145</v>
      </c>
      <c r="L165">
        <v>1</v>
      </c>
      <c r="M165">
        <v>5</v>
      </c>
      <c r="N165">
        <v>6</v>
      </c>
      <c r="O165">
        <v>7</v>
      </c>
      <c r="P165">
        <v>2</v>
      </c>
      <c r="Q165">
        <v>0</v>
      </c>
      <c r="R165">
        <v>0</v>
      </c>
      <c r="S165">
        <v>0</v>
      </c>
      <c r="T165">
        <v>0</v>
      </c>
      <c r="U165">
        <v>1</v>
      </c>
      <c r="V165">
        <f>IF(SUM(ifood_data[[#This Row],[AcceptedCmp1]:[AcceptedCmp5]])&gt;0,1,0)</f>
        <v>1</v>
      </c>
      <c r="W165">
        <v>0</v>
      </c>
      <c r="X165">
        <v>3</v>
      </c>
      <c r="Y165">
        <v>11</v>
      </c>
      <c r="Z165">
        <v>0</v>
      </c>
      <c r="AA165">
        <v>47</v>
      </c>
      <c r="AB165">
        <v>2207</v>
      </c>
      <c r="AC165" s="28">
        <f>ifood_data[[#This Row],[Customer_Days]]/365</f>
        <v>6.0465753424657533</v>
      </c>
      <c r="AD165">
        <v>0</v>
      </c>
      <c r="AE165">
        <v>1</v>
      </c>
      <c r="AF165">
        <v>0</v>
      </c>
      <c r="AG165">
        <v>0</v>
      </c>
      <c r="AH165">
        <v>0</v>
      </c>
      <c r="AI165">
        <v>0</v>
      </c>
      <c r="AJ165">
        <v>0</v>
      </c>
      <c r="AK165">
        <v>1</v>
      </c>
      <c r="AL165">
        <v>0</v>
      </c>
      <c r="AM165">
        <v>0</v>
      </c>
      <c r="AN165">
        <v>1221</v>
      </c>
      <c r="AO165">
        <v>1076</v>
      </c>
      <c r="AP165">
        <f>ifood_data[[#This Row],[MntTotal]]-ifood_data[[#This Row],[MntRegularProds]]</f>
        <v>145</v>
      </c>
      <c r="AQ165">
        <v>1</v>
      </c>
      <c r="AR165">
        <f>IF(SUM(ifood_data[[#This Row],[Kidhome]:[Teenhome]])&gt;0,1,0)</f>
        <v>0</v>
      </c>
      <c r="AS165" t="str">
        <f>IF(SUM(ifood_data[[#This Row],[Kidhome]:[Teenhome]])&gt;0,"Has Family","No Family")</f>
        <v>No Family</v>
      </c>
      <c r="AT165" t="str">
        <f>IF(ifood_data[[#This Row],[marital_Married]]=1,"Married", (IF(ifood_data[[#This Row],[marital_Single]]=1,"Single",(IF(ifood_data[[#This Row],[marital_Divorced]]=1,"Divorced",(IF(ifood_data[[#This Row],[marital_Together]]=1,"Living Together",(IF(ifood_data[[#This Row],[marital_Widow]]=1,"Widow","Other")))))))))</f>
        <v>Married</v>
      </c>
      <c r="AU165" t="str">
        <f>IF(ifood_data[[#This Row],[education_Basic]]=1,"High School",(IF(ifood_data[[#This Row],[education_Graduation]]=1,"Undergraduate Degree",(IF(SUM(AM165,AL165,AI165)&gt;0,"Master's Degree or Higher","Other")))))</f>
        <v>Undergraduate Degree</v>
      </c>
      <c r="AV165" t="str">
        <f>IF(ifood_data[[#All],[Income]]&gt;75000,"75K+",(IF(ifood_data[[#All],[Income]]&gt;50000,"50K-75K",(IF(ifood_data[[#All],[Income]]&gt;35000,"35K-50K","&lt;35K")))))</f>
        <v>75K+</v>
      </c>
      <c r="AW165" t="str">
        <f>IF(ifood_data[[#All],[Age]]&gt;60,"60+",(IF(ifood_data[[#All],[Age]]&gt;50,"50-60",(IF(ifood_data[[#All],[Age]]&gt;40,"40-50",(IF(ifood_data[[#All],[Age]]&gt;30,"30-40","&lt;30")))))))</f>
        <v>40-50</v>
      </c>
      <c r="AX165">
        <f t="shared" si="8"/>
        <v>21</v>
      </c>
      <c r="AY165">
        <f t="shared" si="9"/>
        <v>3.0000000000000004</v>
      </c>
      <c r="AZ165">
        <f t="shared" si="10"/>
        <v>5</v>
      </c>
      <c r="BA165">
        <f t="shared" si="11"/>
        <v>8</v>
      </c>
      <c r="BB165">
        <f>SUM(ifood_data[[#This Row],[Recency Score]:[Monetary Score]])</f>
        <v>16</v>
      </c>
      <c r="BC165">
        <f>(_xlfn.PERCENTRANK.INC(ifood_data[[#All],[RFM]],ifood_data[[#This Row],[RFM]],1))*10</f>
        <v>5</v>
      </c>
      <c r="BD165" t="str">
        <f>VLOOKUP(ifood_data[[#This Row],[RFM Score]],'RFM Analysis'!$A$3:$B$14,2,FALSE)</f>
        <v>Promising</v>
      </c>
      <c r="BE165">
        <f>'Regression Models'!$B$101+'Regression Models'!$B$102*ifood_data[[#This Row],[Income]]+'Regression Models'!$B$103*ifood_data[[#This Row],[Age]]+'Regression Models'!$B$104*ifood_data[[#This Row],[Family]]</f>
        <v>1348.6753298948465</v>
      </c>
      <c r="BF165" t="str">
        <f>IF(ifood_data[[#This Row],[AcceptedCmpOverall]]=1,"Campaign Respondent","Non-respondent")</f>
        <v>Campaign Respondent</v>
      </c>
    </row>
    <row r="166" spans="1:58" x14ac:dyDescent="0.35">
      <c r="A166">
        <v>1205</v>
      </c>
      <c r="B166">
        <v>78687</v>
      </c>
      <c r="C166">
        <v>0</v>
      </c>
      <c r="D166">
        <v>0</v>
      </c>
      <c r="E166">
        <v>13</v>
      </c>
      <c r="F166">
        <v>817</v>
      </c>
      <c r="G166">
        <v>185</v>
      </c>
      <c r="H166">
        <v>687</v>
      </c>
      <c r="I166">
        <v>145</v>
      </c>
      <c r="J166">
        <v>55</v>
      </c>
      <c r="K166">
        <v>241</v>
      </c>
      <c r="L166">
        <v>1</v>
      </c>
      <c r="M166">
        <v>4</v>
      </c>
      <c r="N166">
        <v>6</v>
      </c>
      <c r="O166">
        <v>8</v>
      </c>
      <c r="P166">
        <v>2</v>
      </c>
      <c r="Q166">
        <v>0</v>
      </c>
      <c r="R166">
        <v>0</v>
      </c>
      <c r="S166">
        <v>0</v>
      </c>
      <c r="T166">
        <v>0</v>
      </c>
      <c r="U166">
        <v>1</v>
      </c>
      <c r="V166">
        <f>IF(SUM(ifood_data[[#This Row],[AcceptedCmp1]:[AcceptedCmp5]])&gt;0,1,0)</f>
        <v>1</v>
      </c>
      <c r="W166">
        <v>0</v>
      </c>
      <c r="X166">
        <v>3</v>
      </c>
      <c r="Y166">
        <v>11</v>
      </c>
      <c r="Z166">
        <v>1</v>
      </c>
      <c r="AA166">
        <v>37</v>
      </c>
      <c r="AB166">
        <v>2848</v>
      </c>
      <c r="AC166" s="28">
        <f>ifood_data[[#This Row],[Customer_Days]]/365</f>
        <v>7.8027397260273972</v>
      </c>
      <c r="AD166">
        <v>0</v>
      </c>
      <c r="AE166">
        <v>0</v>
      </c>
      <c r="AF166">
        <v>0</v>
      </c>
      <c r="AG166">
        <v>1</v>
      </c>
      <c r="AH166">
        <v>0</v>
      </c>
      <c r="AI166">
        <v>0</v>
      </c>
      <c r="AJ166">
        <v>0</v>
      </c>
      <c r="AK166">
        <v>1</v>
      </c>
      <c r="AL166">
        <v>0</v>
      </c>
      <c r="AM166">
        <v>0</v>
      </c>
      <c r="AN166">
        <v>1889</v>
      </c>
      <c r="AO166">
        <v>1648</v>
      </c>
      <c r="AP166">
        <f>ifood_data[[#This Row],[MntTotal]]-ifood_data[[#This Row],[MntRegularProds]]</f>
        <v>241</v>
      </c>
      <c r="AQ166">
        <v>1</v>
      </c>
      <c r="AR166">
        <f>IF(SUM(ifood_data[[#This Row],[Kidhome]:[Teenhome]])&gt;0,1,0)</f>
        <v>0</v>
      </c>
      <c r="AS166" t="str">
        <f>IF(SUM(ifood_data[[#This Row],[Kidhome]:[Teenhome]])&gt;0,"Has Family","No Family")</f>
        <v>No Family</v>
      </c>
      <c r="AT166" t="str">
        <f>IF(ifood_data[[#This Row],[marital_Married]]=1,"Married", (IF(ifood_data[[#This Row],[marital_Single]]=1,"Single",(IF(ifood_data[[#This Row],[marital_Divorced]]=1,"Divorced",(IF(ifood_data[[#This Row],[marital_Together]]=1,"Living Together",(IF(ifood_data[[#This Row],[marital_Widow]]=1,"Widow","Other")))))))))</f>
        <v>Living Together</v>
      </c>
      <c r="AU166" t="str">
        <f>IF(ifood_data[[#This Row],[education_Basic]]=1,"High School",(IF(ifood_data[[#This Row],[education_Graduation]]=1,"Undergraduate Degree",(IF(SUM(AM166,AL166,AI166)&gt;0,"Master's Degree or Higher","Other")))))</f>
        <v>Undergraduate Degree</v>
      </c>
      <c r="AV166" t="str">
        <f>IF(ifood_data[[#All],[Income]]&gt;75000,"75K+",(IF(ifood_data[[#All],[Income]]&gt;50000,"50K-75K",(IF(ifood_data[[#All],[Income]]&gt;35000,"35K-50K","&lt;35K")))))</f>
        <v>75K+</v>
      </c>
      <c r="AW166" t="str">
        <f>IF(ifood_data[[#All],[Age]]&gt;60,"60+",(IF(ifood_data[[#All],[Age]]&gt;50,"50-60",(IF(ifood_data[[#All],[Age]]&gt;40,"40-50",(IF(ifood_data[[#All],[Age]]&gt;30,"30-40","&lt;30")))))))</f>
        <v>30-40</v>
      </c>
      <c r="AX166">
        <f t="shared" si="8"/>
        <v>21</v>
      </c>
      <c r="AY166">
        <f t="shared" si="9"/>
        <v>9</v>
      </c>
      <c r="AZ166">
        <f t="shared" si="10"/>
        <v>5</v>
      </c>
      <c r="BA166">
        <f t="shared" si="11"/>
        <v>9</v>
      </c>
      <c r="BB166">
        <f>SUM(ifood_data[[#This Row],[Recency Score]:[Monetary Score]])</f>
        <v>23</v>
      </c>
      <c r="BC166">
        <f>(_xlfn.PERCENTRANK.INC(ifood_data[[#All],[RFM]],ifood_data[[#This Row],[RFM]],1))*10</f>
        <v>8</v>
      </c>
      <c r="BD166" t="str">
        <f>VLOOKUP(ifood_data[[#This Row],[RFM Score]],'RFM Analysis'!$A$3:$B$14,2,FALSE)</f>
        <v>Loyal Customer</v>
      </c>
      <c r="BE166">
        <f>'Regression Models'!$B$101+'Regression Models'!$B$102*ifood_data[[#This Row],[Income]]+'Regression Models'!$B$103*ifood_data[[#This Row],[Age]]+'Regression Models'!$B$104*ifood_data[[#This Row],[Family]]</f>
        <v>1348.567496745417</v>
      </c>
      <c r="BF166" t="str">
        <f>IF(ifood_data[[#This Row],[AcceptedCmpOverall]]=1,"Campaign Respondent","Non-respondent")</f>
        <v>Campaign Respondent</v>
      </c>
    </row>
    <row r="167" spans="1:58" x14ac:dyDescent="0.35">
      <c r="A167">
        <v>1668</v>
      </c>
      <c r="B167">
        <v>78394</v>
      </c>
      <c r="C167">
        <v>0</v>
      </c>
      <c r="D167">
        <v>0</v>
      </c>
      <c r="E167">
        <v>13</v>
      </c>
      <c r="F167">
        <v>298</v>
      </c>
      <c r="G167">
        <v>27</v>
      </c>
      <c r="H167">
        <v>697</v>
      </c>
      <c r="I167">
        <v>216</v>
      </c>
      <c r="J167">
        <v>24</v>
      </c>
      <c r="K167">
        <v>166</v>
      </c>
      <c r="L167">
        <v>1</v>
      </c>
      <c r="M167">
        <v>4</v>
      </c>
      <c r="N167">
        <v>6</v>
      </c>
      <c r="O167">
        <v>5</v>
      </c>
      <c r="P167">
        <v>2</v>
      </c>
      <c r="Q167">
        <v>0</v>
      </c>
      <c r="R167">
        <v>0</v>
      </c>
      <c r="S167">
        <v>0</v>
      </c>
      <c r="T167">
        <v>0</v>
      </c>
      <c r="U167">
        <v>0</v>
      </c>
      <c r="V167">
        <f>IF(SUM(ifood_data[[#This Row],[AcceptedCmp1]:[AcceptedCmp5]])&gt;0,1,0)</f>
        <v>0</v>
      </c>
      <c r="W167">
        <v>0</v>
      </c>
      <c r="X167">
        <v>3</v>
      </c>
      <c r="Y167">
        <v>11</v>
      </c>
      <c r="Z167">
        <v>1</v>
      </c>
      <c r="AA167">
        <v>34</v>
      </c>
      <c r="AB167">
        <v>2658</v>
      </c>
      <c r="AC167" s="28">
        <f>ifood_data[[#This Row],[Customer_Days]]/365</f>
        <v>7.2821917808219174</v>
      </c>
      <c r="AD167">
        <v>0</v>
      </c>
      <c r="AE167">
        <v>0</v>
      </c>
      <c r="AF167">
        <v>0</v>
      </c>
      <c r="AG167">
        <v>1</v>
      </c>
      <c r="AH167">
        <v>0</v>
      </c>
      <c r="AI167">
        <v>0</v>
      </c>
      <c r="AJ167">
        <v>0</v>
      </c>
      <c r="AK167">
        <v>1</v>
      </c>
      <c r="AL167">
        <v>0</v>
      </c>
      <c r="AM167">
        <v>0</v>
      </c>
      <c r="AN167">
        <v>1262</v>
      </c>
      <c r="AO167">
        <v>1096</v>
      </c>
      <c r="AP167">
        <f>ifood_data[[#This Row],[MntTotal]]-ifood_data[[#This Row],[MntRegularProds]]</f>
        <v>166</v>
      </c>
      <c r="AQ167">
        <v>0</v>
      </c>
      <c r="AR167">
        <f>IF(SUM(ifood_data[[#This Row],[Kidhome]:[Teenhome]])&gt;0,1,0)</f>
        <v>0</v>
      </c>
      <c r="AS167" t="str">
        <f>IF(SUM(ifood_data[[#This Row],[Kidhome]:[Teenhome]])&gt;0,"Has Family","No Family")</f>
        <v>No Family</v>
      </c>
      <c r="AT167" t="str">
        <f>IF(ifood_data[[#This Row],[marital_Married]]=1,"Married", (IF(ifood_data[[#This Row],[marital_Single]]=1,"Single",(IF(ifood_data[[#This Row],[marital_Divorced]]=1,"Divorced",(IF(ifood_data[[#This Row],[marital_Together]]=1,"Living Together",(IF(ifood_data[[#This Row],[marital_Widow]]=1,"Widow","Other")))))))))</f>
        <v>Living Together</v>
      </c>
      <c r="AU167" t="str">
        <f>IF(ifood_data[[#This Row],[education_Basic]]=1,"High School",(IF(ifood_data[[#This Row],[education_Graduation]]=1,"Undergraduate Degree",(IF(SUM(AM167,AL167,AI167)&gt;0,"Master's Degree or Higher","Other")))))</f>
        <v>Undergraduate Degree</v>
      </c>
      <c r="AV167" t="str">
        <f>IF(ifood_data[[#All],[Income]]&gt;75000,"75K+",(IF(ifood_data[[#All],[Income]]&gt;50000,"50K-75K",(IF(ifood_data[[#All],[Income]]&gt;35000,"35K-50K","&lt;35K")))))</f>
        <v>75K+</v>
      </c>
      <c r="AW167" t="str">
        <f>IF(ifood_data[[#All],[Age]]&gt;60,"60+",(IF(ifood_data[[#All],[Age]]&gt;50,"50-60",(IF(ifood_data[[#All],[Age]]&gt;40,"40-50",(IF(ifood_data[[#All],[Age]]&gt;30,"30-40","&lt;30")))))))</f>
        <v>30-40</v>
      </c>
      <c r="AX167">
        <f t="shared" si="8"/>
        <v>18</v>
      </c>
      <c r="AY167">
        <f t="shared" si="9"/>
        <v>9</v>
      </c>
      <c r="AZ167">
        <f t="shared" si="10"/>
        <v>4</v>
      </c>
      <c r="BA167">
        <f t="shared" si="11"/>
        <v>8</v>
      </c>
      <c r="BB167">
        <f>SUM(ifood_data[[#This Row],[Recency Score]:[Monetary Score]])</f>
        <v>21</v>
      </c>
      <c r="BC167">
        <f>(_xlfn.PERCENTRANK.INC(ifood_data[[#All],[RFM]],ifood_data[[#This Row],[RFM]],1))*10</f>
        <v>8</v>
      </c>
      <c r="BD167" t="str">
        <f>VLOOKUP(ifood_data[[#This Row],[RFM Score]],'RFM Analysis'!$A$3:$B$14,2,FALSE)</f>
        <v>Loyal Customer</v>
      </c>
      <c r="BE167">
        <f>'Regression Models'!$B$101+'Regression Models'!$B$102*ifood_data[[#This Row],[Income]]+'Regression Models'!$B$103*ifood_data[[#This Row],[Age]]+'Regression Models'!$B$104*ifood_data[[#This Row],[Family]]</f>
        <v>1348.1029049159374</v>
      </c>
      <c r="BF167" t="str">
        <f>IF(ifood_data[[#This Row],[AcceptedCmpOverall]]=1,"Campaign Respondent","Non-respondent")</f>
        <v>Non-respondent</v>
      </c>
    </row>
    <row r="168" spans="1:58" x14ac:dyDescent="0.35">
      <c r="A168">
        <v>528</v>
      </c>
      <c r="B168">
        <v>81698</v>
      </c>
      <c r="C168">
        <v>0</v>
      </c>
      <c r="D168">
        <v>0</v>
      </c>
      <c r="E168">
        <v>4</v>
      </c>
      <c r="F168">
        <v>179</v>
      </c>
      <c r="G168">
        <v>28</v>
      </c>
      <c r="H168">
        <v>520</v>
      </c>
      <c r="I168">
        <v>111</v>
      </c>
      <c r="J168">
        <v>123</v>
      </c>
      <c r="K168">
        <v>47</v>
      </c>
      <c r="L168">
        <v>1</v>
      </c>
      <c r="M168">
        <v>3</v>
      </c>
      <c r="N168">
        <v>8</v>
      </c>
      <c r="O168">
        <v>13</v>
      </c>
      <c r="P168">
        <v>1</v>
      </c>
      <c r="Q168">
        <v>0</v>
      </c>
      <c r="R168">
        <v>0</v>
      </c>
      <c r="S168">
        <v>0</v>
      </c>
      <c r="T168">
        <v>0</v>
      </c>
      <c r="U168">
        <v>0</v>
      </c>
      <c r="V168">
        <f>IF(SUM(ifood_data[[#This Row],[AcceptedCmp1]:[AcceptedCmp5]])&gt;0,1,0)</f>
        <v>0</v>
      </c>
      <c r="W168">
        <v>0</v>
      </c>
      <c r="X168">
        <v>3</v>
      </c>
      <c r="Y168">
        <v>11</v>
      </c>
      <c r="Z168">
        <v>1</v>
      </c>
      <c r="AA168">
        <v>71</v>
      </c>
      <c r="AB168">
        <v>2394</v>
      </c>
      <c r="AC168" s="28">
        <f>ifood_data[[#This Row],[Customer_Days]]/365</f>
        <v>6.558904109589041</v>
      </c>
      <c r="AD168">
        <v>0</v>
      </c>
      <c r="AE168">
        <v>1</v>
      </c>
      <c r="AF168">
        <v>0</v>
      </c>
      <c r="AG168">
        <v>0</v>
      </c>
      <c r="AH168">
        <v>0</v>
      </c>
      <c r="AI168">
        <v>0</v>
      </c>
      <c r="AJ168">
        <v>0</v>
      </c>
      <c r="AK168">
        <v>0</v>
      </c>
      <c r="AL168">
        <v>1</v>
      </c>
      <c r="AM168">
        <v>0</v>
      </c>
      <c r="AN168">
        <v>961</v>
      </c>
      <c r="AO168">
        <v>914</v>
      </c>
      <c r="AP168">
        <f>ifood_data[[#This Row],[MntTotal]]-ifood_data[[#This Row],[MntRegularProds]]</f>
        <v>47</v>
      </c>
      <c r="AQ168">
        <v>0</v>
      </c>
      <c r="AR168">
        <f>IF(SUM(ifood_data[[#This Row],[Kidhome]:[Teenhome]])&gt;0,1,0)</f>
        <v>0</v>
      </c>
      <c r="AS168" t="str">
        <f>IF(SUM(ifood_data[[#This Row],[Kidhome]:[Teenhome]])&gt;0,"Has Family","No Family")</f>
        <v>No Family</v>
      </c>
      <c r="AT168" t="str">
        <f>IF(ifood_data[[#This Row],[marital_Married]]=1,"Married", (IF(ifood_data[[#This Row],[marital_Single]]=1,"Single",(IF(ifood_data[[#This Row],[marital_Divorced]]=1,"Divorced",(IF(ifood_data[[#This Row],[marital_Together]]=1,"Living Together",(IF(ifood_data[[#This Row],[marital_Widow]]=1,"Widow","Other")))))))))</f>
        <v>Married</v>
      </c>
      <c r="AU168" t="str">
        <f>IF(ifood_data[[#This Row],[education_Basic]]=1,"High School",(IF(ifood_data[[#This Row],[education_Graduation]]=1,"Undergraduate Degree",(IF(SUM(AM168,AL168,AI168)&gt;0,"Master's Degree or Higher","Other")))))</f>
        <v>Master's Degree or Higher</v>
      </c>
      <c r="AV168" t="str">
        <f>IF(ifood_data[[#All],[Income]]&gt;75000,"75K+",(IF(ifood_data[[#All],[Income]]&gt;50000,"50K-75K",(IF(ifood_data[[#All],[Income]]&gt;35000,"35K-50K","&lt;35K")))))</f>
        <v>75K+</v>
      </c>
      <c r="AW168" t="str">
        <f>IF(ifood_data[[#All],[Age]]&gt;60,"60+",(IF(ifood_data[[#All],[Age]]&gt;50,"50-60",(IF(ifood_data[[#All],[Age]]&gt;40,"40-50",(IF(ifood_data[[#All],[Age]]&gt;30,"30-40","&lt;30")))))))</f>
        <v>60+</v>
      </c>
      <c r="AX168">
        <f t="shared" si="8"/>
        <v>26</v>
      </c>
      <c r="AY168">
        <f t="shared" si="9"/>
        <v>10</v>
      </c>
      <c r="AZ168">
        <f t="shared" si="10"/>
        <v>7</v>
      </c>
      <c r="BA168">
        <f t="shared" si="11"/>
        <v>7</v>
      </c>
      <c r="BB168">
        <f>SUM(ifood_data[[#This Row],[Recency Score]:[Monetary Score]])</f>
        <v>24</v>
      </c>
      <c r="BC168">
        <f>(_xlfn.PERCENTRANK.INC(ifood_data[[#All],[RFM]],ifood_data[[#This Row],[RFM]],1))*10</f>
        <v>9</v>
      </c>
      <c r="BD168" t="str">
        <f>VLOOKUP(ifood_data[[#This Row],[RFM Score]],'RFM Analysis'!$A$3:$B$14,2,FALSE)</f>
        <v>Top Customer</v>
      </c>
      <c r="BE168">
        <f>'Regression Models'!$B$101+'Regression Models'!$B$102*ifood_data[[#This Row],[Income]]+'Regression Models'!$B$103*ifood_data[[#This Row],[Age]]+'Regression Models'!$B$104*ifood_data[[#This Row],[Family]]</f>
        <v>1347.5191489442911</v>
      </c>
      <c r="BF168" t="str">
        <f>IF(ifood_data[[#This Row],[AcceptedCmpOverall]]=1,"Campaign Respondent","Non-respondent")</f>
        <v>Non-respondent</v>
      </c>
    </row>
    <row r="169" spans="1:58" x14ac:dyDescent="0.35">
      <c r="A169">
        <v>1551</v>
      </c>
      <c r="B169">
        <v>78789</v>
      </c>
      <c r="C169">
        <v>0</v>
      </c>
      <c r="D169">
        <v>0</v>
      </c>
      <c r="E169">
        <v>12</v>
      </c>
      <c r="F169">
        <v>667</v>
      </c>
      <c r="G169">
        <v>50</v>
      </c>
      <c r="H169">
        <v>850</v>
      </c>
      <c r="I169">
        <v>21</v>
      </c>
      <c r="J169">
        <v>83</v>
      </c>
      <c r="K169">
        <v>83</v>
      </c>
      <c r="L169">
        <v>1</v>
      </c>
      <c r="M169">
        <v>4</v>
      </c>
      <c r="N169">
        <v>6</v>
      </c>
      <c r="O169">
        <v>5</v>
      </c>
      <c r="P169">
        <v>2</v>
      </c>
      <c r="Q169">
        <v>0</v>
      </c>
      <c r="R169">
        <v>0</v>
      </c>
      <c r="S169">
        <v>0</v>
      </c>
      <c r="T169">
        <v>0</v>
      </c>
      <c r="U169">
        <v>0</v>
      </c>
      <c r="V169">
        <f>IF(SUM(ifood_data[[#This Row],[AcceptedCmp1]:[AcceptedCmp5]])&gt;0,1,0)</f>
        <v>0</v>
      </c>
      <c r="W169">
        <v>0</v>
      </c>
      <c r="X169">
        <v>3</v>
      </c>
      <c r="Y169">
        <v>11</v>
      </c>
      <c r="Z169">
        <v>1</v>
      </c>
      <c r="AA169">
        <v>40</v>
      </c>
      <c r="AB169">
        <v>2849</v>
      </c>
      <c r="AC169" s="28">
        <f>ifood_data[[#This Row],[Customer_Days]]/365</f>
        <v>7.8054794520547945</v>
      </c>
      <c r="AD169">
        <v>1</v>
      </c>
      <c r="AE169">
        <v>0</v>
      </c>
      <c r="AF169">
        <v>0</v>
      </c>
      <c r="AG169">
        <v>0</v>
      </c>
      <c r="AH169">
        <v>0</v>
      </c>
      <c r="AI169">
        <v>0</v>
      </c>
      <c r="AJ169">
        <v>0</v>
      </c>
      <c r="AK169">
        <v>0</v>
      </c>
      <c r="AL169">
        <v>1</v>
      </c>
      <c r="AM169">
        <v>0</v>
      </c>
      <c r="AN169">
        <v>1671</v>
      </c>
      <c r="AO169">
        <v>1588</v>
      </c>
      <c r="AP169">
        <f>ifood_data[[#This Row],[MntTotal]]-ifood_data[[#This Row],[MntRegularProds]]</f>
        <v>83</v>
      </c>
      <c r="AQ169">
        <v>0</v>
      </c>
      <c r="AR169">
        <f>IF(SUM(ifood_data[[#This Row],[Kidhome]:[Teenhome]])&gt;0,1,0)</f>
        <v>0</v>
      </c>
      <c r="AS169" t="str">
        <f>IF(SUM(ifood_data[[#This Row],[Kidhome]:[Teenhome]])&gt;0,"Has Family","No Family")</f>
        <v>No Family</v>
      </c>
      <c r="AT169" t="str">
        <f>IF(ifood_data[[#This Row],[marital_Married]]=1,"Married", (IF(ifood_data[[#This Row],[marital_Single]]=1,"Single",(IF(ifood_data[[#This Row],[marital_Divorced]]=1,"Divorced",(IF(ifood_data[[#This Row],[marital_Together]]=1,"Living Together",(IF(ifood_data[[#This Row],[marital_Widow]]=1,"Widow","Other")))))))))</f>
        <v>Divorced</v>
      </c>
      <c r="AU169" t="str">
        <f>IF(ifood_data[[#This Row],[education_Basic]]=1,"High School",(IF(ifood_data[[#This Row],[education_Graduation]]=1,"Undergraduate Degree",(IF(SUM(AM169,AL169,AI169)&gt;0,"Master's Degree or Higher","Other")))))</f>
        <v>Master's Degree or Higher</v>
      </c>
      <c r="AV169" t="str">
        <f>IF(ifood_data[[#All],[Income]]&gt;75000,"75K+",(IF(ifood_data[[#All],[Income]]&gt;50000,"50K-75K",(IF(ifood_data[[#All],[Income]]&gt;35000,"35K-50K","&lt;35K")))))</f>
        <v>75K+</v>
      </c>
      <c r="AW169" t="str">
        <f>IF(ifood_data[[#All],[Age]]&gt;60,"60+",(IF(ifood_data[[#All],[Age]]&gt;50,"50-60",(IF(ifood_data[[#All],[Age]]&gt;40,"40-50",(IF(ifood_data[[#All],[Age]]&gt;30,"30-40","&lt;30")))))))</f>
        <v>30-40</v>
      </c>
      <c r="AX169">
        <f t="shared" si="8"/>
        <v>18</v>
      </c>
      <c r="AY169">
        <f t="shared" si="9"/>
        <v>9</v>
      </c>
      <c r="AZ169">
        <f t="shared" si="10"/>
        <v>4</v>
      </c>
      <c r="BA169">
        <f t="shared" si="11"/>
        <v>9</v>
      </c>
      <c r="BB169">
        <f>SUM(ifood_data[[#This Row],[Recency Score]:[Monetary Score]])</f>
        <v>22</v>
      </c>
      <c r="BC169">
        <f>(_xlfn.PERCENTRANK.INC(ifood_data[[#All],[RFM]],ifood_data[[#This Row],[RFM]],1))*10</f>
        <v>8</v>
      </c>
      <c r="BD169" t="str">
        <f>VLOOKUP(ifood_data[[#This Row],[RFM Score]],'RFM Analysis'!$A$3:$B$14,2,FALSE)</f>
        <v>Loyal Customer</v>
      </c>
      <c r="BE169">
        <f>'Regression Models'!$B$101+'Regression Models'!$B$102*ifood_data[[#This Row],[Income]]+'Regression Models'!$B$103*ifood_data[[#This Row],[Age]]+'Regression Models'!$B$104*ifood_data[[#This Row],[Family]]</f>
        <v>1345.1378338594118</v>
      </c>
      <c r="BF169" t="str">
        <f>IF(ifood_data[[#This Row],[AcceptedCmpOverall]]=1,"Campaign Respondent","Non-respondent")</f>
        <v>Non-respondent</v>
      </c>
    </row>
    <row r="170" spans="1:58" x14ac:dyDescent="0.35">
      <c r="A170">
        <v>1669</v>
      </c>
      <c r="B170">
        <v>80739</v>
      </c>
      <c r="C170">
        <v>0</v>
      </c>
      <c r="D170">
        <v>0</v>
      </c>
      <c r="E170">
        <v>92</v>
      </c>
      <c r="F170">
        <v>674</v>
      </c>
      <c r="G170">
        <v>92</v>
      </c>
      <c r="H170">
        <v>736</v>
      </c>
      <c r="I170">
        <v>39</v>
      </c>
      <c r="J170">
        <v>0</v>
      </c>
      <c r="K170">
        <v>92</v>
      </c>
      <c r="L170">
        <v>1</v>
      </c>
      <c r="M170">
        <v>3</v>
      </c>
      <c r="N170">
        <v>11</v>
      </c>
      <c r="O170">
        <v>9</v>
      </c>
      <c r="P170">
        <v>1</v>
      </c>
      <c r="Q170">
        <v>0</v>
      </c>
      <c r="R170">
        <v>0</v>
      </c>
      <c r="S170">
        <v>0</v>
      </c>
      <c r="T170">
        <v>0</v>
      </c>
      <c r="U170">
        <v>0</v>
      </c>
      <c r="V170">
        <f>IF(SUM(ifood_data[[#This Row],[AcceptedCmp1]:[AcceptedCmp5]])&gt;0,1,0)</f>
        <v>0</v>
      </c>
      <c r="W170">
        <v>0</v>
      </c>
      <c r="X170">
        <v>3</v>
      </c>
      <c r="Y170">
        <v>11</v>
      </c>
      <c r="Z170">
        <v>0</v>
      </c>
      <c r="AA170">
        <v>62</v>
      </c>
      <c r="AB170">
        <v>2561</v>
      </c>
      <c r="AC170" s="28">
        <f>ifood_data[[#This Row],[Customer_Days]]/365</f>
        <v>7.0164383561643833</v>
      </c>
      <c r="AD170">
        <v>0</v>
      </c>
      <c r="AE170">
        <v>1</v>
      </c>
      <c r="AF170">
        <v>0</v>
      </c>
      <c r="AG170">
        <v>0</v>
      </c>
      <c r="AH170">
        <v>0</v>
      </c>
      <c r="AI170">
        <v>0</v>
      </c>
      <c r="AJ170">
        <v>0</v>
      </c>
      <c r="AK170">
        <v>0</v>
      </c>
      <c r="AL170">
        <v>1</v>
      </c>
      <c r="AM170">
        <v>0</v>
      </c>
      <c r="AN170">
        <v>1541</v>
      </c>
      <c r="AO170">
        <v>1449</v>
      </c>
      <c r="AP170">
        <f>ifood_data[[#This Row],[MntTotal]]-ifood_data[[#This Row],[MntRegularProds]]</f>
        <v>92</v>
      </c>
      <c r="AQ170">
        <v>0</v>
      </c>
      <c r="AR170">
        <f>IF(SUM(ifood_data[[#This Row],[Kidhome]:[Teenhome]])&gt;0,1,0)</f>
        <v>0</v>
      </c>
      <c r="AS170" t="str">
        <f>IF(SUM(ifood_data[[#This Row],[Kidhome]:[Teenhome]])&gt;0,"Has Family","No Family")</f>
        <v>No Family</v>
      </c>
      <c r="AT170" t="str">
        <f>IF(ifood_data[[#This Row],[marital_Married]]=1,"Married", (IF(ifood_data[[#This Row],[marital_Single]]=1,"Single",(IF(ifood_data[[#This Row],[marital_Divorced]]=1,"Divorced",(IF(ifood_data[[#This Row],[marital_Together]]=1,"Living Together",(IF(ifood_data[[#This Row],[marital_Widow]]=1,"Widow","Other")))))))))</f>
        <v>Married</v>
      </c>
      <c r="AU170" t="str">
        <f>IF(ifood_data[[#This Row],[education_Basic]]=1,"High School",(IF(ifood_data[[#This Row],[education_Graduation]]=1,"Undergraduate Degree",(IF(SUM(AM170,AL170,AI170)&gt;0,"Master's Degree or Higher","Other")))))</f>
        <v>Master's Degree or Higher</v>
      </c>
      <c r="AV170" t="str">
        <f>IF(ifood_data[[#All],[Income]]&gt;75000,"75K+",(IF(ifood_data[[#All],[Income]]&gt;50000,"50K-75K",(IF(ifood_data[[#All],[Income]]&gt;35000,"35K-50K","&lt;35K")))))</f>
        <v>75K+</v>
      </c>
      <c r="AW170" t="str">
        <f>IF(ifood_data[[#All],[Age]]&gt;60,"60+",(IF(ifood_data[[#All],[Age]]&gt;50,"50-60",(IF(ifood_data[[#All],[Age]]&gt;40,"40-50",(IF(ifood_data[[#All],[Age]]&gt;30,"30-40","&lt;30")))))))</f>
        <v>60+</v>
      </c>
      <c r="AX170">
        <f t="shared" si="8"/>
        <v>25</v>
      </c>
      <c r="AY170">
        <f t="shared" si="9"/>
        <v>0.99999999999999978</v>
      </c>
      <c r="AZ170">
        <f t="shared" si="10"/>
        <v>7</v>
      </c>
      <c r="BA170">
        <f t="shared" si="11"/>
        <v>9</v>
      </c>
      <c r="BB170">
        <f>SUM(ifood_data[[#This Row],[Recency Score]:[Monetary Score]])</f>
        <v>17</v>
      </c>
      <c r="BC170">
        <f>(_xlfn.PERCENTRANK.INC(ifood_data[[#All],[RFM]],ifood_data[[#This Row],[RFM]],1))*10</f>
        <v>6</v>
      </c>
      <c r="BD170" t="str">
        <f>VLOOKUP(ifood_data[[#This Row],[RFM Score]],'RFM Analysis'!$A$3:$B$14,2,FALSE)</f>
        <v>Promising</v>
      </c>
      <c r="BE170">
        <f>'Regression Models'!$B$101+'Regression Models'!$B$102*ifood_data[[#This Row],[Income]]+'Regression Models'!$B$103*ifood_data[[#This Row],[Age]]+'Regression Models'!$B$104*ifood_data[[#This Row],[Family]]</f>
        <v>1344.4942720043402</v>
      </c>
      <c r="BF170" t="str">
        <f>IF(ifood_data[[#This Row],[AcceptedCmpOverall]]=1,"Campaign Respondent","Non-respondent")</f>
        <v>Non-respondent</v>
      </c>
    </row>
    <row r="171" spans="1:58" x14ac:dyDescent="0.35">
      <c r="A171">
        <v>1820</v>
      </c>
      <c r="B171">
        <v>79205</v>
      </c>
      <c r="C171">
        <v>0</v>
      </c>
      <c r="D171">
        <v>0</v>
      </c>
      <c r="E171">
        <v>73</v>
      </c>
      <c r="F171">
        <v>504</v>
      </c>
      <c r="G171">
        <v>23</v>
      </c>
      <c r="H171">
        <v>117</v>
      </c>
      <c r="I171">
        <v>179</v>
      </c>
      <c r="J171">
        <v>28</v>
      </c>
      <c r="K171">
        <v>44</v>
      </c>
      <c r="L171">
        <v>1</v>
      </c>
      <c r="M171">
        <v>6</v>
      </c>
      <c r="N171">
        <v>5</v>
      </c>
      <c r="O171">
        <v>4</v>
      </c>
      <c r="P171">
        <v>4</v>
      </c>
      <c r="Q171">
        <v>1</v>
      </c>
      <c r="R171">
        <v>0</v>
      </c>
      <c r="S171">
        <v>0</v>
      </c>
      <c r="T171">
        <v>0</v>
      </c>
      <c r="U171">
        <v>0</v>
      </c>
      <c r="V171">
        <f>IF(SUM(ifood_data[[#This Row],[AcceptedCmp1]:[AcceptedCmp5]])&gt;0,1,0)</f>
        <v>1</v>
      </c>
      <c r="W171">
        <v>0</v>
      </c>
      <c r="X171">
        <v>3</v>
      </c>
      <c r="Y171">
        <v>11</v>
      </c>
      <c r="Z171">
        <v>1</v>
      </c>
      <c r="AA171">
        <v>45</v>
      </c>
      <c r="AB171">
        <v>2828</v>
      </c>
      <c r="AC171" s="28">
        <f>ifood_data[[#This Row],[Customer_Days]]/365</f>
        <v>7.7479452054794518</v>
      </c>
      <c r="AD171">
        <v>0</v>
      </c>
      <c r="AE171">
        <v>1</v>
      </c>
      <c r="AF171">
        <v>0</v>
      </c>
      <c r="AG171">
        <v>0</v>
      </c>
      <c r="AH171">
        <v>0</v>
      </c>
      <c r="AI171">
        <v>0</v>
      </c>
      <c r="AJ171">
        <v>0</v>
      </c>
      <c r="AK171">
        <v>1</v>
      </c>
      <c r="AL171">
        <v>0</v>
      </c>
      <c r="AM171">
        <v>0</v>
      </c>
      <c r="AN171">
        <v>851</v>
      </c>
      <c r="AO171">
        <v>807</v>
      </c>
      <c r="AP171">
        <f>ifood_data[[#This Row],[MntTotal]]-ifood_data[[#This Row],[MntRegularProds]]</f>
        <v>44</v>
      </c>
      <c r="AQ171">
        <v>1</v>
      </c>
      <c r="AR171">
        <f>IF(SUM(ifood_data[[#This Row],[Kidhome]:[Teenhome]])&gt;0,1,0)</f>
        <v>0</v>
      </c>
      <c r="AS171" t="str">
        <f>IF(SUM(ifood_data[[#This Row],[Kidhome]:[Teenhome]])&gt;0,"Has Family","No Family")</f>
        <v>No Family</v>
      </c>
      <c r="AT171" t="str">
        <f>IF(ifood_data[[#This Row],[marital_Married]]=1,"Married", (IF(ifood_data[[#This Row],[marital_Single]]=1,"Single",(IF(ifood_data[[#This Row],[marital_Divorced]]=1,"Divorced",(IF(ifood_data[[#This Row],[marital_Together]]=1,"Living Together",(IF(ifood_data[[#This Row],[marital_Widow]]=1,"Widow","Other")))))))))</f>
        <v>Married</v>
      </c>
      <c r="AU171" t="str">
        <f>IF(ifood_data[[#This Row],[education_Basic]]=1,"High School",(IF(ifood_data[[#This Row],[education_Graduation]]=1,"Undergraduate Degree",(IF(SUM(AM171,AL171,AI171)&gt;0,"Master's Degree or Higher","Other")))))</f>
        <v>Undergraduate Degree</v>
      </c>
      <c r="AV171" t="str">
        <f>IF(ifood_data[[#All],[Income]]&gt;75000,"75K+",(IF(ifood_data[[#All],[Income]]&gt;50000,"50K-75K",(IF(ifood_data[[#All],[Income]]&gt;35000,"35K-50K","&lt;35K")))))</f>
        <v>75K+</v>
      </c>
      <c r="AW171" t="str">
        <f>IF(ifood_data[[#All],[Age]]&gt;60,"60+",(IF(ifood_data[[#All],[Age]]&gt;50,"50-60",(IF(ifood_data[[#All],[Age]]&gt;40,"40-50",(IF(ifood_data[[#All],[Age]]&gt;30,"30-40","&lt;30")))))))</f>
        <v>40-50</v>
      </c>
      <c r="AX171">
        <f t="shared" si="8"/>
        <v>20</v>
      </c>
      <c r="AY171">
        <f t="shared" si="9"/>
        <v>3.0000000000000004</v>
      </c>
      <c r="AZ171">
        <f t="shared" si="10"/>
        <v>4</v>
      </c>
      <c r="BA171">
        <f t="shared" si="11"/>
        <v>7</v>
      </c>
      <c r="BB171">
        <f>SUM(ifood_data[[#This Row],[Recency Score]:[Monetary Score]])</f>
        <v>14</v>
      </c>
      <c r="BC171">
        <f>(_xlfn.PERCENTRANK.INC(ifood_data[[#All],[RFM]],ifood_data[[#This Row],[RFM]],1))*10</f>
        <v>4</v>
      </c>
      <c r="BD171" t="str">
        <f>VLOOKUP(ifood_data[[#This Row],[RFM Score]],'RFM Analysis'!$A$3:$B$14,2,FALSE)</f>
        <v>At Risk</v>
      </c>
      <c r="BE171">
        <f>'Regression Models'!$B$101+'Regression Models'!$B$102*ifood_data[[#This Row],[Income]]+'Regression Models'!$B$103*ifood_data[[#This Row],[Age]]+'Regression Models'!$B$104*ifood_data[[#This Row],[Family]]</f>
        <v>1344.4373660128022</v>
      </c>
      <c r="BF171" t="str">
        <f>IF(ifood_data[[#This Row],[AcceptedCmpOverall]]=1,"Campaign Respondent","Non-respondent")</f>
        <v>Campaign Respondent</v>
      </c>
    </row>
    <row r="172" spans="1:58" x14ac:dyDescent="0.35">
      <c r="A172">
        <v>1654</v>
      </c>
      <c r="B172">
        <v>79734</v>
      </c>
      <c r="C172">
        <v>0</v>
      </c>
      <c r="D172">
        <v>0</v>
      </c>
      <c r="E172">
        <v>72</v>
      </c>
      <c r="F172">
        <v>572</v>
      </c>
      <c r="G172">
        <v>8</v>
      </c>
      <c r="H172">
        <v>232</v>
      </c>
      <c r="I172">
        <v>23</v>
      </c>
      <c r="J172">
        <v>62</v>
      </c>
      <c r="K172">
        <v>17</v>
      </c>
      <c r="L172">
        <v>1</v>
      </c>
      <c r="M172">
        <v>4</v>
      </c>
      <c r="N172">
        <v>3</v>
      </c>
      <c r="O172">
        <v>6</v>
      </c>
      <c r="P172">
        <v>1</v>
      </c>
      <c r="Q172">
        <v>1</v>
      </c>
      <c r="R172">
        <v>0</v>
      </c>
      <c r="S172">
        <v>0</v>
      </c>
      <c r="T172">
        <v>0</v>
      </c>
      <c r="U172">
        <v>0</v>
      </c>
      <c r="V172">
        <f>IF(SUM(ifood_data[[#This Row],[AcceptedCmp1]:[AcceptedCmp5]])&gt;0,1,0)</f>
        <v>1</v>
      </c>
      <c r="W172">
        <v>0</v>
      </c>
      <c r="X172">
        <v>3</v>
      </c>
      <c r="Y172">
        <v>11</v>
      </c>
      <c r="Z172">
        <v>0</v>
      </c>
      <c r="AA172">
        <v>51</v>
      </c>
      <c r="AB172">
        <v>2160</v>
      </c>
      <c r="AC172" s="28">
        <f>ifood_data[[#This Row],[Customer_Days]]/365</f>
        <v>5.9178082191780819</v>
      </c>
      <c r="AD172">
        <v>0</v>
      </c>
      <c r="AE172">
        <v>1</v>
      </c>
      <c r="AF172">
        <v>0</v>
      </c>
      <c r="AG172">
        <v>0</v>
      </c>
      <c r="AH172">
        <v>0</v>
      </c>
      <c r="AI172">
        <v>0</v>
      </c>
      <c r="AJ172">
        <v>0</v>
      </c>
      <c r="AK172">
        <v>0</v>
      </c>
      <c r="AL172">
        <v>1</v>
      </c>
      <c r="AM172">
        <v>0</v>
      </c>
      <c r="AN172">
        <v>897</v>
      </c>
      <c r="AO172">
        <v>880</v>
      </c>
      <c r="AP172">
        <f>ifood_data[[#This Row],[MntTotal]]-ifood_data[[#This Row],[MntRegularProds]]</f>
        <v>17</v>
      </c>
      <c r="AQ172">
        <v>1</v>
      </c>
      <c r="AR172">
        <f>IF(SUM(ifood_data[[#This Row],[Kidhome]:[Teenhome]])&gt;0,1,0)</f>
        <v>0</v>
      </c>
      <c r="AS172" t="str">
        <f>IF(SUM(ifood_data[[#This Row],[Kidhome]:[Teenhome]])&gt;0,"Has Family","No Family")</f>
        <v>No Family</v>
      </c>
      <c r="AT172" t="str">
        <f>IF(ifood_data[[#This Row],[marital_Married]]=1,"Married", (IF(ifood_data[[#This Row],[marital_Single]]=1,"Single",(IF(ifood_data[[#This Row],[marital_Divorced]]=1,"Divorced",(IF(ifood_data[[#This Row],[marital_Together]]=1,"Living Together",(IF(ifood_data[[#This Row],[marital_Widow]]=1,"Widow","Other")))))))))</f>
        <v>Married</v>
      </c>
      <c r="AU172" t="str">
        <f>IF(ifood_data[[#This Row],[education_Basic]]=1,"High School",(IF(ifood_data[[#This Row],[education_Graduation]]=1,"Undergraduate Degree",(IF(SUM(AM172,AL172,AI172)&gt;0,"Master's Degree or Higher","Other")))))</f>
        <v>Master's Degree or Higher</v>
      </c>
      <c r="AV172" t="str">
        <f>IF(ifood_data[[#All],[Income]]&gt;75000,"75K+",(IF(ifood_data[[#All],[Income]]&gt;50000,"50K-75K",(IF(ifood_data[[#All],[Income]]&gt;35000,"35K-50K","&lt;35K")))))</f>
        <v>75K+</v>
      </c>
      <c r="AW172" t="str">
        <f>IF(ifood_data[[#All],[Age]]&gt;60,"60+",(IF(ifood_data[[#All],[Age]]&gt;50,"50-60",(IF(ifood_data[[#All],[Age]]&gt;40,"40-50",(IF(ifood_data[[#All],[Age]]&gt;30,"30-40","&lt;30")))))))</f>
        <v>50-60</v>
      </c>
      <c r="AX172">
        <f t="shared" si="8"/>
        <v>15</v>
      </c>
      <c r="AY172">
        <f t="shared" si="9"/>
        <v>3.0000000000000004</v>
      </c>
      <c r="AZ172">
        <f t="shared" si="10"/>
        <v>2</v>
      </c>
      <c r="BA172">
        <f t="shared" si="11"/>
        <v>7</v>
      </c>
      <c r="BB172">
        <f>SUM(ifood_data[[#This Row],[Recency Score]:[Monetary Score]])</f>
        <v>12</v>
      </c>
      <c r="BC172">
        <f>(_xlfn.PERCENTRANK.INC(ifood_data[[#All],[RFM]],ifood_data[[#This Row],[RFM]],1))*10</f>
        <v>3</v>
      </c>
      <c r="BD172" t="str">
        <f>VLOOKUP(ifood_data[[#This Row],[RFM Score]],'RFM Analysis'!$A$3:$B$14,2,FALSE)</f>
        <v>At Risk</v>
      </c>
      <c r="BE172">
        <f>'Regression Models'!$B$101+'Regression Models'!$B$102*ifood_data[[#This Row],[Income]]+'Regression Models'!$B$103*ifood_data[[#This Row],[Age]]+'Regression Models'!$B$104*ifood_data[[#This Row],[Family]]</f>
        <v>1344.204389887559</v>
      </c>
      <c r="BF172" t="str">
        <f>IF(ifood_data[[#This Row],[AcceptedCmpOverall]]=1,"Campaign Respondent","Non-respondent")</f>
        <v>Campaign Respondent</v>
      </c>
    </row>
    <row r="173" spans="1:58" x14ac:dyDescent="0.35">
      <c r="A173">
        <v>1970</v>
      </c>
      <c r="B173">
        <v>79174</v>
      </c>
      <c r="C173">
        <v>0</v>
      </c>
      <c r="D173">
        <v>0</v>
      </c>
      <c r="E173">
        <v>2</v>
      </c>
      <c r="F173">
        <v>1074</v>
      </c>
      <c r="G173">
        <v>37</v>
      </c>
      <c r="H173">
        <v>518</v>
      </c>
      <c r="I173">
        <v>193</v>
      </c>
      <c r="J173">
        <v>92</v>
      </c>
      <c r="K173">
        <v>129</v>
      </c>
      <c r="L173">
        <v>1</v>
      </c>
      <c r="M173">
        <v>5</v>
      </c>
      <c r="N173">
        <v>6</v>
      </c>
      <c r="O173">
        <v>7</v>
      </c>
      <c r="P173">
        <v>2</v>
      </c>
      <c r="Q173">
        <v>1</v>
      </c>
      <c r="R173">
        <v>0</v>
      </c>
      <c r="S173">
        <v>0</v>
      </c>
      <c r="T173">
        <v>0</v>
      </c>
      <c r="U173">
        <v>1</v>
      </c>
      <c r="V173">
        <f>IF(SUM(ifood_data[[#This Row],[AcceptedCmp1]:[AcceptedCmp5]])&gt;0,1,0)</f>
        <v>1</v>
      </c>
      <c r="W173">
        <v>0</v>
      </c>
      <c r="X173">
        <v>3</v>
      </c>
      <c r="Y173">
        <v>11</v>
      </c>
      <c r="Z173">
        <v>1</v>
      </c>
      <c r="AA173">
        <v>45</v>
      </c>
      <c r="AB173">
        <v>2693</v>
      </c>
      <c r="AC173" s="28">
        <f>ifood_data[[#This Row],[Customer_Days]]/365</f>
        <v>7.3780821917808215</v>
      </c>
      <c r="AD173">
        <v>0</v>
      </c>
      <c r="AE173">
        <v>1</v>
      </c>
      <c r="AF173">
        <v>0</v>
      </c>
      <c r="AG173">
        <v>0</v>
      </c>
      <c r="AH173">
        <v>0</v>
      </c>
      <c r="AI173">
        <v>0</v>
      </c>
      <c r="AJ173">
        <v>0</v>
      </c>
      <c r="AK173">
        <v>0</v>
      </c>
      <c r="AL173">
        <v>0</v>
      </c>
      <c r="AM173">
        <v>1</v>
      </c>
      <c r="AN173">
        <v>1914</v>
      </c>
      <c r="AO173">
        <v>1785</v>
      </c>
      <c r="AP173">
        <f>ifood_data[[#This Row],[MntTotal]]-ifood_data[[#This Row],[MntRegularProds]]</f>
        <v>129</v>
      </c>
      <c r="AQ173">
        <v>2</v>
      </c>
      <c r="AR173">
        <f>IF(SUM(ifood_data[[#This Row],[Kidhome]:[Teenhome]])&gt;0,1,0)</f>
        <v>0</v>
      </c>
      <c r="AS173" t="str">
        <f>IF(SUM(ifood_data[[#This Row],[Kidhome]:[Teenhome]])&gt;0,"Has Family","No Family")</f>
        <v>No Family</v>
      </c>
      <c r="AT173" t="str">
        <f>IF(ifood_data[[#This Row],[marital_Married]]=1,"Married", (IF(ifood_data[[#This Row],[marital_Single]]=1,"Single",(IF(ifood_data[[#This Row],[marital_Divorced]]=1,"Divorced",(IF(ifood_data[[#This Row],[marital_Together]]=1,"Living Together",(IF(ifood_data[[#This Row],[marital_Widow]]=1,"Widow","Other")))))))))</f>
        <v>Married</v>
      </c>
      <c r="AU173" t="str">
        <f>IF(ifood_data[[#This Row],[education_Basic]]=1,"High School",(IF(ifood_data[[#This Row],[education_Graduation]]=1,"Undergraduate Degree",(IF(SUM(AM173,AL173,AI173)&gt;0,"Master's Degree or Higher","Other")))))</f>
        <v>Master's Degree or Higher</v>
      </c>
      <c r="AV173" t="str">
        <f>IF(ifood_data[[#All],[Income]]&gt;75000,"75K+",(IF(ifood_data[[#All],[Income]]&gt;50000,"50K-75K",(IF(ifood_data[[#All],[Income]]&gt;35000,"35K-50K","&lt;35K")))))</f>
        <v>75K+</v>
      </c>
      <c r="AW173" t="str">
        <f>IF(ifood_data[[#All],[Age]]&gt;60,"60+",(IF(ifood_data[[#All],[Age]]&gt;50,"50-60",(IF(ifood_data[[#All],[Age]]&gt;40,"40-50",(IF(ifood_data[[#All],[Age]]&gt;30,"30-40","&lt;30")))))))</f>
        <v>40-50</v>
      </c>
      <c r="AX173">
        <f t="shared" si="8"/>
        <v>21</v>
      </c>
      <c r="AY173">
        <f t="shared" si="9"/>
        <v>10</v>
      </c>
      <c r="AZ173">
        <f t="shared" si="10"/>
        <v>5</v>
      </c>
      <c r="BA173">
        <f t="shared" si="11"/>
        <v>9</v>
      </c>
      <c r="BB173">
        <f>SUM(ifood_data[[#This Row],[Recency Score]:[Monetary Score]])</f>
        <v>24</v>
      </c>
      <c r="BC173">
        <f>(_xlfn.PERCENTRANK.INC(ifood_data[[#All],[RFM]],ifood_data[[#This Row],[RFM]],1))*10</f>
        <v>9</v>
      </c>
      <c r="BD173" t="str">
        <f>VLOOKUP(ifood_data[[#This Row],[RFM Score]],'RFM Analysis'!$A$3:$B$14,2,FALSE)</f>
        <v>Top Customer</v>
      </c>
      <c r="BE173">
        <f>'Regression Models'!$B$101+'Regression Models'!$B$102*ifood_data[[#This Row],[Income]]+'Regression Models'!$B$103*ifood_data[[#This Row],[Age]]+'Regression Models'!$B$104*ifood_data[[#This Row],[Family]]</f>
        <v>1343.8053142003414</v>
      </c>
      <c r="BF173" t="str">
        <f>IF(ifood_data[[#This Row],[AcceptedCmpOverall]]=1,"Campaign Respondent","Non-respondent")</f>
        <v>Campaign Respondent</v>
      </c>
    </row>
    <row r="174" spans="1:58" x14ac:dyDescent="0.35">
      <c r="A174">
        <v>271</v>
      </c>
      <c r="B174">
        <v>79946</v>
      </c>
      <c r="C174">
        <v>0</v>
      </c>
      <c r="D174">
        <v>0</v>
      </c>
      <c r="E174">
        <v>19</v>
      </c>
      <c r="F174">
        <v>395</v>
      </c>
      <c r="G174">
        <v>183</v>
      </c>
      <c r="H174">
        <v>565</v>
      </c>
      <c r="I174">
        <v>166</v>
      </c>
      <c r="J174">
        <v>141</v>
      </c>
      <c r="K174">
        <v>28</v>
      </c>
      <c r="L174">
        <v>1</v>
      </c>
      <c r="M174">
        <v>5</v>
      </c>
      <c r="N174">
        <v>11</v>
      </c>
      <c r="O174">
        <v>5</v>
      </c>
      <c r="P174">
        <v>3</v>
      </c>
      <c r="Q174">
        <v>0</v>
      </c>
      <c r="R174">
        <v>0</v>
      </c>
      <c r="S174">
        <v>0</v>
      </c>
      <c r="T174">
        <v>0</v>
      </c>
      <c r="U174">
        <v>0</v>
      </c>
      <c r="V174">
        <f>IF(SUM(ifood_data[[#This Row],[AcceptedCmp1]:[AcceptedCmp5]])&gt;0,1,0)</f>
        <v>0</v>
      </c>
      <c r="W174">
        <v>0</v>
      </c>
      <c r="X174">
        <v>3</v>
      </c>
      <c r="Y174">
        <v>11</v>
      </c>
      <c r="Z174">
        <v>0</v>
      </c>
      <c r="AA174">
        <v>54</v>
      </c>
      <c r="AB174">
        <v>2207</v>
      </c>
      <c r="AC174" s="28">
        <f>ifood_data[[#This Row],[Customer_Days]]/365</f>
        <v>6.0465753424657533</v>
      </c>
      <c r="AD174">
        <v>0</v>
      </c>
      <c r="AE174">
        <v>0</v>
      </c>
      <c r="AF174">
        <v>0</v>
      </c>
      <c r="AG174">
        <v>0</v>
      </c>
      <c r="AH174">
        <v>1</v>
      </c>
      <c r="AI174">
        <v>0</v>
      </c>
      <c r="AJ174">
        <v>0</v>
      </c>
      <c r="AK174">
        <v>1</v>
      </c>
      <c r="AL174">
        <v>0</v>
      </c>
      <c r="AM174">
        <v>0</v>
      </c>
      <c r="AN174">
        <v>1450</v>
      </c>
      <c r="AO174">
        <v>1422</v>
      </c>
      <c r="AP174">
        <f>ifood_data[[#This Row],[MntTotal]]-ifood_data[[#This Row],[MntRegularProds]]</f>
        <v>28</v>
      </c>
      <c r="AQ174">
        <v>0</v>
      </c>
      <c r="AR174">
        <f>IF(SUM(ifood_data[[#This Row],[Kidhome]:[Teenhome]])&gt;0,1,0)</f>
        <v>0</v>
      </c>
      <c r="AS174" t="str">
        <f>IF(SUM(ifood_data[[#This Row],[Kidhome]:[Teenhome]])&gt;0,"Has Family","No Family")</f>
        <v>No Family</v>
      </c>
      <c r="AT174" t="str">
        <f>IF(ifood_data[[#This Row],[marital_Married]]=1,"Married", (IF(ifood_data[[#This Row],[marital_Single]]=1,"Single",(IF(ifood_data[[#This Row],[marital_Divorced]]=1,"Divorced",(IF(ifood_data[[#This Row],[marital_Together]]=1,"Living Together",(IF(ifood_data[[#This Row],[marital_Widow]]=1,"Widow","Other")))))))))</f>
        <v>Widow</v>
      </c>
      <c r="AU174" t="str">
        <f>IF(ifood_data[[#This Row],[education_Basic]]=1,"High School",(IF(ifood_data[[#This Row],[education_Graduation]]=1,"Undergraduate Degree",(IF(SUM(AM174,AL174,AI174)&gt;0,"Master's Degree or Higher","Other")))))</f>
        <v>Undergraduate Degree</v>
      </c>
      <c r="AV174" t="str">
        <f>IF(ifood_data[[#All],[Income]]&gt;75000,"75K+",(IF(ifood_data[[#All],[Income]]&gt;50000,"50K-75K",(IF(ifood_data[[#All],[Income]]&gt;35000,"35K-50K","&lt;35K")))))</f>
        <v>75K+</v>
      </c>
      <c r="AW174" t="str">
        <f>IF(ifood_data[[#All],[Age]]&gt;60,"60+",(IF(ifood_data[[#All],[Age]]&gt;50,"50-60",(IF(ifood_data[[#All],[Age]]&gt;40,"40-50",(IF(ifood_data[[#All],[Age]]&gt;30,"30-40","&lt;30")))))))</f>
        <v>50-60</v>
      </c>
      <c r="AX174">
        <f t="shared" si="8"/>
        <v>25</v>
      </c>
      <c r="AY174">
        <f t="shared" si="9"/>
        <v>9</v>
      </c>
      <c r="AZ174">
        <f t="shared" si="10"/>
        <v>7</v>
      </c>
      <c r="BA174">
        <f t="shared" si="11"/>
        <v>8</v>
      </c>
      <c r="BB174">
        <f>SUM(ifood_data[[#This Row],[Recency Score]:[Monetary Score]])</f>
        <v>24</v>
      </c>
      <c r="BC174">
        <f>(_xlfn.PERCENTRANK.INC(ifood_data[[#All],[RFM]],ifood_data[[#This Row],[RFM]],1))*10</f>
        <v>9</v>
      </c>
      <c r="BD174" t="str">
        <f>VLOOKUP(ifood_data[[#This Row],[RFM Score]],'RFM Analysis'!$A$3:$B$14,2,FALSE)</f>
        <v>Top Customer</v>
      </c>
      <c r="BE174">
        <f>'Regression Models'!$B$101+'Regression Models'!$B$102*ifood_data[[#This Row],[Income]]+'Regression Models'!$B$103*ifood_data[[#This Row],[Age]]+'Regression Models'!$B$104*ifood_data[[#This Row],[Family]]</f>
        <v>1343.0174914973832</v>
      </c>
      <c r="BF174" t="str">
        <f>IF(ifood_data[[#This Row],[AcceptedCmpOverall]]=1,"Campaign Respondent","Non-respondent")</f>
        <v>Non-respondent</v>
      </c>
    </row>
    <row r="175" spans="1:58" x14ac:dyDescent="0.35">
      <c r="A175">
        <v>651</v>
      </c>
      <c r="B175">
        <v>77845</v>
      </c>
      <c r="C175">
        <v>0</v>
      </c>
      <c r="D175">
        <v>0</v>
      </c>
      <c r="E175">
        <v>40</v>
      </c>
      <c r="F175">
        <v>760</v>
      </c>
      <c r="G175">
        <v>40</v>
      </c>
      <c r="H175">
        <v>480</v>
      </c>
      <c r="I175">
        <v>0</v>
      </c>
      <c r="J175">
        <v>40</v>
      </c>
      <c r="K175">
        <v>26</v>
      </c>
      <c r="L175">
        <v>1</v>
      </c>
      <c r="M175">
        <v>3</v>
      </c>
      <c r="N175">
        <v>5</v>
      </c>
      <c r="O175">
        <v>12</v>
      </c>
      <c r="P175">
        <v>1</v>
      </c>
      <c r="Q175">
        <v>1</v>
      </c>
      <c r="R175">
        <v>0</v>
      </c>
      <c r="S175">
        <v>0</v>
      </c>
      <c r="T175">
        <v>0</v>
      </c>
      <c r="U175">
        <v>1</v>
      </c>
      <c r="V175">
        <f>IF(SUM(ifood_data[[#This Row],[AcceptedCmp1]:[AcceptedCmp5]])&gt;0,1,0)</f>
        <v>1</v>
      </c>
      <c r="W175">
        <v>0</v>
      </c>
      <c r="X175">
        <v>3</v>
      </c>
      <c r="Y175">
        <v>11</v>
      </c>
      <c r="Z175">
        <v>0</v>
      </c>
      <c r="AA175">
        <v>31</v>
      </c>
      <c r="AB175">
        <v>2203</v>
      </c>
      <c r="AC175" s="28">
        <f>ifood_data[[#This Row],[Customer_Days]]/365</f>
        <v>6.0356164383561648</v>
      </c>
      <c r="AD175">
        <v>0</v>
      </c>
      <c r="AE175">
        <v>0</v>
      </c>
      <c r="AF175">
        <v>0</v>
      </c>
      <c r="AG175">
        <v>1</v>
      </c>
      <c r="AH175">
        <v>0</v>
      </c>
      <c r="AI175">
        <v>0</v>
      </c>
      <c r="AJ175">
        <v>0</v>
      </c>
      <c r="AK175">
        <v>0</v>
      </c>
      <c r="AL175">
        <v>0</v>
      </c>
      <c r="AM175">
        <v>1</v>
      </c>
      <c r="AN175">
        <v>1320</v>
      </c>
      <c r="AO175">
        <v>1294</v>
      </c>
      <c r="AP175">
        <f>ifood_data[[#This Row],[MntTotal]]-ifood_data[[#This Row],[MntRegularProds]]</f>
        <v>26</v>
      </c>
      <c r="AQ175">
        <v>2</v>
      </c>
      <c r="AR175">
        <f>IF(SUM(ifood_data[[#This Row],[Kidhome]:[Teenhome]])&gt;0,1,0)</f>
        <v>0</v>
      </c>
      <c r="AS175" t="str">
        <f>IF(SUM(ifood_data[[#This Row],[Kidhome]:[Teenhome]])&gt;0,"Has Family","No Family")</f>
        <v>No Family</v>
      </c>
      <c r="AT175" t="str">
        <f>IF(ifood_data[[#This Row],[marital_Married]]=1,"Married", (IF(ifood_data[[#This Row],[marital_Single]]=1,"Single",(IF(ifood_data[[#This Row],[marital_Divorced]]=1,"Divorced",(IF(ifood_data[[#This Row],[marital_Together]]=1,"Living Together",(IF(ifood_data[[#This Row],[marital_Widow]]=1,"Widow","Other")))))))))</f>
        <v>Living Together</v>
      </c>
      <c r="AU175" t="str">
        <f>IF(ifood_data[[#This Row],[education_Basic]]=1,"High School",(IF(ifood_data[[#This Row],[education_Graduation]]=1,"Undergraduate Degree",(IF(SUM(AM175,AL175,AI175)&gt;0,"Master's Degree or Higher","Other")))))</f>
        <v>Master's Degree or Higher</v>
      </c>
      <c r="AV175" t="str">
        <f>IF(ifood_data[[#All],[Income]]&gt;75000,"75K+",(IF(ifood_data[[#All],[Income]]&gt;50000,"50K-75K",(IF(ifood_data[[#All],[Income]]&gt;35000,"35K-50K","&lt;35K")))))</f>
        <v>75K+</v>
      </c>
      <c r="AW175" t="str">
        <f>IF(ifood_data[[#All],[Age]]&gt;60,"60+",(IF(ifood_data[[#All],[Age]]&gt;50,"50-60",(IF(ifood_data[[#All],[Age]]&gt;40,"40-50",(IF(ifood_data[[#All],[Age]]&gt;30,"30-40","&lt;30")))))))</f>
        <v>30-40</v>
      </c>
      <c r="AX175">
        <f t="shared" si="8"/>
        <v>22</v>
      </c>
      <c r="AY175">
        <f t="shared" si="9"/>
        <v>6</v>
      </c>
      <c r="AZ175">
        <f t="shared" si="10"/>
        <v>5</v>
      </c>
      <c r="BA175">
        <f t="shared" si="11"/>
        <v>8</v>
      </c>
      <c r="BB175">
        <f>SUM(ifood_data[[#This Row],[Recency Score]:[Monetary Score]])</f>
        <v>19</v>
      </c>
      <c r="BC175">
        <f>(_xlfn.PERCENTRANK.INC(ifood_data[[#All],[RFM]],ifood_data[[#This Row],[RFM]],1))*10</f>
        <v>7</v>
      </c>
      <c r="BD175" t="str">
        <f>VLOOKUP(ifood_data[[#This Row],[RFM Score]],'RFM Analysis'!$A$3:$B$14,2,FALSE)</f>
        <v>Loyal Customer</v>
      </c>
      <c r="BE175">
        <f>'Regression Models'!$B$101+'Regression Models'!$B$102*ifood_data[[#This Row],[Income]]+'Regression Models'!$B$103*ifood_data[[#This Row],[Age]]+'Regression Models'!$B$104*ifood_data[[#This Row],[Family]]</f>
        <v>1342.4187884416197</v>
      </c>
      <c r="BF175" t="str">
        <f>IF(ifood_data[[#This Row],[AcceptedCmpOverall]]=1,"Campaign Respondent","Non-respondent")</f>
        <v>Campaign Respondent</v>
      </c>
    </row>
    <row r="176" spans="1:58" x14ac:dyDescent="0.35">
      <c r="A176">
        <v>1458</v>
      </c>
      <c r="B176">
        <v>81574</v>
      </c>
      <c r="C176">
        <v>0</v>
      </c>
      <c r="D176">
        <v>0</v>
      </c>
      <c r="E176">
        <v>89</v>
      </c>
      <c r="F176">
        <v>1252</v>
      </c>
      <c r="G176">
        <v>0</v>
      </c>
      <c r="H176">
        <v>465</v>
      </c>
      <c r="I176">
        <v>46</v>
      </c>
      <c r="J176">
        <v>35</v>
      </c>
      <c r="K176">
        <v>0</v>
      </c>
      <c r="L176">
        <v>1</v>
      </c>
      <c r="M176">
        <v>4</v>
      </c>
      <c r="N176">
        <v>5</v>
      </c>
      <c r="O176">
        <v>8</v>
      </c>
      <c r="P176">
        <v>1</v>
      </c>
      <c r="Q176">
        <v>0</v>
      </c>
      <c r="R176">
        <v>0</v>
      </c>
      <c r="S176">
        <v>0</v>
      </c>
      <c r="T176">
        <v>1</v>
      </c>
      <c r="U176">
        <v>1</v>
      </c>
      <c r="V176">
        <f>IF(SUM(ifood_data[[#This Row],[AcceptedCmp1]:[AcceptedCmp5]])&gt;0,1,0)</f>
        <v>1</v>
      </c>
      <c r="W176">
        <v>0</v>
      </c>
      <c r="X176">
        <v>3</v>
      </c>
      <c r="Y176">
        <v>11</v>
      </c>
      <c r="Z176">
        <v>0</v>
      </c>
      <c r="AA176">
        <v>73</v>
      </c>
      <c r="AB176">
        <v>2221</v>
      </c>
      <c r="AC176" s="28">
        <f>ifood_data[[#This Row],[Customer_Days]]/365</f>
        <v>6.0849315068493155</v>
      </c>
      <c r="AD176">
        <v>0</v>
      </c>
      <c r="AE176">
        <v>0</v>
      </c>
      <c r="AF176">
        <v>0</v>
      </c>
      <c r="AG176">
        <v>1</v>
      </c>
      <c r="AH176">
        <v>0</v>
      </c>
      <c r="AI176">
        <v>0</v>
      </c>
      <c r="AJ176">
        <v>0</v>
      </c>
      <c r="AK176">
        <v>0</v>
      </c>
      <c r="AL176">
        <v>0</v>
      </c>
      <c r="AM176">
        <v>1</v>
      </c>
      <c r="AN176">
        <v>1798</v>
      </c>
      <c r="AO176">
        <v>1798</v>
      </c>
      <c r="AP176">
        <f>ifood_data[[#This Row],[MntTotal]]-ifood_data[[#This Row],[MntRegularProds]]</f>
        <v>0</v>
      </c>
      <c r="AQ176">
        <v>2</v>
      </c>
      <c r="AR176">
        <f>IF(SUM(ifood_data[[#This Row],[Kidhome]:[Teenhome]])&gt;0,1,0)</f>
        <v>0</v>
      </c>
      <c r="AS176" t="str">
        <f>IF(SUM(ifood_data[[#This Row],[Kidhome]:[Teenhome]])&gt;0,"Has Family","No Family")</f>
        <v>No Family</v>
      </c>
      <c r="AT176" t="str">
        <f>IF(ifood_data[[#This Row],[marital_Married]]=1,"Married", (IF(ifood_data[[#This Row],[marital_Single]]=1,"Single",(IF(ifood_data[[#This Row],[marital_Divorced]]=1,"Divorced",(IF(ifood_data[[#This Row],[marital_Together]]=1,"Living Together",(IF(ifood_data[[#This Row],[marital_Widow]]=1,"Widow","Other")))))))))</f>
        <v>Living Together</v>
      </c>
      <c r="AU176" t="str">
        <f>IF(ifood_data[[#This Row],[education_Basic]]=1,"High School",(IF(ifood_data[[#This Row],[education_Graduation]]=1,"Undergraduate Degree",(IF(SUM(AM176,AL176,AI176)&gt;0,"Master's Degree or Higher","Other")))))</f>
        <v>Master's Degree or Higher</v>
      </c>
      <c r="AV176" t="str">
        <f>IF(ifood_data[[#All],[Income]]&gt;75000,"75K+",(IF(ifood_data[[#All],[Income]]&gt;50000,"50K-75K",(IF(ifood_data[[#All],[Income]]&gt;35000,"35K-50K","&lt;35K")))))</f>
        <v>75K+</v>
      </c>
      <c r="AW176" t="str">
        <f>IF(ifood_data[[#All],[Age]]&gt;60,"60+",(IF(ifood_data[[#All],[Age]]&gt;50,"50-60",(IF(ifood_data[[#All],[Age]]&gt;40,"40-50",(IF(ifood_data[[#All],[Age]]&gt;30,"30-40","&lt;30")))))))</f>
        <v>60+</v>
      </c>
      <c r="AX176">
        <f t="shared" si="8"/>
        <v>19</v>
      </c>
      <c r="AY176">
        <f t="shared" si="9"/>
        <v>1.9999999999999996</v>
      </c>
      <c r="AZ176">
        <f t="shared" si="10"/>
        <v>4</v>
      </c>
      <c r="BA176">
        <f t="shared" si="11"/>
        <v>9</v>
      </c>
      <c r="BB176">
        <f>SUM(ifood_data[[#This Row],[Recency Score]:[Monetary Score]])</f>
        <v>15</v>
      </c>
      <c r="BC176">
        <f>(_xlfn.PERCENTRANK.INC(ifood_data[[#All],[RFM]],ifood_data[[#This Row],[RFM]],1))*10</f>
        <v>4</v>
      </c>
      <c r="BD176" t="str">
        <f>VLOOKUP(ifood_data[[#This Row],[RFM Score]],'RFM Analysis'!$A$3:$B$14,2,FALSE)</f>
        <v>At Risk</v>
      </c>
      <c r="BE176">
        <f>'Regression Models'!$B$101+'Regression Models'!$B$102*ifood_data[[#This Row],[Income]]+'Regression Models'!$B$103*ifood_data[[#This Row],[Age]]+'Regression Models'!$B$104*ifood_data[[#This Row],[Family]]</f>
        <v>1341.3180635366591</v>
      </c>
      <c r="BF176" t="str">
        <f>IF(ifood_data[[#This Row],[AcceptedCmpOverall]]=1,"Campaign Respondent","Non-respondent")</f>
        <v>Campaign Respondent</v>
      </c>
    </row>
    <row r="177" spans="1:58" x14ac:dyDescent="0.35">
      <c r="A177">
        <v>251</v>
      </c>
      <c r="B177">
        <v>80124</v>
      </c>
      <c r="C177">
        <v>0</v>
      </c>
      <c r="D177">
        <v>0</v>
      </c>
      <c r="E177">
        <v>47</v>
      </c>
      <c r="F177">
        <v>483</v>
      </c>
      <c r="G177">
        <v>84</v>
      </c>
      <c r="H177">
        <v>398</v>
      </c>
      <c r="I177">
        <v>205</v>
      </c>
      <c r="J177">
        <v>84</v>
      </c>
      <c r="K177">
        <v>241</v>
      </c>
      <c r="L177">
        <v>1</v>
      </c>
      <c r="M177">
        <v>3</v>
      </c>
      <c r="N177">
        <v>7</v>
      </c>
      <c r="O177">
        <v>8</v>
      </c>
      <c r="P177">
        <v>1</v>
      </c>
      <c r="Q177">
        <v>0</v>
      </c>
      <c r="R177">
        <v>0</v>
      </c>
      <c r="S177">
        <v>1</v>
      </c>
      <c r="T177">
        <v>0</v>
      </c>
      <c r="U177">
        <v>0</v>
      </c>
      <c r="V177">
        <f>IF(SUM(ifood_data[[#This Row],[AcceptedCmp1]:[AcceptedCmp5]])&gt;0,1,0)</f>
        <v>1</v>
      </c>
      <c r="W177">
        <v>0</v>
      </c>
      <c r="X177">
        <v>3</v>
      </c>
      <c r="Y177">
        <v>11</v>
      </c>
      <c r="Z177">
        <v>0</v>
      </c>
      <c r="AA177">
        <v>57</v>
      </c>
      <c r="AB177">
        <v>2162</v>
      </c>
      <c r="AC177" s="28">
        <f>ifood_data[[#This Row],[Customer_Days]]/365</f>
        <v>5.9232876712328766</v>
      </c>
      <c r="AD177">
        <v>0</v>
      </c>
      <c r="AE177">
        <v>1</v>
      </c>
      <c r="AF177">
        <v>0</v>
      </c>
      <c r="AG177">
        <v>0</v>
      </c>
      <c r="AH177">
        <v>0</v>
      </c>
      <c r="AI177">
        <v>0</v>
      </c>
      <c r="AJ177">
        <v>0</v>
      </c>
      <c r="AK177">
        <v>1</v>
      </c>
      <c r="AL177">
        <v>0</v>
      </c>
      <c r="AM177">
        <v>0</v>
      </c>
      <c r="AN177">
        <v>1254</v>
      </c>
      <c r="AO177">
        <v>1013</v>
      </c>
      <c r="AP177">
        <f>ifood_data[[#This Row],[MntTotal]]-ifood_data[[#This Row],[MntRegularProds]]</f>
        <v>241</v>
      </c>
      <c r="AQ177">
        <v>1</v>
      </c>
      <c r="AR177">
        <f>IF(SUM(ifood_data[[#This Row],[Kidhome]:[Teenhome]])&gt;0,1,0)</f>
        <v>0</v>
      </c>
      <c r="AS177" t="str">
        <f>IF(SUM(ifood_data[[#This Row],[Kidhome]:[Teenhome]])&gt;0,"Has Family","No Family")</f>
        <v>No Family</v>
      </c>
      <c r="AT177" t="str">
        <f>IF(ifood_data[[#This Row],[marital_Married]]=1,"Married", (IF(ifood_data[[#This Row],[marital_Single]]=1,"Single",(IF(ifood_data[[#This Row],[marital_Divorced]]=1,"Divorced",(IF(ifood_data[[#This Row],[marital_Together]]=1,"Living Together",(IF(ifood_data[[#This Row],[marital_Widow]]=1,"Widow","Other")))))))))</f>
        <v>Married</v>
      </c>
      <c r="AU177" t="str">
        <f>IF(ifood_data[[#This Row],[education_Basic]]=1,"High School",(IF(ifood_data[[#This Row],[education_Graduation]]=1,"Undergraduate Degree",(IF(SUM(AM177,AL177,AI177)&gt;0,"Master's Degree or Higher","Other")))))</f>
        <v>Undergraduate Degree</v>
      </c>
      <c r="AV177" t="str">
        <f>IF(ifood_data[[#All],[Income]]&gt;75000,"75K+",(IF(ifood_data[[#All],[Income]]&gt;50000,"50K-75K",(IF(ifood_data[[#All],[Income]]&gt;35000,"35K-50K","&lt;35K")))))</f>
        <v>75K+</v>
      </c>
      <c r="AW177" t="str">
        <f>IF(ifood_data[[#All],[Age]]&gt;60,"60+",(IF(ifood_data[[#All],[Age]]&gt;50,"50-60",(IF(ifood_data[[#All],[Age]]&gt;40,"40-50",(IF(ifood_data[[#All],[Age]]&gt;30,"30-40","&lt;30")))))))</f>
        <v>50-60</v>
      </c>
      <c r="AX177">
        <f t="shared" si="8"/>
        <v>20</v>
      </c>
      <c r="AY177">
        <f t="shared" si="9"/>
        <v>6</v>
      </c>
      <c r="AZ177">
        <f t="shared" si="10"/>
        <v>4</v>
      </c>
      <c r="BA177">
        <f t="shared" si="11"/>
        <v>8</v>
      </c>
      <c r="BB177">
        <f>SUM(ifood_data[[#This Row],[Recency Score]:[Monetary Score]])</f>
        <v>18</v>
      </c>
      <c r="BC177">
        <f>(_xlfn.PERCENTRANK.INC(ifood_data[[#All],[RFM]],ifood_data[[#This Row],[RFM]],1))*10</f>
        <v>6</v>
      </c>
      <c r="BD177" t="str">
        <f>VLOOKUP(ifood_data[[#This Row],[RFM Score]],'RFM Analysis'!$A$3:$B$14,2,FALSE)</f>
        <v>Promising</v>
      </c>
      <c r="BE177">
        <f>'Regression Models'!$B$101+'Regression Models'!$B$102*ifood_data[[#This Row],[Income]]+'Regression Models'!$B$103*ifood_data[[#This Row],[Age]]+'Regression Models'!$B$104*ifood_data[[#This Row],[Family]]</f>
        <v>1341.1373749903141</v>
      </c>
      <c r="BF177" t="str">
        <f>IF(ifood_data[[#This Row],[AcceptedCmpOverall]]=1,"Campaign Respondent","Non-respondent")</f>
        <v>Campaign Respondent</v>
      </c>
    </row>
    <row r="178" spans="1:58" x14ac:dyDescent="0.35">
      <c r="A178">
        <v>1380</v>
      </c>
      <c r="B178">
        <v>79419</v>
      </c>
      <c r="C178">
        <v>0</v>
      </c>
      <c r="D178">
        <v>0</v>
      </c>
      <c r="E178">
        <v>96</v>
      </c>
      <c r="F178">
        <v>751</v>
      </c>
      <c r="G178">
        <v>127</v>
      </c>
      <c r="H178">
        <v>687</v>
      </c>
      <c r="I178">
        <v>20</v>
      </c>
      <c r="J178">
        <v>15</v>
      </c>
      <c r="K178">
        <v>31</v>
      </c>
      <c r="L178">
        <v>1</v>
      </c>
      <c r="M178">
        <v>4</v>
      </c>
      <c r="N178">
        <v>6</v>
      </c>
      <c r="O178">
        <v>4</v>
      </c>
      <c r="P178">
        <v>2</v>
      </c>
      <c r="Q178">
        <v>0</v>
      </c>
      <c r="R178">
        <v>0</v>
      </c>
      <c r="S178">
        <v>0</v>
      </c>
      <c r="T178">
        <v>0</v>
      </c>
      <c r="U178">
        <v>0</v>
      </c>
      <c r="V178">
        <f>IF(SUM(ifood_data[[#This Row],[AcceptedCmp1]:[AcceptedCmp5]])&gt;0,1,0)</f>
        <v>0</v>
      </c>
      <c r="W178">
        <v>0</v>
      </c>
      <c r="X178">
        <v>3</v>
      </c>
      <c r="Y178">
        <v>11</v>
      </c>
      <c r="Z178">
        <v>0</v>
      </c>
      <c r="AA178">
        <v>50</v>
      </c>
      <c r="AB178">
        <v>2166</v>
      </c>
      <c r="AC178" s="28">
        <f>ifood_data[[#This Row],[Customer_Days]]/365</f>
        <v>5.934246575342466</v>
      </c>
      <c r="AD178">
        <v>0</v>
      </c>
      <c r="AE178">
        <v>0</v>
      </c>
      <c r="AF178">
        <v>0</v>
      </c>
      <c r="AG178">
        <v>1</v>
      </c>
      <c r="AH178">
        <v>0</v>
      </c>
      <c r="AI178">
        <v>0</v>
      </c>
      <c r="AJ178">
        <v>0</v>
      </c>
      <c r="AK178">
        <v>0</v>
      </c>
      <c r="AL178">
        <v>1</v>
      </c>
      <c r="AM178">
        <v>0</v>
      </c>
      <c r="AN178">
        <v>1600</v>
      </c>
      <c r="AO178">
        <v>1569</v>
      </c>
      <c r="AP178">
        <f>ifood_data[[#This Row],[MntTotal]]-ifood_data[[#This Row],[MntRegularProds]]</f>
        <v>31</v>
      </c>
      <c r="AQ178">
        <v>0</v>
      </c>
      <c r="AR178">
        <f>IF(SUM(ifood_data[[#This Row],[Kidhome]:[Teenhome]])&gt;0,1,0)</f>
        <v>0</v>
      </c>
      <c r="AS178" t="str">
        <f>IF(SUM(ifood_data[[#This Row],[Kidhome]:[Teenhome]])&gt;0,"Has Family","No Family")</f>
        <v>No Family</v>
      </c>
      <c r="AT178" t="str">
        <f>IF(ifood_data[[#This Row],[marital_Married]]=1,"Married", (IF(ifood_data[[#This Row],[marital_Single]]=1,"Single",(IF(ifood_data[[#This Row],[marital_Divorced]]=1,"Divorced",(IF(ifood_data[[#This Row],[marital_Together]]=1,"Living Together",(IF(ifood_data[[#This Row],[marital_Widow]]=1,"Widow","Other")))))))))</f>
        <v>Living Together</v>
      </c>
      <c r="AU178" t="str">
        <f>IF(ifood_data[[#This Row],[education_Basic]]=1,"High School",(IF(ifood_data[[#This Row],[education_Graduation]]=1,"Undergraduate Degree",(IF(SUM(AM178,AL178,AI178)&gt;0,"Master's Degree or Higher","Other")))))</f>
        <v>Master's Degree or Higher</v>
      </c>
      <c r="AV178" t="str">
        <f>IF(ifood_data[[#All],[Income]]&gt;75000,"75K+",(IF(ifood_data[[#All],[Income]]&gt;50000,"50K-75K",(IF(ifood_data[[#All],[Income]]&gt;35000,"35K-50K","&lt;35K")))))</f>
        <v>75K+</v>
      </c>
      <c r="AW178" t="str">
        <f>IF(ifood_data[[#All],[Age]]&gt;60,"60+",(IF(ifood_data[[#All],[Age]]&gt;50,"50-60",(IF(ifood_data[[#All],[Age]]&gt;40,"40-50",(IF(ifood_data[[#All],[Age]]&gt;30,"30-40","&lt;30")))))))</f>
        <v>40-50</v>
      </c>
      <c r="AX178">
        <f t="shared" si="8"/>
        <v>17</v>
      </c>
      <c r="AY178">
        <f t="shared" si="9"/>
        <v>0.99999999999999978</v>
      </c>
      <c r="AZ178">
        <f t="shared" si="10"/>
        <v>3</v>
      </c>
      <c r="BA178">
        <f t="shared" si="11"/>
        <v>9</v>
      </c>
      <c r="BB178">
        <f>SUM(ifood_data[[#This Row],[Recency Score]:[Monetary Score]])</f>
        <v>13</v>
      </c>
      <c r="BC178">
        <f>(_xlfn.PERCENTRANK.INC(ifood_data[[#All],[RFM]],ifood_data[[#This Row],[RFM]],1))*10</f>
        <v>3</v>
      </c>
      <c r="BD178" t="str">
        <f>VLOOKUP(ifood_data[[#This Row],[RFM Score]],'RFM Analysis'!$A$3:$B$14,2,FALSE)</f>
        <v>At Risk</v>
      </c>
      <c r="BE178">
        <f>'Regression Models'!$B$101+'Regression Models'!$B$102*ifood_data[[#This Row],[Income]]+'Regression Models'!$B$103*ifood_data[[#This Row],[Age]]+'Regression Models'!$B$104*ifood_data[[#This Row],[Family]]</f>
        <v>1339.6183670011255</v>
      </c>
      <c r="BF178" t="str">
        <f>IF(ifood_data[[#This Row],[AcceptedCmpOverall]]=1,"Campaign Respondent","Non-respondent")</f>
        <v>Non-respondent</v>
      </c>
    </row>
    <row r="179" spans="1:58" x14ac:dyDescent="0.35">
      <c r="A179">
        <v>829</v>
      </c>
      <c r="B179">
        <v>80812</v>
      </c>
      <c r="C179">
        <v>0</v>
      </c>
      <c r="D179">
        <v>0</v>
      </c>
      <c r="E179">
        <v>95</v>
      </c>
      <c r="F179">
        <v>769</v>
      </c>
      <c r="G179">
        <v>22</v>
      </c>
      <c r="H179">
        <v>500</v>
      </c>
      <c r="I179">
        <v>210</v>
      </c>
      <c r="J179">
        <v>143</v>
      </c>
      <c r="K179">
        <v>33</v>
      </c>
      <c r="L179">
        <v>1</v>
      </c>
      <c r="M179">
        <v>4</v>
      </c>
      <c r="N179">
        <v>8</v>
      </c>
      <c r="O179">
        <v>5</v>
      </c>
      <c r="P179">
        <v>2</v>
      </c>
      <c r="Q179">
        <v>1</v>
      </c>
      <c r="R179">
        <v>0</v>
      </c>
      <c r="S179">
        <v>1</v>
      </c>
      <c r="T179">
        <v>0</v>
      </c>
      <c r="U179">
        <v>1</v>
      </c>
      <c r="V179">
        <f>IF(SUM(ifood_data[[#This Row],[AcceptedCmp1]:[AcceptedCmp5]])&gt;0,1,0)</f>
        <v>1</v>
      </c>
      <c r="W179">
        <v>0</v>
      </c>
      <c r="X179">
        <v>3</v>
      </c>
      <c r="Y179">
        <v>11</v>
      </c>
      <c r="Z179">
        <v>0</v>
      </c>
      <c r="AA179">
        <v>67</v>
      </c>
      <c r="AB179">
        <v>2444</v>
      </c>
      <c r="AC179" s="28">
        <f>ifood_data[[#This Row],[Customer_Days]]/365</f>
        <v>6.6958904109589037</v>
      </c>
      <c r="AD179">
        <v>0</v>
      </c>
      <c r="AE179">
        <v>0</v>
      </c>
      <c r="AF179">
        <v>0</v>
      </c>
      <c r="AG179">
        <v>1</v>
      </c>
      <c r="AH179">
        <v>0</v>
      </c>
      <c r="AI179">
        <v>0</v>
      </c>
      <c r="AJ179">
        <v>0</v>
      </c>
      <c r="AK179">
        <v>1</v>
      </c>
      <c r="AL179">
        <v>0</v>
      </c>
      <c r="AM179">
        <v>0</v>
      </c>
      <c r="AN179">
        <v>1644</v>
      </c>
      <c r="AO179">
        <v>1611</v>
      </c>
      <c r="AP179">
        <f>ifood_data[[#This Row],[MntTotal]]-ifood_data[[#This Row],[MntRegularProds]]</f>
        <v>33</v>
      </c>
      <c r="AQ179">
        <v>3</v>
      </c>
      <c r="AR179">
        <f>IF(SUM(ifood_data[[#This Row],[Kidhome]:[Teenhome]])&gt;0,1,0)</f>
        <v>0</v>
      </c>
      <c r="AS179" t="str">
        <f>IF(SUM(ifood_data[[#This Row],[Kidhome]:[Teenhome]])&gt;0,"Has Family","No Family")</f>
        <v>No Family</v>
      </c>
      <c r="AT179" t="str">
        <f>IF(ifood_data[[#This Row],[marital_Married]]=1,"Married", (IF(ifood_data[[#This Row],[marital_Single]]=1,"Single",(IF(ifood_data[[#This Row],[marital_Divorced]]=1,"Divorced",(IF(ifood_data[[#This Row],[marital_Together]]=1,"Living Together",(IF(ifood_data[[#This Row],[marital_Widow]]=1,"Widow","Other")))))))))</f>
        <v>Living Together</v>
      </c>
      <c r="AU179" t="str">
        <f>IF(ifood_data[[#This Row],[education_Basic]]=1,"High School",(IF(ifood_data[[#This Row],[education_Graduation]]=1,"Undergraduate Degree",(IF(SUM(AM179,AL179,AI179)&gt;0,"Master's Degree or Higher","Other")))))</f>
        <v>Undergraduate Degree</v>
      </c>
      <c r="AV179" t="str">
        <f>IF(ifood_data[[#All],[Income]]&gt;75000,"75K+",(IF(ifood_data[[#All],[Income]]&gt;50000,"50K-75K",(IF(ifood_data[[#All],[Income]]&gt;35000,"35K-50K","&lt;35K")))))</f>
        <v>75K+</v>
      </c>
      <c r="AW179" t="str">
        <f>IF(ifood_data[[#All],[Age]]&gt;60,"60+",(IF(ifood_data[[#All],[Age]]&gt;50,"50-60",(IF(ifood_data[[#All],[Age]]&gt;40,"40-50",(IF(ifood_data[[#All],[Age]]&gt;30,"30-40","&lt;30")))))))</f>
        <v>60+</v>
      </c>
      <c r="AX179">
        <f t="shared" si="8"/>
        <v>20</v>
      </c>
      <c r="AY179">
        <f t="shared" si="9"/>
        <v>0.99999999999999978</v>
      </c>
      <c r="AZ179">
        <f t="shared" si="10"/>
        <v>4</v>
      </c>
      <c r="BA179">
        <f t="shared" si="11"/>
        <v>9</v>
      </c>
      <c r="BB179">
        <f>SUM(ifood_data[[#This Row],[Recency Score]:[Monetary Score]])</f>
        <v>14</v>
      </c>
      <c r="BC179">
        <f>(_xlfn.PERCENTRANK.INC(ifood_data[[#All],[RFM]],ifood_data[[#This Row],[RFM]],1))*10</f>
        <v>4</v>
      </c>
      <c r="BD179" t="str">
        <f>VLOOKUP(ifood_data[[#This Row],[RFM Score]],'RFM Analysis'!$A$3:$B$14,2,FALSE)</f>
        <v>At Risk</v>
      </c>
      <c r="BE179">
        <f>'Regression Models'!$B$101+'Regression Models'!$B$102*ifood_data[[#This Row],[Income]]+'Regression Models'!$B$103*ifood_data[[#This Row],[Age]]+'Regression Models'!$B$104*ifood_data[[#This Row],[Family]]</f>
        <v>1336.8004566843736</v>
      </c>
      <c r="BF179" t="str">
        <f>IF(ifood_data[[#This Row],[AcceptedCmpOverall]]=1,"Campaign Respondent","Non-respondent")</f>
        <v>Campaign Respondent</v>
      </c>
    </row>
    <row r="180" spans="1:58" x14ac:dyDescent="0.35">
      <c r="A180">
        <v>1817</v>
      </c>
      <c r="B180">
        <v>94472</v>
      </c>
      <c r="C180">
        <v>0</v>
      </c>
      <c r="D180">
        <v>1</v>
      </c>
      <c r="E180">
        <v>75</v>
      </c>
      <c r="F180">
        <v>1017</v>
      </c>
      <c r="G180">
        <v>33</v>
      </c>
      <c r="H180">
        <v>417</v>
      </c>
      <c r="I180">
        <v>108</v>
      </c>
      <c r="J180">
        <v>100</v>
      </c>
      <c r="K180">
        <v>16</v>
      </c>
      <c r="L180">
        <v>1</v>
      </c>
      <c r="M180">
        <v>5</v>
      </c>
      <c r="N180">
        <v>5</v>
      </c>
      <c r="O180">
        <v>5</v>
      </c>
      <c r="P180">
        <v>5</v>
      </c>
      <c r="Q180">
        <v>0</v>
      </c>
      <c r="R180">
        <v>0</v>
      </c>
      <c r="S180">
        <v>0</v>
      </c>
      <c r="T180">
        <v>1</v>
      </c>
      <c r="U180">
        <v>1</v>
      </c>
      <c r="V180">
        <f>IF(SUM(ifood_data[[#This Row],[AcceptedCmp1]:[AcceptedCmp5]])&gt;0,1,0)</f>
        <v>1</v>
      </c>
      <c r="W180">
        <v>0</v>
      </c>
      <c r="X180">
        <v>3</v>
      </c>
      <c r="Y180">
        <v>11</v>
      </c>
      <c r="Z180">
        <v>0</v>
      </c>
      <c r="AA180">
        <v>62</v>
      </c>
      <c r="AB180">
        <v>2246</v>
      </c>
      <c r="AC180" s="28">
        <f>ifood_data[[#This Row],[Customer_Days]]/365</f>
        <v>6.1534246575342468</v>
      </c>
      <c r="AD180">
        <v>0</v>
      </c>
      <c r="AE180">
        <v>0</v>
      </c>
      <c r="AF180">
        <v>1</v>
      </c>
      <c r="AG180">
        <v>0</v>
      </c>
      <c r="AH180">
        <v>0</v>
      </c>
      <c r="AI180">
        <v>0</v>
      </c>
      <c r="AJ180">
        <v>0</v>
      </c>
      <c r="AK180">
        <v>1</v>
      </c>
      <c r="AL180">
        <v>0</v>
      </c>
      <c r="AM180">
        <v>0</v>
      </c>
      <c r="AN180">
        <v>1675</v>
      </c>
      <c r="AO180">
        <v>1659</v>
      </c>
      <c r="AP180">
        <f>ifood_data[[#This Row],[MntTotal]]-ifood_data[[#This Row],[MntRegularProds]]</f>
        <v>16</v>
      </c>
      <c r="AQ180">
        <v>2</v>
      </c>
      <c r="AR180">
        <f>IF(SUM(ifood_data[[#This Row],[Kidhome]:[Teenhome]])&gt;0,1,0)</f>
        <v>1</v>
      </c>
      <c r="AS180" t="str">
        <f>IF(SUM(ifood_data[[#This Row],[Kidhome]:[Teenhome]])&gt;0,"Has Family","No Family")</f>
        <v>Has Family</v>
      </c>
      <c r="AT180" t="str">
        <f>IF(ifood_data[[#This Row],[marital_Married]]=1,"Married", (IF(ifood_data[[#This Row],[marital_Single]]=1,"Single",(IF(ifood_data[[#This Row],[marital_Divorced]]=1,"Divorced",(IF(ifood_data[[#This Row],[marital_Together]]=1,"Living Together",(IF(ifood_data[[#This Row],[marital_Widow]]=1,"Widow","Other")))))))))</f>
        <v>Single</v>
      </c>
      <c r="AU180" t="str">
        <f>IF(ifood_data[[#This Row],[education_Basic]]=1,"High School",(IF(ifood_data[[#This Row],[education_Graduation]]=1,"Undergraduate Degree",(IF(SUM(AM180,AL180,AI180)&gt;0,"Master's Degree or Higher","Other")))))</f>
        <v>Undergraduate Degree</v>
      </c>
      <c r="AV180" t="str">
        <f>IF(ifood_data[[#All],[Income]]&gt;75000,"75K+",(IF(ifood_data[[#All],[Income]]&gt;50000,"50K-75K",(IF(ifood_data[[#All],[Income]]&gt;35000,"35K-50K","&lt;35K")))))</f>
        <v>75K+</v>
      </c>
      <c r="AW180" t="str">
        <f>IF(ifood_data[[#All],[Age]]&gt;60,"60+",(IF(ifood_data[[#All],[Age]]&gt;50,"50-60",(IF(ifood_data[[#All],[Age]]&gt;40,"40-50",(IF(ifood_data[[#All],[Age]]&gt;30,"30-40","&lt;30")))))))</f>
        <v>60+</v>
      </c>
      <c r="AX180">
        <f t="shared" si="8"/>
        <v>21</v>
      </c>
      <c r="AY180">
        <f t="shared" si="9"/>
        <v>3.0000000000000004</v>
      </c>
      <c r="AZ180">
        <f t="shared" si="10"/>
        <v>5</v>
      </c>
      <c r="BA180">
        <f t="shared" si="11"/>
        <v>9</v>
      </c>
      <c r="BB180">
        <f>SUM(ifood_data[[#This Row],[Recency Score]:[Monetary Score]])</f>
        <v>17</v>
      </c>
      <c r="BC180">
        <f>(_xlfn.PERCENTRANK.INC(ifood_data[[#All],[RFM]],ifood_data[[#This Row],[RFM]],1))*10</f>
        <v>6</v>
      </c>
      <c r="BD180" t="str">
        <f>VLOOKUP(ifood_data[[#This Row],[RFM Score]],'RFM Analysis'!$A$3:$B$14,2,FALSE)</f>
        <v>Promising</v>
      </c>
      <c r="BE180">
        <f>'Regression Models'!$B$101+'Regression Models'!$B$102*ifood_data[[#This Row],[Income]]+'Regression Models'!$B$103*ifood_data[[#This Row],[Age]]+'Regression Models'!$B$104*ifood_data[[#This Row],[Family]]</f>
        <v>1334.8795938514886</v>
      </c>
      <c r="BF180" t="str">
        <f>IF(ifood_data[[#This Row],[AcceptedCmpOverall]]=1,"Campaign Respondent","Non-respondent")</f>
        <v>Campaign Respondent</v>
      </c>
    </row>
    <row r="181" spans="1:58" x14ac:dyDescent="0.35">
      <c r="A181">
        <v>1781</v>
      </c>
      <c r="B181">
        <v>80872</v>
      </c>
      <c r="C181">
        <v>0</v>
      </c>
      <c r="D181">
        <v>0</v>
      </c>
      <c r="E181">
        <v>60</v>
      </c>
      <c r="F181">
        <v>483</v>
      </c>
      <c r="G181">
        <v>72</v>
      </c>
      <c r="H181">
        <v>567</v>
      </c>
      <c r="I181">
        <v>94</v>
      </c>
      <c r="J181">
        <v>12</v>
      </c>
      <c r="K181">
        <v>108</v>
      </c>
      <c r="L181">
        <v>1</v>
      </c>
      <c r="M181">
        <v>4</v>
      </c>
      <c r="N181">
        <v>4</v>
      </c>
      <c r="O181">
        <v>10</v>
      </c>
      <c r="P181">
        <v>1</v>
      </c>
      <c r="Q181">
        <v>0</v>
      </c>
      <c r="R181">
        <v>0</v>
      </c>
      <c r="S181">
        <v>0</v>
      </c>
      <c r="T181">
        <v>0</v>
      </c>
      <c r="U181">
        <v>0</v>
      </c>
      <c r="V181">
        <f>IF(SUM(ifood_data[[#This Row],[AcceptedCmp1]:[AcceptedCmp5]])&gt;0,1,0)</f>
        <v>0</v>
      </c>
      <c r="W181">
        <v>0</v>
      </c>
      <c r="X181">
        <v>3</v>
      </c>
      <c r="Y181">
        <v>11</v>
      </c>
      <c r="Z181">
        <v>0</v>
      </c>
      <c r="AA181">
        <v>69</v>
      </c>
      <c r="AB181">
        <v>2207</v>
      </c>
      <c r="AC181" s="28">
        <f>ifood_data[[#This Row],[Customer_Days]]/365</f>
        <v>6.0465753424657533</v>
      </c>
      <c r="AD181">
        <v>0</v>
      </c>
      <c r="AE181">
        <v>0</v>
      </c>
      <c r="AF181">
        <v>1</v>
      </c>
      <c r="AG181">
        <v>0</v>
      </c>
      <c r="AH181">
        <v>0</v>
      </c>
      <c r="AI181">
        <v>0</v>
      </c>
      <c r="AJ181">
        <v>0</v>
      </c>
      <c r="AK181">
        <v>1</v>
      </c>
      <c r="AL181">
        <v>0</v>
      </c>
      <c r="AM181">
        <v>0</v>
      </c>
      <c r="AN181">
        <v>1228</v>
      </c>
      <c r="AO181">
        <v>1120</v>
      </c>
      <c r="AP181">
        <f>ifood_data[[#This Row],[MntTotal]]-ifood_data[[#This Row],[MntRegularProds]]</f>
        <v>108</v>
      </c>
      <c r="AQ181">
        <v>0</v>
      </c>
      <c r="AR181">
        <f>IF(SUM(ifood_data[[#This Row],[Kidhome]:[Teenhome]])&gt;0,1,0)</f>
        <v>0</v>
      </c>
      <c r="AS181" t="str">
        <f>IF(SUM(ifood_data[[#This Row],[Kidhome]:[Teenhome]])&gt;0,"Has Family","No Family")</f>
        <v>No Family</v>
      </c>
      <c r="AT181" t="str">
        <f>IF(ifood_data[[#This Row],[marital_Married]]=1,"Married", (IF(ifood_data[[#This Row],[marital_Single]]=1,"Single",(IF(ifood_data[[#This Row],[marital_Divorced]]=1,"Divorced",(IF(ifood_data[[#This Row],[marital_Together]]=1,"Living Together",(IF(ifood_data[[#This Row],[marital_Widow]]=1,"Widow","Other")))))))))</f>
        <v>Single</v>
      </c>
      <c r="AU181" t="str">
        <f>IF(ifood_data[[#This Row],[education_Basic]]=1,"High School",(IF(ifood_data[[#This Row],[education_Graduation]]=1,"Undergraduate Degree",(IF(SUM(AM181,AL181,AI181)&gt;0,"Master's Degree or Higher","Other")))))</f>
        <v>Undergraduate Degree</v>
      </c>
      <c r="AV181" t="str">
        <f>IF(ifood_data[[#All],[Income]]&gt;75000,"75K+",(IF(ifood_data[[#All],[Income]]&gt;50000,"50K-75K",(IF(ifood_data[[#All],[Income]]&gt;35000,"35K-50K","&lt;35K")))))</f>
        <v>75K+</v>
      </c>
      <c r="AW181" t="str">
        <f>IF(ifood_data[[#All],[Age]]&gt;60,"60+",(IF(ifood_data[[#All],[Age]]&gt;50,"50-60",(IF(ifood_data[[#All],[Age]]&gt;40,"40-50",(IF(ifood_data[[#All],[Age]]&gt;30,"30-40","&lt;30")))))))</f>
        <v>60+</v>
      </c>
      <c r="AX181">
        <f t="shared" si="8"/>
        <v>20</v>
      </c>
      <c r="AY181">
        <f t="shared" si="9"/>
        <v>4</v>
      </c>
      <c r="AZ181">
        <f t="shared" si="10"/>
        <v>4</v>
      </c>
      <c r="BA181">
        <f t="shared" si="11"/>
        <v>8</v>
      </c>
      <c r="BB181">
        <f>SUM(ifood_data[[#This Row],[Recency Score]:[Monetary Score]])</f>
        <v>16</v>
      </c>
      <c r="BC181">
        <f>(_xlfn.PERCENTRANK.INC(ifood_data[[#All],[RFM]],ifood_data[[#This Row],[RFM]],1))*10</f>
        <v>5</v>
      </c>
      <c r="BD181" t="str">
        <f>VLOOKUP(ifood_data[[#This Row],[RFM Score]],'RFM Analysis'!$A$3:$B$14,2,FALSE)</f>
        <v>Promising</v>
      </c>
      <c r="BE181">
        <f>'Regression Models'!$B$101+'Regression Models'!$B$102*ifood_data[[#This Row],[Income]]+'Regression Models'!$B$103*ifood_data[[#This Row],[Age]]+'Regression Models'!$B$104*ifood_data[[#This Row],[Family]]</f>
        <v>1334.3509046152192</v>
      </c>
      <c r="BF181" t="str">
        <f>IF(ifood_data[[#This Row],[AcceptedCmpOverall]]=1,"Campaign Respondent","Non-respondent")</f>
        <v>Non-respondent</v>
      </c>
    </row>
    <row r="182" spans="1:58" x14ac:dyDescent="0.35">
      <c r="A182">
        <v>686</v>
      </c>
      <c r="B182">
        <v>80395</v>
      </c>
      <c r="C182">
        <v>0</v>
      </c>
      <c r="D182">
        <v>0</v>
      </c>
      <c r="E182">
        <v>62</v>
      </c>
      <c r="F182">
        <v>445</v>
      </c>
      <c r="G182">
        <v>25</v>
      </c>
      <c r="H182">
        <v>706</v>
      </c>
      <c r="I182">
        <v>80</v>
      </c>
      <c r="J182">
        <v>76</v>
      </c>
      <c r="K182">
        <v>48</v>
      </c>
      <c r="L182">
        <v>1</v>
      </c>
      <c r="M182">
        <v>6</v>
      </c>
      <c r="N182">
        <v>5</v>
      </c>
      <c r="O182">
        <v>12</v>
      </c>
      <c r="P182">
        <v>2</v>
      </c>
      <c r="Q182">
        <v>1</v>
      </c>
      <c r="R182">
        <v>0</v>
      </c>
      <c r="S182">
        <v>0</v>
      </c>
      <c r="T182">
        <v>0</v>
      </c>
      <c r="U182">
        <v>0</v>
      </c>
      <c r="V182">
        <f>IF(SUM(ifood_data[[#This Row],[AcceptedCmp1]:[AcceptedCmp5]])&gt;0,1,0)</f>
        <v>1</v>
      </c>
      <c r="W182">
        <v>0</v>
      </c>
      <c r="X182">
        <v>3</v>
      </c>
      <c r="Y182">
        <v>11</v>
      </c>
      <c r="Z182">
        <v>0</v>
      </c>
      <c r="AA182">
        <v>65</v>
      </c>
      <c r="AB182">
        <v>2377</v>
      </c>
      <c r="AC182" s="28">
        <f>ifood_data[[#This Row],[Customer_Days]]/365</f>
        <v>6.5123287671232877</v>
      </c>
      <c r="AD182">
        <v>0</v>
      </c>
      <c r="AE182">
        <v>1</v>
      </c>
      <c r="AF182">
        <v>0</v>
      </c>
      <c r="AG182">
        <v>0</v>
      </c>
      <c r="AH182">
        <v>0</v>
      </c>
      <c r="AI182">
        <v>0</v>
      </c>
      <c r="AJ182">
        <v>0</v>
      </c>
      <c r="AK182">
        <v>1</v>
      </c>
      <c r="AL182">
        <v>0</v>
      </c>
      <c r="AM182">
        <v>0</v>
      </c>
      <c r="AN182">
        <v>1332</v>
      </c>
      <c r="AO182">
        <v>1284</v>
      </c>
      <c r="AP182">
        <f>ifood_data[[#This Row],[MntTotal]]-ifood_data[[#This Row],[MntRegularProds]]</f>
        <v>48</v>
      </c>
      <c r="AQ182">
        <v>1</v>
      </c>
      <c r="AR182">
        <f>IF(SUM(ifood_data[[#This Row],[Kidhome]:[Teenhome]])&gt;0,1,0)</f>
        <v>0</v>
      </c>
      <c r="AS182" t="str">
        <f>IF(SUM(ifood_data[[#This Row],[Kidhome]:[Teenhome]])&gt;0,"Has Family","No Family")</f>
        <v>No Family</v>
      </c>
      <c r="AT182" t="str">
        <f>IF(ifood_data[[#This Row],[marital_Married]]=1,"Married", (IF(ifood_data[[#This Row],[marital_Single]]=1,"Single",(IF(ifood_data[[#This Row],[marital_Divorced]]=1,"Divorced",(IF(ifood_data[[#This Row],[marital_Together]]=1,"Living Together",(IF(ifood_data[[#This Row],[marital_Widow]]=1,"Widow","Other")))))))))</f>
        <v>Married</v>
      </c>
      <c r="AU182" t="str">
        <f>IF(ifood_data[[#This Row],[education_Basic]]=1,"High School",(IF(ifood_data[[#This Row],[education_Graduation]]=1,"Undergraduate Degree",(IF(SUM(AM182,AL182,AI182)&gt;0,"Master's Degree or Higher","Other")))))</f>
        <v>Undergraduate Degree</v>
      </c>
      <c r="AV182" t="str">
        <f>IF(ifood_data[[#All],[Income]]&gt;75000,"75K+",(IF(ifood_data[[#All],[Income]]&gt;50000,"50K-75K",(IF(ifood_data[[#All],[Income]]&gt;35000,"35K-50K","&lt;35K")))))</f>
        <v>75K+</v>
      </c>
      <c r="AW182" t="str">
        <f>IF(ifood_data[[#All],[Age]]&gt;60,"60+",(IF(ifood_data[[#All],[Age]]&gt;50,"50-60",(IF(ifood_data[[#All],[Age]]&gt;40,"40-50",(IF(ifood_data[[#All],[Age]]&gt;30,"30-40","&lt;30")))))))</f>
        <v>60+</v>
      </c>
      <c r="AX182">
        <f t="shared" si="8"/>
        <v>26</v>
      </c>
      <c r="AY182">
        <f t="shared" si="9"/>
        <v>4</v>
      </c>
      <c r="AZ182">
        <f t="shared" si="10"/>
        <v>7</v>
      </c>
      <c r="BA182">
        <f t="shared" si="11"/>
        <v>8</v>
      </c>
      <c r="BB182">
        <f>SUM(ifood_data[[#This Row],[Recency Score]:[Monetary Score]])</f>
        <v>19</v>
      </c>
      <c r="BC182">
        <f>(_xlfn.PERCENTRANK.INC(ifood_data[[#All],[RFM]],ifood_data[[#This Row],[RFM]],1))*10</f>
        <v>7</v>
      </c>
      <c r="BD182" t="str">
        <f>VLOOKUP(ifood_data[[#This Row],[RFM Score]],'RFM Analysis'!$A$3:$B$14,2,FALSE)</f>
        <v>Loyal Customer</v>
      </c>
      <c r="BE182">
        <f>'Regression Models'!$B$101+'Regression Models'!$B$102*ifood_data[[#This Row],[Income]]+'Regression Models'!$B$103*ifood_data[[#This Row],[Age]]+'Regression Models'!$B$104*ifood_data[[#This Row],[Family]]</f>
        <v>1331.9712185261562</v>
      </c>
      <c r="BF182" t="str">
        <f>IF(ifood_data[[#This Row],[AcceptedCmpOverall]]=1,"Campaign Respondent","Non-respondent")</f>
        <v>Campaign Respondent</v>
      </c>
    </row>
    <row r="183" spans="1:58" x14ac:dyDescent="0.35">
      <c r="A183">
        <v>1401</v>
      </c>
      <c r="B183">
        <v>78931</v>
      </c>
      <c r="C183">
        <v>0</v>
      </c>
      <c r="D183">
        <v>0</v>
      </c>
      <c r="E183">
        <v>19</v>
      </c>
      <c r="F183">
        <v>331</v>
      </c>
      <c r="G183">
        <v>197</v>
      </c>
      <c r="H183">
        <v>170</v>
      </c>
      <c r="I183">
        <v>58</v>
      </c>
      <c r="J183">
        <v>152</v>
      </c>
      <c r="K183">
        <v>35</v>
      </c>
      <c r="L183">
        <v>1</v>
      </c>
      <c r="M183">
        <v>2</v>
      </c>
      <c r="N183">
        <v>8</v>
      </c>
      <c r="O183">
        <v>13</v>
      </c>
      <c r="P183">
        <v>1</v>
      </c>
      <c r="Q183">
        <v>0</v>
      </c>
      <c r="R183">
        <v>0</v>
      </c>
      <c r="S183">
        <v>0</v>
      </c>
      <c r="T183">
        <v>0</v>
      </c>
      <c r="U183">
        <v>0</v>
      </c>
      <c r="V183">
        <f>IF(SUM(ifood_data[[#This Row],[AcceptedCmp1]:[AcceptedCmp5]])&gt;0,1,0)</f>
        <v>0</v>
      </c>
      <c r="W183">
        <v>0</v>
      </c>
      <c r="X183">
        <v>3</v>
      </c>
      <c r="Y183">
        <v>11</v>
      </c>
      <c r="Z183">
        <v>0</v>
      </c>
      <c r="AA183">
        <v>49</v>
      </c>
      <c r="AB183">
        <v>2406</v>
      </c>
      <c r="AC183" s="28">
        <f>ifood_data[[#This Row],[Customer_Days]]/365</f>
        <v>6.5917808219178085</v>
      </c>
      <c r="AD183">
        <v>0</v>
      </c>
      <c r="AE183">
        <v>1</v>
      </c>
      <c r="AF183">
        <v>0</v>
      </c>
      <c r="AG183">
        <v>0</v>
      </c>
      <c r="AH183">
        <v>0</v>
      </c>
      <c r="AI183">
        <v>0</v>
      </c>
      <c r="AJ183">
        <v>0</v>
      </c>
      <c r="AK183">
        <v>0</v>
      </c>
      <c r="AL183">
        <v>0</v>
      </c>
      <c r="AM183">
        <v>1</v>
      </c>
      <c r="AN183">
        <v>908</v>
      </c>
      <c r="AO183">
        <v>873</v>
      </c>
      <c r="AP183">
        <f>ifood_data[[#This Row],[MntTotal]]-ifood_data[[#This Row],[MntRegularProds]]</f>
        <v>35</v>
      </c>
      <c r="AQ183">
        <v>0</v>
      </c>
      <c r="AR183">
        <f>IF(SUM(ifood_data[[#This Row],[Kidhome]:[Teenhome]])&gt;0,1,0)</f>
        <v>0</v>
      </c>
      <c r="AS183" t="str">
        <f>IF(SUM(ifood_data[[#This Row],[Kidhome]:[Teenhome]])&gt;0,"Has Family","No Family")</f>
        <v>No Family</v>
      </c>
      <c r="AT183" t="str">
        <f>IF(ifood_data[[#This Row],[marital_Married]]=1,"Married", (IF(ifood_data[[#This Row],[marital_Single]]=1,"Single",(IF(ifood_data[[#This Row],[marital_Divorced]]=1,"Divorced",(IF(ifood_data[[#This Row],[marital_Together]]=1,"Living Together",(IF(ifood_data[[#This Row],[marital_Widow]]=1,"Widow","Other")))))))))</f>
        <v>Married</v>
      </c>
      <c r="AU183" t="str">
        <f>IF(ifood_data[[#This Row],[education_Basic]]=1,"High School",(IF(ifood_data[[#This Row],[education_Graduation]]=1,"Undergraduate Degree",(IF(SUM(AM183,AL183,AI183)&gt;0,"Master's Degree or Higher","Other")))))</f>
        <v>Master's Degree or Higher</v>
      </c>
      <c r="AV183" t="str">
        <f>IF(ifood_data[[#All],[Income]]&gt;75000,"75K+",(IF(ifood_data[[#All],[Income]]&gt;50000,"50K-75K",(IF(ifood_data[[#All],[Income]]&gt;35000,"35K-50K","&lt;35K")))))</f>
        <v>75K+</v>
      </c>
      <c r="AW183" t="str">
        <f>IF(ifood_data[[#All],[Age]]&gt;60,"60+",(IF(ifood_data[[#All],[Age]]&gt;50,"50-60",(IF(ifood_data[[#All],[Age]]&gt;40,"40-50",(IF(ifood_data[[#All],[Age]]&gt;30,"30-40","&lt;30")))))))</f>
        <v>40-50</v>
      </c>
      <c r="AX183">
        <f t="shared" si="8"/>
        <v>25</v>
      </c>
      <c r="AY183">
        <f t="shared" si="9"/>
        <v>9</v>
      </c>
      <c r="AZ183">
        <f t="shared" si="10"/>
        <v>7</v>
      </c>
      <c r="BA183">
        <f t="shared" si="11"/>
        <v>7</v>
      </c>
      <c r="BB183">
        <f>SUM(ifood_data[[#This Row],[Recency Score]:[Monetary Score]])</f>
        <v>23</v>
      </c>
      <c r="BC183">
        <f>(_xlfn.PERCENTRANK.INC(ifood_data[[#All],[RFM]],ifood_data[[#This Row],[RFM]],1))*10</f>
        <v>8</v>
      </c>
      <c r="BD183" t="str">
        <f>VLOOKUP(ifood_data[[#This Row],[RFM Score]],'RFM Analysis'!$A$3:$B$14,2,FALSE)</f>
        <v>Loyal Customer</v>
      </c>
      <c r="BE183">
        <f>'Regression Models'!$B$101+'Regression Models'!$B$102*ifood_data[[#This Row],[Income]]+'Regression Models'!$B$103*ifood_data[[#This Row],[Age]]+'Regression Models'!$B$104*ifood_data[[#This Row],[Family]]</f>
        <v>1331.5050872257971</v>
      </c>
      <c r="BF183" t="str">
        <f>IF(ifood_data[[#This Row],[AcceptedCmpOverall]]=1,"Campaign Respondent","Non-respondent")</f>
        <v>Non-respondent</v>
      </c>
    </row>
    <row r="184" spans="1:58" x14ac:dyDescent="0.35">
      <c r="A184">
        <v>1870</v>
      </c>
      <c r="B184">
        <v>81044</v>
      </c>
      <c r="C184">
        <v>0</v>
      </c>
      <c r="D184">
        <v>0</v>
      </c>
      <c r="E184">
        <v>0</v>
      </c>
      <c r="F184">
        <v>450</v>
      </c>
      <c r="G184">
        <v>26</v>
      </c>
      <c r="H184">
        <v>535</v>
      </c>
      <c r="I184">
        <v>73</v>
      </c>
      <c r="J184">
        <v>98</v>
      </c>
      <c r="K184">
        <v>26</v>
      </c>
      <c r="L184">
        <v>1</v>
      </c>
      <c r="M184">
        <v>5</v>
      </c>
      <c r="N184">
        <v>6</v>
      </c>
      <c r="O184">
        <v>10</v>
      </c>
      <c r="P184">
        <v>1</v>
      </c>
      <c r="Q184">
        <v>0</v>
      </c>
      <c r="R184">
        <v>0</v>
      </c>
      <c r="S184">
        <v>0</v>
      </c>
      <c r="T184">
        <v>0</v>
      </c>
      <c r="U184">
        <v>0</v>
      </c>
      <c r="V184">
        <f>IF(SUM(ifood_data[[#This Row],[AcceptedCmp1]:[AcceptedCmp5]])&gt;0,1,0)</f>
        <v>0</v>
      </c>
      <c r="W184">
        <v>0</v>
      </c>
      <c r="X184">
        <v>3</v>
      </c>
      <c r="Y184">
        <v>11</v>
      </c>
      <c r="Z184">
        <v>0</v>
      </c>
      <c r="AA184">
        <v>73</v>
      </c>
      <c r="AB184">
        <v>2343</v>
      </c>
      <c r="AC184" s="28">
        <f>ifood_data[[#This Row],[Customer_Days]]/365</f>
        <v>6.419178082191781</v>
      </c>
      <c r="AD184">
        <v>0</v>
      </c>
      <c r="AE184">
        <v>1</v>
      </c>
      <c r="AF184">
        <v>0</v>
      </c>
      <c r="AG184">
        <v>0</v>
      </c>
      <c r="AH184">
        <v>0</v>
      </c>
      <c r="AI184">
        <v>1</v>
      </c>
      <c r="AJ184">
        <v>0</v>
      </c>
      <c r="AK184">
        <v>0</v>
      </c>
      <c r="AL184">
        <v>0</v>
      </c>
      <c r="AM184">
        <v>0</v>
      </c>
      <c r="AN184">
        <v>1182</v>
      </c>
      <c r="AO184">
        <v>1156</v>
      </c>
      <c r="AP184">
        <f>ifood_data[[#This Row],[MntTotal]]-ifood_data[[#This Row],[MntRegularProds]]</f>
        <v>26</v>
      </c>
      <c r="AQ184">
        <v>0</v>
      </c>
      <c r="AR184">
        <f>IF(SUM(ifood_data[[#This Row],[Kidhome]:[Teenhome]])&gt;0,1,0)</f>
        <v>0</v>
      </c>
      <c r="AS184" t="str">
        <f>IF(SUM(ifood_data[[#This Row],[Kidhome]:[Teenhome]])&gt;0,"Has Family","No Family")</f>
        <v>No Family</v>
      </c>
      <c r="AT184" t="str">
        <f>IF(ifood_data[[#This Row],[marital_Married]]=1,"Married", (IF(ifood_data[[#This Row],[marital_Single]]=1,"Single",(IF(ifood_data[[#This Row],[marital_Divorced]]=1,"Divorced",(IF(ifood_data[[#This Row],[marital_Together]]=1,"Living Together",(IF(ifood_data[[#This Row],[marital_Widow]]=1,"Widow","Other")))))))))</f>
        <v>Married</v>
      </c>
      <c r="AU184" t="str">
        <f>IF(ifood_data[[#This Row],[education_Basic]]=1,"High School",(IF(ifood_data[[#This Row],[education_Graduation]]=1,"Undergraduate Degree",(IF(SUM(AM184,AL184,AI184)&gt;0,"Master's Degree or Higher","Other")))))</f>
        <v>Master's Degree or Higher</v>
      </c>
      <c r="AV184" t="str">
        <f>IF(ifood_data[[#All],[Income]]&gt;75000,"75K+",(IF(ifood_data[[#All],[Income]]&gt;50000,"50K-75K",(IF(ifood_data[[#All],[Income]]&gt;35000,"35K-50K","&lt;35K")))))</f>
        <v>75K+</v>
      </c>
      <c r="AW184" t="str">
        <f>IF(ifood_data[[#All],[Age]]&gt;60,"60+",(IF(ifood_data[[#All],[Age]]&gt;50,"50-60",(IF(ifood_data[[#All],[Age]]&gt;40,"40-50",(IF(ifood_data[[#All],[Age]]&gt;30,"30-40","&lt;30")))))))</f>
        <v>60+</v>
      </c>
      <c r="AX184">
        <f t="shared" si="8"/>
        <v>23</v>
      </c>
      <c r="AY184">
        <f t="shared" si="9"/>
        <v>10</v>
      </c>
      <c r="AZ184">
        <f t="shared" si="10"/>
        <v>6</v>
      </c>
      <c r="BA184">
        <f t="shared" si="11"/>
        <v>8</v>
      </c>
      <c r="BB184">
        <f>SUM(ifood_data[[#This Row],[Recency Score]:[Monetary Score]])</f>
        <v>24</v>
      </c>
      <c r="BC184">
        <f>(_xlfn.PERCENTRANK.INC(ifood_data[[#All],[RFM]],ifood_data[[#This Row],[RFM]],1))*10</f>
        <v>9</v>
      </c>
      <c r="BD184" t="str">
        <f>VLOOKUP(ifood_data[[#This Row],[RFM Score]],'RFM Analysis'!$A$3:$B$14,2,FALSE)</f>
        <v>Top Customer</v>
      </c>
      <c r="BE184">
        <f>'Regression Models'!$B$101+'Regression Models'!$B$102*ifood_data[[#This Row],[Income]]+'Regression Models'!$B$103*ifood_data[[#This Row],[Age]]+'Regression Models'!$B$104*ifood_data[[#This Row],[Family]]</f>
        <v>1330.5120164203925</v>
      </c>
      <c r="BF184" t="str">
        <f>IF(ifood_data[[#This Row],[AcceptedCmpOverall]]=1,"Campaign Respondent","Non-respondent")</f>
        <v>Non-respondent</v>
      </c>
    </row>
    <row r="185" spans="1:58" x14ac:dyDescent="0.35">
      <c r="A185">
        <v>148</v>
      </c>
      <c r="B185">
        <v>80317</v>
      </c>
      <c r="C185">
        <v>0</v>
      </c>
      <c r="D185">
        <v>0</v>
      </c>
      <c r="E185">
        <v>64</v>
      </c>
      <c r="F185">
        <v>536</v>
      </c>
      <c r="G185">
        <v>11</v>
      </c>
      <c r="H185">
        <v>387</v>
      </c>
      <c r="I185">
        <v>149</v>
      </c>
      <c r="J185">
        <v>91</v>
      </c>
      <c r="K185">
        <v>57</v>
      </c>
      <c r="L185">
        <v>1</v>
      </c>
      <c r="M185">
        <v>3</v>
      </c>
      <c r="N185">
        <v>4</v>
      </c>
      <c r="O185">
        <v>10</v>
      </c>
      <c r="P185">
        <v>1</v>
      </c>
      <c r="Q185">
        <v>0</v>
      </c>
      <c r="R185">
        <v>0</v>
      </c>
      <c r="S185">
        <v>0</v>
      </c>
      <c r="T185">
        <v>0</v>
      </c>
      <c r="U185">
        <v>0</v>
      </c>
      <c r="V185">
        <f>IF(SUM(ifood_data[[#This Row],[AcceptedCmp1]:[AcceptedCmp5]])&gt;0,1,0)</f>
        <v>0</v>
      </c>
      <c r="W185">
        <v>0</v>
      </c>
      <c r="X185">
        <v>3</v>
      </c>
      <c r="Y185">
        <v>11</v>
      </c>
      <c r="Z185">
        <v>0</v>
      </c>
      <c r="AA185">
        <v>65</v>
      </c>
      <c r="AB185">
        <v>2472</v>
      </c>
      <c r="AC185" s="28">
        <f>ifood_data[[#This Row],[Customer_Days]]/365</f>
        <v>6.7726027397260271</v>
      </c>
      <c r="AD185">
        <v>0</v>
      </c>
      <c r="AE185">
        <v>0</v>
      </c>
      <c r="AF185">
        <v>1</v>
      </c>
      <c r="AG185">
        <v>0</v>
      </c>
      <c r="AH185">
        <v>0</v>
      </c>
      <c r="AI185">
        <v>0</v>
      </c>
      <c r="AJ185">
        <v>0</v>
      </c>
      <c r="AK185">
        <v>1</v>
      </c>
      <c r="AL185">
        <v>0</v>
      </c>
      <c r="AM185">
        <v>0</v>
      </c>
      <c r="AN185">
        <v>1174</v>
      </c>
      <c r="AO185">
        <v>1117</v>
      </c>
      <c r="AP185">
        <f>ifood_data[[#This Row],[MntTotal]]-ifood_data[[#This Row],[MntRegularProds]]</f>
        <v>57</v>
      </c>
      <c r="AQ185">
        <v>0</v>
      </c>
      <c r="AR185">
        <f>IF(SUM(ifood_data[[#This Row],[Kidhome]:[Teenhome]])&gt;0,1,0)</f>
        <v>0</v>
      </c>
      <c r="AS185" t="str">
        <f>IF(SUM(ifood_data[[#This Row],[Kidhome]:[Teenhome]])&gt;0,"Has Family","No Family")</f>
        <v>No Family</v>
      </c>
      <c r="AT185" t="str">
        <f>IF(ifood_data[[#This Row],[marital_Married]]=1,"Married", (IF(ifood_data[[#This Row],[marital_Single]]=1,"Single",(IF(ifood_data[[#This Row],[marital_Divorced]]=1,"Divorced",(IF(ifood_data[[#This Row],[marital_Together]]=1,"Living Together",(IF(ifood_data[[#This Row],[marital_Widow]]=1,"Widow","Other")))))))))</f>
        <v>Single</v>
      </c>
      <c r="AU185" t="str">
        <f>IF(ifood_data[[#This Row],[education_Basic]]=1,"High School",(IF(ifood_data[[#This Row],[education_Graduation]]=1,"Undergraduate Degree",(IF(SUM(AM185,AL185,AI185)&gt;0,"Master's Degree or Higher","Other")))))</f>
        <v>Undergraduate Degree</v>
      </c>
      <c r="AV185" t="str">
        <f>IF(ifood_data[[#All],[Income]]&gt;75000,"75K+",(IF(ifood_data[[#All],[Income]]&gt;50000,"50K-75K",(IF(ifood_data[[#All],[Income]]&gt;35000,"35K-50K","&lt;35K")))))</f>
        <v>75K+</v>
      </c>
      <c r="AW185" t="str">
        <f>IF(ifood_data[[#All],[Age]]&gt;60,"60+",(IF(ifood_data[[#All],[Age]]&gt;50,"50-60",(IF(ifood_data[[#All],[Age]]&gt;40,"40-50",(IF(ifood_data[[#All],[Age]]&gt;30,"30-40","&lt;30")))))))</f>
        <v>60+</v>
      </c>
      <c r="AX185">
        <f t="shared" si="8"/>
        <v>19</v>
      </c>
      <c r="AY185">
        <f t="shared" si="9"/>
        <v>4</v>
      </c>
      <c r="AZ185">
        <f t="shared" si="10"/>
        <v>4</v>
      </c>
      <c r="BA185">
        <f t="shared" si="11"/>
        <v>8</v>
      </c>
      <c r="BB185">
        <f>SUM(ifood_data[[#This Row],[Recency Score]:[Monetary Score]])</f>
        <v>16</v>
      </c>
      <c r="BC185">
        <f>(_xlfn.PERCENTRANK.INC(ifood_data[[#All],[RFM]],ifood_data[[#This Row],[RFM]],1))*10</f>
        <v>5</v>
      </c>
      <c r="BD185" t="str">
        <f>VLOOKUP(ifood_data[[#This Row],[RFM Score]],'RFM Analysis'!$A$3:$B$14,2,FALSE)</f>
        <v>Promising</v>
      </c>
      <c r="BE185">
        <f>'Regression Models'!$B$101+'Regression Models'!$B$102*ifood_data[[#This Row],[Income]]+'Regression Models'!$B$103*ifood_data[[#This Row],[Age]]+'Regression Models'!$B$104*ifood_data[[#This Row],[Family]]</f>
        <v>1330.3808946109323</v>
      </c>
      <c r="BF185" t="str">
        <f>IF(ifood_data[[#This Row],[AcceptedCmpOverall]]=1,"Campaign Respondent","Non-respondent")</f>
        <v>Non-respondent</v>
      </c>
    </row>
    <row r="186" spans="1:58" x14ac:dyDescent="0.35">
      <c r="A186">
        <v>931</v>
      </c>
      <c r="B186">
        <v>80763</v>
      </c>
      <c r="C186">
        <v>0</v>
      </c>
      <c r="D186">
        <v>0</v>
      </c>
      <c r="E186">
        <v>17</v>
      </c>
      <c r="F186">
        <v>674</v>
      </c>
      <c r="G186">
        <v>168</v>
      </c>
      <c r="H186">
        <v>108</v>
      </c>
      <c r="I186">
        <v>192</v>
      </c>
      <c r="J186">
        <v>42</v>
      </c>
      <c r="K186">
        <v>231</v>
      </c>
      <c r="L186">
        <v>1</v>
      </c>
      <c r="M186">
        <v>5</v>
      </c>
      <c r="N186">
        <v>11</v>
      </c>
      <c r="O186">
        <v>6</v>
      </c>
      <c r="P186">
        <v>3</v>
      </c>
      <c r="Q186">
        <v>1</v>
      </c>
      <c r="R186">
        <v>0</v>
      </c>
      <c r="S186">
        <v>0</v>
      </c>
      <c r="T186">
        <v>0</v>
      </c>
      <c r="U186">
        <v>1</v>
      </c>
      <c r="V186">
        <f>IF(SUM(ifood_data[[#This Row],[AcceptedCmp1]:[AcceptedCmp5]])&gt;0,1,0)</f>
        <v>1</v>
      </c>
      <c r="W186">
        <v>0</v>
      </c>
      <c r="X186">
        <v>3</v>
      </c>
      <c r="Y186">
        <v>11</v>
      </c>
      <c r="Z186">
        <v>1</v>
      </c>
      <c r="AA186">
        <v>70</v>
      </c>
      <c r="AB186">
        <v>2477</v>
      </c>
      <c r="AC186" s="28">
        <f>ifood_data[[#This Row],[Customer_Days]]/365</f>
        <v>6.7863013698630139</v>
      </c>
      <c r="AD186">
        <v>0</v>
      </c>
      <c r="AE186">
        <v>1</v>
      </c>
      <c r="AF186">
        <v>0</v>
      </c>
      <c r="AG186">
        <v>0</v>
      </c>
      <c r="AH186">
        <v>0</v>
      </c>
      <c r="AI186">
        <v>0</v>
      </c>
      <c r="AJ186">
        <v>0</v>
      </c>
      <c r="AK186">
        <v>1</v>
      </c>
      <c r="AL186">
        <v>0</v>
      </c>
      <c r="AM186">
        <v>0</v>
      </c>
      <c r="AN186">
        <v>1184</v>
      </c>
      <c r="AO186">
        <v>953</v>
      </c>
      <c r="AP186">
        <f>ifood_data[[#This Row],[MntTotal]]-ifood_data[[#This Row],[MntRegularProds]]</f>
        <v>231</v>
      </c>
      <c r="AQ186">
        <v>2</v>
      </c>
      <c r="AR186">
        <f>IF(SUM(ifood_data[[#This Row],[Kidhome]:[Teenhome]])&gt;0,1,0)</f>
        <v>0</v>
      </c>
      <c r="AS186" t="str">
        <f>IF(SUM(ifood_data[[#This Row],[Kidhome]:[Teenhome]])&gt;0,"Has Family","No Family")</f>
        <v>No Family</v>
      </c>
      <c r="AT186" t="str">
        <f>IF(ifood_data[[#This Row],[marital_Married]]=1,"Married", (IF(ifood_data[[#This Row],[marital_Single]]=1,"Single",(IF(ifood_data[[#This Row],[marital_Divorced]]=1,"Divorced",(IF(ifood_data[[#This Row],[marital_Together]]=1,"Living Together",(IF(ifood_data[[#This Row],[marital_Widow]]=1,"Widow","Other")))))))))</f>
        <v>Married</v>
      </c>
      <c r="AU186" t="str">
        <f>IF(ifood_data[[#This Row],[education_Basic]]=1,"High School",(IF(ifood_data[[#This Row],[education_Graduation]]=1,"Undergraduate Degree",(IF(SUM(AM186,AL186,AI186)&gt;0,"Master's Degree or Higher","Other")))))</f>
        <v>Undergraduate Degree</v>
      </c>
      <c r="AV186" t="str">
        <f>IF(ifood_data[[#All],[Income]]&gt;75000,"75K+",(IF(ifood_data[[#All],[Income]]&gt;50000,"50K-75K",(IF(ifood_data[[#All],[Income]]&gt;35000,"35K-50K","&lt;35K")))))</f>
        <v>75K+</v>
      </c>
      <c r="AW186" t="str">
        <f>IF(ifood_data[[#All],[Age]]&gt;60,"60+",(IF(ifood_data[[#All],[Age]]&gt;50,"50-60",(IF(ifood_data[[#All],[Age]]&gt;40,"40-50",(IF(ifood_data[[#All],[Age]]&gt;30,"30-40","&lt;30")))))))</f>
        <v>60+</v>
      </c>
      <c r="AX186">
        <f t="shared" si="8"/>
        <v>26</v>
      </c>
      <c r="AY186">
        <f t="shared" si="9"/>
        <v>9</v>
      </c>
      <c r="AZ186">
        <f t="shared" si="10"/>
        <v>7</v>
      </c>
      <c r="BA186">
        <f t="shared" si="11"/>
        <v>8</v>
      </c>
      <c r="BB186">
        <f>SUM(ifood_data[[#This Row],[Recency Score]:[Monetary Score]])</f>
        <v>24</v>
      </c>
      <c r="BC186">
        <f>(_xlfn.PERCENTRANK.INC(ifood_data[[#All],[RFM]],ifood_data[[#This Row],[RFM]],1))*10</f>
        <v>9</v>
      </c>
      <c r="BD186" t="str">
        <f>VLOOKUP(ifood_data[[#This Row],[RFM Score]],'RFM Analysis'!$A$3:$B$14,2,FALSE)</f>
        <v>Top Customer</v>
      </c>
      <c r="BE186">
        <f>'Regression Models'!$B$101+'Regression Models'!$B$102*ifood_data[[#This Row],[Income]]+'Regression Models'!$B$103*ifood_data[[#This Row],[Age]]+'Regression Models'!$B$104*ifood_data[[#This Row],[Family]]</f>
        <v>1330.2920898086397</v>
      </c>
      <c r="BF186" t="str">
        <f>IF(ifood_data[[#This Row],[AcceptedCmpOverall]]=1,"Campaign Respondent","Non-respondent")</f>
        <v>Campaign Respondent</v>
      </c>
    </row>
    <row r="187" spans="1:58" x14ac:dyDescent="0.35">
      <c r="A187">
        <v>262</v>
      </c>
      <c r="B187">
        <v>77882</v>
      </c>
      <c r="C187">
        <v>0</v>
      </c>
      <c r="D187">
        <v>0</v>
      </c>
      <c r="E187">
        <v>29</v>
      </c>
      <c r="F187">
        <v>68</v>
      </c>
      <c r="G187">
        <v>129</v>
      </c>
      <c r="H187">
        <v>396</v>
      </c>
      <c r="I187">
        <v>188</v>
      </c>
      <c r="J187">
        <v>22</v>
      </c>
      <c r="K187">
        <v>15</v>
      </c>
      <c r="L187">
        <v>1</v>
      </c>
      <c r="M187">
        <v>3</v>
      </c>
      <c r="N187">
        <v>3</v>
      </c>
      <c r="O187">
        <v>5</v>
      </c>
      <c r="P187">
        <v>1</v>
      </c>
      <c r="Q187">
        <v>0</v>
      </c>
      <c r="R187">
        <v>0</v>
      </c>
      <c r="S187">
        <v>0</v>
      </c>
      <c r="T187">
        <v>0</v>
      </c>
      <c r="U187">
        <v>0</v>
      </c>
      <c r="V187">
        <f>IF(SUM(ifood_data[[#This Row],[AcceptedCmp1]:[AcceptedCmp5]])&gt;0,1,0)</f>
        <v>0</v>
      </c>
      <c r="W187">
        <v>0</v>
      </c>
      <c r="X187">
        <v>3</v>
      </c>
      <c r="Y187">
        <v>11</v>
      </c>
      <c r="Z187">
        <v>0</v>
      </c>
      <c r="AA187">
        <v>39</v>
      </c>
      <c r="AB187">
        <v>2219</v>
      </c>
      <c r="AC187" s="28">
        <f>ifood_data[[#This Row],[Customer_Days]]/365</f>
        <v>6.0794520547945208</v>
      </c>
      <c r="AD187">
        <v>0</v>
      </c>
      <c r="AE187">
        <v>0</v>
      </c>
      <c r="AF187">
        <v>0</v>
      </c>
      <c r="AG187">
        <v>1</v>
      </c>
      <c r="AH187">
        <v>0</v>
      </c>
      <c r="AI187">
        <v>0</v>
      </c>
      <c r="AJ187">
        <v>0</v>
      </c>
      <c r="AK187">
        <v>0</v>
      </c>
      <c r="AL187">
        <v>1</v>
      </c>
      <c r="AM187">
        <v>0</v>
      </c>
      <c r="AN187">
        <v>803</v>
      </c>
      <c r="AO187">
        <v>788</v>
      </c>
      <c r="AP187">
        <f>ifood_data[[#This Row],[MntTotal]]-ifood_data[[#This Row],[MntRegularProds]]</f>
        <v>15</v>
      </c>
      <c r="AQ187">
        <v>0</v>
      </c>
      <c r="AR187">
        <f>IF(SUM(ifood_data[[#This Row],[Kidhome]:[Teenhome]])&gt;0,1,0)</f>
        <v>0</v>
      </c>
      <c r="AS187" t="str">
        <f>IF(SUM(ifood_data[[#This Row],[Kidhome]:[Teenhome]])&gt;0,"Has Family","No Family")</f>
        <v>No Family</v>
      </c>
      <c r="AT187" t="str">
        <f>IF(ifood_data[[#This Row],[marital_Married]]=1,"Married", (IF(ifood_data[[#This Row],[marital_Single]]=1,"Single",(IF(ifood_data[[#This Row],[marital_Divorced]]=1,"Divorced",(IF(ifood_data[[#This Row],[marital_Together]]=1,"Living Together",(IF(ifood_data[[#This Row],[marital_Widow]]=1,"Widow","Other")))))))))</f>
        <v>Living Together</v>
      </c>
      <c r="AU187" t="str">
        <f>IF(ifood_data[[#This Row],[education_Basic]]=1,"High School",(IF(ifood_data[[#This Row],[education_Graduation]]=1,"Undergraduate Degree",(IF(SUM(AM187,AL187,AI187)&gt;0,"Master's Degree or Higher","Other")))))</f>
        <v>Master's Degree or Higher</v>
      </c>
      <c r="AV187" t="str">
        <f>IF(ifood_data[[#All],[Income]]&gt;75000,"75K+",(IF(ifood_data[[#All],[Income]]&gt;50000,"50K-75K",(IF(ifood_data[[#All],[Income]]&gt;35000,"35K-50K","&lt;35K")))))</f>
        <v>75K+</v>
      </c>
      <c r="AW187" t="str">
        <f>IF(ifood_data[[#All],[Age]]&gt;60,"60+",(IF(ifood_data[[#All],[Age]]&gt;50,"50-60",(IF(ifood_data[[#All],[Age]]&gt;40,"40-50",(IF(ifood_data[[#All],[Age]]&gt;30,"30-40","&lt;30")))))))</f>
        <v>30-40</v>
      </c>
      <c r="AX187">
        <f t="shared" si="8"/>
        <v>13</v>
      </c>
      <c r="AY187">
        <f t="shared" si="9"/>
        <v>8</v>
      </c>
      <c r="AZ187">
        <f t="shared" si="10"/>
        <v>1</v>
      </c>
      <c r="BA187">
        <f t="shared" si="11"/>
        <v>6</v>
      </c>
      <c r="BB187">
        <f>SUM(ifood_data[[#This Row],[Recency Score]:[Monetary Score]])</f>
        <v>15</v>
      </c>
      <c r="BC187">
        <f>(_xlfn.PERCENTRANK.INC(ifood_data[[#All],[RFM]],ifood_data[[#This Row],[RFM]],1))*10</f>
        <v>4</v>
      </c>
      <c r="BD187" t="str">
        <f>VLOOKUP(ifood_data[[#This Row],[RFM Score]],'RFM Analysis'!$A$3:$B$14,2,FALSE)</f>
        <v>At Risk</v>
      </c>
      <c r="BE187">
        <f>'Regression Models'!$B$101+'Regression Models'!$B$102*ifood_data[[#This Row],[Income]]+'Regression Models'!$B$103*ifood_data[[#This Row],[Age]]+'Regression Models'!$B$104*ifood_data[[#This Row],[Family]]</f>
        <v>1328.4816602317896</v>
      </c>
      <c r="BF187" t="str">
        <f>IF(ifood_data[[#This Row],[AcceptedCmpOverall]]=1,"Campaign Respondent","Non-respondent")</f>
        <v>Non-respondent</v>
      </c>
    </row>
    <row r="188" spans="1:58" x14ac:dyDescent="0.35">
      <c r="A188">
        <v>345</v>
      </c>
      <c r="B188">
        <v>79530</v>
      </c>
      <c r="C188">
        <v>0</v>
      </c>
      <c r="D188">
        <v>0</v>
      </c>
      <c r="E188">
        <v>64</v>
      </c>
      <c r="F188">
        <v>333</v>
      </c>
      <c r="G188">
        <v>0</v>
      </c>
      <c r="H188">
        <v>815</v>
      </c>
      <c r="I188">
        <v>129</v>
      </c>
      <c r="J188">
        <v>42</v>
      </c>
      <c r="K188">
        <v>29</v>
      </c>
      <c r="L188">
        <v>1</v>
      </c>
      <c r="M188">
        <v>4</v>
      </c>
      <c r="N188">
        <v>10</v>
      </c>
      <c r="O188">
        <v>11</v>
      </c>
      <c r="P188">
        <v>2</v>
      </c>
      <c r="Q188">
        <v>0</v>
      </c>
      <c r="R188">
        <v>0</v>
      </c>
      <c r="S188">
        <v>0</v>
      </c>
      <c r="T188">
        <v>0</v>
      </c>
      <c r="U188">
        <v>0</v>
      </c>
      <c r="V188">
        <f>IF(SUM(ifood_data[[#This Row],[AcceptedCmp1]:[AcceptedCmp5]])&gt;0,1,0)</f>
        <v>0</v>
      </c>
      <c r="W188">
        <v>0</v>
      </c>
      <c r="X188">
        <v>3</v>
      </c>
      <c r="Y188">
        <v>11</v>
      </c>
      <c r="Z188">
        <v>0</v>
      </c>
      <c r="AA188">
        <v>60</v>
      </c>
      <c r="AB188">
        <v>2567</v>
      </c>
      <c r="AC188" s="28">
        <f>ifood_data[[#This Row],[Customer_Days]]/365</f>
        <v>7.0328767123287674</v>
      </c>
      <c r="AD188">
        <v>0</v>
      </c>
      <c r="AE188">
        <v>1</v>
      </c>
      <c r="AF188">
        <v>0</v>
      </c>
      <c r="AG188">
        <v>0</v>
      </c>
      <c r="AH188">
        <v>0</v>
      </c>
      <c r="AI188">
        <v>0</v>
      </c>
      <c r="AJ188">
        <v>0</v>
      </c>
      <c r="AK188">
        <v>1</v>
      </c>
      <c r="AL188">
        <v>0</v>
      </c>
      <c r="AM188">
        <v>0</v>
      </c>
      <c r="AN188">
        <v>1319</v>
      </c>
      <c r="AO188">
        <v>1290</v>
      </c>
      <c r="AP188">
        <f>ifood_data[[#This Row],[MntTotal]]-ifood_data[[#This Row],[MntRegularProds]]</f>
        <v>29</v>
      </c>
      <c r="AQ188">
        <v>0</v>
      </c>
      <c r="AR188">
        <f>IF(SUM(ifood_data[[#This Row],[Kidhome]:[Teenhome]])&gt;0,1,0)</f>
        <v>0</v>
      </c>
      <c r="AS188" t="str">
        <f>IF(SUM(ifood_data[[#This Row],[Kidhome]:[Teenhome]])&gt;0,"Has Family","No Family")</f>
        <v>No Family</v>
      </c>
      <c r="AT188" t="str">
        <f>IF(ifood_data[[#This Row],[marital_Married]]=1,"Married", (IF(ifood_data[[#This Row],[marital_Single]]=1,"Single",(IF(ifood_data[[#This Row],[marital_Divorced]]=1,"Divorced",(IF(ifood_data[[#This Row],[marital_Together]]=1,"Living Together",(IF(ifood_data[[#This Row],[marital_Widow]]=1,"Widow","Other")))))))))</f>
        <v>Married</v>
      </c>
      <c r="AU188" t="str">
        <f>IF(ifood_data[[#This Row],[education_Basic]]=1,"High School",(IF(ifood_data[[#This Row],[education_Graduation]]=1,"Undergraduate Degree",(IF(SUM(AM188,AL188,AI188)&gt;0,"Master's Degree or Higher","Other")))))</f>
        <v>Undergraduate Degree</v>
      </c>
      <c r="AV188" t="str">
        <f>IF(ifood_data[[#All],[Income]]&gt;75000,"75K+",(IF(ifood_data[[#All],[Income]]&gt;50000,"50K-75K",(IF(ifood_data[[#All],[Income]]&gt;35000,"35K-50K","&lt;35K")))))</f>
        <v>75K+</v>
      </c>
      <c r="AW188" t="str">
        <f>IF(ifood_data[[#All],[Age]]&gt;60,"60+",(IF(ifood_data[[#All],[Age]]&gt;50,"50-60",(IF(ifood_data[[#All],[Age]]&gt;40,"40-50",(IF(ifood_data[[#All],[Age]]&gt;30,"30-40","&lt;30")))))))</f>
        <v>50-60</v>
      </c>
      <c r="AX188">
        <f t="shared" si="8"/>
        <v>28</v>
      </c>
      <c r="AY188">
        <f t="shared" si="9"/>
        <v>4</v>
      </c>
      <c r="AZ188">
        <f t="shared" si="10"/>
        <v>8</v>
      </c>
      <c r="BA188">
        <f t="shared" si="11"/>
        <v>8</v>
      </c>
      <c r="BB188">
        <f>SUM(ifood_data[[#This Row],[Recency Score]:[Monetary Score]])</f>
        <v>20</v>
      </c>
      <c r="BC188">
        <f>(_xlfn.PERCENTRANK.INC(ifood_data[[#All],[RFM]],ifood_data[[#This Row],[RFM]],1))*10</f>
        <v>7</v>
      </c>
      <c r="BD188" t="str">
        <f>VLOOKUP(ifood_data[[#This Row],[RFM Score]],'RFM Analysis'!$A$3:$B$14,2,FALSE)</f>
        <v>Loyal Customer</v>
      </c>
      <c r="BE188">
        <f>'Regression Models'!$B$101+'Regression Models'!$B$102*ifood_data[[#This Row],[Income]]+'Regression Models'!$B$103*ifood_data[[#This Row],[Age]]+'Regression Models'!$B$104*ifood_data[[#This Row],[Family]]</f>
        <v>1323.5171294761553</v>
      </c>
      <c r="BF188" t="str">
        <f>IF(ifood_data[[#This Row],[AcceptedCmpOverall]]=1,"Campaign Respondent","Non-respondent")</f>
        <v>Non-respondent</v>
      </c>
    </row>
    <row r="189" spans="1:58" x14ac:dyDescent="0.35">
      <c r="A189">
        <v>183</v>
      </c>
      <c r="B189">
        <v>80067</v>
      </c>
      <c r="C189">
        <v>0</v>
      </c>
      <c r="D189">
        <v>0</v>
      </c>
      <c r="E189">
        <v>82</v>
      </c>
      <c r="F189">
        <v>519</v>
      </c>
      <c r="G189">
        <v>17</v>
      </c>
      <c r="H189">
        <v>813</v>
      </c>
      <c r="I189">
        <v>27</v>
      </c>
      <c r="J189">
        <v>173</v>
      </c>
      <c r="K189">
        <v>51</v>
      </c>
      <c r="L189">
        <v>1</v>
      </c>
      <c r="M189">
        <v>4</v>
      </c>
      <c r="N189">
        <v>6</v>
      </c>
      <c r="O189">
        <v>6</v>
      </c>
      <c r="P189">
        <v>2</v>
      </c>
      <c r="Q189">
        <v>0</v>
      </c>
      <c r="R189">
        <v>0</v>
      </c>
      <c r="S189">
        <v>0</v>
      </c>
      <c r="T189">
        <v>0</v>
      </c>
      <c r="U189">
        <v>1</v>
      </c>
      <c r="V189">
        <f>IF(SUM(ifood_data[[#This Row],[AcceptedCmp1]:[AcceptedCmp5]])&gt;0,1,0)</f>
        <v>1</v>
      </c>
      <c r="W189">
        <v>0</v>
      </c>
      <c r="X189">
        <v>3</v>
      </c>
      <c r="Y189">
        <v>11</v>
      </c>
      <c r="Z189">
        <v>0</v>
      </c>
      <c r="AA189">
        <v>66</v>
      </c>
      <c r="AB189">
        <v>2442</v>
      </c>
      <c r="AC189" s="28">
        <f>ifood_data[[#This Row],[Customer_Days]]/365</f>
        <v>6.6904109589041099</v>
      </c>
      <c r="AD189">
        <v>0</v>
      </c>
      <c r="AE189">
        <v>1</v>
      </c>
      <c r="AF189">
        <v>0</v>
      </c>
      <c r="AG189">
        <v>0</v>
      </c>
      <c r="AH189">
        <v>0</v>
      </c>
      <c r="AI189">
        <v>0</v>
      </c>
      <c r="AJ189">
        <v>0</v>
      </c>
      <c r="AK189">
        <v>1</v>
      </c>
      <c r="AL189">
        <v>0</v>
      </c>
      <c r="AM189">
        <v>0</v>
      </c>
      <c r="AN189">
        <v>1549</v>
      </c>
      <c r="AO189">
        <v>1498</v>
      </c>
      <c r="AP189">
        <f>ifood_data[[#This Row],[MntTotal]]-ifood_data[[#This Row],[MntRegularProds]]</f>
        <v>51</v>
      </c>
      <c r="AQ189">
        <v>1</v>
      </c>
      <c r="AR189">
        <f>IF(SUM(ifood_data[[#This Row],[Kidhome]:[Teenhome]])&gt;0,1,0)</f>
        <v>0</v>
      </c>
      <c r="AS189" t="str">
        <f>IF(SUM(ifood_data[[#This Row],[Kidhome]:[Teenhome]])&gt;0,"Has Family","No Family")</f>
        <v>No Family</v>
      </c>
      <c r="AT189" t="str">
        <f>IF(ifood_data[[#This Row],[marital_Married]]=1,"Married", (IF(ifood_data[[#This Row],[marital_Single]]=1,"Single",(IF(ifood_data[[#This Row],[marital_Divorced]]=1,"Divorced",(IF(ifood_data[[#This Row],[marital_Together]]=1,"Living Together",(IF(ifood_data[[#This Row],[marital_Widow]]=1,"Widow","Other")))))))))</f>
        <v>Married</v>
      </c>
      <c r="AU189" t="str">
        <f>IF(ifood_data[[#This Row],[education_Basic]]=1,"High School",(IF(ifood_data[[#This Row],[education_Graduation]]=1,"Undergraduate Degree",(IF(SUM(AM189,AL189,AI189)&gt;0,"Master's Degree or Higher","Other")))))</f>
        <v>Undergraduate Degree</v>
      </c>
      <c r="AV189" t="str">
        <f>IF(ifood_data[[#All],[Income]]&gt;75000,"75K+",(IF(ifood_data[[#All],[Income]]&gt;50000,"50K-75K",(IF(ifood_data[[#All],[Income]]&gt;35000,"35K-50K","&lt;35K")))))</f>
        <v>75K+</v>
      </c>
      <c r="AW189" t="str">
        <f>IF(ifood_data[[#All],[Age]]&gt;60,"60+",(IF(ifood_data[[#All],[Age]]&gt;50,"50-60",(IF(ifood_data[[#All],[Age]]&gt;40,"40-50",(IF(ifood_data[[#All],[Age]]&gt;30,"30-40","&lt;30")))))))</f>
        <v>60+</v>
      </c>
      <c r="AX189">
        <f t="shared" si="8"/>
        <v>19</v>
      </c>
      <c r="AY189">
        <f t="shared" si="9"/>
        <v>1.9999999999999996</v>
      </c>
      <c r="AZ189">
        <f t="shared" si="10"/>
        <v>4</v>
      </c>
      <c r="BA189">
        <f t="shared" si="11"/>
        <v>9</v>
      </c>
      <c r="BB189">
        <f>SUM(ifood_data[[#This Row],[Recency Score]:[Monetary Score]])</f>
        <v>15</v>
      </c>
      <c r="BC189">
        <f>(_xlfn.PERCENTRANK.INC(ifood_data[[#All],[RFM]],ifood_data[[#This Row],[RFM]],1))*10</f>
        <v>4</v>
      </c>
      <c r="BD189" t="str">
        <f>VLOOKUP(ifood_data[[#This Row],[RFM Score]],'RFM Analysis'!$A$3:$B$14,2,FALSE)</f>
        <v>At Risk</v>
      </c>
      <c r="BE189">
        <f>'Regression Models'!$B$101+'Regression Models'!$B$102*ifood_data[[#This Row],[Income]]+'Regression Models'!$B$103*ifood_data[[#This Row],[Age]]+'Regression Models'!$B$104*ifood_data[[#This Row],[Family]]</f>
        <v>1323.4472634960632</v>
      </c>
      <c r="BF189" t="str">
        <f>IF(ifood_data[[#This Row],[AcceptedCmpOverall]]=1,"Campaign Respondent","Non-respondent")</f>
        <v>Campaign Respondent</v>
      </c>
    </row>
    <row r="190" spans="1:58" x14ac:dyDescent="0.35">
      <c r="A190">
        <v>48</v>
      </c>
      <c r="B190">
        <v>79143</v>
      </c>
      <c r="C190">
        <v>0</v>
      </c>
      <c r="D190">
        <v>0</v>
      </c>
      <c r="E190">
        <v>2</v>
      </c>
      <c r="F190">
        <v>650</v>
      </c>
      <c r="G190">
        <v>37</v>
      </c>
      <c r="H190">
        <v>780</v>
      </c>
      <c r="I190">
        <v>27</v>
      </c>
      <c r="J190">
        <v>167</v>
      </c>
      <c r="K190">
        <v>32</v>
      </c>
      <c r="L190">
        <v>1</v>
      </c>
      <c r="M190">
        <v>6</v>
      </c>
      <c r="N190">
        <v>9</v>
      </c>
      <c r="O190">
        <v>13</v>
      </c>
      <c r="P190">
        <v>3</v>
      </c>
      <c r="Q190">
        <v>0</v>
      </c>
      <c r="R190">
        <v>0</v>
      </c>
      <c r="S190">
        <v>0</v>
      </c>
      <c r="T190">
        <v>0</v>
      </c>
      <c r="U190">
        <v>0</v>
      </c>
      <c r="V190">
        <f>IF(SUM(ifood_data[[#This Row],[AcceptedCmp1]:[AcceptedCmp5]])&gt;0,1,0)</f>
        <v>0</v>
      </c>
      <c r="W190">
        <v>0</v>
      </c>
      <c r="X190">
        <v>3</v>
      </c>
      <c r="Y190">
        <v>11</v>
      </c>
      <c r="Z190">
        <v>0</v>
      </c>
      <c r="AA190">
        <v>56</v>
      </c>
      <c r="AB190">
        <v>2846</v>
      </c>
      <c r="AC190" s="28">
        <f>ifood_data[[#This Row],[Customer_Days]]/365</f>
        <v>7.7972602739726025</v>
      </c>
      <c r="AD190">
        <v>0</v>
      </c>
      <c r="AE190">
        <v>1</v>
      </c>
      <c r="AF190">
        <v>0</v>
      </c>
      <c r="AG190">
        <v>0</v>
      </c>
      <c r="AH190">
        <v>0</v>
      </c>
      <c r="AI190">
        <v>0</v>
      </c>
      <c r="AJ190">
        <v>0</v>
      </c>
      <c r="AK190">
        <v>0</v>
      </c>
      <c r="AL190">
        <v>1</v>
      </c>
      <c r="AM190">
        <v>0</v>
      </c>
      <c r="AN190">
        <v>1661</v>
      </c>
      <c r="AO190">
        <v>1629</v>
      </c>
      <c r="AP190">
        <f>ifood_data[[#This Row],[MntTotal]]-ifood_data[[#This Row],[MntRegularProds]]</f>
        <v>32</v>
      </c>
      <c r="AQ190">
        <v>0</v>
      </c>
      <c r="AR190">
        <f>IF(SUM(ifood_data[[#This Row],[Kidhome]:[Teenhome]])&gt;0,1,0)</f>
        <v>0</v>
      </c>
      <c r="AS190" t="str">
        <f>IF(SUM(ifood_data[[#This Row],[Kidhome]:[Teenhome]])&gt;0,"Has Family","No Family")</f>
        <v>No Family</v>
      </c>
      <c r="AT190" t="str">
        <f>IF(ifood_data[[#This Row],[marital_Married]]=1,"Married", (IF(ifood_data[[#This Row],[marital_Single]]=1,"Single",(IF(ifood_data[[#This Row],[marital_Divorced]]=1,"Divorced",(IF(ifood_data[[#This Row],[marital_Together]]=1,"Living Together",(IF(ifood_data[[#This Row],[marital_Widow]]=1,"Widow","Other")))))))))</f>
        <v>Married</v>
      </c>
      <c r="AU190" t="str">
        <f>IF(ifood_data[[#This Row],[education_Basic]]=1,"High School",(IF(ifood_data[[#This Row],[education_Graduation]]=1,"Undergraduate Degree",(IF(SUM(AM190,AL190,AI190)&gt;0,"Master's Degree or Higher","Other")))))</f>
        <v>Master's Degree or Higher</v>
      </c>
      <c r="AV190" t="str">
        <f>IF(ifood_data[[#All],[Income]]&gt;75000,"75K+",(IF(ifood_data[[#All],[Income]]&gt;50000,"50K-75K",(IF(ifood_data[[#All],[Income]]&gt;35000,"35K-50K","&lt;35K")))))</f>
        <v>75K+</v>
      </c>
      <c r="AW190" t="str">
        <f>IF(ifood_data[[#All],[Age]]&gt;60,"60+",(IF(ifood_data[[#All],[Age]]&gt;50,"50-60",(IF(ifood_data[[#All],[Age]]&gt;40,"40-50",(IF(ifood_data[[#All],[Age]]&gt;30,"30-40","&lt;30")))))))</f>
        <v>50-60</v>
      </c>
      <c r="AX190">
        <f t="shared" si="8"/>
        <v>32</v>
      </c>
      <c r="AY190">
        <f t="shared" si="9"/>
        <v>10</v>
      </c>
      <c r="AZ190">
        <f t="shared" si="10"/>
        <v>9</v>
      </c>
      <c r="BA190">
        <f t="shared" si="11"/>
        <v>9</v>
      </c>
      <c r="BB190">
        <f>SUM(ifood_data[[#This Row],[Recency Score]:[Monetary Score]])</f>
        <v>28</v>
      </c>
      <c r="BC190">
        <f>(_xlfn.PERCENTRANK.INC(ifood_data[[#All],[RFM]],ifood_data[[#This Row],[RFM]],1))*10</f>
        <v>9</v>
      </c>
      <c r="BD190" t="str">
        <f>VLOOKUP(ifood_data[[#This Row],[RFM Score]],'RFM Analysis'!$A$3:$B$14,2,FALSE)</f>
        <v>Top Customer</v>
      </c>
      <c r="BE190">
        <f>'Regression Models'!$B$101+'Regression Models'!$B$102*ifood_data[[#This Row],[Income]]+'Regression Models'!$B$103*ifood_data[[#This Row],[Age]]+'Regression Models'!$B$104*ifood_data[[#This Row],[Family]]</f>
        <v>1322.9724325200436</v>
      </c>
      <c r="BF190" t="str">
        <f>IF(ifood_data[[#This Row],[AcceptedCmpOverall]]=1,"Campaign Respondent","Non-respondent")</f>
        <v>Non-respondent</v>
      </c>
    </row>
    <row r="191" spans="1:58" x14ac:dyDescent="0.35">
      <c r="A191">
        <v>1094</v>
      </c>
      <c r="B191">
        <v>79410</v>
      </c>
      <c r="C191">
        <v>0</v>
      </c>
      <c r="D191">
        <v>0</v>
      </c>
      <c r="E191">
        <v>19</v>
      </c>
      <c r="F191">
        <v>658</v>
      </c>
      <c r="G191">
        <v>80</v>
      </c>
      <c r="H191">
        <v>483</v>
      </c>
      <c r="I191">
        <v>123</v>
      </c>
      <c r="J191">
        <v>13</v>
      </c>
      <c r="K191">
        <v>13</v>
      </c>
      <c r="L191">
        <v>1</v>
      </c>
      <c r="M191">
        <v>3</v>
      </c>
      <c r="N191">
        <v>2</v>
      </c>
      <c r="O191">
        <v>5</v>
      </c>
      <c r="P191">
        <v>1</v>
      </c>
      <c r="Q191">
        <v>0</v>
      </c>
      <c r="R191">
        <v>0</v>
      </c>
      <c r="S191">
        <v>0</v>
      </c>
      <c r="T191">
        <v>0</v>
      </c>
      <c r="U191">
        <v>0</v>
      </c>
      <c r="V191">
        <f>IF(SUM(ifood_data[[#This Row],[AcceptedCmp1]:[AcceptedCmp5]])&gt;0,1,0)</f>
        <v>0</v>
      </c>
      <c r="W191">
        <v>0</v>
      </c>
      <c r="X191">
        <v>3</v>
      </c>
      <c r="Y191">
        <v>11</v>
      </c>
      <c r="Z191">
        <v>0</v>
      </c>
      <c r="AA191">
        <v>59</v>
      </c>
      <c r="AB191">
        <v>2190</v>
      </c>
      <c r="AC191" s="28">
        <f>ifood_data[[#This Row],[Customer_Days]]/365</f>
        <v>6</v>
      </c>
      <c r="AD191">
        <v>0</v>
      </c>
      <c r="AE191">
        <v>1</v>
      </c>
      <c r="AF191">
        <v>0</v>
      </c>
      <c r="AG191">
        <v>0</v>
      </c>
      <c r="AH191">
        <v>0</v>
      </c>
      <c r="AI191">
        <v>0</v>
      </c>
      <c r="AJ191">
        <v>0</v>
      </c>
      <c r="AK191">
        <v>1</v>
      </c>
      <c r="AL191">
        <v>0</v>
      </c>
      <c r="AM191">
        <v>0</v>
      </c>
      <c r="AN191">
        <v>1357</v>
      </c>
      <c r="AO191">
        <v>1344</v>
      </c>
      <c r="AP191">
        <f>ifood_data[[#This Row],[MntTotal]]-ifood_data[[#This Row],[MntRegularProds]]</f>
        <v>13</v>
      </c>
      <c r="AQ191">
        <v>0</v>
      </c>
      <c r="AR191">
        <f>IF(SUM(ifood_data[[#This Row],[Kidhome]:[Teenhome]])&gt;0,1,0)</f>
        <v>0</v>
      </c>
      <c r="AS191" t="str">
        <f>IF(SUM(ifood_data[[#This Row],[Kidhome]:[Teenhome]])&gt;0,"Has Family","No Family")</f>
        <v>No Family</v>
      </c>
      <c r="AT191" t="str">
        <f>IF(ifood_data[[#This Row],[marital_Married]]=1,"Married", (IF(ifood_data[[#This Row],[marital_Single]]=1,"Single",(IF(ifood_data[[#This Row],[marital_Divorced]]=1,"Divorced",(IF(ifood_data[[#This Row],[marital_Together]]=1,"Living Together",(IF(ifood_data[[#This Row],[marital_Widow]]=1,"Widow","Other")))))))))</f>
        <v>Married</v>
      </c>
      <c r="AU191" t="str">
        <f>IF(ifood_data[[#This Row],[education_Basic]]=1,"High School",(IF(ifood_data[[#This Row],[education_Graduation]]=1,"Undergraduate Degree",(IF(SUM(AM191,AL191,AI191)&gt;0,"Master's Degree or Higher","Other")))))</f>
        <v>Undergraduate Degree</v>
      </c>
      <c r="AV191" t="str">
        <f>IF(ifood_data[[#All],[Income]]&gt;75000,"75K+",(IF(ifood_data[[#All],[Income]]&gt;50000,"50K-75K",(IF(ifood_data[[#All],[Income]]&gt;35000,"35K-50K","&lt;35K")))))</f>
        <v>75K+</v>
      </c>
      <c r="AW191" t="str">
        <f>IF(ifood_data[[#All],[Age]]&gt;60,"60+",(IF(ifood_data[[#All],[Age]]&gt;50,"50-60",(IF(ifood_data[[#All],[Age]]&gt;40,"40-50",(IF(ifood_data[[#All],[Age]]&gt;30,"30-40","&lt;30")))))))</f>
        <v>50-60</v>
      </c>
      <c r="AX191">
        <f t="shared" si="8"/>
        <v>12</v>
      </c>
      <c r="AY191">
        <f t="shared" si="9"/>
        <v>9</v>
      </c>
      <c r="AZ191">
        <f t="shared" si="10"/>
        <v>1</v>
      </c>
      <c r="BA191">
        <f t="shared" si="11"/>
        <v>8</v>
      </c>
      <c r="BB191">
        <f>SUM(ifood_data[[#This Row],[Recency Score]:[Monetary Score]])</f>
        <v>18</v>
      </c>
      <c r="BC191">
        <f>(_xlfn.PERCENTRANK.INC(ifood_data[[#All],[RFM]],ifood_data[[#This Row],[RFM]],1))*10</f>
        <v>6</v>
      </c>
      <c r="BD191" t="str">
        <f>VLOOKUP(ifood_data[[#This Row],[RFM Score]],'RFM Analysis'!$A$3:$B$14,2,FALSE)</f>
        <v>Promising</v>
      </c>
      <c r="BE191">
        <f>'Regression Models'!$B$101+'Regression Models'!$B$102*ifood_data[[#This Row],[Income]]+'Regression Models'!$B$103*ifood_data[[#This Row],[Age]]+'Regression Models'!$B$104*ifood_data[[#This Row],[Family]]</f>
        <v>1322.9069163777817</v>
      </c>
      <c r="BF191" t="str">
        <f>IF(ifood_data[[#This Row],[AcceptedCmpOverall]]=1,"Campaign Respondent","Non-respondent")</f>
        <v>Non-respondent</v>
      </c>
    </row>
    <row r="192" spans="1:58" x14ac:dyDescent="0.35">
      <c r="A192">
        <v>1124</v>
      </c>
      <c r="B192">
        <v>78579</v>
      </c>
      <c r="C192">
        <v>0</v>
      </c>
      <c r="D192">
        <v>0</v>
      </c>
      <c r="E192">
        <v>35</v>
      </c>
      <c r="F192">
        <v>816</v>
      </c>
      <c r="G192">
        <v>66</v>
      </c>
      <c r="H192">
        <v>549</v>
      </c>
      <c r="I192">
        <v>216</v>
      </c>
      <c r="J192">
        <v>66</v>
      </c>
      <c r="K192">
        <v>99</v>
      </c>
      <c r="L192">
        <v>1</v>
      </c>
      <c r="M192">
        <v>5</v>
      </c>
      <c r="N192">
        <v>6</v>
      </c>
      <c r="O192">
        <v>4</v>
      </c>
      <c r="P192">
        <v>3</v>
      </c>
      <c r="Q192">
        <v>0</v>
      </c>
      <c r="R192">
        <v>0</v>
      </c>
      <c r="S192">
        <v>0</v>
      </c>
      <c r="T192">
        <v>0</v>
      </c>
      <c r="U192">
        <v>0</v>
      </c>
      <c r="V192">
        <f>IF(SUM(ifood_data[[#This Row],[AcceptedCmp1]:[AcceptedCmp5]])&gt;0,1,0)</f>
        <v>0</v>
      </c>
      <c r="W192">
        <v>0</v>
      </c>
      <c r="X192">
        <v>3</v>
      </c>
      <c r="Y192">
        <v>11</v>
      </c>
      <c r="Z192">
        <v>1</v>
      </c>
      <c r="AA192">
        <v>50</v>
      </c>
      <c r="AB192">
        <v>2713</v>
      </c>
      <c r="AC192" s="28">
        <f>ifood_data[[#This Row],[Customer_Days]]/365</f>
        <v>7.4328767123287669</v>
      </c>
      <c r="AD192">
        <v>1</v>
      </c>
      <c r="AE192">
        <v>0</v>
      </c>
      <c r="AF192">
        <v>0</v>
      </c>
      <c r="AG192">
        <v>0</v>
      </c>
      <c r="AH192">
        <v>0</v>
      </c>
      <c r="AI192">
        <v>0</v>
      </c>
      <c r="AJ192">
        <v>0</v>
      </c>
      <c r="AK192">
        <v>0</v>
      </c>
      <c r="AL192">
        <v>1</v>
      </c>
      <c r="AM192">
        <v>0</v>
      </c>
      <c r="AN192">
        <v>1713</v>
      </c>
      <c r="AO192">
        <v>1614</v>
      </c>
      <c r="AP192">
        <f>ifood_data[[#This Row],[MntTotal]]-ifood_data[[#This Row],[MntRegularProds]]</f>
        <v>99</v>
      </c>
      <c r="AQ192">
        <v>0</v>
      </c>
      <c r="AR192">
        <f>IF(SUM(ifood_data[[#This Row],[Kidhome]:[Teenhome]])&gt;0,1,0)</f>
        <v>0</v>
      </c>
      <c r="AS192" t="str">
        <f>IF(SUM(ifood_data[[#This Row],[Kidhome]:[Teenhome]])&gt;0,"Has Family","No Family")</f>
        <v>No Family</v>
      </c>
      <c r="AT192" t="str">
        <f>IF(ifood_data[[#This Row],[marital_Married]]=1,"Married", (IF(ifood_data[[#This Row],[marital_Single]]=1,"Single",(IF(ifood_data[[#This Row],[marital_Divorced]]=1,"Divorced",(IF(ifood_data[[#This Row],[marital_Together]]=1,"Living Together",(IF(ifood_data[[#This Row],[marital_Widow]]=1,"Widow","Other")))))))))</f>
        <v>Divorced</v>
      </c>
      <c r="AU192" t="str">
        <f>IF(ifood_data[[#This Row],[education_Basic]]=1,"High School",(IF(ifood_data[[#This Row],[education_Graduation]]=1,"Undergraduate Degree",(IF(SUM(AM192,AL192,AI192)&gt;0,"Master's Degree or Higher","Other")))))</f>
        <v>Master's Degree or Higher</v>
      </c>
      <c r="AV192" t="str">
        <f>IF(ifood_data[[#All],[Income]]&gt;75000,"75K+",(IF(ifood_data[[#All],[Income]]&gt;50000,"50K-75K",(IF(ifood_data[[#All],[Income]]&gt;35000,"35K-50K","&lt;35K")))))</f>
        <v>75K+</v>
      </c>
      <c r="AW192" t="str">
        <f>IF(ifood_data[[#All],[Age]]&gt;60,"60+",(IF(ifood_data[[#All],[Age]]&gt;50,"50-60",(IF(ifood_data[[#All],[Age]]&gt;40,"40-50",(IF(ifood_data[[#All],[Age]]&gt;30,"30-40","&lt;30")))))))</f>
        <v>40-50</v>
      </c>
      <c r="AX192">
        <f t="shared" si="8"/>
        <v>19</v>
      </c>
      <c r="AY192">
        <f t="shared" si="9"/>
        <v>7</v>
      </c>
      <c r="AZ192">
        <f t="shared" si="10"/>
        <v>4</v>
      </c>
      <c r="BA192">
        <f t="shared" si="11"/>
        <v>9</v>
      </c>
      <c r="BB192">
        <f>SUM(ifood_data[[#This Row],[Recency Score]:[Monetary Score]])</f>
        <v>20</v>
      </c>
      <c r="BC192">
        <f>(_xlfn.PERCENTRANK.INC(ifood_data[[#All],[RFM]],ifood_data[[#This Row],[RFM]],1))*10</f>
        <v>7</v>
      </c>
      <c r="BD192" t="str">
        <f>VLOOKUP(ifood_data[[#This Row],[RFM Score]],'RFM Analysis'!$A$3:$B$14,2,FALSE)</f>
        <v>Loyal Customer</v>
      </c>
      <c r="BE192">
        <f>'Regression Models'!$B$101+'Regression Models'!$B$102*ifood_data[[#This Row],[Income]]+'Regression Models'!$B$103*ifood_data[[#This Row],[Age]]+'Regression Models'!$B$104*ifood_data[[#This Row],[Family]]</f>
        <v>1322.4918017602504</v>
      </c>
      <c r="BF192" t="str">
        <f>IF(ifood_data[[#This Row],[AcceptedCmpOverall]]=1,"Campaign Respondent","Non-respondent")</f>
        <v>Non-respondent</v>
      </c>
    </row>
    <row r="193" spans="1:58" x14ac:dyDescent="0.35">
      <c r="A193">
        <v>1608</v>
      </c>
      <c r="B193">
        <v>80360</v>
      </c>
      <c r="C193">
        <v>0</v>
      </c>
      <c r="D193">
        <v>0</v>
      </c>
      <c r="E193">
        <v>56</v>
      </c>
      <c r="F193">
        <v>1493</v>
      </c>
      <c r="G193">
        <v>86</v>
      </c>
      <c r="H193">
        <v>454</v>
      </c>
      <c r="I193">
        <v>112</v>
      </c>
      <c r="J193">
        <v>43</v>
      </c>
      <c r="K193">
        <v>43</v>
      </c>
      <c r="L193">
        <v>2</v>
      </c>
      <c r="M193">
        <v>4</v>
      </c>
      <c r="N193">
        <v>4</v>
      </c>
      <c r="O193">
        <v>5</v>
      </c>
      <c r="P193">
        <v>2</v>
      </c>
      <c r="Q193">
        <v>1</v>
      </c>
      <c r="R193">
        <v>0</v>
      </c>
      <c r="S193">
        <v>0</v>
      </c>
      <c r="T193">
        <v>1</v>
      </c>
      <c r="U193">
        <v>1</v>
      </c>
      <c r="V193">
        <f>IF(SUM(ifood_data[[#This Row],[AcceptedCmp1]:[AcceptedCmp5]])&gt;0,1,0)</f>
        <v>1</v>
      </c>
      <c r="W193">
        <v>0</v>
      </c>
      <c r="X193">
        <v>3</v>
      </c>
      <c r="Y193">
        <v>11</v>
      </c>
      <c r="Z193">
        <v>0</v>
      </c>
      <c r="AA193">
        <v>71</v>
      </c>
      <c r="AB193">
        <v>2642</v>
      </c>
      <c r="AC193" s="28">
        <f>ifood_data[[#This Row],[Customer_Days]]/365</f>
        <v>7.2383561643835614</v>
      </c>
      <c r="AD193">
        <v>0</v>
      </c>
      <c r="AE193">
        <v>1</v>
      </c>
      <c r="AF193">
        <v>0</v>
      </c>
      <c r="AG193">
        <v>0</v>
      </c>
      <c r="AH193">
        <v>0</v>
      </c>
      <c r="AI193">
        <v>0</v>
      </c>
      <c r="AJ193">
        <v>0</v>
      </c>
      <c r="AK193">
        <v>0</v>
      </c>
      <c r="AL193">
        <v>0</v>
      </c>
      <c r="AM193">
        <v>1</v>
      </c>
      <c r="AN193">
        <v>2188</v>
      </c>
      <c r="AO193">
        <v>2145</v>
      </c>
      <c r="AP193">
        <f>ifood_data[[#This Row],[MntTotal]]-ifood_data[[#This Row],[MntRegularProds]]</f>
        <v>43</v>
      </c>
      <c r="AQ193">
        <v>3</v>
      </c>
      <c r="AR193">
        <f>IF(SUM(ifood_data[[#This Row],[Kidhome]:[Teenhome]])&gt;0,1,0)</f>
        <v>0</v>
      </c>
      <c r="AS193" t="str">
        <f>IF(SUM(ifood_data[[#This Row],[Kidhome]:[Teenhome]])&gt;0,"Has Family","No Family")</f>
        <v>No Family</v>
      </c>
      <c r="AT193" t="str">
        <f>IF(ifood_data[[#This Row],[marital_Married]]=1,"Married", (IF(ifood_data[[#This Row],[marital_Single]]=1,"Single",(IF(ifood_data[[#This Row],[marital_Divorced]]=1,"Divorced",(IF(ifood_data[[#This Row],[marital_Together]]=1,"Living Together",(IF(ifood_data[[#This Row],[marital_Widow]]=1,"Widow","Other")))))))))</f>
        <v>Married</v>
      </c>
      <c r="AU193" t="str">
        <f>IF(ifood_data[[#This Row],[education_Basic]]=1,"High School",(IF(ifood_data[[#This Row],[education_Graduation]]=1,"Undergraduate Degree",(IF(SUM(AM193,AL193,AI193)&gt;0,"Master's Degree or Higher","Other")))))</f>
        <v>Master's Degree or Higher</v>
      </c>
      <c r="AV193" t="str">
        <f>IF(ifood_data[[#All],[Income]]&gt;75000,"75K+",(IF(ifood_data[[#All],[Income]]&gt;50000,"50K-75K",(IF(ifood_data[[#All],[Income]]&gt;35000,"35K-50K","&lt;35K")))))</f>
        <v>75K+</v>
      </c>
      <c r="AW193" t="str">
        <f>IF(ifood_data[[#All],[Age]]&gt;60,"60+",(IF(ifood_data[[#All],[Age]]&gt;50,"50-60",(IF(ifood_data[[#All],[Age]]&gt;40,"40-50",(IF(ifood_data[[#All],[Age]]&gt;30,"30-40","&lt;30")))))))</f>
        <v>60+</v>
      </c>
      <c r="AX193">
        <f t="shared" si="8"/>
        <v>17</v>
      </c>
      <c r="AY193">
        <f t="shared" si="9"/>
        <v>5</v>
      </c>
      <c r="AZ193">
        <f t="shared" si="10"/>
        <v>3</v>
      </c>
      <c r="BA193">
        <f t="shared" si="11"/>
        <v>9</v>
      </c>
      <c r="BB193">
        <f>SUM(ifood_data[[#This Row],[Recency Score]:[Monetary Score]])</f>
        <v>17</v>
      </c>
      <c r="BC193">
        <f>(_xlfn.PERCENTRANK.INC(ifood_data[[#All],[RFM]],ifood_data[[#This Row],[RFM]],1))*10</f>
        <v>6</v>
      </c>
      <c r="BD193" t="str">
        <f>VLOOKUP(ifood_data[[#This Row],[RFM Score]],'RFM Analysis'!$A$3:$B$14,2,FALSE)</f>
        <v>Promising</v>
      </c>
      <c r="BE193">
        <f>'Regression Models'!$B$101+'Regression Models'!$B$102*ifood_data[[#This Row],[Income]]+'Regression Models'!$B$103*ifood_data[[#This Row],[Age]]+'Regression Models'!$B$104*ifood_data[[#This Row],[Family]]</f>
        <v>1320.2389771677542</v>
      </c>
      <c r="BF193" t="str">
        <f>IF(ifood_data[[#This Row],[AcceptedCmpOverall]]=1,"Campaign Respondent","Non-respondent")</f>
        <v>Campaign Respondent</v>
      </c>
    </row>
    <row r="194" spans="1:58" x14ac:dyDescent="0.35">
      <c r="A194">
        <v>559</v>
      </c>
      <c r="B194">
        <v>79800</v>
      </c>
      <c r="C194">
        <v>0</v>
      </c>
      <c r="D194">
        <v>0</v>
      </c>
      <c r="E194">
        <v>65</v>
      </c>
      <c r="F194">
        <v>1060</v>
      </c>
      <c r="G194">
        <v>21</v>
      </c>
      <c r="H194">
        <v>530</v>
      </c>
      <c r="I194">
        <v>32</v>
      </c>
      <c r="J194">
        <v>0</v>
      </c>
      <c r="K194">
        <v>224</v>
      </c>
      <c r="L194">
        <v>1</v>
      </c>
      <c r="M194">
        <v>5</v>
      </c>
      <c r="N194">
        <v>11</v>
      </c>
      <c r="O194">
        <v>5</v>
      </c>
      <c r="P194">
        <v>3</v>
      </c>
      <c r="Q194">
        <v>1</v>
      </c>
      <c r="R194">
        <v>0</v>
      </c>
      <c r="S194">
        <v>1</v>
      </c>
      <c r="T194">
        <v>0</v>
      </c>
      <c r="U194">
        <v>1</v>
      </c>
      <c r="V194">
        <f>IF(SUM(ifood_data[[#This Row],[AcceptedCmp1]:[AcceptedCmp5]])&gt;0,1,0)</f>
        <v>1</v>
      </c>
      <c r="W194">
        <v>0</v>
      </c>
      <c r="X194">
        <v>3</v>
      </c>
      <c r="Y194">
        <v>11</v>
      </c>
      <c r="Z194">
        <v>1</v>
      </c>
      <c r="AA194">
        <v>65</v>
      </c>
      <c r="AB194">
        <v>2803</v>
      </c>
      <c r="AC194" s="28">
        <f>ifood_data[[#This Row],[Customer_Days]]/365</f>
        <v>7.6794520547945204</v>
      </c>
      <c r="AD194">
        <v>0</v>
      </c>
      <c r="AE194">
        <v>0</v>
      </c>
      <c r="AF194">
        <v>0</v>
      </c>
      <c r="AG194">
        <v>0</v>
      </c>
      <c r="AH194">
        <v>1</v>
      </c>
      <c r="AI194">
        <v>0</v>
      </c>
      <c r="AJ194">
        <v>0</v>
      </c>
      <c r="AK194">
        <v>1</v>
      </c>
      <c r="AL194">
        <v>0</v>
      </c>
      <c r="AM194">
        <v>0</v>
      </c>
      <c r="AN194">
        <v>1643</v>
      </c>
      <c r="AO194">
        <v>1419</v>
      </c>
      <c r="AP194">
        <f>ifood_data[[#This Row],[MntTotal]]-ifood_data[[#This Row],[MntRegularProds]]</f>
        <v>224</v>
      </c>
      <c r="AQ194">
        <v>3</v>
      </c>
      <c r="AR194">
        <f>IF(SUM(ifood_data[[#This Row],[Kidhome]:[Teenhome]])&gt;0,1,0)</f>
        <v>0</v>
      </c>
      <c r="AS194" t="str">
        <f>IF(SUM(ifood_data[[#This Row],[Kidhome]:[Teenhome]])&gt;0,"Has Family","No Family")</f>
        <v>No Family</v>
      </c>
      <c r="AT194" t="str">
        <f>IF(ifood_data[[#This Row],[marital_Married]]=1,"Married", (IF(ifood_data[[#This Row],[marital_Single]]=1,"Single",(IF(ifood_data[[#This Row],[marital_Divorced]]=1,"Divorced",(IF(ifood_data[[#This Row],[marital_Together]]=1,"Living Together",(IF(ifood_data[[#This Row],[marital_Widow]]=1,"Widow","Other")))))))))</f>
        <v>Widow</v>
      </c>
      <c r="AU194" t="str">
        <f>IF(ifood_data[[#This Row],[education_Basic]]=1,"High School",(IF(ifood_data[[#This Row],[education_Graduation]]=1,"Undergraduate Degree",(IF(SUM(AM194,AL194,AI194)&gt;0,"Master's Degree or Higher","Other")))))</f>
        <v>Undergraduate Degree</v>
      </c>
      <c r="AV194" t="str">
        <f>IF(ifood_data[[#All],[Income]]&gt;75000,"75K+",(IF(ifood_data[[#All],[Income]]&gt;50000,"50K-75K",(IF(ifood_data[[#All],[Income]]&gt;35000,"35K-50K","&lt;35K")))))</f>
        <v>75K+</v>
      </c>
      <c r="AW194" t="str">
        <f>IF(ifood_data[[#All],[Age]]&gt;60,"60+",(IF(ifood_data[[#All],[Age]]&gt;50,"50-60",(IF(ifood_data[[#All],[Age]]&gt;40,"40-50",(IF(ifood_data[[#All],[Age]]&gt;30,"30-40","&lt;30")))))))</f>
        <v>60+</v>
      </c>
      <c r="AX194">
        <f t="shared" ref="AX194:AX257" si="12">SUM(L194:P194)</f>
        <v>25</v>
      </c>
      <c r="AY194">
        <f t="shared" ref="AY194:AY257" si="13">(1-_xlfn.PERCENTRANK.INC($E$2:$E$2022,E194,1))*10</f>
        <v>4</v>
      </c>
      <c r="AZ194">
        <f t="shared" ref="AZ194:AZ257" si="14">_xlfn.PERCENTRANK.INC($AX$2:$AX$2022,AX194,1)*10</f>
        <v>7</v>
      </c>
      <c r="BA194">
        <f t="shared" ref="BA194:BA257" si="15">_xlfn.PERCENTRANK.INC($AN$2:$AN$2022,AN194,1)*10</f>
        <v>9</v>
      </c>
      <c r="BB194">
        <f>SUM(ifood_data[[#This Row],[Recency Score]:[Monetary Score]])</f>
        <v>20</v>
      </c>
      <c r="BC194">
        <f>(_xlfn.PERCENTRANK.INC(ifood_data[[#All],[RFM]],ifood_data[[#This Row],[RFM]],1))*10</f>
        <v>7</v>
      </c>
      <c r="BD194" t="str">
        <f>VLOOKUP(ifood_data[[#This Row],[RFM Score]],'RFM Analysis'!$A$3:$B$14,2,FALSE)</f>
        <v>Loyal Customer</v>
      </c>
      <c r="BE194">
        <f>'Regression Models'!$B$101+'Regression Models'!$B$102*ifood_data[[#This Row],[Income]]+'Regression Models'!$B$103*ifood_data[[#This Row],[Age]]+'Regression Models'!$B$104*ifood_data[[#This Row],[Family]]</f>
        <v>1319.8399014805366</v>
      </c>
      <c r="BF194" t="str">
        <f>IF(ifood_data[[#This Row],[AcceptedCmpOverall]]=1,"Campaign Respondent","Non-respondent")</f>
        <v>Campaign Respondent</v>
      </c>
    </row>
    <row r="195" spans="1:58" x14ac:dyDescent="0.35">
      <c r="A195">
        <v>877</v>
      </c>
      <c r="B195">
        <v>77583</v>
      </c>
      <c r="C195">
        <v>0</v>
      </c>
      <c r="D195">
        <v>0</v>
      </c>
      <c r="E195">
        <v>93</v>
      </c>
      <c r="F195">
        <v>372</v>
      </c>
      <c r="G195">
        <v>23</v>
      </c>
      <c r="H195">
        <v>384</v>
      </c>
      <c r="I195">
        <v>250</v>
      </c>
      <c r="J195">
        <v>12</v>
      </c>
      <c r="K195">
        <v>108</v>
      </c>
      <c r="L195">
        <v>1</v>
      </c>
      <c r="M195">
        <v>4</v>
      </c>
      <c r="N195">
        <v>5</v>
      </c>
      <c r="O195">
        <v>9</v>
      </c>
      <c r="P195">
        <v>2</v>
      </c>
      <c r="Q195">
        <v>1</v>
      </c>
      <c r="R195">
        <v>0</v>
      </c>
      <c r="S195">
        <v>0</v>
      </c>
      <c r="T195">
        <v>0</v>
      </c>
      <c r="U195">
        <v>0</v>
      </c>
      <c r="V195">
        <f>IF(SUM(ifood_data[[#This Row],[AcceptedCmp1]:[AcceptedCmp5]])&gt;0,1,0)</f>
        <v>1</v>
      </c>
      <c r="W195">
        <v>0</v>
      </c>
      <c r="X195">
        <v>3</v>
      </c>
      <c r="Y195">
        <v>11</v>
      </c>
      <c r="Z195">
        <v>0</v>
      </c>
      <c r="AA195">
        <v>42</v>
      </c>
      <c r="AB195">
        <v>2298</v>
      </c>
      <c r="AC195" s="28">
        <f>ifood_data[[#This Row],[Customer_Days]]/365</f>
        <v>6.2958904109589042</v>
      </c>
      <c r="AD195">
        <v>0</v>
      </c>
      <c r="AE195">
        <v>1</v>
      </c>
      <c r="AF195">
        <v>0</v>
      </c>
      <c r="AG195">
        <v>0</v>
      </c>
      <c r="AH195">
        <v>0</v>
      </c>
      <c r="AI195">
        <v>0</v>
      </c>
      <c r="AJ195">
        <v>0</v>
      </c>
      <c r="AK195">
        <v>1</v>
      </c>
      <c r="AL195">
        <v>0</v>
      </c>
      <c r="AM195">
        <v>0</v>
      </c>
      <c r="AN195">
        <v>1041</v>
      </c>
      <c r="AO195">
        <v>933</v>
      </c>
      <c r="AP195">
        <f>ifood_data[[#This Row],[MntTotal]]-ifood_data[[#This Row],[MntRegularProds]]</f>
        <v>108</v>
      </c>
      <c r="AQ195">
        <v>1</v>
      </c>
      <c r="AR195">
        <f>IF(SUM(ifood_data[[#This Row],[Kidhome]:[Teenhome]])&gt;0,1,0)</f>
        <v>0</v>
      </c>
      <c r="AS195" t="str">
        <f>IF(SUM(ifood_data[[#This Row],[Kidhome]:[Teenhome]])&gt;0,"Has Family","No Family")</f>
        <v>No Family</v>
      </c>
      <c r="AT195" t="str">
        <f>IF(ifood_data[[#This Row],[marital_Married]]=1,"Married", (IF(ifood_data[[#This Row],[marital_Single]]=1,"Single",(IF(ifood_data[[#This Row],[marital_Divorced]]=1,"Divorced",(IF(ifood_data[[#This Row],[marital_Together]]=1,"Living Together",(IF(ifood_data[[#This Row],[marital_Widow]]=1,"Widow","Other")))))))))</f>
        <v>Married</v>
      </c>
      <c r="AU195" t="str">
        <f>IF(ifood_data[[#This Row],[education_Basic]]=1,"High School",(IF(ifood_data[[#This Row],[education_Graduation]]=1,"Undergraduate Degree",(IF(SUM(AM195,AL195,AI195)&gt;0,"Master's Degree or Higher","Other")))))</f>
        <v>Undergraduate Degree</v>
      </c>
      <c r="AV195" t="str">
        <f>IF(ifood_data[[#All],[Income]]&gt;75000,"75K+",(IF(ifood_data[[#All],[Income]]&gt;50000,"50K-75K",(IF(ifood_data[[#All],[Income]]&gt;35000,"35K-50K","&lt;35K")))))</f>
        <v>75K+</v>
      </c>
      <c r="AW195" t="str">
        <f>IF(ifood_data[[#All],[Age]]&gt;60,"60+",(IF(ifood_data[[#All],[Age]]&gt;50,"50-60",(IF(ifood_data[[#All],[Age]]&gt;40,"40-50",(IF(ifood_data[[#All],[Age]]&gt;30,"30-40","&lt;30")))))))</f>
        <v>40-50</v>
      </c>
      <c r="AX195">
        <f t="shared" si="12"/>
        <v>21</v>
      </c>
      <c r="AY195">
        <f t="shared" si="13"/>
        <v>0.99999999999999978</v>
      </c>
      <c r="AZ195">
        <f t="shared" si="14"/>
        <v>5</v>
      </c>
      <c r="BA195">
        <f t="shared" si="15"/>
        <v>7</v>
      </c>
      <c r="BB195">
        <f>SUM(ifood_data[[#This Row],[Recency Score]:[Monetary Score]])</f>
        <v>13</v>
      </c>
      <c r="BC195">
        <f>(_xlfn.PERCENTRANK.INC(ifood_data[[#All],[RFM]],ifood_data[[#This Row],[RFM]],1))*10</f>
        <v>3</v>
      </c>
      <c r="BD195" t="str">
        <f>VLOOKUP(ifood_data[[#This Row],[RFM Score]],'RFM Analysis'!$A$3:$B$14,2,FALSE)</f>
        <v>At Risk</v>
      </c>
      <c r="BE195">
        <f>'Regression Models'!$B$101+'Regression Models'!$B$102*ifood_data[[#This Row],[Income]]+'Regression Models'!$B$103*ifood_data[[#This Row],[Age]]+'Regression Models'!$B$104*ifood_data[[#This Row],[Family]]</f>
        <v>1316.876101320081</v>
      </c>
      <c r="BF195" t="str">
        <f>IF(ifood_data[[#This Row],[AcceptedCmpOverall]]=1,"Campaign Respondent","Non-respondent")</f>
        <v>Campaign Respondent</v>
      </c>
    </row>
    <row r="196" spans="1:58" x14ac:dyDescent="0.35">
      <c r="A196">
        <v>460</v>
      </c>
      <c r="B196">
        <v>78825</v>
      </c>
      <c r="C196">
        <v>0</v>
      </c>
      <c r="D196">
        <v>0</v>
      </c>
      <c r="E196">
        <v>35</v>
      </c>
      <c r="F196">
        <v>483</v>
      </c>
      <c r="G196">
        <v>74</v>
      </c>
      <c r="H196">
        <v>114</v>
      </c>
      <c r="I196">
        <v>169</v>
      </c>
      <c r="J196">
        <v>37</v>
      </c>
      <c r="K196">
        <v>18</v>
      </c>
      <c r="L196">
        <v>1</v>
      </c>
      <c r="M196">
        <v>5</v>
      </c>
      <c r="N196">
        <v>10</v>
      </c>
      <c r="O196">
        <v>13</v>
      </c>
      <c r="P196">
        <v>3</v>
      </c>
      <c r="Q196">
        <v>0</v>
      </c>
      <c r="R196">
        <v>0</v>
      </c>
      <c r="S196">
        <v>0</v>
      </c>
      <c r="T196">
        <v>0</v>
      </c>
      <c r="U196">
        <v>0</v>
      </c>
      <c r="V196">
        <f>IF(SUM(ifood_data[[#This Row],[AcceptedCmp1]:[AcceptedCmp5]])&gt;0,1,0)</f>
        <v>0</v>
      </c>
      <c r="W196">
        <v>0</v>
      </c>
      <c r="X196">
        <v>3</v>
      </c>
      <c r="Y196">
        <v>11</v>
      </c>
      <c r="Z196">
        <v>1</v>
      </c>
      <c r="AA196">
        <v>56</v>
      </c>
      <c r="AB196">
        <v>2812</v>
      </c>
      <c r="AC196" s="28">
        <f>ifood_data[[#This Row],[Customer_Days]]/365</f>
        <v>7.7041095890410958</v>
      </c>
      <c r="AD196">
        <v>1</v>
      </c>
      <c r="AE196">
        <v>0</v>
      </c>
      <c r="AF196">
        <v>0</v>
      </c>
      <c r="AG196">
        <v>0</v>
      </c>
      <c r="AH196">
        <v>0</v>
      </c>
      <c r="AI196">
        <v>0</v>
      </c>
      <c r="AJ196">
        <v>0</v>
      </c>
      <c r="AK196">
        <v>0</v>
      </c>
      <c r="AL196">
        <v>0</v>
      </c>
      <c r="AM196">
        <v>1</v>
      </c>
      <c r="AN196">
        <v>877</v>
      </c>
      <c r="AO196">
        <v>859</v>
      </c>
      <c r="AP196">
        <f>ifood_data[[#This Row],[MntTotal]]-ifood_data[[#This Row],[MntRegularProds]]</f>
        <v>18</v>
      </c>
      <c r="AQ196">
        <v>0</v>
      </c>
      <c r="AR196">
        <f>IF(SUM(ifood_data[[#This Row],[Kidhome]:[Teenhome]])&gt;0,1,0)</f>
        <v>0</v>
      </c>
      <c r="AS196" t="str">
        <f>IF(SUM(ifood_data[[#This Row],[Kidhome]:[Teenhome]])&gt;0,"Has Family","No Family")</f>
        <v>No Family</v>
      </c>
      <c r="AT196" t="str">
        <f>IF(ifood_data[[#This Row],[marital_Married]]=1,"Married", (IF(ifood_data[[#This Row],[marital_Single]]=1,"Single",(IF(ifood_data[[#This Row],[marital_Divorced]]=1,"Divorced",(IF(ifood_data[[#This Row],[marital_Together]]=1,"Living Together",(IF(ifood_data[[#This Row],[marital_Widow]]=1,"Widow","Other")))))))))</f>
        <v>Divorced</v>
      </c>
      <c r="AU196" t="str">
        <f>IF(ifood_data[[#This Row],[education_Basic]]=1,"High School",(IF(ifood_data[[#This Row],[education_Graduation]]=1,"Undergraduate Degree",(IF(SUM(AM196,AL196,AI196)&gt;0,"Master's Degree or Higher","Other")))))</f>
        <v>Master's Degree or Higher</v>
      </c>
      <c r="AV196" t="str">
        <f>IF(ifood_data[[#All],[Income]]&gt;75000,"75K+",(IF(ifood_data[[#All],[Income]]&gt;50000,"50K-75K",(IF(ifood_data[[#All],[Income]]&gt;35000,"35K-50K","&lt;35K")))))</f>
        <v>75K+</v>
      </c>
      <c r="AW196" t="str">
        <f>IF(ifood_data[[#All],[Age]]&gt;60,"60+",(IF(ifood_data[[#All],[Age]]&gt;50,"50-60",(IF(ifood_data[[#All],[Age]]&gt;40,"40-50",(IF(ifood_data[[#All],[Age]]&gt;30,"30-40","&lt;30")))))))</f>
        <v>50-60</v>
      </c>
      <c r="AX196">
        <f t="shared" si="12"/>
        <v>32</v>
      </c>
      <c r="AY196">
        <f t="shared" si="13"/>
        <v>7</v>
      </c>
      <c r="AZ196">
        <f t="shared" si="14"/>
        <v>9</v>
      </c>
      <c r="BA196">
        <f t="shared" si="15"/>
        <v>7</v>
      </c>
      <c r="BB196">
        <f>SUM(ifood_data[[#This Row],[Recency Score]:[Monetary Score]])</f>
        <v>23</v>
      </c>
      <c r="BC196">
        <f>(_xlfn.PERCENTRANK.INC(ifood_data[[#All],[RFM]],ifood_data[[#This Row],[RFM]],1))*10</f>
        <v>8</v>
      </c>
      <c r="BD196" t="str">
        <f>VLOOKUP(ifood_data[[#This Row],[RFM Score]],'RFM Analysis'!$A$3:$B$14,2,FALSE)</f>
        <v>Loyal Customer</v>
      </c>
      <c r="BE196">
        <f>'Regression Models'!$B$101+'Regression Models'!$B$102*ifood_data[[#This Row],[Income]]+'Regression Models'!$B$103*ifood_data[[#This Row],[Age]]+'Regression Models'!$B$104*ifood_data[[#This Row],[Family]]</f>
        <v>1316.4888042502839</v>
      </c>
      <c r="BF196" t="str">
        <f>IF(ifood_data[[#This Row],[AcceptedCmpOverall]]=1,"Campaign Respondent","Non-respondent")</f>
        <v>Non-respondent</v>
      </c>
    </row>
    <row r="197" spans="1:58" x14ac:dyDescent="0.35">
      <c r="A197">
        <v>1130</v>
      </c>
      <c r="B197">
        <v>78075</v>
      </c>
      <c r="C197">
        <v>0</v>
      </c>
      <c r="D197">
        <v>0</v>
      </c>
      <c r="E197">
        <v>72</v>
      </c>
      <c r="F197">
        <v>572</v>
      </c>
      <c r="G197">
        <v>8</v>
      </c>
      <c r="H197">
        <v>259</v>
      </c>
      <c r="I197">
        <v>34</v>
      </c>
      <c r="J197">
        <v>35</v>
      </c>
      <c r="K197">
        <v>80</v>
      </c>
      <c r="L197">
        <v>1</v>
      </c>
      <c r="M197">
        <v>3</v>
      </c>
      <c r="N197">
        <v>5</v>
      </c>
      <c r="O197">
        <v>5</v>
      </c>
      <c r="P197">
        <v>1</v>
      </c>
      <c r="Q197">
        <v>0</v>
      </c>
      <c r="R197">
        <v>0</v>
      </c>
      <c r="S197">
        <v>0</v>
      </c>
      <c r="T197">
        <v>0</v>
      </c>
      <c r="U197">
        <v>0</v>
      </c>
      <c r="V197">
        <f>IF(SUM(ifood_data[[#This Row],[AcceptedCmp1]:[AcceptedCmp5]])&gt;0,1,0)</f>
        <v>0</v>
      </c>
      <c r="W197">
        <v>0</v>
      </c>
      <c r="X197">
        <v>3</v>
      </c>
      <c r="Y197">
        <v>11</v>
      </c>
      <c r="Z197">
        <v>0</v>
      </c>
      <c r="AA197">
        <v>48</v>
      </c>
      <c r="AB197">
        <v>2244</v>
      </c>
      <c r="AC197" s="28">
        <f>ifood_data[[#This Row],[Customer_Days]]/365</f>
        <v>6.1479452054794521</v>
      </c>
      <c r="AD197">
        <v>0</v>
      </c>
      <c r="AE197">
        <v>1</v>
      </c>
      <c r="AF197">
        <v>0</v>
      </c>
      <c r="AG197">
        <v>0</v>
      </c>
      <c r="AH197">
        <v>0</v>
      </c>
      <c r="AI197">
        <v>0</v>
      </c>
      <c r="AJ197">
        <v>0</v>
      </c>
      <c r="AK197">
        <v>0</v>
      </c>
      <c r="AL197">
        <v>0</v>
      </c>
      <c r="AM197">
        <v>1</v>
      </c>
      <c r="AN197">
        <v>908</v>
      </c>
      <c r="AO197">
        <v>828</v>
      </c>
      <c r="AP197">
        <f>ifood_data[[#This Row],[MntTotal]]-ifood_data[[#This Row],[MntRegularProds]]</f>
        <v>80</v>
      </c>
      <c r="AQ197">
        <v>0</v>
      </c>
      <c r="AR197">
        <f>IF(SUM(ifood_data[[#This Row],[Kidhome]:[Teenhome]])&gt;0,1,0)</f>
        <v>0</v>
      </c>
      <c r="AS197" t="str">
        <f>IF(SUM(ifood_data[[#This Row],[Kidhome]:[Teenhome]])&gt;0,"Has Family","No Family")</f>
        <v>No Family</v>
      </c>
      <c r="AT197" t="str">
        <f>IF(ifood_data[[#This Row],[marital_Married]]=1,"Married", (IF(ifood_data[[#This Row],[marital_Single]]=1,"Single",(IF(ifood_data[[#This Row],[marital_Divorced]]=1,"Divorced",(IF(ifood_data[[#This Row],[marital_Together]]=1,"Living Together",(IF(ifood_data[[#This Row],[marital_Widow]]=1,"Widow","Other")))))))))</f>
        <v>Married</v>
      </c>
      <c r="AU197" t="str">
        <f>IF(ifood_data[[#This Row],[education_Basic]]=1,"High School",(IF(ifood_data[[#This Row],[education_Graduation]]=1,"Undergraduate Degree",(IF(SUM(AM197,AL197,AI197)&gt;0,"Master's Degree or Higher","Other")))))</f>
        <v>Master's Degree or Higher</v>
      </c>
      <c r="AV197" t="str">
        <f>IF(ifood_data[[#All],[Income]]&gt;75000,"75K+",(IF(ifood_data[[#All],[Income]]&gt;50000,"50K-75K",(IF(ifood_data[[#All],[Income]]&gt;35000,"35K-50K","&lt;35K")))))</f>
        <v>75K+</v>
      </c>
      <c r="AW197" t="str">
        <f>IF(ifood_data[[#All],[Age]]&gt;60,"60+",(IF(ifood_data[[#All],[Age]]&gt;50,"50-60",(IF(ifood_data[[#All],[Age]]&gt;40,"40-50",(IF(ifood_data[[#All],[Age]]&gt;30,"30-40","&lt;30")))))))</f>
        <v>40-50</v>
      </c>
      <c r="AX197">
        <f t="shared" si="12"/>
        <v>15</v>
      </c>
      <c r="AY197">
        <f t="shared" si="13"/>
        <v>3.0000000000000004</v>
      </c>
      <c r="AZ197">
        <f t="shared" si="14"/>
        <v>2</v>
      </c>
      <c r="BA197">
        <f t="shared" si="15"/>
        <v>7</v>
      </c>
      <c r="BB197">
        <f>SUM(ifood_data[[#This Row],[Recency Score]:[Monetary Score]])</f>
        <v>12</v>
      </c>
      <c r="BC197">
        <f>(_xlfn.PERCENTRANK.INC(ifood_data[[#All],[RFM]],ifood_data[[#This Row],[RFM]],1))*10</f>
        <v>3</v>
      </c>
      <c r="BD197" t="str">
        <f>VLOOKUP(ifood_data[[#This Row],[RFM Score]],'RFM Analysis'!$A$3:$B$14,2,FALSE)</f>
        <v>At Risk</v>
      </c>
      <c r="BE197">
        <f>'Regression Models'!$B$101+'Regression Models'!$B$102*ifood_data[[#This Row],[Income]]+'Regression Models'!$B$103*ifood_data[[#This Row],[Age]]+'Regression Models'!$B$104*ifood_data[[#This Row],[Family]]</f>
        <v>1315.8887407735137</v>
      </c>
      <c r="BF197" t="str">
        <f>IF(ifood_data[[#This Row],[AcceptedCmpOverall]]=1,"Campaign Respondent","Non-respondent")</f>
        <v>Non-respondent</v>
      </c>
    </row>
    <row r="198" spans="1:58" x14ac:dyDescent="0.35">
      <c r="A198">
        <v>1319</v>
      </c>
      <c r="B198">
        <v>80589</v>
      </c>
      <c r="C198">
        <v>0</v>
      </c>
      <c r="D198">
        <v>0</v>
      </c>
      <c r="E198">
        <v>25</v>
      </c>
      <c r="F198">
        <v>507</v>
      </c>
      <c r="G198">
        <v>93</v>
      </c>
      <c r="H198">
        <v>520</v>
      </c>
      <c r="I198">
        <v>242</v>
      </c>
      <c r="J198">
        <v>40</v>
      </c>
      <c r="K198">
        <v>26</v>
      </c>
      <c r="L198">
        <v>1</v>
      </c>
      <c r="M198">
        <v>5</v>
      </c>
      <c r="N198">
        <v>10</v>
      </c>
      <c r="O198">
        <v>5</v>
      </c>
      <c r="P198">
        <v>1</v>
      </c>
      <c r="Q198">
        <v>1</v>
      </c>
      <c r="R198">
        <v>0</v>
      </c>
      <c r="S198">
        <v>0</v>
      </c>
      <c r="T198">
        <v>0</v>
      </c>
      <c r="U198">
        <v>0</v>
      </c>
      <c r="V198">
        <f>IF(SUM(ifood_data[[#This Row],[AcceptedCmp1]:[AcceptedCmp5]])&gt;0,1,0)</f>
        <v>1</v>
      </c>
      <c r="W198">
        <v>0</v>
      </c>
      <c r="X198">
        <v>3</v>
      </c>
      <c r="Y198">
        <v>11</v>
      </c>
      <c r="Z198">
        <v>1</v>
      </c>
      <c r="AA198">
        <v>76</v>
      </c>
      <c r="AB198">
        <v>2317</v>
      </c>
      <c r="AC198" s="28">
        <f>ifood_data[[#This Row],[Customer_Days]]/365</f>
        <v>6.3479452054794523</v>
      </c>
      <c r="AD198">
        <v>0</v>
      </c>
      <c r="AE198">
        <v>1</v>
      </c>
      <c r="AF198">
        <v>0</v>
      </c>
      <c r="AG198">
        <v>0</v>
      </c>
      <c r="AH198">
        <v>0</v>
      </c>
      <c r="AI198">
        <v>0</v>
      </c>
      <c r="AJ198">
        <v>0</v>
      </c>
      <c r="AK198">
        <v>1</v>
      </c>
      <c r="AL198">
        <v>0</v>
      </c>
      <c r="AM198">
        <v>0</v>
      </c>
      <c r="AN198">
        <v>1402</v>
      </c>
      <c r="AO198">
        <v>1376</v>
      </c>
      <c r="AP198">
        <f>ifood_data[[#This Row],[MntTotal]]-ifood_data[[#This Row],[MntRegularProds]]</f>
        <v>26</v>
      </c>
      <c r="AQ198">
        <v>1</v>
      </c>
      <c r="AR198">
        <f>IF(SUM(ifood_data[[#This Row],[Kidhome]:[Teenhome]])&gt;0,1,0)</f>
        <v>0</v>
      </c>
      <c r="AS198" t="str">
        <f>IF(SUM(ifood_data[[#This Row],[Kidhome]:[Teenhome]])&gt;0,"Has Family","No Family")</f>
        <v>No Family</v>
      </c>
      <c r="AT198" t="str">
        <f>IF(ifood_data[[#This Row],[marital_Married]]=1,"Married", (IF(ifood_data[[#This Row],[marital_Single]]=1,"Single",(IF(ifood_data[[#This Row],[marital_Divorced]]=1,"Divorced",(IF(ifood_data[[#This Row],[marital_Together]]=1,"Living Together",(IF(ifood_data[[#This Row],[marital_Widow]]=1,"Widow","Other")))))))))</f>
        <v>Married</v>
      </c>
      <c r="AU198" t="str">
        <f>IF(ifood_data[[#This Row],[education_Basic]]=1,"High School",(IF(ifood_data[[#This Row],[education_Graduation]]=1,"Undergraduate Degree",(IF(SUM(AM198,AL198,AI198)&gt;0,"Master's Degree or Higher","Other")))))</f>
        <v>Undergraduate Degree</v>
      </c>
      <c r="AV198" t="str">
        <f>IF(ifood_data[[#All],[Income]]&gt;75000,"75K+",(IF(ifood_data[[#All],[Income]]&gt;50000,"50K-75K",(IF(ifood_data[[#All],[Income]]&gt;35000,"35K-50K","&lt;35K")))))</f>
        <v>75K+</v>
      </c>
      <c r="AW198" t="str">
        <f>IF(ifood_data[[#All],[Age]]&gt;60,"60+",(IF(ifood_data[[#All],[Age]]&gt;50,"50-60",(IF(ifood_data[[#All],[Age]]&gt;40,"40-50",(IF(ifood_data[[#All],[Age]]&gt;30,"30-40","&lt;30")))))))</f>
        <v>60+</v>
      </c>
      <c r="AX198">
        <f t="shared" si="12"/>
        <v>22</v>
      </c>
      <c r="AY198">
        <f t="shared" si="13"/>
        <v>8</v>
      </c>
      <c r="AZ198">
        <f t="shared" si="14"/>
        <v>5</v>
      </c>
      <c r="BA198">
        <f t="shared" si="15"/>
        <v>8</v>
      </c>
      <c r="BB198">
        <f>SUM(ifood_data[[#This Row],[Recency Score]:[Monetary Score]])</f>
        <v>21</v>
      </c>
      <c r="BC198">
        <f>(_xlfn.PERCENTRANK.INC(ifood_data[[#All],[RFM]],ifood_data[[#This Row],[RFM]],1))*10</f>
        <v>8</v>
      </c>
      <c r="BD198" t="str">
        <f>VLOOKUP(ifood_data[[#This Row],[RFM Score]],'RFM Analysis'!$A$3:$B$14,2,FALSE)</f>
        <v>Loyal Customer</v>
      </c>
      <c r="BE198">
        <f>'Regression Models'!$B$101+'Regression Models'!$B$102*ifood_data[[#This Row],[Income]]+'Regression Models'!$B$103*ifood_data[[#This Row],[Age]]+'Regression Models'!$B$104*ifood_data[[#This Row],[Family]]</f>
        <v>1315.7258096782359</v>
      </c>
      <c r="BF198" t="str">
        <f>IF(ifood_data[[#This Row],[AcceptedCmpOverall]]=1,"Campaign Respondent","Non-respondent")</f>
        <v>Campaign Respondent</v>
      </c>
    </row>
    <row r="199" spans="1:58" x14ac:dyDescent="0.35">
      <c r="A199">
        <v>1023</v>
      </c>
      <c r="B199">
        <v>79456</v>
      </c>
      <c r="C199">
        <v>0</v>
      </c>
      <c r="D199">
        <v>0</v>
      </c>
      <c r="E199">
        <v>12</v>
      </c>
      <c r="F199">
        <v>565</v>
      </c>
      <c r="G199">
        <v>42</v>
      </c>
      <c r="H199">
        <v>548</v>
      </c>
      <c r="I199">
        <v>64</v>
      </c>
      <c r="J199">
        <v>83</v>
      </c>
      <c r="K199">
        <v>99</v>
      </c>
      <c r="L199">
        <v>1</v>
      </c>
      <c r="M199">
        <v>5</v>
      </c>
      <c r="N199">
        <v>6</v>
      </c>
      <c r="O199">
        <v>4</v>
      </c>
      <c r="P199">
        <v>3</v>
      </c>
      <c r="Q199">
        <v>0</v>
      </c>
      <c r="R199">
        <v>0</v>
      </c>
      <c r="S199">
        <v>0</v>
      </c>
      <c r="T199">
        <v>0</v>
      </c>
      <c r="U199">
        <v>0</v>
      </c>
      <c r="V199">
        <f>IF(SUM(ifood_data[[#This Row],[AcceptedCmp1]:[AcceptedCmp5]])&gt;0,1,0)</f>
        <v>0</v>
      </c>
      <c r="W199">
        <v>0</v>
      </c>
      <c r="X199">
        <v>3</v>
      </c>
      <c r="Y199">
        <v>11</v>
      </c>
      <c r="Z199">
        <v>1</v>
      </c>
      <c r="AA199">
        <v>64</v>
      </c>
      <c r="AB199">
        <v>2835</v>
      </c>
      <c r="AC199" s="28">
        <f>ifood_data[[#This Row],[Customer_Days]]/365</f>
        <v>7.7671232876712333</v>
      </c>
      <c r="AD199">
        <v>0</v>
      </c>
      <c r="AE199">
        <v>1</v>
      </c>
      <c r="AF199">
        <v>0</v>
      </c>
      <c r="AG199">
        <v>0</v>
      </c>
      <c r="AH199">
        <v>0</v>
      </c>
      <c r="AI199">
        <v>0</v>
      </c>
      <c r="AJ199">
        <v>0</v>
      </c>
      <c r="AK199">
        <v>1</v>
      </c>
      <c r="AL199">
        <v>0</v>
      </c>
      <c r="AM199">
        <v>0</v>
      </c>
      <c r="AN199">
        <v>1302</v>
      </c>
      <c r="AO199">
        <v>1203</v>
      </c>
      <c r="AP199">
        <f>ifood_data[[#This Row],[MntTotal]]-ifood_data[[#This Row],[MntRegularProds]]</f>
        <v>99</v>
      </c>
      <c r="AQ199">
        <v>0</v>
      </c>
      <c r="AR199">
        <f>IF(SUM(ifood_data[[#This Row],[Kidhome]:[Teenhome]])&gt;0,1,0)</f>
        <v>0</v>
      </c>
      <c r="AS199" t="str">
        <f>IF(SUM(ifood_data[[#This Row],[Kidhome]:[Teenhome]])&gt;0,"Has Family","No Family")</f>
        <v>No Family</v>
      </c>
      <c r="AT199" t="str">
        <f>IF(ifood_data[[#This Row],[marital_Married]]=1,"Married", (IF(ifood_data[[#This Row],[marital_Single]]=1,"Single",(IF(ifood_data[[#This Row],[marital_Divorced]]=1,"Divorced",(IF(ifood_data[[#This Row],[marital_Together]]=1,"Living Together",(IF(ifood_data[[#This Row],[marital_Widow]]=1,"Widow","Other")))))))))</f>
        <v>Married</v>
      </c>
      <c r="AU199" t="str">
        <f>IF(ifood_data[[#This Row],[education_Basic]]=1,"High School",(IF(ifood_data[[#This Row],[education_Graduation]]=1,"Undergraduate Degree",(IF(SUM(AM199,AL199,AI199)&gt;0,"Master's Degree or Higher","Other")))))</f>
        <v>Undergraduate Degree</v>
      </c>
      <c r="AV199" t="str">
        <f>IF(ifood_data[[#All],[Income]]&gt;75000,"75K+",(IF(ifood_data[[#All],[Income]]&gt;50000,"50K-75K",(IF(ifood_data[[#All],[Income]]&gt;35000,"35K-50K","&lt;35K")))))</f>
        <v>75K+</v>
      </c>
      <c r="AW199" t="str">
        <f>IF(ifood_data[[#All],[Age]]&gt;60,"60+",(IF(ifood_data[[#All],[Age]]&gt;50,"50-60",(IF(ifood_data[[#All],[Age]]&gt;40,"40-50",(IF(ifood_data[[#All],[Age]]&gt;30,"30-40","&lt;30")))))))</f>
        <v>60+</v>
      </c>
      <c r="AX199">
        <f t="shared" si="12"/>
        <v>19</v>
      </c>
      <c r="AY199">
        <f t="shared" si="13"/>
        <v>9</v>
      </c>
      <c r="AZ199">
        <f t="shared" si="14"/>
        <v>4</v>
      </c>
      <c r="BA199">
        <f t="shared" si="15"/>
        <v>8</v>
      </c>
      <c r="BB199">
        <f>SUM(ifood_data[[#This Row],[Recency Score]:[Monetary Score]])</f>
        <v>21</v>
      </c>
      <c r="BC199">
        <f>(_xlfn.PERCENTRANK.INC(ifood_data[[#All],[RFM]],ifood_data[[#This Row],[RFM]],1))*10</f>
        <v>8</v>
      </c>
      <c r="BD199" t="str">
        <f>VLOOKUP(ifood_data[[#This Row],[RFM Score]],'RFM Analysis'!$A$3:$B$14,2,FALSE)</f>
        <v>Loyal Customer</v>
      </c>
      <c r="BE199">
        <f>'Regression Models'!$B$101+'Regression Models'!$B$102*ifood_data[[#This Row],[Income]]+'Regression Models'!$B$103*ifood_data[[#This Row],[Age]]+'Regression Models'!$B$104*ifood_data[[#This Row],[Family]]</f>
        <v>1314.6626043179297</v>
      </c>
      <c r="BF199" t="str">
        <f>IF(ifood_data[[#This Row],[AcceptedCmpOverall]]=1,"Campaign Respondent","Non-respondent")</f>
        <v>Non-respondent</v>
      </c>
    </row>
    <row r="200" spans="1:58" x14ac:dyDescent="0.35">
      <c r="A200">
        <v>1346</v>
      </c>
      <c r="B200">
        <v>78041</v>
      </c>
      <c r="C200">
        <v>0</v>
      </c>
      <c r="D200">
        <v>0</v>
      </c>
      <c r="E200">
        <v>93</v>
      </c>
      <c r="F200">
        <v>482</v>
      </c>
      <c r="G200">
        <v>35</v>
      </c>
      <c r="H200">
        <v>553</v>
      </c>
      <c r="I200">
        <v>72</v>
      </c>
      <c r="J200">
        <v>160</v>
      </c>
      <c r="K200">
        <v>17</v>
      </c>
      <c r="L200">
        <v>1</v>
      </c>
      <c r="M200">
        <v>4</v>
      </c>
      <c r="N200">
        <v>4</v>
      </c>
      <c r="O200">
        <v>9</v>
      </c>
      <c r="P200">
        <v>2</v>
      </c>
      <c r="Q200">
        <v>0</v>
      </c>
      <c r="R200">
        <v>0</v>
      </c>
      <c r="S200">
        <v>0</v>
      </c>
      <c r="T200">
        <v>0</v>
      </c>
      <c r="U200">
        <v>0</v>
      </c>
      <c r="V200">
        <f>IF(SUM(ifood_data[[#This Row],[AcceptedCmp1]:[AcceptedCmp5]])&gt;0,1,0)</f>
        <v>0</v>
      </c>
      <c r="W200">
        <v>0</v>
      </c>
      <c r="X200">
        <v>3</v>
      </c>
      <c r="Y200">
        <v>11</v>
      </c>
      <c r="Z200">
        <v>0</v>
      </c>
      <c r="AA200">
        <v>49</v>
      </c>
      <c r="AB200">
        <v>2719</v>
      </c>
      <c r="AC200" s="28">
        <f>ifood_data[[#This Row],[Customer_Days]]/365</f>
        <v>7.4493150684931511</v>
      </c>
      <c r="AD200">
        <v>0</v>
      </c>
      <c r="AE200">
        <v>1</v>
      </c>
      <c r="AF200">
        <v>0</v>
      </c>
      <c r="AG200">
        <v>0</v>
      </c>
      <c r="AH200">
        <v>0</v>
      </c>
      <c r="AI200">
        <v>1</v>
      </c>
      <c r="AJ200">
        <v>0</v>
      </c>
      <c r="AK200">
        <v>0</v>
      </c>
      <c r="AL200">
        <v>0</v>
      </c>
      <c r="AM200">
        <v>0</v>
      </c>
      <c r="AN200">
        <v>1302</v>
      </c>
      <c r="AO200">
        <v>1285</v>
      </c>
      <c r="AP200">
        <f>ifood_data[[#This Row],[MntTotal]]-ifood_data[[#This Row],[MntRegularProds]]</f>
        <v>17</v>
      </c>
      <c r="AQ200">
        <v>0</v>
      </c>
      <c r="AR200">
        <f>IF(SUM(ifood_data[[#This Row],[Kidhome]:[Teenhome]])&gt;0,1,0)</f>
        <v>0</v>
      </c>
      <c r="AS200" t="str">
        <f>IF(SUM(ifood_data[[#This Row],[Kidhome]:[Teenhome]])&gt;0,"Has Family","No Family")</f>
        <v>No Family</v>
      </c>
      <c r="AT200" t="str">
        <f>IF(ifood_data[[#This Row],[marital_Married]]=1,"Married", (IF(ifood_data[[#This Row],[marital_Single]]=1,"Single",(IF(ifood_data[[#This Row],[marital_Divorced]]=1,"Divorced",(IF(ifood_data[[#This Row],[marital_Together]]=1,"Living Together",(IF(ifood_data[[#This Row],[marital_Widow]]=1,"Widow","Other")))))))))</f>
        <v>Married</v>
      </c>
      <c r="AU200" t="str">
        <f>IF(ifood_data[[#This Row],[education_Basic]]=1,"High School",(IF(ifood_data[[#This Row],[education_Graduation]]=1,"Undergraduate Degree",(IF(SUM(AM200,AL200,AI200)&gt;0,"Master's Degree or Higher","Other")))))</f>
        <v>Master's Degree or Higher</v>
      </c>
      <c r="AV200" t="str">
        <f>IF(ifood_data[[#All],[Income]]&gt;75000,"75K+",(IF(ifood_data[[#All],[Income]]&gt;50000,"50K-75K",(IF(ifood_data[[#All],[Income]]&gt;35000,"35K-50K","&lt;35K")))))</f>
        <v>75K+</v>
      </c>
      <c r="AW200" t="str">
        <f>IF(ifood_data[[#All],[Age]]&gt;60,"60+",(IF(ifood_data[[#All],[Age]]&gt;50,"50-60",(IF(ifood_data[[#All],[Age]]&gt;40,"40-50",(IF(ifood_data[[#All],[Age]]&gt;30,"30-40","&lt;30")))))))</f>
        <v>40-50</v>
      </c>
      <c r="AX200">
        <f t="shared" si="12"/>
        <v>20</v>
      </c>
      <c r="AY200">
        <f t="shared" si="13"/>
        <v>0.99999999999999978</v>
      </c>
      <c r="AZ200">
        <f t="shared" si="14"/>
        <v>4</v>
      </c>
      <c r="BA200">
        <f t="shared" si="15"/>
        <v>8</v>
      </c>
      <c r="BB200">
        <f>SUM(ifood_data[[#This Row],[Recency Score]:[Monetary Score]])</f>
        <v>13</v>
      </c>
      <c r="BC200">
        <f>(_xlfn.PERCENTRANK.INC(ifood_data[[#All],[RFM]],ifood_data[[#This Row],[RFM]],1))*10</f>
        <v>3</v>
      </c>
      <c r="BD200" t="str">
        <f>VLOOKUP(ifood_data[[#This Row],[RFM Score]],'RFM Analysis'!$A$3:$B$14,2,FALSE)</f>
        <v>At Risk</v>
      </c>
      <c r="BE200">
        <f>'Regression Models'!$B$101+'Regression Models'!$B$102*ifood_data[[#This Row],[Income]]+'Regression Models'!$B$103*ifood_data[[#This Row],[Age]]+'Regression Models'!$B$104*ifood_data[[#This Row],[Family]]</f>
        <v>1313.3590835777268</v>
      </c>
      <c r="BF200" t="str">
        <f>IF(ifood_data[[#This Row],[AcceptedCmpOverall]]=1,"Campaign Respondent","Non-respondent")</f>
        <v>Non-respondent</v>
      </c>
    </row>
    <row r="201" spans="1:58" x14ac:dyDescent="0.35">
      <c r="A201">
        <v>862</v>
      </c>
      <c r="B201">
        <v>78420</v>
      </c>
      <c r="C201">
        <v>0</v>
      </c>
      <c r="D201">
        <v>0</v>
      </c>
      <c r="E201">
        <v>75</v>
      </c>
      <c r="F201">
        <v>604</v>
      </c>
      <c r="G201">
        <v>28</v>
      </c>
      <c r="H201">
        <v>674</v>
      </c>
      <c r="I201">
        <v>91</v>
      </c>
      <c r="J201">
        <v>28</v>
      </c>
      <c r="K201">
        <v>28</v>
      </c>
      <c r="L201">
        <v>1</v>
      </c>
      <c r="M201">
        <v>3</v>
      </c>
      <c r="N201">
        <v>10</v>
      </c>
      <c r="O201">
        <v>8</v>
      </c>
      <c r="P201">
        <v>1</v>
      </c>
      <c r="Q201">
        <v>0</v>
      </c>
      <c r="R201">
        <v>0</v>
      </c>
      <c r="S201">
        <v>0</v>
      </c>
      <c r="T201">
        <v>0</v>
      </c>
      <c r="U201">
        <v>0</v>
      </c>
      <c r="V201">
        <f>IF(SUM(ifood_data[[#This Row],[AcceptedCmp1]:[AcceptedCmp5]])&gt;0,1,0)</f>
        <v>0</v>
      </c>
      <c r="W201">
        <v>0</v>
      </c>
      <c r="X201">
        <v>3</v>
      </c>
      <c r="Y201">
        <v>11</v>
      </c>
      <c r="Z201">
        <v>0</v>
      </c>
      <c r="AA201">
        <v>54</v>
      </c>
      <c r="AB201">
        <v>2524</v>
      </c>
      <c r="AC201" s="28">
        <f>ifood_data[[#This Row],[Customer_Days]]/365</f>
        <v>6.9150684931506845</v>
      </c>
      <c r="AD201">
        <v>0</v>
      </c>
      <c r="AE201">
        <v>0</v>
      </c>
      <c r="AF201">
        <v>1</v>
      </c>
      <c r="AG201">
        <v>0</v>
      </c>
      <c r="AH201">
        <v>0</v>
      </c>
      <c r="AI201">
        <v>0</v>
      </c>
      <c r="AJ201">
        <v>0</v>
      </c>
      <c r="AK201">
        <v>0</v>
      </c>
      <c r="AL201">
        <v>0</v>
      </c>
      <c r="AM201">
        <v>1</v>
      </c>
      <c r="AN201">
        <v>1425</v>
      </c>
      <c r="AO201">
        <v>1397</v>
      </c>
      <c r="AP201">
        <f>ifood_data[[#This Row],[MntTotal]]-ifood_data[[#This Row],[MntRegularProds]]</f>
        <v>28</v>
      </c>
      <c r="AQ201">
        <v>0</v>
      </c>
      <c r="AR201">
        <f>IF(SUM(ifood_data[[#This Row],[Kidhome]:[Teenhome]])&gt;0,1,0)</f>
        <v>0</v>
      </c>
      <c r="AS201" t="str">
        <f>IF(SUM(ifood_data[[#This Row],[Kidhome]:[Teenhome]])&gt;0,"Has Family","No Family")</f>
        <v>No Family</v>
      </c>
      <c r="AT201" t="str">
        <f>IF(ifood_data[[#This Row],[marital_Married]]=1,"Married", (IF(ifood_data[[#This Row],[marital_Single]]=1,"Single",(IF(ifood_data[[#This Row],[marital_Divorced]]=1,"Divorced",(IF(ifood_data[[#This Row],[marital_Together]]=1,"Living Together",(IF(ifood_data[[#This Row],[marital_Widow]]=1,"Widow","Other")))))))))</f>
        <v>Single</v>
      </c>
      <c r="AU201" t="str">
        <f>IF(ifood_data[[#This Row],[education_Basic]]=1,"High School",(IF(ifood_data[[#This Row],[education_Graduation]]=1,"Undergraduate Degree",(IF(SUM(AM201,AL201,AI201)&gt;0,"Master's Degree or Higher","Other")))))</f>
        <v>Master's Degree or Higher</v>
      </c>
      <c r="AV201" t="str">
        <f>IF(ifood_data[[#All],[Income]]&gt;75000,"75K+",(IF(ifood_data[[#All],[Income]]&gt;50000,"50K-75K",(IF(ifood_data[[#All],[Income]]&gt;35000,"35K-50K","&lt;35K")))))</f>
        <v>75K+</v>
      </c>
      <c r="AW201" t="str">
        <f>IF(ifood_data[[#All],[Age]]&gt;60,"60+",(IF(ifood_data[[#All],[Age]]&gt;50,"50-60",(IF(ifood_data[[#All],[Age]]&gt;40,"40-50",(IF(ifood_data[[#All],[Age]]&gt;30,"30-40","&lt;30")))))))</f>
        <v>50-60</v>
      </c>
      <c r="AX201">
        <f t="shared" si="12"/>
        <v>23</v>
      </c>
      <c r="AY201">
        <f t="shared" si="13"/>
        <v>3.0000000000000004</v>
      </c>
      <c r="AZ201">
        <f t="shared" si="14"/>
        <v>6</v>
      </c>
      <c r="BA201">
        <f t="shared" si="15"/>
        <v>8</v>
      </c>
      <c r="BB201">
        <f>SUM(ifood_data[[#This Row],[Recency Score]:[Monetary Score]])</f>
        <v>17</v>
      </c>
      <c r="BC201">
        <f>(_xlfn.PERCENTRANK.INC(ifood_data[[#All],[RFM]],ifood_data[[#This Row],[RFM]],1))*10</f>
        <v>6</v>
      </c>
      <c r="BD201" t="str">
        <f>VLOOKUP(ifood_data[[#This Row],[RFM Score]],'RFM Analysis'!$A$3:$B$14,2,FALSE)</f>
        <v>Promising</v>
      </c>
      <c r="BE201">
        <f>'Regression Models'!$B$101+'Regression Models'!$B$102*ifood_data[[#This Row],[Income]]+'Regression Models'!$B$103*ifood_data[[#This Row],[Age]]+'Regression Models'!$B$104*ifood_data[[#This Row],[Family]]</f>
        <v>1311.9042313097934</v>
      </c>
      <c r="BF201" t="str">
        <f>IF(ifood_data[[#This Row],[AcceptedCmpOverall]]=1,"Campaign Respondent","Non-respondent")</f>
        <v>Non-respondent</v>
      </c>
    </row>
    <row r="202" spans="1:58" x14ac:dyDescent="0.35">
      <c r="A202">
        <v>493</v>
      </c>
      <c r="B202">
        <v>80184</v>
      </c>
      <c r="C202">
        <v>0</v>
      </c>
      <c r="D202">
        <v>0</v>
      </c>
      <c r="E202">
        <v>19</v>
      </c>
      <c r="F202">
        <v>1035</v>
      </c>
      <c r="G202">
        <v>134</v>
      </c>
      <c r="H202">
        <v>670</v>
      </c>
      <c r="I202">
        <v>25</v>
      </c>
      <c r="J202">
        <v>38</v>
      </c>
      <c r="K202">
        <v>0</v>
      </c>
      <c r="L202">
        <v>1</v>
      </c>
      <c r="M202">
        <v>6</v>
      </c>
      <c r="N202">
        <v>3</v>
      </c>
      <c r="O202">
        <v>10</v>
      </c>
      <c r="P202">
        <v>3</v>
      </c>
      <c r="Q202">
        <v>1</v>
      </c>
      <c r="R202">
        <v>0</v>
      </c>
      <c r="S202">
        <v>0</v>
      </c>
      <c r="T202">
        <v>0</v>
      </c>
      <c r="U202">
        <v>1</v>
      </c>
      <c r="V202">
        <f>IF(SUM(ifood_data[[#This Row],[AcceptedCmp1]:[AcceptedCmp5]])&gt;0,1,0)</f>
        <v>1</v>
      </c>
      <c r="W202">
        <v>0</v>
      </c>
      <c r="X202">
        <v>3</v>
      </c>
      <c r="Y202">
        <v>11</v>
      </c>
      <c r="Z202">
        <v>0</v>
      </c>
      <c r="AA202">
        <v>76</v>
      </c>
      <c r="AB202">
        <v>2279</v>
      </c>
      <c r="AC202" s="28">
        <f>ifood_data[[#This Row],[Customer_Days]]/365</f>
        <v>6.2438356164383562</v>
      </c>
      <c r="AD202">
        <v>0</v>
      </c>
      <c r="AE202">
        <v>1</v>
      </c>
      <c r="AF202">
        <v>0</v>
      </c>
      <c r="AG202">
        <v>0</v>
      </c>
      <c r="AH202">
        <v>0</v>
      </c>
      <c r="AI202">
        <v>0</v>
      </c>
      <c r="AJ202">
        <v>0</v>
      </c>
      <c r="AK202">
        <v>0</v>
      </c>
      <c r="AL202">
        <v>1</v>
      </c>
      <c r="AM202">
        <v>0</v>
      </c>
      <c r="AN202">
        <v>1902</v>
      </c>
      <c r="AO202">
        <v>1902</v>
      </c>
      <c r="AP202">
        <f>ifood_data[[#This Row],[MntTotal]]-ifood_data[[#This Row],[MntRegularProds]]</f>
        <v>0</v>
      </c>
      <c r="AQ202">
        <v>2</v>
      </c>
      <c r="AR202">
        <f>IF(SUM(ifood_data[[#This Row],[Kidhome]:[Teenhome]])&gt;0,1,0)</f>
        <v>0</v>
      </c>
      <c r="AS202" t="str">
        <f>IF(SUM(ifood_data[[#This Row],[Kidhome]:[Teenhome]])&gt;0,"Has Family","No Family")</f>
        <v>No Family</v>
      </c>
      <c r="AT202" t="str">
        <f>IF(ifood_data[[#This Row],[marital_Married]]=1,"Married", (IF(ifood_data[[#This Row],[marital_Single]]=1,"Single",(IF(ifood_data[[#This Row],[marital_Divorced]]=1,"Divorced",(IF(ifood_data[[#This Row],[marital_Together]]=1,"Living Together",(IF(ifood_data[[#This Row],[marital_Widow]]=1,"Widow","Other")))))))))</f>
        <v>Married</v>
      </c>
      <c r="AU202" t="str">
        <f>IF(ifood_data[[#This Row],[education_Basic]]=1,"High School",(IF(ifood_data[[#This Row],[education_Graduation]]=1,"Undergraduate Degree",(IF(SUM(AM202,AL202,AI202)&gt;0,"Master's Degree or Higher","Other")))))</f>
        <v>Master's Degree or Higher</v>
      </c>
      <c r="AV202" t="str">
        <f>IF(ifood_data[[#All],[Income]]&gt;75000,"75K+",(IF(ifood_data[[#All],[Income]]&gt;50000,"50K-75K",(IF(ifood_data[[#All],[Income]]&gt;35000,"35K-50K","&lt;35K")))))</f>
        <v>75K+</v>
      </c>
      <c r="AW202" t="str">
        <f>IF(ifood_data[[#All],[Age]]&gt;60,"60+",(IF(ifood_data[[#All],[Age]]&gt;50,"50-60",(IF(ifood_data[[#All],[Age]]&gt;40,"40-50",(IF(ifood_data[[#All],[Age]]&gt;30,"30-40","&lt;30")))))))</f>
        <v>60+</v>
      </c>
      <c r="AX202">
        <f t="shared" si="12"/>
        <v>23</v>
      </c>
      <c r="AY202">
        <f t="shared" si="13"/>
        <v>9</v>
      </c>
      <c r="AZ202">
        <f t="shared" si="14"/>
        <v>6</v>
      </c>
      <c r="BA202">
        <f t="shared" si="15"/>
        <v>9</v>
      </c>
      <c r="BB202">
        <f>SUM(ifood_data[[#This Row],[Recency Score]:[Monetary Score]])</f>
        <v>24</v>
      </c>
      <c r="BC202">
        <f>(_xlfn.PERCENTRANK.INC(ifood_data[[#All],[RFM]],ifood_data[[#This Row],[RFM]],1))*10</f>
        <v>9</v>
      </c>
      <c r="BD202" t="str">
        <f>VLOOKUP(ifood_data[[#This Row],[RFM Score]],'RFM Analysis'!$A$3:$B$14,2,FALSE)</f>
        <v>Top Customer</v>
      </c>
      <c r="BE202">
        <f>'Regression Models'!$B$101+'Regression Models'!$B$102*ifood_data[[#This Row],[Income]]+'Regression Models'!$B$103*ifood_data[[#This Row],[Age]]+'Regression Models'!$B$104*ifood_data[[#This Row],[Family]]</f>
        <v>1307.4683585799569</v>
      </c>
      <c r="BF202" t="str">
        <f>IF(ifood_data[[#This Row],[AcceptedCmpOverall]]=1,"Campaign Respondent","Non-respondent")</f>
        <v>Campaign Respondent</v>
      </c>
    </row>
    <row r="203" spans="1:58" x14ac:dyDescent="0.35">
      <c r="A203">
        <v>845</v>
      </c>
      <c r="B203">
        <v>76630</v>
      </c>
      <c r="C203">
        <v>0</v>
      </c>
      <c r="D203">
        <v>0</v>
      </c>
      <c r="E203">
        <v>93</v>
      </c>
      <c r="F203">
        <v>255</v>
      </c>
      <c r="G203">
        <v>31</v>
      </c>
      <c r="H203">
        <v>446</v>
      </c>
      <c r="I203">
        <v>40</v>
      </c>
      <c r="J203">
        <v>56</v>
      </c>
      <c r="K203">
        <v>175</v>
      </c>
      <c r="L203">
        <v>1</v>
      </c>
      <c r="M203">
        <v>3</v>
      </c>
      <c r="N203">
        <v>10</v>
      </c>
      <c r="O203">
        <v>11</v>
      </c>
      <c r="P203">
        <v>1</v>
      </c>
      <c r="Q203">
        <v>0</v>
      </c>
      <c r="R203">
        <v>0</v>
      </c>
      <c r="S203">
        <v>0</v>
      </c>
      <c r="T203">
        <v>0</v>
      </c>
      <c r="U203">
        <v>0</v>
      </c>
      <c r="V203">
        <f>IF(SUM(ifood_data[[#This Row],[AcceptedCmp1]:[AcceptedCmp5]])&gt;0,1,0)</f>
        <v>0</v>
      </c>
      <c r="W203">
        <v>0</v>
      </c>
      <c r="X203">
        <v>3</v>
      </c>
      <c r="Y203">
        <v>11</v>
      </c>
      <c r="Z203">
        <v>0</v>
      </c>
      <c r="AA203">
        <v>37</v>
      </c>
      <c r="AB203">
        <v>2325</v>
      </c>
      <c r="AC203" s="28">
        <f>ifood_data[[#This Row],[Customer_Days]]/365</f>
        <v>6.3698630136986303</v>
      </c>
      <c r="AD203">
        <v>0</v>
      </c>
      <c r="AE203">
        <v>1</v>
      </c>
      <c r="AF203">
        <v>0</v>
      </c>
      <c r="AG203">
        <v>0</v>
      </c>
      <c r="AH203">
        <v>0</v>
      </c>
      <c r="AI203">
        <v>0</v>
      </c>
      <c r="AJ203">
        <v>0</v>
      </c>
      <c r="AK203">
        <v>1</v>
      </c>
      <c r="AL203">
        <v>0</v>
      </c>
      <c r="AM203">
        <v>0</v>
      </c>
      <c r="AN203">
        <v>828</v>
      </c>
      <c r="AO203">
        <v>653</v>
      </c>
      <c r="AP203">
        <f>ifood_data[[#This Row],[MntTotal]]-ifood_data[[#This Row],[MntRegularProds]]</f>
        <v>175</v>
      </c>
      <c r="AQ203">
        <v>0</v>
      </c>
      <c r="AR203">
        <f>IF(SUM(ifood_data[[#This Row],[Kidhome]:[Teenhome]])&gt;0,1,0)</f>
        <v>0</v>
      </c>
      <c r="AS203" t="str">
        <f>IF(SUM(ifood_data[[#This Row],[Kidhome]:[Teenhome]])&gt;0,"Has Family","No Family")</f>
        <v>No Family</v>
      </c>
      <c r="AT203" t="str">
        <f>IF(ifood_data[[#This Row],[marital_Married]]=1,"Married", (IF(ifood_data[[#This Row],[marital_Single]]=1,"Single",(IF(ifood_data[[#This Row],[marital_Divorced]]=1,"Divorced",(IF(ifood_data[[#This Row],[marital_Together]]=1,"Living Together",(IF(ifood_data[[#This Row],[marital_Widow]]=1,"Widow","Other")))))))))</f>
        <v>Married</v>
      </c>
      <c r="AU203" t="str">
        <f>IF(ifood_data[[#This Row],[education_Basic]]=1,"High School",(IF(ifood_data[[#This Row],[education_Graduation]]=1,"Undergraduate Degree",(IF(SUM(AM203,AL203,AI203)&gt;0,"Master's Degree or Higher","Other")))))</f>
        <v>Undergraduate Degree</v>
      </c>
      <c r="AV203" t="str">
        <f>IF(ifood_data[[#All],[Income]]&gt;75000,"75K+",(IF(ifood_data[[#All],[Income]]&gt;50000,"50K-75K",(IF(ifood_data[[#All],[Income]]&gt;35000,"35K-50K","&lt;35K")))))</f>
        <v>75K+</v>
      </c>
      <c r="AW203" t="str">
        <f>IF(ifood_data[[#All],[Age]]&gt;60,"60+",(IF(ifood_data[[#All],[Age]]&gt;50,"50-60",(IF(ifood_data[[#All],[Age]]&gt;40,"40-50",(IF(ifood_data[[#All],[Age]]&gt;30,"30-40","&lt;30")))))))</f>
        <v>30-40</v>
      </c>
      <c r="AX203">
        <f t="shared" si="12"/>
        <v>26</v>
      </c>
      <c r="AY203">
        <f t="shared" si="13"/>
        <v>0.99999999999999978</v>
      </c>
      <c r="AZ203">
        <f t="shared" si="14"/>
        <v>7</v>
      </c>
      <c r="BA203">
        <f t="shared" si="15"/>
        <v>6</v>
      </c>
      <c r="BB203">
        <f>SUM(ifood_data[[#This Row],[Recency Score]:[Monetary Score]])</f>
        <v>14</v>
      </c>
      <c r="BC203">
        <f>(_xlfn.PERCENTRANK.INC(ifood_data[[#All],[RFM]],ifood_data[[#This Row],[RFM]],1))*10</f>
        <v>4</v>
      </c>
      <c r="BD203" t="str">
        <f>VLOOKUP(ifood_data[[#This Row],[RFM Score]],'RFM Analysis'!$A$3:$B$14,2,FALSE)</f>
        <v>At Risk</v>
      </c>
      <c r="BE203">
        <f>'Regression Models'!$B$101+'Regression Models'!$B$102*ifood_data[[#This Row],[Income]]+'Regression Models'!$B$103*ifood_data[[#This Row],[Age]]+'Regression Models'!$B$104*ifood_data[[#This Row],[Family]]</f>
        <v>1306.6278006734169</v>
      </c>
      <c r="BF203" t="str">
        <f>IF(ifood_data[[#This Row],[AcceptedCmpOverall]]=1,"Campaign Respondent","Non-respondent")</f>
        <v>Non-respondent</v>
      </c>
    </row>
    <row r="204" spans="1:58" x14ac:dyDescent="0.35">
      <c r="A204">
        <v>782</v>
      </c>
      <c r="B204">
        <v>93404</v>
      </c>
      <c r="C204">
        <v>1</v>
      </c>
      <c r="D204">
        <v>2</v>
      </c>
      <c r="E204">
        <v>97</v>
      </c>
      <c r="F204">
        <v>1279</v>
      </c>
      <c r="G204">
        <v>15</v>
      </c>
      <c r="H204">
        <v>287</v>
      </c>
      <c r="I204">
        <v>20</v>
      </c>
      <c r="J204">
        <v>0</v>
      </c>
      <c r="K204">
        <v>15</v>
      </c>
      <c r="L204">
        <v>3</v>
      </c>
      <c r="M204">
        <v>3</v>
      </c>
      <c r="N204">
        <v>4</v>
      </c>
      <c r="O204">
        <v>7</v>
      </c>
      <c r="P204">
        <v>5</v>
      </c>
      <c r="Q204">
        <v>0</v>
      </c>
      <c r="R204">
        <v>0</v>
      </c>
      <c r="S204">
        <v>0</v>
      </c>
      <c r="T204">
        <v>1</v>
      </c>
      <c r="U204">
        <v>1</v>
      </c>
      <c r="V204">
        <f>IF(SUM(ifood_data[[#This Row],[AcceptedCmp1]:[AcceptedCmp5]])&gt;0,1,0)</f>
        <v>1</v>
      </c>
      <c r="W204">
        <v>0</v>
      </c>
      <c r="X204">
        <v>3</v>
      </c>
      <c r="Y204">
        <v>11</v>
      </c>
      <c r="Z204">
        <v>0</v>
      </c>
      <c r="AA204">
        <v>66</v>
      </c>
      <c r="AB204">
        <v>2577</v>
      </c>
      <c r="AC204" s="28">
        <f>ifood_data[[#This Row],[Customer_Days]]/365</f>
        <v>7.0602739726027401</v>
      </c>
      <c r="AD204">
        <v>0</v>
      </c>
      <c r="AE204">
        <v>1</v>
      </c>
      <c r="AF204">
        <v>0</v>
      </c>
      <c r="AG204">
        <v>0</v>
      </c>
      <c r="AH204">
        <v>0</v>
      </c>
      <c r="AI204">
        <v>0</v>
      </c>
      <c r="AJ204">
        <v>0</v>
      </c>
      <c r="AK204">
        <v>1</v>
      </c>
      <c r="AL204">
        <v>0</v>
      </c>
      <c r="AM204">
        <v>0</v>
      </c>
      <c r="AN204">
        <v>1601</v>
      </c>
      <c r="AO204">
        <v>1586</v>
      </c>
      <c r="AP204">
        <f>ifood_data[[#This Row],[MntTotal]]-ifood_data[[#This Row],[MntRegularProds]]</f>
        <v>15</v>
      </c>
      <c r="AQ204">
        <v>2</v>
      </c>
      <c r="AR204">
        <f>IF(SUM(ifood_data[[#This Row],[Kidhome]:[Teenhome]])&gt;0,1,0)</f>
        <v>1</v>
      </c>
      <c r="AS204" t="str">
        <f>IF(SUM(ifood_data[[#This Row],[Kidhome]:[Teenhome]])&gt;0,"Has Family","No Family")</f>
        <v>Has Family</v>
      </c>
      <c r="AT204" t="str">
        <f>IF(ifood_data[[#This Row],[marital_Married]]=1,"Married", (IF(ifood_data[[#This Row],[marital_Single]]=1,"Single",(IF(ifood_data[[#This Row],[marital_Divorced]]=1,"Divorced",(IF(ifood_data[[#This Row],[marital_Together]]=1,"Living Together",(IF(ifood_data[[#This Row],[marital_Widow]]=1,"Widow","Other")))))))))</f>
        <v>Married</v>
      </c>
      <c r="AU204" t="str">
        <f>IF(ifood_data[[#This Row],[education_Basic]]=1,"High School",(IF(ifood_data[[#This Row],[education_Graduation]]=1,"Undergraduate Degree",(IF(SUM(AM204,AL204,AI204)&gt;0,"Master's Degree or Higher","Other")))))</f>
        <v>Undergraduate Degree</v>
      </c>
      <c r="AV204" t="str">
        <f>IF(ifood_data[[#All],[Income]]&gt;75000,"75K+",(IF(ifood_data[[#All],[Income]]&gt;50000,"50K-75K",(IF(ifood_data[[#All],[Income]]&gt;35000,"35K-50K","&lt;35K")))))</f>
        <v>75K+</v>
      </c>
      <c r="AW204" t="str">
        <f>IF(ifood_data[[#All],[Age]]&gt;60,"60+",(IF(ifood_data[[#All],[Age]]&gt;50,"50-60",(IF(ifood_data[[#All],[Age]]&gt;40,"40-50",(IF(ifood_data[[#All],[Age]]&gt;30,"30-40","&lt;30")))))))</f>
        <v>60+</v>
      </c>
      <c r="AX204">
        <f t="shared" si="12"/>
        <v>22</v>
      </c>
      <c r="AY204">
        <f t="shared" si="13"/>
        <v>0.99999999999999978</v>
      </c>
      <c r="AZ204">
        <f t="shared" si="14"/>
        <v>5</v>
      </c>
      <c r="BA204">
        <f t="shared" si="15"/>
        <v>9</v>
      </c>
      <c r="BB204">
        <f>SUM(ifood_data[[#This Row],[Recency Score]:[Monetary Score]])</f>
        <v>15</v>
      </c>
      <c r="BC204">
        <f>(_xlfn.PERCENTRANK.INC(ifood_data[[#All],[RFM]],ifood_data[[#This Row],[RFM]],1))*10</f>
        <v>4</v>
      </c>
      <c r="BD204" t="str">
        <f>VLOOKUP(ifood_data[[#This Row],[RFM Score]],'RFM Analysis'!$A$3:$B$14,2,FALSE)</f>
        <v>At Risk</v>
      </c>
      <c r="BE204">
        <f>'Regression Models'!$B$101+'Regression Models'!$B$102*ifood_data[[#This Row],[Income]]+'Regression Models'!$B$103*ifood_data[[#This Row],[Age]]+'Regression Models'!$B$104*ifood_data[[#This Row],[Family]]</f>
        <v>1305.7586331582274</v>
      </c>
      <c r="BF204" t="str">
        <f>IF(ifood_data[[#This Row],[AcceptedCmpOverall]]=1,"Campaign Respondent","Non-respondent")</f>
        <v>Campaign Respondent</v>
      </c>
    </row>
    <row r="205" spans="1:58" x14ac:dyDescent="0.35">
      <c r="A205">
        <v>662</v>
      </c>
      <c r="B205">
        <v>78468</v>
      </c>
      <c r="C205">
        <v>0</v>
      </c>
      <c r="D205">
        <v>0</v>
      </c>
      <c r="E205">
        <v>29</v>
      </c>
      <c r="F205">
        <v>434</v>
      </c>
      <c r="G205">
        <v>22</v>
      </c>
      <c r="H205">
        <v>388</v>
      </c>
      <c r="I205">
        <v>104</v>
      </c>
      <c r="J205">
        <v>22</v>
      </c>
      <c r="K205">
        <v>34</v>
      </c>
      <c r="L205">
        <v>1</v>
      </c>
      <c r="M205">
        <v>10</v>
      </c>
      <c r="N205">
        <v>7</v>
      </c>
      <c r="O205">
        <v>10</v>
      </c>
      <c r="P205">
        <v>4</v>
      </c>
      <c r="Q205">
        <v>1</v>
      </c>
      <c r="R205">
        <v>0</v>
      </c>
      <c r="S205">
        <v>0</v>
      </c>
      <c r="T205">
        <v>0</v>
      </c>
      <c r="U205">
        <v>0</v>
      </c>
      <c r="V205">
        <f>IF(SUM(ifood_data[[#This Row],[AcceptedCmp1]:[AcceptedCmp5]])&gt;0,1,0)</f>
        <v>1</v>
      </c>
      <c r="W205">
        <v>0</v>
      </c>
      <c r="X205">
        <v>3</v>
      </c>
      <c r="Y205">
        <v>11</v>
      </c>
      <c r="Z205">
        <v>0</v>
      </c>
      <c r="AA205">
        <v>60</v>
      </c>
      <c r="AB205">
        <v>2240</v>
      </c>
      <c r="AC205" s="28">
        <f>ifood_data[[#This Row],[Customer_Days]]/365</f>
        <v>6.1369863013698627</v>
      </c>
      <c r="AD205">
        <v>0</v>
      </c>
      <c r="AE205">
        <v>0</v>
      </c>
      <c r="AF205">
        <v>0</v>
      </c>
      <c r="AG205">
        <v>1</v>
      </c>
      <c r="AH205">
        <v>0</v>
      </c>
      <c r="AI205">
        <v>0</v>
      </c>
      <c r="AJ205">
        <v>0</v>
      </c>
      <c r="AK205">
        <v>1</v>
      </c>
      <c r="AL205">
        <v>0</v>
      </c>
      <c r="AM205">
        <v>0</v>
      </c>
      <c r="AN205">
        <v>970</v>
      </c>
      <c r="AO205">
        <v>936</v>
      </c>
      <c r="AP205">
        <f>ifood_data[[#This Row],[MntTotal]]-ifood_data[[#This Row],[MntRegularProds]]</f>
        <v>34</v>
      </c>
      <c r="AQ205">
        <v>1</v>
      </c>
      <c r="AR205">
        <f>IF(SUM(ifood_data[[#This Row],[Kidhome]:[Teenhome]])&gt;0,1,0)</f>
        <v>0</v>
      </c>
      <c r="AS205" t="str">
        <f>IF(SUM(ifood_data[[#This Row],[Kidhome]:[Teenhome]])&gt;0,"Has Family","No Family")</f>
        <v>No Family</v>
      </c>
      <c r="AT205" t="str">
        <f>IF(ifood_data[[#This Row],[marital_Married]]=1,"Married", (IF(ifood_data[[#This Row],[marital_Single]]=1,"Single",(IF(ifood_data[[#This Row],[marital_Divorced]]=1,"Divorced",(IF(ifood_data[[#This Row],[marital_Together]]=1,"Living Together",(IF(ifood_data[[#This Row],[marital_Widow]]=1,"Widow","Other")))))))))</f>
        <v>Living Together</v>
      </c>
      <c r="AU205" t="str">
        <f>IF(ifood_data[[#This Row],[education_Basic]]=1,"High School",(IF(ifood_data[[#This Row],[education_Graduation]]=1,"Undergraduate Degree",(IF(SUM(AM205,AL205,AI205)&gt;0,"Master's Degree or Higher","Other")))))</f>
        <v>Undergraduate Degree</v>
      </c>
      <c r="AV205" t="str">
        <f>IF(ifood_data[[#All],[Income]]&gt;75000,"75K+",(IF(ifood_data[[#All],[Income]]&gt;50000,"50K-75K",(IF(ifood_data[[#All],[Income]]&gt;35000,"35K-50K","&lt;35K")))))</f>
        <v>75K+</v>
      </c>
      <c r="AW205" t="str">
        <f>IF(ifood_data[[#All],[Age]]&gt;60,"60+",(IF(ifood_data[[#All],[Age]]&gt;50,"50-60",(IF(ifood_data[[#All],[Age]]&gt;40,"40-50",(IF(ifood_data[[#All],[Age]]&gt;30,"30-40","&lt;30")))))))</f>
        <v>50-60</v>
      </c>
      <c r="AX205">
        <f t="shared" si="12"/>
        <v>32</v>
      </c>
      <c r="AY205">
        <f t="shared" si="13"/>
        <v>8</v>
      </c>
      <c r="AZ205">
        <f t="shared" si="14"/>
        <v>9</v>
      </c>
      <c r="BA205">
        <f t="shared" si="15"/>
        <v>7</v>
      </c>
      <c r="BB205">
        <f>SUM(ifood_data[[#This Row],[Recency Score]:[Monetary Score]])</f>
        <v>24</v>
      </c>
      <c r="BC205">
        <f>(_xlfn.PERCENTRANK.INC(ifood_data[[#All],[RFM]],ifood_data[[#This Row],[RFM]],1))*10</f>
        <v>9</v>
      </c>
      <c r="BD205" t="str">
        <f>VLOOKUP(ifood_data[[#This Row],[RFM Score]],'RFM Analysis'!$A$3:$B$14,2,FALSE)</f>
        <v>Top Customer</v>
      </c>
      <c r="BE205">
        <f>'Regression Models'!$B$101+'Regression Models'!$B$102*ifood_data[[#This Row],[Income]]+'Regression Models'!$B$103*ifood_data[[#This Row],[Age]]+'Regression Models'!$B$104*ifood_data[[#This Row],[Family]]</f>
        <v>1301.8642577073347</v>
      </c>
      <c r="BF205" t="str">
        <f>IF(ifood_data[[#This Row],[AcceptedCmpOverall]]=1,"Campaign Respondent","Non-respondent")</f>
        <v>Campaign Respondent</v>
      </c>
    </row>
    <row r="206" spans="1:58" x14ac:dyDescent="0.35">
      <c r="A206">
        <v>340</v>
      </c>
      <c r="B206">
        <v>78618</v>
      </c>
      <c r="C206">
        <v>0</v>
      </c>
      <c r="D206">
        <v>0</v>
      </c>
      <c r="E206">
        <v>87</v>
      </c>
      <c r="F206">
        <v>736</v>
      </c>
      <c r="G206">
        <v>163</v>
      </c>
      <c r="H206">
        <v>818</v>
      </c>
      <c r="I206">
        <v>212</v>
      </c>
      <c r="J206">
        <v>163</v>
      </c>
      <c r="K206">
        <v>61</v>
      </c>
      <c r="L206">
        <v>1</v>
      </c>
      <c r="M206">
        <v>4</v>
      </c>
      <c r="N206">
        <v>7</v>
      </c>
      <c r="O206">
        <v>10</v>
      </c>
      <c r="P206">
        <v>2</v>
      </c>
      <c r="Q206">
        <v>0</v>
      </c>
      <c r="R206">
        <v>0</v>
      </c>
      <c r="S206">
        <v>0</v>
      </c>
      <c r="T206">
        <v>1</v>
      </c>
      <c r="U206">
        <v>0</v>
      </c>
      <c r="V206">
        <f>IF(SUM(ifood_data[[#This Row],[AcceptedCmp1]:[AcceptedCmp5]])&gt;0,1,0)</f>
        <v>1</v>
      </c>
      <c r="W206">
        <v>0</v>
      </c>
      <c r="X206">
        <v>3</v>
      </c>
      <c r="Y206">
        <v>11</v>
      </c>
      <c r="Z206">
        <v>0</v>
      </c>
      <c r="AA206">
        <v>63</v>
      </c>
      <c r="AB206">
        <v>2798</v>
      </c>
      <c r="AC206" s="28">
        <f>ifood_data[[#This Row],[Customer_Days]]/365</f>
        <v>7.6657534246575345</v>
      </c>
      <c r="AD206">
        <v>0</v>
      </c>
      <c r="AE206">
        <v>1</v>
      </c>
      <c r="AF206">
        <v>0</v>
      </c>
      <c r="AG206">
        <v>0</v>
      </c>
      <c r="AH206">
        <v>0</v>
      </c>
      <c r="AI206">
        <v>0</v>
      </c>
      <c r="AJ206">
        <v>0</v>
      </c>
      <c r="AK206">
        <v>1</v>
      </c>
      <c r="AL206">
        <v>0</v>
      </c>
      <c r="AM206">
        <v>0</v>
      </c>
      <c r="AN206">
        <v>2092</v>
      </c>
      <c r="AO206">
        <v>2031</v>
      </c>
      <c r="AP206">
        <f>ifood_data[[#This Row],[MntTotal]]-ifood_data[[#This Row],[MntRegularProds]]</f>
        <v>61</v>
      </c>
      <c r="AQ206">
        <v>1</v>
      </c>
      <c r="AR206">
        <f>IF(SUM(ifood_data[[#This Row],[Kidhome]:[Teenhome]])&gt;0,1,0)</f>
        <v>0</v>
      </c>
      <c r="AS206" t="str">
        <f>IF(SUM(ifood_data[[#This Row],[Kidhome]:[Teenhome]])&gt;0,"Has Family","No Family")</f>
        <v>No Family</v>
      </c>
      <c r="AT206" t="str">
        <f>IF(ifood_data[[#This Row],[marital_Married]]=1,"Married", (IF(ifood_data[[#This Row],[marital_Single]]=1,"Single",(IF(ifood_data[[#This Row],[marital_Divorced]]=1,"Divorced",(IF(ifood_data[[#This Row],[marital_Together]]=1,"Living Together",(IF(ifood_data[[#This Row],[marital_Widow]]=1,"Widow","Other")))))))))</f>
        <v>Married</v>
      </c>
      <c r="AU206" t="str">
        <f>IF(ifood_data[[#This Row],[education_Basic]]=1,"High School",(IF(ifood_data[[#This Row],[education_Graduation]]=1,"Undergraduate Degree",(IF(SUM(AM206,AL206,AI206)&gt;0,"Master's Degree or Higher","Other")))))</f>
        <v>Undergraduate Degree</v>
      </c>
      <c r="AV206" t="str">
        <f>IF(ifood_data[[#All],[Income]]&gt;75000,"75K+",(IF(ifood_data[[#All],[Income]]&gt;50000,"50K-75K",(IF(ifood_data[[#All],[Income]]&gt;35000,"35K-50K","&lt;35K")))))</f>
        <v>75K+</v>
      </c>
      <c r="AW206" t="str">
        <f>IF(ifood_data[[#All],[Age]]&gt;60,"60+",(IF(ifood_data[[#All],[Age]]&gt;50,"50-60",(IF(ifood_data[[#All],[Age]]&gt;40,"40-50",(IF(ifood_data[[#All],[Age]]&gt;30,"30-40","&lt;30")))))))</f>
        <v>60+</v>
      </c>
      <c r="AX206">
        <f t="shared" si="12"/>
        <v>24</v>
      </c>
      <c r="AY206">
        <f t="shared" si="13"/>
        <v>1.9999999999999996</v>
      </c>
      <c r="AZ206">
        <f t="shared" si="14"/>
        <v>6</v>
      </c>
      <c r="BA206">
        <f t="shared" si="15"/>
        <v>9</v>
      </c>
      <c r="BB206">
        <f>SUM(ifood_data[[#This Row],[Recency Score]:[Monetary Score]])</f>
        <v>17</v>
      </c>
      <c r="BC206">
        <f>(_xlfn.PERCENTRANK.INC(ifood_data[[#All],[RFM]],ifood_data[[#This Row],[RFM]],1))*10</f>
        <v>6</v>
      </c>
      <c r="BD206" t="str">
        <f>VLOOKUP(ifood_data[[#This Row],[RFM Score]],'RFM Analysis'!$A$3:$B$14,2,FALSE)</f>
        <v>Promising</v>
      </c>
      <c r="BE206">
        <f>'Regression Models'!$B$101+'Regression Models'!$B$102*ifood_data[[#This Row],[Income]]+'Regression Models'!$B$103*ifood_data[[#This Row],[Age]]+'Regression Models'!$B$104*ifood_data[[#This Row],[Family]]</f>
        <v>1299.4132556922366</v>
      </c>
      <c r="BF206" t="str">
        <f>IF(ifood_data[[#This Row],[AcceptedCmpOverall]]=1,"Campaign Respondent","Non-respondent")</f>
        <v>Campaign Respondent</v>
      </c>
    </row>
    <row r="207" spans="1:58" x14ac:dyDescent="0.35">
      <c r="A207">
        <v>1943</v>
      </c>
      <c r="B207">
        <v>78499</v>
      </c>
      <c r="C207">
        <v>0</v>
      </c>
      <c r="D207">
        <v>0</v>
      </c>
      <c r="E207">
        <v>12</v>
      </c>
      <c r="F207">
        <v>912</v>
      </c>
      <c r="G207">
        <v>72</v>
      </c>
      <c r="H207">
        <v>170</v>
      </c>
      <c r="I207">
        <v>47</v>
      </c>
      <c r="J207">
        <v>36</v>
      </c>
      <c r="K207">
        <v>97</v>
      </c>
      <c r="L207">
        <v>1</v>
      </c>
      <c r="M207">
        <v>11</v>
      </c>
      <c r="N207">
        <v>3</v>
      </c>
      <c r="O207">
        <v>4</v>
      </c>
      <c r="P207">
        <v>4</v>
      </c>
      <c r="Q207">
        <v>0</v>
      </c>
      <c r="R207">
        <v>0</v>
      </c>
      <c r="S207">
        <v>0</v>
      </c>
      <c r="T207">
        <v>0</v>
      </c>
      <c r="U207">
        <v>1</v>
      </c>
      <c r="V207">
        <f>IF(SUM(ifood_data[[#This Row],[AcceptedCmp1]:[AcceptedCmp5]])&gt;0,1,0)</f>
        <v>1</v>
      </c>
      <c r="W207">
        <v>0</v>
      </c>
      <c r="X207">
        <v>3</v>
      </c>
      <c r="Y207">
        <v>11</v>
      </c>
      <c r="Z207">
        <v>1</v>
      </c>
      <c r="AA207">
        <v>63</v>
      </c>
      <c r="AB207">
        <v>2377</v>
      </c>
      <c r="AC207" s="28">
        <f>ifood_data[[#This Row],[Customer_Days]]/365</f>
        <v>6.5123287671232877</v>
      </c>
      <c r="AD207">
        <v>0</v>
      </c>
      <c r="AE207">
        <v>0</v>
      </c>
      <c r="AF207">
        <v>1</v>
      </c>
      <c r="AG207">
        <v>0</v>
      </c>
      <c r="AH207">
        <v>0</v>
      </c>
      <c r="AI207">
        <v>0</v>
      </c>
      <c r="AJ207">
        <v>0</v>
      </c>
      <c r="AK207">
        <v>1</v>
      </c>
      <c r="AL207">
        <v>0</v>
      </c>
      <c r="AM207">
        <v>0</v>
      </c>
      <c r="AN207">
        <v>1237</v>
      </c>
      <c r="AO207">
        <v>1140</v>
      </c>
      <c r="AP207">
        <f>ifood_data[[#This Row],[MntTotal]]-ifood_data[[#This Row],[MntRegularProds]]</f>
        <v>97</v>
      </c>
      <c r="AQ207">
        <v>1</v>
      </c>
      <c r="AR207">
        <f>IF(SUM(ifood_data[[#This Row],[Kidhome]:[Teenhome]])&gt;0,1,0)</f>
        <v>0</v>
      </c>
      <c r="AS207" t="str">
        <f>IF(SUM(ifood_data[[#This Row],[Kidhome]:[Teenhome]])&gt;0,"Has Family","No Family")</f>
        <v>No Family</v>
      </c>
      <c r="AT207" t="str">
        <f>IF(ifood_data[[#This Row],[marital_Married]]=1,"Married", (IF(ifood_data[[#This Row],[marital_Single]]=1,"Single",(IF(ifood_data[[#This Row],[marital_Divorced]]=1,"Divorced",(IF(ifood_data[[#This Row],[marital_Together]]=1,"Living Together",(IF(ifood_data[[#This Row],[marital_Widow]]=1,"Widow","Other")))))))))</f>
        <v>Single</v>
      </c>
      <c r="AU207" t="str">
        <f>IF(ifood_data[[#This Row],[education_Basic]]=1,"High School",(IF(ifood_data[[#This Row],[education_Graduation]]=1,"Undergraduate Degree",(IF(SUM(AM207,AL207,AI207)&gt;0,"Master's Degree or Higher","Other")))))</f>
        <v>Undergraduate Degree</v>
      </c>
      <c r="AV207" t="str">
        <f>IF(ifood_data[[#All],[Income]]&gt;75000,"75K+",(IF(ifood_data[[#All],[Income]]&gt;50000,"50K-75K",(IF(ifood_data[[#All],[Income]]&gt;35000,"35K-50K","&lt;35K")))))</f>
        <v>75K+</v>
      </c>
      <c r="AW207" t="str">
        <f>IF(ifood_data[[#All],[Age]]&gt;60,"60+",(IF(ifood_data[[#All],[Age]]&gt;50,"50-60",(IF(ifood_data[[#All],[Age]]&gt;40,"40-50",(IF(ifood_data[[#All],[Age]]&gt;30,"30-40","&lt;30")))))))</f>
        <v>60+</v>
      </c>
      <c r="AX207">
        <f t="shared" si="12"/>
        <v>23</v>
      </c>
      <c r="AY207">
        <f t="shared" si="13"/>
        <v>9</v>
      </c>
      <c r="AZ207">
        <f t="shared" si="14"/>
        <v>6</v>
      </c>
      <c r="BA207">
        <f t="shared" si="15"/>
        <v>8</v>
      </c>
      <c r="BB207">
        <f>SUM(ifood_data[[#This Row],[Recency Score]:[Monetary Score]])</f>
        <v>23</v>
      </c>
      <c r="BC207">
        <f>(_xlfn.PERCENTRANK.INC(ifood_data[[#All],[RFM]],ifood_data[[#This Row],[RFM]],1))*10</f>
        <v>8</v>
      </c>
      <c r="BD207" t="str">
        <f>VLOOKUP(ifood_data[[#This Row],[RFM Score]],'RFM Analysis'!$A$3:$B$14,2,FALSE)</f>
        <v>Loyal Customer</v>
      </c>
      <c r="BE207">
        <f>'Regression Models'!$B$101+'Regression Models'!$B$102*ifood_data[[#This Row],[Income]]+'Regression Models'!$B$103*ifood_data[[#This Row],[Age]]+'Regression Models'!$B$104*ifood_data[[#This Row],[Family]]</f>
        <v>1296.9869922831124</v>
      </c>
      <c r="BF207" t="str">
        <f>IF(ifood_data[[#This Row],[AcceptedCmpOverall]]=1,"Campaign Respondent","Non-respondent")</f>
        <v>Campaign Respondent</v>
      </c>
    </row>
    <row r="208" spans="1:58" x14ac:dyDescent="0.35">
      <c r="A208">
        <v>1469</v>
      </c>
      <c r="B208">
        <v>75794</v>
      </c>
      <c r="C208">
        <v>0</v>
      </c>
      <c r="D208">
        <v>0</v>
      </c>
      <c r="E208">
        <v>33</v>
      </c>
      <c r="F208">
        <v>754</v>
      </c>
      <c r="G208">
        <v>160</v>
      </c>
      <c r="H208">
        <v>625</v>
      </c>
      <c r="I208">
        <v>63</v>
      </c>
      <c r="J208">
        <v>32</v>
      </c>
      <c r="K208">
        <v>48</v>
      </c>
      <c r="L208">
        <v>1</v>
      </c>
      <c r="M208">
        <v>7</v>
      </c>
      <c r="N208">
        <v>5</v>
      </c>
      <c r="O208">
        <v>12</v>
      </c>
      <c r="P208">
        <v>3</v>
      </c>
      <c r="Q208">
        <v>1</v>
      </c>
      <c r="R208">
        <v>0</v>
      </c>
      <c r="S208">
        <v>0</v>
      </c>
      <c r="T208">
        <v>0</v>
      </c>
      <c r="U208">
        <v>0</v>
      </c>
      <c r="V208">
        <f>IF(SUM(ifood_data[[#This Row],[AcceptedCmp1]:[AcceptedCmp5]])&gt;0,1,0)</f>
        <v>1</v>
      </c>
      <c r="W208">
        <v>0</v>
      </c>
      <c r="X208">
        <v>3</v>
      </c>
      <c r="Y208">
        <v>11</v>
      </c>
      <c r="Z208">
        <v>0</v>
      </c>
      <c r="AA208">
        <v>33</v>
      </c>
      <c r="AB208">
        <v>2346</v>
      </c>
      <c r="AC208" s="28">
        <f>ifood_data[[#This Row],[Customer_Days]]/365</f>
        <v>6.4273972602739722</v>
      </c>
      <c r="AD208">
        <v>0</v>
      </c>
      <c r="AE208">
        <v>1</v>
      </c>
      <c r="AF208">
        <v>0</v>
      </c>
      <c r="AG208">
        <v>0</v>
      </c>
      <c r="AH208">
        <v>0</v>
      </c>
      <c r="AI208">
        <v>0</v>
      </c>
      <c r="AJ208">
        <v>0</v>
      </c>
      <c r="AK208">
        <v>1</v>
      </c>
      <c r="AL208">
        <v>0</v>
      </c>
      <c r="AM208">
        <v>0</v>
      </c>
      <c r="AN208">
        <v>1634</v>
      </c>
      <c r="AO208">
        <v>1586</v>
      </c>
      <c r="AP208">
        <f>ifood_data[[#This Row],[MntTotal]]-ifood_data[[#This Row],[MntRegularProds]]</f>
        <v>48</v>
      </c>
      <c r="AQ208">
        <v>1</v>
      </c>
      <c r="AR208">
        <f>IF(SUM(ifood_data[[#This Row],[Kidhome]:[Teenhome]])&gt;0,1,0)</f>
        <v>0</v>
      </c>
      <c r="AS208" t="str">
        <f>IF(SUM(ifood_data[[#This Row],[Kidhome]:[Teenhome]])&gt;0,"Has Family","No Family")</f>
        <v>No Family</v>
      </c>
      <c r="AT208" t="str">
        <f>IF(ifood_data[[#This Row],[marital_Married]]=1,"Married", (IF(ifood_data[[#This Row],[marital_Single]]=1,"Single",(IF(ifood_data[[#This Row],[marital_Divorced]]=1,"Divorced",(IF(ifood_data[[#This Row],[marital_Together]]=1,"Living Together",(IF(ifood_data[[#This Row],[marital_Widow]]=1,"Widow","Other")))))))))</f>
        <v>Married</v>
      </c>
      <c r="AU208" t="str">
        <f>IF(ifood_data[[#This Row],[education_Basic]]=1,"High School",(IF(ifood_data[[#This Row],[education_Graduation]]=1,"Undergraduate Degree",(IF(SUM(AM208,AL208,AI208)&gt;0,"Master's Degree or Higher","Other")))))</f>
        <v>Undergraduate Degree</v>
      </c>
      <c r="AV208" t="str">
        <f>IF(ifood_data[[#All],[Income]]&gt;75000,"75K+",(IF(ifood_data[[#All],[Income]]&gt;50000,"50K-75K",(IF(ifood_data[[#All],[Income]]&gt;35000,"35K-50K","&lt;35K")))))</f>
        <v>75K+</v>
      </c>
      <c r="AW208" t="str">
        <f>IF(ifood_data[[#All],[Age]]&gt;60,"60+",(IF(ifood_data[[#All],[Age]]&gt;50,"50-60",(IF(ifood_data[[#All],[Age]]&gt;40,"40-50",(IF(ifood_data[[#All],[Age]]&gt;30,"30-40","&lt;30")))))))</f>
        <v>30-40</v>
      </c>
      <c r="AX208">
        <f t="shared" si="12"/>
        <v>28</v>
      </c>
      <c r="AY208">
        <f t="shared" si="13"/>
        <v>7</v>
      </c>
      <c r="AZ208">
        <f t="shared" si="14"/>
        <v>8</v>
      </c>
      <c r="BA208">
        <f t="shared" si="15"/>
        <v>9</v>
      </c>
      <c r="BB208">
        <f>SUM(ifood_data[[#This Row],[Recency Score]:[Monetary Score]])</f>
        <v>24</v>
      </c>
      <c r="BC208">
        <f>(_xlfn.PERCENTRANK.INC(ifood_data[[#All],[RFM]],ifood_data[[#This Row],[RFM]],1))*10</f>
        <v>9</v>
      </c>
      <c r="BD208" t="str">
        <f>VLOOKUP(ifood_data[[#This Row],[RFM Score]],'RFM Analysis'!$A$3:$B$14,2,FALSE)</f>
        <v>Top Customer</v>
      </c>
      <c r="BE208">
        <f>'Regression Models'!$B$101+'Regression Models'!$B$102*ifood_data[[#This Row],[Income]]+'Regression Models'!$B$103*ifood_data[[#This Row],[Age]]+'Regression Models'!$B$104*ifood_data[[#This Row],[Family]]</f>
        <v>1296.9285468206945</v>
      </c>
      <c r="BF208" t="str">
        <f>IF(ifood_data[[#This Row],[AcceptedCmpOverall]]=1,"Campaign Respondent","Non-respondent")</f>
        <v>Campaign Respondent</v>
      </c>
    </row>
    <row r="209" spans="1:58" x14ac:dyDescent="0.35">
      <c r="A209">
        <v>778</v>
      </c>
      <c r="B209">
        <v>76412</v>
      </c>
      <c r="C209">
        <v>0</v>
      </c>
      <c r="D209">
        <v>0</v>
      </c>
      <c r="E209">
        <v>15</v>
      </c>
      <c r="F209">
        <v>840</v>
      </c>
      <c r="G209">
        <v>53</v>
      </c>
      <c r="H209">
        <v>804</v>
      </c>
      <c r="I209">
        <v>23</v>
      </c>
      <c r="J209">
        <v>71</v>
      </c>
      <c r="K209">
        <v>17</v>
      </c>
      <c r="L209">
        <v>1</v>
      </c>
      <c r="M209">
        <v>5</v>
      </c>
      <c r="N209">
        <v>4</v>
      </c>
      <c r="O209">
        <v>8</v>
      </c>
      <c r="P209">
        <v>3</v>
      </c>
      <c r="Q209">
        <v>1</v>
      </c>
      <c r="R209">
        <v>0</v>
      </c>
      <c r="S209">
        <v>0</v>
      </c>
      <c r="T209">
        <v>0</v>
      </c>
      <c r="U209">
        <v>1</v>
      </c>
      <c r="V209">
        <f>IF(SUM(ifood_data[[#This Row],[AcceptedCmp1]:[AcceptedCmp5]])&gt;0,1,0)</f>
        <v>1</v>
      </c>
      <c r="W209">
        <v>0</v>
      </c>
      <c r="X209">
        <v>3</v>
      </c>
      <c r="Y209">
        <v>11</v>
      </c>
      <c r="Z209">
        <v>1</v>
      </c>
      <c r="AA209">
        <v>40</v>
      </c>
      <c r="AB209">
        <v>2579</v>
      </c>
      <c r="AC209" s="28">
        <f>ifood_data[[#This Row],[Customer_Days]]/365</f>
        <v>7.065753424657534</v>
      </c>
      <c r="AD209">
        <v>0</v>
      </c>
      <c r="AE209">
        <v>0</v>
      </c>
      <c r="AF209">
        <v>1</v>
      </c>
      <c r="AG209">
        <v>0</v>
      </c>
      <c r="AH209">
        <v>0</v>
      </c>
      <c r="AI209">
        <v>0</v>
      </c>
      <c r="AJ209">
        <v>0</v>
      </c>
      <c r="AK209">
        <v>0</v>
      </c>
      <c r="AL209">
        <v>0</v>
      </c>
      <c r="AM209">
        <v>1</v>
      </c>
      <c r="AN209">
        <v>1791</v>
      </c>
      <c r="AO209">
        <v>1774</v>
      </c>
      <c r="AP209">
        <f>ifood_data[[#This Row],[MntTotal]]-ifood_data[[#This Row],[MntRegularProds]]</f>
        <v>17</v>
      </c>
      <c r="AQ209">
        <v>2</v>
      </c>
      <c r="AR209">
        <f>IF(SUM(ifood_data[[#This Row],[Kidhome]:[Teenhome]])&gt;0,1,0)</f>
        <v>0</v>
      </c>
      <c r="AS209" t="str">
        <f>IF(SUM(ifood_data[[#This Row],[Kidhome]:[Teenhome]])&gt;0,"Has Family","No Family")</f>
        <v>No Family</v>
      </c>
      <c r="AT209" t="str">
        <f>IF(ifood_data[[#This Row],[marital_Married]]=1,"Married", (IF(ifood_data[[#This Row],[marital_Single]]=1,"Single",(IF(ifood_data[[#This Row],[marital_Divorced]]=1,"Divorced",(IF(ifood_data[[#This Row],[marital_Together]]=1,"Living Together",(IF(ifood_data[[#This Row],[marital_Widow]]=1,"Widow","Other")))))))))</f>
        <v>Single</v>
      </c>
      <c r="AU209" t="str">
        <f>IF(ifood_data[[#This Row],[education_Basic]]=1,"High School",(IF(ifood_data[[#This Row],[education_Graduation]]=1,"Undergraduate Degree",(IF(SUM(AM209,AL209,AI209)&gt;0,"Master's Degree or Higher","Other")))))</f>
        <v>Master's Degree or Higher</v>
      </c>
      <c r="AV209" t="str">
        <f>IF(ifood_data[[#All],[Income]]&gt;75000,"75K+",(IF(ifood_data[[#All],[Income]]&gt;50000,"50K-75K",(IF(ifood_data[[#All],[Income]]&gt;35000,"35K-50K","&lt;35K")))))</f>
        <v>75K+</v>
      </c>
      <c r="AW209" t="str">
        <f>IF(ifood_data[[#All],[Age]]&gt;60,"60+",(IF(ifood_data[[#All],[Age]]&gt;50,"50-60",(IF(ifood_data[[#All],[Age]]&gt;40,"40-50",(IF(ifood_data[[#All],[Age]]&gt;30,"30-40","&lt;30")))))))</f>
        <v>30-40</v>
      </c>
      <c r="AX209">
        <f t="shared" si="12"/>
        <v>21</v>
      </c>
      <c r="AY209">
        <f t="shared" si="13"/>
        <v>9</v>
      </c>
      <c r="AZ209">
        <f t="shared" si="14"/>
        <v>5</v>
      </c>
      <c r="BA209">
        <f t="shared" si="15"/>
        <v>9</v>
      </c>
      <c r="BB209">
        <f>SUM(ifood_data[[#This Row],[Recency Score]:[Monetary Score]])</f>
        <v>23</v>
      </c>
      <c r="BC209">
        <f>(_xlfn.PERCENTRANK.INC(ifood_data[[#All],[RFM]],ifood_data[[#This Row],[RFM]],1))*10</f>
        <v>8</v>
      </c>
      <c r="BD209" t="str">
        <f>VLOOKUP(ifood_data[[#This Row],[RFM Score]],'RFM Analysis'!$A$3:$B$14,2,FALSE)</f>
        <v>Loyal Customer</v>
      </c>
      <c r="BE209">
        <f>'Regression Models'!$B$101+'Regression Models'!$B$102*ifood_data[[#This Row],[Income]]+'Regression Models'!$B$103*ifood_data[[#This Row],[Age]]+'Regression Models'!$B$104*ifood_data[[#This Row],[Family]]</f>
        <v>1296.6737319813642</v>
      </c>
      <c r="BF209" t="str">
        <f>IF(ifood_data[[#This Row],[AcceptedCmpOverall]]=1,"Campaign Respondent","Non-respondent")</f>
        <v>Campaign Respondent</v>
      </c>
    </row>
    <row r="210" spans="1:58" x14ac:dyDescent="0.35">
      <c r="A210">
        <v>729</v>
      </c>
      <c r="B210">
        <v>78939</v>
      </c>
      <c r="C210">
        <v>0</v>
      </c>
      <c r="D210">
        <v>0</v>
      </c>
      <c r="E210">
        <v>57</v>
      </c>
      <c r="F210">
        <v>794</v>
      </c>
      <c r="G210">
        <v>115</v>
      </c>
      <c r="H210">
        <v>243</v>
      </c>
      <c r="I210">
        <v>150</v>
      </c>
      <c r="J210">
        <v>0</v>
      </c>
      <c r="K210">
        <v>205</v>
      </c>
      <c r="L210">
        <v>1</v>
      </c>
      <c r="M210">
        <v>8</v>
      </c>
      <c r="N210">
        <v>5</v>
      </c>
      <c r="O210">
        <v>6</v>
      </c>
      <c r="P210">
        <v>3</v>
      </c>
      <c r="Q210">
        <v>0</v>
      </c>
      <c r="R210">
        <v>0</v>
      </c>
      <c r="S210">
        <v>0</v>
      </c>
      <c r="T210">
        <v>0</v>
      </c>
      <c r="U210">
        <v>0</v>
      </c>
      <c r="V210">
        <f>IF(SUM(ifood_data[[#This Row],[AcceptedCmp1]:[AcceptedCmp5]])&gt;0,1,0)</f>
        <v>0</v>
      </c>
      <c r="W210">
        <v>0</v>
      </c>
      <c r="X210">
        <v>3</v>
      </c>
      <c r="Y210">
        <v>11</v>
      </c>
      <c r="Z210">
        <v>0</v>
      </c>
      <c r="AA210">
        <v>69</v>
      </c>
      <c r="AB210">
        <v>2358</v>
      </c>
      <c r="AC210" s="28">
        <f>ifood_data[[#This Row],[Customer_Days]]/365</f>
        <v>6.4602739726027396</v>
      </c>
      <c r="AD210">
        <v>0</v>
      </c>
      <c r="AE210">
        <v>1</v>
      </c>
      <c r="AF210">
        <v>0</v>
      </c>
      <c r="AG210">
        <v>0</v>
      </c>
      <c r="AH210">
        <v>0</v>
      </c>
      <c r="AI210">
        <v>0</v>
      </c>
      <c r="AJ210">
        <v>0</v>
      </c>
      <c r="AK210">
        <v>0</v>
      </c>
      <c r="AL210">
        <v>0</v>
      </c>
      <c r="AM210">
        <v>1</v>
      </c>
      <c r="AN210">
        <v>1302</v>
      </c>
      <c r="AO210">
        <v>1097</v>
      </c>
      <c r="AP210">
        <f>ifood_data[[#This Row],[MntTotal]]-ifood_data[[#This Row],[MntRegularProds]]</f>
        <v>205</v>
      </c>
      <c r="AQ210">
        <v>0</v>
      </c>
      <c r="AR210">
        <f>IF(SUM(ifood_data[[#This Row],[Kidhome]:[Teenhome]])&gt;0,1,0)</f>
        <v>0</v>
      </c>
      <c r="AS210" t="str">
        <f>IF(SUM(ifood_data[[#This Row],[Kidhome]:[Teenhome]])&gt;0,"Has Family","No Family")</f>
        <v>No Family</v>
      </c>
      <c r="AT210" t="str">
        <f>IF(ifood_data[[#This Row],[marital_Married]]=1,"Married", (IF(ifood_data[[#This Row],[marital_Single]]=1,"Single",(IF(ifood_data[[#This Row],[marital_Divorced]]=1,"Divorced",(IF(ifood_data[[#This Row],[marital_Together]]=1,"Living Together",(IF(ifood_data[[#This Row],[marital_Widow]]=1,"Widow","Other")))))))))</f>
        <v>Married</v>
      </c>
      <c r="AU210" t="str">
        <f>IF(ifood_data[[#This Row],[education_Basic]]=1,"High School",(IF(ifood_data[[#This Row],[education_Graduation]]=1,"Undergraduate Degree",(IF(SUM(AM210,AL210,AI210)&gt;0,"Master's Degree or Higher","Other")))))</f>
        <v>Master's Degree or Higher</v>
      </c>
      <c r="AV210" t="str">
        <f>IF(ifood_data[[#All],[Income]]&gt;75000,"75K+",(IF(ifood_data[[#All],[Income]]&gt;50000,"50K-75K",(IF(ifood_data[[#All],[Income]]&gt;35000,"35K-50K","&lt;35K")))))</f>
        <v>75K+</v>
      </c>
      <c r="AW210" t="str">
        <f>IF(ifood_data[[#All],[Age]]&gt;60,"60+",(IF(ifood_data[[#All],[Age]]&gt;50,"50-60",(IF(ifood_data[[#All],[Age]]&gt;40,"40-50",(IF(ifood_data[[#All],[Age]]&gt;30,"30-40","&lt;30")))))))</f>
        <v>60+</v>
      </c>
      <c r="AX210">
        <f t="shared" si="12"/>
        <v>23</v>
      </c>
      <c r="AY210">
        <f t="shared" si="13"/>
        <v>5</v>
      </c>
      <c r="AZ210">
        <f t="shared" si="14"/>
        <v>6</v>
      </c>
      <c r="BA210">
        <f t="shared" si="15"/>
        <v>8</v>
      </c>
      <c r="BB210">
        <f>SUM(ifood_data[[#This Row],[Recency Score]:[Monetary Score]])</f>
        <v>19</v>
      </c>
      <c r="BC210">
        <f>(_xlfn.PERCENTRANK.INC(ifood_data[[#All],[RFM]],ifood_data[[#This Row],[RFM]],1))*10</f>
        <v>7</v>
      </c>
      <c r="BD210" t="str">
        <f>VLOOKUP(ifood_data[[#This Row],[RFM Score]],'RFM Analysis'!$A$3:$B$14,2,FALSE)</f>
        <v>Loyal Customer</v>
      </c>
      <c r="BE210">
        <f>'Regression Models'!$B$101+'Regression Models'!$B$102*ifood_data[[#This Row],[Income]]+'Regression Models'!$B$103*ifood_data[[#This Row],[Age]]+'Regression Models'!$B$104*ifood_data[[#This Row],[Family]]</f>
        <v>1294.9394157930626</v>
      </c>
      <c r="BF210" t="str">
        <f>IF(ifood_data[[#This Row],[AcceptedCmpOverall]]=1,"Campaign Respondent","Non-respondent")</f>
        <v>Non-respondent</v>
      </c>
    </row>
    <row r="211" spans="1:58" x14ac:dyDescent="0.35">
      <c r="A211">
        <v>863</v>
      </c>
      <c r="B211">
        <v>75114</v>
      </c>
      <c r="C211">
        <v>0</v>
      </c>
      <c r="D211">
        <v>0</v>
      </c>
      <c r="E211">
        <v>40</v>
      </c>
      <c r="F211">
        <v>571</v>
      </c>
      <c r="G211">
        <v>12</v>
      </c>
      <c r="H211">
        <v>523</v>
      </c>
      <c r="I211">
        <v>63</v>
      </c>
      <c r="J211">
        <v>60</v>
      </c>
      <c r="K211">
        <v>24</v>
      </c>
      <c r="L211">
        <v>1</v>
      </c>
      <c r="M211">
        <v>3</v>
      </c>
      <c r="N211">
        <v>10</v>
      </c>
      <c r="O211">
        <v>5</v>
      </c>
      <c r="P211">
        <v>2</v>
      </c>
      <c r="Q211">
        <v>0</v>
      </c>
      <c r="R211">
        <v>0</v>
      </c>
      <c r="S211">
        <v>0</v>
      </c>
      <c r="T211">
        <v>0</v>
      </c>
      <c r="U211">
        <v>0</v>
      </c>
      <c r="V211">
        <f>IF(SUM(ifood_data[[#This Row],[AcceptedCmp1]:[AcceptedCmp5]])&gt;0,1,0)</f>
        <v>0</v>
      </c>
      <c r="W211">
        <v>0</v>
      </c>
      <c r="X211">
        <v>3</v>
      </c>
      <c r="Y211">
        <v>11</v>
      </c>
      <c r="Z211">
        <v>0</v>
      </c>
      <c r="AA211">
        <v>28</v>
      </c>
      <c r="AB211">
        <v>2393</v>
      </c>
      <c r="AC211" s="28">
        <f>ifood_data[[#This Row],[Customer_Days]]/365</f>
        <v>6.5561643835616437</v>
      </c>
      <c r="AD211">
        <v>0</v>
      </c>
      <c r="AE211">
        <v>0</v>
      </c>
      <c r="AF211">
        <v>0</v>
      </c>
      <c r="AG211">
        <v>1</v>
      </c>
      <c r="AH211">
        <v>0</v>
      </c>
      <c r="AI211">
        <v>0</v>
      </c>
      <c r="AJ211">
        <v>0</v>
      </c>
      <c r="AK211">
        <v>1</v>
      </c>
      <c r="AL211">
        <v>0</v>
      </c>
      <c r="AM211">
        <v>0</v>
      </c>
      <c r="AN211">
        <v>1229</v>
      </c>
      <c r="AO211">
        <v>1205</v>
      </c>
      <c r="AP211">
        <f>ifood_data[[#This Row],[MntTotal]]-ifood_data[[#This Row],[MntRegularProds]]</f>
        <v>24</v>
      </c>
      <c r="AQ211">
        <v>0</v>
      </c>
      <c r="AR211">
        <f>IF(SUM(ifood_data[[#This Row],[Kidhome]:[Teenhome]])&gt;0,1,0)</f>
        <v>0</v>
      </c>
      <c r="AS211" t="str">
        <f>IF(SUM(ifood_data[[#This Row],[Kidhome]:[Teenhome]])&gt;0,"Has Family","No Family")</f>
        <v>No Family</v>
      </c>
      <c r="AT211" t="str">
        <f>IF(ifood_data[[#This Row],[marital_Married]]=1,"Married", (IF(ifood_data[[#This Row],[marital_Single]]=1,"Single",(IF(ifood_data[[#This Row],[marital_Divorced]]=1,"Divorced",(IF(ifood_data[[#This Row],[marital_Together]]=1,"Living Together",(IF(ifood_data[[#This Row],[marital_Widow]]=1,"Widow","Other")))))))))</f>
        <v>Living Together</v>
      </c>
      <c r="AU211" t="str">
        <f>IF(ifood_data[[#This Row],[education_Basic]]=1,"High School",(IF(ifood_data[[#This Row],[education_Graduation]]=1,"Undergraduate Degree",(IF(SUM(AM211,AL211,AI211)&gt;0,"Master's Degree or Higher","Other")))))</f>
        <v>Undergraduate Degree</v>
      </c>
      <c r="AV211" t="str">
        <f>IF(ifood_data[[#All],[Income]]&gt;75000,"75K+",(IF(ifood_data[[#All],[Income]]&gt;50000,"50K-75K",(IF(ifood_data[[#All],[Income]]&gt;35000,"35K-50K","&lt;35K")))))</f>
        <v>75K+</v>
      </c>
      <c r="AW211" t="str">
        <f>IF(ifood_data[[#All],[Age]]&gt;60,"60+",(IF(ifood_data[[#All],[Age]]&gt;50,"50-60",(IF(ifood_data[[#All],[Age]]&gt;40,"40-50",(IF(ifood_data[[#All],[Age]]&gt;30,"30-40","&lt;30")))))))</f>
        <v>&lt;30</v>
      </c>
      <c r="AX211">
        <f t="shared" si="12"/>
        <v>21</v>
      </c>
      <c r="AY211">
        <f t="shared" si="13"/>
        <v>6</v>
      </c>
      <c r="AZ211">
        <f t="shared" si="14"/>
        <v>5</v>
      </c>
      <c r="BA211">
        <f t="shared" si="15"/>
        <v>8</v>
      </c>
      <c r="BB211">
        <f>SUM(ifood_data[[#This Row],[Recency Score]:[Monetary Score]])</f>
        <v>19</v>
      </c>
      <c r="BC211">
        <f>(_xlfn.PERCENTRANK.INC(ifood_data[[#All],[RFM]],ifood_data[[#This Row],[RFM]],1))*10</f>
        <v>7</v>
      </c>
      <c r="BD211" t="str">
        <f>VLOOKUP(ifood_data[[#This Row],[RFM Score]],'RFM Analysis'!$A$3:$B$14,2,FALSE)</f>
        <v>Loyal Customer</v>
      </c>
      <c r="BE211">
        <f>'Regression Models'!$B$101+'Regression Models'!$B$102*ifood_data[[#This Row],[Income]]+'Regression Models'!$B$103*ifood_data[[#This Row],[Age]]+'Regression Models'!$B$104*ifood_data[[#This Row],[Family]]</f>
        <v>1292.2463798773147</v>
      </c>
      <c r="BF211" t="str">
        <f>IF(ifood_data[[#This Row],[AcceptedCmpOverall]]=1,"Campaign Respondent","Non-respondent")</f>
        <v>Non-respondent</v>
      </c>
    </row>
    <row r="212" spans="1:58" x14ac:dyDescent="0.35">
      <c r="A212">
        <v>676</v>
      </c>
      <c r="B212">
        <v>76618</v>
      </c>
      <c r="C212">
        <v>0</v>
      </c>
      <c r="D212">
        <v>0</v>
      </c>
      <c r="E212">
        <v>64</v>
      </c>
      <c r="F212">
        <v>749</v>
      </c>
      <c r="G212">
        <v>40</v>
      </c>
      <c r="H212">
        <v>294</v>
      </c>
      <c r="I212">
        <v>121</v>
      </c>
      <c r="J212">
        <v>160</v>
      </c>
      <c r="K212">
        <v>147</v>
      </c>
      <c r="L212">
        <v>1</v>
      </c>
      <c r="M212">
        <v>3</v>
      </c>
      <c r="N212">
        <v>2</v>
      </c>
      <c r="O212">
        <v>5</v>
      </c>
      <c r="P212">
        <v>1</v>
      </c>
      <c r="Q212">
        <v>0</v>
      </c>
      <c r="R212">
        <v>0</v>
      </c>
      <c r="S212">
        <v>0</v>
      </c>
      <c r="T212">
        <v>0</v>
      </c>
      <c r="U212">
        <v>0</v>
      </c>
      <c r="V212">
        <f>IF(SUM(ifood_data[[#This Row],[AcceptedCmp1]:[AcceptedCmp5]])&gt;0,1,0)</f>
        <v>0</v>
      </c>
      <c r="W212">
        <v>0</v>
      </c>
      <c r="X212">
        <v>3</v>
      </c>
      <c r="Y212">
        <v>11</v>
      </c>
      <c r="Z212">
        <v>0</v>
      </c>
      <c r="AA212">
        <v>45</v>
      </c>
      <c r="AB212">
        <v>2728</v>
      </c>
      <c r="AC212" s="28">
        <f>ifood_data[[#This Row],[Customer_Days]]/365</f>
        <v>7.4739726027397264</v>
      </c>
      <c r="AD212">
        <v>0</v>
      </c>
      <c r="AE212">
        <v>1</v>
      </c>
      <c r="AF212">
        <v>0</v>
      </c>
      <c r="AG212">
        <v>0</v>
      </c>
      <c r="AH212">
        <v>0</v>
      </c>
      <c r="AI212">
        <v>0</v>
      </c>
      <c r="AJ212">
        <v>0</v>
      </c>
      <c r="AK212">
        <v>0</v>
      </c>
      <c r="AL212">
        <v>0</v>
      </c>
      <c r="AM212">
        <v>1</v>
      </c>
      <c r="AN212">
        <v>1364</v>
      </c>
      <c r="AO212">
        <v>1217</v>
      </c>
      <c r="AP212">
        <f>ifood_data[[#This Row],[MntTotal]]-ifood_data[[#This Row],[MntRegularProds]]</f>
        <v>147</v>
      </c>
      <c r="AQ212">
        <v>0</v>
      </c>
      <c r="AR212">
        <f>IF(SUM(ifood_data[[#This Row],[Kidhome]:[Teenhome]])&gt;0,1,0)</f>
        <v>0</v>
      </c>
      <c r="AS212" t="str">
        <f>IF(SUM(ifood_data[[#This Row],[Kidhome]:[Teenhome]])&gt;0,"Has Family","No Family")</f>
        <v>No Family</v>
      </c>
      <c r="AT212" t="str">
        <f>IF(ifood_data[[#This Row],[marital_Married]]=1,"Married", (IF(ifood_data[[#This Row],[marital_Single]]=1,"Single",(IF(ifood_data[[#This Row],[marital_Divorced]]=1,"Divorced",(IF(ifood_data[[#This Row],[marital_Together]]=1,"Living Together",(IF(ifood_data[[#This Row],[marital_Widow]]=1,"Widow","Other")))))))))</f>
        <v>Married</v>
      </c>
      <c r="AU212" t="str">
        <f>IF(ifood_data[[#This Row],[education_Basic]]=1,"High School",(IF(ifood_data[[#This Row],[education_Graduation]]=1,"Undergraduate Degree",(IF(SUM(AM212,AL212,AI212)&gt;0,"Master's Degree or Higher","Other")))))</f>
        <v>Master's Degree or Higher</v>
      </c>
      <c r="AV212" t="str">
        <f>IF(ifood_data[[#All],[Income]]&gt;75000,"75K+",(IF(ifood_data[[#All],[Income]]&gt;50000,"50K-75K",(IF(ifood_data[[#All],[Income]]&gt;35000,"35K-50K","&lt;35K")))))</f>
        <v>75K+</v>
      </c>
      <c r="AW212" t="str">
        <f>IF(ifood_data[[#All],[Age]]&gt;60,"60+",(IF(ifood_data[[#All],[Age]]&gt;50,"50-60",(IF(ifood_data[[#All],[Age]]&gt;40,"40-50",(IF(ifood_data[[#All],[Age]]&gt;30,"30-40","&lt;30")))))))</f>
        <v>40-50</v>
      </c>
      <c r="AX212">
        <f t="shared" si="12"/>
        <v>12</v>
      </c>
      <c r="AY212">
        <f t="shared" si="13"/>
        <v>4</v>
      </c>
      <c r="AZ212">
        <f t="shared" si="14"/>
        <v>1</v>
      </c>
      <c r="BA212">
        <f t="shared" si="15"/>
        <v>8</v>
      </c>
      <c r="BB212">
        <f>SUM(ifood_data[[#This Row],[Recency Score]:[Monetary Score]])</f>
        <v>13</v>
      </c>
      <c r="BC212">
        <f>(_xlfn.PERCENTRANK.INC(ifood_data[[#All],[RFM]],ifood_data[[#This Row],[RFM]],1))*10</f>
        <v>3</v>
      </c>
      <c r="BD212" t="str">
        <f>VLOOKUP(ifood_data[[#This Row],[RFM Score]],'RFM Analysis'!$A$3:$B$14,2,FALSE)</f>
        <v>At Risk</v>
      </c>
      <c r="BE212">
        <f>'Regression Models'!$B$101+'Regression Models'!$B$102*ifood_data[[#This Row],[Income]]+'Regression Models'!$B$103*ifood_data[[#This Row],[Age]]+'Regression Models'!$B$104*ifood_data[[#This Row],[Family]]</f>
        <v>1291.6916228245359</v>
      </c>
      <c r="BF212" t="str">
        <f>IF(ifood_data[[#This Row],[AcceptedCmpOverall]]=1,"Campaign Respondent","Non-respondent")</f>
        <v>Non-respondent</v>
      </c>
    </row>
    <row r="213" spans="1:58" x14ac:dyDescent="0.35">
      <c r="A213">
        <v>1351</v>
      </c>
      <c r="B213">
        <v>77343</v>
      </c>
      <c r="C213">
        <v>0</v>
      </c>
      <c r="D213">
        <v>0</v>
      </c>
      <c r="E213">
        <v>28</v>
      </c>
      <c r="F213">
        <v>227</v>
      </c>
      <c r="G213">
        <v>151</v>
      </c>
      <c r="H213">
        <v>573</v>
      </c>
      <c r="I213">
        <v>98</v>
      </c>
      <c r="J213">
        <v>54</v>
      </c>
      <c r="K213">
        <v>31</v>
      </c>
      <c r="L213">
        <v>1</v>
      </c>
      <c r="M213">
        <v>3</v>
      </c>
      <c r="N213">
        <v>4</v>
      </c>
      <c r="O213">
        <v>9</v>
      </c>
      <c r="P213">
        <v>1</v>
      </c>
      <c r="Q213">
        <v>0</v>
      </c>
      <c r="R213">
        <v>0</v>
      </c>
      <c r="S213">
        <v>0</v>
      </c>
      <c r="T213">
        <v>0</v>
      </c>
      <c r="U213">
        <v>0</v>
      </c>
      <c r="V213">
        <f>IF(SUM(ifood_data[[#This Row],[AcceptedCmp1]:[AcceptedCmp5]])&gt;0,1,0)</f>
        <v>0</v>
      </c>
      <c r="W213">
        <v>0</v>
      </c>
      <c r="X213">
        <v>3</v>
      </c>
      <c r="Y213">
        <v>11</v>
      </c>
      <c r="Z213">
        <v>0</v>
      </c>
      <c r="AA213">
        <v>55</v>
      </c>
      <c r="AB213">
        <v>2179</v>
      </c>
      <c r="AC213" s="28">
        <f>ifood_data[[#This Row],[Customer_Days]]/365</f>
        <v>5.9698630136986299</v>
      </c>
      <c r="AD213">
        <v>0</v>
      </c>
      <c r="AE213">
        <v>1</v>
      </c>
      <c r="AF213">
        <v>0</v>
      </c>
      <c r="AG213">
        <v>0</v>
      </c>
      <c r="AH213">
        <v>0</v>
      </c>
      <c r="AI213">
        <v>0</v>
      </c>
      <c r="AJ213">
        <v>0</v>
      </c>
      <c r="AK213">
        <v>1</v>
      </c>
      <c r="AL213">
        <v>0</v>
      </c>
      <c r="AM213">
        <v>0</v>
      </c>
      <c r="AN213">
        <v>1103</v>
      </c>
      <c r="AO213">
        <v>1072</v>
      </c>
      <c r="AP213">
        <f>ifood_data[[#This Row],[MntTotal]]-ifood_data[[#This Row],[MntRegularProds]]</f>
        <v>31</v>
      </c>
      <c r="AQ213">
        <v>0</v>
      </c>
      <c r="AR213">
        <f>IF(SUM(ifood_data[[#This Row],[Kidhome]:[Teenhome]])&gt;0,1,0)</f>
        <v>0</v>
      </c>
      <c r="AS213" t="str">
        <f>IF(SUM(ifood_data[[#This Row],[Kidhome]:[Teenhome]])&gt;0,"Has Family","No Family")</f>
        <v>No Family</v>
      </c>
      <c r="AT213" t="str">
        <f>IF(ifood_data[[#This Row],[marital_Married]]=1,"Married", (IF(ifood_data[[#This Row],[marital_Single]]=1,"Single",(IF(ifood_data[[#This Row],[marital_Divorced]]=1,"Divorced",(IF(ifood_data[[#This Row],[marital_Together]]=1,"Living Together",(IF(ifood_data[[#This Row],[marital_Widow]]=1,"Widow","Other")))))))))</f>
        <v>Married</v>
      </c>
      <c r="AU213" t="str">
        <f>IF(ifood_data[[#This Row],[education_Basic]]=1,"High School",(IF(ifood_data[[#This Row],[education_Graduation]]=1,"Undergraduate Degree",(IF(SUM(AM213,AL213,AI213)&gt;0,"Master's Degree or Higher","Other")))))</f>
        <v>Undergraduate Degree</v>
      </c>
      <c r="AV213" t="str">
        <f>IF(ifood_data[[#All],[Income]]&gt;75000,"75K+",(IF(ifood_data[[#All],[Income]]&gt;50000,"50K-75K",(IF(ifood_data[[#All],[Income]]&gt;35000,"35K-50K","&lt;35K")))))</f>
        <v>75K+</v>
      </c>
      <c r="AW213" t="str">
        <f>IF(ifood_data[[#All],[Age]]&gt;60,"60+",(IF(ifood_data[[#All],[Age]]&gt;50,"50-60",(IF(ifood_data[[#All],[Age]]&gt;40,"40-50",(IF(ifood_data[[#All],[Age]]&gt;30,"30-40","&lt;30")))))))</f>
        <v>50-60</v>
      </c>
      <c r="AX213">
        <f t="shared" si="12"/>
        <v>18</v>
      </c>
      <c r="AY213">
        <f t="shared" si="13"/>
        <v>8</v>
      </c>
      <c r="AZ213">
        <f t="shared" si="14"/>
        <v>4</v>
      </c>
      <c r="BA213">
        <f t="shared" si="15"/>
        <v>8</v>
      </c>
      <c r="BB213">
        <f>SUM(ifood_data[[#This Row],[Recency Score]:[Monetary Score]])</f>
        <v>20</v>
      </c>
      <c r="BC213">
        <f>(_xlfn.PERCENTRANK.INC(ifood_data[[#All],[RFM]],ifood_data[[#This Row],[RFM]],1))*10</f>
        <v>7</v>
      </c>
      <c r="BD213" t="str">
        <f>VLOOKUP(ifood_data[[#This Row],[RFM Score]],'RFM Analysis'!$A$3:$B$14,2,FALSE)</f>
        <v>Loyal Customer</v>
      </c>
      <c r="BE213">
        <f>'Regression Models'!$B$101+'Regression Models'!$B$102*ifood_data[[#This Row],[Income]]+'Regression Models'!$B$103*ifood_data[[#This Row],[Age]]+'Regression Models'!$B$104*ifood_data[[#This Row],[Family]]</f>
        <v>1288.1090889399197</v>
      </c>
      <c r="BF213" t="str">
        <f>IF(ifood_data[[#This Row],[AcceptedCmpOverall]]=1,"Campaign Respondent","Non-respondent")</f>
        <v>Non-respondent</v>
      </c>
    </row>
    <row r="214" spans="1:58" x14ac:dyDescent="0.35">
      <c r="A214">
        <v>56</v>
      </c>
      <c r="B214">
        <v>75777</v>
      </c>
      <c r="C214">
        <v>0</v>
      </c>
      <c r="D214">
        <v>0</v>
      </c>
      <c r="E214">
        <v>12</v>
      </c>
      <c r="F214">
        <v>712</v>
      </c>
      <c r="G214">
        <v>26</v>
      </c>
      <c r="H214">
        <v>538</v>
      </c>
      <c r="I214">
        <v>69</v>
      </c>
      <c r="J214">
        <v>13</v>
      </c>
      <c r="K214">
        <v>80</v>
      </c>
      <c r="L214">
        <v>1</v>
      </c>
      <c r="M214">
        <v>3</v>
      </c>
      <c r="N214">
        <v>6</v>
      </c>
      <c r="O214">
        <v>11</v>
      </c>
      <c r="P214">
        <v>1</v>
      </c>
      <c r="Q214">
        <v>0</v>
      </c>
      <c r="R214">
        <v>0</v>
      </c>
      <c r="S214">
        <v>0</v>
      </c>
      <c r="T214">
        <v>1</v>
      </c>
      <c r="U214">
        <v>1</v>
      </c>
      <c r="V214">
        <f>IF(SUM(ifood_data[[#This Row],[AcceptedCmp1]:[AcceptedCmp5]])&gt;0,1,0)</f>
        <v>1</v>
      </c>
      <c r="W214">
        <v>0</v>
      </c>
      <c r="X214">
        <v>3</v>
      </c>
      <c r="Y214">
        <v>11</v>
      </c>
      <c r="Z214">
        <v>1</v>
      </c>
      <c r="AA214">
        <v>38</v>
      </c>
      <c r="AB214">
        <v>2519</v>
      </c>
      <c r="AC214" s="28">
        <f>ifood_data[[#This Row],[Customer_Days]]/365</f>
        <v>6.9013698630136986</v>
      </c>
      <c r="AD214">
        <v>0</v>
      </c>
      <c r="AE214">
        <v>0</v>
      </c>
      <c r="AF214">
        <v>1</v>
      </c>
      <c r="AG214">
        <v>0</v>
      </c>
      <c r="AH214">
        <v>0</v>
      </c>
      <c r="AI214">
        <v>0</v>
      </c>
      <c r="AJ214">
        <v>0</v>
      </c>
      <c r="AK214">
        <v>0</v>
      </c>
      <c r="AL214">
        <v>1</v>
      </c>
      <c r="AM214">
        <v>0</v>
      </c>
      <c r="AN214">
        <v>1358</v>
      </c>
      <c r="AO214">
        <v>1278</v>
      </c>
      <c r="AP214">
        <f>ifood_data[[#This Row],[MntTotal]]-ifood_data[[#This Row],[MntRegularProds]]</f>
        <v>80</v>
      </c>
      <c r="AQ214">
        <v>2</v>
      </c>
      <c r="AR214">
        <f>IF(SUM(ifood_data[[#This Row],[Kidhome]:[Teenhome]])&gt;0,1,0)</f>
        <v>0</v>
      </c>
      <c r="AS214" t="str">
        <f>IF(SUM(ifood_data[[#This Row],[Kidhome]:[Teenhome]])&gt;0,"Has Family","No Family")</f>
        <v>No Family</v>
      </c>
      <c r="AT214" t="str">
        <f>IF(ifood_data[[#This Row],[marital_Married]]=1,"Married", (IF(ifood_data[[#This Row],[marital_Single]]=1,"Single",(IF(ifood_data[[#This Row],[marital_Divorced]]=1,"Divorced",(IF(ifood_data[[#This Row],[marital_Together]]=1,"Living Together",(IF(ifood_data[[#This Row],[marital_Widow]]=1,"Widow","Other")))))))))</f>
        <v>Single</v>
      </c>
      <c r="AU214" t="str">
        <f>IF(ifood_data[[#This Row],[education_Basic]]=1,"High School",(IF(ifood_data[[#This Row],[education_Graduation]]=1,"Undergraduate Degree",(IF(SUM(AM214,AL214,AI214)&gt;0,"Master's Degree or Higher","Other")))))</f>
        <v>Master's Degree or Higher</v>
      </c>
      <c r="AV214" t="str">
        <f>IF(ifood_data[[#All],[Income]]&gt;75000,"75K+",(IF(ifood_data[[#All],[Income]]&gt;50000,"50K-75K",(IF(ifood_data[[#All],[Income]]&gt;35000,"35K-50K","&lt;35K")))))</f>
        <v>75K+</v>
      </c>
      <c r="AW214" t="str">
        <f>IF(ifood_data[[#All],[Age]]&gt;60,"60+",(IF(ifood_data[[#All],[Age]]&gt;50,"50-60",(IF(ifood_data[[#All],[Age]]&gt;40,"40-50",(IF(ifood_data[[#All],[Age]]&gt;30,"30-40","&lt;30")))))))</f>
        <v>30-40</v>
      </c>
      <c r="AX214">
        <f t="shared" si="12"/>
        <v>22</v>
      </c>
      <c r="AY214">
        <f t="shared" si="13"/>
        <v>9</v>
      </c>
      <c r="AZ214">
        <f t="shared" si="14"/>
        <v>5</v>
      </c>
      <c r="BA214">
        <f t="shared" si="15"/>
        <v>8</v>
      </c>
      <c r="BB214">
        <f>SUM(ifood_data[[#This Row],[Recency Score]:[Monetary Score]])</f>
        <v>22</v>
      </c>
      <c r="BC214">
        <f>(_xlfn.PERCENTRANK.INC(ifood_data[[#All],[RFM]],ifood_data[[#This Row],[RFM]],1))*10</f>
        <v>8</v>
      </c>
      <c r="BD214" t="str">
        <f>VLOOKUP(ifood_data[[#This Row],[RFM Score]],'RFM Analysis'!$A$3:$B$14,2,FALSE)</f>
        <v>Loyal Customer</v>
      </c>
      <c r="BE214">
        <f>'Regression Models'!$B$101+'Regression Models'!$B$102*ifood_data[[#This Row],[Income]]+'Regression Models'!$B$103*ifood_data[[#This Row],[Age]]+'Regression Models'!$B$104*ifood_data[[#This Row],[Family]]</f>
        <v>1287.399742367777</v>
      </c>
      <c r="BF214" t="str">
        <f>IF(ifood_data[[#This Row],[AcceptedCmpOverall]]=1,"Campaign Respondent","Non-respondent")</f>
        <v>Campaign Respondent</v>
      </c>
    </row>
    <row r="215" spans="1:58" x14ac:dyDescent="0.35">
      <c r="A215">
        <v>1597</v>
      </c>
      <c r="B215">
        <v>77437</v>
      </c>
      <c r="C215">
        <v>0</v>
      </c>
      <c r="D215">
        <v>0</v>
      </c>
      <c r="E215">
        <v>70</v>
      </c>
      <c r="F215">
        <v>560</v>
      </c>
      <c r="G215">
        <v>21</v>
      </c>
      <c r="H215">
        <v>442</v>
      </c>
      <c r="I215">
        <v>29</v>
      </c>
      <c r="J215">
        <v>44</v>
      </c>
      <c r="K215">
        <v>29</v>
      </c>
      <c r="L215">
        <v>1</v>
      </c>
      <c r="M215">
        <v>4</v>
      </c>
      <c r="N215">
        <v>5</v>
      </c>
      <c r="O215">
        <v>13</v>
      </c>
      <c r="P215">
        <v>1</v>
      </c>
      <c r="Q215">
        <v>0</v>
      </c>
      <c r="R215">
        <v>0</v>
      </c>
      <c r="S215">
        <v>0</v>
      </c>
      <c r="T215">
        <v>0</v>
      </c>
      <c r="U215">
        <v>1</v>
      </c>
      <c r="V215">
        <f>IF(SUM(ifood_data[[#This Row],[AcceptedCmp1]:[AcceptedCmp5]])&gt;0,1,0)</f>
        <v>1</v>
      </c>
      <c r="W215">
        <v>0</v>
      </c>
      <c r="X215">
        <v>3</v>
      </c>
      <c r="Y215">
        <v>11</v>
      </c>
      <c r="Z215">
        <v>0</v>
      </c>
      <c r="AA215">
        <v>57</v>
      </c>
      <c r="AB215">
        <v>2374</v>
      </c>
      <c r="AC215" s="28">
        <f>ifood_data[[#This Row],[Customer_Days]]/365</f>
        <v>6.5041095890410956</v>
      </c>
      <c r="AD215">
        <v>0</v>
      </c>
      <c r="AE215">
        <v>1</v>
      </c>
      <c r="AF215">
        <v>0</v>
      </c>
      <c r="AG215">
        <v>0</v>
      </c>
      <c r="AH215">
        <v>0</v>
      </c>
      <c r="AI215">
        <v>0</v>
      </c>
      <c r="AJ215">
        <v>0</v>
      </c>
      <c r="AK215">
        <v>1</v>
      </c>
      <c r="AL215">
        <v>0</v>
      </c>
      <c r="AM215">
        <v>0</v>
      </c>
      <c r="AN215">
        <v>1096</v>
      </c>
      <c r="AO215">
        <v>1067</v>
      </c>
      <c r="AP215">
        <f>ifood_data[[#This Row],[MntTotal]]-ifood_data[[#This Row],[MntRegularProds]]</f>
        <v>29</v>
      </c>
      <c r="AQ215">
        <v>1</v>
      </c>
      <c r="AR215">
        <f>IF(SUM(ifood_data[[#This Row],[Kidhome]:[Teenhome]])&gt;0,1,0)</f>
        <v>0</v>
      </c>
      <c r="AS215" t="str">
        <f>IF(SUM(ifood_data[[#This Row],[Kidhome]:[Teenhome]])&gt;0,"Has Family","No Family")</f>
        <v>No Family</v>
      </c>
      <c r="AT215" t="str">
        <f>IF(ifood_data[[#This Row],[marital_Married]]=1,"Married", (IF(ifood_data[[#This Row],[marital_Single]]=1,"Single",(IF(ifood_data[[#This Row],[marital_Divorced]]=1,"Divorced",(IF(ifood_data[[#This Row],[marital_Together]]=1,"Living Together",(IF(ifood_data[[#This Row],[marital_Widow]]=1,"Widow","Other")))))))))</f>
        <v>Married</v>
      </c>
      <c r="AU215" t="str">
        <f>IF(ifood_data[[#This Row],[education_Basic]]=1,"High School",(IF(ifood_data[[#This Row],[education_Graduation]]=1,"Undergraduate Degree",(IF(SUM(AM215,AL215,AI215)&gt;0,"Master's Degree or Higher","Other")))))</f>
        <v>Undergraduate Degree</v>
      </c>
      <c r="AV215" t="str">
        <f>IF(ifood_data[[#All],[Income]]&gt;75000,"75K+",(IF(ifood_data[[#All],[Income]]&gt;50000,"50K-75K",(IF(ifood_data[[#All],[Income]]&gt;35000,"35K-50K","&lt;35K")))))</f>
        <v>75K+</v>
      </c>
      <c r="AW215" t="str">
        <f>IF(ifood_data[[#All],[Age]]&gt;60,"60+",(IF(ifood_data[[#All],[Age]]&gt;50,"50-60",(IF(ifood_data[[#All],[Age]]&gt;40,"40-50",(IF(ifood_data[[#All],[Age]]&gt;30,"30-40","&lt;30")))))))</f>
        <v>50-60</v>
      </c>
      <c r="AX215">
        <f t="shared" si="12"/>
        <v>24</v>
      </c>
      <c r="AY215">
        <f t="shared" si="13"/>
        <v>3.0000000000000004</v>
      </c>
      <c r="AZ215">
        <f t="shared" si="14"/>
        <v>6</v>
      </c>
      <c r="BA215">
        <f t="shared" si="15"/>
        <v>7</v>
      </c>
      <c r="BB215">
        <f>SUM(ifood_data[[#This Row],[Recency Score]:[Monetary Score]])</f>
        <v>16</v>
      </c>
      <c r="BC215">
        <f>(_xlfn.PERCENTRANK.INC(ifood_data[[#All],[RFM]],ifood_data[[#This Row],[RFM]],1))*10</f>
        <v>5</v>
      </c>
      <c r="BD215" t="str">
        <f>VLOOKUP(ifood_data[[#This Row],[RFM Score]],'RFM Analysis'!$A$3:$B$14,2,FALSE)</f>
        <v>Promising</v>
      </c>
      <c r="BE215">
        <f>'Regression Models'!$B$101+'Regression Models'!$B$102*ifood_data[[#This Row],[Income]]+'Regression Models'!$B$103*ifood_data[[#This Row],[Age]]+'Regression Models'!$B$104*ifood_data[[#This Row],[Family]]</f>
        <v>1286.352754987658</v>
      </c>
      <c r="BF215" t="str">
        <f>IF(ifood_data[[#This Row],[AcceptedCmpOverall]]=1,"Campaign Respondent","Non-respondent")</f>
        <v>Campaign Respondent</v>
      </c>
    </row>
    <row r="216" spans="1:58" x14ac:dyDescent="0.35">
      <c r="A216">
        <v>89</v>
      </c>
      <c r="B216">
        <v>78497</v>
      </c>
      <c r="C216">
        <v>0</v>
      </c>
      <c r="D216">
        <v>0</v>
      </c>
      <c r="E216">
        <v>44</v>
      </c>
      <c r="F216">
        <v>207</v>
      </c>
      <c r="G216">
        <v>26</v>
      </c>
      <c r="H216">
        <v>447</v>
      </c>
      <c r="I216">
        <v>75</v>
      </c>
      <c r="J216">
        <v>0</v>
      </c>
      <c r="K216">
        <v>223</v>
      </c>
      <c r="L216">
        <v>1</v>
      </c>
      <c r="M216">
        <v>5</v>
      </c>
      <c r="N216">
        <v>7</v>
      </c>
      <c r="O216">
        <v>12</v>
      </c>
      <c r="P216">
        <v>2</v>
      </c>
      <c r="Q216">
        <v>1</v>
      </c>
      <c r="R216">
        <v>0</v>
      </c>
      <c r="S216">
        <v>0</v>
      </c>
      <c r="T216">
        <v>0</v>
      </c>
      <c r="U216">
        <v>0</v>
      </c>
      <c r="V216">
        <f>IF(SUM(ifood_data[[#This Row],[AcceptedCmp1]:[AcceptedCmp5]])&gt;0,1,0)</f>
        <v>1</v>
      </c>
      <c r="W216">
        <v>0</v>
      </c>
      <c r="X216">
        <v>3</v>
      </c>
      <c r="Y216">
        <v>11</v>
      </c>
      <c r="Z216">
        <v>0</v>
      </c>
      <c r="AA216">
        <v>69</v>
      </c>
      <c r="AB216">
        <v>2369</v>
      </c>
      <c r="AC216" s="28">
        <f>ifood_data[[#This Row],[Customer_Days]]/365</f>
        <v>6.4904109589041097</v>
      </c>
      <c r="AD216">
        <v>0</v>
      </c>
      <c r="AE216">
        <v>1</v>
      </c>
      <c r="AF216">
        <v>0</v>
      </c>
      <c r="AG216">
        <v>0</v>
      </c>
      <c r="AH216">
        <v>0</v>
      </c>
      <c r="AI216">
        <v>1</v>
      </c>
      <c r="AJ216">
        <v>0</v>
      </c>
      <c r="AK216">
        <v>0</v>
      </c>
      <c r="AL216">
        <v>0</v>
      </c>
      <c r="AM216">
        <v>0</v>
      </c>
      <c r="AN216">
        <v>755</v>
      </c>
      <c r="AO216">
        <v>532</v>
      </c>
      <c r="AP216">
        <f>ifood_data[[#This Row],[MntTotal]]-ifood_data[[#This Row],[MntRegularProds]]</f>
        <v>223</v>
      </c>
      <c r="AQ216">
        <v>1</v>
      </c>
      <c r="AR216">
        <f>IF(SUM(ifood_data[[#This Row],[Kidhome]:[Teenhome]])&gt;0,1,0)</f>
        <v>0</v>
      </c>
      <c r="AS216" t="str">
        <f>IF(SUM(ifood_data[[#This Row],[Kidhome]:[Teenhome]])&gt;0,"Has Family","No Family")</f>
        <v>No Family</v>
      </c>
      <c r="AT216" t="str">
        <f>IF(ifood_data[[#This Row],[marital_Married]]=1,"Married", (IF(ifood_data[[#This Row],[marital_Single]]=1,"Single",(IF(ifood_data[[#This Row],[marital_Divorced]]=1,"Divorced",(IF(ifood_data[[#This Row],[marital_Together]]=1,"Living Together",(IF(ifood_data[[#This Row],[marital_Widow]]=1,"Widow","Other")))))))))</f>
        <v>Married</v>
      </c>
      <c r="AU216" t="str">
        <f>IF(ifood_data[[#This Row],[education_Basic]]=1,"High School",(IF(ifood_data[[#This Row],[education_Graduation]]=1,"Undergraduate Degree",(IF(SUM(AM216,AL216,AI216)&gt;0,"Master's Degree or Higher","Other")))))</f>
        <v>Master's Degree or Higher</v>
      </c>
      <c r="AV216" t="str">
        <f>IF(ifood_data[[#All],[Income]]&gt;75000,"75K+",(IF(ifood_data[[#All],[Income]]&gt;50000,"50K-75K",(IF(ifood_data[[#All],[Income]]&gt;35000,"35K-50K","&lt;35K")))))</f>
        <v>75K+</v>
      </c>
      <c r="AW216" t="str">
        <f>IF(ifood_data[[#All],[Age]]&gt;60,"60+",(IF(ifood_data[[#All],[Age]]&gt;50,"50-60",(IF(ifood_data[[#All],[Age]]&gt;40,"40-50",(IF(ifood_data[[#All],[Age]]&gt;30,"30-40","&lt;30")))))))</f>
        <v>60+</v>
      </c>
      <c r="AX216">
        <f t="shared" si="12"/>
        <v>27</v>
      </c>
      <c r="AY216">
        <f t="shared" si="13"/>
        <v>6</v>
      </c>
      <c r="AZ216">
        <f t="shared" si="14"/>
        <v>7</v>
      </c>
      <c r="BA216">
        <f t="shared" si="15"/>
        <v>6</v>
      </c>
      <c r="BB216">
        <f>SUM(ifood_data[[#This Row],[Recency Score]:[Monetary Score]])</f>
        <v>19</v>
      </c>
      <c r="BC216">
        <f>(_xlfn.PERCENTRANK.INC(ifood_data[[#All],[RFM]],ifood_data[[#This Row],[RFM]],1))*10</f>
        <v>7</v>
      </c>
      <c r="BD216" t="str">
        <f>VLOOKUP(ifood_data[[#This Row],[RFM Score]],'RFM Analysis'!$A$3:$B$14,2,FALSE)</f>
        <v>Loyal Customer</v>
      </c>
      <c r="BE216">
        <f>'Regression Models'!$B$101+'Regression Models'!$B$102*ifood_data[[#This Row],[Income]]+'Regression Models'!$B$103*ifood_data[[#This Row],[Age]]+'Regression Models'!$B$104*ifood_data[[#This Row],[Family]]</f>
        <v>1285.9275802734594</v>
      </c>
      <c r="BF216" t="str">
        <f>IF(ifood_data[[#This Row],[AcceptedCmpOverall]]=1,"Campaign Respondent","Non-respondent")</f>
        <v>Campaign Respondent</v>
      </c>
    </row>
    <row r="217" spans="1:58" x14ac:dyDescent="0.35">
      <c r="A217">
        <v>500</v>
      </c>
      <c r="B217">
        <v>77863</v>
      </c>
      <c r="C217">
        <v>0</v>
      </c>
      <c r="D217">
        <v>0</v>
      </c>
      <c r="E217">
        <v>20</v>
      </c>
      <c r="F217">
        <v>881</v>
      </c>
      <c r="G217">
        <v>38</v>
      </c>
      <c r="H217">
        <v>319</v>
      </c>
      <c r="I217">
        <v>16</v>
      </c>
      <c r="J217">
        <v>25</v>
      </c>
      <c r="K217">
        <v>12</v>
      </c>
      <c r="L217">
        <v>1</v>
      </c>
      <c r="M217">
        <v>4</v>
      </c>
      <c r="N217">
        <v>5</v>
      </c>
      <c r="O217">
        <v>10</v>
      </c>
      <c r="P217">
        <v>2</v>
      </c>
      <c r="Q217">
        <v>0</v>
      </c>
      <c r="R217">
        <v>0</v>
      </c>
      <c r="S217">
        <v>0</v>
      </c>
      <c r="T217">
        <v>0</v>
      </c>
      <c r="U217">
        <v>0</v>
      </c>
      <c r="V217">
        <f>IF(SUM(ifood_data[[#This Row],[AcceptedCmp1]:[AcceptedCmp5]])&gt;0,1,0)</f>
        <v>0</v>
      </c>
      <c r="W217">
        <v>0</v>
      </c>
      <c r="X217">
        <v>3</v>
      </c>
      <c r="Y217">
        <v>11</v>
      </c>
      <c r="Z217">
        <v>0</v>
      </c>
      <c r="AA217">
        <v>62</v>
      </c>
      <c r="AB217">
        <v>2373</v>
      </c>
      <c r="AC217" s="28">
        <f>ifood_data[[#This Row],[Customer_Days]]/365</f>
        <v>6.5013698630136982</v>
      </c>
      <c r="AD217">
        <v>0</v>
      </c>
      <c r="AE217">
        <v>0</v>
      </c>
      <c r="AF217">
        <v>0</v>
      </c>
      <c r="AG217">
        <v>1</v>
      </c>
      <c r="AH217">
        <v>0</v>
      </c>
      <c r="AI217">
        <v>0</v>
      </c>
      <c r="AJ217">
        <v>0</v>
      </c>
      <c r="AK217">
        <v>0</v>
      </c>
      <c r="AL217">
        <v>0</v>
      </c>
      <c r="AM217">
        <v>1</v>
      </c>
      <c r="AN217">
        <v>1279</v>
      </c>
      <c r="AO217">
        <v>1267</v>
      </c>
      <c r="AP217">
        <f>ifood_data[[#This Row],[MntTotal]]-ifood_data[[#This Row],[MntRegularProds]]</f>
        <v>12</v>
      </c>
      <c r="AQ217">
        <v>0</v>
      </c>
      <c r="AR217">
        <f>IF(SUM(ifood_data[[#This Row],[Kidhome]:[Teenhome]])&gt;0,1,0)</f>
        <v>0</v>
      </c>
      <c r="AS217" t="str">
        <f>IF(SUM(ifood_data[[#This Row],[Kidhome]:[Teenhome]])&gt;0,"Has Family","No Family")</f>
        <v>No Family</v>
      </c>
      <c r="AT217" t="str">
        <f>IF(ifood_data[[#This Row],[marital_Married]]=1,"Married", (IF(ifood_data[[#This Row],[marital_Single]]=1,"Single",(IF(ifood_data[[#This Row],[marital_Divorced]]=1,"Divorced",(IF(ifood_data[[#This Row],[marital_Together]]=1,"Living Together",(IF(ifood_data[[#This Row],[marital_Widow]]=1,"Widow","Other")))))))))</f>
        <v>Living Together</v>
      </c>
      <c r="AU217" t="str">
        <f>IF(ifood_data[[#This Row],[education_Basic]]=1,"High School",(IF(ifood_data[[#This Row],[education_Graduation]]=1,"Undergraduate Degree",(IF(SUM(AM217,AL217,AI217)&gt;0,"Master's Degree or Higher","Other")))))</f>
        <v>Master's Degree or Higher</v>
      </c>
      <c r="AV217" t="str">
        <f>IF(ifood_data[[#All],[Income]]&gt;75000,"75K+",(IF(ifood_data[[#All],[Income]]&gt;50000,"50K-75K",(IF(ifood_data[[#All],[Income]]&gt;35000,"35K-50K","&lt;35K")))))</f>
        <v>75K+</v>
      </c>
      <c r="AW217" t="str">
        <f>IF(ifood_data[[#All],[Age]]&gt;60,"60+",(IF(ifood_data[[#All],[Age]]&gt;50,"50-60",(IF(ifood_data[[#All],[Age]]&gt;40,"40-50",(IF(ifood_data[[#All],[Age]]&gt;30,"30-40","&lt;30")))))))</f>
        <v>60+</v>
      </c>
      <c r="AX217">
        <f t="shared" si="12"/>
        <v>22</v>
      </c>
      <c r="AY217">
        <f t="shared" si="13"/>
        <v>8</v>
      </c>
      <c r="AZ217">
        <f t="shared" si="14"/>
        <v>5</v>
      </c>
      <c r="BA217">
        <f t="shared" si="15"/>
        <v>8</v>
      </c>
      <c r="BB217">
        <f>SUM(ifood_data[[#This Row],[Recency Score]:[Monetary Score]])</f>
        <v>21</v>
      </c>
      <c r="BC217">
        <f>(_xlfn.PERCENTRANK.INC(ifood_data[[#All],[RFM]],ifood_data[[#This Row],[RFM]],1))*10</f>
        <v>8</v>
      </c>
      <c r="BD217" t="str">
        <f>VLOOKUP(ifood_data[[#This Row],[RFM Score]],'RFM Analysis'!$A$3:$B$14,2,FALSE)</f>
        <v>Loyal Customer</v>
      </c>
      <c r="BE217">
        <f>'Regression Models'!$B$101+'Regression Models'!$B$102*ifood_data[[#This Row],[Income]]+'Regression Models'!$B$103*ifood_data[[#This Row],[Age]]+'Regression Models'!$B$104*ifood_data[[#This Row],[Family]]</f>
        <v>1285.8561748224872</v>
      </c>
      <c r="BF217" t="str">
        <f>IF(ifood_data[[#This Row],[AcceptedCmpOverall]]=1,"Campaign Respondent","Non-respondent")</f>
        <v>Non-respondent</v>
      </c>
    </row>
    <row r="218" spans="1:58" x14ac:dyDescent="0.35">
      <c r="A218">
        <v>511</v>
      </c>
      <c r="B218">
        <v>76982</v>
      </c>
      <c r="C218">
        <v>0</v>
      </c>
      <c r="D218">
        <v>0</v>
      </c>
      <c r="E218">
        <v>19</v>
      </c>
      <c r="F218">
        <v>464</v>
      </c>
      <c r="G218">
        <v>151</v>
      </c>
      <c r="H218">
        <v>292</v>
      </c>
      <c r="I218">
        <v>65</v>
      </c>
      <c r="J218">
        <v>60</v>
      </c>
      <c r="K218">
        <v>30</v>
      </c>
      <c r="L218">
        <v>1</v>
      </c>
      <c r="M218">
        <v>8</v>
      </c>
      <c r="N218">
        <v>3</v>
      </c>
      <c r="O218">
        <v>4</v>
      </c>
      <c r="P218">
        <v>4</v>
      </c>
      <c r="Q218">
        <v>0</v>
      </c>
      <c r="R218">
        <v>0</v>
      </c>
      <c r="S218">
        <v>0</v>
      </c>
      <c r="T218">
        <v>0</v>
      </c>
      <c r="U218">
        <v>1</v>
      </c>
      <c r="V218">
        <f>IF(SUM(ifood_data[[#This Row],[AcceptedCmp1]:[AcceptedCmp5]])&gt;0,1,0)</f>
        <v>1</v>
      </c>
      <c r="W218">
        <v>0</v>
      </c>
      <c r="X218">
        <v>3</v>
      </c>
      <c r="Y218">
        <v>11</v>
      </c>
      <c r="Z218">
        <v>1</v>
      </c>
      <c r="AA218">
        <v>53</v>
      </c>
      <c r="AB218">
        <v>2293</v>
      </c>
      <c r="AC218" s="28">
        <f>ifood_data[[#This Row],[Customer_Days]]/365</f>
        <v>6.2821917808219174</v>
      </c>
      <c r="AD218">
        <v>1</v>
      </c>
      <c r="AE218">
        <v>0</v>
      </c>
      <c r="AF218">
        <v>0</v>
      </c>
      <c r="AG218">
        <v>0</v>
      </c>
      <c r="AH218">
        <v>0</v>
      </c>
      <c r="AI218">
        <v>0</v>
      </c>
      <c r="AJ218">
        <v>0</v>
      </c>
      <c r="AK218">
        <v>1</v>
      </c>
      <c r="AL218">
        <v>0</v>
      </c>
      <c r="AM218">
        <v>0</v>
      </c>
      <c r="AN218">
        <v>1032</v>
      </c>
      <c r="AO218">
        <v>1002</v>
      </c>
      <c r="AP218">
        <f>ifood_data[[#This Row],[MntTotal]]-ifood_data[[#This Row],[MntRegularProds]]</f>
        <v>30</v>
      </c>
      <c r="AQ218">
        <v>1</v>
      </c>
      <c r="AR218">
        <f>IF(SUM(ifood_data[[#This Row],[Kidhome]:[Teenhome]])&gt;0,1,0)</f>
        <v>0</v>
      </c>
      <c r="AS218" t="str">
        <f>IF(SUM(ifood_data[[#This Row],[Kidhome]:[Teenhome]])&gt;0,"Has Family","No Family")</f>
        <v>No Family</v>
      </c>
      <c r="AT218" t="str">
        <f>IF(ifood_data[[#This Row],[marital_Married]]=1,"Married", (IF(ifood_data[[#This Row],[marital_Single]]=1,"Single",(IF(ifood_data[[#This Row],[marital_Divorced]]=1,"Divorced",(IF(ifood_data[[#This Row],[marital_Together]]=1,"Living Together",(IF(ifood_data[[#This Row],[marital_Widow]]=1,"Widow","Other")))))))))</f>
        <v>Divorced</v>
      </c>
      <c r="AU218" t="str">
        <f>IF(ifood_data[[#This Row],[education_Basic]]=1,"High School",(IF(ifood_data[[#This Row],[education_Graduation]]=1,"Undergraduate Degree",(IF(SUM(AM218,AL218,AI218)&gt;0,"Master's Degree or Higher","Other")))))</f>
        <v>Undergraduate Degree</v>
      </c>
      <c r="AV218" t="str">
        <f>IF(ifood_data[[#All],[Income]]&gt;75000,"75K+",(IF(ifood_data[[#All],[Income]]&gt;50000,"50K-75K",(IF(ifood_data[[#All],[Income]]&gt;35000,"35K-50K","&lt;35K")))))</f>
        <v>75K+</v>
      </c>
      <c r="AW218" t="str">
        <f>IF(ifood_data[[#All],[Age]]&gt;60,"60+",(IF(ifood_data[[#All],[Age]]&gt;50,"50-60",(IF(ifood_data[[#All],[Age]]&gt;40,"40-50",(IF(ifood_data[[#All],[Age]]&gt;30,"30-40","&lt;30")))))))</f>
        <v>50-60</v>
      </c>
      <c r="AX218">
        <f t="shared" si="12"/>
        <v>20</v>
      </c>
      <c r="AY218">
        <f t="shared" si="13"/>
        <v>9</v>
      </c>
      <c r="AZ218">
        <f t="shared" si="14"/>
        <v>4</v>
      </c>
      <c r="BA218">
        <f t="shared" si="15"/>
        <v>7</v>
      </c>
      <c r="BB218">
        <f>SUM(ifood_data[[#This Row],[Recency Score]:[Monetary Score]])</f>
        <v>20</v>
      </c>
      <c r="BC218">
        <f>(_xlfn.PERCENTRANK.INC(ifood_data[[#All],[RFM]],ifood_data[[#This Row],[RFM]],1))*10</f>
        <v>7</v>
      </c>
      <c r="BD218" t="str">
        <f>VLOOKUP(ifood_data[[#This Row],[RFM Score]],'RFM Analysis'!$A$3:$B$14,2,FALSE)</f>
        <v>Loyal Customer</v>
      </c>
      <c r="BE218">
        <f>'Regression Models'!$B$101+'Regression Models'!$B$102*ifood_data[[#This Row],[Income]]+'Regression Models'!$B$103*ifood_data[[#This Row],[Age]]+'Regression Models'!$B$104*ifood_data[[#This Row],[Family]]</f>
        <v>1284.421621797761</v>
      </c>
      <c r="BF218" t="str">
        <f>IF(ifood_data[[#This Row],[AcceptedCmpOverall]]=1,"Campaign Respondent","Non-respondent")</f>
        <v>Campaign Respondent</v>
      </c>
    </row>
    <row r="219" spans="1:58" x14ac:dyDescent="0.35">
      <c r="A219">
        <v>1186</v>
      </c>
      <c r="B219">
        <v>76653</v>
      </c>
      <c r="C219">
        <v>0</v>
      </c>
      <c r="D219">
        <v>0</v>
      </c>
      <c r="E219">
        <v>91</v>
      </c>
      <c r="F219">
        <v>736</v>
      </c>
      <c r="G219">
        <v>63</v>
      </c>
      <c r="H219">
        <v>946</v>
      </c>
      <c r="I219">
        <v>219</v>
      </c>
      <c r="J219">
        <v>189</v>
      </c>
      <c r="K219">
        <v>126</v>
      </c>
      <c r="L219">
        <v>1</v>
      </c>
      <c r="M219">
        <v>4</v>
      </c>
      <c r="N219">
        <v>7</v>
      </c>
      <c r="O219">
        <v>11</v>
      </c>
      <c r="P219">
        <v>2</v>
      </c>
      <c r="Q219">
        <v>1</v>
      </c>
      <c r="R219">
        <v>0</v>
      </c>
      <c r="S219">
        <v>0</v>
      </c>
      <c r="T219">
        <v>0</v>
      </c>
      <c r="U219">
        <v>1</v>
      </c>
      <c r="V219">
        <f>IF(SUM(ifood_data[[#This Row],[AcceptedCmp1]:[AcceptedCmp5]])&gt;0,1,0)</f>
        <v>1</v>
      </c>
      <c r="W219">
        <v>0</v>
      </c>
      <c r="X219">
        <v>3</v>
      </c>
      <c r="Y219">
        <v>11</v>
      </c>
      <c r="Z219">
        <v>0</v>
      </c>
      <c r="AA219">
        <v>51</v>
      </c>
      <c r="AB219">
        <v>2476</v>
      </c>
      <c r="AC219" s="28">
        <f>ifood_data[[#This Row],[Customer_Days]]/365</f>
        <v>6.7835616438356166</v>
      </c>
      <c r="AD219">
        <v>0</v>
      </c>
      <c r="AE219">
        <v>0</v>
      </c>
      <c r="AF219">
        <v>0</v>
      </c>
      <c r="AG219">
        <v>1</v>
      </c>
      <c r="AH219">
        <v>0</v>
      </c>
      <c r="AI219">
        <v>0</v>
      </c>
      <c r="AJ219">
        <v>0</v>
      </c>
      <c r="AK219">
        <v>1</v>
      </c>
      <c r="AL219">
        <v>0</v>
      </c>
      <c r="AM219">
        <v>0</v>
      </c>
      <c r="AN219">
        <v>2153</v>
      </c>
      <c r="AO219">
        <v>2027</v>
      </c>
      <c r="AP219">
        <f>ifood_data[[#This Row],[MntTotal]]-ifood_data[[#This Row],[MntRegularProds]]</f>
        <v>126</v>
      </c>
      <c r="AQ219">
        <v>2</v>
      </c>
      <c r="AR219">
        <f>IF(SUM(ifood_data[[#This Row],[Kidhome]:[Teenhome]])&gt;0,1,0)</f>
        <v>0</v>
      </c>
      <c r="AS219" t="str">
        <f>IF(SUM(ifood_data[[#This Row],[Kidhome]:[Teenhome]])&gt;0,"Has Family","No Family")</f>
        <v>No Family</v>
      </c>
      <c r="AT219" t="str">
        <f>IF(ifood_data[[#This Row],[marital_Married]]=1,"Married", (IF(ifood_data[[#This Row],[marital_Single]]=1,"Single",(IF(ifood_data[[#This Row],[marital_Divorced]]=1,"Divorced",(IF(ifood_data[[#This Row],[marital_Together]]=1,"Living Together",(IF(ifood_data[[#This Row],[marital_Widow]]=1,"Widow","Other")))))))))</f>
        <v>Living Together</v>
      </c>
      <c r="AU219" t="str">
        <f>IF(ifood_data[[#This Row],[education_Basic]]=1,"High School",(IF(ifood_data[[#This Row],[education_Graduation]]=1,"Undergraduate Degree",(IF(SUM(AM219,AL219,AI219)&gt;0,"Master's Degree or Higher","Other")))))</f>
        <v>Undergraduate Degree</v>
      </c>
      <c r="AV219" t="str">
        <f>IF(ifood_data[[#All],[Income]]&gt;75000,"75K+",(IF(ifood_data[[#All],[Income]]&gt;50000,"50K-75K",(IF(ifood_data[[#All],[Income]]&gt;35000,"35K-50K","&lt;35K")))))</f>
        <v>75K+</v>
      </c>
      <c r="AW219" t="str">
        <f>IF(ifood_data[[#All],[Age]]&gt;60,"60+",(IF(ifood_data[[#All],[Age]]&gt;50,"50-60",(IF(ifood_data[[#All],[Age]]&gt;40,"40-50",(IF(ifood_data[[#All],[Age]]&gt;30,"30-40","&lt;30")))))))</f>
        <v>50-60</v>
      </c>
      <c r="AX219">
        <f t="shared" si="12"/>
        <v>25</v>
      </c>
      <c r="AY219">
        <f t="shared" si="13"/>
        <v>0.99999999999999978</v>
      </c>
      <c r="AZ219">
        <f t="shared" si="14"/>
        <v>7</v>
      </c>
      <c r="BA219">
        <f t="shared" si="15"/>
        <v>9</v>
      </c>
      <c r="BB219">
        <f>SUM(ifood_data[[#This Row],[Recency Score]:[Monetary Score]])</f>
        <v>17</v>
      </c>
      <c r="BC219">
        <f>(_xlfn.PERCENTRANK.INC(ifood_data[[#All],[RFM]],ifood_data[[#This Row],[RFM]],1))*10</f>
        <v>6</v>
      </c>
      <c r="BD219" t="str">
        <f>VLOOKUP(ifood_data[[#This Row],[RFM Score]],'RFM Analysis'!$A$3:$B$14,2,FALSE)</f>
        <v>Promising</v>
      </c>
      <c r="BE219">
        <f>'Regression Models'!$B$101+'Regression Models'!$B$102*ifood_data[[#This Row],[Income]]+'Regression Models'!$B$103*ifood_data[[#This Row],[Age]]+'Regression Models'!$B$104*ifood_data[[#This Row],[Family]]</f>
        <v>1281.3865952362066</v>
      </c>
      <c r="BF219" t="str">
        <f>IF(ifood_data[[#This Row],[AcceptedCmpOverall]]=1,"Campaign Respondent","Non-respondent")</f>
        <v>Campaign Respondent</v>
      </c>
    </row>
    <row r="220" spans="1:58" x14ac:dyDescent="0.35">
      <c r="A220">
        <v>197</v>
      </c>
      <c r="B220">
        <v>77972</v>
      </c>
      <c r="C220">
        <v>0</v>
      </c>
      <c r="D220">
        <v>0</v>
      </c>
      <c r="E220">
        <v>18</v>
      </c>
      <c r="F220">
        <v>613</v>
      </c>
      <c r="G220">
        <v>22</v>
      </c>
      <c r="H220">
        <v>319</v>
      </c>
      <c r="I220">
        <v>33</v>
      </c>
      <c r="J220">
        <v>102</v>
      </c>
      <c r="K220">
        <v>12</v>
      </c>
      <c r="L220">
        <v>1</v>
      </c>
      <c r="M220">
        <v>4</v>
      </c>
      <c r="N220">
        <v>6</v>
      </c>
      <c r="O220">
        <v>9</v>
      </c>
      <c r="P220">
        <v>1</v>
      </c>
      <c r="Q220">
        <v>0</v>
      </c>
      <c r="R220">
        <v>0</v>
      </c>
      <c r="S220">
        <v>0</v>
      </c>
      <c r="T220">
        <v>0</v>
      </c>
      <c r="U220">
        <v>0</v>
      </c>
      <c r="V220">
        <f>IF(SUM(ifood_data[[#This Row],[AcceptedCmp1]:[AcceptedCmp5]])&gt;0,1,0)</f>
        <v>0</v>
      </c>
      <c r="W220">
        <v>0</v>
      </c>
      <c r="X220">
        <v>3</v>
      </c>
      <c r="Y220">
        <v>11</v>
      </c>
      <c r="Z220">
        <v>0</v>
      </c>
      <c r="AA220">
        <v>66</v>
      </c>
      <c r="AB220">
        <v>2262</v>
      </c>
      <c r="AC220" s="28">
        <f>ifood_data[[#This Row],[Customer_Days]]/365</f>
        <v>6.1972602739726028</v>
      </c>
      <c r="AD220">
        <v>0</v>
      </c>
      <c r="AE220">
        <v>0</v>
      </c>
      <c r="AF220">
        <v>0</v>
      </c>
      <c r="AG220">
        <v>1</v>
      </c>
      <c r="AH220">
        <v>0</v>
      </c>
      <c r="AI220">
        <v>0</v>
      </c>
      <c r="AJ220">
        <v>0</v>
      </c>
      <c r="AK220">
        <v>1</v>
      </c>
      <c r="AL220">
        <v>0</v>
      </c>
      <c r="AM220">
        <v>0</v>
      </c>
      <c r="AN220">
        <v>1089</v>
      </c>
      <c r="AO220">
        <v>1077</v>
      </c>
      <c r="AP220">
        <f>ifood_data[[#This Row],[MntTotal]]-ifood_data[[#This Row],[MntRegularProds]]</f>
        <v>12</v>
      </c>
      <c r="AQ220">
        <v>0</v>
      </c>
      <c r="AR220">
        <f>IF(SUM(ifood_data[[#This Row],[Kidhome]:[Teenhome]])&gt;0,1,0)</f>
        <v>0</v>
      </c>
      <c r="AS220" t="str">
        <f>IF(SUM(ifood_data[[#This Row],[Kidhome]:[Teenhome]])&gt;0,"Has Family","No Family")</f>
        <v>No Family</v>
      </c>
      <c r="AT220" t="str">
        <f>IF(ifood_data[[#This Row],[marital_Married]]=1,"Married", (IF(ifood_data[[#This Row],[marital_Single]]=1,"Single",(IF(ifood_data[[#This Row],[marital_Divorced]]=1,"Divorced",(IF(ifood_data[[#This Row],[marital_Together]]=1,"Living Together",(IF(ifood_data[[#This Row],[marital_Widow]]=1,"Widow","Other")))))))))</f>
        <v>Living Together</v>
      </c>
      <c r="AU220" t="str">
        <f>IF(ifood_data[[#This Row],[education_Basic]]=1,"High School",(IF(ifood_data[[#This Row],[education_Graduation]]=1,"Undergraduate Degree",(IF(SUM(AM220,AL220,AI220)&gt;0,"Master's Degree or Higher","Other")))))</f>
        <v>Undergraduate Degree</v>
      </c>
      <c r="AV220" t="str">
        <f>IF(ifood_data[[#All],[Income]]&gt;75000,"75K+",(IF(ifood_data[[#All],[Income]]&gt;50000,"50K-75K",(IF(ifood_data[[#All],[Income]]&gt;35000,"35K-50K","&lt;35K")))))</f>
        <v>75K+</v>
      </c>
      <c r="AW220" t="str">
        <f>IF(ifood_data[[#All],[Age]]&gt;60,"60+",(IF(ifood_data[[#All],[Age]]&gt;50,"50-60",(IF(ifood_data[[#All],[Age]]&gt;40,"40-50",(IF(ifood_data[[#All],[Age]]&gt;30,"30-40","&lt;30")))))))</f>
        <v>60+</v>
      </c>
      <c r="AX220">
        <f t="shared" si="12"/>
        <v>21</v>
      </c>
      <c r="AY220">
        <f t="shared" si="13"/>
        <v>9</v>
      </c>
      <c r="AZ220">
        <f t="shared" si="14"/>
        <v>5</v>
      </c>
      <c r="BA220">
        <f t="shared" si="15"/>
        <v>7</v>
      </c>
      <c r="BB220">
        <f>SUM(ifood_data[[#This Row],[Recency Score]:[Monetary Score]])</f>
        <v>21</v>
      </c>
      <c r="BC220">
        <f>(_xlfn.PERCENTRANK.INC(ifood_data[[#All],[RFM]],ifood_data[[#This Row],[RFM]],1))*10</f>
        <v>8</v>
      </c>
      <c r="BD220" t="str">
        <f>VLOOKUP(ifood_data[[#This Row],[RFM Score]],'RFM Analysis'!$A$3:$B$14,2,FALSE)</f>
        <v>Loyal Customer</v>
      </c>
      <c r="BE220">
        <f>'Regression Models'!$B$101+'Regression Models'!$B$102*ifood_data[[#This Row],[Income]]+'Regression Models'!$B$103*ifood_data[[#This Row],[Age]]+'Regression Models'!$B$104*ifood_data[[#This Row],[Family]]</f>
        <v>1280.7327942345953</v>
      </c>
      <c r="BF220" t="str">
        <f>IF(ifood_data[[#This Row],[AcceptedCmpOverall]]=1,"Campaign Respondent","Non-respondent")</f>
        <v>Non-respondent</v>
      </c>
    </row>
    <row r="221" spans="1:58" x14ac:dyDescent="0.35">
      <c r="A221">
        <v>1343</v>
      </c>
      <c r="B221">
        <v>78427</v>
      </c>
      <c r="C221">
        <v>0</v>
      </c>
      <c r="D221">
        <v>0</v>
      </c>
      <c r="E221">
        <v>36</v>
      </c>
      <c r="F221">
        <v>972</v>
      </c>
      <c r="G221">
        <v>19</v>
      </c>
      <c r="H221">
        <v>595</v>
      </c>
      <c r="I221">
        <v>180</v>
      </c>
      <c r="J221">
        <v>26</v>
      </c>
      <c r="K221">
        <v>138</v>
      </c>
      <c r="L221">
        <v>3</v>
      </c>
      <c r="M221">
        <v>3</v>
      </c>
      <c r="N221">
        <v>7</v>
      </c>
      <c r="O221">
        <v>10</v>
      </c>
      <c r="P221">
        <v>3</v>
      </c>
      <c r="Q221">
        <v>1</v>
      </c>
      <c r="R221">
        <v>0</v>
      </c>
      <c r="S221">
        <v>0</v>
      </c>
      <c r="T221">
        <v>0</v>
      </c>
      <c r="U221">
        <v>0</v>
      </c>
      <c r="V221">
        <f>IF(SUM(ifood_data[[#This Row],[AcceptedCmp1]:[AcceptedCmp5]])&gt;0,1,0)</f>
        <v>1</v>
      </c>
      <c r="W221">
        <v>0</v>
      </c>
      <c r="X221">
        <v>3</v>
      </c>
      <c r="Y221">
        <v>11</v>
      </c>
      <c r="Z221">
        <v>1</v>
      </c>
      <c r="AA221">
        <v>72</v>
      </c>
      <c r="AB221">
        <v>2772</v>
      </c>
      <c r="AC221" s="28">
        <f>ifood_data[[#This Row],[Customer_Days]]/365</f>
        <v>7.5945205479452058</v>
      </c>
      <c r="AD221">
        <v>0</v>
      </c>
      <c r="AE221">
        <v>0</v>
      </c>
      <c r="AF221">
        <v>0</v>
      </c>
      <c r="AG221">
        <v>0</v>
      </c>
      <c r="AH221">
        <v>1</v>
      </c>
      <c r="AI221">
        <v>0</v>
      </c>
      <c r="AJ221">
        <v>0</v>
      </c>
      <c r="AK221">
        <v>0</v>
      </c>
      <c r="AL221">
        <v>1</v>
      </c>
      <c r="AM221">
        <v>0</v>
      </c>
      <c r="AN221">
        <v>1792</v>
      </c>
      <c r="AO221">
        <v>1654</v>
      </c>
      <c r="AP221">
        <f>ifood_data[[#This Row],[MntTotal]]-ifood_data[[#This Row],[MntRegularProds]]</f>
        <v>138</v>
      </c>
      <c r="AQ221">
        <v>1</v>
      </c>
      <c r="AR221">
        <f>IF(SUM(ifood_data[[#This Row],[Kidhome]:[Teenhome]])&gt;0,1,0)</f>
        <v>0</v>
      </c>
      <c r="AS221" t="str">
        <f>IF(SUM(ifood_data[[#This Row],[Kidhome]:[Teenhome]])&gt;0,"Has Family","No Family")</f>
        <v>No Family</v>
      </c>
      <c r="AT221" t="str">
        <f>IF(ifood_data[[#This Row],[marital_Married]]=1,"Married", (IF(ifood_data[[#This Row],[marital_Single]]=1,"Single",(IF(ifood_data[[#This Row],[marital_Divorced]]=1,"Divorced",(IF(ifood_data[[#This Row],[marital_Together]]=1,"Living Together",(IF(ifood_data[[#This Row],[marital_Widow]]=1,"Widow","Other")))))))))</f>
        <v>Widow</v>
      </c>
      <c r="AU221" t="str">
        <f>IF(ifood_data[[#This Row],[education_Basic]]=1,"High School",(IF(ifood_data[[#This Row],[education_Graduation]]=1,"Undergraduate Degree",(IF(SUM(AM221,AL221,AI221)&gt;0,"Master's Degree or Higher","Other")))))</f>
        <v>Master's Degree or Higher</v>
      </c>
      <c r="AV221" t="str">
        <f>IF(ifood_data[[#All],[Income]]&gt;75000,"75K+",(IF(ifood_data[[#All],[Income]]&gt;50000,"50K-75K",(IF(ifood_data[[#All],[Income]]&gt;35000,"35K-50K","&lt;35K")))))</f>
        <v>75K+</v>
      </c>
      <c r="AW221" t="str">
        <f>IF(ifood_data[[#All],[Age]]&gt;60,"60+",(IF(ifood_data[[#All],[Age]]&gt;50,"50-60",(IF(ifood_data[[#All],[Age]]&gt;40,"40-50",(IF(ifood_data[[#All],[Age]]&gt;30,"30-40","&lt;30")))))))</f>
        <v>60+</v>
      </c>
      <c r="AX221">
        <f t="shared" si="12"/>
        <v>26</v>
      </c>
      <c r="AY221">
        <f t="shared" si="13"/>
        <v>7</v>
      </c>
      <c r="AZ221">
        <f t="shared" si="14"/>
        <v>7</v>
      </c>
      <c r="BA221">
        <f t="shared" si="15"/>
        <v>9</v>
      </c>
      <c r="BB221">
        <f>SUM(ifood_data[[#This Row],[Recency Score]:[Monetary Score]])</f>
        <v>23</v>
      </c>
      <c r="BC221">
        <f>(_xlfn.PERCENTRANK.INC(ifood_data[[#All],[RFM]],ifood_data[[#This Row],[RFM]],1))*10</f>
        <v>8</v>
      </c>
      <c r="BD221" t="str">
        <f>VLOOKUP(ifood_data[[#This Row],[RFM Score]],'RFM Analysis'!$A$3:$B$14,2,FALSE)</f>
        <v>Loyal Customer</v>
      </c>
      <c r="BE221">
        <f>'Regression Models'!$B$101+'Regression Models'!$B$102*ifood_data[[#This Row],[Income]]+'Regression Models'!$B$103*ifood_data[[#This Row],[Age]]+'Regression Models'!$B$104*ifood_data[[#This Row],[Family]]</f>
        <v>1278.9910492667034</v>
      </c>
      <c r="BF221" t="str">
        <f>IF(ifood_data[[#This Row],[AcceptedCmpOverall]]=1,"Campaign Respondent","Non-respondent")</f>
        <v>Campaign Respondent</v>
      </c>
    </row>
    <row r="222" spans="1:58" x14ac:dyDescent="0.35">
      <c r="A222">
        <v>1222</v>
      </c>
      <c r="B222">
        <v>78569</v>
      </c>
      <c r="C222">
        <v>0</v>
      </c>
      <c r="D222">
        <v>0</v>
      </c>
      <c r="E222">
        <v>14</v>
      </c>
      <c r="F222">
        <v>558</v>
      </c>
      <c r="G222">
        <v>79</v>
      </c>
      <c r="H222">
        <v>622</v>
      </c>
      <c r="I222">
        <v>207</v>
      </c>
      <c r="J222">
        <v>175</v>
      </c>
      <c r="K222">
        <v>95</v>
      </c>
      <c r="L222">
        <v>1</v>
      </c>
      <c r="M222">
        <v>4</v>
      </c>
      <c r="N222">
        <v>6</v>
      </c>
      <c r="O222">
        <v>4</v>
      </c>
      <c r="P222">
        <v>1</v>
      </c>
      <c r="Q222">
        <v>0</v>
      </c>
      <c r="R222">
        <v>0</v>
      </c>
      <c r="S222">
        <v>0</v>
      </c>
      <c r="T222">
        <v>0</v>
      </c>
      <c r="U222">
        <v>1</v>
      </c>
      <c r="V222">
        <f>IF(SUM(ifood_data[[#This Row],[AcceptedCmp1]:[AcceptedCmp5]])&gt;0,1,0)</f>
        <v>1</v>
      </c>
      <c r="W222">
        <v>0</v>
      </c>
      <c r="X222">
        <v>3</v>
      </c>
      <c r="Y222">
        <v>11</v>
      </c>
      <c r="Z222">
        <v>1</v>
      </c>
      <c r="AA222">
        <v>74</v>
      </c>
      <c r="AB222">
        <v>2289</v>
      </c>
      <c r="AC222" s="28">
        <f>ifood_data[[#This Row],[Customer_Days]]/365</f>
        <v>6.2712328767123289</v>
      </c>
      <c r="AD222">
        <v>0</v>
      </c>
      <c r="AE222">
        <v>1</v>
      </c>
      <c r="AF222">
        <v>0</v>
      </c>
      <c r="AG222">
        <v>0</v>
      </c>
      <c r="AH222">
        <v>0</v>
      </c>
      <c r="AI222">
        <v>0</v>
      </c>
      <c r="AJ222">
        <v>0</v>
      </c>
      <c r="AK222">
        <v>1</v>
      </c>
      <c r="AL222">
        <v>0</v>
      </c>
      <c r="AM222">
        <v>0</v>
      </c>
      <c r="AN222">
        <v>1641</v>
      </c>
      <c r="AO222">
        <v>1546</v>
      </c>
      <c r="AP222">
        <f>ifood_data[[#This Row],[MntTotal]]-ifood_data[[#This Row],[MntRegularProds]]</f>
        <v>95</v>
      </c>
      <c r="AQ222">
        <v>1</v>
      </c>
      <c r="AR222">
        <f>IF(SUM(ifood_data[[#This Row],[Kidhome]:[Teenhome]])&gt;0,1,0)</f>
        <v>0</v>
      </c>
      <c r="AS222" t="str">
        <f>IF(SUM(ifood_data[[#This Row],[Kidhome]:[Teenhome]])&gt;0,"Has Family","No Family")</f>
        <v>No Family</v>
      </c>
      <c r="AT222" t="str">
        <f>IF(ifood_data[[#This Row],[marital_Married]]=1,"Married", (IF(ifood_data[[#This Row],[marital_Single]]=1,"Single",(IF(ifood_data[[#This Row],[marital_Divorced]]=1,"Divorced",(IF(ifood_data[[#This Row],[marital_Together]]=1,"Living Together",(IF(ifood_data[[#This Row],[marital_Widow]]=1,"Widow","Other")))))))))</f>
        <v>Married</v>
      </c>
      <c r="AU222" t="str">
        <f>IF(ifood_data[[#This Row],[education_Basic]]=1,"High School",(IF(ifood_data[[#This Row],[education_Graduation]]=1,"Undergraduate Degree",(IF(SUM(AM222,AL222,AI222)&gt;0,"Master's Degree or Higher","Other")))))</f>
        <v>Undergraduate Degree</v>
      </c>
      <c r="AV222" t="str">
        <f>IF(ifood_data[[#All],[Income]]&gt;75000,"75K+",(IF(ifood_data[[#All],[Income]]&gt;50000,"50K-75K",(IF(ifood_data[[#All],[Income]]&gt;35000,"35K-50K","&lt;35K")))))</f>
        <v>75K+</v>
      </c>
      <c r="AW222" t="str">
        <f>IF(ifood_data[[#All],[Age]]&gt;60,"60+",(IF(ifood_data[[#All],[Age]]&gt;50,"50-60",(IF(ifood_data[[#All],[Age]]&gt;40,"40-50",(IF(ifood_data[[#All],[Age]]&gt;30,"30-40","&lt;30")))))))</f>
        <v>60+</v>
      </c>
      <c r="AX222">
        <f t="shared" si="12"/>
        <v>16</v>
      </c>
      <c r="AY222">
        <f t="shared" si="13"/>
        <v>9</v>
      </c>
      <c r="AZ222">
        <f t="shared" si="14"/>
        <v>3</v>
      </c>
      <c r="BA222">
        <f t="shared" si="15"/>
        <v>9</v>
      </c>
      <c r="BB222">
        <f>SUM(ifood_data[[#This Row],[Recency Score]:[Monetary Score]])</f>
        <v>21</v>
      </c>
      <c r="BC222">
        <f>(_xlfn.PERCENTRANK.INC(ifood_data[[#All],[RFM]],ifood_data[[#This Row],[RFM]],1))*10</f>
        <v>8</v>
      </c>
      <c r="BD222" t="str">
        <f>VLOOKUP(ifood_data[[#This Row],[RFM Score]],'RFM Analysis'!$A$3:$B$14,2,FALSE)</f>
        <v>Loyal Customer</v>
      </c>
      <c r="BE222">
        <f>'Regression Models'!$B$101+'Regression Models'!$B$102*ifood_data[[#This Row],[Income]]+'Regression Models'!$B$103*ifood_data[[#This Row],[Age]]+'Regression Models'!$B$104*ifood_data[[#This Row],[Family]]</f>
        <v>1278.2133761853486</v>
      </c>
      <c r="BF222" t="str">
        <f>IF(ifood_data[[#This Row],[AcceptedCmpOverall]]=1,"Campaign Respondent","Non-respondent")</f>
        <v>Campaign Respondent</v>
      </c>
    </row>
    <row r="223" spans="1:58" x14ac:dyDescent="0.35">
      <c r="A223">
        <v>72</v>
      </c>
      <c r="B223">
        <v>75825</v>
      </c>
      <c r="C223">
        <v>0</v>
      </c>
      <c r="D223">
        <v>0</v>
      </c>
      <c r="E223">
        <v>40</v>
      </c>
      <c r="F223">
        <v>1032</v>
      </c>
      <c r="G223">
        <v>105</v>
      </c>
      <c r="H223">
        <v>779</v>
      </c>
      <c r="I223">
        <v>137</v>
      </c>
      <c r="J223">
        <v>105</v>
      </c>
      <c r="K223">
        <v>51</v>
      </c>
      <c r="L223">
        <v>0</v>
      </c>
      <c r="M223">
        <v>5</v>
      </c>
      <c r="N223">
        <v>8</v>
      </c>
      <c r="O223">
        <v>9</v>
      </c>
      <c r="P223">
        <v>4</v>
      </c>
      <c r="Q223">
        <v>0</v>
      </c>
      <c r="R223">
        <v>0</v>
      </c>
      <c r="S223">
        <v>1</v>
      </c>
      <c r="T223">
        <v>0</v>
      </c>
      <c r="U223">
        <v>0</v>
      </c>
      <c r="V223">
        <f>IF(SUM(ifood_data[[#This Row],[AcceptedCmp1]:[AcceptedCmp5]])&gt;0,1,0)</f>
        <v>1</v>
      </c>
      <c r="W223">
        <v>0</v>
      </c>
      <c r="X223">
        <v>3</v>
      </c>
      <c r="Y223">
        <v>11</v>
      </c>
      <c r="Z223">
        <v>1</v>
      </c>
      <c r="AA223">
        <v>44</v>
      </c>
      <c r="AB223">
        <v>2784</v>
      </c>
      <c r="AC223" s="28">
        <f>ifood_data[[#This Row],[Customer_Days]]/365</f>
        <v>7.6273972602739724</v>
      </c>
      <c r="AD223">
        <v>0</v>
      </c>
      <c r="AE223">
        <v>0</v>
      </c>
      <c r="AF223">
        <v>1</v>
      </c>
      <c r="AG223">
        <v>0</v>
      </c>
      <c r="AH223">
        <v>0</v>
      </c>
      <c r="AI223">
        <v>0</v>
      </c>
      <c r="AJ223">
        <v>0</v>
      </c>
      <c r="AK223">
        <v>1</v>
      </c>
      <c r="AL223">
        <v>0</v>
      </c>
      <c r="AM223">
        <v>0</v>
      </c>
      <c r="AN223">
        <v>2158</v>
      </c>
      <c r="AO223">
        <v>2107</v>
      </c>
      <c r="AP223">
        <f>ifood_data[[#This Row],[MntTotal]]-ifood_data[[#This Row],[MntRegularProds]]</f>
        <v>51</v>
      </c>
      <c r="AQ223">
        <v>1</v>
      </c>
      <c r="AR223">
        <f>IF(SUM(ifood_data[[#This Row],[Kidhome]:[Teenhome]])&gt;0,1,0)</f>
        <v>0</v>
      </c>
      <c r="AS223" t="str">
        <f>IF(SUM(ifood_data[[#This Row],[Kidhome]:[Teenhome]])&gt;0,"Has Family","No Family")</f>
        <v>No Family</v>
      </c>
      <c r="AT223" t="str">
        <f>IF(ifood_data[[#This Row],[marital_Married]]=1,"Married", (IF(ifood_data[[#This Row],[marital_Single]]=1,"Single",(IF(ifood_data[[#This Row],[marital_Divorced]]=1,"Divorced",(IF(ifood_data[[#This Row],[marital_Together]]=1,"Living Together",(IF(ifood_data[[#This Row],[marital_Widow]]=1,"Widow","Other")))))))))</f>
        <v>Single</v>
      </c>
      <c r="AU223" t="str">
        <f>IF(ifood_data[[#This Row],[education_Basic]]=1,"High School",(IF(ifood_data[[#This Row],[education_Graduation]]=1,"Undergraduate Degree",(IF(SUM(AM223,AL223,AI223)&gt;0,"Master's Degree or Higher","Other")))))</f>
        <v>Undergraduate Degree</v>
      </c>
      <c r="AV223" t="str">
        <f>IF(ifood_data[[#All],[Income]]&gt;75000,"75K+",(IF(ifood_data[[#All],[Income]]&gt;50000,"50K-75K",(IF(ifood_data[[#All],[Income]]&gt;35000,"35K-50K","&lt;35K")))))</f>
        <v>75K+</v>
      </c>
      <c r="AW223" t="str">
        <f>IF(ifood_data[[#All],[Age]]&gt;60,"60+",(IF(ifood_data[[#All],[Age]]&gt;50,"50-60",(IF(ifood_data[[#All],[Age]]&gt;40,"40-50",(IF(ifood_data[[#All],[Age]]&gt;30,"30-40","&lt;30")))))))</f>
        <v>40-50</v>
      </c>
      <c r="AX223">
        <f t="shared" si="12"/>
        <v>26</v>
      </c>
      <c r="AY223">
        <f t="shared" si="13"/>
        <v>6</v>
      </c>
      <c r="AZ223">
        <f t="shared" si="14"/>
        <v>7</v>
      </c>
      <c r="BA223">
        <f t="shared" si="15"/>
        <v>9</v>
      </c>
      <c r="BB223">
        <f>SUM(ifood_data[[#This Row],[Recency Score]:[Monetary Score]])</f>
        <v>22</v>
      </c>
      <c r="BC223">
        <f>(_xlfn.PERCENTRANK.INC(ifood_data[[#All],[RFM]],ifood_data[[#This Row],[RFM]],1))*10</f>
        <v>8</v>
      </c>
      <c r="BD223" t="str">
        <f>VLOOKUP(ifood_data[[#This Row],[RFM Score]],'RFM Analysis'!$A$3:$B$14,2,FALSE)</f>
        <v>Loyal Customer</v>
      </c>
      <c r="BE223">
        <f>'Regression Models'!$B$101+'Regression Models'!$B$102*ifood_data[[#This Row],[Income]]+'Regression Models'!$B$103*ifood_data[[#This Row],[Age]]+'Regression Models'!$B$104*ifood_data[[#This Row],[Family]]</f>
        <v>1277.3597687653182</v>
      </c>
      <c r="BF223" t="str">
        <f>IF(ifood_data[[#This Row],[AcceptedCmpOverall]]=1,"Campaign Respondent","Non-respondent")</f>
        <v>Campaign Respondent</v>
      </c>
    </row>
    <row r="224" spans="1:58" x14ac:dyDescent="0.35">
      <c r="A224">
        <v>370</v>
      </c>
      <c r="B224">
        <v>74293</v>
      </c>
      <c r="C224">
        <v>0</v>
      </c>
      <c r="D224">
        <v>0</v>
      </c>
      <c r="E224">
        <v>66</v>
      </c>
      <c r="F224">
        <v>375</v>
      </c>
      <c r="G224">
        <v>152</v>
      </c>
      <c r="H224">
        <v>335</v>
      </c>
      <c r="I224">
        <v>93</v>
      </c>
      <c r="J224">
        <v>91</v>
      </c>
      <c r="K224">
        <v>81</v>
      </c>
      <c r="L224">
        <v>1</v>
      </c>
      <c r="M224">
        <v>5</v>
      </c>
      <c r="N224">
        <v>4</v>
      </c>
      <c r="O224">
        <v>6</v>
      </c>
      <c r="P224">
        <v>2</v>
      </c>
      <c r="Q224">
        <v>0</v>
      </c>
      <c r="R224">
        <v>0</v>
      </c>
      <c r="S224">
        <v>0</v>
      </c>
      <c r="T224">
        <v>0</v>
      </c>
      <c r="U224">
        <v>0</v>
      </c>
      <c r="V224">
        <f>IF(SUM(ifood_data[[#This Row],[AcceptedCmp1]:[AcceptedCmp5]])&gt;0,1,0)</f>
        <v>0</v>
      </c>
      <c r="W224">
        <v>0</v>
      </c>
      <c r="X224">
        <v>3</v>
      </c>
      <c r="Y224">
        <v>11</v>
      </c>
      <c r="Z224">
        <v>0</v>
      </c>
      <c r="AA224">
        <v>27</v>
      </c>
      <c r="AB224">
        <v>2215</v>
      </c>
      <c r="AC224" s="28">
        <f>ifood_data[[#This Row],[Customer_Days]]/365</f>
        <v>6.0684931506849313</v>
      </c>
      <c r="AD224">
        <v>0</v>
      </c>
      <c r="AE224">
        <v>0</v>
      </c>
      <c r="AF224">
        <v>1</v>
      </c>
      <c r="AG224">
        <v>0</v>
      </c>
      <c r="AH224">
        <v>0</v>
      </c>
      <c r="AI224">
        <v>0</v>
      </c>
      <c r="AJ224">
        <v>0</v>
      </c>
      <c r="AK224">
        <v>1</v>
      </c>
      <c r="AL224">
        <v>0</v>
      </c>
      <c r="AM224">
        <v>0</v>
      </c>
      <c r="AN224">
        <v>1046</v>
      </c>
      <c r="AO224">
        <v>965</v>
      </c>
      <c r="AP224">
        <f>ifood_data[[#This Row],[MntTotal]]-ifood_data[[#This Row],[MntRegularProds]]</f>
        <v>81</v>
      </c>
      <c r="AQ224">
        <v>0</v>
      </c>
      <c r="AR224">
        <f>IF(SUM(ifood_data[[#This Row],[Kidhome]:[Teenhome]])&gt;0,1,0)</f>
        <v>0</v>
      </c>
      <c r="AS224" t="str">
        <f>IF(SUM(ifood_data[[#This Row],[Kidhome]:[Teenhome]])&gt;0,"Has Family","No Family")</f>
        <v>No Family</v>
      </c>
      <c r="AT224" t="str">
        <f>IF(ifood_data[[#This Row],[marital_Married]]=1,"Married", (IF(ifood_data[[#This Row],[marital_Single]]=1,"Single",(IF(ifood_data[[#This Row],[marital_Divorced]]=1,"Divorced",(IF(ifood_data[[#This Row],[marital_Together]]=1,"Living Together",(IF(ifood_data[[#This Row],[marital_Widow]]=1,"Widow","Other")))))))))</f>
        <v>Single</v>
      </c>
      <c r="AU224" t="str">
        <f>IF(ifood_data[[#This Row],[education_Basic]]=1,"High School",(IF(ifood_data[[#This Row],[education_Graduation]]=1,"Undergraduate Degree",(IF(SUM(AM224,AL224,AI224)&gt;0,"Master's Degree or Higher","Other")))))</f>
        <v>Undergraduate Degree</v>
      </c>
      <c r="AV224" t="str">
        <f>IF(ifood_data[[#All],[Income]]&gt;75000,"75K+",(IF(ifood_data[[#All],[Income]]&gt;50000,"50K-75K",(IF(ifood_data[[#All],[Income]]&gt;35000,"35K-50K","&lt;35K")))))</f>
        <v>50K-75K</v>
      </c>
      <c r="AW224" t="str">
        <f>IF(ifood_data[[#All],[Age]]&gt;60,"60+",(IF(ifood_data[[#All],[Age]]&gt;50,"50-60",(IF(ifood_data[[#All],[Age]]&gt;40,"40-50",(IF(ifood_data[[#All],[Age]]&gt;30,"30-40","&lt;30")))))))</f>
        <v>&lt;30</v>
      </c>
      <c r="AX224">
        <f t="shared" si="12"/>
        <v>18</v>
      </c>
      <c r="AY224">
        <f t="shared" si="13"/>
        <v>4</v>
      </c>
      <c r="AZ224">
        <f t="shared" si="14"/>
        <v>4</v>
      </c>
      <c r="BA224">
        <f t="shared" si="15"/>
        <v>7</v>
      </c>
      <c r="BB224">
        <f>SUM(ifood_data[[#This Row],[Recency Score]:[Monetary Score]])</f>
        <v>15</v>
      </c>
      <c r="BC224">
        <f>(_xlfn.PERCENTRANK.INC(ifood_data[[#All],[RFM]],ifood_data[[#This Row],[RFM]],1))*10</f>
        <v>4</v>
      </c>
      <c r="BD224" t="str">
        <f>VLOOKUP(ifood_data[[#This Row],[RFM Score]],'RFM Analysis'!$A$3:$B$14,2,FALSE)</f>
        <v>At Risk</v>
      </c>
      <c r="BE224">
        <f>'Regression Models'!$B$101+'Regression Models'!$B$102*ifood_data[[#This Row],[Income]]+'Regression Models'!$B$103*ifood_data[[#This Row],[Age]]+'Regression Models'!$B$104*ifood_data[[#This Row],[Family]]</f>
        <v>1277.3436403100682</v>
      </c>
      <c r="BF224" t="str">
        <f>IF(ifood_data[[#This Row],[AcceptedCmpOverall]]=1,"Campaign Respondent","Non-respondent")</f>
        <v>Non-respondent</v>
      </c>
    </row>
    <row r="225" spans="1:58" x14ac:dyDescent="0.35">
      <c r="A225">
        <v>1439</v>
      </c>
      <c r="B225">
        <v>76800</v>
      </c>
      <c r="C225">
        <v>0</v>
      </c>
      <c r="D225">
        <v>0</v>
      </c>
      <c r="E225">
        <v>33</v>
      </c>
      <c r="F225">
        <v>173</v>
      </c>
      <c r="G225">
        <v>26</v>
      </c>
      <c r="H225">
        <v>255</v>
      </c>
      <c r="I225">
        <v>35</v>
      </c>
      <c r="J225">
        <v>71</v>
      </c>
      <c r="K225">
        <v>81</v>
      </c>
      <c r="L225">
        <v>1</v>
      </c>
      <c r="M225">
        <v>4</v>
      </c>
      <c r="N225">
        <v>4</v>
      </c>
      <c r="O225">
        <v>7</v>
      </c>
      <c r="P225">
        <v>1</v>
      </c>
      <c r="Q225">
        <v>0</v>
      </c>
      <c r="R225">
        <v>0</v>
      </c>
      <c r="S225">
        <v>0</v>
      </c>
      <c r="T225">
        <v>0</v>
      </c>
      <c r="U225">
        <v>0</v>
      </c>
      <c r="V225">
        <f>IF(SUM(ifood_data[[#This Row],[AcceptedCmp1]:[AcceptedCmp5]])&gt;0,1,0)</f>
        <v>0</v>
      </c>
      <c r="W225">
        <v>0</v>
      </c>
      <c r="X225">
        <v>3</v>
      </c>
      <c r="Y225">
        <v>11</v>
      </c>
      <c r="Z225">
        <v>0</v>
      </c>
      <c r="AA225">
        <v>55</v>
      </c>
      <c r="AB225">
        <v>2272</v>
      </c>
      <c r="AC225" s="28">
        <f>ifood_data[[#This Row],[Customer_Days]]/365</f>
        <v>6.2246575342465755</v>
      </c>
      <c r="AD225">
        <v>0</v>
      </c>
      <c r="AE225">
        <v>1</v>
      </c>
      <c r="AF225">
        <v>0</v>
      </c>
      <c r="AG225">
        <v>0</v>
      </c>
      <c r="AH225">
        <v>0</v>
      </c>
      <c r="AI225">
        <v>1</v>
      </c>
      <c r="AJ225">
        <v>0</v>
      </c>
      <c r="AK225">
        <v>0</v>
      </c>
      <c r="AL225">
        <v>0</v>
      </c>
      <c r="AM225">
        <v>0</v>
      </c>
      <c r="AN225">
        <v>560</v>
      </c>
      <c r="AO225">
        <v>479</v>
      </c>
      <c r="AP225">
        <f>ifood_data[[#This Row],[MntTotal]]-ifood_data[[#This Row],[MntRegularProds]]</f>
        <v>81</v>
      </c>
      <c r="AQ225">
        <v>0</v>
      </c>
      <c r="AR225">
        <f>IF(SUM(ifood_data[[#This Row],[Kidhome]:[Teenhome]])&gt;0,1,0)</f>
        <v>0</v>
      </c>
      <c r="AS225" t="str">
        <f>IF(SUM(ifood_data[[#This Row],[Kidhome]:[Teenhome]])&gt;0,"Has Family","No Family")</f>
        <v>No Family</v>
      </c>
      <c r="AT225" t="str">
        <f>IF(ifood_data[[#This Row],[marital_Married]]=1,"Married", (IF(ifood_data[[#This Row],[marital_Single]]=1,"Single",(IF(ifood_data[[#This Row],[marital_Divorced]]=1,"Divorced",(IF(ifood_data[[#This Row],[marital_Together]]=1,"Living Together",(IF(ifood_data[[#This Row],[marital_Widow]]=1,"Widow","Other")))))))))</f>
        <v>Married</v>
      </c>
      <c r="AU225" t="str">
        <f>IF(ifood_data[[#This Row],[education_Basic]]=1,"High School",(IF(ifood_data[[#This Row],[education_Graduation]]=1,"Undergraduate Degree",(IF(SUM(AM225,AL225,AI225)&gt;0,"Master's Degree or Higher","Other")))))</f>
        <v>Master's Degree or Higher</v>
      </c>
      <c r="AV225" t="str">
        <f>IF(ifood_data[[#All],[Income]]&gt;75000,"75K+",(IF(ifood_data[[#All],[Income]]&gt;50000,"50K-75K",(IF(ifood_data[[#All],[Income]]&gt;35000,"35K-50K","&lt;35K")))))</f>
        <v>75K+</v>
      </c>
      <c r="AW225" t="str">
        <f>IF(ifood_data[[#All],[Age]]&gt;60,"60+",(IF(ifood_data[[#All],[Age]]&gt;50,"50-60",(IF(ifood_data[[#All],[Age]]&gt;40,"40-50",(IF(ifood_data[[#All],[Age]]&gt;30,"30-40","&lt;30")))))))</f>
        <v>50-60</v>
      </c>
      <c r="AX225">
        <f t="shared" si="12"/>
        <v>17</v>
      </c>
      <c r="AY225">
        <f t="shared" si="13"/>
        <v>7</v>
      </c>
      <c r="AZ225">
        <f t="shared" si="14"/>
        <v>3</v>
      </c>
      <c r="BA225">
        <f t="shared" si="15"/>
        <v>5</v>
      </c>
      <c r="BB225">
        <f>SUM(ifood_data[[#This Row],[Recency Score]:[Monetary Score]])</f>
        <v>15</v>
      </c>
      <c r="BC225">
        <f>(_xlfn.PERCENTRANK.INC(ifood_data[[#All],[RFM]],ifood_data[[#This Row],[RFM]],1))*10</f>
        <v>4</v>
      </c>
      <c r="BD225" t="str">
        <f>VLOOKUP(ifood_data[[#This Row],[RFM Score]],'RFM Analysis'!$A$3:$B$14,2,FALSE)</f>
        <v>At Risk</v>
      </c>
      <c r="BE225">
        <f>'Regression Models'!$B$101+'Regression Models'!$B$102*ifood_data[[#This Row],[Income]]+'Regression Models'!$B$103*ifood_data[[#This Row],[Age]]+'Regression Models'!$B$104*ifood_data[[#This Row],[Family]]</f>
        <v>1277.037987837783</v>
      </c>
      <c r="BF225" t="str">
        <f>IF(ifood_data[[#This Row],[AcceptedCmpOverall]]=1,"Campaign Respondent","Non-respondent")</f>
        <v>Non-respondent</v>
      </c>
    </row>
    <row r="226" spans="1:58" x14ac:dyDescent="0.35">
      <c r="A226">
        <v>712</v>
      </c>
      <c r="B226">
        <v>75507</v>
      </c>
      <c r="C226">
        <v>0</v>
      </c>
      <c r="D226">
        <v>0</v>
      </c>
      <c r="E226">
        <v>56</v>
      </c>
      <c r="F226">
        <v>709</v>
      </c>
      <c r="G226">
        <v>93</v>
      </c>
      <c r="H226">
        <v>374</v>
      </c>
      <c r="I226">
        <v>104</v>
      </c>
      <c r="J226">
        <v>80</v>
      </c>
      <c r="K226">
        <v>80</v>
      </c>
      <c r="L226">
        <v>1</v>
      </c>
      <c r="M226">
        <v>8</v>
      </c>
      <c r="N226">
        <v>6</v>
      </c>
      <c r="O226">
        <v>6</v>
      </c>
      <c r="P226">
        <v>3</v>
      </c>
      <c r="Q226">
        <v>0</v>
      </c>
      <c r="R226">
        <v>0</v>
      </c>
      <c r="S226">
        <v>0</v>
      </c>
      <c r="T226">
        <v>0</v>
      </c>
      <c r="U226">
        <v>0</v>
      </c>
      <c r="V226">
        <f>IF(SUM(ifood_data[[#This Row],[AcceptedCmp1]:[AcceptedCmp5]])&gt;0,1,0)</f>
        <v>0</v>
      </c>
      <c r="W226">
        <v>0</v>
      </c>
      <c r="X226">
        <v>3</v>
      </c>
      <c r="Y226">
        <v>11</v>
      </c>
      <c r="Z226">
        <v>0</v>
      </c>
      <c r="AA226">
        <v>41</v>
      </c>
      <c r="AB226">
        <v>2217</v>
      </c>
      <c r="AC226" s="28">
        <f>ifood_data[[#This Row],[Customer_Days]]/365</f>
        <v>6.0739726027397261</v>
      </c>
      <c r="AD226">
        <v>0</v>
      </c>
      <c r="AE226">
        <v>0</v>
      </c>
      <c r="AF226">
        <v>0</v>
      </c>
      <c r="AG226">
        <v>1</v>
      </c>
      <c r="AH226">
        <v>0</v>
      </c>
      <c r="AI226">
        <v>0</v>
      </c>
      <c r="AJ226">
        <v>0</v>
      </c>
      <c r="AK226">
        <v>1</v>
      </c>
      <c r="AL226">
        <v>0</v>
      </c>
      <c r="AM226">
        <v>0</v>
      </c>
      <c r="AN226">
        <v>1360</v>
      </c>
      <c r="AO226">
        <v>1280</v>
      </c>
      <c r="AP226">
        <f>ifood_data[[#This Row],[MntTotal]]-ifood_data[[#This Row],[MntRegularProds]]</f>
        <v>80</v>
      </c>
      <c r="AQ226">
        <v>0</v>
      </c>
      <c r="AR226">
        <f>IF(SUM(ifood_data[[#This Row],[Kidhome]:[Teenhome]])&gt;0,1,0)</f>
        <v>0</v>
      </c>
      <c r="AS226" t="str">
        <f>IF(SUM(ifood_data[[#This Row],[Kidhome]:[Teenhome]])&gt;0,"Has Family","No Family")</f>
        <v>No Family</v>
      </c>
      <c r="AT226" t="str">
        <f>IF(ifood_data[[#This Row],[marital_Married]]=1,"Married", (IF(ifood_data[[#This Row],[marital_Single]]=1,"Single",(IF(ifood_data[[#This Row],[marital_Divorced]]=1,"Divorced",(IF(ifood_data[[#This Row],[marital_Together]]=1,"Living Together",(IF(ifood_data[[#This Row],[marital_Widow]]=1,"Widow","Other")))))))))</f>
        <v>Living Together</v>
      </c>
      <c r="AU226" t="str">
        <f>IF(ifood_data[[#This Row],[education_Basic]]=1,"High School",(IF(ifood_data[[#This Row],[education_Graduation]]=1,"Undergraduate Degree",(IF(SUM(AM226,AL226,AI226)&gt;0,"Master's Degree or Higher","Other")))))</f>
        <v>Undergraduate Degree</v>
      </c>
      <c r="AV226" t="str">
        <f>IF(ifood_data[[#All],[Income]]&gt;75000,"75K+",(IF(ifood_data[[#All],[Income]]&gt;50000,"50K-75K",(IF(ifood_data[[#All],[Income]]&gt;35000,"35K-50K","&lt;35K")))))</f>
        <v>75K+</v>
      </c>
      <c r="AW226" t="str">
        <f>IF(ifood_data[[#All],[Age]]&gt;60,"60+",(IF(ifood_data[[#All],[Age]]&gt;50,"50-60",(IF(ifood_data[[#All],[Age]]&gt;40,"40-50",(IF(ifood_data[[#All],[Age]]&gt;30,"30-40","&lt;30")))))))</f>
        <v>40-50</v>
      </c>
      <c r="AX226">
        <f t="shared" si="12"/>
        <v>24</v>
      </c>
      <c r="AY226">
        <f t="shared" si="13"/>
        <v>5</v>
      </c>
      <c r="AZ226">
        <f t="shared" si="14"/>
        <v>6</v>
      </c>
      <c r="BA226">
        <f t="shared" si="15"/>
        <v>8</v>
      </c>
      <c r="BB226">
        <f>SUM(ifood_data[[#This Row],[Recency Score]:[Monetary Score]])</f>
        <v>19</v>
      </c>
      <c r="BC226">
        <f>(_xlfn.PERCENTRANK.INC(ifood_data[[#All],[RFM]],ifood_data[[#This Row],[RFM]],1))*10</f>
        <v>7</v>
      </c>
      <c r="BD226" t="str">
        <f>VLOOKUP(ifood_data[[#This Row],[RFM Score]],'RFM Analysis'!$A$3:$B$14,2,FALSE)</f>
        <v>Loyal Customer</v>
      </c>
      <c r="BE226">
        <f>'Regression Models'!$B$101+'Regression Models'!$B$102*ifood_data[[#This Row],[Income]]+'Regression Models'!$B$103*ifood_data[[#This Row],[Age]]+'Regression Models'!$B$104*ifood_data[[#This Row],[Family]]</f>
        <v>1276.3854577322413</v>
      </c>
      <c r="BF226" t="str">
        <f>IF(ifood_data[[#This Row],[AcceptedCmpOverall]]=1,"Campaign Respondent","Non-respondent")</f>
        <v>Non-respondent</v>
      </c>
    </row>
    <row r="227" spans="1:58" x14ac:dyDescent="0.35">
      <c r="A227">
        <v>942</v>
      </c>
      <c r="B227">
        <v>75437</v>
      </c>
      <c r="C227">
        <v>0</v>
      </c>
      <c r="D227">
        <v>0</v>
      </c>
      <c r="E227">
        <v>25</v>
      </c>
      <c r="F227">
        <v>795</v>
      </c>
      <c r="G227">
        <v>0</v>
      </c>
      <c r="H227">
        <v>545</v>
      </c>
      <c r="I227">
        <v>95</v>
      </c>
      <c r="J227">
        <v>58</v>
      </c>
      <c r="K227">
        <v>0</v>
      </c>
      <c r="L227">
        <v>1</v>
      </c>
      <c r="M227">
        <v>8</v>
      </c>
      <c r="N227">
        <v>4</v>
      </c>
      <c r="O227">
        <v>10</v>
      </c>
      <c r="P227">
        <v>6</v>
      </c>
      <c r="Q227">
        <v>1</v>
      </c>
      <c r="R227">
        <v>0</v>
      </c>
      <c r="S227">
        <v>0</v>
      </c>
      <c r="T227">
        <v>0</v>
      </c>
      <c r="U227">
        <v>0</v>
      </c>
      <c r="V227">
        <f>IF(SUM(ifood_data[[#This Row],[AcceptedCmp1]:[AcceptedCmp5]])&gt;0,1,0)</f>
        <v>1</v>
      </c>
      <c r="W227">
        <v>0</v>
      </c>
      <c r="X227">
        <v>3</v>
      </c>
      <c r="Y227">
        <v>11</v>
      </c>
      <c r="Z227">
        <v>0</v>
      </c>
      <c r="AA227">
        <v>42</v>
      </c>
      <c r="AB227">
        <v>2391</v>
      </c>
      <c r="AC227" s="28">
        <f>ifood_data[[#This Row],[Customer_Days]]/365</f>
        <v>6.5506849315068489</v>
      </c>
      <c r="AD227">
        <v>0</v>
      </c>
      <c r="AE227">
        <v>0</v>
      </c>
      <c r="AF227">
        <v>0</v>
      </c>
      <c r="AG227">
        <v>1</v>
      </c>
      <c r="AH227">
        <v>0</v>
      </c>
      <c r="AI227">
        <v>0</v>
      </c>
      <c r="AJ227">
        <v>0</v>
      </c>
      <c r="AK227">
        <v>1</v>
      </c>
      <c r="AL227">
        <v>0</v>
      </c>
      <c r="AM227">
        <v>0</v>
      </c>
      <c r="AN227">
        <v>1493</v>
      </c>
      <c r="AO227">
        <v>1493</v>
      </c>
      <c r="AP227">
        <f>ifood_data[[#This Row],[MntTotal]]-ifood_data[[#This Row],[MntRegularProds]]</f>
        <v>0</v>
      </c>
      <c r="AQ227">
        <v>1</v>
      </c>
      <c r="AR227">
        <f>IF(SUM(ifood_data[[#This Row],[Kidhome]:[Teenhome]])&gt;0,1,0)</f>
        <v>0</v>
      </c>
      <c r="AS227" t="str">
        <f>IF(SUM(ifood_data[[#This Row],[Kidhome]:[Teenhome]])&gt;0,"Has Family","No Family")</f>
        <v>No Family</v>
      </c>
      <c r="AT227" t="str">
        <f>IF(ifood_data[[#This Row],[marital_Married]]=1,"Married", (IF(ifood_data[[#This Row],[marital_Single]]=1,"Single",(IF(ifood_data[[#This Row],[marital_Divorced]]=1,"Divorced",(IF(ifood_data[[#This Row],[marital_Together]]=1,"Living Together",(IF(ifood_data[[#This Row],[marital_Widow]]=1,"Widow","Other")))))))))</f>
        <v>Living Together</v>
      </c>
      <c r="AU227" t="str">
        <f>IF(ifood_data[[#This Row],[education_Basic]]=1,"High School",(IF(ifood_data[[#This Row],[education_Graduation]]=1,"Undergraduate Degree",(IF(SUM(AM227,AL227,AI227)&gt;0,"Master's Degree or Higher","Other")))))</f>
        <v>Undergraduate Degree</v>
      </c>
      <c r="AV227" t="str">
        <f>IF(ifood_data[[#All],[Income]]&gt;75000,"75K+",(IF(ifood_data[[#All],[Income]]&gt;50000,"50K-75K",(IF(ifood_data[[#All],[Income]]&gt;35000,"35K-50K","&lt;35K")))))</f>
        <v>75K+</v>
      </c>
      <c r="AW227" t="str">
        <f>IF(ifood_data[[#All],[Age]]&gt;60,"60+",(IF(ifood_data[[#All],[Age]]&gt;50,"50-60",(IF(ifood_data[[#All],[Age]]&gt;40,"40-50",(IF(ifood_data[[#All],[Age]]&gt;30,"30-40","&lt;30")))))))</f>
        <v>40-50</v>
      </c>
      <c r="AX227">
        <f t="shared" si="12"/>
        <v>29</v>
      </c>
      <c r="AY227">
        <f t="shared" si="13"/>
        <v>8</v>
      </c>
      <c r="AZ227">
        <f t="shared" si="14"/>
        <v>8</v>
      </c>
      <c r="BA227">
        <f t="shared" si="15"/>
        <v>9</v>
      </c>
      <c r="BB227">
        <f>SUM(ifood_data[[#This Row],[Recency Score]:[Monetary Score]])</f>
        <v>25</v>
      </c>
      <c r="BC227">
        <f>(_xlfn.PERCENTRANK.INC(ifood_data[[#All],[RFM]],ifood_data[[#This Row],[RFM]],1))*10</f>
        <v>9</v>
      </c>
      <c r="BD227" t="str">
        <f>VLOOKUP(ifood_data[[#This Row],[RFM Score]],'RFM Analysis'!$A$3:$B$14,2,FALSE)</f>
        <v>Top Customer</v>
      </c>
      <c r="BE227">
        <f>'Regression Models'!$B$101+'Regression Models'!$B$102*ifood_data[[#This Row],[Income]]+'Regression Models'!$B$103*ifood_data[[#This Row],[Age]]+'Regression Models'!$B$104*ifood_data[[#This Row],[Family]]</f>
        <v>1273.1218048832743</v>
      </c>
      <c r="BF227" t="str">
        <f>IF(ifood_data[[#This Row],[AcceptedCmpOverall]]=1,"Campaign Respondent","Non-respondent")</f>
        <v>Campaign Respondent</v>
      </c>
    </row>
    <row r="228" spans="1:58" x14ac:dyDescent="0.35">
      <c r="A228">
        <v>1151</v>
      </c>
      <c r="B228">
        <v>77297</v>
      </c>
      <c r="C228">
        <v>0</v>
      </c>
      <c r="D228">
        <v>0</v>
      </c>
      <c r="E228">
        <v>84</v>
      </c>
      <c r="F228">
        <v>408</v>
      </c>
      <c r="G228">
        <v>61</v>
      </c>
      <c r="H228">
        <v>109</v>
      </c>
      <c r="I228">
        <v>48</v>
      </c>
      <c r="J228">
        <v>122</v>
      </c>
      <c r="K228">
        <v>41</v>
      </c>
      <c r="L228">
        <v>1</v>
      </c>
      <c r="M228">
        <v>5</v>
      </c>
      <c r="N228">
        <v>7</v>
      </c>
      <c r="O228">
        <v>9</v>
      </c>
      <c r="P228">
        <v>4</v>
      </c>
      <c r="Q228">
        <v>1</v>
      </c>
      <c r="R228">
        <v>0</v>
      </c>
      <c r="S228">
        <v>0</v>
      </c>
      <c r="T228">
        <v>0</v>
      </c>
      <c r="U228">
        <v>0</v>
      </c>
      <c r="V228">
        <f>IF(SUM(ifood_data[[#This Row],[AcceptedCmp1]:[AcceptedCmp5]])&gt;0,1,0)</f>
        <v>1</v>
      </c>
      <c r="W228">
        <v>0</v>
      </c>
      <c r="X228">
        <v>3</v>
      </c>
      <c r="Y228">
        <v>11</v>
      </c>
      <c r="Z228">
        <v>0</v>
      </c>
      <c r="AA228">
        <v>63</v>
      </c>
      <c r="AB228">
        <v>2678</v>
      </c>
      <c r="AC228" s="28">
        <f>ifood_data[[#This Row],[Customer_Days]]/365</f>
        <v>7.3369863013698629</v>
      </c>
      <c r="AD228">
        <v>1</v>
      </c>
      <c r="AE228">
        <v>0</v>
      </c>
      <c r="AF228">
        <v>0</v>
      </c>
      <c r="AG228">
        <v>0</v>
      </c>
      <c r="AH228">
        <v>0</v>
      </c>
      <c r="AI228">
        <v>1</v>
      </c>
      <c r="AJ228">
        <v>0</v>
      </c>
      <c r="AK228">
        <v>0</v>
      </c>
      <c r="AL228">
        <v>0</v>
      </c>
      <c r="AM228">
        <v>0</v>
      </c>
      <c r="AN228">
        <v>748</v>
      </c>
      <c r="AO228">
        <v>707</v>
      </c>
      <c r="AP228">
        <f>ifood_data[[#This Row],[MntTotal]]-ifood_data[[#This Row],[MntRegularProds]]</f>
        <v>41</v>
      </c>
      <c r="AQ228">
        <v>1</v>
      </c>
      <c r="AR228">
        <f>IF(SUM(ifood_data[[#This Row],[Kidhome]:[Teenhome]])&gt;0,1,0)</f>
        <v>0</v>
      </c>
      <c r="AS228" t="str">
        <f>IF(SUM(ifood_data[[#This Row],[Kidhome]:[Teenhome]])&gt;0,"Has Family","No Family")</f>
        <v>No Family</v>
      </c>
      <c r="AT228" t="str">
        <f>IF(ifood_data[[#This Row],[marital_Married]]=1,"Married", (IF(ifood_data[[#This Row],[marital_Single]]=1,"Single",(IF(ifood_data[[#This Row],[marital_Divorced]]=1,"Divorced",(IF(ifood_data[[#This Row],[marital_Together]]=1,"Living Together",(IF(ifood_data[[#This Row],[marital_Widow]]=1,"Widow","Other")))))))))</f>
        <v>Divorced</v>
      </c>
      <c r="AU228" t="str">
        <f>IF(ifood_data[[#This Row],[education_Basic]]=1,"High School",(IF(ifood_data[[#This Row],[education_Graduation]]=1,"Undergraduate Degree",(IF(SUM(AM228,AL228,AI228)&gt;0,"Master's Degree or Higher","Other")))))</f>
        <v>Master's Degree or Higher</v>
      </c>
      <c r="AV228" t="str">
        <f>IF(ifood_data[[#All],[Income]]&gt;75000,"75K+",(IF(ifood_data[[#All],[Income]]&gt;50000,"50K-75K",(IF(ifood_data[[#All],[Income]]&gt;35000,"35K-50K","&lt;35K")))))</f>
        <v>75K+</v>
      </c>
      <c r="AW228" t="str">
        <f>IF(ifood_data[[#All],[Age]]&gt;60,"60+",(IF(ifood_data[[#All],[Age]]&gt;50,"50-60",(IF(ifood_data[[#All],[Age]]&gt;40,"40-50",(IF(ifood_data[[#All],[Age]]&gt;30,"30-40","&lt;30")))))))</f>
        <v>60+</v>
      </c>
      <c r="AX228">
        <f t="shared" si="12"/>
        <v>26</v>
      </c>
      <c r="AY228">
        <f t="shared" si="13"/>
        <v>1.9999999999999996</v>
      </c>
      <c r="AZ228">
        <f t="shared" si="14"/>
        <v>7</v>
      </c>
      <c r="BA228">
        <f t="shared" si="15"/>
        <v>6</v>
      </c>
      <c r="BB228">
        <f>SUM(ifood_data[[#This Row],[Recency Score]:[Monetary Score]])</f>
        <v>15</v>
      </c>
      <c r="BC228">
        <f>(_xlfn.PERCENTRANK.INC(ifood_data[[#All],[RFM]],ifood_data[[#This Row],[RFM]],1))*10</f>
        <v>4</v>
      </c>
      <c r="BD228" t="str">
        <f>VLOOKUP(ifood_data[[#This Row],[RFM Score]],'RFM Analysis'!$A$3:$B$14,2,FALSE)</f>
        <v>At Risk</v>
      </c>
      <c r="BE228">
        <f>'Regression Models'!$B$101+'Regression Models'!$B$102*ifood_data[[#This Row],[Income]]+'Regression Models'!$B$103*ifood_data[[#This Row],[Age]]+'Regression Models'!$B$104*ifood_data[[#This Row],[Family]]</f>
        <v>1272.4796929741462</v>
      </c>
      <c r="BF228" t="str">
        <f>IF(ifood_data[[#This Row],[AcceptedCmpOverall]]=1,"Campaign Respondent","Non-respondent")</f>
        <v>Campaign Respondent</v>
      </c>
    </row>
    <row r="229" spans="1:58" x14ac:dyDescent="0.35">
      <c r="A229">
        <v>1461</v>
      </c>
      <c r="B229">
        <v>78093</v>
      </c>
      <c r="C229">
        <v>0</v>
      </c>
      <c r="D229">
        <v>0</v>
      </c>
      <c r="E229">
        <v>53</v>
      </c>
      <c r="F229">
        <v>368</v>
      </c>
      <c r="G229">
        <v>32</v>
      </c>
      <c r="H229">
        <v>639</v>
      </c>
      <c r="I229">
        <v>13</v>
      </c>
      <c r="J229">
        <v>43</v>
      </c>
      <c r="K229">
        <v>10</v>
      </c>
      <c r="L229">
        <v>1</v>
      </c>
      <c r="M229">
        <v>4</v>
      </c>
      <c r="N229">
        <v>7</v>
      </c>
      <c r="O229">
        <v>5</v>
      </c>
      <c r="P229">
        <v>1</v>
      </c>
      <c r="Q229">
        <v>0</v>
      </c>
      <c r="R229">
        <v>0</v>
      </c>
      <c r="S229">
        <v>0</v>
      </c>
      <c r="T229">
        <v>0</v>
      </c>
      <c r="U229">
        <v>0</v>
      </c>
      <c r="V229">
        <f>IF(SUM(ifood_data[[#This Row],[AcceptedCmp1]:[AcceptedCmp5]])&gt;0,1,0)</f>
        <v>0</v>
      </c>
      <c r="W229">
        <v>0</v>
      </c>
      <c r="X229">
        <v>3</v>
      </c>
      <c r="Y229">
        <v>11</v>
      </c>
      <c r="Z229">
        <v>0</v>
      </c>
      <c r="AA229">
        <v>73</v>
      </c>
      <c r="AB229">
        <v>2359</v>
      </c>
      <c r="AC229" s="28">
        <f>ifood_data[[#This Row],[Customer_Days]]/365</f>
        <v>6.463013698630137</v>
      </c>
      <c r="AD229">
        <v>0</v>
      </c>
      <c r="AE229">
        <v>0</v>
      </c>
      <c r="AF229">
        <v>0</v>
      </c>
      <c r="AG229">
        <v>1</v>
      </c>
      <c r="AH229">
        <v>0</v>
      </c>
      <c r="AI229">
        <v>0</v>
      </c>
      <c r="AJ229">
        <v>0</v>
      </c>
      <c r="AK229">
        <v>0</v>
      </c>
      <c r="AL229">
        <v>1</v>
      </c>
      <c r="AM229">
        <v>0</v>
      </c>
      <c r="AN229">
        <v>1095</v>
      </c>
      <c r="AO229">
        <v>1085</v>
      </c>
      <c r="AP229">
        <f>ifood_data[[#This Row],[MntTotal]]-ifood_data[[#This Row],[MntRegularProds]]</f>
        <v>10</v>
      </c>
      <c r="AQ229">
        <v>0</v>
      </c>
      <c r="AR229">
        <f>IF(SUM(ifood_data[[#This Row],[Kidhome]:[Teenhome]])&gt;0,1,0)</f>
        <v>0</v>
      </c>
      <c r="AS229" t="str">
        <f>IF(SUM(ifood_data[[#This Row],[Kidhome]:[Teenhome]])&gt;0,"Has Family","No Family")</f>
        <v>No Family</v>
      </c>
      <c r="AT229" t="str">
        <f>IF(ifood_data[[#This Row],[marital_Married]]=1,"Married", (IF(ifood_data[[#This Row],[marital_Single]]=1,"Single",(IF(ifood_data[[#This Row],[marital_Divorced]]=1,"Divorced",(IF(ifood_data[[#This Row],[marital_Together]]=1,"Living Together",(IF(ifood_data[[#This Row],[marital_Widow]]=1,"Widow","Other")))))))))</f>
        <v>Living Together</v>
      </c>
      <c r="AU229" t="str">
        <f>IF(ifood_data[[#This Row],[education_Basic]]=1,"High School",(IF(ifood_data[[#This Row],[education_Graduation]]=1,"Undergraduate Degree",(IF(SUM(AM229,AL229,AI229)&gt;0,"Master's Degree or Higher","Other")))))</f>
        <v>Master's Degree or Higher</v>
      </c>
      <c r="AV229" t="str">
        <f>IF(ifood_data[[#All],[Income]]&gt;75000,"75K+",(IF(ifood_data[[#All],[Income]]&gt;50000,"50K-75K",(IF(ifood_data[[#All],[Income]]&gt;35000,"35K-50K","&lt;35K")))))</f>
        <v>75K+</v>
      </c>
      <c r="AW229" t="str">
        <f>IF(ifood_data[[#All],[Age]]&gt;60,"60+",(IF(ifood_data[[#All],[Age]]&gt;50,"50-60",(IF(ifood_data[[#All],[Age]]&gt;40,"40-50",(IF(ifood_data[[#All],[Age]]&gt;30,"30-40","&lt;30")))))))</f>
        <v>60+</v>
      </c>
      <c r="AX229">
        <f t="shared" si="12"/>
        <v>18</v>
      </c>
      <c r="AY229">
        <f t="shared" si="13"/>
        <v>5</v>
      </c>
      <c r="AZ229">
        <f t="shared" si="14"/>
        <v>4</v>
      </c>
      <c r="BA229">
        <f t="shared" si="15"/>
        <v>7</v>
      </c>
      <c r="BB229">
        <f>SUM(ifood_data[[#This Row],[Recency Score]:[Monetary Score]])</f>
        <v>16</v>
      </c>
      <c r="BC229">
        <f>(_xlfn.PERCENTRANK.INC(ifood_data[[#All],[RFM]],ifood_data[[#This Row],[RFM]],1))*10</f>
        <v>5</v>
      </c>
      <c r="BD229" t="str">
        <f>VLOOKUP(ifood_data[[#This Row],[RFM Score]],'RFM Analysis'!$A$3:$B$14,2,FALSE)</f>
        <v>Promising</v>
      </c>
      <c r="BE229">
        <f>'Regression Models'!$B$101+'Regression Models'!$B$102*ifood_data[[#This Row],[Income]]+'Regression Models'!$B$103*ifood_data[[#This Row],[Age]]+'Regression Models'!$B$104*ifood_data[[#This Row],[Family]]</f>
        <v>1270.3447616277469</v>
      </c>
      <c r="BF229" t="str">
        <f>IF(ifood_data[[#This Row],[AcceptedCmpOverall]]=1,"Campaign Respondent","Non-respondent")</f>
        <v>Non-respondent</v>
      </c>
    </row>
    <row r="230" spans="1:58" x14ac:dyDescent="0.35">
      <c r="A230">
        <v>1106</v>
      </c>
      <c r="B230">
        <v>74214</v>
      </c>
      <c r="C230">
        <v>0</v>
      </c>
      <c r="D230">
        <v>0</v>
      </c>
      <c r="E230">
        <v>3</v>
      </c>
      <c r="F230">
        <v>863</v>
      </c>
      <c r="G230">
        <v>83</v>
      </c>
      <c r="H230">
        <v>547</v>
      </c>
      <c r="I230">
        <v>86</v>
      </c>
      <c r="J230">
        <v>99</v>
      </c>
      <c r="K230">
        <v>33</v>
      </c>
      <c r="L230">
        <v>1</v>
      </c>
      <c r="M230">
        <v>8</v>
      </c>
      <c r="N230">
        <v>2</v>
      </c>
      <c r="O230">
        <v>5</v>
      </c>
      <c r="P230">
        <v>5</v>
      </c>
      <c r="Q230">
        <v>0</v>
      </c>
      <c r="R230">
        <v>0</v>
      </c>
      <c r="S230">
        <v>0</v>
      </c>
      <c r="T230">
        <v>0</v>
      </c>
      <c r="U230">
        <v>0</v>
      </c>
      <c r="V230">
        <f>IF(SUM(ifood_data[[#This Row],[AcceptedCmp1]:[AcceptedCmp5]])&gt;0,1,0)</f>
        <v>0</v>
      </c>
      <c r="W230">
        <v>0</v>
      </c>
      <c r="X230">
        <v>3</v>
      </c>
      <c r="Y230">
        <v>11</v>
      </c>
      <c r="Z230">
        <v>0</v>
      </c>
      <c r="AA230">
        <v>30</v>
      </c>
      <c r="AB230">
        <v>2831</v>
      </c>
      <c r="AC230" s="28">
        <f>ifood_data[[#This Row],[Customer_Days]]/365</f>
        <v>7.7561643835616438</v>
      </c>
      <c r="AD230">
        <v>0</v>
      </c>
      <c r="AE230">
        <v>1</v>
      </c>
      <c r="AF230">
        <v>0</v>
      </c>
      <c r="AG230">
        <v>0</v>
      </c>
      <c r="AH230">
        <v>0</v>
      </c>
      <c r="AI230">
        <v>0</v>
      </c>
      <c r="AJ230">
        <v>0</v>
      </c>
      <c r="AK230">
        <v>0</v>
      </c>
      <c r="AL230">
        <v>0</v>
      </c>
      <c r="AM230">
        <v>1</v>
      </c>
      <c r="AN230">
        <v>1678</v>
      </c>
      <c r="AO230">
        <v>1645</v>
      </c>
      <c r="AP230">
        <f>ifood_data[[#This Row],[MntTotal]]-ifood_data[[#This Row],[MntRegularProds]]</f>
        <v>33</v>
      </c>
      <c r="AQ230">
        <v>0</v>
      </c>
      <c r="AR230">
        <f>IF(SUM(ifood_data[[#This Row],[Kidhome]:[Teenhome]])&gt;0,1,0)</f>
        <v>0</v>
      </c>
      <c r="AS230" t="str">
        <f>IF(SUM(ifood_data[[#This Row],[Kidhome]:[Teenhome]])&gt;0,"Has Family","No Family")</f>
        <v>No Family</v>
      </c>
      <c r="AT230" t="str">
        <f>IF(ifood_data[[#This Row],[marital_Married]]=1,"Married", (IF(ifood_data[[#This Row],[marital_Single]]=1,"Single",(IF(ifood_data[[#This Row],[marital_Divorced]]=1,"Divorced",(IF(ifood_data[[#This Row],[marital_Together]]=1,"Living Together",(IF(ifood_data[[#This Row],[marital_Widow]]=1,"Widow","Other")))))))))</f>
        <v>Married</v>
      </c>
      <c r="AU230" t="str">
        <f>IF(ifood_data[[#This Row],[education_Basic]]=1,"High School",(IF(ifood_data[[#This Row],[education_Graduation]]=1,"Undergraduate Degree",(IF(SUM(AM230,AL230,AI230)&gt;0,"Master's Degree or Higher","Other")))))</f>
        <v>Master's Degree or Higher</v>
      </c>
      <c r="AV230" t="str">
        <f>IF(ifood_data[[#All],[Income]]&gt;75000,"75K+",(IF(ifood_data[[#All],[Income]]&gt;50000,"50K-75K",(IF(ifood_data[[#All],[Income]]&gt;35000,"35K-50K","&lt;35K")))))</f>
        <v>50K-75K</v>
      </c>
      <c r="AW230" t="str">
        <f>IF(ifood_data[[#All],[Age]]&gt;60,"60+",(IF(ifood_data[[#All],[Age]]&gt;50,"50-60",(IF(ifood_data[[#All],[Age]]&gt;40,"40-50",(IF(ifood_data[[#All],[Age]]&gt;30,"30-40","&lt;30")))))))</f>
        <v>&lt;30</v>
      </c>
      <c r="AX230">
        <f t="shared" si="12"/>
        <v>21</v>
      </c>
      <c r="AY230">
        <f t="shared" si="13"/>
        <v>10</v>
      </c>
      <c r="AZ230">
        <f t="shared" si="14"/>
        <v>5</v>
      </c>
      <c r="BA230">
        <f t="shared" si="15"/>
        <v>9</v>
      </c>
      <c r="BB230">
        <f>SUM(ifood_data[[#This Row],[Recency Score]:[Monetary Score]])</f>
        <v>24</v>
      </c>
      <c r="BC230">
        <f>(_xlfn.PERCENTRANK.INC(ifood_data[[#All],[RFM]],ifood_data[[#This Row],[RFM]],1))*10</f>
        <v>9</v>
      </c>
      <c r="BD230" t="str">
        <f>VLOOKUP(ifood_data[[#This Row],[RFM Score]],'RFM Analysis'!$A$3:$B$14,2,FALSE)</f>
        <v>Top Customer</v>
      </c>
      <c r="BE230">
        <f>'Regression Models'!$B$101+'Regression Models'!$B$102*ifood_data[[#This Row],[Income]]+'Regression Models'!$B$103*ifood_data[[#This Row],[Age]]+'Regression Models'!$B$104*ifood_data[[#This Row],[Family]]</f>
        <v>1270.2236103900173</v>
      </c>
      <c r="BF230" t="str">
        <f>IF(ifood_data[[#This Row],[AcceptedCmpOverall]]=1,"Campaign Respondent","Non-respondent")</f>
        <v>Non-respondent</v>
      </c>
    </row>
    <row r="231" spans="1:58" x14ac:dyDescent="0.35">
      <c r="A231">
        <v>693</v>
      </c>
      <c r="B231">
        <v>89694</v>
      </c>
      <c r="C231">
        <v>1</v>
      </c>
      <c r="D231">
        <v>1</v>
      </c>
      <c r="E231">
        <v>22</v>
      </c>
      <c r="F231">
        <v>1126</v>
      </c>
      <c r="G231">
        <v>28</v>
      </c>
      <c r="H231">
        <v>211</v>
      </c>
      <c r="I231">
        <v>37</v>
      </c>
      <c r="J231">
        <v>28</v>
      </c>
      <c r="K231">
        <v>42</v>
      </c>
      <c r="L231">
        <v>3</v>
      </c>
      <c r="M231">
        <v>4</v>
      </c>
      <c r="N231">
        <v>3</v>
      </c>
      <c r="O231">
        <v>4</v>
      </c>
      <c r="P231">
        <v>5</v>
      </c>
      <c r="Q231">
        <v>1</v>
      </c>
      <c r="R231">
        <v>0</v>
      </c>
      <c r="S231">
        <v>0</v>
      </c>
      <c r="T231">
        <v>1</v>
      </c>
      <c r="U231">
        <v>1</v>
      </c>
      <c r="V231">
        <f>IF(SUM(ifood_data[[#This Row],[AcceptedCmp1]:[AcceptedCmp5]])&gt;0,1,0)</f>
        <v>1</v>
      </c>
      <c r="W231">
        <v>0</v>
      </c>
      <c r="X231">
        <v>3</v>
      </c>
      <c r="Y231">
        <v>11</v>
      </c>
      <c r="Z231">
        <v>0</v>
      </c>
      <c r="AA231">
        <v>47</v>
      </c>
      <c r="AB231">
        <v>2422</v>
      </c>
      <c r="AC231" s="28">
        <f>ifood_data[[#This Row],[Customer_Days]]/365</f>
        <v>6.6356164383561644</v>
      </c>
      <c r="AD231">
        <v>1</v>
      </c>
      <c r="AE231">
        <v>0</v>
      </c>
      <c r="AF231">
        <v>0</v>
      </c>
      <c r="AG231">
        <v>0</v>
      </c>
      <c r="AH231">
        <v>0</v>
      </c>
      <c r="AI231">
        <v>0</v>
      </c>
      <c r="AJ231">
        <v>0</v>
      </c>
      <c r="AK231">
        <v>1</v>
      </c>
      <c r="AL231">
        <v>0</v>
      </c>
      <c r="AM231">
        <v>0</v>
      </c>
      <c r="AN231">
        <v>1430</v>
      </c>
      <c r="AO231">
        <v>1388</v>
      </c>
      <c r="AP231">
        <f>ifood_data[[#This Row],[MntTotal]]-ifood_data[[#This Row],[MntRegularProds]]</f>
        <v>42</v>
      </c>
      <c r="AQ231">
        <v>3</v>
      </c>
      <c r="AR231">
        <f>IF(SUM(ifood_data[[#This Row],[Kidhome]:[Teenhome]])&gt;0,1,0)</f>
        <v>1</v>
      </c>
      <c r="AS231" t="str">
        <f>IF(SUM(ifood_data[[#This Row],[Kidhome]:[Teenhome]])&gt;0,"Has Family","No Family")</f>
        <v>Has Family</v>
      </c>
      <c r="AT231" t="str">
        <f>IF(ifood_data[[#This Row],[marital_Married]]=1,"Married", (IF(ifood_data[[#This Row],[marital_Single]]=1,"Single",(IF(ifood_data[[#This Row],[marital_Divorced]]=1,"Divorced",(IF(ifood_data[[#This Row],[marital_Together]]=1,"Living Together",(IF(ifood_data[[#This Row],[marital_Widow]]=1,"Widow","Other")))))))))</f>
        <v>Divorced</v>
      </c>
      <c r="AU231" t="str">
        <f>IF(ifood_data[[#This Row],[education_Basic]]=1,"High School",(IF(ifood_data[[#This Row],[education_Graduation]]=1,"Undergraduate Degree",(IF(SUM(AM231,AL231,AI231)&gt;0,"Master's Degree or Higher","Other")))))</f>
        <v>Undergraduate Degree</v>
      </c>
      <c r="AV231" t="str">
        <f>IF(ifood_data[[#All],[Income]]&gt;75000,"75K+",(IF(ifood_data[[#All],[Income]]&gt;50000,"50K-75K",(IF(ifood_data[[#All],[Income]]&gt;35000,"35K-50K","&lt;35K")))))</f>
        <v>75K+</v>
      </c>
      <c r="AW231" t="str">
        <f>IF(ifood_data[[#All],[Age]]&gt;60,"60+",(IF(ifood_data[[#All],[Age]]&gt;50,"50-60",(IF(ifood_data[[#All],[Age]]&gt;40,"40-50",(IF(ifood_data[[#All],[Age]]&gt;30,"30-40","&lt;30")))))))</f>
        <v>40-50</v>
      </c>
      <c r="AX231">
        <f t="shared" si="12"/>
        <v>19</v>
      </c>
      <c r="AY231">
        <f t="shared" si="13"/>
        <v>8</v>
      </c>
      <c r="AZ231">
        <f t="shared" si="14"/>
        <v>4</v>
      </c>
      <c r="BA231">
        <f t="shared" si="15"/>
        <v>8</v>
      </c>
      <c r="BB231">
        <f>SUM(ifood_data[[#This Row],[Recency Score]:[Monetary Score]])</f>
        <v>20</v>
      </c>
      <c r="BC231">
        <f>(_xlfn.PERCENTRANK.INC(ifood_data[[#All],[RFM]],ifood_data[[#This Row],[RFM]],1))*10</f>
        <v>7</v>
      </c>
      <c r="BD231" t="str">
        <f>VLOOKUP(ifood_data[[#This Row],[RFM Score]],'RFM Analysis'!$A$3:$B$14,2,FALSE)</f>
        <v>Loyal Customer</v>
      </c>
      <c r="BE231">
        <f>'Regression Models'!$B$101+'Regression Models'!$B$102*ifood_data[[#This Row],[Income]]+'Regression Models'!$B$103*ifood_data[[#This Row],[Age]]+'Regression Models'!$B$104*ifood_data[[#This Row],[Family]]</f>
        <v>1265.0086458433539</v>
      </c>
      <c r="BF231" t="str">
        <f>IF(ifood_data[[#This Row],[AcceptedCmpOverall]]=1,"Campaign Respondent","Non-respondent")</f>
        <v>Campaign Respondent</v>
      </c>
    </row>
    <row r="232" spans="1:58" x14ac:dyDescent="0.35">
      <c r="A232">
        <v>187</v>
      </c>
      <c r="B232">
        <v>75922</v>
      </c>
      <c r="C232">
        <v>0</v>
      </c>
      <c r="D232">
        <v>0</v>
      </c>
      <c r="E232">
        <v>60</v>
      </c>
      <c r="F232">
        <v>265</v>
      </c>
      <c r="G232">
        <v>138</v>
      </c>
      <c r="H232">
        <v>553</v>
      </c>
      <c r="I232">
        <v>224</v>
      </c>
      <c r="J232">
        <v>23</v>
      </c>
      <c r="K232">
        <v>92</v>
      </c>
      <c r="L232">
        <v>1</v>
      </c>
      <c r="M232">
        <v>4</v>
      </c>
      <c r="N232">
        <v>4</v>
      </c>
      <c r="O232">
        <v>9</v>
      </c>
      <c r="P232">
        <v>1</v>
      </c>
      <c r="Q232">
        <v>0</v>
      </c>
      <c r="R232">
        <v>0</v>
      </c>
      <c r="S232">
        <v>0</v>
      </c>
      <c r="T232">
        <v>0</v>
      </c>
      <c r="U232">
        <v>0</v>
      </c>
      <c r="V232">
        <f>IF(SUM(ifood_data[[#This Row],[AcceptedCmp1]:[AcceptedCmp5]])&gt;0,1,0)</f>
        <v>0</v>
      </c>
      <c r="W232">
        <v>0</v>
      </c>
      <c r="X232">
        <v>3</v>
      </c>
      <c r="Y232">
        <v>11</v>
      </c>
      <c r="Z232">
        <v>0</v>
      </c>
      <c r="AA232">
        <v>52</v>
      </c>
      <c r="AB232">
        <v>2361</v>
      </c>
      <c r="AC232" s="28">
        <f>ifood_data[[#This Row],[Customer_Days]]/365</f>
        <v>6.4684931506849317</v>
      </c>
      <c r="AD232">
        <v>0</v>
      </c>
      <c r="AE232">
        <v>0</v>
      </c>
      <c r="AF232">
        <v>1</v>
      </c>
      <c r="AG232">
        <v>0</v>
      </c>
      <c r="AH232">
        <v>0</v>
      </c>
      <c r="AI232">
        <v>0</v>
      </c>
      <c r="AJ232">
        <v>0</v>
      </c>
      <c r="AK232">
        <v>1</v>
      </c>
      <c r="AL232">
        <v>0</v>
      </c>
      <c r="AM232">
        <v>0</v>
      </c>
      <c r="AN232">
        <v>1203</v>
      </c>
      <c r="AO232">
        <v>1111</v>
      </c>
      <c r="AP232">
        <f>ifood_data[[#This Row],[MntTotal]]-ifood_data[[#This Row],[MntRegularProds]]</f>
        <v>92</v>
      </c>
      <c r="AQ232">
        <v>0</v>
      </c>
      <c r="AR232">
        <f>IF(SUM(ifood_data[[#This Row],[Kidhome]:[Teenhome]])&gt;0,1,0)</f>
        <v>0</v>
      </c>
      <c r="AS232" t="str">
        <f>IF(SUM(ifood_data[[#This Row],[Kidhome]:[Teenhome]])&gt;0,"Has Family","No Family")</f>
        <v>No Family</v>
      </c>
      <c r="AT232" t="str">
        <f>IF(ifood_data[[#This Row],[marital_Married]]=1,"Married", (IF(ifood_data[[#This Row],[marital_Single]]=1,"Single",(IF(ifood_data[[#This Row],[marital_Divorced]]=1,"Divorced",(IF(ifood_data[[#This Row],[marital_Together]]=1,"Living Together",(IF(ifood_data[[#This Row],[marital_Widow]]=1,"Widow","Other")))))))))</f>
        <v>Single</v>
      </c>
      <c r="AU232" t="str">
        <f>IF(ifood_data[[#This Row],[education_Basic]]=1,"High School",(IF(ifood_data[[#This Row],[education_Graduation]]=1,"Undergraduate Degree",(IF(SUM(AM232,AL232,AI232)&gt;0,"Master's Degree or Higher","Other")))))</f>
        <v>Undergraduate Degree</v>
      </c>
      <c r="AV232" t="str">
        <f>IF(ifood_data[[#All],[Income]]&gt;75000,"75K+",(IF(ifood_data[[#All],[Income]]&gt;50000,"50K-75K",(IF(ifood_data[[#All],[Income]]&gt;35000,"35K-50K","&lt;35K")))))</f>
        <v>75K+</v>
      </c>
      <c r="AW232" t="str">
        <f>IF(ifood_data[[#All],[Age]]&gt;60,"60+",(IF(ifood_data[[#All],[Age]]&gt;50,"50-60",(IF(ifood_data[[#All],[Age]]&gt;40,"40-50",(IF(ifood_data[[#All],[Age]]&gt;30,"30-40","&lt;30")))))))</f>
        <v>50-60</v>
      </c>
      <c r="AX232">
        <f t="shared" si="12"/>
        <v>19</v>
      </c>
      <c r="AY232">
        <f t="shared" si="13"/>
        <v>4</v>
      </c>
      <c r="AZ232">
        <f t="shared" si="14"/>
        <v>4</v>
      </c>
      <c r="BA232">
        <f t="shared" si="15"/>
        <v>8</v>
      </c>
      <c r="BB232">
        <f>SUM(ifood_data[[#This Row],[Recency Score]:[Monetary Score]])</f>
        <v>16</v>
      </c>
      <c r="BC232">
        <f>(_xlfn.PERCENTRANK.INC(ifood_data[[#All],[RFM]],ifood_data[[#This Row],[RFM]],1))*10</f>
        <v>5</v>
      </c>
      <c r="BD232" t="str">
        <f>VLOOKUP(ifood_data[[#This Row],[RFM Score]],'RFM Analysis'!$A$3:$B$14,2,FALSE)</f>
        <v>Promising</v>
      </c>
      <c r="BE232">
        <f>'Regression Models'!$B$101+'Regression Models'!$B$102*ifood_data[[#This Row],[Income]]+'Regression Models'!$B$103*ifood_data[[#This Row],[Age]]+'Regression Models'!$B$104*ifood_data[[#This Row],[Family]]</f>
        <v>1264.6459666441224</v>
      </c>
      <c r="BF232" t="str">
        <f>IF(ifood_data[[#This Row],[AcceptedCmpOverall]]=1,"Campaign Respondent","Non-respondent")</f>
        <v>Non-respondent</v>
      </c>
    </row>
    <row r="233" spans="1:58" x14ac:dyDescent="0.35">
      <c r="A233">
        <v>934</v>
      </c>
      <c r="B233">
        <v>75759</v>
      </c>
      <c r="C233">
        <v>0</v>
      </c>
      <c r="D233">
        <v>0</v>
      </c>
      <c r="E233">
        <v>46</v>
      </c>
      <c r="F233">
        <v>1394</v>
      </c>
      <c r="G233">
        <v>22</v>
      </c>
      <c r="H233">
        <v>708</v>
      </c>
      <c r="I233">
        <v>89</v>
      </c>
      <c r="J233">
        <v>91</v>
      </c>
      <c r="K233">
        <v>182</v>
      </c>
      <c r="L233">
        <v>1</v>
      </c>
      <c r="M233">
        <v>9</v>
      </c>
      <c r="N233">
        <v>7</v>
      </c>
      <c r="O233">
        <v>9</v>
      </c>
      <c r="P233">
        <v>5</v>
      </c>
      <c r="Q233">
        <v>1</v>
      </c>
      <c r="R233">
        <v>0</v>
      </c>
      <c r="S233">
        <v>1</v>
      </c>
      <c r="T233">
        <v>0</v>
      </c>
      <c r="U233">
        <v>1</v>
      </c>
      <c r="V233">
        <f>IF(SUM(ifood_data[[#This Row],[AcceptedCmp1]:[AcceptedCmp5]])&gt;0,1,0)</f>
        <v>1</v>
      </c>
      <c r="W233">
        <v>0</v>
      </c>
      <c r="X233">
        <v>3</v>
      </c>
      <c r="Y233">
        <v>11</v>
      </c>
      <c r="Z233">
        <v>1</v>
      </c>
      <c r="AA233">
        <v>51</v>
      </c>
      <c r="AB233">
        <v>2406</v>
      </c>
      <c r="AC233" s="28">
        <f>ifood_data[[#This Row],[Customer_Days]]/365</f>
        <v>6.5917808219178085</v>
      </c>
      <c r="AD233">
        <v>0</v>
      </c>
      <c r="AE233">
        <v>1</v>
      </c>
      <c r="AF233">
        <v>0</v>
      </c>
      <c r="AG233">
        <v>0</v>
      </c>
      <c r="AH233">
        <v>0</v>
      </c>
      <c r="AI233">
        <v>0</v>
      </c>
      <c r="AJ233">
        <v>0</v>
      </c>
      <c r="AK233">
        <v>1</v>
      </c>
      <c r="AL233">
        <v>0</v>
      </c>
      <c r="AM233">
        <v>0</v>
      </c>
      <c r="AN233">
        <v>2304</v>
      </c>
      <c r="AO233">
        <v>2122</v>
      </c>
      <c r="AP233">
        <f>ifood_data[[#This Row],[MntTotal]]-ifood_data[[#This Row],[MntRegularProds]]</f>
        <v>182</v>
      </c>
      <c r="AQ233">
        <v>3</v>
      </c>
      <c r="AR233">
        <f>IF(SUM(ifood_data[[#This Row],[Kidhome]:[Teenhome]])&gt;0,1,0)</f>
        <v>0</v>
      </c>
      <c r="AS233" t="str">
        <f>IF(SUM(ifood_data[[#This Row],[Kidhome]:[Teenhome]])&gt;0,"Has Family","No Family")</f>
        <v>No Family</v>
      </c>
      <c r="AT233" t="str">
        <f>IF(ifood_data[[#This Row],[marital_Married]]=1,"Married", (IF(ifood_data[[#This Row],[marital_Single]]=1,"Single",(IF(ifood_data[[#This Row],[marital_Divorced]]=1,"Divorced",(IF(ifood_data[[#This Row],[marital_Together]]=1,"Living Together",(IF(ifood_data[[#This Row],[marital_Widow]]=1,"Widow","Other")))))))))</f>
        <v>Married</v>
      </c>
      <c r="AU233" t="str">
        <f>IF(ifood_data[[#This Row],[education_Basic]]=1,"High School",(IF(ifood_data[[#This Row],[education_Graduation]]=1,"Undergraduate Degree",(IF(SUM(AM233,AL233,AI233)&gt;0,"Master's Degree or Higher","Other")))))</f>
        <v>Undergraduate Degree</v>
      </c>
      <c r="AV233" t="str">
        <f>IF(ifood_data[[#All],[Income]]&gt;75000,"75K+",(IF(ifood_data[[#All],[Income]]&gt;50000,"50K-75K",(IF(ifood_data[[#All],[Income]]&gt;35000,"35K-50K","&lt;35K")))))</f>
        <v>75K+</v>
      </c>
      <c r="AW233" t="str">
        <f>IF(ifood_data[[#All],[Age]]&gt;60,"60+",(IF(ifood_data[[#All],[Age]]&gt;50,"50-60",(IF(ifood_data[[#All],[Age]]&gt;40,"40-50",(IF(ifood_data[[#All],[Age]]&gt;30,"30-40","&lt;30")))))))</f>
        <v>50-60</v>
      </c>
      <c r="AX233">
        <f t="shared" si="12"/>
        <v>31</v>
      </c>
      <c r="AY233">
        <f t="shared" si="13"/>
        <v>6</v>
      </c>
      <c r="AZ233">
        <f t="shared" si="14"/>
        <v>9</v>
      </c>
      <c r="BA233">
        <f t="shared" si="15"/>
        <v>9</v>
      </c>
      <c r="BB233">
        <f>SUM(ifood_data[[#This Row],[Recency Score]:[Monetary Score]])</f>
        <v>24</v>
      </c>
      <c r="BC233">
        <f>(_xlfn.PERCENTRANK.INC(ifood_data[[#All],[RFM]],ifood_data[[#This Row],[RFM]],1))*10</f>
        <v>9</v>
      </c>
      <c r="BD233" t="str">
        <f>VLOOKUP(ifood_data[[#This Row],[RFM Score]],'RFM Analysis'!$A$3:$B$14,2,FALSE)</f>
        <v>Top Customer</v>
      </c>
      <c r="BE233">
        <f>'Regression Models'!$B$101+'Regression Models'!$B$102*ifood_data[[#This Row],[Income]]+'Regression Models'!$B$103*ifood_data[[#This Row],[Age]]+'Regression Models'!$B$104*ifood_data[[#This Row],[Family]]</f>
        <v>1263.1590365155612</v>
      </c>
      <c r="BF233" t="str">
        <f>IF(ifood_data[[#This Row],[AcceptedCmpOverall]]=1,"Campaign Respondent","Non-respondent")</f>
        <v>Campaign Respondent</v>
      </c>
    </row>
    <row r="234" spans="1:58" x14ac:dyDescent="0.35">
      <c r="A234">
        <v>724</v>
      </c>
      <c r="B234">
        <v>74985</v>
      </c>
      <c r="C234">
        <v>0</v>
      </c>
      <c r="D234">
        <v>0</v>
      </c>
      <c r="E234">
        <v>8</v>
      </c>
      <c r="F234">
        <v>587</v>
      </c>
      <c r="G234">
        <v>51</v>
      </c>
      <c r="H234">
        <v>898</v>
      </c>
      <c r="I234">
        <v>247</v>
      </c>
      <c r="J234">
        <v>0</v>
      </c>
      <c r="K234">
        <v>86</v>
      </c>
      <c r="L234">
        <v>1</v>
      </c>
      <c r="M234">
        <v>3</v>
      </c>
      <c r="N234">
        <v>6</v>
      </c>
      <c r="O234">
        <v>7</v>
      </c>
      <c r="P234">
        <v>2</v>
      </c>
      <c r="Q234">
        <v>0</v>
      </c>
      <c r="R234">
        <v>0</v>
      </c>
      <c r="S234">
        <v>0</v>
      </c>
      <c r="T234">
        <v>0</v>
      </c>
      <c r="U234">
        <v>0</v>
      </c>
      <c r="V234">
        <f>IF(SUM(ifood_data[[#This Row],[AcceptedCmp1]:[AcceptedCmp5]])&gt;0,1,0)</f>
        <v>0</v>
      </c>
      <c r="W234">
        <v>0</v>
      </c>
      <c r="X234">
        <v>3</v>
      </c>
      <c r="Y234">
        <v>11</v>
      </c>
      <c r="Z234">
        <v>0</v>
      </c>
      <c r="AA234">
        <v>43</v>
      </c>
      <c r="AB234">
        <v>2815</v>
      </c>
      <c r="AC234" s="28">
        <f>ifood_data[[#This Row],[Customer_Days]]/365</f>
        <v>7.7123287671232879</v>
      </c>
      <c r="AD234">
        <v>0</v>
      </c>
      <c r="AE234">
        <v>1</v>
      </c>
      <c r="AF234">
        <v>0</v>
      </c>
      <c r="AG234">
        <v>0</v>
      </c>
      <c r="AH234">
        <v>0</v>
      </c>
      <c r="AI234">
        <v>0</v>
      </c>
      <c r="AJ234">
        <v>0</v>
      </c>
      <c r="AK234">
        <v>1</v>
      </c>
      <c r="AL234">
        <v>0</v>
      </c>
      <c r="AM234">
        <v>0</v>
      </c>
      <c r="AN234">
        <v>1783</v>
      </c>
      <c r="AO234">
        <v>1697</v>
      </c>
      <c r="AP234">
        <f>ifood_data[[#This Row],[MntTotal]]-ifood_data[[#This Row],[MntRegularProds]]</f>
        <v>86</v>
      </c>
      <c r="AQ234">
        <v>0</v>
      </c>
      <c r="AR234">
        <f>IF(SUM(ifood_data[[#This Row],[Kidhome]:[Teenhome]])&gt;0,1,0)</f>
        <v>0</v>
      </c>
      <c r="AS234" t="str">
        <f>IF(SUM(ifood_data[[#This Row],[Kidhome]:[Teenhome]])&gt;0,"Has Family","No Family")</f>
        <v>No Family</v>
      </c>
      <c r="AT234" t="str">
        <f>IF(ifood_data[[#This Row],[marital_Married]]=1,"Married", (IF(ifood_data[[#This Row],[marital_Single]]=1,"Single",(IF(ifood_data[[#This Row],[marital_Divorced]]=1,"Divorced",(IF(ifood_data[[#This Row],[marital_Together]]=1,"Living Together",(IF(ifood_data[[#This Row],[marital_Widow]]=1,"Widow","Other")))))))))</f>
        <v>Married</v>
      </c>
      <c r="AU234" t="str">
        <f>IF(ifood_data[[#This Row],[education_Basic]]=1,"High School",(IF(ifood_data[[#This Row],[education_Graduation]]=1,"Undergraduate Degree",(IF(SUM(AM234,AL234,AI234)&gt;0,"Master's Degree or Higher","Other")))))</f>
        <v>Undergraduate Degree</v>
      </c>
      <c r="AV234" t="str">
        <f>IF(ifood_data[[#All],[Income]]&gt;75000,"75K+",(IF(ifood_data[[#All],[Income]]&gt;50000,"50K-75K",(IF(ifood_data[[#All],[Income]]&gt;35000,"35K-50K","&lt;35K")))))</f>
        <v>50K-75K</v>
      </c>
      <c r="AW234" t="str">
        <f>IF(ifood_data[[#All],[Age]]&gt;60,"60+",(IF(ifood_data[[#All],[Age]]&gt;50,"50-60",(IF(ifood_data[[#All],[Age]]&gt;40,"40-50",(IF(ifood_data[[#All],[Age]]&gt;30,"30-40","&lt;30")))))))</f>
        <v>40-50</v>
      </c>
      <c r="AX234">
        <f t="shared" si="12"/>
        <v>19</v>
      </c>
      <c r="AY234">
        <f t="shared" si="13"/>
        <v>10</v>
      </c>
      <c r="AZ234">
        <f t="shared" si="14"/>
        <v>4</v>
      </c>
      <c r="BA234">
        <f t="shared" si="15"/>
        <v>9</v>
      </c>
      <c r="BB234">
        <f>SUM(ifood_data[[#This Row],[Recency Score]:[Monetary Score]])</f>
        <v>23</v>
      </c>
      <c r="BC234">
        <f>(_xlfn.PERCENTRANK.INC(ifood_data[[#All],[RFM]],ifood_data[[#This Row],[RFM]],1))*10</f>
        <v>8</v>
      </c>
      <c r="BD234" t="str">
        <f>VLOOKUP(ifood_data[[#This Row],[RFM Score]],'RFM Analysis'!$A$3:$B$14,2,FALSE)</f>
        <v>Loyal Customer</v>
      </c>
      <c r="BE234">
        <f>'Regression Models'!$B$101+'Regression Models'!$B$102*ifood_data[[#This Row],[Income]]+'Regression Models'!$B$103*ifood_data[[#This Row],[Age]]+'Regression Models'!$B$104*ifood_data[[#This Row],[Family]]</f>
        <v>1262.0696426033378</v>
      </c>
      <c r="BF234" t="str">
        <f>IF(ifood_data[[#This Row],[AcceptedCmpOverall]]=1,"Campaign Respondent","Non-respondent")</f>
        <v>Non-respondent</v>
      </c>
    </row>
    <row r="235" spans="1:58" x14ac:dyDescent="0.35">
      <c r="A235">
        <v>612</v>
      </c>
      <c r="B235">
        <v>77632</v>
      </c>
      <c r="C235">
        <v>0</v>
      </c>
      <c r="D235">
        <v>0</v>
      </c>
      <c r="E235">
        <v>73</v>
      </c>
      <c r="F235">
        <v>1200</v>
      </c>
      <c r="G235">
        <v>105</v>
      </c>
      <c r="H235">
        <v>758</v>
      </c>
      <c r="I235">
        <v>0</v>
      </c>
      <c r="J235">
        <v>42</v>
      </c>
      <c r="K235">
        <v>147</v>
      </c>
      <c r="L235">
        <v>1</v>
      </c>
      <c r="M235">
        <v>4</v>
      </c>
      <c r="N235">
        <v>2</v>
      </c>
      <c r="O235">
        <v>6</v>
      </c>
      <c r="P235">
        <v>2</v>
      </c>
      <c r="Q235">
        <v>0</v>
      </c>
      <c r="R235">
        <v>0</v>
      </c>
      <c r="S235">
        <v>0</v>
      </c>
      <c r="T235">
        <v>1</v>
      </c>
      <c r="U235">
        <v>1</v>
      </c>
      <c r="V235">
        <f>IF(SUM(ifood_data[[#This Row],[AcceptedCmp1]:[AcceptedCmp5]])&gt;0,1,0)</f>
        <v>1</v>
      </c>
      <c r="W235">
        <v>0</v>
      </c>
      <c r="X235">
        <v>3</v>
      </c>
      <c r="Y235">
        <v>11</v>
      </c>
      <c r="Z235">
        <v>1</v>
      </c>
      <c r="AA235">
        <v>73</v>
      </c>
      <c r="AB235">
        <v>2635</v>
      </c>
      <c r="AC235" s="28">
        <f>ifood_data[[#This Row],[Customer_Days]]/365</f>
        <v>7.2191780821917808</v>
      </c>
      <c r="AD235">
        <v>0</v>
      </c>
      <c r="AE235">
        <v>0</v>
      </c>
      <c r="AF235">
        <v>0</v>
      </c>
      <c r="AG235">
        <v>1</v>
      </c>
      <c r="AH235">
        <v>0</v>
      </c>
      <c r="AI235">
        <v>0</v>
      </c>
      <c r="AJ235">
        <v>0</v>
      </c>
      <c r="AK235">
        <v>0</v>
      </c>
      <c r="AL235">
        <v>1</v>
      </c>
      <c r="AM235">
        <v>0</v>
      </c>
      <c r="AN235">
        <v>2105</v>
      </c>
      <c r="AO235">
        <v>1958</v>
      </c>
      <c r="AP235">
        <f>ifood_data[[#This Row],[MntTotal]]-ifood_data[[#This Row],[MntRegularProds]]</f>
        <v>147</v>
      </c>
      <c r="AQ235">
        <v>2</v>
      </c>
      <c r="AR235">
        <f>IF(SUM(ifood_data[[#This Row],[Kidhome]:[Teenhome]])&gt;0,1,0)</f>
        <v>0</v>
      </c>
      <c r="AS235" t="str">
        <f>IF(SUM(ifood_data[[#This Row],[Kidhome]:[Teenhome]])&gt;0,"Has Family","No Family")</f>
        <v>No Family</v>
      </c>
      <c r="AT235" t="str">
        <f>IF(ifood_data[[#This Row],[marital_Married]]=1,"Married", (IF(ifood_data[[#This Row],[marital_Single]]=1,"Single",(IF(ifood_data[[#This Row],[marital_Divorced]]=1,"Divorced",(IF(ifood_data[[#This Row],[marital_Together]]=1,"Living Together",(IF(ifood_data[[#This Row],[marital_Widow]]=1,"Widow","Other")))))))))</f>
        <v>Living Together</v>
      </c>
      <c r="AU235" t="str">
        <f>IF(ifood_data[[#This Row],[education_Basic]]=1,"High School",(IF(ifood_data[[#This Row],[education_Graduation]]=1,"Undergraduate Degree",(IF(SUM(AM235,AL235,AI235)&gt;0,"Master's Degree or Higher","Other")))))</f>
        <v>Master's Degree or Higher</v>
      </c>
      <c r="AV235" t="str">
        <f>IF(ifood_data[[#All],[Income]]&gt;75000,"75K+",(IF(ifood_data[[#All],[Income]]&gt;50000,"50K-75K",(IF(ifood_data[[#All],[Income]]&gt;35000,"35K-50K","&lt;35K")))))</f>
        <v>75K+</v>
      </c>
      <c r="AW235" t="str">
        <f>IF(ifood_data[[#All],[Age]]&gt;60,"60+",(IF(ifood_data[[#All],[Age]]&gt;50,"50-60",(IF(ifood_data[[#All],[Age]]&gt;40,"40-50",(IF(ifood_data[[#All],[Age]]&gt;30,"30-40","&lt;30")))))))</f>
        <v>60+</v>
      </c>
      <c r="AX235">
        <f t="shared" si="12"/>
        <v>15</v>
      </c>
      <c r="AY235">
        <f t="shared" si="13"/>
        <v>3.0000000000000004</v>
      </c>
      <c r="AZ235">
        <f t="shared" si="14"/>
        <v>2</v>
      </c>
      <c r="BA235">
        <f t="shared" si="15"/>
        <v>9</v>
      </c>
      <c r="BB235">
        <f>SUM(ifood_data[[#This Row],[Recency Score]:[Monetary Score]])</f>
        <v>14</v>
      </c>
      <c r="BC235">
        <f>(_xlfn.PERCENTRANK.INC(ifood_data[[#All],[RFM]],ifood_data[[#This Row],[RFM]],1))*10</f>
        <v>4</v>
      </c>
      <c r="BD235" t="str">
        <f>VLOOKUP(ifood_data[[#This Row],[RFM Score]],'RFM Analysis'!$A$3:$B$14,2,FALSE)</f>
        <v>At Risk</v>
      </c>
      <c r="BE235">
        <f>'Regression Models'!$B$101+'Regression Models'!$B$102*ifood_data[[#This Row],[Income]]+'Regression Models'!$B$103*ifood_data[[#This Row],[Age]]+'Regression Models'!$B$104*ifood_data[[#This Row],[Family]]</f>
        <v>1260.9455395134094</v>
      </c>
      <c r="BF235" t="str">
        <f>IF(ifood_data[[#This Row],[AcceptedCmpOverall]]=1,"Campaign Respondent","Non-respondent")</f>
        <v>Campaign Respondent</v>
      </c>
    </row>
    <row r="236" spans="1:58" x14ac:dyDescent="0.35">
      <c r="A236">
        <v>687</v>
      </c>
      <c r="B236">
        <v>75012</v>
      </c>
      <c r="C236">
        <v>0</v>
      </c>
      <c r="D236">
        <v>0</v>
      </c>
      <c r="E236">
        <v>41</v>
      </c>
      <c r="F236">
        <v>294</v>
      </c>
      <c r="G236">
        <v>142</v>
      </c>
      <c r="H236">
        <v>218</v>
      </c>
      <c r="I236">
        <v>164</v>
      </c>
      <c r="J236">
        <v>58</v>
      </c>
      <c r="K236">
        <v>151</v>
      </c>
      <c r="L236">
        <v>1</v>
      </c>
      <c r="M236">
        <v>3</v>
      </c>
      <c r="N236">
        <v>8</v>
      </c>
      <c r="O236">
        <v>11</v>
      </c>
      <c r="P236">
        <v>1</v>
      </c>
      <c r="Q236">
        <v>0</v>
      </c>
      <c r="R236">
        <v>0</v>
      </c>
      <c r="S236">
        <v>0</v>
      </c>
      <c r="T236">
        <v>0</v>
      </c>
      <c r="U236">
        <v>0</v>
      </c>
      <c r="V236">
        <f>IF(SUM(ifood_data[[#This Row],[AcceptedCmp1]:[AcceptedCmp5]])&gt;0,1,0)</f>
        <v>0</v>
      </c>
      <c r="W236">
        <v>0</v>
      </c>
      <c r="X236">
        <v>3</v>
      </c>
      <c r="Y236">
        <v>11</v>
      </c>
      <c r="Z236">
        <v>0</v>
      </c>
      <c r="AA236">
        <v>44</v>
      </c>
      <c r="AB236">
        <v>2314</v>
      </c>
      <c r="AC236" s="28">
        <f>ifood_data[[#This Row],[Customer_Days]]/365</f>
        <v>6.3397260273972602</v>
      </c>
      <c r="AD236">
        <v>1</v>
      </c>
      <c r="AE236">
        <v>0</v>
      </c>
      <c r="AF236">
        <v>0</v>
      </c>
      <c r="AG236">
        <v>0</v>
      </c>
      <c r="AH236">
        <v>0</v>
      </c>
      <c r="AI236">
        <v>0</v>
      </c>
      <c r="AJ236">
        <v>0</v>
      </c>
      <c r="AK236">
        <v>0</v>
      </c>
      <c r="AL236">
        <v>1</v>
      </c>
      <c r="AM236">
        <v>0</v>
      </c>
      <c r="AN236">
        <v>876</v>
      </c>
      <c r="AO236">
        <v>725</v>
      </c>
      <c r="AP236">
        <f>ifood_data[[#This Row],[MntTotal]]-ifood_data[[#This Row],[MntRegularProds]]</f>
        <v>151</v>
      </c>
      <c r="AQ236">
        <v>0</v>
      </c>
      <c r="AR236">
        <f>IF(SUM(ifood_data[[#This Row],[Kidhome]:[Teenhome]])&gt;0,1,0)</f>
        <v>0</v>
      </c>
      <c r="AS236" t="str">
        <f>IF(SUM(ifood_data[[#This Row],[Kidhome]:[Teenhome]])&gt;0,"Has Family","No Family")</f>
        <v>No Family</v>
      </c>
      <c r="AT236" t="str">
        <f>IF(ifood_data[[#This Row],[marital_Married]]=1,"Married", (IF(ifood_data[[#This Row],[marital_Single]]=1,"Single",(IF(ifood_data[[#This Row],[marital_Divorced]]=1,"Divorced",(IF(ifood_data[[#This Row],[marital_Together]]=1,"Living Together",(IF(ifood_data[[#This Row],[marital_Widow]]=1,"Widow","Other")))))))))</f>
        <v>Divorced</v>
      </c>
      <c r="AU236" t="str">
        <f>IF(ifood_data[[#This Row],[education_Basic]]=1,"High School",(IF(ifood_data[[#This Row],[education_Graduation]]=1,"Undergraduate Degree",(IF(SUM(AM236,AL236,AI236)&gt;0,"Master's Degree or Higher","Other")))))</f>
        <v>Master's Degree or Higher</v>
      </c>
      <c r="AV236" t="str">
        <f>IF(ifood_data[[#All],[Income]]&gt;75000,"75K+",(IF(ifood_data[[#All],[Income]]&gt;50000,"50K-75K",(IF(ifood_data[[#All],[Income]]&gt;35000,"35K-50K","&lt;35K")))))</f>
        <v>75K+</v>
      </c>
      <c r="AW236" t="str">
        <f>IF(ifood_data[[#All],[Age]]&gt;60,"60+",(IF(ifood_data[[#All],[Age]]&gt;50,"50-60",(IF(ifood_data[[#All],[Age]]&gt;40,"40-50",(IF(ifood_data[[#All],[Age]]&gt;30,"30-40","&lt;30")))))))</f>
        <v>40-50</v>
      </c>
      <c r="AX236">
        <f t="shared" si="12"/>
        <v>24</v>
      </c>
      <c r="AY236">
        <f t="shared" si="13"/>
        <v>6</v>
      </c>
      <c r="AZ236">
        <f t="shared" si="14"/>
        <v>6</v>
      </c>
      <c r="BA236">
        <f t="shared" si="15"/>
        <v>7</v>
      </c>
      <c r="BB236">
        <f>SUM(ifood_data[[#This Row],[Recency Score]:[Monetary Score]])</f>
        <v>19</v>
      </c>
      <c r="BC236">
        <f>(_xlfn.PERCENTRANK.INC(ifood_data[[#All],[RFM]],ifood_data[[#This Row],[RFM]],1))*10</f>
        <v>7</v>
      </c>
      <c r="BD236" t="str">
        <f>VLOOKUP(ifood_data[[#This Row],[RFM Score]],'RFM Analysis'!$A$3:$B$14,2,FALSE)</f>
        <v>Loyal Customer</v>
      </c>
      <c r="BE236">
        <f>'Regression Models'!$B$101+'Regression Models'!$B$102*ifood_data[[#This Row],[Income]]+'Regression Models'!$B$103*ifood_data[[#This Row],[Age]]+'Regression Models'!$B$104*ifood_data[[#This Row],[Family]]</f>
        <v>1260.7837002643287</v>
      </c>
      <c r="BF236" t="str">
        <f>IF(ifood_data[[#This Row],[AcceptedCmpOverall]]=1,"Campaign Respondent","Non-respondent")</f>
        <v>Non-respondent</v>
      </c>
    </row>
    <row r="237" spans="1:58" x14ac:dyDescent="0.35">
      <c r="A237">
        <v>1417</v>
      </c>
      <c r="B237">
        <v>74004</v>
      </c>
      <c r="C237">
        <v>0</v>
      </c>
      <c r="D237">
        <v>0</v>
      </c>
      <c r="E237">
        <v>5</v>
      </c>
      <c r="F237">
        <v>784</v>
      </c>
      <c r="G237">
        <v>48</v>
      </c>
      <c r="H237">
        <v>560</v>
      </c>
      <c r="I237">
        <v>42</v>
      </c>
      <c r="J237">
        <v>176</v>
      </c>
      <c r="K237">
        <v>48</v>
      </c>
      <c r="L237">
        <v>1</v>
      </c>
      <c r="M237">
        <v>4</v>
      </c>
      <c r="N237">
        <v>6</v>
      </c>
      <c r="O237">
        <v>4</v>
      </c>
      <c r="P237">
        <v>3</v>
      </c>
      <c r="Q237">
        <v>1</v>
      </c>
      <c r="R237">
        <v>0</v>
      </c>
      <c r="S237">
        <v>0</v>
      </c>
      <c r="T237">
        <v>0</v>
      </c>
      <c r="U237">
        <v>1</v>
      </c>
      <c r="V237">
        <f>IF(SUM(ifood_data[[#This Row],[AcceptedCmp1]:[AcceptedCmp5]])&gt;0,1,0)</f>
        <v>1</v>
      </c>
      <c r="W237">
        <v>0</v>
      </c>
      <c r="X237">
        <v>3</v>
      </c>
      <c r="Y237">
        <v>11</v>
      </c>
      <c r="Z237">
        <v>1</v>
      </c>
      <c r="AA237">
        <v>33</v>
      </c>
      <c r="AB237">
        <v>2284</v>
      </c>
      <c r="AC237" s="28">
        <f>ifood_data[[#This Row],[Customer_Days]]/365</f>
        <v>6.2575342465753421</v>
      </c>
      <c r="AD237">
        <v>0</v>
      </c>
      <c r="AE237">
        <v>0</v>
      </c>
      <c r="AF237">
        <v>1</v>
      </c>
      <c r="AG237">
        <v>0</v>
      </c>
      <c r="AH237">
        <v>0</v>
      </c>
      <c r="AI237">
        <v>0</v>
      </c>
      <c r="AJ237">
        <v>0</v>
      </c>
      <c r="AK237">
        <v>0</v>
      </c>
      <c r="AL237">
        <v>0</v>
      </c>
      <c r="AM237">
        <v>1</v>
      </c>
      <c r="AN237">
        <v>1610</v>
      </c>
      <c r="AO237">
        <v>1562</v>
      </c>
      <c r="AP237">
        <f>ifood_data[[#This Row],[MntTotal]]-ifood_data[[#This Row],[MntRegularProds]]</f>
        <v>48</v>
      </c>
      <c r="AQ237">
        <v>2</v>
      </c>
      <c r="AR237">
        <f>IF(SUM(ifood_data[[#This Row],[Kidhome]:[Teenhome]])&gt;0,1,0)</f>
        <v>0</v>
      </c>
      <c r="AS237" t="str">
        <f>IF(SUM(ifood_data[[#This Row],[Kidhome]:[Teenhome]])&gt;0,"Has Family","No Family")</f>
        <v>No Family</v>
      </c>
      <c r="AT237" t="str">
        <f>IF(ifood_data[[#This Row],[marital_Married]]=1,"Married", (IF(ifood_data[[#This Row],[marital_Single]]=1,"Single",(IF(ifood_data[[#This Row],[marital_Divorced]]=1,"Divorced",(IF(ifood_data[[#This Row],[marital_Together]]=1,"Living Together",(IF(ifood_data[[#This Row],[marital_Widow]]=1,"Widow","Other")))))))))</f>
        <v>Single</v>
      </c>
      <c r="AU237" t="str">
        <f>IF(ifood_data[[#This Row],[education_Basic]]=1,"High School",(IF(ifood_data[[#This Row],[education_Graduation]]=1,"Undergraduate Degree",(IF(SUM(AM237,AL237,AI237)&gt;0,"Master's Degree or Higher","Other")))))</f>
        <v>Master's Degree or Higher</v>
      </c>
      <c r="AV237" t="str">
        <f>IF(ifood_data[[#All],[Income]]&gt;75000,"75K+",(IF(ifood_data[[#All],[Income]]&gt;50000,"50K-75K",(IF(ifood_data[[#All],[Income]]&gt;35000,"35K-50K","&lt;35K")))))</f>
        <v>50K-75K</v>
      </c>
      <c r="AW237" t="str">
        <f>IF(ifood_data[[#All],[Age]]&gt;60,"60+",(IF(ifood_data[[#All],[Age]]&gt;50,"50-60",(IF(ifood_data[[#All],[Age]]&gt;40,"40-50",(IF(ifood_data[[#All],[Age]]&gt;30,"30-40","&lt;30")))))))</f>
        <v>30-40</v>
      </c>
      <c r="AX237">
        <f t="shared" si="12"/>
        <v>18</v>
      </c>
      <c r="AY237">
        <f t="shared" si="13"/>
        <v>10</v>
      </c>
      <c r="AZ237">
        <f t="shared" si="14"/>
        <v>4</v>
      </c>
      <c r="BA237">
        <f t="shared" si="15"/>
        <v>9</v>
      </c>
      <c r="BB237">
        <f>SUM(ifood_data[[#This Row],[Recency Score]:[Monetary Score]])</f>
        <v>23</v>
      </c>
      <c r="BC237">
        <f>(_xlfn.PERCENTRANK.INC(ifood_data[[#All],[RFM]],ifood_data[[#This Row],[RFM]],1))*10</f>
        <v>8</v>
      </c>
      <c r="BD237" t="str">
        <f>VLOOKUP(ifood_data[[#This Row],[RFM Score]],'RFM Analysis'!$A$3:$B$14,2,FALSE)</f>
        <v>Loyal Customer</v>
      </c>
      <c r="BE237">
        <f>'Regression Models'!$B$101+'Regression Models'!$B$102*ifood_data[[#This Row],[Income]]+'Regression Models'!$B$103*ifood_data[[#This Row],[Age]]+'Regression Models'!$B$104*ifood_data[[#This Row],[Family]]</f>
        <v>1260.4326518431158</v>
      </c>
      <c r="BF237" t="str">
        <f>IF(ifood_data[[#This Row],[AcceptedCmpOverall]]=1,"Campaign Respondent","Non-respondent")</f>
        <v>Campaign Respondent</v>
      </c>
    </row>
    <row r="238" spans="1:58" x14ac:dyDescent="0.35">
      <c r="A238">
        <v>317</v>
      </c>
      <c r="B238">
        <v>75693</v>
      </c>
      <c r="C238">
        <v>0</v>
      </c>
      <c r="D238">
        <v>0</v>
      </c>
      <c r="E238">
        <v>10</v>
      </c>
      <c r="F238">
        <v>797</v>
      </c>
      <c r="G238">
        <v>153</v>
      </c>
      <c r="H238">
        <v>293</v>
      </c>
      <c r="I238">
        <v>72</v>
      </c>
      <c r="J238">
        <v>97</v>
      </c>
      <c r="K238">
        <v>30</v>
      </c>
      <c r="L238">
        <v>1</v>
      </c>
      <c r="M238">
        <v>11</v>
      </c>
      <c r="N238">
        <v>4</v>
      </c>
      <c r="O238">
        <v>6</v>
      </c>
      <c r="P238">
        <v>4</v>
      </c>
      <c r="Q238">
        <v>1</v>
      </c>
      <c r="R238">
        <v>0</v>
      </c>
      <c r="S238">
        <v>0</v>
      </c>
      <c r="T238">
        <v>1</v>
      </c>
      <c r="U238">
        <v>1</v>
      </c>
      <c r="V238">
        <f>IF(SUM(ifood_data[[#This Row],[AcceptedCmp1]:[AcceptedCmp5]])&gt;0,1,0)</f>
        <v>1</v>
      </c>
      <c r="W238">
        <v>0</v>
      </c>
      <c r="X238">
        <v>3</v>
      </c>
      <c r="Y238">
        <v>11</v>
      </c>
      <c r="Z238">
        <v>1</v>
      </c>
      <c r="AA238">
        <v>52</v>
      </c>
      <c r="AB238">
        <v>2729</v>
      </c>
      <c r="AC238" s="28">
        <f>ifood_data[[#This Row],[Customer_Days]]/365</f>
        <v>7.4767123287671229</v>
      </c>
      <c r="AD238">
        <v>1</v>
      </c>
      <c r="AE238">
        <v>0</v>
      </c>
      <c r="AF238">
        <v>0</v>
      </c>
      <c r="AG238">
        <v>0</v>
      </c>
      <c r="AH238">
        <v>0</v>
      </c>
      <c r="AI238">
        <v>0</v>
      </c>
      <c r="AJ238">
        <v>0</v>
      </c>
      <c r="AK238">
        <v>1</v>
      </c>
      <c r="AL238">
        <v>0</v>
      </c>
      <c r="AM238">
        <v>0</v>
      </c>
      <c r="AN238">
        <v>1412</v>
      </c>
      <c r="AO238">
        <v>1382</v>
      </c>
      <c r="AP238">
        <f>ifood_data[[#This Row],[MntTotal]]-ifood_data[[#This Row],[MntRegularProds]]</f>
        <v>30</v>
      </c>
      <c r="AQ238">
        <v>3</v>
      </c>
      <c r="AR238">
        <f>IF(SUM(ifood_data[[#This Row],[Kidhome]:[Teenhome]])&gt;0,1,0)</f>
        <v>0</v>
      </c>
      <c r="AS238" t="str">
        <f>IF(SUM(ifood_data[[#This Row],[Kidhome]:[Teenhome]])&gt;0,"Has Family","No Family")</f>
        <v>No Family</v>
      </c>
      <c r="AT238" t="str">
        <f>IF(ifood_data[[#This Row],[marital_Married]]=1,"Married", (IF(ifood_data[[#This Row],[marital_Single]]=1,"Single",(IF(ifood_data[[#This Row],[marital_Divorced]]=1,"Divorced",(IF(ifood_data[[#This Row],[marital_Together]]=1,"Living Together",(IF(ifood_data[[#This Row],[marital_Widow]]=1,"Widow","Other")))))))))</f>
        <v>Divorced</v>
      </c>
      <c r="AU238" t="str">
        <f>IF(ifood_data[[#This Row],[education_Basic]]=1,"High School",(IF(ifood_data[[#This Row],[education_Graduation]]=1,"Undergraduate Degree",(IF(SUM(AM238,AL238,AI238)&gt;0,"Master's Degree or Higher","Other")))))</f>
        <v>Undergraduate Degree</v>
      </c>
      <c r="AV238" t="str">
        <f>IF(ifood_data[[#All],[Income]]&gt;75000,"75K+",(IF(ifood_data[[#All],[Income]]&gt;50000,"50K-75K",(IF(ifood_data[[#All],[Income]]&gt;35000,"35K-50K","&lt;35K")))))</f>
        <v>75K+</v>
      </c>
      <c r="AW238" t="str">
        <f>IF(ifood_data[[#All],[Age]]&gt;60,"60+",(IF(ifood_data[[#All],[Age]]&gt;50,"50-60",(IF(ifood_data[[#All],[Age]]&gt;40,"40-50",(IF(ifood_data[[#All],[Age]]&gt;30,"30-40","&lt;30")))))))</f>
        <v>50-60</v>
      </c>
      <c r="AX238">
        <f t="shared" si="12"/>
        <v>26</v>
      </c>
      <c r="AY238">
        <f t="shared" si="13"/>
        <v>9</v>
      </c>
      <c r="AZ238">
        <f t="shared" si="14"/>
        <v>7</v>
      </c>
      <c r="BA238">
        <f t="shared" si="15"/>
        <v>8</v>
      </c>
      <c r="BB238">
        <f>SUM(ifood_data[[#This Row],[Recency Score]:[Monetary Score]])</f>
        <v>24</v>
      </c>
      <c r="BC238">
        <f>(_xlfn.PERCENTRANK.INC(ifood_data[[#All],[RFM]],ifood_data[[#This Row],[RFM]],1))*10</f>
        <v>9</v>
      </c>
      <c r="BD238" t="str">
        <f>VLOOKUP(ifood_data[[#This Row],[RFM Score]],'RFM Analysis'!$A$3:$B$14,2,FALSE)</f>
        <v>Top Customer</v>
      </c>
      <c r="BE238">
        <f>'Regression Models'!$B$101+'Regression Models'!$B$102*ifood_data[[#This Row],[Income]]+'Regression Models'!$B$103*ifood_data[[#This Row],[Age]]+'Regression Models'!$B$104*ifood_data[[#This Row],[Family]]</f>
        <v>1259.9769387391698</v>
      </c>
      <c r="BF238" t="str">
        <f>IF(ifood_data[[#This Row],[AcceptedCmpOverall]]=1,"Campaign Respondent","Non-respondent")</f>
        <v>Campaign Respondent</v>
      </c>
    </row>
    <row r="239" spans="1:58" x14ac:dyDescent="0.35">
      <c r="A239">
        <v>228</v>
      </c>
      <c r="B239">
        <v>73687</v>
      </c>
      <c r="C239">
        <v>0</v>
      </c>
      <c r="D239">
        <v>0</v>
      </c>
      <c r="E239">
        <v>8</v>
      </c>
      <c r="F239">
        <v>559</v>
      </c>
      <c r="G239">
        <v>153</v>
      </c>
      <c r="H239">
        <v>503</v>
      </c>
      <c r="I239">
        <v>218</v>
      </c>
      <c r="J239">
        <v>13</v>
      </c>
      <c r="K239">
        <v>181</v>
      </c>
      <c r="L239">
        <v>1</v>
      </c>
      <c r="M239">
        <v>3</v>
      </c>
      <c r="N239">
        <v>9</v>
      </c>
      <c r="O239">
        <v>9</v>
      </c>
      <c r="P239">
        <v>2</v>
      </c>
      <c r="Q239">
        <v>1</v>
      </c>
      <c r="R239">
        <v>0</v>
      </c>
      <c r="S239">
        <v>0</v>
      </c>
      <c r="T239">
        <v>0</v>
      </c>
      <c r="U239">
        <v>0</v>
      </c>
      <c r="V239">
        <f>IF(SUM(ifood_data[[#This Row],[AcceptedCmp1]:[AcceptedCmp5]])&gt;0,1,0)</f>
        <v>1</v>
      </c>
      <c r="W239">
        <v>0</v>
      </c>
      <c r="X239">
        <v>3</v>
      </c>
      <c r="Y239">
        <v>11</v>
      </c>
      <c r="Z239">
        <v>1</v>
      </c>
      <c r="AA239">
        <v>30</v>
      </c>
      <c r="AB239">
        <v>2372</v>
      </c>
      <c r="AC239" s="28">
        <f>ifood_data[[#This Row],[Customer_Days]]/365</f>
        <v>6.4986301369863018</v>
      </c>
      <c r="AD239">
        <v>0</v>
      </c>
      <c r="AE239">
        <v>1</v>
      </c>
      <c r="AF239">
        <v>0</v>
      </c>
      <c r="AG239">
        <v>0</v>
      </c>
      <c r="AH239">
        <v>0</v>
      </c>
      <c r="AI239">
        <v>0</v>
      </c>
      <c r="AJ239">
        <v>0</v>
      </c>
      <c r="AK239">
        <v>1</v>
      </c>
      <c r="AL239">
        <v>0</v>
      </c>
      <c r="AM239">
        <v>0</v>
      </c>
      <c r="AN239">
        <v>1446</v>
      </c>
      <c r="AO239">
        <v>1265</v>
      </c>
      <c r="AP239">
        <f>ifood_data[[#This Row],[MntTotal]]-ifood_data[[#This Row],[MntRegularProds]]</f>
        <v>181</v>
      </c>
      <c r="AQ239">
        <v>1</v>
      </c>
      <c r="AR239">
        <f>IF(SUM(ifood_data[[#This Row],[Kidhome]:[Teenhome]])&gt;0,1,0)</f>
        <v>0</v>
      </c>
      <c r="AS239" t="str">
        <f>IF(SUM(ifood_data[[#This Row],[Kidhome]:[Teenhome]])&gt;0,"Has Family","No Family")</f>
        <v>No Family</v>
      </c>
      <c r="AT239" t="str">
        <f>IF(ifood_data[[#This Row],[marital_Married]]=1,"Married", (IF(ifood_data[[#This Row],[marital_Single]]=1,"Single",(IF(ifood_data[[#This Row],[marital_Divorced]]=1,"Divorced",(IF(ifood_data[[#This Row],[marital_Together]]=1,"Living Together",(IF(ifood_data[[#This Row],[marital_Widow]]=1,"Widow","Other")))))))))</f>
        <v>Married</v>
      </c>
      <c r="AU239" t="str">
        <f>IF(ifood_data[[#This Row],[education_Basic]]=1,"High School",(IF(ifood_data[[#This Row],[education_Graduation]]=1,"Undergraduate Degree",(IF(SUM(AM239,AL239,AI239)&gt;0,"Master's Degree or Higher","Other")))))</f>
        <v>Undergraduate Degree</v>
      </c>
      <c r="AV239" t="str">
        <f>IF(ifood_data[[#All],[Income]]&gt;75000,"75K+",(IF(ifood_data[[#All],[Income]]&gt;50000,"50K-75K",(IF(ifood_data[[#All],[Income]]&gt;35000,"35K-50K","&lt;35K")))))</f>
        <v>50K-75K</v>
      </c>
      <c r="AW239" t="str">
        <f>IF(ifood_data[[#All],[Age]]&gt;60,"60+",(IF(ifood_data[[#All],[Age]]&gt;50,"50-60",(IF(ifood_data[[#All],[Age]]&gt;40,"40-50",(IF(ifood_data[[#All],[Age]]&gt;30,"30-40","&lt;30")))))))</f>
        <v>&lt;30</v>
      </c>
      <c r="AX239">
        <f t="shared" si="12"/>
        <v>24</v>
      </c>
      <c r="AY239">
        <f t="shared" si="13"/>
        <v>10</v>
      </c>
      <c r="AZ239">
        <f t="shared" si="14"/>
        <v>6</v>
      </c>
      <c r="BA239">
        <f t="shared" si="15"/>
        <v>8</v>
      </c>
      <c r="BB239">
        <f>SUM(ifood_data[[#This Row],[Recency Score]:[Monetary Score]])</f>
        <v>24</v>
      </c>
      <c r="BC239">
        <f>(_xlfn.PERCENTRANK.INC(ifood_data[[#All],[RFM]],ifood_data[[#This Row],[RFM]],1))*10</f>
        <v>9</v>
      </c>
      <c r="BD239" t="str">
        <f>VLOOKUP(ifood_data[[#This Row],[RFM Score]],'RFM Analysis'!$A$3:$B$14,2,FALSE)</f>
        <v>Top Customer</v>
      </c>
      <c r="BE239">
        <f>'Regression Models'!$B$101+'Regression Models'!$B$102*ifood_data[[#This Row],[Income]]+'Regression Models'!$B$103*ifood_data[[#This Row],[Age]]+'Regression Models'!$B$104*ifood_data[[#This Row],[Family]]</f>
        <v>1259.4787295781825</v>
      </c>
      <c r="BF239" t="str">
        <f>IF(ifood_data[[#This Row],[AcceptedCmpOverall]]=1,"Campaign Respondent","Non-respondent")</f>
        <v>Campaign Respondent</v>
      </c>
    </row>
    <row r="240" spans="1:58" x14ac:dyDescent="0.35">
      <c r="A240">
        <v>71</v>
      </c>
      <c r="B240">
        <v>75251</v>
      </c>
      <c r="C240">
        <v>0</v>
      </c>
      <c r="D240">
        <v>0</v>
      </c>
      <c r="E240">
        <v>34</v>
      </c>
      <c r="F240">
        <v>721</v>
      </c>
      <c r="G240">
        <v>111</v>
      </c>
      <c r="H240">
        <v>925</v>
      </c>
      <c r="I240">
        <v>97</v>
      </c>
      <c r="J240">
        <v>18</v>
      </c>
      <c r="K240">
        <v>18</v>
      </c>
      <c r="L240">
        <v>1</v>
      </c>
      <c r="M240">
        <v>7</v>
      </c>
      <c r="N240">
        <v>6</v>
      </c>
      <c r="O240">
        <v>5</v>
      </c>
      <c r="P240">
        <v>5</v>
      </c>
      <c r="Q240">
        <v>0</v>
      </c>
      <c r="R240">
        <v>0</v>
      </c>
      <c r="S240">
        <v>0</v>
      </c>
      <c r="T240">
        <v>0</v>
      </c>
      <c r="U240">
        <v>0</v>
      </c>
      <c r="V240">
        <f>IF(SUM(ifood_data[[#This Row],[AcceptedCmp1]:[AcceptedCmp5]])&gt;0,1,0)</f>
        <v>0</v>
      </c>
      <c r="W240">
        <v>0</v>
      </c>
      <c r="X240">
        <v>3</v>
      </c>
      <c r="Y240">
        <v>11</v>
      </c>
      <c r="Z240">
        <v>1</v>
      </c>
      <c r="AA240">
        <v>48</v>
      </c>
      <c r="AB240">
        <v>2830</v>
      </c>
      <c r="AC240" s="28">
        <f>ifood_data[[#This Row],[Customer_Days]]/365</f>
        <v>7.7534246575342465</v>
      </c>
      <c r="AD240">
        <v>0</v>
      </c>
      <c r="AE240">
        <v>1</v>
      </c>
      <c r="AF240">
        <v>0</v>
      </c>
      <c r="AG240">
        <v>0</v>
      </c>
      <c r="AH240">
        <v>0</v>
      </c>
      <c r="AI240">
        <v>0</v>
      </c>
      <c r="AJ240">
        <v>0</v>
      </c>
      <c r="AK240">
        <v>0</v>
      </c>
      <c r="AL240">
        <v>1</v>
      </c>
      <c r="AM240">
        <v>0</v>
      </c>
      <c r="AN240">
        <v>1872</v>
      </c>
      <c r="AO240">
        <v>1854</v>
      </c>
      <c r="AP240">
        <f>ifood_data[[#This Row],[MntTotal]]-ifood_data[[#This Row],[MntRegularProds]]</f>
        <v>18</v>
      </c>
      <c r="AQ240">
        <v>0</v>
      </c>
      <c r="AR240">
        <f>IF(SUM(ifood_data[[#This Row],[Kidhome]:[Teenhome]])&gt;0,1,0)</f>
        <v>0</v>
      </c>
      <c r="AS240" t="str">
        <f>IF(SUM(ifood_data[[#This Row],[Kidhome]:[Teenhome]])&gt;0,"Has Family","No Family")</f>
        <v>No Family</v>
      </c>
      <c r="AT240" t="str">
        <f>IF(ifood_data[[#This Row],[marital_Married]]=1,"Married", (IF(ifood_data[[#This Row],[marital_Single]]=1,"Single",(IF(ifood_data[[#This Row],[marital_Divorced]]=1,"Divorced",(IF(ifood_data[[#This Row],[marital_Together]]=1,"Living Together",(IF(ifood_data[[#This Row],[marital_Widow]]=1,"Widow","Other")))))))))</f>
        <v>Married</v>
      </c>
      <c r="AU240" t="str">
        <f>IF(ifood_data[[#This Row],[education_Basic]]=1,"High School",(IF(ifood_data[[#This Row],[education_Graduation]]=1,"Undergraduate Degree",(IF(SUM(AM240,AL240,AI240)&gt;0,"Master's Degree or Higher","Other")))))</f>
        <v>Master's Degree or Higher</v>
      </c>
      <c r="AV240" t="str">
        <f>IF(ifood_data[[#All],[Income]]&gt;75000,"75K+",(IF(ifood_data[[#All],[Income]]&gt;50000,"50K-75K",(IF(ifood_data[[#All],[Income]]&gt;35000,"35K-50K","&lt;35K")))))</f>
        <v>75K+</v>
      </c>
      <c r="AW240" t="str">
        <f>IF(ifood_data[[#All],[Age]]&gt;60,"60+",(IF(ifood_data[[#All],[Age]]&gt;50,"50-60",(IF(ifood_data[[#All],[Age]]&gt;40,"40-50",(IF(ifood_data[[#All],[Age]]&gt;30,"30-40","&lt;30")))))))</f>
        <v>40-50</v>
      </c>
      <c r="AX240">
        <f t="shared" si="12"/>
        <v>24</v>
      </c>
      <c r="AY240">
        <f t="shared" si="13"/>
        <v>7</v>
      </c>
      <c r="AZ240">
        <f t="shared" si="14"/>
        <v>6</v>
      </c>
      <c r="BA240">
        <f t="shared" si="15"/>
        <v>9</v>
      </c>
      <c r="BB240">
        <f>SUM(ifood_data[[#This Row],[Recency Score]:[Monetary Score]])</f>
        <v>22</v>
      </c>
      <c r="BC240">
        <f>(_xlfn.PERCENTRANK.INC(ifood_data[[#All],[RFM]],ifood_data[[#This Row],[RFM]],1))*10</f>
        <v>8</v>
      </c>
      <c r="BD240" t="str">
        <f>VLOOKUP(ifood_data[[#This Row],[RFM Score]],'RFM Analysis'!$A$3:$B$14,2,FALSE)</f>
        <v>Loyal Customer</v>
      </c>
      <c r="BE240">
        <f>'Regression Models'!$B$101+'Regression Models'!$B$102*ifood_data[[#This Row],[Income]]+'Regression Models'!$B$103*ifood_data[[#This Row],[Age]]+'Regression Models'!$B$104*ifood_data[[#This Row],[Family]]</f>
        <v>1258.3108595351432</v>
      </c>
      <c r="BF240" t="str">
        <f>IF(ifood_data[[#This Row],[AcceptedCmpOverall]]=1,"Campaign Respondent","Non-respondent")</f>
        <v>Non-respondent</v>
      </c>
    </row>
    <row r="241" spans="1:58" x14ac:dyDescent="0.35">
      <c r="A241">
        <v>290</v>
      </c>
      <c r="B241">
        <v>77457</v>
      </c>
      <c r="C241">
        <v>0</v>
      </c>
      <c r="D241">
        <v>0</v>
      </c>
      <c r="E241">
        <v>85</v>
      </c>
      <c r="F241">
        <v>675</v>
      </c>
      <c r="G241">
        <v>11</v>
      </c>
      <c r="H241">
        <v>400</v>
      </c>
      <c r="I241">
        <v>15</v>
      </c>
      <c r="J241">
        <v>45</v>
      </c>
      <c r="K241">
        <v>11</v>
      </c>
      <c r="L241">
        <v>1</v>
      </c>
      <c r="M241">
        <v>2</v>
      </c>
      <c r="N241">
        <v>5</v>
      </c>
      <c r="O241">
        <v>10</v>
      </c>
      <c r="P241">
        <v>1</v>
      </c>
      <c r="Q241">
        <v>0</v>
      </c>
      <c r="R241">
        <v>0</v>
      </c>
      <c r="S241">
        <v>0</v>
      </c>
      <c r="T241">
        <v>0</v>
      </c>
      <c r="U241">
        <v>1</v>
      </c>
      <c r="V241">
        <f>IF(SUM(ifood_data[[#This Row],[AcceptedCmp1]:[AcceptedCmp5]])&gt;0,1,0)</f>
        <v>1</v>
      </c>
      <c r="W241">
        <v>0</v>
      </c>
      <c r="X241">
        <v>3</v>
      </c>
      <c r="Y241">
        <v>11</v>
      </c>
      <c r="Z241">
        <v>0</v>
      </c>
      <c r="AA241">
        <v>73</v>
      </c>
      <c r="AB241">
        <v>2275</v>
      </c>
      <c r="AC241" s="28">
        <f>ifood_data[[#This Row],[Customer_Days]]/365</f>
        <v>6.2328767123287667</v>
      </c>
      <c r="AD241">
        <v>0</v>
      </c>
      <c r="AE241">
        <v>0</v>
      </c>
      <c r="AF241">
        <v>1</v>
      </c>
      <c r="AG241">
        <v>0</v>
      </c>
      <c r="AH241">
        <v>0</v>
      </c>
      <c r="AI241">
        <v>0</v>
      </c>
      <c r="AJ241">
        <v>0</v>
      </c>
      <c r="AK241">
        <v>1</v>
      </c>
      <c r="AL241">
        <v>0</v>
      </c>
      <c r="AM241">
        <v>0</v>
      </c>
      <c r="AN241">
        <v>1146</v>
      </c>
      <c r="AO241">
        <v>1135</v>
      </c>
      <c r="AP241">
        <f>ifood_data[[#This Row],[MntTotal]]-ifood_data[[#This Row],[MntRegularProds]]</f>
        <v>11</v>
      </c>
      <c r="AQ241">
        <v>1</v>
      </c>
      <c r="AR241">
        <f>IF(SUM(ifood_data[[#This Row],[Kidhome]:[Teenhome]])&gt;0,1,0)</f>
        <v>0</v>
      </c>
      <c r="AS241" t="str">
        <f>IF(SUM(ifood_data[[#This Row],[Kidhome]:[Teenhome]])&gt;0,"Has Family","No Family")</f>
        <v>No Family</v>
      </c>
      <c r="AT241" t="str">
        <f>IF(ifood_data[[#This Row],[marital_Married]]=1,"Married", (IF(ifood_data[[#This Row],[marital_Single]]=1,"Single",(IF(ifood_data[[#This Row],[marital_Divorced]]=1,"Divorced",(IF(ifood_data[[#This Row],[marital_Together]]=1,"Living Together",(IF(ifood_data[[#This Row],[marital_Widow]]=1,"Widow","Other")))))))))</f>
        <v>Single</v>
      </c>
      <c r="AU241" t="str">
        <f>IF(ifood_data[[#This Row],[education_Basic]]=1,"High School",(IF(ifood_data[[#This Row],[education_Graduation]]=1,"Undergraduate Degree",(IF(SUM(AM241,AL241,AI241)&gt;0,"Master's Degree or Higher","Other")))))</f>
        <v>Undergraduate Degree</v>
      </c>
      <c r="AV241" t="str">
        <f>IF(ifood_data[[#All],[Income]]&gt;75000,"75K+",(IF(ifood_data[[#All],[Income]]&gt;50000,"50K-75K",(IF(ifood_data[[#All],[Income]]&gt;35000,"35K-50K","&lt;35K")))))</f>
        <v>75K+</v>
      </c>
      <c r="AW241" t="str">
        <f>IF(ifood_data[[#All],[Age]]&gt;60,"60+",(IF(ifood_data[[#All],[Age]]&gt;50,"50-60",(IF(ifood_data[[#All],[Age]]&gt;40,"40-50",(IF(ifood_data[[#All],[Age]]&gt;30,"30-40","&lt;30")))))))</f>
        <v>60+</v>
      </c>
      <c r="AX241">
        <f t="shared" si="12"/>
        <v>19</v>
      </c>
      <c r="AY241">
        <f t="shared" si="13"/>
        <v>1.9999999999999996</v>
      </c>
      <c r="AZ241">
        <f t="shared" si="14"/>
        <v>4</v>
      </c>
      <c r="BA241">
        <f t="shared" si="15"/>
        <v>8</v>
      </c>
      <c r="BB241">
        <f>SUM(ifood_data[[#This Row],[Recency Score]:[Monetary Score]])</f>
        <v>14</v>
      </c>
      <c r="BC241">
        <f>(_xlfn.PERCENTRANK.INC(ifood_data[[#All],[RFM]],ifood_data[[#This Row],[RFM]],1))*10</f>
        <v>4</v>
      </c>
      <c r="BD241" t="str">
        <f>VLOOKUP(ifood_data[[#This Row],[RFM Score]],'RFM Analysis'!$A$3:$B$14,2,FALSE)</f>
        <v>At Risk</v>
      </c>
      <c r="BE241">
        <f>'Regression Models'!$B$101+'Regression Models'!$B$102*ifood_data[[#This Row],[Income]]+'Regression Models'!$B$103*ifood_data[[#This Row],[Age]]+'Regression Models'!$B$104*ifood_data[[#This Row],[Family]]</f>
        <v>1257.3775050882271</v>
      </c>
      <c r="BF241" t="str">
        <f>IF(ifood_data[[#This Row],[AcceptedCmpOverall]]=1,"Campaign Respondent","Non-respondent")</f>
        <v>Campaign Respondent</v>
      </c>
    </row>
    <row r="242" spans="1:58" x14ac:dyDescent="0.35">
      <c r="A242">
        <v>986</v>
      </c>
      <c r="B242">
        <v>76081</v>
      </c>
      <c r="C242">
        <v>0</v>
      </c>
      <c r="D242">
        <v>0</v>
      </c>
      <c r="E242">
        <v>85</v>
      </c>
      <c r="F242">
        <v>292</v>
      </c>
      <c r="G242">
        <v>30</v>
      </c>
      <c r="H242">
        <v>415</v>
      </c>
      <c r="I242">
        <v>63</v>
      </c>
      <c r="J242">
        <v>33</v>
      </c>
      <c r="K242">
        <v>200</v>
      </c>
      <c r="L242">
        <v>1</v>
      </c>
      <c r="M242">
        <v>4</v>
      </c>
      <c r="N242">
        <v>5</v>
      </c>
      <c r="O242">
        <v>4</v>
      </c>
      <c r="P242">
        <v>2</v>
      </c>
      <c r="Q242">
        <v>1</v>
      </c>
      <c r="R242">
        <v>0</v>
      </c>
      <c r="S242">
        <v>0</v>
      </c>
      <c r="T242">
        <v>0</v>
      </c>
      <c r="U242">
        <v>0</v>
      </c>
      <c r="V242">
        <f>IF(SUM(ifood_data[[#This Row],[AcceptedCmp1]:[AcceptedCmp5]])&gt;0,1,0)</f>
        <v>1</v>
      </c>
      <c r="W242">
        <v>0</v>
      </c>
      <c r="X242">
        <v>3</v>
      </c>
      <c r="Y242">
        <v>11</v>
      </c>
      <c r="Z242">
        <v>0</v>
      </c>
      <c r="AA242">
        <v>58</v>
      </c>
      <c r="AB242">
        <v>2196</v>
      </c>
      <c r="AC242" s="28">
        <f>ifood_data[[#This Row],[Customer_Days]]/365</f>
        <v>6.0164383561643833</v>
      </c>
      <c r="AD242">
        <v>0</v>
      </c>
      <c r="AE242">
        <v>0</v>
      </c>
      <c r="AF242">
        <v>0</v>
      </c>
      <c r="AG242">
        <v>1</v>
      </c>
      <c r="AH242">
        <v>0</v>
      </c>
      <c r="AI242">
        <v>0</v>
      </c>
      <c r="AJ242">
        <v>0</v>
      </c>
      <c r="AK242">
        <v>1</v>
      </c>
      <c r="AL242">
        <v>0</v>
      </c>
      <c r="AM242">
        <v>0</v>
      </c>
      <c r="AN242">
        <v>833</v>
      </c>
      <c r="AO242">
        <v>633</v>
      </c>
      <c r="AP242">
        <f>ifood_data[[#This Row],[MntTotal]]-ifood_data[[#This Row],[MntRegularProds]]</f>
        <v>200</v>
      </c>
      <c r="AQ242">
        <v>1</v>
      </c>
      <c r="AR242">
        <f>IF(SUM(ifood_data[[#This Row],[Kidhome]:[Teenhome]])&gt;0,1,0)</f>
        <v>0</v>
      </c>
      <c r="AS242" t="str">
        <f>IF(SUM(ifood_data[[#This Row],[Kidhome]:[Teenhome]])&gt;0,"Has Family","No Family")</f>
        <v>No Family</v>
      </c>
      <c r="AT242" t="str">
        <f>IF(ifood_data[[#This Row],[marital_Married]]=1,"Married", (IF(ifood_data[[#This Row],[marital_Single]]=1,"Single",(IF(ifood_data[[#This Row],[marital_Divorced]]=1,"Divorced",(IF(ifood_data[[#This Row],[marital_Together]]=1,"Living Together",(IF(ifood_data[[#This Row],[marital_Widow]]=1,"Widow","Other")))))))))</f>
        <v>Living Together</v>
      </c>
      <c r="AU242" t="str">
        <f>IF(ifood_data[[#This Row],[education_Basic]]=1,"High School",(IF(ifood_data[[#This Row],[education_Graduation]]=1,"Undergraduate Degree",(IF(SUM(AM242,AL242,AI242)&gt;0,"Master's Degree or Higher","Other")))))</f>
        <v>Undergraduate Degree</v>
      </c>
      <c r="AV242" t="str">
        <f>IF(ifood_data[[#All],[Income]]&gt;75000,"75K+",(IF(ifood_data[[#All],[Income]]&gt;50000,"50K-75K",(IF(ifood_data[[#All],[Income]]&gt;35000,"35K-50K","&lt;35K")))))</f>
        <v>75K+</v>
      </c>
      <c r="AW242" t="str">
        <f>IF(ifood_data[[#All],[Age]]&gt;60,"60+",(IF(ifood_data[[#All],[Age]]&gt;50,"50-60",(IF(ifood_data[[#All],[Age]]&gt;40,"40-50",(IF(ifood_data[[#All],[Age]]&gt;30,"30-40","&lt;30")))))))</f>
        <v>50-60</v>
      </c>
      <c r="AX242">
        <f t="shared" si="12"/>
        <v>16</v>
      </c>
      <c r="AY242">
        <f t="shared" si="13"/>
        <v>1.9999999999999996</v>
      </c>
      <c r="AZ242">
        <f t="shared" si="14"/>
        <v>3</v>
      </c>
      <c r="BA242">
        <f t="shared" si="15"/>
        <v>6</v>
      </c>
      <c r="BB242">
        <f>SUM(ifood_data[[#This Row],[Recency Score]:[Monetary Score]])</f>
        <v>11</v>
      </c>
      <c r="BC242">
        <f>(_xlfn.PERCENTRANK.INC(ifood_data[[#All],[RFM]],ifood_data[[#This Row],[RFM]],1))*10</f>
        <v>2</v>
      </c>
      <c r="BD242" t="str">
        <f>VLOOKUP(ifood_data[[#This Row],[RFM Score]],'RFM Analysis'!$A$3:$B$14,2,FALSE)</f>
        <v>At Risk</v>
      </c>
      <c r="BE242">
        <f>'Regression Models'!$B$101+'Regression Models'!$B$102*ifood_data[[#This Row],[Income]]+'Regression Models'!$B$103*ifood_data[[#This Row],[Age]]+'Regression Models'!$B$104*ifood_data[[#This Row],[Family]]</f>
        <v>1256.8691463056366</v>
      </c>
      <c r="BF242" t="str">
        <f>IF(ifood_data[[#This Row],[AcceptedCmpOverall]]=1,"Campaign Respondent","Non-respondent")</f>
        <v>Campaign Respondent</v>
      </c>
    </row>
    <row r="243" spans="1:58" x14ac:dyDescent="0.35">
      <c r="A243">
        <v>1025</v>
      </c>
      <c r="B243">
        <v>75345</v>
      </c>
      <c r="C243">
        <v>0</v>
      </c>
      <c r="D243">
        <v>0</v>
      </c>
      <c r="E243">
        <v>16</v>
      </c>
      <c r="F243">
        <v>918</v>
      </c>
      <c r="G243">
        <v>57</v>
      </c>
      <c r="H243">
        <v>842</v>
      </c>
      <c r="I243">
        <v>99</v>
      </c>
      <c r="J243">
        <v>38</v>
      </c>
      <c r="K243">
        <v>133</v>
      </c>
      <c r="L243">
        <v>1</v>
      </c>
      <c r="M243">
        <v>5</v>
      </c>
      <c r="N243">
        <v>8</v>
      </c>
      <c r="O243">
        <v>6</v>
      </c>
      <c r="P243">
        <v>3</v>
      </c>
      <c r="Q243">
        <v>1</v>
      </c>
      <c r="R243">
        <v>0</v>
      </c>
      <c r="S243">
        <v>0</v>
      </c>
      <c r="T243">
        <v>0</v>
      </c>
      <c r="U243">
        <v>0</v>
      </c>
      <c r="V243">
        <f>IF(SUM(ifood_data[[#This Row],[AcceptedCmp1]:[AcceptedCmp5]])&gt;0,1,0)</f>
        <v>1</v>
      </c>
      <c r="W243">
        <v>0</v>
      </c>
      <c r="X243">
        <v>3</v>
      </c>
      <c r="Y243">
        <v>11</v>
      </c>
      <c r="Z243">
        <v>1</v>
      </c>
      <c r="AA243">
        <v>50</v>
      </c>
      <c r="AB243">
        <v>2671</v>
      </c>
      <c r="AC243" s="28">
        <f>ifood_data[[#This Row],[Customer_Days]]/365</f>
        <v>7.3178082191780822</v>
      </c>
      <c r="AD243">
        <v>0</v>
      </c>
      <c r="AE243">
        <v>0</v>
      </c>
      <c r="AF243">
        <v>1</v>
      </c>
      <c r="AG243">
        <v>0</v>
      </c>
      <c r="AH243">
        <v>0</v>
      </c>
      <c r="AI243">
        <v>0</v>
      </c>
      <c r="AJ243">
        <v>0</v>
      </c>
      <c r="AK243">
        <v>0</v>
      </c>
      <c r="AL243">
        <v>1</v>
      </c>
      <c r="AM243">
        <v>0</v>
      </c>
      <c r="AN243">
        <v>1954</v>
      </c>
      <c r="AO243">
        <v>1821</v>
      </c>
      <c r="AP243">
        <f>ifood_data[[#This Row],[MntTotal]]-ifood_data[[#This Row],[MntRegularProds]]</f>
        <v>133</v>
      </c>
      <c r="AQ243">
        <v>1</v>
      </c>
      <c r="AR243">
        <f>IF(SUM(ifood_data[[#This Row],[Kidhome]:[Teenhome]])&gt;0,1,0)</f>
        <v>0</v>
      </c>
      <c r="AS243" t="str">
        <f>IF(SUM(ifood_data[[#This Row],[Kidhome]:[Teenhome]])&gt;0,"Has Family","No Family")</f>
        <v>No Family</v>
      </c>
      <c r="AT243" t="str">
        <f>IF(ifood_data[[#This Row],[marital_Married]]=1,"Married", (IF(ifood_data[[#This Row],[marital_Single]]=1,"Single",(IF(ifood_data[[#This Row],[marital_Divorced]]=1,"Divorced",(IF(ifood_data[[#This Row],[marital_Together]]=1,"Living Together",(IF(ifood_data[[#This Row],[marital_Widow]]=1,"Widow","Other")))))))))</f>
        <v>Single</v>
      </c>
      <c r="AU243" t="str">
        <f>IF(ifood_data[[#This Row],[education_Basic]]=1,"High School",(IF(ifood_data[[#This Row],[education_Graduation]]=1,"Undergraduate Degree",(IF(SUM(AM243,AL243,AI243)&gt;0,"Master's Degree or Higher","Other")))))</f>
        <v>Master's Degree or Higher</v>
      </c>
      <c r="AV243" t="str">
        <f>IF(ifood_data[[#All],[Income]]&gt;75000,"75K+",(IF(ifood_data[[#All],[Income]]&gt;50000,"50K-75K",(IF(ifood_data[[#All],[Income]]&gt;35000,"35K-50K","&lt;35K")))))</f>
        <v>75K+</v>
      </c>
      <c r="AW243" t="str">
        <f>IF(ifood_data[[#All],[Age]]&gt;60,"60+",(IF(ifood_data[[#All],[Age]]&gt;50,"50-60",(IF(ifood_data[[#All],[Age]]&gt;40,"40-50",(IF(ifood_data[[#All],[Age]]&gt;30,"30-40","&lt;30")))))))</f>
        <v>40-50</v>
      </c>
      <c r="AX243">
        <f t="shared" si="12"/>
        <v>23</v>
      </c>
      <c r="AY243">
        <f t="shared" si="13"/>
        <v>9</v>
      </c>
      <c r="AZ243">
        <f t="shared" si="14"/>
        <v>6</v>
      </c>
      <c r="BA243">
        <f t="shared" si="15"/>
        <v>9</v>
      </c>
      <c r="BB243">
        <f>SUM(ifood_data[[#This Row],[Recency Score]:[Monetary Score]])</f>
        <v>24</v>
      </c>
      <c r="BC243">
        <f>(_xlfn.PERCENTRANK.INC(ifood_data[[#All],[RFM]],ifood_data[[#This Row],[RFM]],1))*10</f>
        <v>9</v>
      </c>
      <c r="BD243" t="str">
        <f>VLOOKUP(ifood_data[[#This Row],[RFM Score]],'RFM Analysis'!$A$3:$B$14,2,FALSE)</f>
        <v>Top Customer</v>
      </c>
      <c r="BE243">
        <f>'Regression Models'!$B$101+'Regression Models'!$B$102*ifood_data[[#This Row],[Income]]+'Regression Models'!$B$103*ifood_data[[#This Row],[Age]]+'Regression Models'!$B$104*ifood_data[[#This Row],[Family]]</f>
        <v>1256.5545255828815</v>
      </c>
      <c r="BF243" t="str">
        <f>IF(ifood_data[[#This Row],[AcceptedCmpOverall]]=1,"Campaign Respondent","Non-respondent")</f>
        <v>Campaign Respondent</v>
      </c>
    </row>
    <row r="244" spans="1:58" x14ac:dyDescent="0.35">
      <c r="A244">
        <v>1049</v>
      </c>
      <c r="B244">
        <v>76773</v>
      </c>
      <c r="C244">
        <v>0</v>
      </c>
      <c r="D244">
        <v>0</v>
      </c>
      <c r="E244">
        <v>79</v>
      </c>
      <c r="F244">
        <v>516</v>
      </c>
      <c r="G244">
        <v>56</v>
      </c>
      <c r="H244">
        <v>449</v>
      </c>
      <c r="I244">
        <v>86</v>
      </c>
      <c r="J244">
        <v>33</v>
      </c>
      <c r="K244">
        <v>16</v>
      </c>
      <c r="L244">
        <v>1</v>
      </c>
      <c r="M244">
        <v>2</v>
      </c>
      <c r="N244">
        <v>2</v>
      </c>
      <c r="O244">
        <v>11</v>
      </c>
      <c r="P244">
        <v>1</v>
      </c>
      <c r="Q244">
        <v>0</v>
      </c>
      <c r="R244">
        <v>0</v>
      </c>
      <c r="S244">
        <v>0</v>
      </c>
      <c r="T244">
        <v>0</v>
      </c>
      <c r="U244">
        <v>0</v>
      </c>
      <c r="V244">
        <f>IF(SUM(ifood_data[[#This Row],[AcceptedCmp1]:[AcceptedCmp5]])&gt;0,1,0)</f>
        <v>0</v>
      </c>
      <c r="W244">
        <v>0</v>
      </c>
      <c r="X244">
        <v>3</v>
      </c>
      <c r="Y244">
        <v>11</v>
      </c>
      <c r="Z244">
        <v>0</v>
      </c>
      <c r="AA244">
        <v>66</v>
      </c>
      <c r="AB244">
        <v>2648</v>
      </c>
      <c r="AC244" s="28">
        <f>ifood_data[[#This Row],[Customer_Days]]/365</f>
        <v>7.2547945205479456</v>
      </c>
      <c r="AD244">
        <v>1</v>
      </c>
      <c r="AE244">
        <v>0</v>
      </c>
      <c r="AF244">
        <v>0</v>
      </c>
      <c r="AG244">
        <v>0</v>
      </c>
      <c r="AH244">
        <v>0</v>
      </c>
      <c r="AI244">
        <v>0</v>
      </c>
      <c r="AJ244">
        <v>0</v>
      </c>
      <c r="AK244">
        <v>1</v>
      </c>
      <c r="AL244">
        <v>0</v>
      </c>
      <c r="AM244">
        <v>0</v>
      </c>
      <c r="AN244">
        <v>1140</v>
      </c>
      <c r="AO244">
        <v>1124</v>
      </c>
      <c r="AP244">
        <f>ifood_data[[#This Row],[MntTotal]]-ifood_data[[#This Row],[MntRegularProds]]</f>
        <v>16</v>
      </c>
      <c r="AQ244">
        <v>0</v>
      </c>
      <c r="AR244">
        <f>IF(SUM(ifood_data[[#This Row],[Kidhome]:[Teenhome]])&gt;0,1,0)</f>
        <v>0</v>
      </c>
      <c r="AS244" t="str">
        <f>IF(SUM(ifood_data[[#This Row],[Kidhome]:[Teenhome]])&gt;0,"Has Family","No Family")</f>
        <v>No Family</v>
      </c>
      <c r="AT244" t="str">
        <f>IF(ifood_data[[#This Row],[marital_Married]]=1,"Married", (IF(ifood_data[[#This Row],[marital_Single]]=1,"Single",(IF(ifood_data[[#This Row],[marital_Divorced]]=1,"Divorced",(IF(ifood_data[[#This Row],[marital_Together]]=1,"Living Together",(IF(ifood_data[[#This Row],[marital_Widow]]=1,"Widow","Other")))))))))</f>
        <v>Divorced</v>
      </c>
      <c r="AU244" t="str">
        <f>IF(ifood_data[[#This Row],[education_Basic]]=1,"High School",(IF(ifood_data[[#This Row],[education_Graduation]]=1,"Undergraduate Degree",(IF(SUM(AM244,AL244,AI244)&gt;0,"Master's Degree or Higher","Other")))))</f>
        <v>Undergraduate Degree</v>
      </c>
      <c r="AV244" t="str">
        <f>IF(ifood_data[[#All],[Income]]&gt;75000,"75K+",(IF(ifood_data[[#All],[Income]]&gt;50000,"50K-75K",(IF(ifood_data[[#All],[Income]]&gt;35000,"35K-50K","&lt;35K")))))</f>
        <v>75K+</v>
      </c>
      <c r="AW244" t="str">
        <f>IF(ifood_data[[#All],[Age]]&gt;60,"60+",(IF(ifood_data[[#All],[Age]]&gt;50,"50-60",(IF(ifood_data[[#All],[Age]]&gt;40,"40-50",(IF(ifood_data[[#All],[Age]]&gt;30,"30-40","&lt;30")))))))</f>
        <v>60+</v>
      </c>
      <c r="AX244">
        <f t="shared" si="12"/>
        <v>17</v>
      </c>
      <c r="AY244">
        <f t="shared" si="13"/>
        <v>3.0000000000000004</v>
      </c>
      <c r="AZ244">
        <f t="shared" si="14"/>
        <v>3</v>
      </c>
      <c r="BA244">
        <f t="shared" si="15"/>
        <v>8</v>
      </c>
      <c r="BB244">
        <f>SUM(ifood_data[[#This Row],[Recency Score]:[Monetary Score]])</f>
        <v>14</v>
      </c>
      <c r="BC244">
        <f>(_xlfn.PERCENTRANK.INC(ifood_data[[#All],[RFM]],ifood_data[[#This Row],[RFM]],1))*10</f>
        <v>4</v>
      </c>
      <c r="BD244" t="str">
        <f>VLOOKUP(ifood_data[[#This Row],[RFM Score]],'RFM Analysis'!$A$3:$B$14,2,FALSE)</f>
        <v>At Risk</v>
      </c>
      <c r="BE244">
        <f>'Regression Models'!$B$101+'Regression Models'!$B$102*ifood_data[[#This Row],[Income]]+'Regression Models'!$B$103*ifood_data[[#This Row],[Age]]+'Regression Models'!$B$104*ifood_data[[#This Row],[Family]]</f>
        <v>1256.2866612300602</v>
      </c>
      <c r="BF244" t="str">
        <f>IF(ifood_data[[#This Row],[AcceptedCmpOverall]]=1,"Campaign Respondent","Non-respondent")</f>
        <v>Non-respondent</v>
      </c>
    </row>
    <row r="245" spans="1:58" x14ac:dyDescent="0.35">
      <c r="A245">
        <v>1268</v>
      </c>
      <c r="B245">
        <v>76542</v>
      </c>
      <c r="C245">
        <v>0</v>
      </c>
      <c r="D245">
        <v>0</v>
      </c>
      <c r="E245">
        <v>91</v>
      </c>
      <c r="F245">
        <v>794</v>
      </c>
      <c r="G245">
        <v>73</v>
      </c>
      <c r="H245">
        <v>573</v>
      </c>
      <c r="I245">
        <v>0</v>
      </c>
      <c r="J245">
        <v>29</v>
      </c>
      <c r="K245">
        <v>14</v>
      </c>
      <c r="L245">
        <v>1</v>
      </c>
      <c r="M245">
        <v>4</v>
      </c>
      <c r="N245">
        <v>8</v>
      </c>
      <c r="O245">
        <v>10</v>
      </c>
      <c r="P245">
        <v>2</v>
      </c>
      <c r="Q245">
        <v>0</v>
      </c>
      <c r="R245">
        <v>0</v>
      </c>
      <c r="S245">
        <v>0</v>
      </c>
      <c r="T245">
        <v>0</v>
      </c>
      <c r="U245">
        <v>0</v>
      </c>
      <c r="V245">
        <f>IF(SUM(ifood_data[[#This Row],[AcceptedCmp1]:[AcceptedCmp5]])&gt;0,1,0)</f>
        <v>0</v>
      </c>
      <c r="W245">
        <v>0</v>
      </c>
      <c r="X245">
        <v>3</v>
      </c>
      <c r="Y245">
        <v>11</v>
      </c>
      <c r="Z245">
        <v>0</v>
      </c>
      <c r="AA245">
        <v>64</v>
      </c>
      <c r="AB245">
        <v>2615</v>
      </c>
      <c r="AC245" s="28">
        <f>ifood_data[[#This Row],[Customer_Days]]/365</f>
        <v>7.1643835616438354</v>
      </c>
      <c r="AD245">
        <v>0</v>
      </c>
      <c r="AE245">
        <v>0</v>
      </c>
      <c r="AF245">
        <v>0</v>
      </c>
      <c r="AG245">
        <v>1</v>
      </c>
      <c r="AH245">
        <v>0</v>
      </c>
      <c r="AI245">
        <v>0</v>
      </c>
      <c r="AJ245">
        <v>0</v>
      </c>
      <c r="AK245">
        <v>0</v>
      </c>
      <c r="AL245">
        <v>0</v>
      </c>
      <c r="AM245">
        <v>1</v>
      </c>
      <c r="AN245">
        <v>1469</v>
      </c>
      <c r="AO245">
        <v>1455</v>
      </c>
      <c r="AP245">
        <f>ifood_data[[#This Row],[MntTotal]]-ifood_data[[#This Row],[MntRegularProds]]</f>
        <v>14</v>
      </c>
      <c r="AQ245">
        <v>0</v>
      </c>
      <c r="AR245">
        <f>IF(SUM(ifood_data[[#This Row],[Kidhome]:[Teenhome]])&gt;0,1,0)</f>
        <v>0</v>
      </c>
      <c r="AS245" t="str">
        <f>IF(SUM(ifood_data[[#This Row],[Kidhome]:[Teenhome]])&gt;0,"Has Family","No Family")</f>
        <v>No Family</v>
      </c>
      <c r="AT245" t="str">
        <f>IF(ifood_data[[#This Row],[marital_Married]]=1,"Married", (IF(ifood_data[[#This Row],[marital_Single]]=1,"Single",(IF(ifood_data[[#This Row],[marital_Divorced]]=1,"Divorced",(IF(ifood_data[[#This Row],[marital_Together]]=1,"Living Together",(IF(ifood_data[[#This Row],[marital_Widow]]=1,"Widow","Other")))))))))</f>
        <v>Living Together</v>
      </c>
      <c r="AU245" t="str">
        <f>IF(ifood_data[[#This Row],[education_Basic]]=1,"High School",(IF(ifood_data[[#This Row],[education_Graduation]]=1,"Undergraduate Degree",(IF(SUM(AM245,AL245,AI245)&gt;0,"Master's Degree or Higher","Other")))))</f>
        <v>Master's Degree or Higher</v>
      </c>
      <c r="AV245" t="str">
        <f>IF(ifood_data[[#All],[Income]]&gt;75000,"75K+",(IF(ifood_data[[#All],[Income]]&gt;50000,"50K-75K",(IF(ifood_data[[#All],[Income]]&gt;35000,"35K-50K","&lt;35K")))))</f>
        <v>75K+</v>
      </c>
      <c r="AW245" t="str">
        <f>IF(ifood_data[[#All],[Age]]&gt;60,"60+",(IF(ifood_data[[#All],[Age]]&gt;50,"50-60",(IF(ifood_data[[#All],[Age]]&gt;40,"40-50",(IF(ifood_data[[#All],[Age]]&gt;30,"30-40","&lt;30")))))))</f>
        <v>60+</v>
      </c>
      <c r="AX245">
        <f t="shared" si="12"/>
        <v>25</v>
      </c>
      <c r="AY245">
        <f t="shared" si="13"/>
        <v>0.99999999999999978</v>
      </c>
      <c r="AZ245">
        <f t="shared" si="14"/>
        <v>7</v>
      </c>
      <c r="BA245">
        <f t="shared" si="15"/>
        <v>9</v>
      </c>
      <c r="BB245">
        <f>SUM(ifood_data[[#This Row],[Recency Score]:[Monetary Score]])</f>
        <v>17</v>
      </c>
      <c r="BC245">
        <f>(_xlfn.PERCENTRANK.INC(ifood_data[[#All],[RFM]],ifood_data[[#This Row],[RFM]],1))*10</f>
        <v>6</v>
      </c>
      <c r="BD245" t="str">
        <f>VLOOKUP(ifood_data[[#This Row],[RFM Score]],'RFM Analysis'!$A$3:$B$14,2,FALSE)</f>
        <v>Promising</v>
      </c>
      <c r="BE245">
        <f>'Regression Models'!$B$101+'Regression Models'!$B$102*ifood_data[[#This Row],[Income]]+'Regression Models'!$B$103*ifood_data[[#This Row],[Age]]+'Regression Models'!$B$104*ifood_data[[#This Row],[Family]]</f>
        <v>1255.2497339466083</v>
      </c>
      <c r="BF245" t="str">
        <f>IF(ifood_data[[#This Row],[AcceptedCmpOverall]]=1,"Campaign Respondent","Non-respondent")</f>
        <v>Non-respondent</v>
      </c>
    </row>
    <row r="246" spans="1:58" x14ac:dyDescent="0.35">
      <c r="A246">
        <v>878</v>
      </c>
      <c r="B246">
        <v>74116</v>
      </c>
      <c r="C246">
        <v>0</v>
      </c>
      <c r="D246">
        <v>0</v>
      </c>
      <c r="E246">
        <v>53</v>
      </c>
      <c r="F246">
        <v>871</v>
      </c>
      <c r="G246">
        <v>111</v>
      </c>
      <c r="H246">
        <v>704</v>
      </c>
      <c r="I246">
        <v>145</v>
      </c>
      <c r="J246">
        <v>55</v>
      </c>
      <c r="K246">
        <v>166</v>
      </c>
      <c r="L246">
        <v>1</v>
      </c>
      <c r="M246">
        <v>4</v>
      </c>
      <c r="N246">
        <v>4</v>
      </c>
      <c r="O246">
        <v>10</v>
      </c>
      <c r="P246">
        <v>2</v>
      </c>
      <c r="Q246">
        <v>0</v>
      </c>
      <c r="R246">
        <v>0</v>
      </c>
      <c r="S246">
        <v>0</v>
      </c>
      <c r="T246">
        <v>1</v>
      </c>
      <c r="U246">
        <v>0</v>
      </c>
      <c r="V246">
        <f>IF(SUM(ifood_data[[#This Row],[AcceptedCmp1]:[AcceptedCmp5]])&gt;0,1,0)</f>
        <v>1</v>
      </c>
      <c r="W246">
        <v>0</v>
      </c>
      <c r="X246">
        <v>3</v>
      </c>
      <c r="Y246">
        <v>11</v>
      </c>
      <c r="Z246">
        <v>0</v>
      </c>
      <c r="AA246">
        <v>38</v>
      </c>
      <c r="AB246">
        <v>2340</v>
      </c>
      <c r="AC246" s="28">
        <f>ifood_data[[#This Row],[Customer_Days]]/365</f>
        <v>6.4109589041095889</v>
      </c>
      <c r="AD246">
        <v>0</v>
      </c>
      <c r="AE246">
        <v>0</v>
      </c>
      <c r="AF246">
        <v>1</v>
      </c>
      <c r="AG246">
        <v>0</v>
      </c>
      <c r="AH246">
        <v>0</v>
      </c>
      <c r="AI246">
        <v>1</v>
      </c>
      <c r="AJ246">
        <v>0</v>
      </c>
      <c r="AK246">
        <v>0</v>
      </c>
      <c r="AL246">
        <v>0</v>
      </c>
      <c r="AM246">
        <v>0</v>
      </c>
      <c r="AN246">
        <v>1886</v>
      </c>
      <c r="AO246">
        <v>1720</v>
      </c>
      <c r="AP246">
        <f>ifood_data[[#This Row],[MntTotal]]-ifood_data[[#This Row],[MntRegularProds]]</f>
        <v>166</v>
      </c>
      <c r="AQ246">
        <v>1</v>
      </c>
      <c r="AR246">
        <f>IF(SUM(ifood_data[[#This Row],[Kidhome]:[Teenhome]])&gt;0,1,0)</f>
        <v>0</v>
      </c>
      <c r="AS246" t="str">
        <f>IF(SUM(ifood_data[[#This Row],[Kidhome]:[Teenhome]])&gt;0,"Has Family","No Family")</f>
        <v>No Family</v>
      </c>
      <c r="AT246" t="str">
        <f>IF(ifood_data[[#This Row],[marital_Married]]=1,"Married", (IF(ifood_data[[#This Row],[marital_Single]]=1,"Single",(IF(ifood_data[[#This Row],[marital_Divorced]]=1,"Divorced",(IF(ifood_data[[#This Row],[marital_Together]]=1,"Living Together",(IF(ifood_data[[#This Row],[marital_Widow]]=1,"Widow","Other")))))))))</f>
        <v>Single</v>
      </c>
      <c r="AU246" t="str">
        <f>IF(ifood_data[[#This Row],[education_Basic]]=1,"High School",(IF(ifood_data[[#This Row],[education_Graduation]]=1,"Undergraduate Degree",(IF(SUM(AM246,AL246,AI246)&gt;0,"Master's Degree or Higher","Other")))))</f>
        <v>Master's Degree or Higher</v>
      </c>
      <c r="AV246" t="str">
        <f>IF(ifood_data[[#All],[Income]]&gt;75000,"75K+",(IF(ifood_data[[#All],[Income]]&gt;50000,"50K-75K",(IF(ifood_data[[#All],[Income]]&gt;35000,"35K-50K","&lt;35K")))))</f>
        <v>50K-75K</v>
      </c>
      <c r="AW246" t="str">
        <f>IF(ifood_data[[#All],[Age]]&gt;60,"60+",(IF(ifood_data[[#All],[Age]]&gt;50,"50-60",(IF(ifood_data[[#All],[Age]]&gt;40,"40-50",(IF(ifood_data[[#All],[Age]]&gt;30,"30-40","&lt;30")))))))</f>
        <v>30-40</v>
      </c>
      <c r="AX246">
        <f t="shared" si="12"/>
        <v>21</v>
      </c>
      <c r="AY246">
        <f t="shared" si="13"/>
        <v>5</v>
      </c>
      <c r="AZ246">
        <f t="shared" si="14"/>
        <v>5</v>
      </c>
      <c r="BA246">
        <f t="shared" si="15"/>
        <v>9</v>
      </c>
      <c r="BB246">
        <f>SUM(ifood_data[[#This Row],[Recency Score]:[Monetary Score]])</f>
        <v>19</v>
      </c>
      <c r="BC246">
        <f>(_xlfn.PERCENTRANK.INC(ifood_data[[#All],[RFM]],ifood_data[[#This Row],[RFM]],1))*10</f>
        <v>7</v>
      </c>
      <c r="BD246" t="str">
        <f>VLOOKUP(ifood_data[[#This Row],[RFM Score]],'RFM Analysis'!$A$3:$B$14,2,FALSE)</f>
        <v>Loyal Customer</v>
      </c>
      <c r="BE246">
        <f>'Regression Models'!$B$101+'Regression Models'!$B$102*ifood_data[[#This Row],[Income]]+'Regression Models'!$B$103*ifood_data[[#This Row],[Age]]+'Regression Models'!$B$104*ifood_data[[#This Row],[Family]]</f>
        <v>1253.5339984807611</v>
      </c>
      <c r="BF246" t="str">
        <f>IF(ifood_data[[#This Row],[AcceptedCmpOverall]]=1,"Campaign Respondent","Non-respondent")</f>
        <v>Campaign Respondent</v>
      </c>
    </row>
    <row r="247" spans="1:58" x14ac:dyDescent="0.35">
      <c r="A247">
        <v>1754</v>
      </c>
      <c r="B247">
        <v>77598</v>
      </c>
      <c r="C247">
        <v>0</v>
      </c>
      <c r="D247">
        <v>0</v>
      </c>
      <c r="E247">
        <v>53</v>
      </c>
      <c r="F247">
        <v>1193</v>
      </c>
      <c r="G247">
        <v>33</v>
      </c>
      <c r="H247">
        <v>281</v>
      </c>
      <c r="I247">
        <v>129</v>
      </c>
      <c r="J247">
        <v>66</v>
      </c>
      <c r="K247">
        <v>33</v>
      </c>
      <c r="L247">
        <v>1</v>
      </c>
      <c r="M247">
        <v>7</v>
      </c>
      <c r="N247">
        <v>5</v>
      </c>
      <c r="O247">
        <v>13</v>
      </c>
      <c r="P247">
        <v>3</v>
      </c>
      <c r="Q247">
        <v>0</v>
      </c>
      <c r="R247">
        <v>0</v>
      </c>
      <c r="S247">
        <v>0</v>
      </c>
      <c r="T247">
        <v>0</v>
      </c>
      <c r="U247">
        <v>1</v>
      </c>
      <c r="V247">
        <f>IF(SUM(ifood_data[[#This Row],[AcceptedCmp1]:[AcceptedCmp5]])&gt;0,1,0)</f>
        <v>1</v>
      </c>
      <c r="W247">
        <v>0</v>
      </c>
      <c r="X247">
        <v>3</v>
      </c>
      <c r="Y247">
        <v>11</v>
      </c>
      <c r="Z247">
        <v>0</v>
      </c>
      <c r="AA247">
        <v>77</v>
      </c>
      <c r="AB247">
        <v>2430</v>
      </c>
      <c r="AC247" s="28">
        <f>ifood_data[[#This Row],[Customer_Days]]/365</f>
        <v>6.6575342465753424</v>
      </c>
      <c r="AD247">
        <v>0</v>
      </c>
      <c r="AE247">
        <v>0</v>
      </c>
      <c r="AF247">
        <v>1</v>
      </c>
      <c r="AG247">
        <v>0</v>
      </c>
      <c r="AH247">
        <v>0</v>
      </c>
      <c r="AI247">
        <v>0</v>
      </c>
      <c r="AJ247">
        <v>0</v>
      </c>
      <c r="AK247">
        <v>0</v>
      </c>
      <c r="AL247">
        <v>1</v>
      </c>
      <c r="AM247">
        <v>0</v>
      </c>
      <c r="AN247">
        <v>1702</v>
      </c>
      <c r="AO247">
        <v>1669</v>
      </c>
      <c r="AP247">
        <f>ifood_data[[#This Row],[MntTotal]]-ifood_data[[#This Row],[MntRegularProds]]</f>
        <v>33</v>
      </c>
      <c r="AQ247">
        <v>1</v>
      </c>
      <c r="AR247">
        <f>IF(SUM(ifood_data[[#This Row],[Kidhome]:[Teenhome]])&gt;0,1,0)</f>
        <v>0</v>
      </c>
      <c r="AS247" t="str">
        <f>IF(SUM(ifood_data[[#This Row],[Kidhome]:[Teenhome]])&gt;0,"Has Family","No Family")</f>
        <v>No Family</v>
      </c>
      <c r="AT247" t="str">
        <f>IF(ifood_data[[#This Row],[marital_Married]]=1,"Married", (IF(ifood_data[[#This Row],[marital_Single]]=1,"Single",(IF(ifood_data[[#This Row],[marital_Divorced]]=1,"Divorced",(IF(ifood_data[[#This Row],[marital_Together]]=1,"Living Together",(IF(ifood_data[[#This Row],[marital_Widow]]=1,"Widow","Other")))))))))</f>
        <v>Single</v>
      </c>
      <c r="AU247" t="str">
        <f>IF(ifood_data[[#This Row],[education_Basic]]=1,"High School",(IF(ifood_data[[#This Row],[education_Graduation]]=1,"Undergraduate Degree",(IF(SUM(AM247,AL247,AI247)&gt;0,"Master's Degree or Higher","Other")))))</f>
        <v>Master's Degree or Higher</v>
      </c>
      <c r="AV247" t="str">
        <f>IF(ifood_data[[#All],[Income]]&gt;75000,"75K+",(IF(ifood_data[[#All],[Income]]&gt;50000,"50K-75K",(IF(ifood_data[[#All],[Income]]&gt;35000,"35K-50K","&lt;35K")))))</f>
        <v>75K+</v>
      </c>
      <c r="AW247" t="str">
        <f>IF(ifood_data[[#All],[Age]]&gt;60,"60+",(IF(ifood_data[[#All],[Age]]&gt;50,"50-60",(IF(ifood_data[[#All],[Age]]&gt;40,"40-50",(IF(ifood_data[[#All],[Age]]&gt;30,"30-40","&lt;30")))))))</f>
        <v>60+</v>
      </c>
      <c r="AX247">
        <f t="shared" si="12"/>
        <v>29</v>
      </c>
      <c r="AY247">
        <f t="shared" si="13"/>
        <v>5</v>
      </c>
      <c r="AZ247">
        <f t="shared" si="14"/>
        <v>8</v>
      </c>
      <c r="BA247">
        <f t="shared" si="15"/>
        <v>9</v>
      </c>
      <c r="BB247">
        <f>SUM(ifood_data[[#This Row],[Recency Score]:[Monetary Score]])</f>
        <v>22</v>
      </c>
      <c r="BC247">
        <f>(_xlfn.PERCENTRANK.INC(ifood_data[[#All],[RFM]],ifood_data[[#This Row],[RFM]],1))*10</f>
        <v>8</v>
      </c>
      <c r="BD247" t="str">
        <f>VLOOKUP(ifood_data[[#This Row],[RFM Score]],'RFM Analysis'!$A$3:$B$14,2,FALSE)</f>
        <v>Loyal Customer</v>
      </c>
      <c r="BE247">
        <f>'Regression Models'!$B$101+'Regression Models'!$B$102*ifood_data[[#This Row],[Income]]+'Regression Models'!$B$103*ifood_data[[#This Row],[Age]]+'Regression Models'!$B$104*ifood_data[[#This Row],[Family]]</f>
        <v>1252.90656508094</v>
      </c>
      <c r="BF247" t="str">
        <f>IF(ifood_data[[#This Row],[AcceptedCmpOverall]]=1,"Campaign Respondent","Non-respondent")</f>
        <v>Campaign Respondent</v>
      </c>
    </row>
    <row r="248" spans="1:58" x14ac:dyDescent="0.35">
      <c r="A248">
        <v>1103</v>
      </c>
      <c r="B248">
        <v>77142</v>
      </c>
      <c r="C248">
        <v>0</v>
      </c>
      <c r="D248">
        <v>0</v>
      </c>
      <c r="E248">
        <v>54</v>
      </c>
      <c r="F248">
        <v>476</v>
      </c>
      <c r="G248">
        <v>75</v>
      </c>
      <c r="H248">
        <v>162</v>
      </c>
      <c r="I248">
        <v>29</v>
      </c>
      <c r="J248">
        <v>151</v>
      </c>
      <c r="K248">
        <v>97</v>
      </c>
      <c r="L248">
        <v>1</v>
      </c>
      <c r="M248">
        <v>4</v>
      </c>
      <c r="N248">
        <v>4</v>
      </c>
      <c r="O248">
        <v>8</v>
      </c>
      <c r="P248">
        <v>2</v>
      </c>
      <c r="Q248">
        <v>0</v>
      </c>
      <c r="R248">
        <v>0</v>
      </c>
      <c r="S248">
        <v>0</v>
      </c>
      <c r="T248">
        <v>0</v>
      </c>
      <c r="U248">
        <v>0</v>
      </c>
      <c r="V248">
        <f>IF(SUM(ifood_data[[#This Row],[AcceptedCmp1]:[AcceptedCmp5]])&gt;0,1,0)</f>
        <v>0</v>
      </c>
      <c r="W248">
        <v>0</v>
      </c>
      <c r="X248">
        <v>3</v>
      </c>
      <c r="Y248">
        <v>11</v>
      </c>
      <c r="Z248">
        <v>0</v>
      </c>
      <c r="AA248">
        <v>72</v>
      </c>
      <c r="AB248">
        <v>2555</v>
      </c>
      <c r="AC248" s="28">
        <f>ifood_data[[#This Row],[Customer_Days]]/365</f>
        <v>7</v>
      </c>
      <c r="AD248">
        <v>0</v>
      </c>
      <c r="AE248">
        <v>1</v>
      </c>
      <c r="AF248">
        <v>0</v>
      </c>
      <c r="AG248">
        <v>0</v>
      </c>
      <c r="AH248">
        <v>0</v>
      </c>
      <c r="AI248">
        <v>0</v>
      </c>
      <c r="AJ248">
        <v>0</v>
      </c>
      <c r="AK248">
        <v>1</v>
      </c>
      <c r="AL248">
        <v>0</v>
      </c>
      <c r="AM248">
        <v>0</v>
      </c>
      <c r="AN248">
        <v>893</v>
      </c>
      <c r="AO248">
        <v>796</v>
      </c>
      <c r="AP248">
        <f>ifood_data[[#This Row],[MntTotal]]-ifood_data[[#This Row],[MntRegularProds]]</f>
        <v>97</v>
      </c>
      <c r="AQ248">
        <v>0</v>
      </c>
      <c r="AR248">
        <f>IF(SUM(ifood_data[[#This Row],[Kidhome]:[Teenhome]])&gt;0,1,0)</f>
        <v>0</v>
      </c>
      <c r="AS248" t="str">
        <f>IF(SUM(ifood_data[[#This Row],[Kidhome]:[Teenhome]])&gt;0,"Has Family","No Family")</f>
        <v>No Family</v>
      </c>
      <c r="AT248" t="str">
        <f>IF(ifood_data[[#This Row],[marital_Married]]=1,"Married", (IF(ifood_data[[#This Row],[marital_Single]]=1,"Single",(IF(ifood_data[[#This Row],[marital_Divorced]]=1,"Divorced",(IF(ifood_data[[#This Row],[marital_Together]]=1,"Living Together",(IF(ifood_data[[#This Row],[marital_Widow]]=1,"Widow","Other")))))))))</f>
        <v>Married</v>
      </c>
      <c r="AU248" t="str">
        <f>IF(ifood_data[[#This Row],[education_Basic]]=1,"High School",(IF(ifood_data[[#This Row],[education_Graduation]]=1,"Undergraduate Degree",(IF(SUM(AM248,AL248,AI248)&gt;0,"Master's Degree or Higher","Other")))))</f>
        <v>Undergraduate Degree</v>
      </c>
      <c r="AV248" t="str">
        <f>IF(ifood_data[[#All],[Income]]&gt;75000,"75K+",(IF(ifood_data[[#All],[Income]]&gt;50000,"50K-75K",(IF(ifood_data[[#All],[Income]]&gt;35000,"35K-50K","&lt;35K")))))</f>
        <v>75K+</v>
      </c>
      <c r="AW248" t="str">
        <f>IF(ifood_data[[#All],[Age]]&gt;60,"60+",(IF(ifood_data[[#All],[Age]]&gt;50,"50-60",(IF(ifood_data[[#All],[Age]]&gt;40,"40-50",(IF(ifood_data[[#All],[Age]]&gt;30,"30-40","&lt;30")))))))</f>
        <v>60+</v>
      </c>
      <c r="AX248">
        <f t="shared" si="12"/>
        <v>19</v>
      </c>
      <c r="AY248">
        <f t="shared" si="13"/>
        <v>5</v>
      </c>
      <c r="AZ248">
        <f t="shared" si="14"/>
        <v>4</v>
      </c>
      <c r="BA248">
        <f t="shared" si="15"/>
        <v>7</v>
      </c>
      <c r="BB248">
        <f>SUM(ifood_data[[#This Row],[Recency Score]:[Monetary Score]])</f>
        <v>16</v>
      </c>
      <c r="BC248">
        <f>(_xlfn.PERCENTRANK.INC(ifood_data[[#All],[RFM]],ifood_data[[#This Row],[RFM]],1))*10</f>
        <v>5</v>
      </c>
      <c r="BD248" t="str">
        <f>VLOOKUP(ifood_data[[#This Row],[RFM Score]],'RFM Analysis'!$A$3:$B$14,2,FALSE)</f>
        <v>Promising</v>
      </c>
      <c r="BE248">
        <f>'Regression Models'!$B$101+'Regression Models'!$B$102*ifood_data[[#This Row],[Income]]+'Regression Models'!$B$103*ifood_data[[#This Row],[Age]]+'Regression Models'!$B$104*ifood_data[[#This Row],[Family]]</f>
        <v>1252.7914822017935</v>
      </c>
      <c r="BF248" t="str">
        <f>IF(ifood_data[[#This Row],[AcceptedCmpOverall]]=1,"Campaign Respondent","Non-respondent")</f>
        <v>Non-respondent</v>
      </c>
    </row>
    <row r="249" spans="1:58" x14ac:dyDescent="0.35">
      <c r="A249">
        <v>1045</v>
      </c>
      <c r="B249">
        <v>76045</v>
      </c>
      <c r="C249">
        <v>0</v>
      </c>
      <c r="D249">
        <v>0</v>
      </c>
      <c r="E249">
        <v>78</v>
      </c>
      <c r="F249">
        <v>760</v>
      </c>
      <c r="G249">
        <v>53</v>
      </c>
      <c r="H249">
        <v>400</v>
      </c>
      <c r="I249">
        <v>17</v>
      </c>
      <c r="J249">
        <v>93</v>
      </c>
      <c r="K249">
        <v>0</v>
      </c>
      <c r="L249">
        <v>1</v>
      </c>
      <c r="M249">
        <v>4</v>
      </c>
      <c r="N249">
        <v>5</v>
      </c>
      <c r="O249">
        <v>11</v>
      </c>
      <c r="P249">
        <v>2</v>
      </c>
      <c r="Q249">
        <v>1</v>
      </c>
      <c r="R249">
        <v>0</v>
      </c>
      <c r="S249">
        <v>0</v>
      </c>
      <c r="T249">
        <v>0</v>
      </c>
      <c r="U249">
        <v>0</v>
      </c>
      <c r="V249">
        <f>IF(SUM(ifood_data[[#This Row],[AcceptedCmp1]:[AcceptedCmp5]])&gt;0,1,0)</f>
        <v>1</v>
      </c>
      <c r="W249">
        <v>0</v>
      </c>
      <c r="X249">
        <v>3</v>
      </c>
      <c r="Y249">
        <v>11</v>
      </c>
      <c r="Z249">
        <v>0</v>
      </c>
      <c r="AA249">
        <v>60</v>
      </c>
      <c r="AB249">
        <v>2385</v>
      </c>
      <c r="AC249" s="28">
        <f>ifood_data[[#This Row],[Customer_Days]]/365</f>
        <v>6.5342465753424657</v>
      </c>
      <c r="AD249">
        <v>0</v>
      </c>
      <c r="AE249">
        <v>0</v>
      </c>
      <c r="AF249">
        <v>1</v>
      </c>
      <c r="AG249">
        <v>0</v>
      </c>
      <c r="AH249">
        <v>0</v>
      </c>
      <c r="AI249">
        <v>0</v>
      </c>
      <c r="AJ249">
        <v>0</v>
      </c>
      <c r="AK249">
        <v>0</v>
      </c>
      <c r="AL249">
        <v>0</v>
      </c>
      <c r="AM249">
        <v>1</v>
      </c>
      <c r="AN249">
        <v>1323</v>
      </c>
      <c r="AO249">
        <v>1323</v>
      </c>
      <c r="AP249">
        <f>ifood_data[[#This Row],[MntTotal]]-ifood_data[[#This Row],[MntRegularProds]]</f>
        <v>0</v>
      </c>
      <c r="AQ249">
        <v>1</v>
      </c>
      <c r="AR249">
        <f>IF(SUM(ifood_data[[#This Row],[Kidhome]:[Teenhome]])&gt;0,1,0)</f>
        <v>0</v>
      </c>
      <c r="AS249" t="str">
        <f>IF(SUM(ifood_data[[#This Row],[Kidhome]:[Teenhome]])&gt;0,"Has Family","No Family")</f>
        <v>No Family</v>
      </c>
      <c r="AT249" t="str">
        <f>IF(ifood_data[[#This Row],[marital_Married]]=1,"Married", (IF(ifood_data[[#This Row],[marital_Single]]=1,"Single",(IF(ifood_data[[#This Row],[marital_Divorced]]=1,"Divorced",(IF(ifood_data[[#This Row],[marital_Together]]=1,"Living Together",(IF(ifood_data[[#This Row],[marital_Widow]]=1,"Widow","Other")))))))))</f>
        <v>Single</v>
      </c>
      <c r="AU249" t="str">
        <f>IF(ifood_data[[#This Row],[education_Basic]]=1,"High School",(IF(ifood_data[[#This Row],[education_Graduation]]=1,"Undergraduate Degree",(IF(SUM(AM249,AL249,AI249)&gt;0,"Master's Degree or Higher","Other")))))</f>
        <v>Master's Degree or Higher</v>
      </c>
      <c r="AV249" t="str">
        <f>IF(ifood_data[[#All],[Income]]&gt;75000,"75K+",(IF(ifood_data[[#All],[Income]]&gt;50000,"50K-75K",(IF(ifood_data[[#All],[Income]]&gt;35000,"35K-50K","&lt;35K")))))</f>
        <v>75K+</v>
      </c>
      <c r="AW249" t="str">
        <f>IF(ifood_data[[#All],[Age]]&gt;60,"60+",(IF(ifood_data[[#All],[Age]]&gt;50,"50-60",(IF(ifood_data[[#All],[Age]]&gt;40,"40-50",(IF(ifood_data[[#All],[Age]]&gt;30,"30-40","&lt;30")))))))</f>
        <v>50-60</v>
      </c>
      <c r="AX249">
        <f t="shared" si="12"/>
        <v>23</v>
      </c>
      <c r="AY249">
        <f t="shared" si="13"/>
        <v>3.0000000000000004</v>
      </c>
      <c r="AZ249">
        <f t="shared" si="14"/>
        <v>6</v>
      </c>
      <c r="BA249">
        <f t="shared" si="15"/>
        <v>8</v>
      </c>
      <c r="BB249">
        <f>SUM(ifood_data[[#This Row],[Recency Score]:[Monetary Score]])</f>
        <v>17</v>
      </c>
      <c r="BC249">
        <f>(_xlfn.PERCENTRANK.INC(ifood_data[[#All],[RFM]],ifood_data[[#This Row],[RFM]],1))*10</f>
        <v>6</v>
      </c>
      <c r="BD249" t="str">
        <f>VLOOKUP(ifood_data[[#This Row],[RFM Score]],'RFM Analysis'!$A$3:$B$14,2,FALSE)</f>
        <v>Promising</v>
      </c>
      <c r="BE249">
        <f>'Regression Models'!$B$101+'Regression Models'!$B$102*ifood_data[[#This Row],[Income]]+'Regression Models'!$B$103*ifood_data[[#This Row],[Age]]+'Regression Models'!$B$104*ifood_data[[#This Row],[Family]]</f>
        <v>1252.462272494668</v>
      </c>
      <c r="BF249" t="str">
        <f>IF(ifood_data[[#This Row],[AcceptedCmpOverall]]=1,"Campaign Respondent","Non-respondent")</f>
        <v>Campaign Respondent</v>
      </c>
    </row>
    <row r="250" spans="1:58" x14ac:dyDescent="0.35">
      <c r="A250">
        <v>1784</v>
      </c>
      <c r="B250">
        <v>76842</v>
      </c>
      <c r="C250">
        <v>0</v>
      </c>
      <c r="D250">
        <v>0</v>
      </c>
      <c r="E250">
        <v>37</v>
      </c>
      <c r="F250">
        <v>605</v>
      </c>
      <c r="G250">
        <v>10</v>
      </c>
      <c r="H250">
        <v>345</v>
      </c>
      <c r="I250">
        <v>84</v>
      </c>
      <c r="J250">
        <v>54</v>
      </c>
      <c r="K250">
        <v>32</v>
      </c>
      <c r="L250">
        <v>1</v>
      </c>
      <c r="M250">
        <v>1</v>
      </c>
      <c r="N250">
        <v>8</v>
      </c>
      <c r="O250">
        <v>7</v>
      </c>
      <c r="P250">
        <v>0</v>
      </c>
      <c r="Q250">
        <v>0</v>
      </c>
      <c r="R250">
        <v>0</v>
      </c>
      <c r="S250">
        <v>0</v>
      </c>
      <c r="T250">
        <v>0</v>
      </c>
      <c r="U250">
        <v>0</v>
      </c>
      <c r="V250">
        <f>IF(SUM(ifood_data[[#This Row],[AcceptedCmp1]:[AcceptedCmp5]])&gt;0,1,0)</f>
        <v>0</v>
      </c>
      <c r="W250">
        <v>0</v>
      </c>
      <c r="X250">
        <v>3</v>
      </c>
      <c r="Y250">
        <v>11</v>
      </c>
      <c r="Z250">
        <v>0</v>
      </c>
      <c r="AA250">
        <v>70</v>
      </c>
      <c r="AB250">
        <v>2216</v>
      </c>
      <c r="AC250" s="28">
        <f>ifood_data[[#This Row],[Customer_Days]]/365</f>
        <v>6.0712328767123287</v>
      </c>
      <c r="AD250">
        <v>0</v>
      </c>
      <c r="AE250">
        <v>0</v>
      </c>
      <c r="AF250">
        <v>0</v>
      </c>
      <c r="AG250">
        <v>0</v>
      </c>
      <c r="AH250">
        <v>1</v>
      </c>
      <c r="AI250">
        <v>0</v>
      </c>
      <c r="AJ250">
        <v>0</v>
      </c>
      <c r="AK250">
        <v>0</v>
      </c>
      <c r="AL250">
        <v>0</v>
      </c>
      <c r="AM250">
        <v>1</v>
      </c>
      <c r="AN250">
        <v>1098</v>
      </c>
      <c r="AO250">
        <v>1066</v>
      </c>
      <c r="AP250">
        <f>ifood_data[[#This Row],[MntTotal]]-ifood_data[[#This Row],[MntRegularProds]]</f>
        <v>32</v>
      </c>
      <c r="AQ250">
        <v>0</v>
      </c>
      <c r="AR250">
        <f>IF(SUM(ifood_data[[#This Row],[Kidhome]:[Teenhome]])&gt;0,1,0)</f>
        <v>0</v>
      </c>
      <c r="AS250" t="str">
        <f>IF(SUM(ifood_data[[#This Row],[Kidhome]:[Teenhome]])&gt;0,"Has Family","No Family")</f>
        <v>No Family</v>
      </c>
      <c r="AT250" t="str">
        <f>IF(ifood_data[[#This Row],[marital_Married]]=1,"Married", (IF(ifood_data[[#This Row],[marital_Single]]=1,"Single",(IF(ifood_data[[#This Row],[marital_Divorced]]=1,"Divorced",(IF(ifood_data[[#This Row],[marital_Together]]=1,"Living Together",(IF(ifood_data[[#This Row],[marital_Widow]]=1,"Widow","Other")))))))))</f>
        <v>Widow</v>
      </c>
      <c r="AU250" t="str">
        <f>IF(ifood_data[[#This Row],[education_Basic]]=1,"High School",(IF(ifood_data[[#This Row],[education_Graduation]]=1,"Undergraduate Degree",(IF(SUM(AM250,AL250,AI250)&gt;0,"Master's Degree or Higher","Other")))))</f>
        <v>Master's Degree or Higher</v>
      </c>
      <c r="AV250" t="str">
        <f>IF(ifood_data[[#All],[Income]]&gt;75000,"75K+",(IF(ifood_data[[#All],[Income]]&gt;50000,"50K-75K",(IF(ifood_data[[#All],[Income]]&gt;35000,"35K-50K","&lt;35K")))))</f>
        <v>75K+</v>
      </c>
      <c r="AW250" t="str">
        <f>IF(ifood_data[[#All],[Age]]&gt;60,"60+",(IF(ifood_data[[#All],[Age]]&gt;50,"50-60",(IF(ifood_data[[#All],[Age]]&gt;40,"40-50",(IF(ifood_data[[#All],[Age]]&gt;30,"30-40","&lt;30")))))))</f>
        <v>60+</v>
      </c>
      <c r="AX250">
        <f t="shared" si="12"/>
        <v>17</v>
      </c>
      <c r="AY250">
        <f t="shared" si="13"/>
        <v>7</v>
      </c>
      <c r="AZ250">
        <f t="shared" si="14"/>
        <v>3</v>
      </c>
      <c r="BA250">
        <f t="shared" si="15"/>
        <v>8</v>
      </c>
      <c r="BB250">
        <f>SUM(ifood_data[[#This Row],[Recency Score]:[Monetary Score]])</f>
        <v>18</v>
      </c>
      <c r="BC250">
        <f>(_xlfn.PERCENTRANK.INC(ifood_data[[#All],[RFM]],ifood_data[[#This Row],[RFM]],1))*10</f>
        <v>6</v>
      </c>
      <c r="BD250" t="str">
        <f>VLOOKUP(ifood_data[[#This Row],[RFM Score]],'RFM Analysis'!$A$3:$B$14,2,FALSE)</f>
        <v>Promising</v>
      </c>
      <c r="BE250">
        <f>'Regression Models'!$B$101+'Regression Models'!$B$102*ifood_data[[#This Row],[Income]]+'Regression Models'!$B$103*ifood_data[[#This Row],[Age]]+'Regression Models'!$B$104*ifood_data[[#This Row],[Family]]</f>
        <v>1250.3477299164122</v>
      </c>
      <c r="BF250" t="str">
        <f>IF(ifood_data[[#This Row],[AcceptedCmpOverall]]=1,"Campaign Respondent","Non-respondent")</f>
        <v>Non-respondent</v>
      </c>
    </row>
    <row r="251" spans="1:58" x14ac:dyDescent="0.35">
      <c r="A251">
        <v>495</v>
      </c>
      <c r="B251">
        <v>73454</v>
      </c>
      <c r="C251">
        <v>0</v>
      </c>
      <c r="D251">
        <v>0</v>
      </c>
      <c r="E251">
        <v>95</v>
      </c>
      <c r="F251">
        <v>982</v>
      </c>
      <c r="G251">
        <v>73</v>
      </c>
      <c r="H251">
        <v>351</v>
      </c>
      <c r="I251">
        <v>56</v>
      </c>
      <c r="J251">
        <v>14</v>
      </c>
      <c r="K251">
        <v>175</v>
      </c>
      <c r="L251">
        <v>1</v>
      </c>
      <c r="M251">
        <v>2</v>
      </c>
      <c r="N251">
        <v>4</v>
      </c>
      <c r="O251">
        <v>6</v>
      </c>
      <c r="P251">
        <v>5</v>
      </c>
      <c r="Q251">
        <v>0</v>
      </c>
      <c r="R251">
        <v>0</v>
      </c>
      <c r="S251">
        <v>1</v>
      </c>
      <c r="T251">
        <v>0</v>
      </c>
      <c r="U251">
        <v>0</v>
      </c>
      <c r="V251">
        <f>IF(SUM(ifood_data[[#This Row],[AcceptedCmp1]:[AcceptedCmp5]])&gt;0,1,0)</f>
        <v>1</v>
      </c>
      <c r="W251">
        <v>0</v>
      </c>
      <c r="X251">
        <v>3</v>
      </c>
      <c r="Y251">
        <v>11</v>
      </c>
      <c r="Z251">
        <v>0</v>
      </c>
      <c r="AA251">
        <v>33</v>
      </c>
      <c r="AB251">
        <v>2279</v>
      </c>
      <c r="AC251" s="28">
        <f>ifood_data[[#This Row],[Customer_Days]]/365</f>
        <v>6.2438356164383562</v>
      </c>
      <c r="AD251">
        <v>0</v>
      </c>
      <c r="AE251">
        <v>0</v>
      </c>
      <c r="AF251">
        <v>1</v>
      </c>
      <c r="AG251">
        <v>0</v>
      </c>
      <c r="AH251">
        <v>0</v>
      </c>
      <c r="AI251">
        <v>0</v>
      </c>
      <c r="AJ251">
        <v>0</v>
      </c>
      <c r="AK251">
        <v>0</v>
      </c>
      <c r="AL251">
        <v>1</v>
      </c>
      <c r="AM251">
        <v>0</v>
      </c>
      <c r="AN251">
        <v>1476</v>
      </c>
      <c r="AO251">
        <v>1301</v>
      </c>
      <c r="AP251">
        <f>ifood_data[[#This Row],[MntTotal]]-ifood_data[[#This Row],[MntRegularProds]]</f>
        <v>175</v>
      </c>
      <c r="AQ251">
        <v>1</v>
      </c>
      <c r="AR251">
        <f>IF(SUM(ifood_data[[#This Row],[Kidhome]:[Teenhome]])&gt;0,1,0)</f>
        <v>0</v>
      </c>
      <c r="AS251" t="str">
        <f>IF(SUM(ifood_data[[#This Row],[Kidhome]:[Teenhome]])&gt;0,"Has Family","No Family")</f>
        <v>No Family</v>
      </c>
      <c r="AT251" t="str">
        <f>IF(ifood_data[[#This Row],[marital_Married]]=1,"Married", (IF(ifood_data[[#This Row],[marital_Single]]=1,"Single",(IF(ifood_data[[#This Row],[marital_Divorced]]=1,"Divorced",(IF(ifood_data[[#This Row],[marital_Together]]=1,"Living Together",(IF(ifood_data[[#This Row],[marital_Widow]]=1,"Widow","Other")))))))))</f>
        <v>Single</v>
      </c>
      <c r="AU251" t="str">
        <f>IF(ifood_data[[#This Row],[education_Basic]]=1,"High School",(IF(ifood_data[[#This Row],[education_Graduation]]=1,"Undergraduate Degree",(IF(SUM(AM251,AL251,AI251)&gt;0,"Master's Degree or Higher","Other")))))</f>
        <v>Master's Degree or Higher</v>
      </c>
      <c r="AV251" t="str">
        <f>IF(ifood_data[[#All],[Income]]&gt;75000,"75K+",(IF(ifood_data[[#All],[Income]]&gt;50000,"50K-75K",(IF(ifood_data[[#All],[Income]]&gt;35000,"35K-50K","&lt;35K")))))</f>
        <v>50K-75K</v>
      </c>
      <c r="AW251" t="str">
        <f>IF(ifood_data[[#All],[Age]]&gt;60,"60+",(IF(ifood_data[[#All],[Age]]&gt;50,"50-60",(IF(ifood_data[[#All],[Age]]&gt;40,"40-50",(IF(ifood_data[[#All],[Age]]&gt;30,"30-40","&lt;30")))))))</f>
        <v>30-40</v>
      </c>
      <c r="AX251">
        <f t="shared" si="12"/>
        <v>18</v>
      </c>
      <c r="AY251">
        <f t="shared" si="13"/>
        <v>0.99999999999999978</v>
      </c>
      <c r="AZ251">
        <f t="shared" si="14"/>
        <v>4</v>
      </c>
      <c r="BA251">
        <f t="shared" si="15"/>
        <v>9</v>
      </c>
      <c r="BB251">
        <f>SUM(ifood_data[[#This Row],[Recency Score]:[Monetary Score]])</f>
        <v>14</v>
      </c>
      <c r="BC251">
        <f>(_xlfn.PERCENTRANK.INC(ifood_data[[#All],[RFM]],ifood_data[[#This Row],[RFM]],1))*10</f>
        <v>4</v>
      </c>
      <c r="BD251" t="str">
        <f>VLOOKUP(ifood_data[[#This Row],[RFM Score]],'RFM Analysis'!$A$3:$B$14,2,FALSE)</f>
        <v>At Risk</v>
      </c>
      <c r="BE251">
        <f>'Regression Models'!$B$101+'Regression Models'!$B$102*ifood_data[[#This Row],[Income]]+'Regression Models'!$B$103*ifood_data[[#This Row],[Age]]+'Regression Models'!$B$104*ifood_data[[#This Row],[Family]]</f>
        <v>1249.2188293639711</v>
      </c>
      <c r="BF251" t="str">
        <f>IF(ifood_data[[#This Row],[AcceptedCmpOverall]]=1,"Campaign Respondent","Non-respondent")</f>
        <v>Campaign Respondent</v>
      </c>
    </row>
    <row r="252" spans="1:58" x14ac:dyDescent="0.35">
      <c r="A252">
        <v>1737</v>
      </c>
      <c r="B252">
        <v>73395</v>
      </c>
      <c r="C252">
        <v>0</v>
      </c>
      <c r="D252">
        <v>0</v>
      </c>
      <c r="E252">
        <v>94</v>
      </c>
      <c r="F252">
        <v>272</v>
      </c>
      <c r="G252">
        <v>7</v>
      </c>
      <c r="H252">
        <v>80</v>
      </c>
      <c r="I252">
        <v>20</v>
      </c>
      <c r="J252">
        <v>7</v>
      </c>
      <c r="K252">
        <v>11</v>
      </c>
      <c r="L252">
        <v>1</v>
      </c>
      <c r="M252">
        <v>4</v>
      </c>
      <c r="N252">
        <v>4</v>
      </c>
      <c r="O252">
        <v>6</v>
      </c>
      <c r="P252">
        <v>2</v>
      </c>
      <c r="Q252">
        <v>0</v>
      </c>
      <c r="R252">
        <v>0</v>
      </c>
      <c r="S252">
        <v>0</v>
      </c>
      <c r="T252">
        <v>0</v>
      </c>
      <c r="U252">
        <v>0</v>
      </c>
      <c r="V252">
        <f>IF(SUM(ifood_data[[#This Row],[AcceptedCmp1]:[AcceptedCmp5]])&gt;0,1,0)</f>
        <v>0</v>
      </c>
      <c r="W252">
        <v>0</v>
      </c>
      <c r="X252">
        <v>3</v>
      </c>
      <c r="Y252">
        <v>11</v>
      </c>
      <c r="Z252">
        <v>0</v>
      </c>
      <c r="AA252">
        <v>33</v>
      </c>
      <c r="AB252">
        <v>2262</v>
      </c>
      <c r="AC252" s="28">
        <f>ifood_data[[#This Row],[Customer_Days]]/365</f>
        <v>6.1972602739726028</v>
      </c>
      <c r="AD252">
        <v>0</v>
      </c>
      <c r="AE252">
        <v>1</v>
      </c>
      <c r="AF252">
        <v>0</v>
      </c>
      <c r="AG252">
        <v>0</v>
      </c>
      <c r="AH252">
        <v>0</v>
      </c>
      <c r="AI252">
        <v>0</v>
      </c>
      <c r="AJ252">
        <v>0</v>
      </c>
      <c r="AK252">
        <v>0</v>
      </c>
      <c r="AL252">
        <v>1</v>
      </c>
      <c r="AM252">
        <v>0</v>
      </c>
      <c r="AN252">
        <v>386</v>
      </c>
      <c r="AO252">
        <v>375</v>
      </c>
      <c r="AP252">
        <f>ifood_data[[#This Row],[MntTotal]]-ifood_data[[#This Row],[MntRegularProds]]</f>
        <v>11</v>
      </c>
      <c r="AQ252">
        <v>0</v>
      </c>
      <c r="AR252">
        <f>IF(SUM(ifood_data[[#This Row],[Kidhome]:[Teenhome]])&gt;0,1,0)</f>
        <v>0</v>
      </c>
      <c r="AS252" t="str">
        <f>IF(SUM(ifood_data[[#This Row],[Kidhome]:[Teenhome]])&gt;0,"Has Family","No Family")</f>
        <v>No Family</v>
      </c>
      <c r="AT252" t="str">
        <f>IF(ifood_data[[#This Row],[marital_Married]]=1,"Married", (IF(ifood_data[[#This Row],[marital_Single]]=1,"Single",(IF(ifood_data[[#This Row],[marital_Divorced]]=1,"Divorced",(IF(ifood_data[[#This Row],[marital_Together]]=1,"Living Together",(IF(ifood_data[[#This Row],[marital_Widow]]=1,"Widow","Other")))))))))</f>
        <v>Married</v>
      </c>
      <c r="AU252" t="str">
        <f>IF(ifood_data[[#This Row],[education_Basic]]=1,"High School",(IF(ifood_data[[#This Row],[education_Graduation]]=1,"Undergraduate Degree",(IF(SUM(AM252,AL252,AI252)&gt;0,"Master's Degree or Higher","Other")))))</f>
        <v>Master's Degree or Higher</v>
      </c>
      <c r="AV252" t="str">
        <f>IF(ifood_data[[#All],[Income]]&gt;75000,"75K+",(IF(ifood_data[[#All],[Income]]&gt;50000,"50K-75K",(IF(ifood_data[[#All],[Income]]&gt;35000,"35K-50K","&lt;35K")))))</f>
        <v>50K-75K</v>
      </c>
      <c r="AW252" t="str">
        <f>IF(ifood_data[[#All],[Age]]&gt;60,"60+",(IF(ifood_data[[#All],[Age]]&gt;50,"50-60",(IF(ifood_data[[#All],[Age]]&gt;40,"40-50",(IF(ifood_data[[#All],[Age]]&gt;30,"30-40","&lt;30")))))))</f>
        <v>30-40</v>
      </c>
      <c r="AX252">
        <f t="shared" si="12"/>
        <v>17</v>
      </c>
      <c r="AY252">
        <f t="shared" si="13"/>
        <v>0.99999999999999978</v>
      </c>
      <c r="AZ252">
        <f t="shared" si="14"/>
        <v>3</v>
      </c>
      <c r="BA252">
        <f t="shared" si="15"/>
        <v>5</v>
      </c>
      <c r="BB252">
        <f>SUM(ifood_data[[#This Row],[Recency Score]:[Monetary Score]])</f>
        <v>9</v>
      </c>
      <c r="BC252">
        <f>(_xlfn.PERCENTRANK.INC(ifood_data[[#All],[RFM]],ifood_data[[#This Row],[RFM]],1))*10</f>
        <v>1</v>
      </c>
      <c r="BD252" t="str">
        <f>VLOOKUP(ifood_data[[#This Row],[RFM Score]],'RFM Analysis'!$A$3:$B$14,2,FALSE)</f>
        <v>At Risk</v>
      </c>
      <c r="BE252">
        <f>'Regression Models'!$B$101+'Regression Models'!$B$102*ifood_data[[#This Row],[Income]]+'Regression Models'!$B$103*ifood_data[[#This Row],[Age]]+'Regression Models'!$B$104*ifood_data[[#This Row],[Family]]</f>
        <v>1248.015892043481</v>
      </c>
      <c r="BF252" t="str">
        <f>IF(ifood_data[[#This Row],[AcceptedCmpOverall]]=1,"Campaign Respondent","Non-respondent")</f>
        <v>Non-respondent</v>
      </c>
    </row>
    <row r="253" spans="1:58" x14ac:dyDescent="0.35">
      <c r="A253">
        <v>1143</v>
      </c>
      <c r="B253">
        <v>74918</v>
      </c>
      <c r="C253">
        <v>0</v>
      </c>
      <c r="D253">
        <v>0</v>
      </c>
      <c r="E253">
        <v>78</v>
      </c>
      <c r="F253">
        <v>972</v>
      </c>
      <c r="G253">
        <v>59</v>
      </c>
      <c r="H253">
        <v>913</v>
      </c>
      <c r="I253">
        <v>25</v>
      </c>
      <c r="J253">
        <v>19</v>
      </c>
      <c r="K253">
        <v>59</v>
      </c>
      <c r="L253">
        <v>1</v>
      </c>
      <c r="M253">
        <v>5</v>
      </c>
      <c r="N253">
        <v>9</v>
      </c>
      <c r="O253">
        <v>6</v>
      </c>
      <c r="P253">
        <v>3</v>
      </c>
      <c r="Q253">
        <v>0</v>
      </c>
      <c r="R253">
        <v>0</v>
      </c>
      <c r="S253">
        <v>0</v>
      </c>
      <c r="T253">
        <v>0</v>
      </c>
      <c r="U253">
        <v>1</v>
      </c>
      <c r="V253">
        <f>IF(SUM(ifood_data[[#This Row],[AcceptedCmp1]:[AcceptedCmp5]])&gt;0,1,0)</f>
        <v>1</v>
      </c>
      <c r="W253">
        <v>0</v>
      </c>
      <c r="X253">
        <v>3</v>
      </c>
      <c r="Y253">
        <v>11</v>
      </c>
      <c r="Z253">
        <v>0</v>
      </c>
      <c r="AA253">
        <v>51</v>
      </c>
      <c r="AB253">
        <v>2633</v>
      </c>
      <c r="AC253" s="28">
        <f>ifood_data[[#This Row],[Customer_Days]]/365</f>
        <v>7.2136986301369861</v>
      </c>
      <c r="AD253">
        <v>0</v>
      </c>
      <c r="AE253">
        <v>0</v>
      </c>
      <c r="AF253">
        <v>0</v>
      </c>
      <c r="AG253">
        <v>1</v>
      </c>
      <c r="AH253">
        <v>0</v>
      </c>
      <c r="AI253">
        <v>0</v>
      </c>
      <c r="AJ253">
        <v>0</v>
      </c>
      <c r="AK253">
        <v>1</v>
      </c>
      <c r="AL253">
        <v>0</v>
      </c>
      <c r="AM253">
        <v>0</v>
      </c>
      <c r="AN253">
        <v>1988</v>
      </c>
      <c r="AO253">
        <v>1929</v>
      </c>
      <c r="AP253">
        <f>ifood_data[[#This Row],[MntTotal]]-ifood_data[[#This Row],[MntRegularProds]]</f>
        <v>59</v>
      </c>
      <c r="AQ253">
        <v>1</v>
      </c>
      <c r="AR253">
        <f>IF(SUM(ifood_data[[#This Row],[Kidhome]:[Teenhome]])&gt;0,1,0)</f>
        <v>0</v>
      </c>
      <c r="AS253" t="str">
        <f>IF(SUM(ifood_data[[#This Row],[Kidhome]:[Teenhome]])&gt;0,"Has Family","No Family")</f>
        <v>No Family</v>
      </c>
      <c r="AT253" t="str">
        <f>IF(ifood_data[[#This Row],[marital_Married]]=1,"Married", (IF(ifood_data[[#This Row],[marital_Single]]=1,"Single",(IF(ifood_data[[#This Row],[marital_Divorced]]=1,"Divorced",(IF(ifood_data[[#This Row],[marital_Together]]=1,"Living Together",(IF(ifood_data[[#This Row],[marital_Widow]]=1,"Widow","Other")))))))))</f>
        <v>Living Together</v>
      </c>
      <c r="AU253" t="str">
        <f>IF(ifood_data[[#This Row],[education_Basic]]=1,"High School",(IF(ifood_data[[#This Row],[education_Graduation]]=1,"Undergraduate Degree",(IF(SUM(AM253,AL253,AI253)&gt;0,"Master's Degree or Higher","Other")))))</f>
        <v>Undergraduate Degree</v>
      </c>
      <c r="AV253" t="str">
        <f>IF(ifood_data[[#All],[Income]]&gt;75000,"75K+",(IF(ifood_data[[#All],[Income]]&gt;50000,"50K-75K",(IF(ifood_data[[#All],[Income]]&gt;35000,"35K-50K","&lt;35K")))))</f>
        <v>50K-75K</v>
      </c>
      <c r="AW253" t="str">
        <f>IF(ifood_data[[#All],[Age]]&gt;60,"60+",(IF(ifood_data[[#All],[Age]]&gt;50,"50-60",(IF(ifood_data[[#All],[Age]]&gt;40,"40-50",(IF(ifood_data[[#All],[Age]]&gt;30,"30-40","&lt;30")))))))</f>
        <v>50-60</v>
      </c>
      <c r="AX253">
        <f t="shared" si="12"/>
        <v>24</v>
      </c>
      <c r="AY253">
        <f t="shared" si="13"/>
        <v>3.0000000000000004</v>
      </c>
      <c r="AZ253">
        <f t="shared" si="14"/>
        <v>6</v>
      </c>
      <c r="BA253">
        <f t="shared" si="15"/>
        <v>9</v>
      </c>
      <c r="BB253">
        <f>SUM(ifood_data[[#This Row],[Recency Score]:[Monetary Score]])</f>
        <v>18</v>
      </c>
      <c r="BC253">
        <f>(_xlfn.PERCENTRANK.INC(ifood_data[[#All],[RFM]],ifood_data[[#This Row],[RFM]],1))*10</f>
        <v>6</v>
      </c>
      <c r="BD253" t="str">
        <f>VLOOKUP(ifood_data[[#This Row],[RFM Score]],'RFM Analysis'!$A$3:$B$14,2,FALSE)</f>
        <v>Promising</v>
      </c>
      <c r="BE253">
        <f>'Regression Models'!$B$101+'Regression Models'!$B$102*ifood_data[[#This Row],[Income]]+'Regression Models'!$B$103*ifood_data[[#This Row],[Age]]+'Regression Models'!$B$104*ifood_data[[#This Row],[Family]]</f>
        <v>1246.0120825065424</v>
      </c>
      <c r="BF253" t="str">
        <f>IF(ifood_data[[#This Row],[AcceptedCmpOverall]]=1,"Campaign Respondent","Non-respondent")</f>
        <v>Campaign Respondent</v>
      </c>
    </row>
    <row r="254" spans="1:58" x14ac:dyDescent="0.35">
      <c r="A254">
        <v>379</v>
      </c>
      <c r="B254">
        <v>75276</v>
      </c>
      <c r="C254">
        <v>0</v>
      </c>
      <c r="D254">
        <v>0</v>
      </c>
      <c r="E254">
        <v>2</v>
      </c>
      <c r="F254">
        <v>610</v>
      </c>
      <c r="G254">
        <v>105</v>
      </c>
      <c r="H254">
        <v>125</v>
      </c>
      <c r="I254">
        <v>137</v>
      </c>
      <c r="J254">
        <v>42</v>
      </c>
      <c r="K254">
        <v>21</v>
      </c>
      <c r="L254">
        <v>1</v>
      </c>
      <c r="M254">
        <v>9</v>
      </c>
      <c r="N254">
        <v>4</v>
      </c>
      <c r="O254">
        <v>9</v>
      </c>
      <c r="P254">
        <v>5</v>
      </c>
      <c r="Q254">
        <v>0</v>
      </c>
      <c r="R254">
        <v>0</v>
      </c>
      <c r="S254">
        <v>0</v>
      </c>
      <c r="T254">
        <v>0</v>
      </c>
      <c r="U254">
        <v>0</v>
      </c>
      <c r="V254">
        <f>IF(SUM(ifood_data[[#This Row],[AcceptedCmp1]:[AcceptedCmp5]])&gt;0,1,0)</f>
        <v>0</v>
      </c>
      <c r="W254">
        <v>0</v>
      </c>
      <c r="X254">
        <v>3</v>
      </c>
      <c r="Y254">
        <v>11</v>
      </c>
      <c r="Z254">
        <v>0</v>
      </c>
      <c r="AA254">
        <v>55</v>
      </c>
      <c r="AB254">
        <v>2799</v>
      </c>
      <c r="AC254" s="28">
        <f>ifood_data[[#This Row],[Customer_Days]]/365</f>
        <v>7.6684931506849319</v>
      </c>
      <c r="AD254">
        <v>0</v>
      </c>
      <c r="AE254">
        <v>0</v>
      </c>
      <c r="AF254">
        <v>0</v>
      </c>
      <c r="AG254">
        <v>1</v>
      </c>
      <c r="AH254">
        <v>0</v>
      </c>
      <c r="AI254">
        <v>0</v>
      </c>
      <c r="AJ254">
        <v>0</v>
      </c>
      <c r="AK254">
        <v>1</v>
      </c>
      <c r="AL254">
        <v>0</v>
      </c>
      <c r="AM254">
        <v>0</v>
      </c>
      <c r="AN254">
        <v>1019</v>
      </c>
      <c r="AO254">
        <v>998</v>
      </c>
      <c r="AP254">
        <f>ifood_data[[#This Row],[MntTotal]]-ifood_data[[#This Row],[MntRegularProds]]</f>
        <v>21</v>
      </c>
      <c r="AQ254">
        <v>0</v>
      </c>
      <c r="AR254">
        <f>IF(SUM(ifood_data[[#This Row],[Kidhome]:[Teenhome]])&gt;0,1,0)</f>
        <v>0</v>
      </c>
      <c r="AS254" t="str">
        <f>IF(SUM(ifood_data[[#This Row],[Kidhome]:[Teenhome]])&gt;0,"Has Family","No Family")</f>
        <v>No Family</v>
      </c>
      <c r="AT254" t="str">
        <f>IF(ifood_data[[#This Row],[marital_Married]]=1,"Married", (IF(ifood_data[[#This Row],[marital_Single]]=1,"Single",(IF(ifood_data[[#This Row],[marital_Divorced]]=1,"Divorced",(IF(ifood_data[[#This Row],[marital_Together]]=1,"Living Together",(IF(ifood_data[[#This Row],[marital_Widow]]=1,"Widow","Other")))))))))</f>
        <v>Living Together</v>
      </c>
      <c r="AU254" t="str">
        <f>IF(ifood_data[[#This Row],[education_Basic]]=1,"High School",(IF(ifood_data[[#This Row],[education_Graduation]]=1,"Undergraduate Degree",(IF(SUM(AM254,AL254,AI254)&gt;0,"Master's Degree or Higher","Other")))))</f>
        <v>Undergraduate Degree</v>
      </c>
      <c r="AV254" t="str">
        <f>IF(ifood_data[[#All],[Income]]&gt;75000,"75K+",(IF(ifood_data[[#All],[Income]]&gt;50000,"50K-75K",(IF(ifood_data[[#All],[Income]]&gt;35000,"35K-50K","&lt;35K")))))</f>
        <v>75K+</v>
      </c>
      <c r="AW254" t="str">
        <f>IF(ifood_data[[#All],[Age]]&gt;60,"60+",(IF(ifood_data[[#All],[Age]]&gt;50,"50-60",(IF(ifood_data[[#All],[Age]]&gt;40,"40-50",(IF(ifood_data[[#All],[Age]]&gt;30,"30-40","&lt;30")))))))</f>
        <v>50-60</v>
      </c>
      <c r="AX254">
        <f t="shared" si="12"/>
        <v>28</v>
      </c>
      <c r="AY254">
        <f t="shared" si="13"/>
        <v>10</v>
      </c>
      <c r="AZ254">
        <f t="shared" si="14"/>
        <v>8</v>
      </c>
      <c r="BA254">
        <f t="shared" si="15"/>
        <v>7</v>
      </c>
      <c r="BB254">
        <f>SUM(ifood_data[[#This Row],[Recency Score]:[Monetary Score]])</f>
        <v>25</v>
      </c>
      <c r="BC254">
        <f>(_xlfn.PERCENTRANK.INC(ifood_data[[#All],[RFM]],ifood_data[[#This Row],[RFM]],1))*10</f>
        <v>9</v>
      </c>
      <c r="BD254" t="str">
        <f>VLOOKUP(ifood_data[[#This Row],[RFM Score]],'RFM Analysis'!$A$3:$B$14,2,FALSE)</f>
        <v>Top Customer</v>
      </c>
      <c r="BE254">
        <f>'Regression Models'!$B$101+'Regression Models'!$B$102*ifood_data[[#This Row],[Income]]+'Regression Models'!$B$103*ifood_data[[#This Row],[Age]]+'Regression Models'!$B$104*ifood_data[[#This Row],[Family]]</f>
        <v>1245.9655051864811</v>
      </c>
      <c r="BF254" t="str">
        <f>IF(ifood_data[[#This Row],[AcceptedCmpOverall]]=1,"Campaign Respondent","Non-respondent")</f>
        <v>Non-respondent</v>
      </c>
    </row>
    <row r="255" spans="1:58" x14ac:dyDescent="0.35">
      <c r="A255">
        <v>63</v>
      </c>
      <c r="B255">
        <v>88194</v>
      </c>
      <c r="C255">
        <v>0</v>
      </c>
      <c r="D255">
        <v>1</v>
      </c>
      <c r="E255">
        <v>19</v>
      </c>
      <c r="F255">
        <v>688</v>
      </c>
      <c r="G255">
        <v>14</v>
      </c>
      <c r="H255">
        <v>309</v>
      </c>
      <c r="I255">
        <v>201</v>
      </c>
      <c r="J255">
        <v>24</v>
      </c>
      <c r="K255">
        <v>38</v>
      </c>
      <c r="L255">
        <v>1</v>
      </c>
      <c r="M255">
        <v>11</v>
      </c>
      <c r="N255">
        <v>10</v>
      </c>
      <c r="O255">
        <v>10</v>
      </c>
      <c r="P255">
        <v>5</v>
      </c>
      <c r="Q255">
        <v>1</v>
      </c>
      <c r="R255">
        <v>0</v>
      </c>
      <c r="S255">
        <v>1</v>
      </c>
      <c r="T255">
        <v>0</v>
      </c>
      <c r="U255">
        <v>0</v>
      </c>
      <c r="V255">
        <f>IF(SUM(ifood_data[[#This Row],[AcceptedCmp1]:[AcceptedCmp5]])&gt;0,1,0)</f>
        <v>1</v>
      </c>
      <c r="W255">
        <v>0</v>
      </c>
      <c r="X255">
        <v>3</v>
      </c>
      <c r="Y255">
        <v>11</v>
      </c>
      <c r="Z255">
        <v>1</v>
      </c>
      <c r="AA255">
        <v>41</v>
      </c>
      <c r="AB255">
        <v>2261</v>
      </c>
      <c r="AC255" s="28">
        <f>ifood_data[[#This Row],[Customer_Days]]/365</f>
        <v>6.1945205479452055</v>
      </c>
      <c r="AD255">
        <v>0</v>
      </c>
      <c r="AE255">
        <v>0</v>
      </c>
      <c r="AF255">
        <v>1</v>
      </c>
      <c r="AG255">
        <v>0</v>
      </c>
      <c r="AH255">
        <v>0</v>
      </c>
      <c r="AI255">
        <v>1</v>
      </c>
      <c r="AJ255">
        <v>0</v>
      </c>
      <c r="AK255">
        <v>0</v>
      </c>
      <c r="AL255">
        <v>0</v>
      </c>
      <c r="AM255">
        <v>0</v>
      </c>
      <c r="AN255">
        <v>1236</v>
      </c>
      <c r="AO255">
        <v>1198</v>
      </c>
      <c r="AP255">
        <f>ifood_data[[#This Row],[MntTotal]]-ifood_data[[#This Row],[MntRegularProds]]</f>
        <v>38</v>
      </c>
      <c r="AQ255">
        <v>2</v>
      </c>
      <c r="AR255">
        <f>IF(SUM(ifood_data[[#This Row],[Kidhome]:[Teenhome]])&gt;0,1,0)</f>
        <v>1</v>
      </c>
      <c r="AS255" t="str">
        <f>IF(SUM(ifood_data[[#This Row],[Kidhome]:[Teenhome]])&gt;0,"Has Family","No Family")</f>
        <v>Has Family</v>
      </c>
      <c r="AT255" t="str">
        <f>IF(ifood_data[[#This Row],[marital_Married]]=1,"Married", (IF(ifood_data[[#This Row],[marital_Single]]=1,"Single",(IF(ifood_data[[#This Row],[marital_Divorced]]=1,"Divorced",(IF(ifood_data[[#This Row],[marital_Together]]=1,"Living Together",(IF(ifood_data[[#This Row],[marital_Widow]]=1,"Widow","Other")))))))))</f>
        <v>Single</v>
      </c>
      <c r="AU255" t="str">
        <f>IF(ifood_data[[#This Row],[education_Basic]]=1,"High School",(IF(ifood_data[[#This Row],[education_Graduation]]=1,"Undergraduate Degree",(IF(SUM(AM255,AL255,AI255)&gt;0,"Master's Degree or Higher","Other")))))</f>
        <v>Master's Degree or Higher</v>
      </c>
      <c r="AV255" t="str">
        <f>IF(ifood_data[[#All],[Income]]&gt;75000,"75K+",(IF(ifood_data[[#All],[Income]]&gt;50000,"50K-75K",(IF(ifood_data[[#All],[Income]]&gt;35000,"35K-50K","&lt;35K")))))</f>
        <v>75K+</v>
      </c>
      <c r="AW255" t="str">
        <f>IF(ifood_data[[#All],[Age]]&gt;60,"60+",(IF(ifood_data[[#All],[Age]]&gt;50,"50-60",(IF(ifood_data[[#All],[Age]]&gt;40,"40-50",(IF(ifood_data[[#All],[Age]]&gt;30,"30-40","&lt;30")))))))</f>
        <v>40-50</v>
      </c>
      <c r="AX255">
        <f t="shared" si="12"/>
        <v>37</v>
      </c>
      <c r="AY255">
        <f t="shared" si="13"/>
        <v>9</v>
      </c>
      <c r="AZ255">
        <f t="shared" si="14"/>
        <v>9</v>
      </c>
      <c r="BA255">
        <f t="shared" si="15"/>
        <v>8</v>
      </c>
      <c r="BB255">
        <f>SUM(ifood_data[[#This Row],[Recency Score]:[Monetary Score]])</f>
        <v>26</v>
      </c>
      <c r="BC255">
        <f>(_xlfn.PERCENTRANK.INC(ifood_data[[#All],[RFM]],ifood_data[[#This Row],[RFM]],1))*10</f>
        <v>9</v>
      </c>
      <c r="BD255" t="str">
        <f>VLOOKUP(ifood_data[[#This Row],[RFM Score]],'RFM Analysis'!$A$3:$B$14,2,FALSE)</f>
        <v>Top Customer</v>
      </c>
      <c r="BE255">
        <f>'Regression Models'!$B$101+'Regression Models'!$B$102*ifood_data[[#This Row],[Income]]+'Regression Models'!$B$103*ifood_data[[#This Row],[Age]]+'Regression Models'!$B$104*ifood_data[[#This Row],[Family]]</f>
        <v>1245.4441281008712</v>
      </c>
      <c r="BF255" t="str">
        <f>IF(ifood_data[[#This Row],[AcceptedCmpOverall]]=1,"Campaign Respondent","Non-respondent")</f>
        <v>Campaign Respondent</v>
      </c>
    </row>
    <row r="256" spans="1:58" x14ac:dyDescent="0.35">
      <c r="A256">
        <v>467</v>
      </c>
      <c r="B256">
        <v>76005</v>
      </c>
      <c r="C256">
        <v>0</v>
      </c>
      <c r="D256">
        <v>0</v>
      </c>
      <c r="E256">
        <v>72</v>
      </c>
      <c r="F256">
        <v>983</v>
      </c>
      <c r="G256">
        <v>20</v>
      </c>
      <c r="H256">
        <v>389</v>
      </c>
      <c r="I256">
        <v>240</v>
      </c>
      <c r="J256">
        <v>50</v>
      </c>
      <c r="K256">
        <v>40</v>
      </c>
      <c r="L256">
        <v>1</v>
      </c>
      <c r="M256">
        <v>3</v>
      </c>
      <c r="N256">
        <v>5</v>
      </c>
      <c r="O256">
        <v>13</v>
      </c>
      <c r="P256">
        <v>6</v>
      </c>
      <c r="Q256">
        <v>1</v>
      </c>
      <c r="R256">
        <v>0</v>
      </c>
      <c r="S256">
        <v>0</v>
      </c>
      <c r="T256">
        <v>0</v>
      </c>
      <c r="U256">
        <v>0</v>
      </c>
      <c r="V256">
        <f>IF(SUM(ifood_data[[#This Row],[AcceptedCmp1]:[AcceptedCmp5]])&gt;0,1,0)</f>
        <v>1</v>
      </c>
      <c r="W256">
        <v>0</v>
      </c>
      <c r="X256">
        <v>3</v>
      </c>
      <c r="Y256">
        <v>11</v>
      </c>
      <c r="Z256">
        <v>0</v>
      </c>
      <c r="AA256">
        <v>65</v>
      </c>
      <c r="AB256">
        <v>2651</v>
      </c>
      <c r="AC256" s="28">
        <f>ifood_data[[#This Row],[Customer_Days]]/365</f>
        <v>7.2630136986301368</v>
      </c>
      <c r="AD256">
        <v>0</v>
      </c>
      <c r="AE256">
        <v>0</v>
      </c>
      <c r="AF256">
        <v>0</v>
      </c>
      <c r="AG256">
        <v>1</v>
      </c>
      <c r="AH256">
        <v>0</v>
      </c>
      <c r="AI256">
        <v>0</v>
      </c>
      <c r="AJ256">
        <v>0</v>
      </c>
      <c r="AK256">
        <v>1</v>
      </c>
      <c r="AL256">
        <v>0</v>
      </c>
      <c r="AM256">
        <v>0</v>
      </c>
      <c r="AN256">
        <v>1682</v>
      </c>
      <c r="AO256">
        <v>1642</v>
      </c>
      <c r="AP256">
        <f>ifood_data[[#This Row],[MntTotal]]-ifood_data[[#This Row],[MntRegularProds]]</f>
        <v>40</v>
      </c>
      <c r="AQ256">
        <v>1</v>
      </c>
      <c r="AR256">
        <f>IF(SUM(ifood_data[[#This Row],[Kidhome]:[Teenhome]])&gt;0,1,0)</f>
        <v>0</v>
      </c>
      <c r="AS256" t="str">
        <f>IF(SUM(ifood_data[[#This Row],[Kidhome]:[Teenhome]])&gt;0,"Has Family","No Family")</f>
        <v>No Family</v>
      </c>
      <c r="AT256" t="str">
        <f>IF(ifood_data[[#This Row],[marital_Married]]=1,"Married", (IF(ifood_data[[#This Row],[marital_Single]]=1,"Single",(IF(ifood_data[[#This Row],[marital_Divorced]]=1,"Divorced",(IF(ifood_data[[#This Row],[marital_Together]]=1,"Living Together",(IF(ifood_data[[#This Row],[marital_Widow]]=1,"Widow","Other")))))))))</f>
        <v>Living Together</v>
      </c>
      <c r="AU256" t="str">
        <f>IF(ifood_data[[#This Row],[education_Basic]]=1,"High School",(IF(ifood_data[[#This Row],[education_Graduation]]=1,"Undergraduate Degree",(IF(SUM(AM256,AL256,AI256)&gt;0,"Master's Degree or Higher","Other")))))</f>
        <v>Undergraduate Degree</v>
      </c>
      <c r="AV256" t="str">
        <f>IF(ifood_data[[#All],[Income]]&gt;75000,"75K+",(IF(ifood_data[[#All],[Income]]&gt;50000,"50K-75K",(IF(ifood_data[[#All],[Income]]&gt;35000,"35K-50K","&lt;35K")))))</f>
        <v>75K+</v>
      </c>
      <c r="AW256" t="str">
        <f>IF(ifood_data[[#All],[Age]]&gt;60,"60+",(IF(ifood_data[[#All],[Age]]&gt;50,"50-60",(IF(ifood_data[[#All],[Age]]&gt;40,"40-50",(IF(ifood_data[[#All],[Age]]&gt;30,"30-40","&lt;30")))))))</f>
        <v>60+</v>
      </c>
      <c r="AX256">
        <f t="shared" si="12"/>
        <v>28</v>
      </c>
      <c r="AY256">
        <f t="shared" si="13"/>
        <v>3.0000000000000004</v>
      </c>
      <c r="AZ256">
        <f t="shared" si="14"/>
        <v>8</v>
      </c>
      <c r="BA256">
        <f t="shared" si="15"/>
        <v>9</v>
      </c>
      <c r="BB256">
        <f>SUM(ifood_data[[#This Row],[Recency Score]:[Monetary Score]])</f>
        <v>20</v>
      </c>
      <c r="BC256">
        <f>(_xlfn.PERCENTRANK.INC(ifood_data[[#All],[RFM]],ifood_data[[#This Row],[RFM]],1))*10</f>
        <v>7</v>
      </c>
      <c r="BD256" t="str">
        <f>VLOOKUP(ifood_data[[#This Row],[RFM Score]],'RFM Analysis'!$A$3:$B$14,2,FALSE)</f>
        <v>Loyal Customer</v>
      </c>
      <c r="BE256">
        <f>'Regression Models'!$B$101+'Regression Models'!$B$102*ifood_data[[#This Row],[Income]]+'Regression Models'!$B$103*ifood_data[[#This Row],[Age]]+'Regression Models'!$B$104*ifood_data[[#This Row],[Family]]</f>
        <v>1242.4645263744403</v>
      </c>
      <c r="BF256" t="str">
        <f>IF(ifood_data[[#This Row],[AcceptedCmpOverall]]=1,"Campaign Respondent","Non-respondent")</f>
        <v>Campaign Respondent</v>
      </c>
    </row>
    <row r="257" spans="1:58" x14ac:dyDescent="0.35">
      <c r="A257">
        <v>974</v>
      </c>
      <c r="B257">
        <v>74538</v>
      </c>
      <c r="C257">
        <v>0</v>
      </c>
      <c r="D257">
        <v>0</v>
      </c>
      <c r="E257">
        <v>21</v>
      </c>
      <c r="F257">
        <v>380</v>
      </c>
      <c r="G257">
        <v>98</v>
      </c>
      <c r="H257">
        <v>733</v>
      </c>
      <c r="I257">
        <v>110</v>
      </c>
      <c r="J257">
        <v>112</v>
      </c>
      <c r="K257">
        <v>28</v>
      </c>
      <c r="L257">
        <v>1</v>
      </c>
      <c r="M257">
        <v>8</v>
      </c>
      <c r="N257">
        <v>8</v>
      </c>
      <c r="O257">
        <v>5</v>
      </c>
      <c r="P257">
        <v>3</v>
      </c>
      <c r="Q257">
        <v>0</v>
      </c>
      <c r="R257">
        <v>0</v>
      </c>
      <c r="S257">
        <v>0</v>
      </c>
      <c r="T257">
        <v>0</v>
      </c>
      <c r="U257">
        <v>1</v>
      </c>
      <c r="V257">
        <f>IF(SUM(ifood_data[[#This Row],[AcceptedCmp1]:[AcceptedCmp5]])&gt;0,1,0)</f>
        <v>1</v>
      </c>
      <c r="W257">
        <v>0</v>
      </c>
      <c r="X257">
        <v>3</v>
      </c>
      <c r="Y257">
        <v>11</v>
      </c>
      <c r="Z257">
        <v>1</v>
      </c>
      <c r="AA257">
        <v>49</v>
      </c>
      <c r="AB257">
        <v>2524</v>
      </c>
      <c r="AC257" s="28">
        <f>ifood_data[[#This Row],[Customer_Days]]/365</f>
        <v>6.9150684931506845</v>
      </c>
      <c r="AD257">
        <v>0</v>
      </c>
      <c r="AE257">
        <v>0</v>
      </c>
      <c r="AF257">
        <v>0</v>
      </c>
      <c r="AG257">
        <v>1</v>
      </c>
      <c r="AH257">
        <v>0</v>
      </c>
      <c r="AI257">
        <v>0</v>
      </c>
      <c r="AJ257">
        <v>0</v>
      </c>
      <c r="AK257">
        <v>1</v>
      </c>
      <c r="AL257">
        <v>0</v>
      </c>
      <c r="AM257">
        <v>0</v>
      </c>
      <c r="AN257">
        <v>1433</v>
      </c>
      <c r="AO257">
        <v>1405</v>
      </c>
      <c r="AP257">
        <f>ifood_data[[#This Row],[MntTotal]]-ifood_data[[#This Row],[MntRegularProds]]</f>
        <v>28</v>
      </c>
      <c r="AQ257">
        <v>1</v>
      </c>
      <c r="AR257">
        <f>IF(SUM(ifood_data[[#This Row],[Kidhome]:[Teenhome]])&gt;0,1,0)</f>
        <v>0</v>
      </c>
      <c r="AS257" t="str">
        <f>IF(SUM(ifood_data[[#This Row],[Kidhome]:[Teenhome]])&gt;0,"Has Family","No Family")</f>
        <v>No Family</v>
      </c>
      <c r="AT257" t="str">
        <f>IF(ifood_data[[#This Row],[marital_Married]]=1,"Married", (IF(ifood_data[[#This Row],[marital_Single]]=1,"Single",(IF(ifood_data[[#This Row],[marital_Divorced]]=1,"Divorced",(IF(ifood_data[[#This Row],[marital_Together]]=1,"Living Together",(IF(ifood_data[[#This Row],[marital_Widow]]=1,"Widow","Other")))))))))</f>
        <v>Living Together</v>
      </c>
      <c r="AU257" t="str">
        <f>IF(ifood_data[[#This Row],[education_Basic]]=1,"High School",(IF(ifood_data[[#This Row],[education_Graduation]]=1,"Undergraduate Degree",(IF(SUM(AM257,AL257,AI257)&gt;0,"Master's Degree or Higher","Other")))))</f>
        <v>Undergraduate Degree</v>
      </c>
      <c r="AV257" t="str">
        <f>IF(ifood_data[[#All],[Income]]&gt;75000,"75K+",(IF(ifood_data[[#All],[Income]]&gt;50000,"50K-75K",(IF(ifood_data[[#All],[Income]]&gt;35000,"35K-50K","&lt;35K")))))</f>
        <v>50K-75K</v>
      </c>
      <c r="AW257" t="str">
        <f>IF(ifood_data[[#All],[Age]]&gt;60,"60+",(IF(ifood_data[[#All],[Age]]&gt;50,"50-60",(IF(ifood_data[[#All],[Age]]&gt;40,"40-50",(IF(ifood_data[[#All],[Age]]&gt;30,"30-40","&lt;30")))))))</f>
        <v>40-50</v>
      </c>
      <c r="AX257">
        <f t="shared" si="12"/>
        <v>25</v>
      </c>
      <c r="AY257">
        <f t="shared" si="13"/>
        <v>8</v>
      </c>
      <c r="AZ257">
        <f t="shared" si="14"/>
        <v>7</v>
      </c>
      <c r="BA257">
        <f t="shared" si="15"/>
        <v>8</v>
      </c>
      <c r="BB257">
        <f>SUM(ifood_data[[#This Row],[Recency Score]:[Monetary Score]])</f>
        <v>23</v>
      </c>
      <c r="BC257">
        <f>(_xlfn.PERCENTRANK.INC(ifood_data[[#All],[RFM]],ifood_data[[#This Row],[RFM]],1))*10</f>
        <v>8</v>
      </c>
      <c r="BD257" t="str">
        <f>VLOOKUP(ifood_data[[#This Row],[RFM Score]],'RFM Analysis'!$A$3:$B$14,2,FALSE)</f>
        <v>Loyal Customer</v>
      </c>
      <c r="BE257">
        <f>'Regression Models'!$B$101+'Regression Models'!$B$102*ifood_data[[#This Row],[Income]]+'Regression Models'!$B$103*ifood_data[[#This Row],[Age]]+'Regression Models'!$B$104*ifood_data[[#This Row],[Family]]</f>
        <v>1241.9372287696492</v>
      </c>
      <c r="BF257" t="str">
        <f>IF(ifood_data[[#This Row],[AcceptedCmpOverall]]=1,"Campaign Respondent","Non-respondent")</f>
        <v>Campaign Respondent</v>
      </c>
    </row>
    <row r="258" spans="1:58" x14ac:dyDescent="0.35">
      <c r="A258">
        <v>1770</v>
      </c>
      <c r="B258">
        <v>73356</v>
      </c>
      <c r="C258">
        <v>0</v>
      </c>
      <c r="D258">
        <v>0</v>
      </c>
      <c r="E258">
        <v>56</v>
      </c>
      <c r="F258">
        <v>1050</v>
      </c>
      <c r="G258">
        <v>14</v>
      </c>
      <c r="H258">
        <v>322</v>
      </c>
      <c r="I258">
        <v>0</v>
      </c>
      <c r="J258">
        <v>14</v>
      </c>
      <c r="K258">
        <v>112</v>
      </c>
      <c r="L258">
        <v>1</v>
      </c>
      <c r="M258">
        <v>5</v>
      </c>
      <c r="N258">
        <v>11</v>
      </c>
      <c r="O258">
        <v>5</v>
      </c>
      <c r="P258">
        <v>2</v>
      </c>
      <c r="Q258">
        <v>1</v>
      </c>
      <c r="R258">
        <v>0</v>
      </c>
      <c r="S258">
        <v>1</v>
      </c>
      <c r="T258">
        <v>0</v>
      </c>
      <c r="U258">
        <v>1</v>
      </c>
      <c r="V258">
        <f>IF(SUM(ifood_data[[#This Row],[AcceptedCmp1]:[AcceptedCmp5]])&gt;0,1,0)</f>
        <v>1</v>
      </c>
      <c r="W258">
        <v>0</v>
      </c>
      <c r="X258">
        <v>3</v>
      </c>
      <c r="Y258">
        <v>11</v>
      </c>
      <c r="Z258">
        <v>1</v>
      </c>
      <c r="AA258">
        <v>36</v>
      </c>
      <c r="AB258">
        <v>2302</v>
      </c>
      <c r="AC258" s="28">
        <f>ifood_data[[#This Row],[Customer_Days]]/365</f>
        <v>6.3068493150684928</v>
      </c>
      <c r="AD258">
        <v>0</v>
      </c>
      <c r="AE258">
        <v>1</v>
      </c>
      <c r="AF258">
        <v>0</v>
      </c>
      <c r="AG258">
        <v>0</v>
      </c>
      <c r="AH258">
        <v>0</v>
      </c>
      <c r="AI258">
        <v>0</v>
      </c>
      <c r="AJ258">
        <v>0</v>
      </c>
      <c r="AK258">
        <v>0</v>
      </c>
      <c r="AL258">
        <v>0</v>
      </c>
      <c r="AM258">
        <v>1</v>
      </c>
      <c r="AN258">
        <v>1400</v>
      </c>
      <c r="AO258">
        <v>1288</v>
      </c>
      <c r="AP258">
        <f>ifood_data[[#This Row],[MntTotal]]-ifood_data[[#This Row],[MntRegularProds]]</f>
        <v>112</v>
      </c>
      <c r="AQ258">
        <v>3</v>
      </c>
      <c r="AR258">
        <f>IF(SUM(ifood_data[[#This Row],[Kidhome]:[Teenhome]])&gt;0,1,0)</f>
        <v>0</v>
      </c>
      <c r="AS258" t="str">
        <f>IF(SUM(ifood_data[[#This Row],[Kidhome]:[Teenhome]])&gt;0,"Has Family","No Family")</f>
        <v>No Family</v>
      </c>
      <c r="AT258" t="str">
        <f>IF(ifood_data[[#This Row],[marital_Married]]=1,"Married", (IF(ifood_data[[#This Row],[marital_Single]]=1,"Single",(IF(ifood_data[[#This Row],[marital_Divorced]]=1,"Divorced",(IF(ifood_data[[#This Row],[marital_Together]]=1,"Living Together",(IF(ifood_data[[#This Row],[marital_Widow]]=1,"Widow","Other")))))))))</f>
        <v>Married</v>
      </c>
      <c r="AU258" t="str">
        <f>IF(ifood_data[[#This Row],[education_Basic]]=1,"High School",(IF(ifood_data[[#This Row],[education_Graduation]]=1,"Undergraduate Degree",(IF(SUM(AM258,AL258,AI258)&gt;0,"Master's Degree or Higher","Other")))))</f>
        <v>Master's Degree or Higher</v>
      </c>
      <c r="AV258" t="str">
        <f>IF(ifood_data[[#All],[Income]]&gt;75000,"75K+",(IF(ifood_data[[#All],[Income]]&gt;50000,"50K-75K",(IF(ifood_data[[#All],[Income]]&gt;35000,"35K-50K","&lt;35K")))))</f>
        <v>50K-75K</v>
      </c>
      <c r="AW258" t="str">
        <f>IF(ifood_data[[#All],[Age]]&gt;60,"60+",(IF(ifood_data[[#All],[Age]]&gt;50,"50-60",(IF(ifood_data[[#All],[Age]]&gt;40,"40-50",(IF(ifood_data[[#All],[Age]]&gt;30,"30-40","&lt;30")))))))</f>
        <v>30-40</v>
      </c>
      <c r="AX258">
        <f t="shared" ref="AX258:AX321" si="16">SUM(L258:P258)</f>
        <v>24</v>
      </c>
      <c r="AY258">
        <f t="shared" ref="AY258:AY321" si="17">(1-_xlfn.PERCENTRANK.INC($E$2:$E$2022,E258,1))*10</f>
        <v>5</v>
      </c>
      <c r="AZ258">
        <f t="shared" ref="AZ258:AZ321" si="18">_xlfn.PERCENTRANK.INC($AX$2:$AX$2022,AX258,1)*10</f>
        <v>6</v>
      </c>
      <c r="BA258">
        <f t="shared" ref="BA258:BA321" si="19">_xlfn.PERCENTRANK.INC($AN$2:$AN$2022,AN258,1)*10</f>
        <v>8</v>
      </c>
      <c r="BB258">
        <f>SUM(ifood_data[[#This Row],[Recency Score]:[Monetary Score]])</f>
        <v>19</v>
      </c>
      <c r="BC258">
        <f>(_xlfn.PERCENTRANK.INC(ifood_data[[#All],[RFM]],ifood_data[[#This Row],[RFM]],1))*10</f>
        <v>7</v>
      </c>
      <c r="BD258" t="str">
        <f>VLOOKUP(ifood_data[[#This Row],[RFM Score]],'RFM Analysis'!$A$3:$B$14,2,FALSE)</f>
        <v>Loyal Customer</v>
      </c>
      <c r="BE258">
        <f>'Regression Models'!$B$101+'Regression Models'!$B$102*ifood_data[[#This Row],[Income]]+'Regression Models'!$B$103*ifood_data[[#This Row],[Age]]+'Regression Models'!$B$104*ifood_data[[#This Row],[Family]]</f>
        <v>1241.7114128491862</v>
      </c>
      <c r="BF258" t="str">
        <f>IF(ifood_data[[#This Row],[AcceptedCmpOverall]]=1,"Campaign Respondent","Non-respondent")</f>
        <v>Campaign Respondent</v>
      </c>
    </row>
    <row r="259" spans="1:58" x14ac:dyDescent="0.35">
      <c r="A259">
        <v>152</v>
      </c>
      <c r="B259">
        <v>74165</v>
      </c>
      <c r="C259">
        <v>0</v>
      </c>
      <c r="D259">
        <v>0</v>
      </c>
      <c r="E259">
        <v>9</v>
      </c>
      <c r="F259">
        <v>1001</v>
      </c>
      <c r="G259">
        <v>12</v>
      </c>
      <c r="H259">
        <v>240</v>
      </c>
      <c r="I259">
        <v>16</v>
      </c>
      <c r="J259">
        <v>12</v>
      </c>
      <c r="K259">
        <v>12</v>
      </c>
      <c r="L259">
        <v>1</v>
      </c>
      <c r="M259">
        <v>5</v>
      </c>
      <c r="N259">
        <v>4</v>
      </c>
      <c r="O259">
        <v>10</v>
      </c>
      <c r="P259">
        <v>2</v>
      </c>
      <c r="Q259">
        <v>0</v>
      </c>
      <c r="R259">
        <v>0</v>
      </c>
      <c r="S259">
        <v>0</v>
      </c>
      <c r="T259">
        <v>0</v>
      </c>
      <c r="U259">
        <v>0</v>
      </c>
      <c r="V259">
        <f>IF(SUM(ifood_data[[#This Row],[AcceptedCmp1]:[AcceptedCmp5]])&gt;0,1,0)</f>
        <v>0</v>
      </c>
      <c r="W259">
        <v>0</v>
      </c>
      <c r="X259">
        <v>3</v>
      </c>
      <c r="Y259">
        <v>11</v>
      </c>
      <c r="Z259">
        <v>0</v>
      </c>
      <c r="AA259">
        <v>45</v>
      </c>
      <c r="AB259">
        <v>2583</v>
      </c>
      <c r="AC259" s="28">
        <f>ifood_data[[#This Row],[Customer_Days]]/365</f>
        <v>7.0767123287671234</v>
      </c>
      <c r="AD259">
        <v>1</v>
      </c>
      <c r="AE259">
        <v>0</v>
      </c>
      <c r="AF259">
        <v>0</v>
      </c>
      <c r="AG259">
        <v>0</v>
      </c>
      <c r="AH259">
        <v>0</v>
      </c>
      <c r="AI259">
        <v>0</v>
      </c>
      <c r="AJ259">
        <v>0</v>
      </c>
      <c r="AK259">
        <v>0</v>
      </c>
      <c r="AL259">
        <v>0</v>
      </c>
      <c r="AM259">
        <v>1</v>
      </c>
      <c r="AN259">
        <v>1281</v>
      </c>
      <c r="AO259">
        <v>1269</v>
      </c>
      <c r="AP259">
        <f>ifood_data[[#This Row],[MntTotal]]-ifood_data[[#This Row],[MntRegularProds]]</f>
        <v>12</v>
      </c>
      <c r="AQ259">
        <v>0</v>
      </c>
      <c r="AR259">
        <f>IF(SUM(ifood_data[[#This Row],[Kidhome]:[Teenhome]])&gt;0,1,0)</f>
        <v>0</v>
      </c>
      <c r="AS259" t="str">
        <f>IF(SUM(ifood_data[[#This Row],[Kidhome]:[Teenhome]])&gt;0,"Has Family","No Family")</f>
        <v>No Family</v>
      </c>
      <c r="AT259" t="str">
        <f>IF(ifood_data[[#This Row],[marital_Married]]=1,"Married", (IF(ifood_data[[#This Row],[marital_Single]]=1,"Single",(IF(ifood_data[[#This Row],[marital_Divorced]]=1,"Divorced",(IF(ifood_data[[#This Row],[marital_Together]]=1,"Living Together",(IF(ifood_data[[#This Row],[marital_Widow]]=1,"Widow","Other")))))))))</f>
        <v>Divorced</v>
      </c>
      <c r="AU259" t="str">
        <f>IF(ifood_data[[#This Row],[education_Basic]]=1,"High School",(IF(ifood_data[[#This Row],[education_Graduation]]=1,"Undergraduate Degree",(IF(SUM(AM259,AL259,AI259)&gt;0,"Master's Degree or Higher","Other")))))</f>
        <v>Master's Degree or Higher</v>
      </c>
      <c r="AV259" t="str">
        <f>IF(ifood_data[[#All],[Income]]&gt;75000,"75K+",(IF(ifood_data[[#All],[Income]]&gt;50000,"50K-75K",(IF(ifood_data[[#All],[Income]]&gt;35000,"35K-50K","&lt;35K")))))</f>
        <v>50K-75K</v>
      </c>
      <c r="AW259" t="str">
        <f>IF(ifood_data[[#All],[Age]]&gt;60,"60+",(IF(ifood_data[[#All],[Age]]&gt;50,"50-60",(IF(ifood_data[[#All],[Age]]&gt;40,"40-50",(IF(ifood_data[[#All],[Age]]&gt;30,"30-40","&lt;30")))))))</f>
        <v>40-50</v>
      </c>
      <c r="AX259">
        <f t="shared" si="16"/>
        <v>22</v>
      </c>
      <c r="AY259">
        <f t="shared" si="17"/>
        <v>10</v>
      </c>
      <c r="AZ259">
        <f t="shared" si="18"/>
        <v>5</v>
      </c>
      <c r="BA259">
        <f t="shared" si="19"/>
        <v>8</v>
      </c>
      <c r="BB259">
        <f>SUM(ifood_data[[#This Row],[Recency Score]:[Monetary Score]])</f>
        <v>23</v>
      </c>
      <c r="BC259">
        <f>(_xlfn.PERCENTRANK.INC(ifood_data[[#All],[RFM]],ifood_data[[#This Row],[RFM]],1))*10</f>
        <v>8</v>
      </c>
      <c r="BD259" t="str">
        <f>VLOOKUP(ifood_data[[#This Row],[RFM Score]],'RFM Analysis'!$A$3:$B$14,2,FALSE)</f>
        <v>Loyal Customer</v>
      </c>
      <c r="BE259">
        <f>'Regression Models'!$B$101+'Regression Models'!$B$102*ifood_data[[#This Row],[Income]]+'Regression Models'!$B$103*ifood_data[[#This Row],[Age]]+'Regression Models'!$B$104*ifood_data[[#This Row],[Family]]</f>
        <v>1241.6779745675522</v>
      </c>
      <c r="BF259" t="str">
        <f>IF(ifood_data[[#This Row],[AcceptedCmpOverall]]=1,"Campaign Respondent","Non-respondent")</f>
        <v>Non-respondent</v>
      </c>
    </row>
    <row r="260" spans="1:58" x14ac:dyDescent="0.35">
      <c r="A260">
        <v>1255</v>
      </c>
      <c r="B260">
        <v>88097</v>
      </c>
      <c r="C260">
        <v>1</v>
      </c>
      <c r="D260">
        <v>0</v>
      </c>
      <c r="E260">
        <v>24</v>
      </c>
      <c r="F260">
        <v>163</v>
      </c>
      <c r="G260">
        <v>0</v>
      </c>
      <c r="H260">
        <v>480</v>
      </c>
      <c r="I260">
        <v>0</v>
      </c>
      <c r="J260">
        <v>126</v>
      </c>
      <c r="K260">
        <v>75</v>
      </c>
      <c r="L260">
        <v>1</v>
      </c>
      <c r="M260">
        <v>6</v>
      </c>
      <c r="N260">
        <v>5</v>
      </c>
      <c r="O260">
        <v>8</v>
      </c>
      <c r="P260">
        <v>9</v>
      </c>
      <c r="Q260">
        <v>1</v>
      </c>
      <c r="R260">
        <v>0</v>
      </c>
      <c r="S260">
        <v>0</v>
      </c>
      <c r="T260">
        <v>1</v>
      </c>
      <c r="U260">
        <v>1</v>
      </c>
      <c r="V260">
        <f>IF(SUM(ifood_data[[#This Row],[AcceptedCmp1]:[AcceptedCmp5]])&gt;0,1,0)</f>
        <v>1</v>
      </c>
      <c r="W260">
        <v>0</v>
      </c>
      <c r="X260">
        <v>3</v>
      </c>
      <c r="Y260">
        <v>11</v>
      </c>
      <c r="Z260">
        <v>1</v>
      </c>
      <c r="AA260">
        <v>42</v>
      </c>
      <c r="AB260">
        <v>2839</v>
      </c>
      <c r="AC260" s="28">
        <f>ifood_data[[#This Row],[Customer_Days]]/365</f>
        <v>7.7780821917808218</v>
      </c>
      <c r="AD260">
        <v>0</v>
      </c>
      <c r="AE260">
        <v>1</v>
      </c>
      <c r="AF260">
        <v>0</v>
      </c>
      <c r="AG260">
        <v>0</v>
      </c>
      <c r="AH260">
        <v>0</v>
      </c>
      <c r="AI260">
        <v>0</v>
      </c>
      <c r="AJ260">
        <v>0</v>
      </c>
      <c r="AK260">
        <v>0</v>
      </c>
      <c r="AL260">
        <v>1</v>
      </c>
      <c r="AM260">
        <v>0</v>
      </c>
      <c r="AN260">
        <v>769</v>
      </c>
      <c r="AO260">
        <v>694</v>
      </c>
      <c r="AP260">
        <f>ifood_data[[#This Row],[MntTotal]]-ifood_data[[#This Row],[MntRegularProds]]</f>
        <v>75</v>
      </c>
      <c r="AQ260">
        <v>3</v>
      </c>
      <c r="AR260">
        <f>IF(SUM(ifood_data[[#This Row],[Kidhome]:[Teenhome]])&gt;0,1,0)</f>
        <v>1</v>
      </c>
      <c r="AS260" t="str">
        <f>IF(SUM(ifood_data[[#This Row],[Kidhome]:[Teenhome]])&gt;0,"Has Family","No Family")</f>
        <v>Has Family</v>
      </c>
      <c r="AT260" t="str">
        <f>IF(ifood_data[[#This Row],[marital_Married]]=1,"Married", (IF(ifood_data[[#This Row],[marital_Single]]=1,"Single",(IF(ifood_data[[#This Row],[marital_Divorced]]=1,"Divorced",(IF(ifood_data[[#This Row],[marital_Together]]=1,"Living Together",(IF(ifood_data[[#This Row],[marital_Widow]]=1,"Widow","Other")))))))))</f>
        <v>Married</v>
      </c>
      <c r="AU260" t="str">
        <f>IF(ifood_data[[#This Row],[education_Basic]]=1,"High School",(IF(ifood_data[[#This Row],[education_Graduation]]=1,"Undergraduate Degree",(IF(SUM(AM260,AL260,AI260)&gt;0,"Master's Degree or Higher","Other")))))</f>
        <v>Master's Degree or Higher</v>
      </c>
      <c r="AV260" t="str">
        <f>IF(ifood_data[[#All],[Income]]&gt;75000,"75K+",(IF(ifood_data[[#All],[Income]]&gt;50000,"50K-75K",(IF(ifood_data[[#All],[Income]]&gt;35000,"35K-50K","&lt;35K")))))</f>
        <v>75K+</v>
      </c>
      <c r="AW260" t="str">
        <f>IF(ifood_data[[#All],[Age]]&gt;60,"60+",(IF(ifood_data[[#All],[Age]]&gt;50,"50-60",(IF(ifood_data[[#All],[Age]]&gt;40,"40-50",(IF(ifood_data[[#All],[Age]]&gt;30,"30-40","&lt;30")))))))</f>
        <v>40-50</v>
      </c>
      <c r="AX260">
        <f t="shared" si="16"/>
        <v>29</v>
      </c>
      <c r="AY260">
        <f t="shared" si="17"/>
        <v>8</v>
      </c>
      <c r="AZ260">
        <f t="shared" si="18"/>
        <v>8</v>
      </c>
      <c r="BA260">
        <f t="shared" si="19"/>
        <v>6</v>
      </c>
      <c r="BB260">
        <f>SUM(ifood_data[[#This Row],[Recency Score]:[Monetary Score]])</f>
        <v>22</v>
      </c>
      <c r="BC260">
        <f>(_xlfn.PERCENTRANK.INC(ifood_data[[#All],[RFM]],ifood_data[[#This Row],[RFM]],1))*10</f>
        <v>8</v>
      </c>
      <c r="BD260" t="str">
        <f>VLOOKUP(ifood_data[[#This Row],[RFM Score]],'RFM Analysis'!$A$3:$B$14,2,FALSE)</f>
        <v>Loyal Customer</v>
      </c>
      <c r="BE260">
        <f>'Regression Models'!$B$101+'Regression Models'!$B$102*ifood_data[[#This Row],[Income]]+'Regression Models'!$B$103*ifood_data[[#This Row],[Age]]+'Regression Models'!$B$104*ifood_data[[#This Row],[Family]]</f>
        <v>1241.6299785120186</v>
      </c>
      <c r="BF260" t="str">
        <f>IF(ifood_data[[#This Row],[AcceptedCmpOverall]]=1,"Campaign Respondent","Non-respondent")</f>
        <v>Campaign Respondent</v>
      </c>
    </row>
    <row r="261" spans="1:58" x14ac:dyDescent="0.35">
      <c r="A261">
        <v>175</v>
      </c>
      <c r="B261">
        <v>74068</v>
      </c>
      <c r="C261">
        <v>0</v>
      </c>
      <c r="D261">
        <v>0</v>
      </c>
      <c r="E261">
        <v>14</v>
      </c>
      <c r="F261">
        <v>783</v>
      </c>
      <c r="G261">
        <v>30</v>
      </c>
      <c r="H261">
        <v>537</v>
      </c>
      <c r="I261">
        <v>140</v>
      </c>
      <c r="J261">
        <v>76</v>
      </c>
      <c r="K261">
        <v>15</v>
      </c>
      <c r="L261">
        <v>1</v>
      </c>
      <c r="M261">
        <v>4</v>
      </c>
      <c r="N261">
        <v>10</v>
      </c>
      <c r="O261">
        <v>9</v>
      </c>
      <c r="P261">
        <v>2</v>
      </c>
      <c r="Q261">
        <v>0</v>
      </c>
      <c r="R261">
        <v>0</v>
      </c>
      <c r="S261">
        <v>0</v>
      </c>
      <c r="T261">
        <v>0</v>
      </c>
      <c r="U261">
        <v>0</v>
      </c>
      <c r="V261">
        <f>IF(SUM(ifood_data[[#This Row],[AcceptedCmp1]:[AcceptedCmp5]])&gt;0,1,0)</f>
        <v>0</v>
      </c>
      <c r="W261">
        <v>0</v>
      </c>
      <c r="X261">
        <v>3</v>
      </c>
      <c r="Y261">
        <v>11</v>
      </c>
      <c r="Z261">
        <v>0</v>
      </c>
      <c r="AA261">
        <v>44</v>
      </c>
      <c r="AB261">
        <v>2626</v>
      </c>
      <c r="AC261" s="28">
        <f>ifood_data[[#This Row],[Customer_Days]]/365</f>
        <v>7.1945205479452055</v>
      </c>
      <c r="AD261">
        <v>0</v>
      </c>
      <c r="AE261">
        <v>1</v>
      </c>
      <c r="AF261">
        <v>0</v>
      </c>
      <c r="AG261">
        <v>0</v>
      </c>
      <c r="AH261">
        <v>0</v>
      </c>
      <c r="AI261">
        <v>0</v>
      </c>
      <c r="AJ261">
        <v>0</v>
      </c>
      <c r="AK261">
        <v>1</v>
      </c>
      <c r="AL261">
        <v>0</v>
      </c>
      <c r="AM261">
        <v>0</v>
      </c>
      <c r="AN261">
        <v>1566</v>
      </c>
      <c r="AO261">
        <v>1551</v>
      </c>
      <c r="AP261">
        <f>ifood_data[[#This Row],[MntTotal]]-ifood_data[[#This Row],[MntRegularProds]]</f>
        <v>15</v>
      </c>
      <c r="AQ261">
        <v>0</v>
      </c>
      <c r="AR261">
        <f>IF(SUM(ifood_data[[#This Row],[Kidhome]:[Teenhome]])&gt;0,1,0)</f>
        <v>0</v>
      </c>
      <c r="AS261" t="str">
        <f>IF(SUM(ifood_data[[#This Row],[Kidhome]:[Teenhome]])&gt;0,"Has Family","No Family")</f>
        <v>No Family</v>
      </c>
      <c r="AT261" t="str">
        <f>IF(ifood_data[[#This Row],[marital_Married]]=1,"Married", (IF(ifood_data[[#This Row],[marital_Single]]=1,"Single",(IF(ifood_data[[#This Row],[marital_Divorced]]=1,"Divorced",(IF(ifood_data[[#This Row],[marital_Together]]=1,"Living Together",(IF(ifood_data[[#This Row],[marital_Widow]]=1,"Widow","Other")))))))))</f>
        <v>Married</v>
      </c>
      <c r="AU261" t="str">
        <f>IF(ifood_data[[#This Row],[education_Basic]]=1,"High School",(IF(ifood_data[[#This Row],[education_Graduation]]=1,"Undergraduate Degree",(IF(SUM(AM261,AL261,AI261)&gt;0,"Master's Degree or Higher","Other")))))</f>
        <v>Undergraduate Degree</v>
      </c>
      <c r="AV261" t="str">
        <f>IF(ifood_data[[#All],[Income]]&gt;75000,"75K+",(IF(ifood_data[[#All],[Income]]&gt;50000,"50K-75K",(IF(ifood_data[[#All],[Income]]&gt;35000,"35K-50K","&lt;35K")))))</f>
        <v>50K-75K</v>
      </c>
      <c r="AW261" t="str">
        <f>IF(ifood_data[[#All],[Age]]&gt;60,"60+",(IF(ifood_data[[#All],[Age]]&gt;50,"50-60",(IF(ifood_data[[#All],[Age]]&gt;40,"40-50",(IF(ifood_data[[#All],[Age]]&gt;30,"30-40","&lt;30")))))))</f>
        <v>40-50</v>
      </c>
      <c r="AX261">
        <f t="shared" si="16"/>
        <v>26</v>
      </c>
      <c r="AY261">
        <f t="shared" si="17"/>
        <v>9</v>
      </c>
      <c r="AZ261">
        <f t="shared" si="18"/>
        <v>7</v>
      </c>
      <c r="BA261">
        <f t="shared" si="19"/>
        <v>9</v>
      </c>
      <c r="BB261">
        <f>SUM(ifood_data[[#This Row],[Recency Score]:[Monetary Score]])</f>
        <v>25</v>
      </c>
      <c r="BC261">
        <f>(_xlfn.PERCENTRANK.INC(ifood_data[[#All],[RFM]],ifood_data[[#This Row],[RFM]],1))*10</f>
        <v>9</v>
      </c>
      <c r="BD261" t="str">
        <f>VLOOKUP(ifood_data[[#This Row],[RFM Score]],'RFM Analysis'!$A$3:$B$14,2,FALSE)</f>
        <v>Top Customer</v>
      </c>
      <c r="BE261">
        <f>'Regression Models'!$B$101+'Regression Models'!$B$102*ifood_data[[#This Row],[Income]]+'Regression Models'!$B$103*ifood_data[[#This Row],[Age]]+'Regression Models'!$B$104*ifood_data[[#This Row],[Family]]</f>
        <v>1241.5367031364881</v>
      </c>
      <c r="BF261" t="str">
        <f>IF(ifood_data[[#This Row],[AcceptedCmpOverall]]=1,"Campaign Respondent","Non-respondent")</f>
        <v>Non-respondent</v>
      </c>
    </row>
    <row r="262" spans="1:58" x14ac:dyDescent="0.35">
      <c r="A262">
        <v>1188</v>
      </c>
      <c r="B262">
        <v>73450</v>
      </c>
      <c r="C262">
        <v>0</v>
      </c>
      <c r="D262">
        <v>0</v>
      </c>
      <c r="E262">
        <v>85</v>
      </c>
      <c r="F262">
        <v>1142</v>
      </c>
      <c r="G262">
        <v>51</v>
      </c>
      <c r="H262">
        <v>415</v>
      </c>
      <c r="I262">
        <v>90</v>
      </c>
      <c r="J262">
        <v>69</v>
      </c>
      <c r="K262">
        <v>37</v>
      </c>
      <c r="L262">
        <v>1</v>
      </c>
      <c r="M262">
        <v>7</v>
      </c>
      <c r="N262">
        <v>8</v>
      </c>
      <c r="O262">
        <v>11</v>
      </c>
      <c r="P262">
        <v>3</v>
      </c>
      <c r="Q262">
        <v>1</v>
      </c>
      <c r="R262">
        <v>0</v>
      </c>
      <c r="S262">
        <v>1</v>
      </c>
      <c r="T262">
        <v>0</v>
      </c>
      <c r="U262">
        <v>0</v>
      </c>
      <c r="V262">
        <f>IF(SUM(ifood_data[[#This Row],[AcceptedCmp1]:[AcceptedCmp5]])&gt;0,1,0)</f>
        <v>1</v>
      </c>
      <c r="W262">
        <v>0</v>
      </c>
      <c r="X262">
        <v>3</v>
      </c>
      <c r="Y262">
        <v>11</v>
      </c>
      <c r="Z262">
        <v>0</v>
      </c>
      <c r="AA262">
        <v>38</v>
      </c>
      <c r="AB262">
        <v>2365</v>
      </c>
      <c r="AC262" s="28">
        <f>ifood_data[[#This Row],[Customer_Days]]/365</f>
        <v>6.4794520547945202</v>
      </c>
      <c r="AD262">
        <v>0</v>
      </c>
      <c r="AE262">
        <v>0</v>
      </c>
      <c r="AF262">
        <v>0</v>
      </c>
      <c r="AG262">
        <v>1</v>
      </c>
      <c r="AH262">
        <v>0</v>
      </c>
      <c r="AI262">
        <v>0</v>
      </c>
      <c r="AJ262">
        <v>0</v>
      </c>
      <c r="AK262">
        <v>0</v>
      </c>
      <c r="AL262">
        <v>1</v>
      </c>
      <c r="AM262">
        <v>0</v>
      </c>
      <c r="AN262">
        <v>1767</v>
      </c>
      <c r="AO262">
        <v>1730</v>
      </c>
      <c r="AP262">
        <f>ifood_data[[#This Row],[MntTotal]]-ifood_data[[#This Row],[MntRegularProds]]</f>
        <v>37</v>
      </c>
      <c r="AQ262">
        <v>2</v>
      </c>
      <c r="AR262">
        <f>IF(SUM(ifood_data[[#This Row],[Kidhome]:[Teenhome]])&gt;0,1,0)</f>
        <v>0</v>
      </c>
      <c r="AS262" t="str">
        <f>IF(SUM(ifood_data[[#This Row],[Kidhome]:[Teenhome]])&gt;0,"Has Family","No Family")</f>
        <v>No Family</v>
      </c>
      <c r="AT262" t="str">
        <f>IF(ifood_data[[#This Row],[marital_Married]]=1,"Married", (IF(ifood_data[[#This Row],[marital_Single]]=1,"Single",(IF(ifood_data[[#This Row],[marital_Divorced]]=1,"Divorced",(IF(ifood_data[[#This Row],[marital_Together]]=1,"Living Together",(IF(ifood_data[[#This Row],[marital_Widow]]=1,"Widow","Other")))))))))</f>
        <v>Living Together</v>
      </c>
      <c r="AU262" t="str">
        <f>IF(ifood_data[[#This Row],[education_Basic]]=1,"High School",(IF(ifood_data[[#This Row],[education_Graduation]]=1,"Undergraduate Degree",(IF(SUM(AM262,AL262,AI262)&gt;0,"Master's Degree or Higher","Other")))))</f>
        <v>Master's Degree or Higher</v>
      </c>
      <c r="AV262" t="str">
        <f>IF(ifood_data[[#All],[Income]]&gt;75000,"75K+",(IF(ifood_data[[#All],[Income]]&gt;50000,"50K-75K",(IF(ifood_data[[#All],[Income]]&gt;35000,"35K-50K","&lt;35K")))))</f>
        <v>50K-75K</v>
      </c>
      <c r="AW262" t="str">
        <f>IF(ifood_data[[#All],[Age]]&gt;60,"60+",(IF(ifood_data[[#All],[Age]]&gt;50,"50-60",(IF(ifood_data[[#All],[Age]]&gt;40,"40-50",(IF(ifood_data[[#All],[Age]]&gt;30,"30-40","&lt;30")))))))</f>
        <v>30-40</v>
      </c>
      <c r="AX262">
        <f t="shared" si="16"/>
        <v>30</v>
      </c>
      <c r="AY262">
        <f t="shared" si="17"/>
        <v>1.9999999999999996</v>
      </c>
      <c r="AZ262">
        <f t="shared" si="18"/>
        <v>8</v>
      </c>
      <c r="BA262">
        <f t="shared" si="19"/>
        <v>9</v>
      </c>
      <c r="BB262">
        <f>SUM(ifood_data[[#This Row],[Recency Score]:[Monetary Score]])</f>
        <v>19</v>
      </c>
      <c r="BC262">
        <f>(_xlfn.PERCENTRANK.INC(ifood_data[[#All],[RFM]],ifood_data[[#This Row],[RFM]],1))*10</f>
        <v>7</v>
      </c>
      <c r="BD262" t="str">
        <f>VLOOKUP(ifood_data[[#This Row],[RFM Score]],'RFM Analysis'!$A$3:$B$14,2,FALSE)</f>
        <v>Loyal Customer</v>
      </c>
      <c r="BE262">
        <f>'Regression Models'!$B$101+'Regression Models'!$B$102*ifood_data[[#This Row],[Income]]+'Regression Models'!$B$103*ifood_data[[#This Row],[Age]]+'Regression Models'!$B$104*ifood_data[[#This Row],[Family]]</f>
        <v>1239.9550788969241</v>
      </c>
      <c r="BF262" t="str">
        <f>IF(ifood_data[[#This Row],[AcceptedCmpOverall]]=1,"Campaign Respondent","Non-respondent")</f>
        <v>Campaign Respondent</v>
      </c>
    </row>
    <row r="263" spans="1:58" x14ac:dyDescent="0.35">
      <c r="A263">
        <v>872</v>
      </c>
      <c r="B263">
        <v>72354</v>
      </c>
      <c r="C263">
        <v>0</v>
      </c>
      <c r="D263">
        <v>0</v>
      </c>
      <c r="E263">
        <v>67</v>
      </c>
      <c r="F263">
        <v>315</v>
      </c>
      <c r="G263">
        <v>26</v>
      </c>
      <c r="H263">
        <v>473</v>
      </c>
      <c r="I263">
        <v>220</v>
      </c>
      <c r="J263">
        <v>12</v>
      </c>
      <c r="K263">
        <v>182</v>
      </c>
      <c r="L263">
        <v>1</v>
      </c>
      <c r="M263">
        <v>2</v>
      </c>
      <c r="N263">
        <v>10</v>
      </c>
      <c r="O263">
        <v>6</v>
      </c>
      <c r="P263">
        <v>1</v>
      </c>
      <c r="Q263">
        <v>0</v>
      </c>
      <c r="R263">
        <v>0</v>
      </c>
      <c r="S263">
        <v>0</v>
      </c>
      <c r="T263">
        <v>0</v>
      </c>
      <c r="U263">
        <v>0</v>
      </c>
      <c r="V263">
        <f>IF(SUM(ifood_data[[#This Row],[AcceptedCmp1]:[AcceptedCmp5]])&gt;0,1,0)</f>
        <v>0</v>
      </c>
      <c r="W263">
        <v>0</v>
      </c>
      <c r="X263">
        <v>3</v>
      </c>
      <c r="Y263">
        <v>11</v>
      </c>
      <c r="Z263">
        <v>0</v>
      </c>
      <c r="AA263">
        <v>27</v>
      </c>
      <c r="AB263">
        <v>2597</v>
      </c>
      <c r="AC263" s="28">
        <f>ifood_data[[#This Row],[Customer_Days]]/365</f>
        <v>7.1150684931506847</v>
      </c>
      <c r="AD263">
        <v>0</v>
      </c>
      <c r="AE263">
        <v>0</v>
      </c>
      <c r="AF263">
        <v>1</v>
      </c>
      <c r="AG263">
        <v>0</v>
      </c>
      <c r="AH263">
        <v>0</v>
      </c>
      <c r="AI263">
        <v>0</v>
      </c>
      <c r="AJ263">
        <v>0</v>
      </c>
      <c r="AK263">
        <v>1</v>
      </c>
      <c r="AL263">
        <v>0</v>
      </c>
      <c r="AM263">
        <v>0</v>
      </c>
      <c r="AN263">
        <v>1046</v>
      </c>
      <c r="AO263">
        <v>864</v>
      </c>
      <c r="AP263">
        <f>ifood_data[[#This Row],[MntTotal]]-ifood_data[[#This Row],[MntRegularProds]]</f>
        <v>182</v>
      </c>
      <c r="AQ263">
        <v>0</v>
      </c>
      <c r="AR263">
        <f>IF(SUM(ifood_data[[#This Row],[Kidhome]:[Teenhome]])&gt;0,1,0)</f>
        <v>0</v>
      </c>
      <c r="AS263" t="str">
        <f>IF(SUM(ifood_data[[#This Row],[Kidhome]:[Teenhome]])&gt;0,"Has Family","No Family")</f>
        <v>No Family</v>
      </c>
      <c r="AT263" t="str">
        <f>IF(ifood_data[[#This Row],[marital_Married]]=1,"Married", (IF(ifood_data[[#This Row],[marital_Single]]=1,"Single",(IF(ifood_data[[#This Row],[marital_Divorced]]=1,"Divorced",(IF(ifood_data[[#This Row],[marital_Together]]=1,"Living Together",(IF(ifood_data[[#This Row],[marital_Widow]]=1,"Widow","Other")))))))))</f>
        <v>Single</v>
      </c>
      <c r="AU263" t="str">
        <f>IF(ifood_data[[#This Row],[education_Basic]]=1,"High School",(IF(ifood_data[[#This Row],[education_Graduation]]=1,"Undergraduate Degree",(IF(SUM(AM263,AL263,AI263)&gt;0,"Master's Degree or Higher","Other")))))</f>
        <v>Undergraduate Degree</v>
      </c>
      <c r="AV263" t="str">
        <f>IF(ifood_data[[#All],[Income]]&gt;75000,"75K+",(IF(ifood_data[[#All],[Income]]&gt;50000,"50K-75K",(IF(ifood_data[[#All],[Income]]&gt;35000,"35K-50K","&lt;35K")))))</f>
        <v>50K-75K</v>
      </c>
      <c r="AW263" t="str">
        <f>IF(ifood_data[[#All],[Age]]&gt;60,"60+",(IF(ifood_data[[#All],[Age]]&gt;50,"50-60",(IF(ifood_data[[#All],[Age]]&gt;40,"40-50",(IF(ifood_data[[#All],[Age]]&gt;30,"30-40","&lt;30")))))))</f>
        <v>&lt;30</v>
      </c>
      <c r="AX263">
        <f t="shared" si="16"/>
        <v>20</v>
      </c>
      <c r="AY263">
        <f t="shared" si="17"/>
        <v>4</v>
      </c>
      <c r="AZ263">
        <f t="shared" si="18"/>
        <v>4</v>
      </c>
      <c r="BA263">
        <f t="shared" si="19"/>
        <v>7</v>
      </c>
      <c r="BB263">
        <f>SUM(ifood_data[[#This Row],[Recency Score]:[Monetary Score]])</f>
        <v>15</v>
      </c>
      <c r="BC263">
        <f>(_xlfn.PERCENTRANK.INC(ifood_data[[#All],[RFM]],ifood_data[[#This Row],[RFM]],1))*10</f>
        <v>4</v>
      </c>
      <c r="BD263" t="str">
        <f>VLOOKUP(ifood_data[[#This Row],[RFM Score]],'RFM Analysis'!$A$3:$B$14,2,FALSE)</f>
        <v>At Risk</v>
      </c>
      <c r="BE263">
        <f>'Regression Models'!$B$101+'Regression Models'!$B$102*ifood_data[[#This Row],[Income]]+'Regression Models'!$B$103*ifood_data[[#This Row],[Age]]+'Regression Models'!$B$104*ifood_data[[#This Row],[Family]]</f>
        <v>1237.8098188790482</v>
      </c>
      <c r="BF263" t="str">
        <f>IF(ifood_data[[#This Row],[AcceptedCmpOverall]]=1,"Campaign Respondent","Non-respondent")</f>
        <v>Non-respondent</v>
      </c>
    </row>
    <row r="264" spans="1:58" x14ac:dyDescent="0.35">
      <c r="A264">
        <v>1072</v>
      </c>
      <c r="B264">
        <v>72903</v>
      </c>
      <c r="C264">
        <v>0</v>
      </c>
      <c r="D264">
        <v>0</v>
      </c>
      <c r="E264">
        <v>74</v>
      </c>
      <c r="F264">
        <v>1067</v>
      </c>
      <c r="G264">
        <v>138</v>
      </c>
      <c r="H264">
        <v>750</v>
      </c>
      <c r="I264">
        <v>0</v>
      </c>
      <c r="J264">
        <v>19</v>
      </c>
      <c r="K264">
        <v>39</v>
      </c>
      <c r="L264">
        <v>1</v>
      </c>
      <c r="M264">
        <v>7</v>
      </c>
      <c r="N264">
        <v>5</v>
      </c>
      <c r="O264">
        <v>8</v>
      </c>
      <c r="P264">
        <v>4</v>
      </c>
      <c r="Q264">
        <v>1</v>
      </c>
      <c r="R264">
        <v>0</v>
      </c>
      <c r="S264">
        <v>0</v>
      </c>
      <c r="T264">
        <v>1</v>
      </c>
      <c r="U264">
        <v>1</v>
      </c>
      <c r="V264">
        <f>IF(SUM(ifood_data[[#This Row],[AcceptedCmp1]:[AcceptedCmp5]])&gt;0,1,0)</f>
        <v>1</v>
      </c>
      <c r="W264">
        <v>0</v>
      </c>
      <c r="X264">
        <v>3</v>
      </c>
      <c r="Y264">
        <v>11</v>
      </c>
      <c r="Z264">
        <v>1</v>
      </c>
      <c r="AA264">
        <v>35</v>
      </c>
      <c r="AB264">
        <v>2402</v>
      </c>
      <c r="AC264" s="28">
        <f>ifood_data[[#This Row],[Customer_Days]]/365</f>
        <v>6.580821917808219</v>
      </c>
      <c r="AD264">
        <v>0</v>
      </c>
      <c r="AE264">
        <v>0</v>
      </c>
      <c r="AF264">
        <v>1</v>
      </c>
      <c r="AG264">
        <v>0</v>
      </c>
      <c r="AH264">
        <v>0</v>
      </c>
      <c r="AI264">
        <v>0</v>
      </c>
      <c r="AJ264">
        <v>0</v>
      </c>
      <c r="AK264">
        <v>1</v>
      </c>
      <c r="AL264">
        <v>0</v>
      </c>
      <c r="AM264">
        <v>0</v>
      </c>
      <c r="AN264">
        <v>1974</v>
      </c>
      <c r="AO264">
        <v>1935</v>
      </c>
      <c r="AP264">
        <f>ifood_data[[#This Row],[MntTotal]]-ifood_data[[#This Row],[MntRegularProds]]</f>
        <v>39</v>
      </c>
      <c r="AQ264">
        <v>3</v>
      </c>
      <c r="AR264">
        <f>IF(SUM(ifood_data[[#This Row],[Kidhome]:[Teenhome]])&gt;0,1,0)</f>
        <v>0</v>
      </c>
      <c r="AS264" t="str">
        <f>IF(SUM(ifood_data[[#This Row],[Kidhome]:[Teenhome]])&gt;0,"Has Family","No Family")</f>
        <v>No Family</v>
      </c>
      <c r="AT264" t="str">
        <f>IF(ifood_data[[#This Row],[marital_Married]]=1,"Married", (IF(ifood_data[[#This Row],[marital_Single]]=1,"Single",(IF(ifood_data[[#This Row],[marital_Divorced]]=1,"Divorced",(IF(ifood_data[[#This Row],[marital_Together]]=1,"Living Together",(IF(ifood_data[[#This Row],[marital_Widow]]=1,"Widow","Other")))))))))</f>
        <v>Single</v>
      </c>
      <c r="AU264" t="str">
        <f>IF(ifood_data[[#This Row],[education_Basic]]=1,"High School",(IF(ifood_data[[#This Row],[education_Graduation]]=1,"Undergraduate Degree",(IF(SUM(AM264,AL264,AI264)&gt;0,"Master's Degree or Higher","Other")))))</f>
        <v>Undergraduate Degree</v>
      </c>
      <c r="AV264" t="str">
        <f>IF(ifood_data[[#All],[Income]]&gt;75000,"75K+",(IF(ifood_data[[#All],[Income]]&gt;50000,"50K-75K",(IF(ifood_data[[#All],[Income]]&gt;35000,"35K-50K","&lt;35K")))))</f>
        <v>50K-75K</v>
      </c>
      <c r="AW264" t="str">
        <f>IF(ifood_data[[#All],[Age]]&gt;60,"60+",(IF(ifood_data[[#All],[Age]]&gt;50,"50-60",(IF(ifood_data[[#All],[Age]]&gt;40,"40-50",(IF(ifood_data[[#All],[Age]]&gt;30,"30-40","&lt;30")))))))</f>
        <v>30-40</v>
      </c>
      <c r="AX264">
        <f t="shared" si="16"/>
        <v>25</v>
      </c>
      <c r="AY264">
        <f t="shared" si="17"/>
        <v>3.0000000000000004</v>
      </c>
      <c r="AZ264">
        <f t="shared" si="18"/>
        <v>7</v>
      </c>
      <c r="BA264">
        <f t="shared" si="19"/>
        <v>9</v>
      </c>
      <c r="BB264">
        <f>SUM(ifood_data[[#This Row],[Recency Score]:[Monetary Score]])</f>
        <v>19</v>
      </c>
      <c r="BC264">
        <f>(_xlfn.PERCENTRANK.INC(ifood_data[[#All],[RFM]],ifood_data[[#This Row],[RFM]],1))*10</f>
        <v>7</v>
      </c>
      <c r="BD264" t="str">
        <f>VLOOKUP(ifood_data[[#This Row],[RFM Score]],'RFM Analysis'!$A$3:$B$14,2,FALSE)</f>
        <v>Loyal Customer</v>
      </c>
      <c r="BE264">
        <f>'Regression Models'!$B$101+'Regression Models'!$B$102*ifood_data[[#This Row],[Income]]+'Regression Models'!$B$103*ifood_data[[#This Row],[Age]]+'Regression Models'!$B$104*ifood_data[[#This Row],[Family]]</f>
        <v>1234.3117399588946</v>
      </c>
      <c r="BF264" t="str">
        <f>IF(ifood_data[[#This Row],[AcceptedCmpOverall]]=1,"Campaign Respondent","Non-respondent")</f>
        <v>Campaign Respondent</v>
      </c>
    </row>
    <row r="265" spans="1:58" x14ac:dyDescent="0.35">
      <c r="A265">
        <v>756</v>
      </c>
      <c r="B265">
        <v>73926</v>
      </c>
      <c r="C265">
        <v>0</v>
      </c>
      <c r="D265">
        <v>0</v>
      </c>
      <c r="E265">
        <v>54</v>
      </c>
      <c r="F265">
        <v>627</v>
      </c>
      <c r="G265">
        <v>91</v>
      </c>
      <c r="H265">
        <v>597</v>
      </c>
      <c r="I265">
        <v>159</v>
      </c>
      <c r="J265">
        <v>91</v>
      </c>
      <c r="K265">
        <v>15</v>
      </c>
      <c r="L265">
        <v>1</v>
      </c>
      <c r="M265">
        <v>6</v>
      </c>
      <c r="N265">
        <v>5</v>
      </c>
      <c r="O265">
        <v>12</v>
      </c>
      <c r="P265">
        <v>3</v>
      </c>
      <c r="Q265">
        <v>0</v>
      </c>
      <c r="R265">
        <v>0</v>
      </c>
      <c r="S265">
        <v>0</v>
      </c>
      <c r="T265">
        <v>0</v>
      </c>
      <c r="U265">
        <v>0</v>
      </c>
      <c r="V265">
        <f>IF(SUM(ifood_data[[#This Row],[AcceptedCmp1]:[AcceptedCmp5]])&gt;0,1,0)</f>
        <v>0</v>
      </c>
      <c r="W265">
        <v>0</v>
      </c>
      <c r="X265">
        <v>3</v>
      </c>
      <c r="Y265">
        <v>11</v>
      </c>
      <c r="Z265">
        <v>0</v>
      </c>
      <c r="AA265">
        <v>47</v>
      </c>
      <c r="AB265">
        <v>2643</v>
      </c>
      <c r="AC265" s="28">
        <f>ifood_data[[#This Row],[Customer_Days]]/365</f>
        <v>7.2410958904109588</v>
      </c>
      <c r="AD265">
        <v>0</v>
      </c>
      <c r="AE265">
        <v>0</v>
      </c>
      <c r="AF265">
        <v>0</v>
      </c>
      <c r="AG265">
        <v>1</v>
      </c>
      <c r="AH265">
        <v>0</v>
      </c>
      <c r="AI265">
        <v>0</v>
      </c>
      <c r="AJ265">
        <v>0</v>
      </c>
      <c r="AK265">
        <v>1</v>
      </c>
      <c r="AL265">
        <v>0</v>
      </c>
      <c r="AM265">
        <v>0</v>
      </c>
      <c r="AN265">
        <v>1565</v>
      </c>
      <c r="AO265">
        <v>1550</v>
      </c>
      <c r="AP265">
        <f>ifood_data[[#This Row],[MntTotal]]-ifood_data[[#This Row],[MntRegularProds]]</f>
        <v>15</v>
      </c>
      <c r="AQ265">
        <v>0</v>
      </c>
      <c r="AR265">
        <f>IF(SUM(ifood_data[[#This Row],[Kidhome]:[Teenhome]])&gt;0,1,0)</f>
        <v>0</v>
      </c>
      <c r="AS265" t="str">
        <f>IF(SUM(ifood_data[[#This Row],[Kidhome]:[Teenhome]])&gt;0,"Has Family","No Family")</f>
        <v>No Family</v>
      </c>
      <c r="AT265" t="str">
        <f>IF(ifood_data[[#This Row],[marital_Married]]=1,"Married", (IF(ifood_data[[#This Row],[marital_Single]]=1,"Single",(IF(ifood_data[[#This Row],[marital_Divorced]]=1,"Divorced",(IF(ifood_data[[#This Row],[marital_Together]]=1,"Living Together",(IF(ifood_data[[#This Row],[marital_Widow]]=1,"Widow","Other")))))))))</f>
        <v>Living Together</v>
      </c>
      <c r="AU265" t="str">
        <f>IF(ifood_data[[#This Row],[education_Basic]]=1,"High School",(IF(ifood_data[[#This Row],[education_Graduation]]=1,"Undergraduate Degree",(IF(SUM(AM265,AL265,AI265)&gt;0,"Master's Degree or Higher","Other")))))</f>
        <v>Undergraduate Degree</v>
      </c>
      <c r="AV265" t="str">
        <f>IF(ifood_data[[#All],[Income]]&gt;75000,"75K+",(IF(ifood_data[[#All],[Income]]&gt;50000,"50K-75K",(IF(ifood_data[[#All],[Income]]&gt;35000,"35K-50K","&lt;35K")))))</f>
        <v>50K-75K</v>
      </c>
      <c r="AW265" t="str">
        <f>IF(ifood_data[[#All],[Age]]&gt;60,"60+",(IF(ifood_data[[#All],[Age]]&gt;50,"50-60",(IF(ifood_data[[#All],[Age]]&gt;40,"40-50",(IF(ifood_data[[#All],[Age]]&gt;30,"30-40","&lt;30")))))))</f>
        <v>40-50</v>
      </c>
      <c r="AX265">
        <f t="shared" si="16"/>
        <v>27</v>
      </c>
      <c r="AY265">
        <f t="shared" si="17"/>
        <v>5</v>
      </c>
      <c r="AZ265">
        <f t="shared" si="18"/>
        <v>7</v>
      </c>
      <c r="BA265">
        <f t="shared" si="19"/>
        <v>9</v>
      </c>
      <c r="BB265">
        <f>SUM(ifood_data[[#This Row],[Recency Score]:[Monetary Score]])</f>
        <v>21</v>
      </c>
      <c r="BC265">
        <f>(_xlfn.PERCENTRANK.INC(ifood_data[[#All],[RFM]],ifood_data[[#This Row],[RFM]],1))*10</f>
        <v>8</v>
      </c>
      <c r="BD265" t="str">
        <f>VLOOKUP(ifood_data[[#This Row],[RFM Score]],'RFM Analysis'!$A$3:$B$14,2,FALSE)</f>
        <v>Loyal Customer</v>
      </c>
      <c r="BE265">
        <f>'Regression Models'!$B$101+'Regression Models'!$B$102*ifood_data[[#This Row],[Income]]+'Regression Models'!$B$103*ifood_data[[#This Row],[Age]]+'Regression Models'!$B$104*ifood_data[[#This Row],[Family]]</f>
        <v>1233.1321808233715</v>
      </c>
      <c r="BF265" t="str">
        <f>IF(ifood_data[[#This Row],[AcceptedCmpOverall]]=1,"Campaign Respondent","Non-respondent")</f>
        <v>Non-respondent</v>
      </c>
    </row>
    <row r="266" spans="1:58" x14ac:dyDescent="0.35">
      <c r="A266">
        <v>609</v>
      </c>
      <c r="B266">
        <v>76140</v>
      </c>
      <c r="C266">
        <v>0</v>
      </c>
      <c r="D266">
        <v>0</v>
      </c>
      <c r="E266">
        <v>57</v>
      </c>
      <c r="F266">
        <v>586</v>
      </c>
      <c r="G266">
        <v>66</v>
      </c>
      <c r="H266">
        <v>653</v>
      </c>
      <c r="I266">
        <v>17</v>
      </c>
      <c r="J266">
        <v>0</v>
      </c>
      <c r="K266">
        <v>26</v>
      </c>
      <c r="L266">
        <v>1</v>
      </c>
      <c r="M266">
        <v>5</v>
      </c>
      <c r="N266">
        <v>9</v>
      </c>
      <c r="O266">
        <v>6</v>
      </c>
      <c r="P266">
        <v>2</v>
      </c>
      <c r="Q266">
        <v>0</v>
      </c>
      <c r="R266">
        <v>0</v>
      </c>
      <c r="S266">
        <v>0</v>
      </c>
      <c r="T266">
        <v>0</v>
      </c>
      <c r="U266">
        <v>0</v>
      </c>
      <c r="V266">
        <f>IF(SUM(ifood_data[[#This Row],[AcceptedCmp1]:[AcceptedCmp5]])&gt;0,1,0)</f>
        <v>0</v>
      </c>
      <c r="W266">
        <v>0</v>
      </c>
      <c r="X266">
        <v>3</v>
      </c>
      <c r="Y266">
        <v>11</v>
      </c>
      <c r="Z266">
        <v>0</v>
      </c>
      <c r="AA266">
        <v>72</v>
      </c>
      <c r="AB266">
        <v>2206</v>
      </c>
      <c r="AC266" s="28">
        <f>ifood_data[[#This Row],[Customer_Days]]/365</f>
        <v>6.043835616438356</v>
      </c>
      <c r="AD266">
        <v>0</v>
      </c>
      <c r="AE266">
        <v>0</v>
      </c>
      <c r="AF266">
        <v>0</v>
      </c>
      <c r="AG266">
        <v>1</v>
      </c>
      <c r="AH266">
        <v>0</v>
      </c>
      <c r="AI266">
        <v>0</v>
      </c>
      <c r="AJ266">
        <v>0</v>
      </c>
      <c r="AK266">
        <v>0</v>
      </c>
      <c r="AL266">
        <v>0</v>
      </c>
      <c r="AM266">
        <v>1</v>
      </c>
      <c r="AN266">
        <v>1322</v>
      </c>
      <c r="AO266">
        <v>1296</v>
      </c>
      <c r="AP266">
        <f>ifood_data[[#This Row],[MntTotal]]-ifood_data[[#This Row],[MntRegularProds]]</f>
        <v>26</v>
      </c>
      <c r="AQ266">
        <v>0</v>
      </c>
      <c r="AR266">
        <f>IF(SUM(ifood_data[[#This Row],[Kidhome]:[Teenhome]])&gt;0,1,0)</f>
        <v>0</v>
      </c>
      <c r="AS266" t="str">
        <f>IF(SUM(ifood_data[[#This Row],[Kidhome]:[Teenhome]])&gt;0,"Has Family","No Family")</f>
        <v>No Family</v>
      </c>
      <c r="AT266" t="str">
        <f>IF(ifood_data[[#This Row],[marital_Married]]=1,"Married", (IF(ifood_data[[#This Row],[marital_Single]]=1,"Single",(IF(ifood_data[[#This Row],[marital_Divorced]]=1,"Divorced",(IF(ifood_data[[#This Row],[marital_Together]]=1,"Living Together",(IF(ifood_data[[#This Row],[marital_Widow]]=1,"Widow","Other")))))))))</f>
        <v>Living Together</v>
      </c>
      <c r="AU266" t="str">
        <f>IF(ifood_data[[#This Row],[education_Basic]]=1,"High School",(IF(ifood_data[[#This Row],[education_Graduation]]=1,"Undergraduate Degree",(IF(SUM(AM266,AL266,AI266)&gt;0,"Master's Degree or Higher","Other")))))</f>
        <v>Master's Degree or Higher</v>
      </c>
      <c r="AV266" t="str">
        <f>IF(ifood_data[[#All],[Income]]&gt;75000,"75K+",(IF(ifood_data[[#All],[Income]]&gt;50000,"50K-75K",(IF(ifood_data[[#All],[Income]]&gt;35000,"35K-50K","&lt;35K")))))</f>
        <v>75K+</v>
      </c>
      <c r="AW266" t="str">
        <f>IF(ifood_data[[#All],[Age]]&gt;60,"60+",(IF(ifood_data[[#All],[Age]]&gt;50,"50-60",(IF(ifood_data[[#All],[Age]]&gt;40,"40-50",(IF(ifood_data[[#All],[Age]]&gt;30,"30-40","&lt;30")))))))</f>
        <v>60+</v>
      </c>
      <c r="AX266">
        <f t="shared" si="16"/>
        <v>23</v>
      </c>
      <c r="AY266">
        <f t="shared" si="17"/>
        <v>5</v>
      </c>
      <c r="AZ266">
        <f t="shared" si="18"/>
        <v>6</v>
      </c>
      <c r="BA266">
        <f t="shared" si="19"/>
        <v>8</v>
      </c>
      <c r="BB266">
        <f>SUM(ifood_data[[#This Row],[Recency Score]:[Monetary Score]])</f>
        <v>19</v>
      </c>
      <c r="BC266">
        <f>(_xlfn.PERCENTRANK.INC(ifood_data[[#All],[RFM]],ifood_data[[#This Row],[RFM]],1))*10</f>
        <v>7</v>
      </c>
      <c r="BD266" t="str">
        <f>VLOOKUP(ifood_data[[#This Row],[RFM Score]],'RFM Analysis'!$A$3:$B$14,2,FALSE)</f>
        <v>Loyal Customer</v>
      </c>
      <c r="BE266">
        <f>'Regression Models'!$B$101+'Regression Models'!$B$102*ifood_data[[#This Row],[Income]]+'Regression Models'!$B$103*ifood_data[[#This Row],[Age]]+'Regression Models'!$B$104*ifood_data[[#This Row],[Family]]</f>
        <v>1232.3619365216066</v>
      </c>
      <c r="BF266" t="str">
        <f>IF(ifood_data[[#This Row],[AcceptedCmpOverall]]=1,"Campaign Respondent","Non-respondent")</f>
        <v>Non-respondent</v>
      </c>
    </row>
    <row r="267" spans="1:58" x14ac:dyDescent="0.35">
      <c r="A267">
        <v>441</v>
      </c>
      <c r="B267">
        <v>75261</v>
      </c>
      <c r="C267">
        <v>0</v>
      </c>
      <c r="D267">
        <v>0</v>
      </c>
      <c r="E267">
        <v>17</v>
      </c>
      <c r="F267">
        <v>1239</v>
      </c>
      <c r="G267">
        <v>17</v>
      </c>
      <c r="H267">
        <v>413</v>
      </c>
      <c r="I267">
        <v>23</v>
      </c>
      <c r="J267">
        <v>34</v>
      </c>
      <c r="K267">
        <v>17</v>
      </c>
      <c r="L267">
        <v>1</v>
      </c>
      <c r="M267">
        <v>5</v>
      </c>
      <c r="N267">
        <v>6</v>
      </c>
      <c r="O267">
        <v>5</v>
      </c>
      <c r="P267">
        <v>2</v>
      </c>
      <c r="Q267">
        <v>0</v>
      </c>
      <c r="R267">
        <v>0</v>
      </c>
      <c r="S267">
        <v>0</v>
      </c>
      <c r="T267">
        <v>1</v>
      </c>
      <c r="U267">
        <v>1</v>
      </c>
      <c r="V267">
        <f>IF(SUM(ifood_data[[#This Row],[AcceptedCmp1]:[AcceptedCmp5]])&gt;0,1,0)</f>
        <v>1</v>
      </c>
      <c r="W267">
        <v>0</v>
      </c>
      <c r="X267">
        <v>3</v>
      </c>
      <c r="Y267">
        <v>11</v>
      </c>
      <c r="Z267">
        <v>1</v>
      </c>
      <c r="AA267">
        <v>65</v>
      </c>
      <c r="AB267">
        <v>2591</v>
      </c>
      <c r="AC267" s="28">
        <f>ifood_data[[#This Row],[Customer_Days]]/365</f>
        <v>7.0986301369863014</v>
      </c>
      <c r="AD267">
        <v>0</v>
      </c>
      <c r="AE267">
        <v>0</v>
      </c>
      <c r="AF267">
        <v>0</v>
      </c>
      <c r="AG267">
        <v>1</v>
      </c>
      <c r="AH267">
        <v>0</v>
      </c>
      <c r="AI267">
        <v>0</v>
      </c>
      <c r="AJ267">
        <v>0</v>
      </c>
      <c r="AK267">
        <v>0</v>
      </c>
      <c r="AL267">
        <v>0</v>
      </c>
      <c r="AM267">
        <v>1</v>
      </c>
      <c r="AN267">
        <v>1726</v>
      </c>
      <c r="AO267">
        <v>1709</v>
      </c>
      <c r="AP267">
        <f>ifood_data[[#This Row],[MntTotal]]-ifood_data[[#This Row],[MntRegularProds]]</f>
        <v>17</v>
      </c>
      <c r="AQ267">
        <v>2</v>
      </c>
      <c r="AR267">
        <f>IF(SUM(ifood_data[[#This Row],[Kidhome]:[Teenhome]])&gt;0,1,0)</f>
        <v>0</v>
      </c>
      <c r="AS267" t="str">
        <f>IF(SUM(ifood_data[[#This Row],[Kidhome]:[Teenhome]])&gt;0,"Has Family","No Family")</f>
        <v>No Family</v>
      </c>
      <c r="AT267" t="str">
        <f>IF(ifood_data[[#This Row],[marital_Married]]=1,"Married", (IF(ifood_data[[#This Row],[marital_Single]]=1,"Single",(IF(ifood_data[[#This Row],[marital_Divorced]]=1,"Divorced",(IF(ifood_data[[#This Row],[marital_Together]]=1,"Living Together",(IF(ifood_data[[#This Row],[marital_Widow]]=1,"Widow","Other")))))))))</f>
        <v>Living Together</v>
      </c>
      <c r="AU267" t="str">
        <f>IF(ifood_data[[#This Row],[education_Basic]]=1,"High School",(IF(ifood_data[[#This Row],[education_Graduation]]=1,"Undergraduate Degree",(IF(SUM(AM267,AL267,AI267)&gt;0,"Master's Degree or Higher","Other")))))</f>
        <v>Master's Degree or Higher</v>
      </c>
      <c r="AV267" t="str">
        <f>IF(ifood_data[[#All],[Income]]&gt;75000,"75K+",(IF(ifood_data[[#All],[Income]]&gt;50000,"50K-75K",(IF(ifood_data[[#All],[Income]]&gt;35000,"35K-50K","&lt;35K")))))</f>
        <v>75K+</v>
      </c>
      <c r="AW267" t="str">
        <f>IF(ifood_data[[#All],[Age]]&gt;60,"60+",(IF(ifood_data[[#All],[Age]]&gt;50,"50-60",(IF(ifood_data[[#All],[Age]]&gt;40,"40-50",(IF(ifood_data[[#All],[Age]]&gt;30,"30-40","&lt;30")))))))</f>
        <v>60+</v>
      </c>
      <c r="AX267">
        <f t="shared" si="16"/>
        <v>19</v>
      </c>
      <c r="AY267">
        <f t="shared" si="17"/>
        <v>9</v>
      </c>
      <c r="AZ267">
        <f t="shared" si="18"/>
        <v>4</v>
      </c>
      <c r="BA267">
        <f t="shared" si="19"/>
        <v>9</v>
      </c>
      <c r="BB267">
        <f>SUM(ifood_data[[#This Row],[Recency Score]:[Monetary Score]])</f>
        <v>22</v>
      </c>
      <c r="BC267">
        <f>(_xlfn.PERCENTRANK.INC(ifood_data[[#All],[RFM]],ifood_data[[#This Row],[RFM]],1))*10</f>
        <v>8</v>
      </c>
      <c r="BD267" t="str">
        <f>VLOOKUP(ifood_data[[#This Row],[RFM Score]],'RFM Analysis'!$A$3:$B$14,2,FALSE)</f>
        <v>Loyal Customer</v>
      </c>
      <c r="BE267">
        <f>'Regression Models'!$B$101+'Regression Models'!$B$102*ifood_data[[#This Row],[Income]]+'Regression Models'!$B$103*ifood_data[[#This Row],[Age]]+'Regression Models'!$B$104*ifood_data[[#This Row],[Family]]</f>
        <v>1227.2952828753794</v>
      </c>
      <c r="BF267" t="str">
        <f>IF(ifood_data[[#This Row],[AcceptedCmpOverall]]=1,"Campaign Respondent","Non-respondent")</f>
        <v>Campaign Respondent</v>
      </c>
    </row>
    <row r="268" spans="1:58" x14ac:dyDescent="0.35">
      <c r="A268">
        <v>1773</v>
      </c>
      <c r="B268">
        <v>72570</v>
      </c>
      <c r="C268">
        <v>0</v>
      </c>
      <c r="D268">
        <v>0</v>
      </c>
      <c r="E268">
        <v>67</v>
      </c>
      <c r="F268">
        <v>274</v>
      </c>
      <c r="G268">
        <v>83</v>
      </c>
      <c r="H268">
        <v>216</v>
      </c>
      <c r="I268">
        <v>151</v>
      </c>
      <c r="J268">
        <v>141</v>
      </c>
      <c r="K268">
        <v>224</v>
      </c>
      <c r="L268">
        <v>1</v>
      </c>
      <c r="M268">
        <v>4</v>
      </c>
      <c r="N268">
        <v>6</v>
      </c>
      <c r="O268">
        <v>12</v>
      </c>
      <c r="P268">
        <v>1</v>
      </c>
      <c r="Q268">
        <v>0</v>
      </c>
      <c r="R268">
        <v>0</v>
      </c>
      <c r="S268">
        <v>0</v>
      </c>
      <c r="T268">
        <v>0</v>
      </c>
      <c r="U268">
        <v>0</v>
      </c>
      <c r="V268">
        <f>IF(SUM(ifood_data[[#This Row],[AcceptedCmp1]:[AcceptedCmp5]])&gt;0,1,0)</f>
        <v>0</v>
      </c>
      <c r="W268">
        <v>0</v>
      </c>
      <c r="X268">
        <v>3</v>
      </c>
      <c r="Y268">
        <v>11</v>
      </c>
      <c r="Z268">
        <v>0</v>
      </c>
      <c r="AA268">
        <v>36</v>
      </c>
      <c r="AB268">
        <v>2224</v>
      </c>
      <c r="AC268" s="28">
        <f>ifood_data[[#This Row],[Customer_Days]]/365</f>
        <v>6.0931506849315067</v>
      </c>
      <c r="AD268">
        <v>0</v>
      </c>
      <c r="AE268">
        <v>1</v>
      </c>
      <c r="AF268">
        <v>0</v>
      </c>
      <c r="AG268">
        <v>0</v>
      </c>
      <c r="AH268">
        <v>0</v>
      </c>
      <c r="AI268">
        <v>0</v>
      </c>
      <c r="AJ268">
        <v>0</v>
      </c>
      <c r="AK268">
        <v>1</v>
      </c>
      <c r="AL268">
        <v>0</v>
      </c>
      <c r="AM268">
        <v>0</v>
      </c>
      <c r="AN268">
        <v>865</v>
      </c>
      <c r="AO268">
        <v>641</v>
      </c>
      <c r="AP268">
        <f>ifood_data[[#This Row],[MntTotal]]-ifood_data[[#This Row],[MntRegularProds]]</f>
        <v>224</v>
      </c>
      <c r="AQ268">
        <v>0</v>
      </c>
      <c r="AR268">
        <f>IF(SUM(ifood_data[[#This Row],[Kidhome]:[Teenhome]])&gt;0,1,0)</f>
        <v>0</v>
      </c>
      <c r="AS268" t="str">
        <f>IF(SUM(ifood_data[[#This Row],[Kidhome]:[Teenhome]])&gt;0,"Has Family","No Family")</f>
        <v>No Family</v>
      </c>
      <c r="AT268" t="str">
        <f>IF(ifood_data[[#This Row],[marital_Married]]=1,"Married", (IF(ifood_data[[#This Row],[marital_Single]]=1,"Single",(IF(ifood_data[[#This Row],[marital_Divorced]]=1,"Divorced",(IF(ifood_data[[#This Row],[marital_Together]]=1,"Living Together",(IF(ifood_data[[#This Row],[marital_Widow]]=1,"Widow","Other")))))))))</f>
        <v>Married</v>
      </c>
      <c r="AU268" t="str">
        <f>IF(ifood_data[[#This Row],[education_Basic]]=1,"High School",(IF(ifood_data[[#This Row],[education_Graduation]]=1,"Undergraduate Degree",(IF(SUM(AM268,AL268,AI268)&gt;0,"Master's Degree or Higher","Other")))))</f>
        <v>Undergraduate Degree</v>
      </c>
      <c r="AV268" t="str">
        <f>IF(ifood_data[[#All],[Income]]&gt;75000,"75K+",(IF(ifood_data[[#All],[Income]]&gt;50000,"50K-75K",(IF(ifood_data[[#All],[Income]]&gt;35000,"35K-50K","&lt;35K")))))</f>
        <v>50K-75K</v>
      </c>
      <c r="AW268" t="str">
        <f>IF(ifood_data[[#All],[Age]]&gt;60,"60+",(IF(ifood_data[[#All],[Age]]&gt;50,"50-60",(IF(ifood_data[[#All],[Age]]&gt;40,"40-50",(IF(ifood_data[[#All],[Age]]&gt;30,"30-40","&lt;30")))))))</f>
        <v>30-40</v>
      </c>
      <c r="AX268">
        <f t="shared" si="16"/>
        <v>24</v>
      </c>
      <c r="AY268">
        <f t="shared" si="17"/>
        <v>4</v>
      </c>
      <c r="AZ268">
        <f t="shared" si="18"/>
        <v>6</v>
      </c>
      <c r="BA268">
        <f t="shared" si="19"/>
        <v>7</v>
      </c>
      <c r="BB268">
        <f>SUM(ifood_data[[#This Row],[Recency Score]:[Monetary Score]])</f>
        <v>17</v>
      </c>
      <c r="BC268">
        <f>(_xlfn.PERCENTRANK.INC(ifood_data[[#All],[RFM]],ifood_data[[#This Row],[RFM]],1))*10</f>
        <v>6</v>
      </c>
      <c r="BD268" t="str">
        <f>VLOOKUP(ifood_data[[#This Row],[RFM Score]],'RFM Analysis'!$A$3:$B$14,2,FALSE)</f>
        <v>Promising</v>
      </c>
      <c r="BE268">
        <f>'Regression Models'!$B$101+'Regression Models'!$B$102*ifood_data[[#This Row],[Income]]+'Regression Models'!$B$103*ifood_data[[#This Row],[Age]]+'Regression Models'!$B$104*ifood_data[[#This Row],[Family]]</f>
        <v>1225.6858410880818</v>
      </c>
      <c r="BF268" t="str">
        <f>IF(ifood_data[[#This Row],[AcceptedCmpOverall]]=1,"Campaign Respondent","Non-respondent")</f>
        <v>Non-respondent</v>
      </c>
    </row>
    <row r="269" spans="1:58" x14ac:dyDescent="0.35">
      <c r="A269">
        <v>269</v>
      </c>
      <c r="B269">
        <v>75278</v>
      </c>
      <c r="C269">
        <v>0</v>
      </c>
      <c r="D269">
        <v>0</v>
      </c>
      <c r="E269">
        <v>17</v>
      </c>
      <c r="F269">
        <v>304</v>
      </c>
      <c r="G269">
        <v>98</v>
      </c>
      <c r="H269">
        <v>230</v>
      </c>
      <c r="I269">
        <v>150</v>
      </c>
      <c r="J269">
        <v>74</v>
      </c>
      <c r="K269">
        <v>74</v>
      </c>
      <c r="L269">
        <v>1</v>
      </c>
      <c r="M269">
        <v>6</v>
      </c>
      <c r="N269">
        <v>3</v>
      </c>
      <c r="O269">
        <v>13</v>
      </c>
      <c r="P269">
        <v>3</v>
      </c>
      <c r="Q269">
        <v>0</v>
      </c>
      <c r="R269">
        <v>0</v>
      </c>
      <c r="S269">
        <v>0</v>
      </c>
      <c r="T269">
        <v>0</v>
      </c>
      <c r="U269">
        <v>0</v>
      </c>
      <c r="V269">
        <f>IF(SUM(ifood_data[[#This Row],[AcceptedCmp1]:[AcceptedCmp5]])&gt;0,1,0)</f>
        <v>0</v>
      </c>
      <c r="W269">
        <v>0</v>
      </c>
      <c r="X269">
        <v>3</v>
      </c>
      <c r="Y269">
        <v>11</v>
      </c>
      <c r="Z269">
        <v>0</v>
      </c>
      <c r="AA269">
        <v>68</v>
      </c>
      <c r="AB269">
        <v>2675</v>
      </c>
      <c r="AC269" s="28">
        <f>ifood_data[[#This Row],[Customer_Days]]/365</f>
        <v>7.3287671232876717</v>
      </c>
      <c r="AD269">
        <v>0</v>
      </c>
      <c r="AE269">
        <v>0</v>
      </c>
      <c r="AF269">
        <v>0</v>
      </c>
      <c r="AG269">
        <v>1</v>
      </c>
      <c r="AH269">
        <v>0</v>
      </c>
      <c r="AI269">
        <v>0</v>
      </c>
      <c r="AJ269">
        <v>0</v>
      </c>
      <c r="AK269">
        <v>1</v>
      </c>
      <c r="AL269">
        <v>0</v>
      </c>
      <c r="AM269">
        <v>0</v>
      </c>
      <c r="AN269">
        <v>856</v>
      </c>
      <c r="AO269">
        <v>782</v>
      </c>
      <c r="AP269">
        <f>ifood_data[[#This Row],[MntTotal]]-ifood_data[[#This Row],[MntRegularProds]]</f>
        <v>74</v>
      </c>
      <c r="AQ269">
        <v>0</v>
      </c>
      <c r="AR269">
        <f>IF(SUM(ifood_data[[#This Row],[Kidhome]:[Teenhome]])&gt;0,1,0)</f>
        <v>0</v>
      </c>
      <c r="AS269" t="str">
        <f>IF(SUM(ifood_data[[#This Row],[Kidhome]:[Teenhome]])&gt;0,"Has Family","No Family")</f>
        <v>No Family</v>
      </c>
      <c r="AT269" t="str">
        <f>IF(ifood_data[[#This Row],[marital_Married]]=1,"Married", (IF(ifood_data[[#This Row],[marital_Single]]=1,"Single",(IF(ifood_data[[#This Row],[marital_Divorced]]=1,"Divorced",(IF(ifood_data[[#This Row],[marital_Together]]=1,"Living Together",(IF(ifood_data[[#This Row],[marital_Widow]]=1,"Widow","Other")))))))))</f>
        <v>Living Together</v>
      </c>
      <c r="AU269" t="str">
        <f>IF(ifood_data[[#This Row],[education_Basic]]=1,"High School",(IF(ifood_data[[#This Row],[education_Graduation]]=1,"Undergraduate Degree",(IF(SUM(AM269,AL269,AI269)&gt;0,"Master's Degree or Higher","Other")))))</f>
        <v>Undergraduate Degree</v>
      </c>
      <c r="AV269" t="str">
        <f>IF(ifood_data[[#All],[Income]]&gt;75000,"75K+",(IF(ifood_data[[#All],[Income]]&gt;50000,"50K-75K",(IF(ifood_data[[#All],[Income]]&gt;35000,"35K-50K","&lt;35K")))))</f>
        <v>75K+</v>
      </c>
      <c r="AW269" t="str">
        <f>IF(ifood_data[[#All],[Age]]&gt;60,"60+",(IF(ifood_data[[#All],[Age]]&gt;50,"50-60",(IF(ifood_data[[#All],[Age]]&gt;40,"40-50",(IF(ifood_data[[#All],[Age]]&gt;30,"30-40","&lt;30")))))))</f>
        <v>60+</v>
      </c>
      <c r="AX269">
        <f t="shared" si="16"/>
        <v>26</v>
      </c>
      <c r="AY269">
        <f t="shared" si="17"/>
        <v>9</v>
      </c>
      <c r="AZ269">
        <f t="shared" si="18"/>
        <v>7</v>
      </c>
      <c r="BA269">
        <f t="shared" si="19"/>
        <v>7</v>
      </c>
      <c r="BB269">
        <f>SUM(ifood_data[[#This Row],[Recency Score]:[Monetary Score]])</f>
        <v>23</v>
      </c>
      <c r="BC269">
        <f>(_xlfn.PERCENTRANK.INC(ifood_data[[#All],[RFM]],ifood_data[[#This Row],[RFM]],1))*10</f>
        <v>8</v>
      </c>
      <c r="BD269" t="str">
        <f>VLOOKUP(ifood_data[[#This Row],[RFM Score]],'RFM Analysis'!$A$3:$B$14,2,FALSE)</f>
        <v>Loyal Customer</v>
      </c>
      <c r="BE269">
        <f>'Regression Models'!$B$101+'Regression Models'!$B$102*ifood_data[[#This Row],[Income]]+'Regression Models'!$B$103*ifood_data[[#This Row],[Age]]+'Regression Models'!$B$104*ifood_data[[#This Row],[Family]]</f>
        <v>1222.1325746971431</v>
      </c>
      <c r="BF269" t="str">
        <f>IF(ifood_data[[#This Row],[AcceptedCmpOverall]]=1,"Campaign Respondent","Non-respondent")</f>
        <v>Non-respondent</v>
      </c>
    </row>
    <row r="270" spans="1:58" x14ac:dyDescent="0.35">
      <c r="A270">
        <v>770</v>
      </c>
      <c r="B270">
        <v>73170</v>
      </c>
      <c r="C270">
        <v>0</v>
      </c>
      <c r="D270">
        <v>0</v>
      </c>
      <c r="E270">
        <v>1</v>
      </c>
      <c r="F270">
        <v>184</v>
      </c>
      <c r="G270">
        <v>174</v>
      </c>
      <c r="H270">
        <v>256</v>
      </c>
      <c r="I270">
        <v>50</v>
      </c>
      <c r="J270">
        <v>30</v>
      </c>
      <c r="K270">
        <v>32</v>
      </c>
      <c r="L270">
        <v>1</v>
      </c>
      <c r="M270">
        <v>5</v>
      </c>
      <c r="N270">
        <v>4</v>
      </c>
      <c r="O270">
        <v>6</v>
      </c>
      <c r="P270">
        <v>2</v>
      </c>
      <c r="Q270">
        <v>0</v>
      </c>
      <c r="R270">
        <v>0</v>
      </c>
      <c r="S270">
        <v>0</v>
      </c>
      <c r="T270">
        <v>0</v>
      </c>
      <c r="U270">
        <v>0</v>
      </c>
      <c r="V270">
        <f>IF(SUM(ifood_data[[#This Row],[AcceptedCmp1]:[AcceptedCmp5]])&gt;0,1,0)</f>
        <v>0</v>
      </c>
      <c r="W270">
        <v>0</v>
      </c>
      <c r="X270">
        <v>3</v>
      </c>
      <c r="Y270">
        <v>11</v>
      </c>
      <c r="Z270">
        <v>0</v>
      </c>
      <c r="AA270">
        <v>45</v>
      </c>
      <c r="AB270">
        <v>2188</v>
      </c>
      <c r="AC270" s="28">
        <f>ifood_data[[#This Row],[Customer_Days]]/365</f>
        <v>5.9945205479452053</v>
      </c>
      <c r="AD270">
        <v>0</v>
      </c>
      <c r="AE270">
        <v>0</v>
      </c>
      <c r="AF270">
        <v>1</v>
      </c>
      <c r="AG270">
        <v>0</v>
      </c>
      <c r="AH270">
        <v>0</v>
      </c>
      <c r="AI270">
        <v>0</v>
      </c>
      <c r="AJ270">
        <v>0</v>
      </c>
      <c r="AK270">
        <v>1</v>
      </c>
      <c r="AL270">
        <v>0</v>
      </c>
      <c r="AM270">
        <v>0</v>
      </c>
      <c r="AN270">
        <v>694</v>
      </c>
      <c r="AO270">
        <v>662</v>
      </c>
      <c r="AP270">
        <f>ifood_data[[#This Row],[MntTotal]]-ifood_data[[#This Row],[MntRegularProds]]</f>
        <v>32</v>
      </c>
      <c r="AQ270">
        <v>0</v>
      </c>
      <c r="AR270">
        <f>IF(SUM(ifood_data[[#This Row],[Kidhome]:[Teenhome]])&gt;0,1,0)</f>
        <v>0</v>
      </c>
      <c r="AS270" t="str">
        <f>IF(SUM(ifood_data[[#This Row],[Kidhome]:[Teenhome]])&gt;0,"Has Family","No Family")</f>
        <v>No Family</v>
      </c>
      <c r="AT270" t="str">
        <f>IF(ifood_data[[#This Row],[marital_Married]]=1,"Married", (IF(ifood_data[[#This Row],[marital_Single]]=1,"Single",(IF(ifood_data[[#This Row],[marital_Divorced]]=1,"Divorced",(IF(ifood_data[[#This Row],[marital_Together]]=1,"Living Together",(IF(ifood_data[[#This Row],[marital_Widow]]=1,"Widow","Other")))))))))</f>
        <v>Single</v>
      </c>
      <c r="AU270" t="str">
        <f>IF(ifood_data[[#This Row],[education_Basic]]=1,"High School",(IF(ifood_data[[#This Row],[education_Graduation]]=1,"Undergraduate Degree",(IF(SUM(AM270,AL270,AI270)&gt;0,"Master's Degree or Higher","Other")))))</f>
        <v>Undergraduate Degree</v>
      </c>
      <c r="AV270" t="str">
        <f>IF(ifood_data[[#All],[Income]]&gt;75000,"75K+",(IF(ifood_data[[#All],[Income]]&gt;50000,"50K-75K",(IF(ifood_data[[#All],[Income]]&gt;35000,"35K-50K","&lt;35K")))))</f>
        <v>50K-75K</v>
      </c>
      <c r="AW270" t="str">
        <f>IF(ifood_data[[#All],[Age]]&gt;60,"60+",(IF(ifood_data[[#All],[Age]]&gt;50,"50-60",(IF(ifood_data[[#All],[Age]]&gt;40,"40-50",(IF(ifood_data[[#All],[Age]]&gt;30,"30-40","&lt;30")))))))</f>
        <v>40-50</v>
      </c>
      <c r="AX270">
        <f t="shared" si="16"/>
        <v>18</v>
      </c>
      <c r="AY270">
        <f t="shared" si="17"/>
        <v>10</v>
      </c>
      <c r="AZ270">
        <f t="shared" si="18"/>
        <v>4</v>
      </c>
      <c r="BA270">
        <f t="shared" si="19"/>
        <v>6</v>
      </c>
      <c r="BB270">
        <f>SUM(ifood_data[[#This Row],[Recency Score]:[Monetary Score]])</f>
        <v>20</v>
      </c>
      <c r="BC270">
        <f>(_xlfn.PERCENTRANK.INC(ifood_data[[#All],[RFM]],ifood_data[[#This Row],[RFM]],1))*10</f>
        <v>7</v>
      </c>
      <c r="BD270" t="str">
        <f>VLOOKUP(ifood_data[[#This Row],[RFM Score]],'RFM Analysis'!$A$3:$B$14,2,FALSE)</f>
        <v>Loyal Customer</v>
      </c>
      <c r="BE270">
        <f>'Regression Models'!$B$101+'Regression Models'!$B$102*ifood_data[[#This Row],[Income]]+'Regression Models'!$B$103*ifood_data[[#This Row],[Age]]+'Regression Models'!$B$104*ifood_data[[#This Row],[Family]]</f>
        <v>1221.3911502643728</v>
      </c>
      <c r="BF270" t="str">
        <f>IF(ifood_data[[#This Row],[AcceptedCmpOverall]]=1,"Campaign Respondent","Non-respondent")</f>
        <v>Non-respondent</v>
      </c>
    </row>
    <row r="271" spans="1:58" x14ac:dyDescent="0.35">
      <c r="A271">
        <v>722</v>
      </c>
      <c r="B271">
        <v>75127</v>
      </c>
      <c r="C271">
        <v>0</v>
      </c>
      <c r="D271">
        <v>0</v>
      </c>
      <c r="E271">
        <v>92</v>
      </c>
      <c r="F271">
        <v>203</v>
      </c>
      <c r="G271">
        <v>35</v>
      </c>
      <c r="H271">
        <v>305</v>
      </c>
      <c r="I271">
        <v>46</v>
      </c>
      <c r="J271">
        <v>17</v>
      </c>
      <c r="K271">
        <v>227</v>
      </c>
      <c r="L271">
        <v>1</v>
      </c>
      <c r="M271">
        <v>2</v>
      </c>
      <c r="N271">
        <v>11</v>
      </c>
      <c r="O271">
        <v>5</v>
      </c>
      <c r="P271">
        <v>1</v>
      </c>
      <c r="Q271">
        <v>0</v>
      </c>
      <c r="R271">
        <v>0</v>
      </c>
      <c r="S271">
        <v>0</v>
      </c>
      <c r="T271">
        <v>0</v>
      </c>
      <c r="U271">
        <v>0</v>
      </c>
      <c r="V271">
        <f>IF(SUM(ifood_data[[#This Row],[AcceptedCmp1]:[AcceptedCmp5]])&gt;0,1,0)</f>
        <v>0</v>
      </c>
      <c r="W271">
        <v>0</v>
      </c>
      <c r="X271">
        <v>3</v>
      </c>
      <c r="Y271">
        <v>11</v>
      </c>
      <c r="Z271">
        <v>0</v>
      </c>
      <c r="AA271">
        <v>68</v>
      </c>
      <c r="AB271">
        <v>2197</v>
      </c>
      <c r="AC271" s="28">
        <f>ifood_data[[#This Row],[Customer_Days]]/365</f>
        <v>6.0191780821917806</v>
      </c>
      <c r="AD271">
        <v>0</v>
      </c>
      <c r="AE271">
        <v>0</v>
      </c>
      <c r="AF271">
        <v>1</v>
      </c>
      <c r="AG271">
        <v>0</v>
      </c>
      <c r="AH271">
        <v>0</v>
      </c>
      <c r="AI271">
        <v>0</v>
      </c>
      <c r="AJ271">
        <v>0</v>
      </c>
      <c r="AK271">
        <v>1</v>
      </c>
      <c r="AL271">
        <v>0</v>
      </c>
      <c r="AM271">
        <v>0</v>
      </c>
      <c r="AN271">
        <v>606</v>
      </c>
      <c r="AO271">
        <v>379</v>
      </c>
      <c r="AP271">
        <f>ifood_data[[#This Row],[MntTotal]]-ifood_data[[#This Row],[MntRegularProds]]</f>
        <v>227</v>
      </c>
      <c r="AQ271">
        <v>0</v>
      </c>
      <c r="AR271">
        <f>IF(SUM(ifood_data[[#This Row],[Kidhome]:[Teenhome]])&gt;0,1,0)</f>
        <v>0</v>
      </c>
      <c r="AS271" t="str">
        <f>IF(SUM(ifood_data[[#This Row],[Kidhome]:[Teenhome]])&gt;0,"Has Family","No Family")</f>
        <v>No Family</v>
      </c>
      <c r="AT271" t="str">
        <f>IF(ifood_data[[#This Row],[marital_Married]]=1,"Married", (IF(ifood_data[[#This Row],[marital_Single]]=1,"Single",(IF(ifood_data[[#This Row],[marital_Divorced]]=1,"Divorced",(IF(ifood_data[[#This Row],[marital_Together]]=1,"Living Together",(IF(ifood_data[[#This Row],[marital_Widow]]=1,"Widow","Other")))))))))</f>
        <v>Single</v>
      </c>
      <c r="AU271" t="str">
        <f>IF(ifood_data[[#This Row],[education_Basic]]=1,"High School",(IF(ifood_data[[#This Row],[education_Graduation]]=1,"Undergraduate Degree",(IF(SUM(AM271,AL271,AI271)&gt;0,"Master's Degree or Higher","Other")))))</f>
        <v>Undergraduate Degree</v>
      </c>
      <c r="AV271" t="str">
        <f>IF(ifood_data[[#All],[Income]]&gt;75000,"75K+",(IF(ifood_data[[#All],[Income]]&gt;50000,"50K-75K",(IF(ifood_data[[#All],[Income]]&gt;35000,"35K-50K","&lt;35K")))))</f>
        <v>75K+</v>
      </c>
      <c r="AW271" t="str">
        <f>IF(ifood_data[[#All],[Age]]&gt;60,"60+",(IF(ifood_data[[#All],[Age]]&gt;50,"50-60",(IF(ifood_data[[#All],[Age]]&gt;40,"40-50",(IF(ifood_data[[#All],[Age]]&gt;30,"30-40","&lt;30")))))))</f>
        <v>60+</v>
      </c>
      <c r="AX271">
        <f t="shared" si="16"/>
        <v>20</v>
      </c>
      <c r="AY271">
        <f t="shared" si="17"/>
        <v>0.99999999999999978</v>
      </c>
      <c r="AZ271">
        <f t="shared" si="18"/>
        <v>4</v>
      </c>
      <c r="BA271">
        <f t="shared" si="19"/>
        <v>6</v>
      </c>
      <c r="BB271">
        <f>SUM(ifood_data[[#This Row],[Recency Score]:[Monetary Score]])</f>
        <v>11</v>
      </c>
      <c r="BC271">
        <f>(_xlfn.PERCENTRANK.INC(ifood_data[[#All],[RFM]],ifood_data[[#This Row],[RFM]],1))*10</f>
        <v>2</v>
      </c>
      <c r="BD271" t="str">
        <f>VLOOKUP(ifood_data[[#This Row],[RFM Score]],'RFM Analysis'!$A$3:$B$14,2,FALSE)</f>
        <v>At Risk</v>
      </c>
      <c r="BE271">
        <f>'Regression Models'!$B$101+'Regression Models'!$B$102*ifood_data[[#This Row],[Income]]+'Regression Models'!$B$103*ifood_data[[#This Row],[Age]]+'Regression Models'!$B$104*ifood_data[[#This Row],[Family]]</f>
        <v>1219.053870707414</v>
      </c>
      <c r="BF271" t="str">
        <f>IF(ifood_data[[#This Row],[AcceptedCmpOverall]]=1,"Campaign Respondent","Non-respondent")</f>
        <v>Non-respondent</v>
      </c>
    </row>
    <row r="272" spans="1:58" x14ac:dyDescent="0.35">
      <c r="A272">
        <v>393</v>
      </c>
      <c r="B272">
        <v>75865</v>
      </c>
      <c r="C272">
        <v>0</v>
      </c>
      <c r="D272">
        <v>0</v>
      </c>
      <c r="E272">
        <v>73</v>
      </c>
      <c r="F272">
        <v>483</v>
      </c>
      <c r="G272">
        <v>0</v>
      </c>
      <c r="H272">
        <v>591</v>
      </c>
      <c r="I272">
        <v>156</v>
      </c>
      <c r="J272">
        <v>0</v>
      </c>
      <c r="K272">
        <v>12</v>
      </c>
      <c r="L272">
        <v>1</v>
      </c>
      <c r="M272">
        <v>3</v>
      </c>
      <c r="N272">
        <v>5</v>
      </c>
      <c r="O272">
        <v>10</v>
      </c>
      <c r="P272">
        <v>1</v>
      </c>
      <c r="Q272">
        <v>0</v>
      </c>
      <c r="R272">
        <v>0</v>
      </c>
      <c r="S272">
        <v>0</v>
      </c>
      <c r="T272">
        <v>0</v>
      </c>
      <c r="U272">
        <v>0</v>
      </c>
      <c r="V272">
        <f>IF(SUM(ifood_data[[#This Row],[AcceptedCmp1]:[AcceptedCmp5]])&gt;0,1,0)</f>
        <v>0</v>
      </c>
      <c r="W272">
        <v>0</v>
      </c>
      <c r="X272">
        <v>3</v>
      </c>
      <c r="Y272">
        <v>11</v>
      </c>
      <c r="Z272">
        <v>0</v>
      </c>
      <c r="AA272">
        <v>77</v>
      </c>
      <c r="AB272">
        <v>2249</v>
      </c>
      <c r="AC272" s="28">
        <f>ifood_data[[#This Row],[Customer_Days]]/365</f>
        <v>6.161643835616438</v>
      </c>
      <c r="AD272">
        <v>0</v>
      </c>
      <c r="AE272">
        <v>1</v>
      </c>
      <c r="AF272">
        <v>0</v>
      </c>
      <c r="AG272">
        <v>0</v>
      </c>
      <c r="AH272">
        <v>0</v>
      </c>
      <c r="AI272">
        <v>0</v>
      </c>
      <c r="AJ272">
        <v>0</v>
      </c>
      <c r="AK272">
        <v>0</v>
      </c>
      <c r="AL272">
        <v>0</v>
      </c>
      <c r="AM272">
        <v>1</v>
      </c>
      <c r="AN272">
        <v>1230</v>
      </c>
      <c r="AO272">
        <v>1218</v>
      </c>
      <c r="AP272">
        <f>ifood_data[[#This Row],[MntTotal]]-ifood_data[[#This Row],[MntRegularProds]]</f>
        <v>12</v>
      </c>
      <c r="AQ272">
        <v>0</v>
      </c>
      <c r="AR272">
        <f>IF(SUM(ifood_data[[#This Row],[Kidhome]:[Teenhome]])&gt;0,1,0)</f>
        <v>0</v>
      </c>
      <c r="AS272" t="str">
        <f>IF(SUM(ifood_data[[#This Row],[Kidhome]:[Teenhome]])&gt;0,"Has Family","No Family")</f>
        <v>No Family</v>
      </c>
      <c r="AT272" t="str">
        <f>IF(ifood_data[[#This Row],[marital_Married]]=1,"Married", (IF(ifood_data[[#This Row],[marital_Single]]=1,"Single",(IF(ifood_data[[#This Row],[marital_Divorced]]=1,"Divorced",(IF(ifood_data[[#This Row],[marital_Together]]=1,"Living Together",(IF(ifood_data[[#This Row],[marital_Widow]]=1,"Widow","Other")))))))))</f>
        <v>Married</v>
      </c>
      <c r="AU272" t="str">
        <f>IF(ifood_data[[#This Row],[education_Basic]]=1,"High School",(IF(ifood_data[[#This Row],[education_Graduation]]=1,"Undergraduate Degree",(IF(SUM(AM272,AL272,AI272)&gt;0,"Master's Degree or Higher","Other")))))</f>
        <v>Master's Degree or Higher</v>
      </c>
      <c r="AV272" t="str">
        <f>IF(ifood_data[[#All],[Income]]&gt;75000,"75K+",(IF(ifood_data[[#All],[Income]]&gt;50000,"50K-75K",(IF(ifood_data[[#All],[Income]]&gt;35000,"35K-50K","&lt;35K")))))</f>
        <v>75K+</v>
      </c>
      <c r="AW272" t="str">
        <f>IF(ifood_data[[#All],[Age]]&gt;60,"60+",(IF(ifood_data[[#All],[Age]]&gt;50,"50-60",(IF(ifood_data[[#All],[Age]]&gt;40,"40-50",(IF(ifood_data[[#All],[Age]]&gt;30,"30-40","&lt;30")))))))</f>
        <v>60+</v>
      </c>
      <c r="AX272">
        <f t="shared" si="16"/>
        <v>20</v>
      </c>
      <c r="AY272">
        <f t="shared" si="17"/>
        <v>3.0000000000000004</v>
      </c>
      <c r="AZ272">
        <f t="shared" si="18"/>
        <v>4</v>
      </c>
      <c r="BA272">
        <f t="shared" si="19"/>
        <v>8</v>
      </c>
      <c r="BB272">
        <f>SUM(ifood_data[[#This Row],[Recency Score]:[Monetary Score]])</f>
        <v>15</v>
      </c>
      <c r="BC272">
        <f>(_xlfn.PERCENTRANK.INC(ifood_data[[#All],[RFM]],ifood_data[[#This Row],[RFM]],1))*10</f>
        <v>4</v>
      </c>
      <c r="BD272" t="str">
        <f>VLOOKUP(ifood_data[[#This Row],[RFM Score]],'RFM Analysis'!$A$3:$B$14,2,FALSE)</f>
        <v>At Risk</v>
      </c>
      <c r="BE272">
        <f>'Regression Models'!$B$101+'Regression Models'!$B$102*ifood_data[[#This Row],[Income]]+'Regression Models'!$B$103*ifood_data[[#This Row],[Age]]+'Regression Models'!$B$104*ifood_data[[#This Row],[Family]]</f>
        <v>1217.5728298875631</v>
      </c>
      <c r="BF272" t="str">
        <f>IF(ifood_data[[#This Row],[AcceptedCmpOverall]]=1,"Campaign Respondent","Non-respondent")</f>
        <v>Non-respondent</v>
      </c>
    </row>
    <row r="273" spans="1:58" x14ac:dyDescent="0.35">
      <c r="A273">
        <v>706</v>
      </c>
      <c r="B273">
        <v>71163</v>
      </c>
      <c r="C273">
        <v>0</v>
      </c>
      <c r="D273">
        <v>0</v>
      </c>
      <c r="E273">
        <v>30</v>
      </c>
      <c r="F273">
        <v>283</v>
      </c>
      <c r="G273">
        <v>17</v>
      </c>
      <c r="H273">
        <v>372</v>
      </c>
      <c r="I273">
        <v>138</v>
      </c>
      <c r="J273">
        <v>106</v>
      </c>
      <c r="K273">
        <v>44</v>
      </c>
      <c r="L273">
        <v>1</v>
      </c>
      <c r="M273">
        <v>3</v>
      </c>
      <c r="N273">
        <v>8</v>
      </c>
      <c r="O273">
        <v>12</v>
      </c>
      <c r="P273">
        <v>1</v>
      </c>
      <c r="Q273">
        <v>0</v>
      </c>
      <c r="R273">
        <v>0</v>
      </c>
      <c r="S273">
        <v>0</v>
      </c>
      <c r="T273">
        <v>0</v>
      </c>
      <c r="U273">
        <v>0</v>
      </c>
      <c r="V273">
        <f>IF(SUM(ifood_data[[#This Row],[AcceptedCmp1]:[AcceptedCmp5]])&gt;0,1,0)</f>
        <v>0</v>
      </c>
      <c r="W273">
        <v>0</v>
      </c>
      <c r="X273">
        <v>3</v>
      </c>
      <c r="Y273">
        <v>11</v>
      </c>
      <c r="Z273">
        <v>0</v>
      </c>
      <c r="AA273">
        <v>25</v>
      </c>
      <c r="AB273">
        <v>2271</v>
      </c>
      <c r="AC273" s="28">
        <f>ifood_data[[#This Row],[Customer_Days]]/365</f>
        <v>6.2219178082191782</v>
      </c>
      <c r="AD273">
        <v>0</v>
      </c>
      <c r="AE273">
        <v>0</v>
      </c>
      <c r="AF273">
        <v>1</v>
      </c>
      <c r="AG273">
        <v>0</v>
      </c>
      <c r="AH273">
        <v>0</v>
      </c>
      <c r="AI273">
        <v>0</v>
      </c>
      <c r="AJ273">
        <v>0</v>
      </c>
      <c r="AK273">
        <v>1</v>
      </c>
      <c r="AL273">
        <v>0</v>
      </c>
      <c r="AM273">
        <v>0</v>
      </c>
      <c r="AN273">
        <v>916</v>
      </c>
      <c r="AO273">
        <v>872</v>
      </c>
      <c r="AP273">
        <f>ifood_data[[#This Row],[MntTotal]]-ifood_data[[#This Row],[MntRegularProds]]</f>
        <v>44</v>
      </c>
      <c r="AQ273">
        <v>0</v>
      </c>
      <c r="AR273">
        <f>IF(SUM(ifood_data[[#This Row],[Kidhome]:[Teenhome]])&gt;0,1,0)</f>
        <v>0</v>
      </c>
      <c r="AS273" t="str">
        <f>IF(SUM(ifood_data[[#This Row],[Kidhome]:[Teenhome]])&gt;0,"Has Family","No Family")</f>
        <v>No Family</v>
      </c>
      <c r="AT273" t="str">
        <f>IF(ifood_data[[#This Row],[marital_Married]]=1,"Married", (IF(ifood_data[[#This Row],[marital_Single]]=1,"Single",(IF(ifood_data[[#This Row],[marital_Divorced]]=1,"Divorced",(IF(ifood_data[[#This Row],[marital_Together]]=1,"Living Together",(IF(ifood_data[[#This Row],[marital_Widow]]=1,"Widow","Other")))))))))</f>
        <v>Single</v>
      </c>
      <c r="AU273" t="str">
        <f>IF(ifood_data[[#This Row],[education_Basic]]=1,"High School",(IF(ifood_data[[#This Row],[education_Graduation]]=1,"Undergraduate Degree",(IF(SUM(AM273,AL273,AI273)&gt;0,"Master's Degree or Higher","Other")))))</f>
        <v>Undergraduate Degree</v>
      </c>
      <c r="AV273" t="str">
        <f>IF(ifood_data[[#All],[Income]]&gt;75000,"75K+",(IF(ifood_data[[#All],[Income]]&gt;50000,"50K-75K",(IF(ifood_data[[#All],[Income]]&gt;35000,"35K-50K","&lt;35K")))))</f>
        <v>50K-75K</v>
      </c>
      <c r="AW273" t="str">
        <f>IF(ifood_data[[#All],[Age]]&gt;60,"60+",(IF(ifood_data[[#All],[Age]]&gt;50,"50-60",(IF(ifood_data[[#All],[Age]]&gt;40,"40-50",(IF(ifood_data[[#All],[Age]]&gt;30,"30-40","&lt;30")))))))</f>
        <v>&lt;30</v>
      </c>
      <c r="AX273">
        <f t="shared" si="16"/>
        <v>25</v>
      </c>
      <c r="AY273">
        <f t="shared" si="17"/>
        <v>7</v>
      </c>
      <c r="AZ273">
        <f t="shared" si="18"/>
        <v>7</v>
      </c>
      <c r="BA273">
        <f t="shared" si="19"/>
        <v>7</v>
      </c>
      <c r="BB273">
        <f>SUM(ifood_data[[#This Row],[Recency Score]:[Monetary Score]])</f>
        <v>21</v>
      </c>
      <c r="BC273">
        <f>(_xlfn.PERCENTRANK.INC(ifood_data[[#All],[RFM]],ifood_data[[#This Row],[RFM]],1))*10</f>
        <v>8</v>
      </c>
      <c r="BD273" t="str">
        <f>VLOOKUP(ifood_data[[#This Row],[RFM Score]],'RFM Analysis'!$A$3:$B$14,2,FALSE)</f>
        <v>Loyal Customer</v>
      </c>
      <c r="BE273">
        <f>'Regression Models'!$B$101+'Regression Models'!$B$102*ifood_data[[#This Row],[Income]]+'Regression Models'!$B$103*ifood_data[[#This Row],[Age]]+'Regression Models'!$B$104*ifood_data[[#This Row],[Family]]</f>
        <v>1217.1996741774528</v>
      </c>
      <c r="BF273" t="str">
        <f>IF(ifood_data[[#This Row],[AcceptedCmpOverall]]=1,"Campaign Respondent","Non-respondent")</f>
        <v>Non-respondent</v>
      </c>
    </row>
    <row r="274" spans="1:58" x14ac:dyDescent="0.35">
      <c r="A274">
        <v>122</v>
      </c>
      <c r="B274">
        <v>73448</v>
      </c>
      <c r="C274">
        <v>0</v>
      </c>
      <c r="D274">
        <v>0</v>
      </c>
      <c r="E274">
        <v>10</v>
      </c>
      <c r="F274">
        <v>236</v>
      </c>
      <c r="G274">
        <v>106</v>
      </c>
      <c r="H274">
        <v>189</v>
      </c>
      <c r="I274">
        <v>23</v>
      </c>
      <c r="J274">
        <v>41</v>
      </c>
      <c r="K274">
        <v>130</v>
      </c>
      <c r="L274">
        <v>1</v>
      </c>
      <c r="M274">
        <v>7</v>
      </c>
      <c r="N274">
        <v>2</v>
      </c>
      <c r="O274">
        <v>9</v>
      </c>
      <c r="P274">
        <v>4</v>
      </c>
      <c r="Q274">
        <v>0</v>
      </c>
      <c r="R274">
        <v>0</v>
      </c>
      <c r="S274">
        <v>0</v>
      </c>
      <c r="T274">
        <v>0</v>
      </c>
      <c r="U274">
        <v>0</v>
      </c>
      <c r="V274">
        <f>IF(SUM(ifood_data[[#This Row],[AcceptedCmp1]:[AcceptedCmp5]])&gt;0,1,0)</f>
        <v>0</v>
      </c>
      <c r="W274">
        <v>0</v>
      </c>
      <c r="X274">
        <v>3</v>
      </c>
      <c r="Y274">
        <v>11</v>
      </c>
      <c r="Z274">
        <v>0</v>
      </c>
      <c r="AA274">
        <v>51</v>
      </c>
      <c r="AB274">
        <v>2298</v>
      </c>
      <c r="AC274" s="28">
        <f>ifood_data[[#This Row],[Customer_Days]]/365</f>
        <v>6.2958904109589042</v>
      </c>
      <c r="AD274">
        <v>0</v>
      </c>
      <c r="AE274">
        <v>1</v>
      </c>
      <c r="AF274">
        <v>0</v>
      </c>
      <c r="AG274">
        <v>0</v>
      </c>
      <c r="AH274">
        <v>0</v>
      </c>
      <c r="AI274">
        <v>0</v>
      </c>
      <c r="AJ274">
        <v>0</v>
      </c>
      <c r="AK274">
        <v>1</v>
      </c>
      <c r="AL274">
        <v>0</v>
      </c>
      <c r="AM274">
        <v>0</v>
      </c>
      <c r="AN274">
        <v>595</v>
      </c>
      <c r="AO274">
        <v>465</v>
      </c>
      <c r="AP274">
        <f>ifood_data[[#This Row],[MntTotal]]-ifood_data[[#This Row],[MntRegularProds]]</f>
        <v>130</v>
      </c>
      <c r="AQ274">
        <v>0</v>
      </c>
      <c r="AR274">
        <f>IF(SUM(ifood_data[[#This Row],[Kidhome]:[Teenhome]])&gt;0,1,0)</f>
        <v>0</v>
      </c>
      <c r="AS274" t="str">
        <f>IF(SUM(ifood_data[[#This Row],[Kidhome]:[Teenhome]])&gt;0,"Has Family","No Family")</f>
        <v>No Family</v>
      </c>
      <c r="AT274" t="str">
        <f>IF(ifood_data[[#This Row],[marital_Married]]=1,"Married", (IF(ifood_data[[#This Row],[marital_Single]]=1,"Single",(IF(ifood_data[[#This Row],[marital_Divorced]]=1,"Divorced",(IF(ifood_data[[#This Row],[marital_Together]]=1,"Living Together",(IF(ifood_data[[#This Row],[marital_Widow]]=1,"Widow","Other")))))))))</f>
        <v>Married</v>
      </c>
      <c r="AU274" t="str">
        <f>IF(ifood_data[[#This Row],[education_Basic]]=1,"High School",(IF(ifood_data[[#This Row],[education_Graduation]]=1,"Undergraduate Degree",(IF(SUM(AM274,AL274,AI274)&gt;0,"Master's Degree or Higher","Other")))))</f>
        <v>Undergraduate Degree</v>
      </c>
      <c r="AV274" t="str">
        <f>IF(ifood_data[[#All],[Income]]&gt;75000,"75K+",(IF(ifood_data[[#All],[Income]]&gt;50000,"50K-75K",(IF(ifood_data[[#All],[Income]]&gt;35000,"35K-50K","&lt;35K")))))</f>
        <v>50K-75K</v>
      </c>
      <c r="AW274" t="str">
        <f>IF(ifood_data[[#All],[Age]]&gt;60,"60+",(IF(ifood_data[[#All],[Age]]&gt;50,"50-60",(IF(ifood_data[[#All],[Age]]&gt;40,"40-50",(IF(ifood_data[[#All],[Age]]&gt;30,"30-40","&lt;30")))))))</f>
        <v>50-60</v>
      </c>
      <c r="AX274">
        <f t="shared" si="16"/>
        <v>23</v>
      </c>
      <c r="AY274">
        <f t="shared" si="17"/>
        <v>9</v>
      </c>
      <c r="AZ274">
        <f t="shared" si="18"/>
        <v>6</v>
      </c>
      <c r="BA274">
        <f t="shared" si="19"/>
        <v>6</v>
      </c>
      <c r="BB274">
        <f>SUM(ifood_data[[#This Row],[Recency Score]:[Monetary Score]])</f>
        <v>21</v>
      </c>
      <c r="BC274">
        <f>(_xlfn.PERCENTRANK.INC(ifood_data[[#All],[RFM]],ifood_data[[#This Row],[RFM]],1))*10</f>
        <v>8</v>
      </c>
      <c r="BD274" t="str">
        <f>VLOOKUP(ifood_data[[#This Row],[RFM Score]],'RFM Analysis'!$A$3:$B$14,2,FALSE)</f>
        <v>Loyal Customer</v>
      </c>
      <c r="BE274">
        <f>'Regression Models'!$B$101+'Regression Models'!$B$102*ifood_data[[#This Row],[Income]]+'Regression Models'!$B$103*ifood_data[[#This Row],[Age]]+'Regression Models'!$B$104*ifood_data[[#This Row],[Family]]</f>
        <v>1216.0405933350107</v>
      </c>
      <c r="BF274" t="str">
        <f>IF(ifood_data[[#This Row],[AcceptedCmpOverall]]=1,"Campaign Respondent","Non-respondent")</f>
        <v>Non-respondent</v>
      </c>
    </row>
    <row r="275" spans="1:58" x14ac:dyDescent="0.35">
      <c r="A275">
        <v>225</v>
      </c>
      <c r="B275">
        <v>73455</v>
      </c>
      <c r="C275">
        <v>0</v>
      </c>
      <c r="D275">
        <v>0</v>
      </c>
      <c r="E275">
        <v>98</v>
      </c>
      <c r="F275">
        <v>901</v>
      </c>
      <c r="G275">
        <v>61</v>
      </c>
      <c r="H275">
        <v>757</v>
      </c>
      <c r="I275">
        <v>186</v>
      </c>
      <c r="J275">
        <v>163</v>
      </c>
      <c r="K275">
        <v>20</v>
      </c>
      <c r="L275">
        <v>1</v>
      </c>
      <c r="M275">
        <v>6</v>
      </c>
      <c r="N275">
        <v>5</v>
      </c>
      <c r="O275">
        <v>10</v>
      </c>
      <c r="P275">
        <v>3</v>
      </c>
      <c r="Q275">
        <v>0</v>
      </c>
      <c r="R275">
        <v>0</v>
      </c>
      <c r="S275">
        <v>0</v>
      </c>
      <c r="T275">
        <v>1</v>
      </c>
      <c r="U275">
        <v>0</v>
      </c>
      <c r="V275">
        <f>IF(SUM(ifood_data[[#This Row],[AcceptedCmp1]:[AcceptedCmp5]])&gt;0,1,0)</f>
        <v>1</v>
      </c>
      <c r="W275">
        <v>0</v>
      </c>
      <c r="X275">
        <v>3</v>
      </c>
      <c r="Y275">
        <v>11</v>
      </c>
      <c r="Z275">
        <v>0</v>
      </c>
      <c r="AA275">
        <v>52</v>
      </c>
      <c r="AB275">
        <v>2403</v>
      </c>
      <c r="AC275" s="28">
        <f>ifood_data[[#This Row],[Customer_Days]]/365</f>
        <v>6.5835616438356164</v>
      </c>
      <c r="AD275">
        <v>0</v>
      </c>
      <c r="AE275">
        <v>0</v>
      </c>
      <c r="AF275">
        <v>0</v>
      </c>
      <c r="AG275">
        <v>0</v>
      </c>
      <c r="AH275">
        <v>1</v>
      </c>
      <c r="AI275">
        <v>0</v>
      </c>
      <c r="AJ275">
        <v>0</v>
      </c>
      <c r="AK275">
        <v>1</v>
      </c>
      <c r="AL275">
        <v>0</v>
      </c>
      <c r="AM275">
        <v>0</v>
      </c>
      <c r="AN275">
        <v>2068</v>
      </c>
      <c r="AO275">
        <v>2048</v>
      </c>
      <c r="AP275">
        <f>ifood_data[[#This Row],[MntTotal]]-ifood_data[[#This Row],[MntRegularProds]]</f>
        <v>20</v>
      </c>
      <c r="AQ275">
        <v>1</v>
      </c>
      <c r="AR275">
        <f>IF(SUM(ifood_data[[#This Row],[Kidhome]:[Teenhome]])&gt;0,1,0)</f>
        <v>0</v>
      </c>
      <c r="AS275" t="str">
        <f>IF(SUM(ifood_data[[#This Row],[Kidhome]:[Teenhome]])&gt;0,"Has Family","No Family")</f>
        <v>No Family</v>
      </c>
      <c r="AT275" t="str">
        <f>IF(ifood_data[[#This Row],[marital_Married]]=1,"Married", (IF(ifood_data[[#This Row],[marital_Single]]=1,"Single",(IF(ifood_data[[#This Row],[marital_Divorced]]=1,"Divorced",(IF(ifood_data[[#This Row],[marital_Together]]=1,"Living Together",(IF(ifood_data[[#This Row],[marital_Widow]]=1,"Widow","Other")))))))))</f>
        <v>Widow</v>
      </c>
      <c r="AU275" t="str">
        <f>IF(ifood_data[[#This Row],[education_Basic]]=1,"High School",(IF(ifood_data[[#This Row],[education_Graduation]]=1,"Undergraduate Degree",(IF(SUM(AM275,AL275,AI275)&gt;0,"Master's Degree or Higher","Other")))))</f>
        <v>Undergraduate Degree</v>
      </c>
      <c r="AV275" t="str">
        <f>IF(ifood_data[[#All],[Income]]&gt;75000,"75K+",(IF(ifood_data[[#All],[Income]]&gt;50000,"50K-75K",(IF(ifood_data[[#All],[Income]]&gt;35000,"35K-50K","&lt;35K")))))</f>
        <v>50K-75K</v>
      </c>
      <c r="AW275" t="str">
        <f>IF(ifood_data[[#All],[Age]]&gt;60,"60+",(IF(ifood_data[[#All],[Age]]&gt;50,"50-60",(IF(ifood_data[[#All],[Age]]&gt;40,"40-50",(IF(ifood_data[[#All],[Age]]&gt;30,"30-40","&lt;30")))))))</f>
        <v>50-60</v>
      </c>
      <c r="AX275">
        <f t="shared" si="16"/>
        <v>25</v>
      </c>
      <c r="AY275">
        <f t="shared" si="17"/>
        <v>0.99999999999999978</v>
      </c>
      <c r="AZ275">
        <f t="shared" si="18"/>
        <v>7</v>
      </c>
      <c r="BA275">
        <f t="shared" si="19"/>
        <v>9</v>
      </c>
      <c r="BB275">
        <f>SUM(ifood_data[[#This Row],[Recency Score]:[Monetary Score]])</f>
        <v>17</v>
      </c>
      <c r="BC275">
        <f>(_xlfn.PERCENTRANK.INC(ifood_data[[#All],[RFM]],ifood_data[[#This Row],[RFM]],1))*10</f>
        <v>6</v>
      </c>
      <c r="BD275" t="str">
        <f>VLOOKUP(ifood_data[[#This Row],[RFM Score]],'RFM Analysis'!$A$3:$B$14,2,FALSE)</f>
        <v>Promising</v>
      </c>
      <c r="BE275">
        <f>'Regression Models'!$B$101+'Regression Models'!$B$102*ifood_data[[#This Row],[Income]]+'Regression Models'!$B$103*ifood_data[[#This Row],[Age]]+'Regression Models'!$B$104*ifood_data[[#This Row],[Family]]</f>
        <v>1214.346875633124</v>
      </c>
      <c r="BF275" t="str">
        <f>IF(ifood_data[[#This Row],[AcceptedCmpOverall]]=1,"Campaign Respondent","Non-respondent")</f>
        <v>Campaign Respondent</v>
      </c>
    </row>
    <row r="276" spans="1:58" x14ac:dyDescent="0.35">
      <c r="A276">
        <v>870</v>
      </c>
      <c r="B276">
        <v>74637</v>
      </c>
      <c r="C276">
        <v>0</v>
      </c>
      <c r="D276">
        <v>0</v>
      </c>
      <c r="E276">
        <v>73</v>
      </c>
      <c r="F276">
        <v>960</v>
      </c>
      <c r="G276">
        <v>64</v>
      </c>
      <c r="H276">
        <v>464</v>
      </c>
      <c r="I276">
        <v>146</v>
      </c>
      <c r="J276">
        <v>0</v>
      </c>
      <c r="K276">
        <v>16</v>
      </c>
      <c r="L276">
        <v>1</v>
      </c>
      <c r="M276">
        <v>6</v>
      </c>
      <c r="N276">
        <v>9</v>
      </c>
      <c r="O276">
        <v>9</v>
      </c>
      <c r="P276">
        <v>3</v>
      </c>
      <c r="Q276">
        <v>1</v>
      </c>
      <c r="R276">
        <v>0</v>
      </c>
      <c r="S276">
        <v>0</v>
      </c>
      <c r="T276">
        <v>0</v>
      </c>
      <c r="U276">
        <v>0</v>
      </c>
      <c r="V276">
        <f>IF(SUM(ifood_data[[#This Row],[AcceptedCmp1]:[AcceptedCmp5]])&gt;0,1,0)</f>
        <v>1</v>
      </c>
      <c r="W276">
        <v>0</v>
      </c>
      <c r="X276">
        <v>3</v>
      </c>
      <c r="Y276">
        <v>11</v>
      </c>
      <c r="Z276">
        <v>0</v>
      </c>
      <c r="AA276">
        <v>66</v>
      </c>
      <c r="AB276">
        <v>2566</v>
      </c>
      <c r="AC276" s="28">
        <f>ifood_data[[#This Row],[Customer_Days]]/365</f>
        <v>7.0301369863013701</v>
      </c>
      <c r="AD276">
        <v>0</v>
      </c>
      <c r="AE276">
        <v>0</v>
      </c>
      <c r="AF276">
        <v>1</v>
      </c>
      <c r="AG276">
        <v>0</v>
      </c>
      <c r="AH276">
        <v>0</v>
      </c>
      <c r="AI276">
        <v>0</v>
      </c>
      <c r="AJ276">
        <v>0</v>
      </c>
      <c r="AK276">
        <v>0</v>
      </c>
      <c r="AL276">
        <v>0</v>
      </c>
      <c r="AM276">
        <v>1</v>
      </c>
      <c r="AN276">
        <v>1634</v>
      </c>
      <c r="AO276">
        <v>1618</v>
      </c>
      <c r="AP276">
        <f>ifood_data[[#This Row],[MntTotal]]-ifood_data[[#This Row],[MntRegularProds]]</f>
        <v>16</v>
      </c>
      <c r="AQ276">
        <v>1</v>
      </c>
      <c r="AR276">
        <f>IF(SUM(ifood_data[[#This Row],[Kidhome]:[Teenhome]])&gt;0,1,0)</f>
        <v>0</v>
      </c>
      <c r="AS276" t="str">
        <f>IF(SUM(ifood_data[[#This Row],[Kidhome]:[Teenhome]])&gt;0,"Has Family","No Family")</f>
        <v>No Family</v>
      </c>
      <c r="AT276" t="str">
        <f>IF(ifood_data[[#This Row],[marital_Married]]=1,"Married", (IF(ifood_data[[#This Row],[marital_Single]]=1,"Single",(IF(ifood_data[[#This Row],[marital_Divorced]]=1,"Divorced",(IF(ifood_data[[#This Row],[marital_Together]]=1,"Living Together",(IF(ifood_data[[#This Row],[marital_Widow]]=1,"Widow","Other")))))))))</f>
        <v>Single</v>
      </c>
      <c r="AU276" t="str">
        <f>IF(ifood_data[[#This Row],[education_Basic]]=1,"High School",(IF(ifood_data[[#This Row],[education_Graduation]]=1,"Undergraduate Degree",(IF(SUM(AM276,AL276,AI276)&gt;0,"Master's Degree or Higher","Other")))))</f>
        <v>Master's Degree or Higher</v>
      </c>
      <c r="AV276" t="str">
        <f>IF(ifood_data[[#All],[Income]]&gt;75000,"75K+",(IF(ifood_data[[#All],[Income]]&gt;50000,"50K-75K",(IF(ifood_data[[#All],[Income]]&gt;35000,"35K-50K","&lt;35K")))))</f>
        <v>50K-75K</v>
      </c>
      <c r="AW276" t="str">
        <f>IF(ifood_data[[#All],[Age]]&gt;60,"60+",(IF(ifood_data[[#All],[Age]]&gt;50,"50-60",(IF(ifood_data[[#All],[Age]]&gt;40,"40-50",(IF(ifood_data[[#All],[Age]]&gt;30,"30-40","&lt;30")))))))</f>
        <v>60+</v>
      </c>
      <c r="AX276">
        <f t="shared" si="16"/>
        <v>28</v>
      </c>
      <c r="AY276">
        <f t="shared" si="17"/>
        <v>3.0000000000000004</v>
      </c>
      <c r="AZ276">
        <f t="shared" si="18"/>
        <v>8</v>
      </c>
      <c r="BA276">
        <f t="shared" si="19"/>
        <v>9</v>
      </c>
      <c r="BB276">
        <f>SUM(ifood_data[[#This Row],[Recency Score]:[Monetary Score]])</f>
        <v>20</v>
      </c>
      <c r="BC276">
        <f>(_xlfn.PERCENTRANK.INC(ifood_data[[#All],[RFM]],ifood_data[[#This Row],[RFM]],1))*10</f>
        <v>7</v>
      </c>
      <c r="BD276" t="str">
        <f>VLOOKUP(ifood_data[[#This Row],[RFM Score]],'RFM Analysis'!$A$3:$B$14,2,FALSE)</f>
        <v>Loyal Customer</v>
      </c>
      <c r="BE276">
        <f>'Regression Models'!$B$101+'Regression Models'!$B$102*ifood_data[[#This Row],[Income]]+'Regression Models'!$B$103*ifood_data[[#This Row],[Age]]+'Regression Models'!$B$104*ifood_data[[#This Row],[Family]]</f>
        <v>1212.7362524746925</v>
      </c>
      <c r="BF276" t="str">
        <f>IF(ifood_data[[#This Row],[AcceptedCmpOverall]]=1,"Campaign Respondent","Non-respondent")</f>
        <v>Campaign Respondent</v>
      </c>
    </row>
    <row r="277" spans="1:58" x14ac:dyDescent="0.35">
      <c r="A277">
        <v>735</v>
      </c>
      <c r="B277">
        <v>74250</v>
      </c>
      <c r="C277">
        <v>0</v>
      </c>
      <c r="D277">
        <v>0</v>
      </c>
      <c r="E277">
        <v>90</v>
      </c>
      <c r="F277">
        <v>680</v>
      </c>
      <c r="G277">
        <v>11</v>
      </c>
      <c r="H277">
        <v>392</v>
      </c>
      <c r="I277">
        <v>75</v>
      </c>
      <c r="J277">
        <v>0</v>
      </c>
      <c r="K277">
        <v>0</v>
      </c>
      <c r="L277">
        <v>1</v>
      </c>
      <c r="M277">
        <v>2</v>
      </c>
      <c r="N277">
        <v>11</v>
      </c>
      <c r="O277">
        <v>4</v>
      </c>
      <c r="P277">
        <v>1</v>
      </c>
      <c r="Q277">
        <v>0</v>
      </c>
      <c r="R277">
        <v>0</v>
      </c>
      <c r="S277">
        <v>0</v>
      </c>
      <c r="T277">
        <v>0</v>
      </c>
      <c r="U277">
        <v>0</v>
      </c>
      <c r="V277">
        <f>IF(SUM(ifood_data[[#This Row],[AcceptedCmp1]:[AcceptedCmp5]])&gt;0,1,0)</f>
        <v>0</v>
      </c>
      <c r="W277">
        <v>0</v>
      </c>
      <c r="X277">
        <v>3</v>
      </c>
      <c r="Y277">
        <v>11</v>
      </c>
      <c r="Z277">
        <v>0</v>
      </c>
      <c r="AA277">
        <v>62</v>
      </c>
      <c r="AB277">
        <v>2313</v>
      </c>
      <c r="AC277" s="28">
        <f>ifood_data[[#This Row],[Customer_Days]]/365</f>
        <v>6.3369863013698629</v>
      </c>
      <c r="AD277">
        <v>0</v>
      </c>
      <c r="AE277">
        <v>0</v>
      </c>
      <c r="AF277">
        <v>0</v>
      </c>
      <c r="AG277">
        <v>1</v>
      </c>
      <c r="AH277">
        <v>0</v>
      </c>
      <c r="AI277">
        <v>0</v>
      </c>
      <c r="AJ277">
        <v>0</v>
      </c>
      <c r="AK277">
        <v>0</v>
      </c>
      <c r="AL277">
        <v>0</v>
      </c>
      <c r="AM277">
        <v>1</v>
      </c>
      <c r="AN277">
        <v>1158</v>
      </c>
      <c r="AO277">
        <v>1158</v>
      </c>
      <c r="AP277">
        <f>ifood_data[[#This Row],[MntTotal]]-ifood_data[[#This Row],[MntRegularProds]]</f>
        <v>0</v>
      </c>
      <c r="AQ277">
        <v>0</v>
      </c>
      <c r="AR277">
        <f>IF(SUM(ifood_data[[#This Row],[Kidhome]:[Teenhome]])&gt;0,1,0)</f>
        <v>0</v>
      </c>
      <c r="AS277" t="str">
        <f>IF(SUM(ifood_data[[#This Row],[Kidhome]:[Teenhome]])&gt;0,"Has Family","No Family")</f>
        <v>No Family</v>
      </c>
      <c r="AT277" t="str">
        <f>IF(ifood_data[[#This Row],[marital_Married]]=1,"Married", (IF(ifood_data[[#This Row],[marital_Single]]=1,"Single",(IF(ifood_data[[#This Row],[marital_Divorced]]=1,"Divorced",(IF(ifood_data[[#This Row],[marital_Together]]=1,"Living Together",(IF(ifood_data[[#This Row],[marital_Widow]]=1,"Widow","Other")))))))))</f>
        <v>Living Together</v>
      </c>
      <c r="AU277" t="str">
        <f>IF(ifood_data[[#This Row],[education_Basic]]=1,"High School",(IF(ifood_data[[#This Row],[education_Graduation]]=1,"Undergraduate Degree",(IF(SUM(AM277,AL277,AI277)&gt;0,"Master's Degree or Higher","Other")))))</f>
        <v>Master's Degree or Higher</v>
      </c>
      <c r="AV277" t="str">
        <f>IF(ifood_data[[#All],[Income]]&gt;75000,"75K+",(IF(ifood_data[[#All],[Income]]&gt;50000,"50K-75K",(IF(ifood_data[[#All],[Income]]&gt;35000,"35K-50K","&lt;35K")))))</f>
        <v>50K-75K</v>
      </c>
      <c r="AW277" t="str">
        <f>IF(ifood_data[[#All],[Age]]&gt;60,"60+",(IF(ifood_data[[#All],[Age]]&gt;50,"50-60",(IF(ifood_data[[#All],[Age]]&gt;40,"40-50",(IF(ifood_data[[#All],[Age]]&gt;30,"30-40","&lt;30")))))))</f>
        <v>60+</v>
      </c>
      <c r="AX277">
        <f t="shared" si="16"/>
        <v>19</v>
      </c>
      <c r="AY277">
        <f t="shared" si="17"/>
        <v>0.99999999999999978</v>
      </c>
      <c r="AZ277">
        <f t="shared" si="18"/>
        <v>4</v>
      </c>
      <c r="BA277">
        <f t="shared" si="19"/>
        <v>8</v>
      </c>
      <c r="BB277">
        <f>SUM(ifood_data[[#This Row],[Recency Score]:[Monetary Score]])</f>
        <v>13</v>
      </c>
      <c r="BC277">
        <f>(_xlfn.PERCENTRANK.INC(ifood_data[[#All],[RFM]],ifood_data[[#This Row],[RFM]],1))*10</f>
        <v>3</v>
      </c>
      <c r="BD277" t="str">
        <f>VLOOKUP(ifood_data[[#This Row],[RFM Score]],'RFM Analysis'!$A$3:$B$14,2,FALSE)</f>
        <v>At Risk</v>
      </c>
      <c r="BE277">
        <f>'Regression Models'!$B$101+'Regression Models'!$B$102*ifood_data[[#This Row],[Income]]+'Regression Models'!$B$103*ifood_data[[#This Row],[Age]]+'Regression Models'!$B$104*ifood_data[[#This Row],[Family]]</f>
        <v>1212.1915555185803</v>
      </c>
      <c r="BF277" t="str">
        <f>IF(ifood_data[[#This Row],[AcceptedCmpOverall]]=1,"Campaign Respondent","Non-respondent")</f>
        <v>Non-respondent</v>
      </c>
    </row>
    <row r="278" spans="1:58" x14ac:dyDescent="0.35">
      <c r="A278">
        <v>1528</v>
      </c>
      <c r="B278">
        <v>72066</v>
      </c>
      <c r="C278">
        <v>0</v>
      </c>
      <c r="D278">
        <v>0</v>
      </c>
      <c r="E278">
        <v>55</v>
      </c>
      <c r="F278">
        <v>1003</v>
      </c>
      <c r="G278">
        <v>34</v>
      </c>
      <c r="H278">
        <v>536</v>
      </c>
      <c r="I278">
        <v>134</v>
      </c>
      <c r="J278">
        <v>51</v>
      </c>
      <c r="K278">
        <v>34</v>
      </c>
      <c r="L278">
        <v>1</v>
      </c>
      <c r="M278">
        <v>4</v>
      </c>
      <c r="N278">
        <v>6</v>
      </c>
      <c r="O278">
        <v>6</v>
      </c>
      <c r="P278">
        <v>2</v>
      </c>
      <c r="Q278">
        <v>1</v>
      </c>
      <c r="R278">
        <v>0</v>
      </c>
      <c r="S278">
        <v>0</v>
      </c>
      <c r="T278">
        <v>0</v>
      </c>
      <c r="U278">
        <v>1</v>
      </c>
      <c r="V278">
        <f>IF(SUM(ifood_data[[#This Row],[AcceptedCmp1]:[AcceptedCmp5]])&gt;0,1,0)</f>
        <v>1</v>
      </c>
      <c r="W278">
        <v>0</v>
      </c>
      <c r="X278">
        <v>3</v>
      </c>
      <c r="Y278">
        <v>11</v>
      </c>
      <c r="Z278">
        <v>1</v>
      </c>
      <c r="AA278">
        <v>39</v>
      </c>
      <c r="AB278">
        <v>2165</v>
      </c>
      <c r="AC278" s="28">
        <f>ifood_data[[#This Row],[Customer_Days]]/365</f>
        <v>5.9315068493150687</v>
      </c>
      <c r="AD278">
        <v>0</v>
      </c>
      <c r="AE278">
        <v>0</v>
      </c>
      <c r="AF278">
        <v>1</v>
      </c>
      <c r="AG278">
        <v>0</v>
      </c>
      <c r="AH278">
        <v>0</v>
      </c>
      <c r="AI278">
        <v>0</v>
      </c>
      <c r="AJ278">
        <v>0</v>
      </c>
      <c r="AK278">
        <v>1</v>
      </c>
      <c r="AL278">
        <v>0</v>
      </c>
      <c r="AM278">
        <v>0</v>
      </c>
      <c r="AN278">
        <v>1758</v>
      </c>
      <c r="AO278">
        <v>1724</v>
      </c>
      <c r="AP278">
        <f>ifood_data[[#This Row],[MntTotal]]-ifood_data[[#This Row],[MntRegularProds]]</f>
        <v>34</v>
      </c>
      <c r="AQ278">
        <v>2</v>
      </c>
      <c r="AR278">
        <f>IF(SUM(ifood_data[[#This Row],[Kidhome]:[Teenhome]])&gt;0,1,0)</f>
        <v>0</v>
      </c>
      <c r="AS278" t="str">
        <f>IF(SUM(ifood_data[[#This Row],[Kidhome]:[Teenhome]])&gt;0,"Has Family","No Family")</f>
        <v>No Family</v>
      </c>
      <c r="AT278" t="str">
        <f>IF(ifood_data[[#This Row],[marital_Married]]=1,"Married", (IF(ifood_data[[#This Row],[marital_Single]]=1,"Single",(IF(ifood_data[[#This Row],[marital_Divorced]]=1,"Divorced",(IF(ifood_data[[#This Row],[marital_Together]]=1,"Living Together",(IF(ifood_data[[#This Row],[marital_Widow]]=1,"Widow","Other")))))))))</f>
        <v>Single</v>
      </c>
      <c r="AU278" t="str">
        <f>IF(ifood_data[[#This Row],[education_Basic]]=1,"High School",(IF(ifood_data[[#This Row],[education_Graduation]]=1,"Undergraduate Degree",(IF(SUM(AM278,AL278,AI278)&gt;0,"Master's Degree or Higher","Other")))))</f>
        <v>Undergraduate Degree</v>
      </c>
      <c r="AV278" t="str">
        <f>IF(ifood_data[[#All],[Income]]&gt;75000,"75K+",(IF(ifood_data[[#All],[Income]]&gt;50000,"50K-75K",(IF(ifood_data[[#All],[Income]]&gt;35000,"35K-50K","&lt;35K")))))</f>
        <v>50K-75K</v>
      </c>
      <c r="AW278" t="str">
        <f>IF(ifood_data[[#All],[Age]]&gt;60,"60+",(IF(ifood_data[[#All],[Age]]&gt;50,"50-60",(IF(ifood_data[[#All],[Age]]&gt;40,"40-50",(IF(ifood_data[[#All],[Age]]&gt;30,"30-40","&lt;30")))))))</f>
        <v>30-40</v>
      </c>
      <c r="AX278">
        <f t="shared" si="16"/>
        <v>19</v>
      </c>
      <c r="AY278">
        <f t="shared" si="17"/>
        <v>5</v>
      </c>
      <c r="AZ278">
        <f t="shared" si="18"/>
        <v>4</v>
      </c>
      <c r="BA278">
        <f t="shared" si="19"/>
        <v>9</v>
      </c>
      <c r="BB278">
        <f>SUM(ifood_data[[#This Row],[Recency Score]:[Monetary Score]])</f>
        <v>18</v>
      </c>
      <c r="BC278">
        <f>(_xlfn.PERCENTRANK.INC(ifood_data[[#All],[RFM]],ifood_data[[#This Row],[RFM]],1))*10</f>
        <v>6</v>
      </c>
      <c r="BD278" t="str">
        <f>VLOOKUP(ifood_data[[#This Row],[RFM Score]],'RFM Analysis'!$A$3:$B$14,2,FALSE)</f>
        <v>Promising</v>
      </c>
      <c r="BE278">
        <f>'Regression Models'!$B$101+'Regression Models'!$B$102*ifood_data[[#This Row],[Income]]+'Regression Models'!$B$103*ifood_data[[#This Row],[Age]]+'Regression Models'!$B$104*ifood_data[[#This Row],[Family]]</f>
        <v>1209.9005847068738</v>
      </c>
      <c r="BF278" t="str">
        <f>IF(ifood_data[[#This Row],[AcceptedCmpOverall]]=1,"Campaign Respondent","Non-respondent")</f>
        <v>Campaign Respondent</v>
      </c>
    </row>
    <row r="279" spans="1:58" x14ac:dyDescent="0.35">
      <c r="A279">
        <v>1959</v>
      </c>
      <c r="B279">
        <v>74859</v>
      </c>
      <c r="C279">
        <v>0</v>
      </c>
      <c r="D279">
        <v>0</v>
      </c>
      <c r="E279">
        <v>63</v>
      </c>
      <c r="F279">
        <v>570</v>
      </c>
      <c r="G279">
        <v>73</v>
      </c>
      <c r="H279">
        <v>614</v>
      </c>
      <c r="I279">
        <v>133</v>
      </c>
      <c r="J279">
        <v>102</v>
      </c>
      <c r="K279">
        <v>73</v>
      </c>
      <c r="L279">
        <v>1</v>
      </c>
      <c r="M279">
        <v>6</v>
      </c>
      <c r="N279">
        <v>5</v>
      </c>
      <c r="O279">
        <v>11</v>
      </c>
      <c r="P279">
        <v>3</v>
      </c>
      <c r="Q279">
        <v>1</v>
      </c>
      <c r="R279">
        <v>0</v>
      </c>
      <c r="S279">
        <v>0</v>
      </c>
      <c r="T279">
        <v>0</v>
      </c>
      <c r="U279">
        <v>0</v>
      </c>
      <c r="V279">
        <f>IF(SUM(ifood_data[[#This Row],[AcceptedCmp1]:[AcceptedCmp5]])&gt;0,1,0)</f>
        <v>1</v>
      </c>
      <c r="W279">
        <v>0</v>
      </c>
      <c r="X279">
        <v>3</v>
      </c>
      <c r="Y279">
        <v>11</v>
      </c>
      <c r="Z279">
        <v>0</v>
      </c>
      <c r="AA279">
        <v>71</v>
      </c>
      <c r="AB279">
        <v>2550</v>
      </c>
      <c r="AC279" s="28">
        <f>ifood_data[[#This Row],[Customer_Days]]/365</f>
        <v>6.9863013698630141</v>
      </c>
      <c r="AD279">
        <v>0</v>
      </c>
      <c r="AE279">
        <v>0</v>
      </c>
      <c r="AF279">
        <v>0</v>
      </c>
      <c r="AG279">
        <v>0</v>
      </c>
      <c r="AH279">
        <v>1</v>
      </c>
      <c r="AI279">
        <v>1</v>
      </c>
      <c r="AJ279">
        <v>0</v>
      </c>
      <c r="AK279">
        <v>0</v>
      </c>
      <c r="AL279">
        <v>0</v>
      </c>
      <c r="AM279">
        <v>0</v>
      </c>
      <c r="AN279">
        <v>1492</v>
      </c>
      <c r="AO279">
        <v>1419</v>
      </c>
      <c r="AP279">
        <f>ifood_data[[#This Row],[MntTotal]]-ifood_data[[#This Row],[MntRegularProds]]</f>
        <v>73</v>
      </c>
      <c r="AQ279">
        <v>1</v>
      </c>
      <c r="AR279">
        <f>IF(SUM(ifood_data[[#This Row],[Kidhome]:[Teenhome]])&gt;0,1,0)</f>
        <v>0</v>
      </c>
      <c r="AS279" t="str">
        <f>IF(SUM(ifood_data[[#This Row],[Kidhome]:[Teenhome]])&gt;0,"Has Family","No Family")</f>
        <v>No Family</v>
      </c>
      <c r="AT279" t="str">
        <f>IF(ifood_data[[#This Row],[marital_Married]]=1,"Married", (IF(ifood_data[[#This Row],[marital_Single]]=1,"Single",(IF(ifood_data[[#This Row],[marital_Divorced]]=1,"Divorced",(IF(ifood_data[[#This Row],[marital_Together]]=1,"Living Together",(IF(ifood_data[[#This Row],[marital_Widow]]=1,"Widow","Other")))))))))</f>
        <v>Widow</v>
      </c>
      <c r="AU279" t="str">
        <f>IF(ifood_data[[#This Row],[education_Basic]]=1,"High School",(IF(ifood_data[[#This Row],[education_Graduation]]=1,"Undergraduate Degree",(IF(SUM(AM279,AL279,AI279)&gt;0,"Master's Degree or Higher","Other")))))</f>
        <v>Master's Degree or Higher</v>
      </c>
      <c r="AV279" t="str">
        <f>IF(ifood_data[[#All],[Income]]&gt;75000,"75K+",(IF(ifood_data[[#All],[Income]]&gt;50000,"50K-75K",(IF(ifood_data[[#All],[Income]]&gt;35000,"35K-50K","&lt;35K")))))</f>
        <v>50K-75K</v>
      </c>
      <c r="AW279" t="str">
        <f>IF(ifood_data[[#All],[Age]]&gt;60,"60+",(IF(ifood_data[[#All],[Age]]&gt;50,"50-60",(IF(ifood_data[[#All],[Age]]&gt;40,"40-50",(IF(ifood_data[[#All],[Age]]&gt;30,"30-40","&lt;30")))))))</f>
        <v>60+</v>
      </c>
      <c r="AX279">
        <f t="shared" si="16"/>
        <v>26</v>
      </c>
      <c r="AY279">
        <f t="shared" si="17"/>
        <v>4</v>
      </c>
      <c r="AZ279">
        <f t="shared" si="18"/>
        <v>7</v>
      </c>
      <c r="BA279">
        <f t="shared" si="19"/>
        <v>9</v>
      </c>
      <c r="BB279">
        <f>SUM(ifood_data[[#This Row],[Recency Score]:[Monetary Score]])</f>
        <v>20</v>
      </c>
      <c r="BC279">
        <f>(_xlfn.PERCENTRANK.INC(ifood_data[[#All],[RFM]],ifood_data[[#This Row],[RFM]],1))*10</f>
        <v>7</v>
      </c>
      <c r="BD279" t="str">
        <f>VLOOKUP(ifood_data[[#This Row],[RFM Score]],'RFM Analysis'!$A$3:$B$14,2,FALSE)</f>
        <v>Loyal Customer</v>
      </c>
      <c r="BE279">
        <f>'Regression Models'!$B$101+'Regression Models'!$B$102*ifood_data[[#This Row],[Income]]+'Regression Models'!$B$103*ifood_data[[#This Row],[Age]]+'Regression Models'!$B$104*ifood_data[[#This Row],[Family]]</f>
        <v>1208.0803636081666</v>
      </c>
      <c r="BF279" t="str">
        <f>IF(ifood_data[[#This Row],[AcceptedCmpOverall]]=1,"Campaign Respondent","Non-respondent")</f>
        <v>Campaign Respondent</v>
      </c>
    </row>
    <row r="280" spans="1:58" x14ac:dyDescent="0.35">
      <c r="A280">
        <v>253</v>
      </c>
      <c r="B280">
        <v>72940</v>
      </c>
      <c r="C280">
        <v>0</v>
      </c>
      <c r="D280">
        <v>0</v>
      </c>
      <c r="E280">
        <v>13</v>
      </c>
      <c r="F280">
        <v>182</v>
      </c>
      <c r="G280">
        <v>74</v>
      </c>
      <c r="H280">
        <v>298</v>
      </c>
      <c r="I280">
        <v>162</v>
      </c>
      <c r="J280">
        <v>149</v>
      </c>
      <c r="K280">
        <v>116</v>
      </c>
      <c r="L280">
        <v>1</v>
      </c>
      <c r="M280">
        <v>3</v>
      </c>
      <c r="N280">
        <v>3</v>
      </c>
      <c r="O280">
        <v>6</v>
      </c>
      <c r="P280">
        <v>1</v>
      </c>
      <c r="Q280">
        <v>0</v>
      </c>
      <c r="R280">
        <v>0</v>
      </c>
      <c r="S280">
        <v>0</v>
      </c>
      <c r="T280">
        <v>0</v>
      </c>
      <c r="U280">
        <v>0</v>
      </c>
      <c r="V280">
        <f>IF(SUM(ifood_data[[#This Row],[AcceptedCmp1]:[AcceptedCmp5]])&gt;0,1,0)</f>
        <v>0</v>
      </c>
      <c r="W280">
        <v>0</v>
      </c>
      <c r="X280">
        <v>3</v>
      </c>
      <c r="Y280">
        <v>11</v>
      </c>
      <c r="Z280">
        <v>0</v>
      </c>
      <c r="AA280">
        <v>50</v>
      </c>
      <c r="AB280">
        <v>2534</v>
      </c>
      <c r="AC280" s="28">
        <f>ifood_data[[#This Row],[Customer_Days]]/365</f>
        <v>6.9424657534246572</v>
      </c>
      <c r="AD280">
        <v>0</v>
      </c>
      <c r="AE280">
        <v>1</v>
      </c>
      <c r="AF280">
        <v>0</v>
      </c>
      <c r="AG280">
        <v>0</v>
      </c>
      <c r="AH280">
        <v>0</v>
      </c>
      <c r="AI280">
        <v>0</v>
      </c>
      <c r="AJ280">
        <v>0</v>
      </c>
      <c r="AK280">
        <v>1</v>
      </c>
      <c r="AL280">
        <v>0</v>
      </c>
      <c r="AM280">
        <v>0</v>
      </c>
      <c r="AN280">
        <v>865</v>
      </c>
      <c r="AO280">
        <v>749</v>
      </c>
      <c r="AP280">
        <f>ifood_data[[#This Row],[MntTotal]]-ifood_data[[#This Row],[MntRegularProds]]</f>
        <v>116</v>
      </c>
      <c r="AQ280">
        <v>0</v>
      </c>
      <c r="AR280">
        <f>IF(SUM(ifood_data[[#This Row],[Kidhome]:[Teenhome]])&gt;0,1,0)</f>
        <v>0</v>
      </c>
      <c r="AS280" t="str">
        <f>IF(SUM(ifood_data[[#This Row],[Kidhome]:[Teenhome]])&gt;0,"Has Family","No Family")</f>
        <v>No Family</v>
      </c>
      <c r="AT280" t="str">
        <f>IF(ifood_data[[#This Row],[marital_Married]]=1,"Married", (IF(ifood_data[[#This Row],[marital_Single]]=1,"Single",(IF(ifood_data[[#This Row],[marital_Divorced]]=1,"Divorced",(IF(ifood_data[[#This Row],[marital_Together]]=1,"Living Together",(IF(ifood_data[[#This Row],[marital_Widow]]=1,"Widow","Other")))))))))</f>
        <v>Married</v>
      </c>
      <c r="AU280" t="str">
        <f>IF(ifood_data[[#This Row],[education_Basic]]=1,"High School",(IF(ifood_data[[#This Row],[education_Graduation]]=1,"Undergraduate Degree",(IF(SUM(AM280,AL280,AI280)&gt;0,"Master's Degree or Higher","Other")))))</f>
        <v>Undergraduate Degree</v>
      </c>
      <c r="AV280" t="str">
        <f>IF(ifood_data[[#All],[Income]]&gt;75000,"75K+",(IF(ifood_data[[#All],[Income]]&gt;50000,"50K-75K",(IF(ifood_data[[#All],[Income]]&gt;35000,"35K-50K","&lt;35K")))))</f>
        <v>50K-75K</v>
      </c>
      <c r="AW280" t="str">
        <f>IF(ifood_data[[#All],[Age]]&gt;60,"60+",(IF(ifood_data[[#All],[Age]]&gt;50,"50-60",(IF(ifood_data[[#All],[Age]]&gt;40,"40-50",(IF(ifood_data[[#All],[Age]]&gt;30,"30-40","&lt;30")))))))</f>
        <v>40-50</v>
      </c>
      <c r="AX280">
        <f t="shared" si="16"/>
        <v>14</v>
      </c>
      <c r="AY280">
        <f t="shared" si="17"/>
        <v>9</v>
      </c>
      <c r="AZ280">
        <f t="shared" si="18"/>
        <v>2</v>
      </c>
      <c r="BA280">
        <f t="shared" si="19"/>
        <v>7</v>
      </c>
      <c r="BB280">
        <f>SUM(ifood_data[[#This Row],[Recency Score]:[Monetary Score]])</f>
        <v>18</v>
      </c>
      <c r="BC280">
        <f>(_xlfn.PERCENTRANK.INC(ifood_data[[#All],[RFM]],ifood_data[[#This Row],[RFM]],1))*10</f>
        <v>6</v>
      </c>
      <c r="BD280" t="str">
        <f>VLOOKUP(ifood_data[[#This Row],[RFM Score]],'RFM Analysis'!$A$3:$B$14,2,FALSE)</f>
        <v>Promising</v>
      </c>
      <c r="BE280">
        <f>'Regression Models'!$B$101+'Regression Models'!$B$102*ifood_data[[#This Row],[Income]]+'Regression Models'!$B$103*ifood_data[[#This Row],[Age]]+'Regression Models'!$B$104*ifood_data[[#This Row],[Family]]</f>
        <v>1207.5195381968047</v>
      </c>
      <c r="BF280" t="str">
        <f>IF(ifood_data[[#This Row],[AcceptedCmpOverall]]=1,"Campaign Respondent","Non-respondent")</f>
        <v>Non-respondent</v>
      </c>
    </row>
    <row r="281" spans="1:58" x14ac:dyDescent="0.35">
      <c r="A281">
        <v>1257</v>
      </c>
      <c r="B281">
        <v>71853</v>
      </c>
      <c r="C281">
        <v>0</v>
      </c>
      <c r="D281">
        <v>0</v>
      </c>
      <c r="E281">
        <v>29</v>
      </c>
      <c r="F281">
        <v>358</v>
      </c>
      <c r="G281">
        <v>108</v>
      </c>
      <c r="H281">
        <v>413</v>
      </c>
      <c r="I281">
        <v>141</v>
      </c>
      <c r="J281">
        <v>97</v>
      </c>
      <c r="K281">
        <v>32</v>
      </c>
      <c r="L281">
        <v>1</v>
      </c>
      <c r="M281">
        <v>2</v>
      </c>
      <c r="N281">
        <v>8</v>
      </c>
      <c r="O281">
        <v>6</v>
      </c>
      <c r="P281">
        <v>1</v>
      </c>
      <c r="Q281">
        <v>0</v>
      </c>
      <c r="R281">
        <v>0</v>
      </c>
      <c r="S281">
        <v>0</v>
      </c>
      <c r="T281">
        <v>0</v>
      </c>
      <c r="U281">
        <v>0</v>
      </c>
      <c r="V281">
        <f>IF(SUM(ifood_data[[#This Row],[AcceptedCmp1]:[AcceptedCmp5]])&gt;0,1,0)</f>
        <v>0</v>
      </c>
      <c r="W281">
        <v>0</v>
      </c>
      <c r="X281">
        <v>3</v>
      </c>
      <c r="Y281">
        <v>11</v>
      </c>
      <c r="Z281">
        <v>0</v>
      </c>
      <c r="AA281">
        <v>38</v>
      </c>
      <c r="AB281">
        <v>2576</v>
      </c>
      <c r="AC281" s="28">
        <f>ifood_data[[#This Row],[Customer_Days]]/365</f>
        <v>7.0575342465753428</v>
      </c>
      <c r="AD281">
        <v>0</v>
      </c>
      <c r="AE281">
        <v>0</v>
      </c>
      <c r="AF281">
        <v>0</v>
      </c>
      <c r="AG281">
        <v>1</v>
      </c>
      <c r="AH281">
        <v>0</v>
      </c>
      <c r="AI281">
        <v>0</v>
      </c>
      <c r="AJ281">
        <v>0</v>
      </c>
      <c r="AK281">
        <v>1</v>
      </c>
      <c r="AL281">
        <v>0</v>
      </c>
      <c r="AM281">
        <v>0</v>
      </c>
      <c r="AN281">
        <v>1117</v>
      </c>
      <c r="AO281">
        <v>1085</v>
      </c>
      <c r="AP281">
        <f>ifood_data[[#This Row],[MntTotal]]-ifood_data[[#This Row],[MntRegularProds]]</f>
        <v>32</v>
      </c>
      <c r="AQ281">
        <v>0</v>
      </c>
      <c r="AR281">
        <f>IF(SUM(ifood_data[[#This Row],[Kidhome]:[Teenhome]])&gt;0,1,0)</f>
        <v>0</v>
      </c>
      <c r="AS281" t="str">
        <f>IF(SUM(ifood_data[[#This Row],[Kidhome]:[Teenhome]])&gt;0,"Has Family","No Family")</f>
        <v>No Family</v>
      </c>
      <c r="AT281" t="str">
        <f>IF(ifood_data[[#This Row],[marital_Married]]=1,"Married", (IF(ifood_data[[#This Row],[marital_Single]]=1,"Single",(IF(ifood_data[[#This Row],[marital_Divorced]]=1,"Divorced",(IF(ifood_data[[#This Row],[marital_Together]]=1,"Living Together",(IF(ifood_data[[#This Row],[marital_Widow]]=1,"Widow","Other")))))))))</f>
        <v>Living Together</v>
      </c>
      <c r="AU281" t="str">
        <f>IF(ifood_data[[#This Row],[education_Basic]]=1,"High School",(IF(ifood_data[[#This Row],[education_Graduation]]=1,"Undergraduate Degree",(IF(SUM(AM281,AL281,AI281)&gt;0,"Master's Degree or Higher","Other")))))</f>
        <v>Undergraduate Degree</v>
      </c>
      <c r="AV281" t="str">
        <f>IF(ifood_data[[#All],[Income]]&gt;75000,"75K+",(IF(ifood_data[[#All],[Income]]&gt;50000,"50K-75K",(IF(ifood_data[[#All],[Income]]&gt;35000,"35K-50K","&lt;35K")))))</f>
        <v>50K-75K</v>
      </c>
      <c r="AW281" t="str">
        <f>IF(ifood_data[[#All],[Age]]&gt;60,"60+",(IF(ifood_data[[#All],[Age]]&gt;50,"50-60",(IF(ifood_data[[#All],[Age]]&gt;40,"40-50",(IF(ifood_data[[#All],[Age]]&gt;30,"30-40","&lt;30")))))))</f>
        <v>30-40</v>
      </c>
      <c r="AX281">
        <f t="shared" si="16"/>
        <v>18</v>
      </c>
      <c r="AY281">
        <f t="shared" si="17"/>
        <v>8</v>
      </c>
      <c r="AZ281">
        <f t="shared" si="18"/>
        <v>4</v>
      </c>
      <c r="BA281">
        <f t="shared" si="19"/>
        <v>8</v>
      </c>
      <c r="BB281">
        <f>SUM(ifood_data[[#This Row],[Recency Score]:[Monetary Score]])</f>
        <v>20</v>
      </c>
      <c r="BC281">
        <f>(_xlfn.PERCENTRANK.INC(ifood_data[[#All],[RFM]],ifood_data[[#This Row],[RFM]],1))*10</f>
        <v>7</v>
      </c>
      <c r="BD281" t="str">
        <f>VLOOKUP(ifood_data[[#This Row],[RFM Score]],'RFM Analysis'!$A$3:$B$14,2,FALSE)</f>
        <v>Loyal Customer</v>
      </c>
      <c r="BE281">
        <f>'Regression Models'!$B$101+'Regression Models'!$B$102*ifood_data[[#This Row],[Income]]+'Regression Models'!$B$103*ifood_data[[#This Row],[Age]]+'Regression Models'!$B$104*ifood_data[[#This Row],[Family]]</f>
        <v>1207.3942161711179</v>
      </c>
      <c r="BF281" t="str">
        <f>IF(ifood_data[[#This Row],[AcceptedCmpOverall]]=1,"Campaign Respondent","Non-respondent")</f>
        <v>Non-respondent</v>
      </c>
    </row>
    <row r="282" spans="1:58" x14ac:dyDescent="0.35">
      <c r="A282">
        <v>1470</v>
      </c>
      <c r="B282">
        <v>74268</v>
      </c>
      <c r="C282">
        <v>0</v>
      </c>
      <c r="D282">
        <v>0</v>
      </c>
      <c r="E282">
        <v>83</v>
      </c>
      <c r="F282">
        <v>199</v>
      </c>
      <c r="G282">
        <v>66</v>
      </c>
      <c r="H282">
        <v>315</v>
      </c>
      <c r="I282">
        <v>97</v>
      </c>
      <c r="J282">
        <v>174</v>
      </c>
      <c r="K282">
        <v>41</v>
      </c>
      <c r="L282">
        <v>1</v>
      </c>
      <c r="M282">
        <v>4</v>
      </c>
      <c r="N282">
        <v>3</v>
      </c>
      <c r="O282">
        <v>5</v>
      </c>
      <c r="P282">
        <v>2</v>
      </c>
      <c r="Q282">
        <v>0</v>
      </c>
      <c r="R282">
        <v>0</v>
      </c>
      <c r="S282">
        <v>0</v>
      </c>
      <c r="T282">
        <v>0</v>
      </c>
      <c r="U282">
        <v>0</v>
      </c>
      <c r="V282">
        <f>IF(SUM(ifood_data[[#This Row],[AcceptedCmp1]:[AcceptedCmp5]])&gt;0,1,0)</f>
        <v>0</v>
      </c>
      <c r="W282">
        <v>0</v>
      </c>
      <c r="X282">
        <v>3</v>
      </c>
      <c r="Y282">
        <v>11</v>
      </c>
      <c r="Z282">
        <v>0</v>
      </c>
      <c r="AA282">
        <v>65</v>
      </c>
      <c r="AB282">
        <v>2659</v>
      </c>
      <c r="AC282" s="28">
        <f>ifood_data[[#This Row],[Customer_Days]]/365</f>
        <v>7.2849315068493148</v>
      </c>
      <c r="AD282">
        <v>0</v>
      </c>
      <c r="AE282">
        <v>1</v>
      </c>
      <c r="AF282">
        <v>0</v>
      </c>
      <c r="AG282">
        <v>0</v>
      </c>
      <c r="AH282">
        <v>0</v>
      </c>
      <c r="AI282">
        <v>0</v>
      </c>
      <c r="AJ282">
        <v>0</v>
      </c>
      <c r="AK282">
        <v>1</v>
      </c>
      <c r="AL282">
        <v>0</v>
      </c>
      <c r="AM282">
        <v>0</v>
      </c>
      <c r="AN282">
        <v>851</v>
      </c>
      <c r="AO282">
        <v>810</v>
      </c>
      <c r="AP282">
        <f>ifood_data[[#This Row],[MntTotal]]-ifood_data[[#This Row],[MntRegularProds]]</f>
        <v>41</v>
      </c>
      <c r="AQ282">
        <v>0</v>
      </c>
      <c r="AR282">
        <f>IF(SUM(ifood_data[[#This Row],[Kidhome]:[Teenhome]])&gt;0,1,0)</f>
        <v>0</v>
      </c>
      <c r="AS282" t="str">
        <f>IF(SUM(ifood_data[[#This Row],[Kidhome]:[Teenhome]])&gt;0,"Has Family","No Family")</f>
        <v>No Family</v>
      </c>
      <c r="AT282" t="str">
        <f>IF(ifood_data[[#This Row],[marital_Married]]=1,"Married", (IF(ifood_data[[#This Row],[marital_Single]]=1,"Single",(IF(ifood_data[[#This Row],[marital_Divorced]]=1,"Divorced",(IF(ifood_data[[#This Row],[marital_Together]]=1,"Living Together",(IF(ifood_data[[#This Row],[marital_Widow]]=1,"Widow","Other")))))))))</f>
        <v>Married</v>
      </c>
      <c r="AU282" t="str">
        <f>IF(ifood_data[[#This Row],[education_Basic]]=1,"High School",(IF(ifood_data[[#This Row],[education_Graduation]]=1,"Undergraduate Degree",(IF(SUM(AM282,AL282,AI282)&gt;0,"Master's Degree or Higher","Other")))))</f>
        <v>Undergraduate Degree</v>
      </c>
      <c r="AV282" t="str">
        <f>IF(ifood_data[[#All],[Income]]&gt;75000,"75K+",(IF(ifood_data[[#All],[Income]]&gt;50000,"50K-75K",(IF(ifood_data[[#All],[Income]]&gt;35000,"35K-50K","&lt;35K")))))</f>
        <v>50K-75K</v>
      </c>
      <c r="AW282" t="str">
        <f>IF(ifood_data[[#All],[Age]]&gt;60,"60+",(IF(ifood_data[[#All],[Age]]&gt;50,"50-60",(IF(ifood_data[[#All],[Age]]&gt;40,"40-50",(IF(ifood_data[[#All],[Age]]&gt;30,"30-40","&lt;30")))))))</f>
        <v>60+</v>
      </c>
      <c r="AX282">
        <f t="shared" si="16"/>
        <v>15</v>
      </c>
      <c r="AY282">
        <f t="shared" si="17"/>
        <v>1.9999999999999996</v>
      </c>
      <c r="AZ282">
        <f t="shared" si="18"/>
        <v>2</v>
      </c>
      <c r="BA282">
        <f t="shared" si="19"/>
        <v>7</v>
      </c>
      <c r="BB282">
        <f>SUM(ifood_data[[#This Row],[Recency Score]:[Monetary Score]])</f>
        <v>11</v>
      </c>
      <c r="BC282">
        <f>(_xlfn.PERCENTRANK.INC(ifood_data[[#All],[RFM]],ifood_data[[#This Row],[RFM]],1))*10</f>
        <v>2</v>
      </c>
      <c r="BD282" t="str">
        <f>VLOOKUP(ifood_data[[#This Row],[RFM Score]],'RFM Analysis'!$A$3:$B$14,2,FALSE)</f>
        <v>At Risk</v>
      </c>
      <c r="BE282">
        <f>'Regression Models'!$B$101+'Regression Models'!$B$102*ifood_data[[#This Row],[Income]]+'Regression Models'!$B$103*ifood_data[[#This Row],[Age]]+'Regression Models'!$B$104*ifood_data[[#This Row],[Family]]</f>
        <v>1207.0492361084878</v>
      </c>
      <c r="BF282" t="str">
        <f>IF(ifood_data[[#This Row],[AcceptedCmpOverall]]=1,"Campaign Respondent","Non-respondent")</f>
        <v>Non-respondent</v>
      </c>
    </row>
    <row r="283" spans="1:58" x14ac:dyDescent="0.35">
      <c r="A283">
        <v>1693</v>
      </c>
      <c r="B283">
        <v>72159</v>
      </c>
      <c r="C283">
        <v>0</v>
      </c>
      <c r="D283">
        <v>0</v>
      </c>
      <c r="E283">
        <v>62</v>
      </c>
      <c r="F283">
        <v>322</v>
      </c>
      <c r="G283">
        <v>53</v>
      </c>
      <c r="H283">
        <v>899</v>
      </c>
      <c r="I283">
        <v>34</v>
      </c>
      <c r="J283">
        <v>40</v>
      </c>
      <c r="K283">
        <v>53</v>
      </c>
      <c r="L283">
        <v>1</v>
      </c>
      <c r="M283">
        <v>4</v>
      </c>
      <c r="N283">
        <v>6</v>
      </c>
      <c r="O283">
        <v>10</v>
      </c>
      <c r="P283">
        <v>2</v>
      </c>
      <c r="Q283">
        <v>0</v>
      </c>
      <c r="R283">
        <v>0</v>
      </c>
      <c r="S283">
        <v>0</v>
      </c>
      <c r="T283">
        <v>0</v>
      </c>
      <c r="U283">
        <v>0</v>
      </c>
      <c r="V283">
        <f>IF(SUM(ifood_data[[#This Row],[AcceptedCmp1]:[AcceptedCmp5]])&gt;0,1,0)</f>
        <v>0</v>
      </c>
      <c r="W283">
        <v>0</v>
      </c>
      <c r="X283">
        <v>3</v>
      </c>
      <c r="Y283">
        <v>11</v>
      </c>
      <c r="Z283">
        <v>0</v>
      </c>
      <c r="AA283">
        <v>42</v>
      </c>
      <c r="AB283">
        <v>2767</v>
      </c>
      <c r="AC283" s="28">
        <f>ifood_data[[#This Row],[Customer_Days]]/365</f>
        <v>7.580821917808219</v>
      </c>
      <c r="AD283">
        <v>0</v>
      </c>
      <c r="AE283">
        <v>1</v>
      </c>
      <c r="AF283">
        <v>0</v>
      </c>
      <c r="AG283">
        <v>0</v>
      </c>
      <c r="AH283">
        <v>0</v>
      </c>
      <c r="AI283">
        <v>0</v>
      </c>
      <c r="AJ283">
        <v>0</v>
      </c>
      <c r="AK283">
        <v>0</v>
      </c>
      <c r="AL283">
        <v>0</v>
      </c>
      <c r="AM283">
        <v>1</v>
      </c>
      <c r="AN283">
        <v>1348</v>
      </c>
      <c r="AO283">
        <v>1295</v>
      </c>
      <c r="AP283">
        <f>ifood_data[[#This Row],[MntTotal]]-ifood_data[[#This Row],[MntRegularProds]]</f>
        <v>53</v>
      </c>
      <c r="AQ283">
        <v>0</v>
      </c>
      <c r="AR283">
        <f>IF(SUM(ifood_data[[#This Row],[Kidhome]:[Teenhome]])&gt;0,1,0)</f>
        <v>0</v>
      </c>
      <c r="AS283" t="str">
        <f>IF(SUM(ifood_data[[#This Row],[Kidhome]:[Teenhome]])&gt;0,"Has Family","No Family")</f>
        <v>No Family</v>
      </c>
      <c r="AT283" t="str">
        <f>IF(ifood_data[[#This Row],[marital_Married]]=1,"Married", (IF(ifood_data[[#This Row],[marital_Single]]=1,"Single",(IF(ifood_data[[#This Row],[marital_Divorced]]=1,"Divorced",(IF(ifood_data[[#This Row],[marital_Together]]=1,"Living Together",(IF(ifood_data[[#This Row],[marital_Widow]]=1,"Widow","Other")))))))))</f>
        <v>Married</v>
      </c>
      <c r="AU283" t="str">
        <f>IF(ifood_data[[#This Row],[education_Basic]]=1,"High School",(IF(ifood_data[[#This Row],[education_Graduation]]=1,"Undergraduate Degree",(IF(SUM(AM283,AL283,AI283)&gt;0,"Master's Degree or Higher","Other")))))</f>
        <v>Master's Degree or Higher</v>
      </c>
      <c r="AV283" t="str">
        <f>IF(ifood_data[[#All],[Income]]&gt;75000,"75K+",(IF(ifood_data[[#All],[Income]]&gt;50000,"50K-75K",(IF(ifood_data[[#All],[Income]]&gt;35000,"35K-50K","&lt;35K")))))</f>
        <v>50K-75K</v>
      </c>
      <c r="AW283" t="str">
        <f>IF(ifood_data[[#All],[Age]]&gt;60,"60+",(IF(ifood_data[[#All],[Age]]&gt;50,"50-60",(IF(ifood_data[[#All],[Age]]&gt;40,"40-50",(IF(ifood_data[[#All],[Age]]&gt;30,"30-40","&lt;30")))))))</f>
        <v>40-50</v>
      </c>
      <c r="AX283">
        <f t="shared" si="16"/>
        <v>23</v>
      </c>
      <c r="AY283">
        <f t="shared" si="17"/>
        <v>4</v>
      </c>
      <c r="AZ283">
        <f t="shared" si="18"/>
        <v>6</v>
      </c>
      <c r="BA283">
        <f t="shared" si="19"/>
        <v>8</v>
      </c>
      <c r="BB283">
        <f>SUM(ifood_data[[#This Row],[Recency Score]:[Monetary Score]])</f>
        <v>18</v>
      </c>
      <c r="BC283">
        <f>(_xlfn.PERCENTRANK.INC(ifood_data[[#All],[RFM]],ifood_data[[#This Row],[RFM]],1))*10</f>
        <v>6</v>
      </c>
      <c r="BD283" t="str">
        <f>VLOOKUP(ifood_data[[#This Row],[RFM Score]],'RFM Analysis'!$A$3:$B$14,2,FALSE)</f>
        <v>Promising</v>
      </c>
      <c r="BE283">
        <f>'Regression Models'!$B$101+'Regression Models'!$B$102*ifood_data[[#This Row],[Income]]+'Regression Models'!$B$103*ifood_data[[#This Row],[Age]]+'Regression Models'!$B$104*ifood_data[[#This Row],[Family]]</f>
        <v>1206.2874229075737</v>
      </c>
      <c r="BF283" t="str">
        <f>IF(ifood_data[[#This Row],[AcceptedCmpOverall]]=1,"Campaign Respondent","Non-respondent")</f>
        <v>Non-respondent</v>
      </c>
    </row>
    <row r="284" spans="1:58" x14ac:dyDescent="0.35">
      <c r="A284">
        <v>1782</v>
      </c>
      <c r="B284">
        <v>72335</v>
      </c>
      <c r="C284">
        <v>0</v>
      </c>
      <c r="D284">
        <v>0</v>
      </c>
      <c r="E284">
        <v>2</v>
      </c>
      <c r="F284">
        <v>1285</v>
      </c>
      <c r="G284">
        <v>105</v>
      </c>
      <c r="H284">
        <v>653</v>
      </c>
      <c r="I284">
        <v>28</v>
      </c>
      <c r="J284">
        <v>21</v>
      </c>
      <c r="K284">
        <v>0</v>
      </c>
      <c r="L284">
        <v>1</v>
      </c>
      <c r="M284">
        <v>10</v>
      </c>
      <c r="N284">
        <v>4</v>
      </c>
      <c r="O284">
        <v>8</v>
      </c>
      <c r="P284">
        <v>8</v>
      </c>
      <c r="Q284">
        <v>0</v>
      </c>
      <c r="R284">
        <v>0</v>
      </c>
      <c r="S284">
        <v>0</v>
      </c>
      <c r="T284">
        <v>0</v>
      </c>
      <c r="U284">
        <v>0</v>
      </c>
      <c r="V284">
        <f>IF(SUM(ifood_data[[#This Row],[AcceptedCmp1]:[AcceptedCmp5]])&gt;0,1,0)</f>
        <v>0</v>
      </c>
      <c r="W284">
        <v>0</v>
      </c>
      <c r="X284">
        <v>3</v>
      </c>
      <c r="Y284">
        <v>11</v>
      </c>
      <c r="Z284">
        <v>1</v>
      </c>
      <c r="AA284">
        <v>44</v>
      </c>
      <c r="AB284">
        <v>2844</v>
      </c>
      <c r="AC284" s="28">
        <f>ifood_data[[#This Row],[Customer_Days]]/365</f>
        <v>7.7917808219178086</v>
      </c>
      <c r="AD284">
        <v>0</v>
      </c>
      <c r="AE284">
        <v>0</v>
      </c>
      <c r="AF284">
        <v>0</v>
      </c>
      <c r="AG284">
        <v>1</v>
      </c>
      <c r="AH284">
        <v>0</v>
      </c>
      <c r="AI284">
        <v>0</v>
      </c>
      <c r="AJ284">
        <v>0</v>
      </c>
      <c r="AK284">
        <v>0</v>
      </c>
      <c r="AL284">
        <v>0</v>
      </c>
      <c r="AM284">
        <v>1</v>
      </c>
      <c r="AN284">
        <v>2092</v>
      </c>
      <c r="AO284">
        <v>2092</v>
      </c>
      <c r="AP284">
        <f>ifood_data[[#This Row],[MntTotal]]-ifood_data[[#This Row],[MntRegularProds]]</f>
        <v>0</v>
      </c>
      <c r="AQ284">
        <v>0</v>
      </c>
      <c r="AR284">
        <f>IF(SUM(ifood_data[[#This Row],[Kidhome]:[Teenhome]])&gt;0,1,0)</f>
        <v>0</v>
      </c>
      <c r="AS284" t="str">
        <f>IF(SUM(ifood_data[[#This Row],[Kidhome]:[Teenhome]])&gt;0,"Has Family","No Family")</f>
        <v>No Family</v>
      </c>
      <c r="AT284" t="str">
        <f>IF(ifood_data[[#This Row],[marital_Married]]=1,"Married", (IF(ifood_data[[#This Row],[marital_Single]]=1,"Single",(IF(ifood_data[[#This Row],[marital_Divorced]]=1,"Divorced",(IF(ifood_data[[#This Row],[marital_Together]]=1,"Living Together",(IF(ifood_data[[#This Row],[marital_Widow]]=1,"Widow","Other")))))))))</f>
        <v>Living Together</v>
      </c>
      <c r="AU284" t="str">
        <f>IF(ifood_data[[#This Row],[education_Basic]]=1,"High School",(IF(ifood_data[[#This Row],[education_Graduation]]=1,"Undergraduate Degree",(IF(SUM(AM284,AL284,AI284)&gt;0,"Master's Degree or Higher","Other")))))</f>
        <v>Master's Degree or Higher</v>
      </c>
      <c r="AV284" t="str">
        <f>IF(ifood_data[[#All],[Income]]&gt;75000,"75K+",(IF(ifood_data[[#All],[Income]]&gt;50000,"50K-75K",(IF(ifood_data[[#All],[Income]]&gt;35000,"35K-50K","&lt;35K")))))</f>
        <v>50K-75K</v>
      </c>
      <c r="AW284" t="str">
        <f>IF(ifood_data[[#All],[Age]]&gt;60,"60+",(IF(ifood_data[[#All],[Age]]&gt;50,"50-60",(IF(ifood_data[[#All],[Age]]&gt;40,"40-50",(IF(ifood_data[[#All],[Age]]&gt;30,"30-40","&lt;30")))))))</f>
        <v>40-50</v>
      </c>
      <c r="AX284">
        <f t="shared" si="16"/>
        <v>31</v>
      </c>
      <c r="AY284">
        <f t="shared" si="17"/>
        <v>10</v>
      </c>
      <c r="AZ284">
        <f t="shared" si="18"/>
        <v>9</v>
      </c>
      <c r="BA284">
        <f t="shared" si="19"/>
        <v>9</v>
      </c>
      <c r="BB284">
        <f>SUM(ifood_data[[#This Row],[Recency Score]:[Monetary Score]])</f>
        <v>28</v>
      </c>
      <c r="BC284">
        <f>(_xlfn.PERCENTRANK.INC(ifood_data[[#All],[RFM]],ifood_data[[#This Row],[RFM]],1))*10</f>
        <v>9</v>
      </c>
      <c r="BD284" t="str">
        <f>VLOOKUP(ifood_data[[#This Row],[RFM Score]],'RFM Analysis'!$A$3:$B$14,2,FALSE)</f>
        <v>Top Customer</v>
      </c>
      <c r="BE284">
        <f>'Regression Models'!$B$101+'Regression Models'!$B$102*ifood_data[[#This Row],[Income]]+'Regression Models'!$B$103*ifood_data[[#This Row],[Age]]+'Regression Models'!$B$104*ifood_data[[#This Row],[Family]]</f>
        <v>1206.2029679431112</v>
      </c>
      <c r="BF284" t="str">
        <f>IF(ifood_data[[#This Row],[AcceptedCmpOverall]]=1,"Campaign Respondent","Non-respondent")</f>
        <v>Non-respondent</v>
      </c>
    </row>
    <row r="285" spans="1:58" x14ac:dyDescent="0.35">
      <c r="A285">
        <v>1931</v>
      </c>
      <c r="B285">
        <v>72309</v>
      </c>
      <c r="C285">
        <v>0</v>
      </c>
      <c r="D285">
        <v>0</v>
      </c>
      <c r="E285">
        <v>64</v>
      </c>
      <c r="F285">
        <v>960</v>
      </c>
      <c r="G285">
        <v>0</v>
      </c>
      <c r="H285">
        <v>883</v>
      </c>
      <c r="I285">
        <v>50</v>
      </c>
      <c r="J285">
        <v>38</v>
      </c>
      <c r="K285">
        <v>0</v>
      </c>
      <c r="L285">
        <v>1</v>
      </c>
      <c r="M285">
        <v>5</v>
      </c>
      <c r="N285">
        <v>6</v>
      </c>
      <c r="O285">
        <v>8</v>
      </c>
      <c r="P285">
        <v>3</v>
      </c>
      <c r="Q285">
        <v>1</v>
      </c>
      <c r="R285">
        <v>0</v>
      </c>
      <c r="S285">
        <v>0</v>
      </c>
      <c r="T285">
        <v>0</v>
      </c>
      <c r="U285">
        <v>0</v>
      </c>
      <c r="V285">
        <f>IF(SUM(ifood_data[[#This Row],[AcceptedCmp1]:[AcceptedCmp5]])&gt;0,1,0)</f>
        <v>1</v>
      </c>
      <c r="W285">
        <v>0</v>
      </c>
      <c r="X285">
        <v>3</v>
      </c>
      <c r="Y285">
        <v>11</v>
      </c>
      <c r="Z285">
        <v>1</v>
      </c>
      <c r="AA285">
        <v>44</v>
      </c>
      <c r="AB285">
        <v>2634</v>
      </c>
      <c r="AC285" s="28">
        <f>ifood_data[[#This Row],[Customer_Days]]/365</f>
        <v>7.2164383561643834</v>
      </c>
      <c r="AD285">
        <v>0</v>
      </c>
      <c r="AE285">
        <v>0</v>
      </c>
      <c r="AF285">
        <v>1</v>
      </c>
      <c r="AG285">
        <v>0</v>
      </c>
      <c r="AH285">
        <v>0</v>
      </c>
      <c r="AI285">
        <v>0</v>
      </c>
      <c r="AJ285">
        <v>0</v>
      </c>
      <c r="AK285">
        <v>0</v>
      </c>
      <c r="AL285">
        <v>1</v>
      </c>
      <c r="AM285">
        <v>0</v>
      </c>
      <c r="AN285">
        <v>1931</v>
      </c>
      <c r="AO285">
        <v>1931</v>
      </c>
      <c r="AP285">
        <f>ifood_data[[#This Row],[MntTotal]]-ifood_data[[#This Row],[MntRegularProds]]</f>
        <v>0</v>
      </c>
      <c r="AQ285">
        <v>1</v>
      </c>
      <c r="AR285">
        <f>IF(SUM(ifood_data[[#This Row],[Kidhome]:[Teenhome]])&gt;0,1,0)</f>
        <v>0</v>
      </c>
      <c r="AS285" t="str">
        <f>IF(SUM(ifood_data[[#This Row],[Kidhome]:[Teenhome]])&gt;0,"Has Family","No Family")</f>
        <v>No Family</v>
      </c>
      <c r="AT285" t="str">
        <f>IF(ifood_data[[#This Row],[marital_Married]]=1,"Married", (IF(ifood_data[[#This Row],[marital_Single]]=1,"Single",(IF(ifood_data[[#This Row],[marital_Divorced]]=1,"Divorced",(IF(ifood_data[[#This Row],[marital_Together]]=1,"Living Together",(IF(ifood_data[[#This Row],[marital_Widow]]=1,"Widow","Other")))))))))</f>
        <v>Single</v>
      </c>
      <c r="AU285" t="str">
        <f>IF(ifood_data[[#This Row],[education_Basic]]=1,"High School",(IF(ifood_data[[#This Row],[education_Graduation]]=1,"Undergraduate Degree",(IF(SUM(AM285,AL285,AI285)&gt;0,"Master's Degree or Higher","Other")))))</f>
        <v>Master's Degree or Higher</v>
      </c>
      <c r="AV285" t="str">
        <f>IF(ifood_data[[#All],[Income]]&gt;75000,"75K+",(IF(ifood_data[[#All],[Income]]&gt;50000,"50K-75K",(IF(ifood_data[[#All],[Income]]&gt;35000,"35K-50K","&lt;35K")))))</f>
        <v>50K-75K</v>
      </c>
      <c r="AW285" t="str">
        <f>IF(ifood_data[[#All],[Age]]&gt;60,"60+",(IF(ifood_data[[#All],[Age]]&gt;50,"50-60",(IF(ifood_data[[#All],[Age]]&gt;40,"40-50",(IF(ifood_data[[#All],[Age]]&gt;30,"30-40","&lt;30")))))))</f>
        <v>40-50</v>
      </c>
      <c r="AX285">
        <f t="shared" si="16"/>
        <v>23</v>
      </c>
      <c r="AY285">
        <f t="shared" si="17"/>
        <v>4</v>
      </c>
      <c r="AZ285">
        <f t="shared" si="18"/>
        <v>6</v>
      </c>
      <c r="BA285">
        <f t="shared" si="19"/>
        <v>9</v>
      </c>
      <c r="BB285">
        <f>SUM(ifood_data[[#This Row],[Recency Score]:[Monetary Score]])</f>
        <v>19</v>
      </c>
      <c r="BC285">
        <f>(_xlfn.PERCENTRANK.INC(ifood_data[[#All],[RFM]],ifood_data[[#This Row],[RFM]],1))*10</f>
        <v>7</v>
      </c>
      <c r="BD285" t="str">
        <f>VLOOKUP(ifood_data[[#This Row],[RFM Score]],'RFM Analysis'!$A$3:$B$14,2,FALSE)</f>
        <v>Loyal Customer</v>
      </c>
      <c r="BE285">
        <f>'Regression Models'!$B$101+'Regression Models'!$B$102*ifood_data[[#This Row],[Income]]+'Regression Models'!$B$103*ifood_data[[#This Row],[Age]]+'Regression Models'!$B$104*ifood_data[[#This Row],[Family]]</f>
        <v>1205.6728599713701</v>
      </c>
      <c r="BF285" t="str">
        <f>IF(ifood_data[[#This Row],[AcceptedCmpOverall]]=1,"Campaign Respondent","Non-respondent")</f>
        <v>Campaign Respondent</v>
      </c>
    </row>
    <row r="286" spans="1:58" x14ac:dyDescent="0.35">
      <c r="A286">
        <v>1269</v>
      </c>
      <c r="B286">
        <v>70515</v>
      </c>
      <c r="C286">
        <v>0</v>
      </c>
      <c r="D286">
        <v>0</v>
      </c>
      <c r="E286">
        <v>12</v>
      </c>
      <c r="F286">
        <v>420</v>
      </c>
      <c r="G286">
        <v>0</v>
      </c>
      <c r="H286">
        <v>452</v>
      </c>
      <c r="I286">
        <v>182</v>
      </c>
      <c r="J286">
        <v>64</v>
      </c>
      <c r="K286">
        <v>140</v>
      </c>
      <c r="L286">
        <v>1</v>
      </c>
      <c r="M286">
        <v>6</v>
      </c>
      <c r="N286">
        <v>6</v>
      </c>
      <c r="O286">
        <v>4</v>
      </c>
      <c r="P286">
        <v>2</v>
      </c>
      <c r="Q286">
        <v>0</v>
      </c>
      <c r="R286">
        <v>0</v>
      </c>
      <c r="S286">
        <v>0</v>
      </c>
      <c r="T286">
        <v>0</v>
      </c>
      <c r="U286">
        <v>0</v>
      </c>
      <c r="V286">
        <f>IF(SUM(ifood_data[[#This Row],[AcceptedCmp1]:[AcceptedCmp5]])&gt;0,1,0)</f>
        <v>0</v>
      </c>
      <c r="W286">
        <v>0</v>
      </c>
      <c r="X286">
        <v>3</v>
      </c>
      <c r="Y286">
        <v>11</v>
      </c>
      <c r="Z286">
        <v>1</v>
      </c>
      <c r="AA286">
        <v>27</v>
      </c>
      <c r="AB286">
        <v>2410</v>
      </c>
      <c r="AC286" s="28">
        <f>ifood_data[[#This Row],[Customer_Days]]/365</f>
        <v>6.602739726027397</v>
      </c>
      <c r="AD286">
        <v>0</v>
      </c>
      <c r="AE286">
        <v>0</v>
      </c>
      <c r="AF286">
        <v>1</v>
      </c>
      <c r="AG286">
        <v>0</v>
      </c>
      <c r="AH286">
        <v>0</v>
      </c>
      <c r="AI286">
        <v>0</v>
      </c>
      <c r="AJ286">
        <v>0</v>
      </c>
      <c r="AK286">
        <v>1</v>
      </c>
      <c r="AL286">
        <v>0</v>
      </c>
      <c r="AM286">
        <v>0</v>
      </c>
      <c r="AN286">
        <v>1118</v>
      </c>
      <c r="AO286">
        <v>978</v>
      </c>
      <c r="AP286">
        <f>ifood_data[[#This Row],[MntTotal]]-ifood_data[[#This Row],[MntRegularProds]]</f>
        <v>140</v>
      </c>
      <c r="AQ286">
        <v>0</v>
      </c>
      <c r="AR286">
        <f>IF(SUM(ifood_data[[#This Row],[Kidhome]:[Teenhome]])&gt;0,1,0)</f>
        <v>0</v>
      </c>
      <c r="AS286" t="str">
        <f>IF(SUM(ifood_data[[#This Row],[Kidhome]:[Teenhome]])&gt;0,"Has Family","No Family")</f>
        <v>No Family</v>
      </c>
      <c r="AT286" t="str">
        <f>IF(ifood_data[[#This Row],[marital_Married]]=1,"Married", (IF(ifood_data[[#This Row],[marital_Single]]=1,"Single",(IF(ifood_data[[#This Row],[marital_Divorced]]=1,"Divorced",(IF(ifood_data[[#This Row],[marital_Together]]=1,"Living Together",(IF(ifood_data[[#This Row],[marital_Widow]]=1,"Widow","Other")))))))))</f>
        <v>Single</v>
      </c>
      <c r="AU286" t="str">
        <f>IF(ifood_data[[#This Row],[education_Basic]]=1,"High School",(IF(ifood_data[[#This Row],[education_Graduation]]=1,"Undergraduate Degree",(IF(SUM(AM286,AL286,AI286)&gt;0,"Master's Degree or Higher","Other")))))</f>
        <v>Undergraduate Degree</v>
      </c>
      <c r="AV286" t="str">
        <f>IF(ifood_data[[#All],[Income]]&gt;75000,"75K+",(IF(ifood_data[[#All],[Income]]&gt;50000,"50K-75K",(IF(ifood_data[[#All],[Income]]&gt;35000,"35K-50K","&lt;35K")))))</f>
        <v>50K-75K</v>
      </c>
      <c r="AW286" t="str">
        <f>IF(ifood_data[[#All],[Age]]&gt;60,"60+",(IF(ifood_data[[#All],[Age]]&gt;50,"50-60",(IF(ifood_data[[#All],[Age]]&gt;40,"40-50",(IF(ifood_data[[#All],[Age]]&gt;30,"30-40","&lt;30")))))))</f>
        <v>&lt;30</v>
      </c>
      <c r="AX286">
        <f t="shared" si="16"/>
        <v>19</v>
      </c>
      <c r="AY286">
        <f t="shared" si="17"/>
        <v>9</v>
      </c>
      <c r="AZ286">
        <f t="shared" si="18"/>
        <v>4</v>
      </c>
      <c r="BA286">
        <f t="shared" si="19"/>
        <v>8</v>
      </c>
      <c r="BB286">
        <f>SUM(ifood_data[[#This Row],[Recency Score]:[Monetary Score]])</f>
        <v>21</v>
      </c>
      <c r="BC286">
        <f>(_xlfn.PERCENTRANK.INC(ifood_data[[#All],[RFM]],ifood_data[[#This Row],[RFM]],1))*10</f>
        <v>8</v>
      </c>
      <c r="BD286" t="str">
        <f>VLOOKUP(ifood_data[[#This Row],[RFM Score]],'RFM Analysis'!$A$3:$B$14,2,FALSE)</f>
        <v>Loyal Customer</v>
      </c>
      <c r="BE286">
        <f>'Regression Models'!$B$101+'Regression Models'!$B$102*ifood_data[[#This Row],[Income]]+'Regression Models'!$B$103*ifood_data[[#This Row],[Age]]+'Regression Models'!$B$104*ifood_data[[#This Row],[Family]]</f>
        <v>1200.314874262418</v>
      </c>
      <c r="BF286" t="str">
        <f>IF(ifood_data[[#This Row],[AcceptedCmpOverall]]=1,"Campaign Respondent","Non-respondent")</f>
        <v>Non-respondent</v>
      </c>
    </row>
    <row r="287" spans="1:58" x14ac:dyDescent="0.35">
      <c r="A287">
        <v>533</v>
      </c>
      <c r="B287">
        <v>87771</v>
      </c>
      <c r="C287">
        <v>0</v>
      </c>
      <c r="D287">
        <v>1</v>
      </c>
      <c r="E287">
        <v>61</v>
      </c>
      <c r="F287">
        <v>1492</v>
      </c>
      <c r="G287">
        <v>38</v>
      </c>
      <c r="H287">
        <v>287</v>
      </c>
      <c r="I287">
        <v>50</v>
      </c>
      <c r="J287">
        <v>57</v>
      </c>
      <c r="K287">
        <v>33</v>
      </c>
      <c r="L287">
        <v>1</v>
      </c>
      <c r="M287">
        <v>5</v>
      </c>
      <c r="N287">
        <v>10</v>
      </c>
      <c r="O287">
        <v>4</v>
      </c>
      <c r="P287">
        <v>6</v>
      </c>
      <c r="Q287">
        <v>1</v>
      </c>
      <c r="R287">
        <v>1</v>
      </c>
      <c r="S287">
        <v>0</v>
      </c>
      <c r="T287">
        <v>1</v>
      </c>
      <c r="U287">
        <v>1</v>
      </c>
      <c r="V287">
        <f>IF(SUM(ifood_data[[#This Row],[AcceptedCmp1]:[AcceptedCmp5]])&gt;0,1,0)</f>
        <v>1</v>
      </c>
      <c r="W287">
        <v>0</v>
      </c>
      <c r="X287">
        <v>3</v>
      </c>
      <c r="Y287">
        <v>11</v>
      </c>
      <c r="Z287">
        <v>1</v>
      </c>
      <c r="AA287">
        <v>61</v>
      </c>
      <c r="AB287">
        <v>2562</v>
      </c>
      <c r="AC287" s="28">
        <f>ifood_data[[#This Row],[Customer_Days]]/365</f>
        <v>7.0191780821917806</v>
      </c>
      <c r="AD287">
        <v>0</v>
      </c>
      <c r="AE287">
        <v>0</v>
      </c>
      <c r="AF287">
        <v>0</v>
      </c>
      <c r="AG287">
        <v>1</v>
      </c>
      <c r="AH287">
        <v>0</v>
      </c>
      <c r="AI287">
        <v>0</v>
      </c>
      <c r="AJ287">
        <v>0</v>
      </c>
      <c r="AK287">
        <v>1</v>
      </c>
      <c r="AL287">
        <v>0</v>
      </c>
      <c r="AM287">
        <v>0</v>
      </c>
      <c r="AN287">
        <v>1924</v>
      </c>
      <c r="AO287">
        <v>1891</v>
      </c>
      <c r="AP287">
        <f>ifood_data[[#This Row],[MntTotal]]-ifood_data[[#This Row],[MntRegularProds]]</f>
        <v>33</v>
      </c>
      <c r="AQ287">
        <v>4</v>
      </c>
      <c r="AR287">
        <f>IF(SUM(ifood_data[[#This Row],[Kidhome]:[Teenhome]])&gt;0,1,0)</f>
        <v>1</v>
      </c>
      <c r="AS287" t="str">
        <f>IF(SUM(ifood_data[[#This Row],[Kidhome]:[Teenhome]])&gt;0,"Has Family","No Family")</f>
        <v>Has Family</v>
      </c>
      <c r="AT287" t="str">
        <f>IF(ifood_data[[#This Row],[marital_Married]]=1,"Married", (IF(ifood_data[[#This Row],[marital_Single]]=1,"Single",(IF(ifood_data[[#This Row],[marital_Divorced]]=1,"Divorced",(IF(ifood_data[[#This Row],[marital_Together]]=1,"Living Together",(IF(ifood_data[[#This Row],[marital_Widow]]=1,"Widow","Other")))))))))</f>
        <v>Living Together</v>
      </c>
      <c r="AU287" t="str">
        <f>IF(ifood_data[[#This Row],[education_Basic]]=1,"High School",(IF(ifood_data[[#This Row],[education_Graduation]]=1,"Undergraduate Degree",(IF(SUM(AM287,AL287,AI287)&gt;0,"Master's Degree or Higher","Other")))))</f>
        <v>Undergraduate Degree</v>
      </c>
      <c r="AV287" t="str">
        <f>IF(ifood_data[[#All],[Income]]&gt;75000,"75K+",(IF(ifood_data[[#All],[Income]]&gt;50000,"50K-75K",(IF(ifood_data[[#All],[Income]]&gt;35000,"35K-50K","&lt;35K")))))</f>
        <v>75K+</v>
      </c>
      <c r="AW287" t="str">
        <f>IF(ifood_data[[#All],[Age]]&gt;60,"60+",(IF(ifood_data[[#All],[Age]]&gt;50,"50-60",(IF(ifood_data[[#All],[Age]]&gt;40,"40-50",(IF(ifood_data[[#All],[Age]]&gt;30,"30-40","&lt;30")))))))</f>
        <v>60+</v>
      </c>
      <c r="AX287">
        <f t="shared" si="16"/>
        <v>26</v>
      </c>
      <c r="AY287">
        <f t="shared" si="17"/>
        <v>4</v>
      </c>
      <c r="AZ287">
        <f t="shared" si="18"/>
        <v>7</v>
      </c>
      <c r="BA287">
        <f t="shared" si="19"/>
        <v>9</v>
      </c>
      <c r="BB287">
        <f>SUM(ifood_data[[#This Row],[Recency Score]:[Monetary Score]])</f>
        <v>20</v>
      </c>
      <c r="BC287">
        <f>(_xlfn.PERCENTRANK.INC(ifood_data[[#All],[RFM]],ifood_data[[#This Row],[RFM]],1))*10</f>
        <v>7</v>
      </c>
      <c r="BD287" t="str">
        <f>VLOOKUP(ifood_data[[#This Row],[RFM Score]],'RFM Analysis'!$A$3:$B$14,2,FALSE)</f>
        <v>Loyal Customer</v>
      </c>
      <c r="BE287">
        <f>'Regression Models'!$B$101+'Regression Models'!$B$102*ifood_data[[#This Row],[Income]]+'Regression Models'!$B$103*ifood_data[[#This Row],[Age]]+'Regression Models'!$B$104*ifood_data[[#This Row],[Family]]</f>
        <v>1200.0908975981165</v>
      </c>
      <c r="BF287" t="str">
        <f>IF(ifood_data[[#This Row],[AcceptedCmpOverall]]=1,"Campaign Respondent","Non-respondent")</f>
        <v>Campaign Respondent</v>
      </c>
    </row>
    <row r="288" spans="1:58" x14ac:dyDescent="0.35">
      <c r="A288">
        <v>1203</v>
      </c>
      <c r="B288">
        <v>71847</v>
      </c>
      <c r="C288">
        <v>0</v>
      </c>
      <c r="D288">
        <v>0</v>
      </c>
      <c r="E288">
        <v>95</v>
      </c>
      <c r="F288">
        <v>737</v>
      </c>
      <c r="G288">
        <v>21</v>
      </c>
      <c r="H288">
        <v>106</v>
      </c>
      <c r="I288">
        <v>55</v>
      </c>
      <c r="J288">
        <v>63</v>
      </c>
      <c r="K288">
        <v>210</v>
      </c>
      <c r="L288">
        <v>0</v>
      </c>
      <c r="M288">
        <v>6</v>
      </c>
      <c r="N288">
        <v>7</v>
      </c>
      <c r="O288">
        <v>9</v>
      </c>
      <c r="P288">
        <v>3</v>
      </c>
      <c r="Q288">
        <v>1</v>
      </c>
      <c r="R288">
        <v>0</v>
      </c>
      <c r="S288">
        <v>0</v>
      </c>
      <c r="T288">
        <v>0</v>
      </c>
      <c r="U288">
        <v>0</v>
      </c>
      <c r="V288">
        <f>IF(SUM(ifood_data[[#This Row],[AcceptedCmp1]:[AcceptedCmp5]])&gt;0,1,0)</f>
        <v>1</v>
      </c>
      <c r="W288">
        <v>0</v>
      </c>
      <c r="X288">
        <v>3</v>
      </c>
      <c r="Y288">
        <v>11</v>
      </c>
      <c r="Z288">
        <v>0</v>
      </c>
      <c r="AA288">
        <v>42</v>
      </c>
      <c r="AB288">
        <v>2805</v>
      </c>
      <c r="AC288" s="28">
        <f>ifood_data[[#This Row],[Customer_Days]]/365</f>
        <v>7.6849315068493151</v>
      </c>
      <c r="AD288">
        <v>1</v>
      </c>
      <c r="AE288">
        <v>0</v>
      </c>
      <c r="AF288">
        <v>0</v>
      </c>
      <c r="AG288">
        <v>0</v>
      </c>
      <c r="AH288">
        <v>0</v>
      </c>
      <c r="AI288">
        <v>0</v>
      </c>
      <c r="AJ288">
        <v>0</v>
      </c>
      <c r="AK288">
        <v>1</v>
      </c>
      <c r="AL288">
        <v>0</v>
      </c>
      <c r="AM288">
        <v>0</v>
      </c>
      <c r="AN288">
        <v>982</v>
      </c>
      <c r="AO288">
        <v>772</v>
      </c>
      <c r="AP288">
        <f>ifood_data[[#This Row],[MntTotal]]-ifood_data[[#This Row],[MntRegularProds]]</f>
        <v>210</v>
      </c>
      <c r="AQ288">
        <v>1</v>
      </c>
      <c r="AR288">
        <f>IF(SUM(ifood_data[[#This Row],[Kidhome]:[Teenhome]])&gt;0,1,0)</f>
        <v>0</v>
      </c>
      <c r="AS288" t="str">
        <f>IF(SUM(ifood_data[[#This Row],[Kidhome]:[Teenhome]])&gt;0,"Has Family","No Family")</f>
        <v>No Family</v>
      </c>
      <c r="AT288" t="str">
        <f>IF(ifood_data[[#This Row],[marital_Married]]=1,"Married", (IF(ifood_data[[#This Row],[marital_Single]]=1,"Single",(IF(ifood_data[[#This Row],[marital_Divorced]]=1,"Divorced",(IF(ifood_data[[#This Row],[marital_Together]]=1,"Living Together",(IF(ifood_data[[#This Row],[marital_Widow]]=1,"Widow","Other")))))))))</f>
        <v>Divorced</v>
      </c>
      <c r="AU288" t="str">
        <f>IF(ifood_data[[#This Row],[education_Basic]]=1,"High School",(IF(ifood_data[[#This Row],[education_Graduation]]=1,"Undergraduate Degree",(IF(SUM(AM288,AL288,AI288)&gt;0,"Master's Degree or Higher","Other")))))</f>
        <v>Undergraduate Degree</v>
      </c>
      <c r="AV288" t="str">
        <f>IF(ifood_data[[#All],[Income]]&gt;75000,"75K+",(IF(ifood_data[[#All],[Income]]&gt;50000,"50K-75K",(IF(ifood_data[[#All],[Income]]&gt;35000,"35K-50K","&lt;35K")))))</f>
        <v>50K-75K</v>
      </c>
      <c r="AW288" t="str">
        <f>IF(ifood_data[[#All],[Age]]&gt;60,"60+",(IF(ifood_data[[#All],[Age]]&gt;50,"50-60",(IF(ifood_data[[#All],[Age]]&gt;40,"40-50",(IF(ifood_data[[#All],[Age]]&gt;30,"30-40","&lt;30")))))))</f>
        <v>40-50</v>
      </c>
      <c r="AX288">
        <f t="shared" si="16"/>
        <v>25</v>
      </c>
      <c r="AY288">
        <f t="shared" si="17"/>
        <v>0.99999999999999978</v>
      </c>
      <c r="AZ288">
        <f t="shared" si="18"/>
        <v>7</v>
      </c>
      <c r="BA288">
        <f t="shared" si="19"/>
        <v>7</v>
      </c>
      <c r="BB288">
        <f>SUM(ifood_data[[#This Row],[Recency Score]:[Monetary Score]])</f>
        <v>15</v>
      </c>
      <c r="BC288">
        <f>(_xlfn.PERCENTRANK.INC(ifood_data[[#All],[RFM]],ifood_data[[#This Row],[RFM]],1))*10</f>
        <v>4</v>
      </c>
      <c r="BD288" t="str">
        <f>VLOOKUP(ifood_data[[#This Row],[RFM Score]],'RFM Analysis'!$A$3:$B$14,2,FALSE)</f>
        <v>At Risk</v>
      </c>
      <c r="BE288">
        <f>'Regression Models'!$B$101+'Regression Models'!$B$102*ifood_data[[#This Row],[Income]]+'Regression Models'!$B$103*ifood_data[[#This Row],[Age]]+'Regression Models'!$B$104*ifood_data[[#This Row],[Family]]</f>
        <v>1199.9261272466774</v>
      </c>
      <c r="BF288" t="str">
        <f>IF(ifood_data[[#This Row],[AcceptedCmpOverall]]=1,"Campaign Respondent","Non-respondent")</f>
        <v>Campaign Respondent</v>
      </c>
    </row>
    <row r="289" spans="1:58" x14ac:dyDescent="0.35">
      <c r="A289">
        <v>333</v>
      </c>
      <c r="B289">
        <v>72099</v>
      </c>
      <c r="C289">
        <v>0</v>
      </c>
      <c r="D289">
        <v>0</v>
      </c>
      <c r="E289">
        <v>18</v>
      </c>
      <c r="F289">
        <v>546</v>
      </c>
      <c r="G289">
        <v>91</v>
      </c>
      <c r="H289">
        <v>410</v>
      </c>
      <c r="I289">
        <v>119</v>
      </c>
      <c r="J289">
        <v>0</v>
      </c>
      <c r="K289">
        <v>22</v>
      </c>
      <c r="L289">
        <v>1</v>
      </c>
      <c r="M289">
        <v>3</v>
      </c>
      <c r="N289">
        <v>4</v>
      </c>
      <c r="O289">
        <v>10</v>
      </c>
      <c r="P289">
        <v>1</v>
      </c>
      <c r="Q289">
        <v>0</v>
      </c>
      <c r="R289">
        <v>0</v>
      </c>
      <c r="S289">
        <v>0</v>
      </c>
      <c r="T289">
        <v>0</v>
      </c>
      <c r="U289">
        <v>0</v>
      </c>
      <c r="V289">
        <f>IF(SUM(ifood_data[[#This Row],[AcceptedCmp1]:[AcceptedCmp5]])&gt;0,1,0)</f>
        <v>0</v>
      </c>
      <c r="W289">
        <v>0</v>
      </c>
      <c r="X289">
        <v>3</v>
      </c>
      <c r="Y289">
        <v>11</v>
      </c>
      <c r="Z289">
        <v>0</v>
      </c>
      <c r="AA289">
        <v>46</v>
      </c>
      <c r="AB289">
        <v>2769</v>
      </c>
      <c r="AC289" s="28">
        <f>ifood_data[[#This Row],[Customer_Days]]/365</f>
        <v>7.5863013698630137</v>
      </c>
      <c r="AD289">
        <v>0</v>
      </c>
      <c r="AE289">
        <v>1</v>
      </c>
      <c r="AF289">
        <v>0</v>
      </c>
      <c r="AG289">
        <v>0</v>
      </c>
      <c r="AH289">
        <v>0</v>
      </c>
      <c r="AI289">
        <v>0</v>
      </c>
      <c r="AJ289">
        <v>0</v>
      </c>
      <c r="AK289">
        <v>1</v>
      </c>
      <c r="AL289">
        <v>0</v>
      </c>
      <c r="AM289">
        <v>0</v>
      </c>
      <c r="AN289">
        <v>1166</v>
      </c>
      <c r="AO289">
        <v>1144</v>
      </c>
      <c r="AP289">
        <f>ifood_data[[#This Row],[MntTotal]]-ifood_data[[#This Row],[MntRegularProds]]</f>
        <v>22</v>
      </c>
      <c r="AQ289">
        <v>0</v>
      </c>
      <c r="AR289">
        <f>IF(SUM(ifood_data[[#This Row],[Kidhome]:[Teenhome]])&gt;0,1,0)</f>
        <v>0</v>
      </c>
      <c r="AS289" t="str">
        <f>IF(SUM(ifood_data[[#This Row],[Kidhome]:[Teenhome]])&gt;0,"Has Family","No Family")</f>
        <v>No Family</v>
      </c>
      <c r="AT289" t="str">
        <f>IF(ifood_data[[#This Row],[marital_Married]]=1,"Married", (IF(ifood_data[[#This Row],[marital_Single]]=1,"Single",(IF(ifood_data[[#This Row],[marital_Divorced]]=1,"Divorced",(IF(ifood_data[[#This Row],[marital_Together]]=1,"Living Together",(IF(ifood_data[[#This Row],[marital_Widow]]=1,"Widow","Other")))))))))</f>
        <v>Married</v>
      </c>
      <c r="AU289" t="str">
        <f>IF(ifood_data[[#This Row],[education_Basic]]=1,"High School",(IF(ifood_data[[#This Row],[education_Graduation]]=1,"Undergraduate Degree",(IF(SUM(AM289,AL289,AI289)&gt;0,"Master's Degree or Higher","Other")))))</f>
        <v>Undergraduate Degree</v>
      </c>
      <c r="AV289" t="str">
        <f>IF(ifood_data[[#All],[Income]]&gt;75000,"75K+",(IF(ifood_data[[#All],[Income]]&gt;50000,"50K-75K",(IF(ifood_data[[#All],[Income]]&gt;35000,"35K-50K","&lt;35K")))))</f>
        <v>50K-75K</v>
      </c>
      <c r="AW289" t="str">
        <f>IF(ifood_data[[#All],[Age]]&gt;60,"60+",(IF(ifood_data[[#All],[Age]]&gt;50,"50-60",(IF(ifood_data[[#All],[Age]]&gt;40,"40-50",(IF(ifood_data[[#All],[Age]]&gt;30,"30-40","&lt;30")))))))</f>
        <v>40-50</v>
      </c>
      <c r="AX289">
        <f t="shared" si="16"/>
        <v>19</v>
      </c>
      <c r="AY289">
        <f t="shared" si="17"/>
        <v>9</v>
      </c>
      <c r="AZ289">
        <f t="shared" si="18"/>
        <v>4</v>
      </c>
      <c r="BA289">
        <f t="shared" si="19"/>
        <v>8</v>
      </c>
      <c r="BB289">
        <f>SUM(ifood_data[[#This Row],[Recency Score]:[Monetary Score]])</f>
        <v>21</v>
      </c>
      <c r="BC289">
        <f>(_xlfn.PERCENTRANK.INC(ifood_data[[#All],[RFM]],ifood_data[[#This Row],[RFM]],1))*10</f>
        <v>8</v>
      </c>
      <c r="BD289" t="str">
        <f>VLOOKUP(ifood_data[[#This Row],[RFM Score]],'RFM Analysis'!$A$3:$B$14,2,FALSE)</f>
        <v>Loyal Customer</v>
      </c>
      <c r="BE289">
        <f>'Regression Models'!$B$101+'Regression Models'!$B$102*ifood_data[[#This Row],[Income]]+'Regression Models'!$B$103*ifood_data[[#This Row],[Age]]+'Regression Models'!$B$104*ifood_data[[#This Row],[Family]]</f>
        <v>1197.7183405033625</v>
      </c>
      <c r="BF289" t="str">
        <f>IF(ifood_data[[#This Row],[AcceptedCmpOverall]]=1,"Campaign Respondent","Non-respondent")</f>
        <v>Non-respondent</v>
      </c>
    </row>
    <row r="290" spans="1:58" x14ac:dyDescent="0.35">
      <c r="A290">
        <v>1226</v>
      </c>
      <c r="B290">
        <v>71626</v>
      </c>
      <c r="C290">
        <v>0</v>
      </c>
      <c r="D290">
        <v>0</v>
      </c>
      <c r="E290">
        <v>94</v>
      </c>
      <c r="F290">
        <v>546</v>
      </c>
      <c r="G290">
        <v>72</v>
      </c>
      <c r="H290">
        <v>376</v>
      </c>
      <c r="I290">
        <v>94</v>
      </c>
      <c r="J290">
        <v>145</v>
      </c>
      <c r="K290">
        <v>72</v>
      </c>
      <c r="L290">
        <v>1</v>
      </c>
      <c r="M290">
        <v>5</v>
      </c>
      <c r="N290">
        <v>5</v>
      </c>
      <c r="O290">
        <v>8</v>
      </c>
      <c r="P290">
        <v>3</v>
      </c>
      <c r="Q290">
        <v>0</v>
      </c>
      <c r="R290">
        <v>0</v>
      </c>
      <c r="S290">
        <v>0</v>
      </c>
      <c r="T290">
        <v>1</v>
      </c>
      <c r="U290">
        <v>0</v>
      </c>
      <c r="V290">
        <f>IF(SUM(ifood_data[[#This Row],[AcceptedCmp1]:[AcceptedCmp5]])&gt;0,1,0)</f>
        <v>1</v>
      </c>
      <c r="W290">
        <v>0</v>
      </c>
      <c r="X290">
        <v>3</v>
      </c>
      <c r="Y290">
        <v>11</v>
      </c>
      <c r="Z290">
        <v>0</v>
      </c>
      <c r="AA290">
        <v>41</v>
      </c>
      <c r="AB290">
        <v>2764</v>
      </c>
      <c r="AC290" s="28">
        <f>ifood_data[[#This Row],[Customer_Days]]/365</f>
        <v>7.5726027397260278</v>
      </c>
      <c r="AD290">
        <v>0</v>
      </c>
      <c r="AE290">
        <v>1</v>
      </c>
      <c r="AF290">
        <v>0</v>
      </c>
      <c r="AG290">
        <v>0</v>
      </c>
      <c r="AH290">
        <v>0</v>
      </c>
      <c r="AI290">
        <v>0</v>
      </c>
      <c r="AJ290">
        <v>0</v>
      </c>
      <c r="AK290">
        <v>1</v>
      </c>
      <c r="AL290">
        <v>0</v>
      </c>
      <c r="AM290">
        <v>0</v>
      </c>
      <c r="AN290">
        <v>1233</v>
      </c>
      <c r="AO290">
        <v>1161</v>
      </c>
      <c r="AP290">
        <f>ifood_data[[#This Row],[MntTotal]]-ifood_data[[#This Row],[MntRegularProds]]</f>
        <v>72</v>
      </c>
      <c r="AQ290">
        <v>1</v>
      </c>
      <c r="AR290">
        <f>IF(SUM(ifood_data[[#This Row],[Kidhome]:[Teenhome]])&gt;0,1,0)</f>
        <v>0</v>
      </c>
      <c r="AS290" t="str">
        <f>IF(SUM(ifood_data[[#This Row],[Kidhome]:[Teenhome]])&gt;0,"Has Family","No Family")</f>
        <v>No Family</v>
      </c>
      <c r="AT290" t="str">
        <f>IF(ifood_data[[#This Row],[marital_Married]]=1,"Married", (IF(ifood_data[[#This Row],[marital_Single]]=1,"Single",(IF(ifood_data[[#This Row],[marital_Divorced]]=1,"Divorced",(IF(ifood_data[[#This Row],[marital_Together]]=1,"Living Together",(IF(ifood_data[[#This Row],[marital_Widow]]=1,"Widow","Other")))))))))</f>
        <v>Married</v>
      </c>
      <c r="AU290" t="str">
        <f>IF(ifood_data[[#This Row],[education_Basic]]=1,"High School",(IF(ifood_data[[#This Row],[education_Graduation]]=1,"Undergraduate Degree",(IF(SUM(AM290,AL290,AI290)&gt;0,"Master's Degree or Higher","Other")))))</f>
        <v>Undergraduate Degree</v>
      </c>
      <c r="AV290" t="str">
        <f>IF(ifood_data[[#All],[Income]]&gt;75000,"75K+",(IF(ifood_data[[#All],[Income]]&gt;50000,"50K-75K",(IF(ifood_data[[#All],[Income]]&gt;35000,"35K-50K","&lt;35K")))))</f>
        <v>50K-75K</v>
      </c>
      <c r="AW290" t="str">
        <f>IF(ifood_data[[#All],[Age]]&gt;60,"60+",(IF(ifood_data[[#All],[Age]]&gt;50,"50-60",(IF(ifood_data[[#All],[Age]]&gt;40,"40-50",(IF(ifood_data[[#All],[Age]]&gt;30,"30-40","&lt;30")))))))</f>
        <v>40-50</v>
      </c>
      <c r="AX290">
        <f t="shared" si="16"/>
        <v>22</v>
      </c>
      <c r="AY290">
        <f t="shared" si="17"/>
        <v>0.99999999999999978</v>
      </c>
      <c r="AZ290">
        <f t="shared" si="18"/>
        <v>5</v>
      </c>
      <c r="BA290">
        <f t="shared" si="19"/>
        <v>8</v>
      </c>
      <c r="BB290">
        <f>SUM(ifood_data[[#This Row],[Recency Score]:[Monetary Score]])</f>
        <v>14</v>
      </c>
      <c r="BC290">
        <f>(_xlfn.PERCENTRANK.INC(ifood_data[[#All],[RFM]],ifood_data[[#This Row],[RFM]],1))*10</f>
        <v>4</v>
      </c>
      <c r="BD290" t="str">
        <f>VLOOKUP(ifood_data[[#This Row],[RFM Score]],'RFM Analysis'!$A$3:$B$14,2,FALSE)</f>
        <v>At Risk</v>
      </c>
      <c r="BE290">
        <f>'Regression Models'!$B$101+'Regression Models'!$B$102*ifood_data[[#This Row],[Income]]+'Regression Models'!$B$103*ifood_data[[#This Row],[Age]]+'Regression Models'!$B$104*ifood_data[[#This Row],[Family]]</f>
        <v>1197.2566485657699</v>
      </c>
      <c r="BF290" t="str">
        <f>IF(ifood_data[[#This Row],[AcceptedCmpOverall]]=1,"Campaign Respondent","Non-respondent")</f>
        <v>Campaign Respondent</v>
      </c>
    </row>
    <row r="291" spans="1:58" x14ac:dyDescent="0.35">
      <c r="A291">
        <v>1793</v>
      </c>
      <c r="B291">
        <v>74485</v>
      </c>
      <c r="C291">
        <v>0</v>
      </c>
      <c r="D291">
        <v>0</v>
      </c>
      <c r="E291">
        <v>58</v>
      </c>
      <c r="F291">
        <v>499</v>
      </c>
      <c r="G291">
        <v>149</v>
      </c>
      <c r="H291">
        <v>815</v>
      </c>
      <c r="I291">
        <v>173</v>
      </c>
      <c r="J291">
        <v>49</v>
      </c>
      <c r="K291">
        <v>49</v>
      </c>
      <c r="L291">
        <v>1</v>
      </c>
      <c r="M291">
        <v>6</v>
      </c>
      <c r="N291">
        <v>7</v>
      </c>
      <c r="O291">
        <v>12</v>
      </c>
      <c r="P291">
        <v>3</v>
      </c>
      <c r="Q291">
        <v>0</v>
      </c>
      <c r="R291">
        <v>0</v>
      </c>
      <c r="S291">
        <v>0</v>
      </c>
      <c r="T291">
        <v>0</v>
      </c>
      <c r="U291">
        <v>0</v>
      </c>
      <c r="V291">
        <f>IF(SUM(ifood_data[[#This Row],[AcceptedCmp1]:[AcceptedCmp5]])&gt;0,1,0)</f>
        <v>0</v>
      </c>
      <c r="W291">
        <v>0</v>
      </c>
      <c r="X291">
        <v>3</v>
      </c>
      <c r="Y291">
        <v>11</v>
      </c>
      <c r="Z291">
        <v>0</v>
      </c>
      <c r="AA291">
        <v>73</v>
      </c>
      <c r="AB291">
        <v>2468</v>
      </c>
      <c r="AC291" s="28">
        <f>ifood_data[[#This Row],[Customer_Days]]/365</f>
        <v>6.7616438356164386</v>
      </c>
      <c r="AD291">
        <v>0</v>
      </c>
      <c r="AE291">
        <v>0</v>
      </c>
      <c r="AF291">
        <v>0</v>
      </c>
      <c r="AG291">
        <v>1</v>
      </c>
      <c r="AH291">
        <v>0</v>
      </c>
      <c r="AI291">
        <v>0</v>
      </c>
      <c r="AJ291">
        <v>0</v>
      </c>
      <c r="AK291">
        <v>1</v>
      </c>
      <c r="AL291">
        <v>0</v>
      </c>
      <c r="AM291">
        <v>0</v>
      </c>
      <c r="AN291">
        <v>1685</v>
      </c>
      <c r="AO291">
        <v>1636</v>
      </c>
      <c r="AP291">
        <f>ifood_data[[#This Row],[MntTotal]]-ifood_data[[#This Row],[MntRegularProds]]</f>
        <v>49</v>
      </c>
      <c r="AQ291">
        <v>0</v>
      </c>
      <c r="AR291">
        <f>IF(SUM(ifood_data[[#This Row],[Kidhome]:[Teenhome]])&gt;0,1,0)</f>
        <v>0</v>
      </c>
      <c r="AS291" t="str">
        <f>IF(SUM(ifood_data[[#This Row],[Kidhome]:[Teenhome]])&gt;0,"Has Family","No Family")</f>
        <v>No Family</v>
      </c>
      <c r="AT291" t="str">
        <f>IF(ifood_data[[#This Row],[marital_Married]]=1,"Married", (IF(ifood_data[[#This Row],[marital_Single]]=1,"Single",(IF(ifood_data[[#This Row],[marital_Divorced]]=1,"Divorced",(IF(ifood_data[[#This Row],[marital_Together]]=1,"Living Together",(IF(ifood_data[[#This Row],[marital_Widow]]=1,"Widow","Other")))))))))</f>
        <v>Living Together</v>
      </c>
      <c r="AU291" t="str">
        <f>IF(ifood_data[[#This Row],[education_Basic]]=1,"High School",(IF(ifood_data[[#This Row],[education_Graduation]]=1,"Undergraduate Degree",(IF(SUM(AM291,AL291,AI291)&gt;0,"Master's Degree or Higher","Other")))))</f>
        <v>Undergraduate Degree</v>
      </c>
      <c r="AV291" t="str">
        <f>IF(ifood_data[[#All],[Income]]&gt;75000,"75K+",(IF(ifood_data[[#All],[Income]]&gt;50000,"50K-75K",(IF(ifood_data[[#All],[Income]]&gt;35000,"35K-50K","&lt;35K")))))</f>
        <v>50K-75K</v>
      </c>
      <c r="AW291" t="str">
        <f>IF(ifood_data[[#All],[Age]]&gt;60,"60+",(IF(ifood_data[[#All],[Age]]&gt;50,"50-60",(IF(ifood_data[[#All],[Age]]&gt;40,"40-50",(IF(ifood_data[[#All],[Age]]&gt;30,"30-40","&lt;30")))))))</f>
        <v>60+</v>
      </c>
      <c r="AX291">
        <f t="shared" si="16"/>
        <v>29</v>
      </c>
      <c r="AY291">
        <f t="shared" si="17"/>
        <v>5</v>
      </c>
      <c r="AZ291">
        <f t="shared" si="18"/>
        <v>8</v>
      </c>
      <c r="BA291">
        <f t="shared" si="19"/>
        <v>9</v>
      </c>
      <c r="BB291">
        <f>SUM(ifood_data[[#This Row],[Recency Score]:[Monetary Score]])</f>
        <v>22</v>
      </c>
      <c r="BC291">
        <f>(_xlfn.PERCENTRANK.INC(ifood_data[[#All],[RFM]],ifood_data[[#This Row],[RFM]],1))*10</f>
        <v>8</v>
      </c>
      <c r="BD291" t="str">
        <f>VLOOKUP(ifood_data[[#This Row],[RFM Score]],'RFM Analysis'!$A$3:$B$14,2,FALSE)</f>
        <v>Loyal Customer</v>
      </c>
      <c r="BE291">
        <f>'Regression Models'!$B$101+'Regression Models'!$B$102*ifood_data[[#This Row],[Income]]+'Regression Models'!$B$103*ifood_data[[#This Row],[Age]]+'Regression Models'!$B$104*ifood_data[[#This Row],[Family]]</f>
        <v>1196.7820861645598</v>
      </c>
      <c r="BF291" t="str">
        <f>IF(ifood_data[[#This Row],[AcceptedCmpOverall]]=1,"Campaign Respondent","Non-respondent")</f>
        <v>Non-respondent</v>
      </c>
    </row>
    <row r="292" spans="1:58" x14ac:dyDescent="0.35">
      <c r="A292">
        <v>207</v>
      </c>
      <c r="B292">
        <v>72460</v>
      </c>
      <c r="C292">
        <v>0</v>
      </c>
      <c r="D292">
        <v>0</v>
      </c>
      <c r="E292">
        <v>56</v>
      </c>
      <c r="F292">
        <v>377</v>
      </c>
      <c r="G292">
        <v>10</v>
      </c>
      <c r="H292">
        <v>540</v>
      </c>
      <c r="I292">
        <v>80</v>
      </c>
      <c r="J292">
        <v>30</v>
      </c>
      <c r="K292">
        <v>10</v>
      </c>
      <c r="L292">
        <v>1</v>
      </c>
      <c r="M292">
        <v>3</v>
      </c>
      <c r="N292">
        <v>5</v>
      </c>
      <c r="O292">
        <v>7</v>
      </c>
      <c r="P292">
        <v>1</v>
      </c>
      <c r="Q292">
        <v>0</v>
      </c>
      <c r="R292">
        <v>0</v>
      </c>
      <c r="S292">
        <v>0</v>
      </c>
      <c r="T292">
        <v>0</v>
      </c>
      <c r="U292">
        <v>0</v>
      </c>
      <c r="V292">
        <f>IF(SUM(ifood_data[[#This Row],[AcceptedCmp1]:[AcceptedCmp5]])&gt;0,1,0)</f>
        <v>0</v>
      </c>
      <c r="W292">
        <v>0</v>
      </c>
      <c r="X292">
        <v>3</v>
      </c>
      <c r="Y292">
        <v>11</v>
      </c>
      <c r="Z292">
        <v>0</v>
      </c>
      <c r="AA292">
        <v>51</v>
      </c>
      <c r="AB292">
        <v>2386</v>
      </c>
      <c r="AC292" s="28">
        <f>ifood_data[[#This Row],[Customer_Days]]/365</f>
        <v>6.536986301369863</v>
      </c>
      <c r="AD292">
        <v>0</v>
      </c>
      <c r="AE292">
        <v>1</v>
      </c>
      <c r="AF292">
        <v>0</v>
      </c>
      <c r="AG292">
        <v>0</v>
      </c>
      <c r="AH292">
        <v>0</v>
      </c>
      <c r="AI292">
        <v>0</v>
      </c>
      <c r="AJ292">
        <v>0</v>
      </c>
      <c r="AK292">
        <v>1</v>
      </c>
      <c r="AL292">
        <v>0</v>
      </c>
      <c r="AM292">
        <v>0</v>
      </c>
      <c r="AN292">
        <v>1037</v>
      </c>
      <c r="AO292">
        <v>1027</v>
      </c>
      <c r="AP292">
        <f>ifood_data[[#This Row],[MntTotal]]-ifood_data[[#This Row],[MntRegularProds]]</f>
        <v>10</v>
      </c>
      <c r="AQ292">
        <v>0</v>
      </c>
      <c r="AR292">
        <f>IF(SUM(ifood_data[[#This Row],[Kidhome]:[Teenhome]])&gt;0,1,0)</f>
        <v>0</v>
      </c>
      <c r="AS292" t="str">
        <f>IF(SUM(ifood_data[[#This Row],[Kidhome]:[Teenhome]])&gt;0,"Has Family","No Family")</f>
        <v>No Family</v>
      </c>
      <c r="AT292" t="str">
        <f>IF(ifood_data[[#This Row],[marital_Married]]=1,"Married", (IF(ifood_data[[#This Row],[marital_Single]]=1,"Single",(IF(ifood_data[[#This Row],[marital_Divorced]]=1,"Divorced",(IF(ifood_data[[#This Row],[marital_Together]]=1,"Living Together",(IF(ifood_data[[#This Row],[marital_Widow]]=1,"Widow","Other")))))))))</f>
        <v>Married</v>
      </c>
      <c r="AU292" t="str">
        <f>IF(ifood_data[[#This Row],[education_Basic]]=1,"High School",(IF(ifood_data[[#This Row],[education_Graduation]]=1,"Undergraduate Degree",(IF(SUM(AM292,AL292,AI292)&gt;0,"Master's Degree or Higher","Other")))))</f>
        <v>Undergraduate Degree</v>
      </c>
      <c r="AV292" t="str">
        <f>IF(ifood_data[[#All],[Income]]&gt;75000,"75K+",(IF(ifood_data[[#All],[Income]]&gt;50000,"50K-75K",(IF(ifood_data[[#All],[Income]]&gt;35000,"35K-50K","&lt;35K")))))</f>
        <v>50K-75K</v>
      </c>
      <c r="AW292" t="str">
        <f>IF(ifood_data[[#All],[Age]]&gt;60,"60+",(IF(ifood_data[[#All],[Age]]&gt;50,"50-60",(IF(ifood_data[[#All],[Age]]&gt;40,"40-50",(IF(ifood_data[[#All],[Age]]&gt;30,"30-40","&lt;30")))))))</f>
        <v>50-60</v>
      </c>
      <c r="AX292">
        <f t="shared" si="16"/>
        <v>17</v>
      </c>
      <c r="AY292">
        <f t="shared" si="17"/>
        <v>5</v>
      </c>
      <c r="AZ292">
        <f t="shared" si="18"/>
        <v>3</v>
      </c>
      <c r="BA292">
        <f t="shared" si="19"/>
        <v>7</v>
      </c>
      <c r="BB292">
        <f>SUM(ifood_data[[#This Row],[Recency Score]:[Monetary Score]])</f>
        <v>15</v>
      </c>
      <c r="BC292">
        <f>(_xlfn.PERCENTRANK.INC(ifood_data[[#All],[RFM]],ifood_data[[#This Row],[RFM]],1))*10</f>
        <v>4</v>
      </c>
      <c r="BD292" t="str">
        <f>VLOOKUP(ifood_data[[#This Row],[RFM Score]],'RFM Analysis'!$A$3:$B$14,2,FALSE)</f>
        <v>At Risk</v>
      </c>
      <c r="BE292">
        <f>'Regression Models'!$B$101+'Regression Models'!$B$102*ifood_data[[#This Row],[Income]]+'Regression Models'!$B$103*ifood_data[[#This Row],[Age]]+'Regression Models'!$B$104*ifood_data[[#This Row],[Family]]</f>
        <v>1195.8964904088389</v>
      </c>
      <c r="BF292" t="str">
        <f>IF(ifood_data[[#This Row],[AcceptedCmpOverall]]=1,"Campaign Respondent","Non-respondent")</f>
        <v>Non-respondent</v>
      </c>
    </row>
    <row r="293" spans="1:58" x14ac:dyDescent="0.35">
      <c r="A293">
        <v>1352</v>
      </c>
      <c r="B293">
        <v>73892</v>
      </c>
      <c r="C293">
        <v>0</v>
      </c>
      <c r="D293">
        <v>0</v>
      </c>
      <c r="E293">
        <v>40</v>
      </c>
      <c r="F293">
        <v>703</v>
      </c>
      <c r="G293">
        <v>102</v>
      </c>
      <c r="H293">
        <v>601</v>
      </c>
      <c r="I293">
        <v>0</v>
      </c>
      <c r="J293">
        <v>58</v>
      </c>
      <c r="K293">
        <v>43</v>
      </c>
      <c r="L293">
        <v>1</v>
      </c>
      <c r="M293">
        <v>3</v>
      </c>
      <c r="N293">
        <v>11</v>
      </c>
      <c r="O293">
        <v>8</v>
      </c>
      <c r="P293">
        <v>1</v>
      </c>
      <c r="Q293">
        <v>0</v>
      </c>
      <c r="R293">
        <v>0</v>
      </c>
      <c r="S293">
        <v>0</v>
      </c>
      <c r="T293">
        <v>0</v>
      </c>
      <c r="U293">
        <v>0</v>
      </c>
      <c r="V293">
        <f>IF(SUM(ifood_data[[#This Row],[AcceptedCmp1]:[AcceptedCmp5]])&gt;0,1,0)</f>
        <v>0</v>
      </c>
      <c r="W293">
        <v>0</v>
      </c>
      <c r="X293">
        <v>3</v>
      </c>
      <c r="Y293">
        <v>11</v>
      </c>
      <c r="Z293">
        <v>1</v>
      </c>
      <c r="AA293">
        <v>67</v>
      </c>
      <c r="AB293">
        <v>2387</v>
      </c>
      <c r="AC293" s="28">
        <f>ifood_data[[#This Row],[Customer_Days]]/365</f>
        <v>6.5397260273972604</v>
      </c>
      <c r="AD293">
        <v>0</v>
      </c>
      <c r="AE293">
        <v>0</v>
      </c>
      <c r="AF293">
        <v>1</v>
      </c>
      <c r="AG293">
        <v>0</v>
      </c>
      <c r="AH293">
        <v>0</v>
      </c>
      <c r="AI293">
        <v>0</v>
      </c>
      <c r="AJ293">
        <v>0</v>
      </c>
      <c r="AK293">
        <v>1</v>
      </c>
      <c r="AL293">
        <v>0</v>
      </c>
      <c r="AM293">
        <v>0</v>
      </c>
      <c r="AN293">
        <v>1464</v>
      </c>
      <c r="AO293">
        <v>1421</v>
      </c>
      <c r="AP293">
        <f>ifood_data[[#This Row],[MntTotal]]-ifood_data[[#This Row],[MntRegularProds]]</f>
        <v>43</v>
      </c>
      <c r="AQ293">
        <v>0</v>
      </c>
      <c r="AR293">
        <f>IF(SUM(ifood_data[[#This Row],[Kidhome]:[Teenhome]])&gt;0,1,0)</f>
        <v>0</v>
      </c>
      <c r="AS293" t="str">
        <f>IF(SUM(ifood_data[[#This Row],[Kidhome]:[Teenhome]])&gt;0,"Has Family","No Family")</f>
        <v>No Family</v>
      </c>
      <c r="AT293" t="str">
        <f>IF(ifood_data[[#This Row],[marital_Married]]=1,"Married", (IF(ifood_data[[#This Row],[marital_Single]]=1,"Single",(IF(ifood_data[[#This Row],[marital_Divorced]]=1,"Divorced",(IF(ifood_data[[#This Row],[marital_Together]]=1,"Living Together",(IF(ifood_data[[#This Row],[marital_Widow]]=1,"Widow","Other")))))))))</f>
        <v>Single</v>
      </c>
      <c r="AU293" t="str">
        <f>IF(ifood_data[[#This Row],[education_Basic]]=1,"High School",(IF(ifood_data[[#This Row],[education_Graduation]]=1,"Undergraduate Degree",(IF(SUM(AM293,AL293,AI293)&gt;0,"Master's Degree or Higher","Other")))))</f>
        <v>Undergraduate Degree</v>
      </c>
      <c r="AV293" t="str">
        <f>IF(ifood_data[[#All],[Income]]&gt;75000,"75K+",(IF(ifood_data[[#All],[Income]]&gt;50000,"50K-75K",(IF(ifood_data[[#All],[Income]]&gt;35000,"35K-50K","&lt;35K")))))</f>
        <v>50K-75K</v>
      </c>
      <c r="AW293" t="str">
        <f>IF(ifood_data[[#All],[Age]]&gt;60,"60+",(IF(ifood_data[[#All],[Age]]&gt;50,"50-60",(IF(ifood_data[[#All],[Age]]&gt;40,"40-50",(IF(ifood_data[[#All],[Age]]&gt;30,"30-40","&lt;30")))))))</f>
        <v>60+</v>
      </c>
      <c r="AX293">
        <f t="shared" si="16"/>
        <v>24</v>
      </c>
      <c r="AY293">
        <f t="shared" si="17"/>
        <v>6</v>
      </c>
      <c r="AZ293">
        <f t="shared" si="18"/>
        <v>6</v>
      </c>
      <c r="BA293">
        <f t="shared" si="19"/>
        <v>8</v>
      </c>
      <c r="BB293">
        <f>SUM(ifood_data[[#This Row],[Recency Score]:[Monetary Score]])</f>
        <v>20</v>
      </c>
      <c r="BC293">
        <f>(_xlfn.PERCENTRANK.INC(ifood_data[[#All],[RFM]],ifood_data[[#This Row],[RFM]],1))*10</f>
        <v>7</v>
      </c>
      <c r="BD293" t="str">
        <f>VLOOKUP(ifood_data[[#This Row],[RFM Score]],'RFM Analysis'!$A$3:$B$14,2,FALSE)</f>
        <v>Loyal Customer</v>
      </c>
      <c r="BE293">
        <f>'Regression Models'!$B$101+'Regression Models'!$B$102*ifood_data[[#This Row],[Income]]+'Regression Models'!$B$103*ifood_data[[#This Row],[Age]]+'Regression Models'!$B$104*ifood_data[[#This Row],[Family]]</f>
        <v>1195.7101811285936</v>
      </c>
      <c r="BF293" t="str">
        <f>IF(ifood_data[[#This Row],[AcceptedCmpOverall]]=1,"Campaign Respondent","Non-respondent")</f>
        <v>Non-respondent</v>
      </c>
    </row>
    <row r="294" spans="1:58" x14ac:dyDescent="0.35">
      <c r="A294">
        <v>1814</v>
      </c>
      <c r="B294">
        <v>72968</v>
      </c>
      <c r="C294">
        <v>0</v>
      </c>
      <c r="D294">
        <v>0</v>
      </c>
      <c r="E294">
        <v>8</v>
      </c>
      <c r="F294">
        <v>1092</v>
      </c>
      <c r="G294">
        <v>37</v>
      </c>
      <c r="H294">
        <v>592</v>
      </c>
      <c r="I294">
        <v>145</v>
      </c>
      <c r="J294">
        <v>37</v>
      </c>
      <c r="K294">
        <v>55</v>
      </c>
      <c r="L294">
        <v>1</v>
      </c>
      <c r="M294">
        <v>5</v>
      </c>
      <c r="N294">
        <v>5</v>
      </c>
      <c r="O294">
        <v>8</v>
      </c>
      <c r="P294">
        <v>3</v>
      </c>
      <c r="Q294">
        <v>1</v>
      </c>
      <c r="R294">
        <v>0</v>
      </c>
      <c r="S294">
        <v>0</v>
      </c>
      <c r="T294">
        <v>0</v>
      </c>
      <c r="U294">
        <v>0</v>
      </c>
      <c r="V294">
        <f>IF(SUM(ifood_data[[#This Row],[AcceptedCmp1]:[AcceptedCmp5]])&gt;0,1,0)</f>
        <v>1</v>
      </c>
      <c r="W294">
        <v>0</v>
      </c>
      <c r="X294">
        <v>3</v>
      </c>
      <c r="Y294">
        <v>11</v>
      </c>
      <c r="Z294">
        <v>1</v>
      </c>
      <c r="AA294">
        <v>57</v>
      </c>
      <c r="AB294">
        <v>2354</v>
      </c>
      <c r="AC294" s="28">
        <f>ifood_data[[#This Row],[Customer_Days]]/365</f>
        <v>6.4493150684931511</v>
      </c>
      <c r="AD294">
        <v>1</v>
      </c>
      <c r="AE294">
        <v>0</v>
      </c>
      <c r="AF294">
        <v>0</v>
      </c>
      <c r="AG294">
        <v>0</v>
      </c>
      <c r="AH294">
        <v>0</v>
      </c>
      <c r="AI294">
        <v>0</v>
      </c>
      <c r="AJ294">
        <v>0</v>
      </c>
      <c r="AK294">
        <v>0</v>
      </c>
      <c r="AL294">
        <v>0</v>
      </c>
      <c r="AM294">
        <v>1</v>
      </c>
      <c r="AN294">
        <v>1903</v>
      </c>
      <c r="AO294">
        <v>1848</v>
      </c>
      <c r="AP294">
        <f>ifood_data[[#This Row],[MntTotal]]-ifood_data[[#This Row],[MntRegularProds]]</f>
        <v>55</v>
      </c>
      <c r="AQ294">
        <v>1</v>
      </c>
      <c r="AR294">
        <f>IF(SUM(ifood_data[[#This Row],[Kidhome]:[Teenhome]])&gt;0,1,0)</f>
        <v>0</v>
      </c>
      <c r="AS294" t="str">
        <f>IF(SUM(ifood_data[[#This Row],[Kidhome]:[Teenhome]])&gt;0,"Has Family","No Family")</f>
        <v>No Family</v>
      </c>
      <c r="AT294" t="str">
        <f>IF(ifood_data[[#This Row],[marital_Married]]=1,"Married", (IF(ifood_data[[#This Row],[marital_Single]]=1,"Single",(IF(ifood_data[[#This Row],[marital_Divorced]]=1,"Divorced",(IF(ifood_data[[#This Row],[marital_Together]]=1,"Living Together",(IF(ifood_data[[#This Row],[marital_Widow]]=1,"Widow","Other")))))))))</f>
        <v>Divorced</v>
      </c>
      <c r="AU294" t="str">
        <f>IF(ifood_data[[#This Row],[education_Basic]]=1,"High School",(IF(ifood_data[[#This Row],[education_Graduation]]=1,"Undergraduate Degree",(IF(SUM(AM294,AL294,AI294)&gt;0,"Master's Degree or Higher","Other")))))</f>
        <v>Master's Degree or Higher</v>
      </c>
      <c r="AV294" t="str">
        <f>IF(ifood_data[[#All],[Income]]&gt;75000,"75K+",(IF(ifood_data[[#All],[Income]]&gt;50000,"50K-75K",(IF(ifood_data[[#All],[Income]]&gt;35000,"35K-50K","&lt;35K")))))</f>
        <v>50K-75K</v>
      </c>
      <c r="AW294" t="str">
        <f>IF(ifood_data[[#All],[Age]]&gt;60,"60+",(IF(ifood_data[[#All],[Age]]&gt;50,"50-60",(IF(ifood_data[[#All],[Age]]&gt;40,"40-50",(IF(ifood_data[[#All],[Age]]&gt;30,"30-40","&lt;30")))))))</f>
        <v>50-60</v>
      </c>
      <c r="AX294">
        <f t="shared" si="16"/>
        <v>22</v>
      </c>
      <c r="AY294">
        <f t="shared" si="17"/>
        <v>10</v>
      </c>
      <c r="AZ294">
        <f t="shared" si="18"/>
        <v>5</v>
      </c>
      <c r="BA294">
        <f t="shared" si="19"/>
        <v>9</v>
      </c>
      <c r="BB294">
        <f>SUM(ifood_data[[#This Row],[Recency Score]:[Monetary Score]])</f>
        <v>24</v>
      </c>
      <c r="BC294">
        <f>(_xlfn.PERCENTRANK.INC(ifood_data[[#All],[RFM]],ifood_data[[#This Row],[RFM]],1))*10</f>
        <v>9</v>
      </c>
      <c r="BD294" t="str">
        <f>VLOOKUP(ifood_data[[#This Row],[RFM Score]],'RFM Analysis'!$A$3:$B$14,2,FALSE)</f>
        <v>Top Customer</v>
      </c>
      <c r="BE294">
        <f>'Regression Models'!$B$101+'Regression Models'!$B$102*ifood_data[[#This Row],[Income]]+'Regression Models'!$B$103*ifood_data[[#This Row],[Age]]+'Regression Models'!$B$104*ifood_data[[#This Row],[Family]]</f>
        <v>1195.2353501525736</v>
      </c>
      <c r="BF294" t="str">
        <f>IF(ifood_data[[#This Row],[AcceptedCmpOverall]]=1,"Campaign Respondent","Non-respondent")</f>
        <v>Campaign Respondent</v>
      </c>
    </row>
    <row r="295" spans="1:58" x14ac:dyDescent="0.35">
      <c r="A295">
        <v>200</v>
      </c>
      <c r="B295">
        <v>70951</v>
      </c>
      <c r="C295">
        <v>0</v>
      </c>
      <c r="D295">
        <v>0</v>
      </c>
      <c r="E295">
        <v>66</v>
      </c>
      <c r="F295">
        <v>239</v>
      </c>
      <c r="G295">
        <v>10</v>
      </c>
      <c r="H295">
        <v>554</v>
      </c>
      <c r="I295">
        <v>254</v>
      </c>
      <c r="J295">
        <v>87</v>
      </c>
      <c r="K295">
        <v>54</v>
      </c>
      <c r="L295">
        <v>1</v>
      </c>
      <c r="M295">
        <v>3</v>
      </c>
      <c r="N295">
        <v>4</v>
      </c>
      <c r="O295">
        <v>9</v>
      </c>
      <c r="P295">
        <v>1</v>
      </c>
      <c r="Q295">
        <v>0</v>
      </c>
      <c r="R295">
        <v>0</v>
      </c>
      <c r="S295">
        <v>0</v>
      </c>
      <c r="T295">
        <v>0</v>
      </c>
      <c r="U295">
        <v>0</v>
      </c>
      <c r="V295">
        <f>IF(SUM(ifood_data[[#This Row],[AcceptedCmp1]:[AcceptedCmp5]])&gt;0,1,0)</f>
        <v>0</v>
      </c>
      <c r="W295">
        <v>0</v>
      </c>
      <c r="X295">
        <v>3</v>
      </c>
      <c r="Y295">
        <v>11</v>
      </c>
      <c r="Z295">
        <v>0</v>
      </c>
      <c r="AA295">
        <v>35</v>
      </c>
      <c r="AB295">
        <v>2580</v>
      </c>
      <c r="AC295" s="28">
        <f>ifood_data[[#This Row],[Customer_Days]]/365</f>
        <v>7.0684931506849313</v>
      </c>
      <c r="AD295">
        <v>0</v>
      </c>
      <c r="AE295">
        <v>1</v>
      </c>
      <c r="AF295">
        <v>0</v>
      </c>
      <c r="AG295">
        <v>0</v>
      </c>
      <c r="AH295">
        <v>0</v>
      </c>
      <c r="AI295">
        <v>0</v>
      </c>
      <c r="AJ295">
        <v>0</v>
      </c>
      <c r="AK295">
        <v>1</v>
      </c>
      <c r="AL295">
        <v>0</v>
      </c>
      <c r="AM295">
        <v>0</v>
      </c>
      <c r="AN295">
        <v>1144</v>
      </c>
      <c r="AO295">
        <v>1090</v>
      </c>
      <c r="AP295">
        <f>ifood_data[[#This Row],[MntTotal]]-ifood_data[[#This Row],[MntRegularProds]]</f>
        <v>54</v>
      </c>
      <c r="AQ295">
        <v>0</v>
      </c>
      <c r="AR295">
        <f>IF(SUM(ifood_data[[#This Row],[Kidhome]:[Teenhome]])&gt;0,1,0)</f>
        <v>0</v>
      </c>
      <c r="AS295" t="str">
        <f>IF(SUM(ifood_data[[#This Row],[Kidhome]:[Teenhome]])&gt;0,"Has Family","No Family")</f>
        <v>No Family</v>
      </c>
      <c r="AT295" t="str">
        <f>IF(ifood_data[[#This Row],[marital_Married]]=1,"Married", (IF(ifood_data[[#This Row],[marital_Single]]=1,"Single",(IF(ifood_data[[#This Row],[marital_Divorced]]=1,"Divorced",(IF(ifood_data[[#This Row],[marital_Together]]=1,"Living Together",(IF(ifood_data[[#This Row],[marital_Widow]]=1,"Widow","Other")))))))))</f>
        <v>Married</v>
      </c>
      <c r="AU295" t="str">
        <f>IF(ifood_data[[#This Row],[education_Basic]]=1,"High School",(IF(ifood_data[[#This Row],[education_Graduation]]=1,"Undergraduate Degree",(IF(SUM(AM295,AL295,AI295)&gt;0,"Master's Degree or Higher","Other")))))</f>
        <v>Undergraduate Degree</v>
      </c>
      <c r="AV295" t="str">
        <f>IF(ifood_data[[#All],[Income]]&gt;75000,"75K+",(IF(ifood_data[[#All],[Income]]&gt;50000,"50K-75K",(IF(ifood_data[[#All],[Income]]&gt;35000,"35K-50K","&lt;35K")))))</f>
        <v>50K-75K</v>
      </c>
      <c r="AW295" t="str">
        <f>IF(ifood_data[[#All],[Age]]&gt;60,"60+",(IF(ifood_data[[#All],[Age]]&gt;50,"50-60",(IF(ifood_data[[#All],[Age]]&gt;40,"40-50",(IF(ifood_data[[#All],[Age]]&gt;30,"30-40","&lt;30")))))))</f>
        <v>30-40</v>
      </c>
      <c r="AX295">
        <f t="shared" si="16"/>
        <v>18</v>
      </c>
      <c r="AY295">
        <f t="shared" si="17"/>
        <v>4</v>
      </c>
      <c r="AZ295">
        <f t="shared" si="18"/>
        <v>4</v>
      </c>
      <c r="BA295">
        <f t="shared" si="19"/>
        <v>8</v>
      </c>
      <c r="BB295">
        <f>SUM(ifood_data[[#This Row],[Recency Score]:[Monetary Score]])</f>
        <v>16</v>
      </c>
      <c r="BC295">
        <f>(_xlfn.PERCENTRANK.INC(ifood_data[[#All],[RFM]],ifood_data[[#This Row],[RFM]],1))*10</f>
        <v>5</v>
      </c>
      <c r="BD295" t="str">
        <f>VLOOKUP(ifood_data[[#This Row],[RFM Score]],'RFM Analysis'!$A$3:$B$14,2,FALSE)</f>
        <v>Promising</v>
      </c>
      <c r="BE295">
        <f>'Regression Models'!$B$101+'Regression Models'!$B$102*ifood_data[[#This Row],[Income]]+'Regression Models'!$B$103*ifood_data[[#This Row],[Age]]+'Regression Models'!$B$104*ifood_data[[#This Row],[Family]]</f>
        <v>1194.5128645420036</v>
      </c>
      <c r="BF295" t="str">
        <f>IF(ifood_data[[#This Row],[AcceptedCmpOverall]]=1,"Campaign Respondent","Non-respondent")</f>
        <v>Non-respondent</v>
      </c>
    </row>
    <row r="296" spans="1:58" x14ac:dyDescent="0.35">
      <c r="A296">
        <v>93</v>
      </c>
      <c r="B296">
        <v>85693</v>
      </c>
      <c r="C296">
        <v>0</v>
      </c>
      <c r="D296">
        <v>1</v>
      </c>
      <c r="E296">
        <v>59</v>
      </c>
      <c r="F296">
        <v>386</v>
      </c>
      <c r="G296">
        <v>172</v>
      </c>
      <c r="H296">
        <v>183</v>
      </c>
      <c r="I296">
        <v>185</v>
      </c>
      <c r="J296">
        <v>132</v>
      </c>
      <c r="K296">
        <v>111</v>
      </c>
      <c r="L296">
        <v>2</v>
      </c>
      <c r="M296">
        <v>9</v>
      </c>
      <c r="N296">
        <v>5</v>
      </c>
      <c r="O296">
        <v>11</v>
      </c>
      <c r="P296">
        <v>5</v>
      </c>
      <c r="Q296">
        <v>0</v>
      </c>
      <c r="R296">
        <v>0</v>
      </c>
      <c r="S296">
        <v>0</v>
      </c>
      <c r="T296">
        <v>0</v>
      </c>
      <c r="U296">
        <v>0</v>
      </c>
      <c r="V296">
        <f>IF(SUM(ifood_data[[#This Row],[AcceptedCmp1]:[AcceptedCmp5]])&gt;0,1,0)</f>
        <v>0</v>
      </c>
      <c r="W296">
        <v>0</v>
      </c>
      <c r="X296">
        <v>3</v>
      </c>
      <c r="Y296">
        <v>11</v>
      </c>
      <c r="Z296">
        <v>0</v>
      </c>
      <c r="AA296">
        <v>41</v>
      </c>
      <c r="AB296">
        <v>2594</v>
      </c>
      <c r="AC296" s="28">
        <f>ifood_data[[#This Row],[Customer_Days]]/365</f>
        <v>7.1068493150684935</v>
      </c>
      <c r="AD296">
        <v>0</v>
      </c>
      <c r="AE296">
        <v>0</v>
      </c>
      <c r="AF296">
        <v>0</v>
      </c>
      <c r="AG296">
        <v>1</v>
      </c>
      <c r="AH296">
        <v>0</v>
      </c>
      <c r="AI296">
        <v>0</v>
      </c>
      <c r="AJ296">
        <v>0</v>
      </c>
      <c r="AK296">
        <v>1</v>
      </c>
      <c r="AL296">
        <v>0</v>
      </c>
      <c r="AM296">
        <v>0</v>
      </c>
      <c r="AN296">
        <v>1058</v>
      </c>
      <c r="AO296">
        <v>947</v>
      </c>
      <c r="AP296">
        <f>ifood_data[[#This Row],[MntTotal]]-ifood_data[[#This Row],[MntRegularProds]]</f>
        <v>111</v>
      </c>
      <c r="AQ296">
        <v>0</v>
      </c>
      <c r="AR296">
        <f>IF(SUM(ifood_data[[#This Row],[Kidhome]:[Teenhome]])&gt;0,1,0)</f>
        <v>1</v>
      </c>
      <c r="AS296" t="str">
        <f>IF(SUM(ifood_data[[#This Row],[Kidhome]:[Teenhome]])&gt;0,"Has Family","No Family")</f>
        <v>Has Family</v>
      </c>
      <c r="AT296" t="str">
        <f>IF(ifood_data[[#This Row],[marital_Married]]=1,"Married", (IF(ifood_data[[#This Row],[marital_Single]]=1,"Single",(IF(ifood_data[[#This Row],[marital_Divorced]]=1,"Divorced",(IF(ifood_data[[#This Row],[marital_Together]]=1,"Living Together",(IF(ifood_data[[#This Row],[marital_Widow]]=1,"Widow","Other")))))))))</f>
        <v>Living Together</v>
      </c>
      <c r="AU296" t="str">
        <f>IF(ifood_data[[#This Row],[education_Basic]]=1,"High School",(IF(ifood_data[[#This Row],[education_Graduation]]=1,"Undergraduate Degree",(IF(SUM(AM296,AL296,AI296)&gt;0,"Master's Degree or Higher","Other")))))</f>
        <v>Undergraduate Degree</v>
      </c>
      <c r="AV296" t="str">
        <f>IF(ifood_data[[#All],[Income]]&gt;75000,"75K+",(IF(ifood_data[[#All],[Income]]&gt;50000,"50K-75K",(IF(ifood_data[[#All],[Income]]&gt;35000,"35K-50K","&lt;35K")))))</f>
        <v>75K+</v>
      </c>
      <c r="AW296" t="str">
        <f>IF(ifood_data[[#All],[Age]]&gt;60,"60+",(IF(ifood_data[[#All],[Age]]&gt;50,"50-60",(IF(ifood_data[[#All],[Age]]&gt;40,"40-50",(IF(ifood_data[[#All],[Age]]&gt;30,"30-40","&lt;30")))))))</f>
        <v>40-50</v>
      </c>
      <c r="AX296">
        <f t="shared" si="16"/>
        <v>32</v>
      </c>
      <c r="AY296">
        <f t="shared" si="17"/>
        <v>4</v>
      </c>
      <c r="AZ296">
        <f t="shared" si="18"/>
        <v>9</v>
      </c>
      <c r="BA296">
        <f t="shared" si="19"/>
        <v>7</v>
      </c>
      <c r="BB296">
        <f>SUM(ifood_data[[#This Row],[Recency Score]:[Monetary Score]])</f>
        <v>20</v>
      </c>
      <c r="BC296">
        <f>(_xlfn.PERCENTRANK.INC(ifood_data[[#All],[RFM]],ifood_data[[#This Row],[RFM]],1))*10</f>
        <v>7</v>
      </c>
      <c r="BD296" t="str">
        <f>VLOOKUP(ifood_data[[#This Row],[RFM Score]],'RFM Analysis'!$A$3:$B$14,2,FALSE)</f>
        <v>Loyal Customer</v>
      </c>
      <c r="BE296">
        <f>'Regression Models'!$B$101+'Regression Models'!$B$102*ifood_data[[#This Row],[Income]]+'Regression Models'!$B$103*ifood_data[[#This Row],[Age]]+'Regression Models'!$B$104*ifood_data[[#This Row],[Family]]</f>
        <v>1194.4518189729802</v>
      </c>
      <c r="BF296" t="str">
        <f>IF(ifood_data[[#This Row],[AcceptedCmpOverall]]=1,"Campaign Respondent","Non-respondent")</f>
        <v>Non-respondent</v>
      </c>
    </row>
    <row r="297" spans="1:58" x14ac:dyDescent="0.35">
      <c r="A297">
        <v>868</v>
      </c>
      <c r="B297">
        <v>73113</v>
      </c>
      <c r="C297">
        <v>0</v>
      </c>
      <c r="D297">
        <v>0</v>
      </c>
      <c r="E297">
        <v>86</v>
      </c>
      <c r="F297">
        <v>741</v>
      </c>
      <c r="G297">
        <v>19</v>
      </c>
      <c r="H297">
        <v>154</v>
      </c>
      <c r="I297">
        <v>50</v>
      </c>
      <c r="J297">
        <v>9</v>
      </c>
      <c r="K297">
        <v>28</v>
      </c>
      <c r="L297">
        <v>1</v>
      </c>
      <c r="M297">
        <v>3</v>
      </c>
      <c r="N297">
        <v>4</v>
      </c>
      <c r="O297">
        <v>7</v>
      </c>
      <c r="P297">
        <v>2</v>
      </c>
      <c r="Q297">
        <v>0</v>
      </c>
      <c r="R297">
        <v>0</v>
      </c>
      <c r="S297">
        <v>0</v>
      </c>
      <c r="T297">
        <v>0</v>
      </c>
      <c r="U297">
        <v>0</v>
      </c>
      <c r="V297">
        <f>IF(SUM(ifood_data[[#This Row],[AcceptedCmp1]:[AcceptedCmp5]])&gt;0,1,0)</f>
        <v>0</v>
      </c>
      <c r="W297">
        <v>0</v>
      </c>
      <c r="X297">
        <v>3</v>
      </c>
      <c r="Y297">
        <v>11</v>
      </c>
      <c r="Z297">
        <v>0</v>
      </c>
      <c r="AA297">
        <v>60</v>
      </c>
      <c r="AB297">
        <v>2344</v>
      </c>
      <c r="AC297" s="28">
        <f>ifood_data[[#This Row],[Customer_Days]]/365</f>
        <v>6.4219178082191783</v>
      </c>
      <c r="AD297">
        <v>0</v>
      </c>
      <c r="AE297">
        <v>0</v>
      </c>
      <c r="AF297">
        <v>0</v>
      </c>
      <c r="AG297">
        <v>1</v>
      </c>
      <c r="AH297">
        <v>0</v>
      </c>
      <c r="AI297">
        <v>0</v>
      </c>
      <c r="AJ297">
        <v>0</v>
      </c>
      <c r="AK297">
        <v>0</v>
      </c>
      <c r="AL297">
        <v>1</v>
      </c>
      <c r="AM297">
        <v>0</v>
      </c>
      <c r="AN297">
        <v>973</v>
      </c>
      <c r="AO297">
        <v>945</v>
      </c>
      <c r="AP297">
        <f>ifood_data[[#This Row],[MntTotal]]-ifood_data[[#This Row],[MntRegularProds]]</f>
        <v>28</v>
      </c>
      <c r="AQ297">
        <v>0</v>
      </c>
      <c r="AR297">
        <f>IF(SUM(ifood_data[[#This Row],[Kidhome]:[Teenhome]])&gt;0,1,0)</f>
        <v>0</v>
      </c>
      <c r="AS297" t="str">
        <f>IF(SUM(ifood_data[[#This Row],[Kidhome]:[Teenhome]])&gt;0,"Has Family","No Family")</f>
        <v>No Family</v>
      </c>
      <c r="AT297" t="str">
        <f>IF(ifood_data[[#This Row],[marital_Married]]=1,"Married", (IF(ifood_data[[#This Row],[marital_Single]]=1,"Single",(IF(ifood_data[[#This Row],[marital_Divorced]]=1,"Divorced",(IF(ifood_data[[#This Row],[marital_Together]]=1,"Living Together",(IF(ifood_data[[#This Row],[marital_Widow]]=1,"Widow","Other")))))))))</f>
        <v>Living Together</v>
      </c>
      <c r="AU297" t="str">
        <f>IF(ifood_data[[#This Row],[education_Basic]]=1,"High School",(IF(ifood_data[[#This Row],[education_Graduation]]=1,"Undergraduate Degree",(IF(SUM(AM297,AL297,AI297)&gt;0,"Master's Degree or Higher","Other")))))</f>
        <v>Master's Degree or Higher</v>
      </c>
      <c r="AV297" t="str">
        <f>IF(ifood_data[[#All],[Income]]&gt;75000,"75K+",(IF(ifood_data[[#All],[Income]]&gt;50000,"50K-75K",(IF(ifood_data[[#All],[Income]]&gt;35000,"35K-50K","&lt;35K")))))</f>
        <v>50K-75K</v>
      </c>
      <c r="AW297" t="str">
        <f>IF(ifood_data[[#All],[Age]]&gt;60,"60+",(IF(ifood_data[[#All],[Age]]&gt;50,"50-60",(IF(ifood_data[[#All],[Age]]&gt;40,"40-50",(IF(ifood_data[[#All],[Age]]&gt;30,"30-40","&lt;30")))))))</f>
        <v>50-60</v>
      </c>
      <c r="AX297">
        <f t="shared" si="16"/>
        <v>17</v>
      </c>
      <c r="AY297">
        <f t="shared" si="17"/>
        <v>1.9999999999999996</v>
      </c>
      <c r="AZ297">
        <f t="shared" si="18"/>
        <v>3</v>
      </c>
      <c r="BA297">
        <f t="shared" si="19"/>
        <v>7</v>
      </c>
      <c r="BB297">
        <f>SUM(ifood_data[[#This Row],[Recency Score]:[Monetary Score]])</f>
        <v>12</v>
      </c>
      <c r="BC297">
        <f>(_xlfn.PERCENTRANK.INC(ifood_data[[#All],[RFM]],ifood_data[[#This Row],[RFM]],1))*10</f>
        <v>3</v>
      </c>
      <c r="BD297" t="str">
        <f>VLOOKUP(ifood_data[[#This Row],[RFM Score]],'RFM Analysis'!$A$3:$B$14,2,FALSE)</f>
        <v>At Risk</v>
      </c>
      <c r="BE297">
        <f>'Regression Models'!$B$101+'Regression Models'!$B$102*ifood_data[[#This Row],[Income]]+'Regression Models'!$B$103*ifood_data[[#This Row],[Age]]+'Regression Models'!$B$104*ifood_data[[#This Row],[Family]]</f>
        <v>1192.6824042967564</v>
      </c>
      <c r="BF297" t="str">
        <f>IF(ifood_data[[#This Row],[AcceptedCmpOverall]]=1,"Campaign Respondent","Non-respondent")</f>
        <v>Non-respondent</v>
      </c>
    </row>
    <row r="298" spans="1:58" x14ac:dyDescent="0.35">
      <c r="A298">
        <v>997</v>
      </c>
      <c r="B298">
        <v>70596</v>
      </c>
      <c r="C298">
        <v>0</v>
      </c>
      <c r="D298">
        <v>0</v>
      </c>
      <c r="E298">
        <v>68</v>
      </c>
      <c r="F298">
        <v>347</v>
      </c>
      <c r="G298">
        <v>44</v>
      </c>
      <c r="H298">
        <v>534</v>
      </c>
      <c r="I298">
        <v>17</v>
      </c>
      <c r="J298">
        <v>0</v>
      </c>
      <c r="K298">
        <v>26</v>
      </c>
      <c r="L298">
        <v>1</v>
      </c>
      <c r="M298">
        <v>3</v>
      </c>
      <c r="N298">
        <v>5</v>
      </c>
      <c r="O298">
        <v>12</v>
      </c>
      <c r="P298">
        <v>2</v>
      </c>
      <c r="Q298">
        <v>0</v>
      </c>
      <c r="R298">
        <v>0</v>
      </c>
      <c r="S298">
        <v>0</v>
      </c>
      <c r="T298">
        <v>0</v>
      </c>
      <c r="U298">
        <v>0</v>
      </c>
      <c r="V298">
        <f>IF(SUM(ifood_data[[#This Row],[AcceptedCmp1]:[AcceptedCmp5]])&gt;0,1,0)</f>
        <v>0</v>
      </c>
      <c r="W298">
        <v>0</v>
      </c>
      <c r="X298">
        <v>3</v>
      </c>
      <c r="Y298">
        <v>11</v>
      </c>
      <c r="Z298">
        <v>0</v>
      </c>
      <c r="AA298">
        <v>35</v>
      </c>
      <c r="AB298">
        <v>2791</v>
      </c>
      <c r="AC298" s="28">
        <f>ifood_data[[#This Row],[Customer_Days]]/365</f>
        <v>7.646575342465753</v>
      </c>
      <c r="AD298">
        <v>0</v>
      </c>
      <c r="AE298">
        <v>0</v>
      </c>
      <c r="AF298">
        <v>1</v>
      </c>
      <c r="AG298">
        <v>0</v>
      </c>
      <c r="AH298">
        <v>0</v>
      </c>
      <c r="AI298">
        <v>0</v>
      </c>
      <c r="AJ298">
        <v>0</v>
      </c>
      <c r="AK298">
        <v>1</v>
      </c>
      <c r="AL298">
        <v>0</v>
      </c>
      <c r="AM298">
        <v>0</v>
      </c>
      <c r="AN298">
        <v>942</v>
      </c>
      <c r="AO298">
        <v>916</v>
      </c>
      <c r="AP298">
        <f>ifood_data[[#This Row],[MntTotal]]-ifood_data[[#This Row],[MntRegularProds]]</f>
        <v>26</v>
      </c>
      <c r="AQ298">
        <v>0</v>
      </c>
      <c r="AR298">
        <f>IF(SUM(ifood_data[[#This Row],[Kidhome]:[Teenhome]])&gt;0,1,0)</f>
        <v>0</v>
      </c>
      <c r="AS298" t="str">
        <f>IF(SUM(ifood_data[[#This Row],[Kidhome]:[Teenhome]])&gt;0,"Has Family","No Family")</f>
        <v>No Family</v>
      </c>
      <c r="AT298" t="str">
        <f>IF(ifood_data[[#This Row],[marital_Married]]=1,"Married", (IF(ifood_data[[#This Row],[marital_Single]]=1,"Single",(IF(ifood_data[[#This Row],[marital_Divorced]]=1,"Divorced",(IF(ifood_data[[#This Row],[marital_Together]]=1,"Living Together",(IF(ifood_data[[#This Row],[marital_Widow]]=1,"Widow","Other")))))))))</f>
        <v>Single</v>
      </c>
      <c r="AU298" t="str">
        <f>IF(ifood_data[[#This Row],[education_Basic]]=1,"High School",(IF(ifood_data[[#This Row],[education_Graduation]]=1,"Undergraduate Degree",(IF(SUM(AM298,AL298,AI298)&gt;0,"Master's Degree or Higher","Other")))))</f>
        <v>Undergraduate Degree</v>
      </c>
      <c r="AV298" t="str">
        <f>IF(ifood_data[[#All],[Income]]&gt;75000,"75K+",(IF(ifood_data[[#All],[Income]]&gt;50000,"50K-75K",(IF(ifood_data[[#All],[Income]]&gt;35000,"35K-50K","&lt;35K")))))</f>
        <v>50K-75K</v>
      </c>
      <c r="AW298" t="str">
        <f>IF(ifood_data[[#All],[Age]]&gt;60,"60+",(IF(ifood_data[[#All],[Age]]&gt;50,"50-60",(IF(ifood_data[[#All],[Age]]&gt;40,"40-50",(IF(ifood_data[[#All],[Age]]&gt;30,"30-40","&lt;30")))))))</f>
        <v>30-40</v>
      </c>
      <c r="AX298">
        <f t="shared" si="16"/>
        <v>23</v>
      </c>
      <c r="AY298">
        <f t="shared" si="17"/>
        <v>4</v>
      </c>
      <c r="AZ298">
        <f t="shared" si="18"/>
        <v>6</v>
      </c>
      <c r="BA298">
        <f t="shared" si="19"/>
        <v>7</v>
      </c>
      <c r="BB298">
        <f>SUM(ifood_data[[#This Row],[Recency Score]:[Monetary Score]])</f>
        <v>17</v>
      </c>
      <c r="BC298">
        <f>(_xlfn.PERCENTRANK.INC(ifood_data[[#All],[RFM]],ifood_data[[#This Row],[RFM]],1))*10</f>
        <v>6</v>
      </c>
      <c r="BD298" t="str">
        <f>VLOOKUP(ifood_data[[#This Row],[RFM Score]],'RFM Analysis'!$A$3:$B$14,2,FALSE)</f>
        <v>Promising</v>
      </c>
      <c r="BE298">
        <f>'Regression Models'!$B$101+'Regression Models'!$B$102*ifood_data[[#This Row],[Income]]+'Regression Models'!$B$103*ifood_data[[#This Row],[Age]]+'Regression Models'!$B$104*ifood_data[[#This Row],[Family]]</f>
        <v>1187.2748518509197</v>
      </c>
      <c r="BF298" t="str">
        <f>IF(ifood_data[[#This Row],[AcceptedCmpOverall]]=1,"Campaign Respondent","Non-respondent")</f>
        <v>Non-respondent</v>
      </c>
    </row>
    <row r="299" spans="1:58" x14ac:dyDescent="0.35">
      <c r="A299">
        <v>1071</v>
      </c>
      <c r="B299">
        <v>85606</v>
      </c>
      <c r="C299">
        <v>0</v>
      </c>
      <c r="D299">
        <v>1</v>
      </c>
      <c r="E299">
        <v>89</v>
      </c>
      <c r="F299">
        <v>717</v>
      </c>
      <c r="G299">
        <v>42</v>
      </c>
      <c r="H299">
        <v>864</v>
      </c>
      <c r="I299">
        <v>219</v>
      </c>
      <c r="J299">
        <v>30</v>
      </c>
      <c r="K299">
        <v>84</v>
      </c>
      <c r="L299">
        <v>2</v>
      </c>
      <c r="M299">
        <v>6</v>
      </c>
      <c r="N299">
        <v>7</v>
      </c>
      <c r="O299">
        <v>9</v>
      </c>
      <c r="P299">
        <v>3</v>
      </c>
      <c r="Q299">
        <v>1</v>
      </c>
      <c r="R299">
        <v>0</v>
      </c>
      <c r="S299">
        <v>0</v>
      </c>
      <c r="T299">
        <v>0</v>
      </c>
      <c r="U299">
        <v>0</v>
      </c>
      <c r="V299">
        <f>IF(SUM(ifood_data[[#This Row],[AcceptedCmp1]:[AcceptedCmp5]])&gt;0,1,0)</f>
        <v>1</v>
      </c>
      <c r="W299">
        <v>0</v>
      </c>
      <c r="X299">
        <v>3</v>
      </c>
      <c r="Y299">
        <v>11</v>
      </c>
      <c r="Z299">
        <v>0</v>
      </c>
      <c r="AA299">
        <v>44</v>
      </c>
      <c r="AB299">
        <v>2753</v>
      </c>
      <c r="AC299" s="28">
        <f>ifood_data[[#This Row],[Customer_Days]]/365</f>
        <v>7.5424657534246577</v>
      </c>
      <c r="AD299">
        <v>0</v>
      </c>
      <c r="AE299">
        <v>0</v>
      </c>
      <c r="AF299">
        <v>0</v>
      </c>
      <c r="AG299">
        <v>1</v>
      </c>
      <c r="AH299">
        <v>0</v>
      </c>
      <c r="AI299">
        <v>0</v>
      </c>
      <c r="AJ299">
        <v>0</v>
      </c>
      <c r="AK299">
        <v>1</v>
      </c>
      <c r="AL299">
        <v>0</v>
      </c>
      <c r="AM299">
        <v>0</v>
      </c>
      <c r="AN299">
        <v>1872</v>
      </c>
      <c r="AO299">
        <v>1788</v>
      </c>
      <c r="AP299">
        <f>ifood_data[[#This Row],[MntTotal]]-ifood_data[[#This Row],[MntRegularProds]]</f>
        <v>84</v>
      </c>
      <c r="AQ299">
        <v>1</v>
      </c>
      <c r="AR299">
        <f>IF(SUM(ifood_data[[#This Row],[Kidhome]:[Teenhome]])&gt;0,1,0)</f>
        <v>1</v>
      </c>
      <c r="AS299" t="str">
        <f>IF(SUM(ifood_data[[#This Row],[Kidhome]:[Teenhome]])&gt;0,"Has Family","No Family")</f>
        <v>Has Family</v>
      </c>
      <c r="AT299" t="str">
        <f>IF(ifood_data[[#This Row],[marital_Married]]=1,"Married", (IF(ifood_data[[#This Row],[marital_Single]]=1,"Single",(IF(ifood_data[[#This Row],[marital_Divorced]]=1,"Divorced",(IF(ifood_data[[#This Row],[marital_Together]]=1,"Living Together",(IF(ifood_data[[#This Row],[marital_Widow]]=1,"Widow","Other")))))))))</f>
        <v>Living Together</v>
      </c>
      <c r="AU299" t="str">
        <f>IF(ifood_data[[#This Row],[education_Basic]]=1,"High School",(IF(ifood_data[[#This Row],[education_Graduation]]=1,"Undergraduate Degree",(IF(SUM(AM299,AL299,AI299)&gt;0,"Master's Degree or Higher","Other")))))</f>
        <v>Undergraduate Degree</v>
      </c>
      <c r="AV299" t="str">
        <f>IF(ifood_data[[#All],[Income]]&gt;75000,"75K+",(IF(ifood_data[[#All],[Income]]&gt;50000,"50K-75K",(IF(ifood_data[[#All],[Income]]&gt;35000,"35K-50K","&lt;35K")))))</f>
        <v>75K+</v>
      </c>
      <c r="AW299" t="str">
        <f>IF(ifood_data[[#All],[Age]]&gt;60,"60+",(IF(ifood_data[[#All],[Age]]&gt;50,"50-60",(IF(ifood_data[[#All],[Age]]&gt;40,"40-50",(IF(ifood_data[[#All],[Age]]&gt;30,"30-40","&lt;30")))))))</f>
        <v>40-50</v>
      </c>
      <c r="AX299">
        <f t="shared" si="16"/>
        <v>27</v>
      </c>
      <c r="AY299">
        <f t="shared" si="17"/>
        <v>1.9999999999999996</v>
      </c>
      <c r="AZ299">
        <f t="shared" si="18"/>
        <v>7</v>
      </c>
      <c r="BA299">
        <f t="shared" si="19"/>
        <v>9</v>
      </c>
      <c r="BB299">
        <f>SUM(ifood_data[[#This Row],[Recency Score]:[Monetary Score]])</f>
        <v>18</v>
      </c>
      <c r="BC299">
        <f>(_xlfn.PERCENTRANK.INC(ifood_data[[#All],[RFM]],ifood_data[[#This Row],[RFM]],1))*10</f>
        <v>6</v>
      </c>
      <c r="BD299" t="str">
        <f>VLOOKUP(ifood_data[[#This Row],[RFM Score]],'RFM Analysis'!$A$3:$B$14,2,FALSE)</f>
        <v>Promising</v>
      </c>
      <c r="BE299">
        <f>'Regression Models'!$B$101+'Regression Models'!$B$102*ifood_data[[#This Row],[Income]]+'Regression Models'!$B$103*ifood_data[[#This Row],[Age]]+'Regression Models'!$B$104*ifood_data[[#This Row],[Family]]</f>
        <v>1187.168678907778</v>
      </c>
      <c r="BF299" t="str">
        <f>IF(ifood_data[[#This Row],[AcceptedCmpOverall]]=1,"Campaign Respondent","Non-respondent")</f>
        <v>Campaign Respondent</v>
      </c>
    </row>
    <row r="300" spans="1:58" x14ac:dyDescent="0.35">
      <c r="A300">
        <v>1719</v>
      </c>
      <c r="B300">
        <v>70643</v>
      </c>
      <c r="C300">
        <v>0</v>
      </c>
      <c r="D300">
        <v>0</v>
      </c>
      <c r="E300">
        <v>66</v>
      </c>
      <c r="F300">
        <v>1218</v>
      </c>
      <c r="G300">
        <v>107</v>
      </c>
      <c r="H300">
        <v>304</v>
      </c>
      <c r="I300">
        <v>23</v>
      </c>
      <c r="J300">
        <v>143</v>
      </c>
      <c r="K300">
        <v>33</v>
      </c>
      <c r="L300">
        <v>1</v>
      </c>
      <c r="M300">
        <v>5</v>
      </c>
      <c r="N300">
        <v>8</v>
      </c>
      <c r="O300">
        <v>4</v>
      </c>
      <c r="P300">
        <v>6</v>
      </c>
      <c r="Q300">
        <v>0</v>
      </c>
      <c r="R300">
        <v>0</v>
      </c>
      <c r="S300">
        <v>0</v>
      </c>
      <c r="T300">
        <v>0</v>
      </c>
      <c r="U300">
        <v>0</v>
      </c>
      <c r="V300">
        <f>IF(SUM(ifood_data[[#This Row],[AcceptedCmp1]:[AcceptedCmp5]])&gt;0,1,0)</f>
        <v>0</v>
      </c>
      <c r="W300">
        <v>0</v>
      </c>
      <c r="X300">
        <v>3</v>
      </c>
      <c r="Y300">
        <v>11</v>
      </c>
      <c r="Z300">
        <v>1</v>
      </c>
      <c r="AA300">
        <v>36</v>
      </c>
      <c r="AB300">
        <v>2781</v>
      </c>
      <c r="AC300" s="28">
        <f>ifood_data[[#This Row],[Customer_Days]]/365</f>
        <v>7.6191780821917812</v>
      </c>
      <c r="AD300">
        <v>0</v>
      </c>
      <c r="AE300">
        <v>1</v>
      </c>
      <c r="AF300">
        <v>0</v>
      </c>
      <c r="AG300">
        <v>0</v>
      </c>
      <c r="AH300">
        <v>0</v>
      </c>
      <c r="AI300">
        <v>0</v>
      </c>
      <c r="AJ300">
        <v>0</v>
      </c>
      <c r="AK300">
        <v>0</v>
      </c>
      <c r="AL300">
        <v>0</v>
      </c>
      <c r="AM300">
        <v>1</v>
      </c>
      <c r="AN300">
        <v>1795</v>
      </c>
      <c r="AO300">
        <v>1762</v>
      </c>
      <c r="AP300">
        <f>ifood_data[[#This Row],[MntTotal]]-ifood_data[[#This Row],[MntRegularProds]]</f>
        <v>33</v>
      </c>
      <c r="AQ300">
        <v>0</v>
      </c>
      <c r="AR300">
        <f>IF(SUM(ifood_data[[#This Row],[Kidhome]:[Teenhome]])&gt;0,1,0)</f>
        <v>0</v>
      </c>
      <c r="AS300" t="str">
        <f>IF(SUM(ifood_data[[#This Row],[Kidhome]:[Teenhome]])&gt;0,"Has Family","No Family")</f>
        <v>No Family</v>
      </c>
      <c r="AT300" t="str">
        <f>IF(ifood_data[[#This Row],[marital_Married]]=1,"Married", (IF(ifood_data[[#This Row],[marital_Single]]=1,"Single",(IF(ifood_data[[#This Row],[marital_Divorced]]=1,"Divorced",(IF(ifood_data[[#This Row],[marital_Together]]=1,"Living Together",(IF(ifood_data[[#This Row],[marital_Widow]]=1,"Widow","Other")))))))))</f>
        <v>Married</v>
      </c>
      <c r="AU300" t="str">
        <f>IF(ifood_data[[#This Row],[education_Basic]]=1,"High School",(IF(ifood_data[[#This Row],[education_Graduation]]=1,"Undergraduate Degree",(IF(SUM(AM300,AL300,AI300)&gt;0,"Master's Degree or Higher","Other")))))</f>
        <v>Master's Degree or Higher</v>
      </c>
      <c r="AV300" t="str">
        <f>IF(ifood_data[[#All],[Income]]&gt;75000,"75K+",(IF(ifood_data[[#All],[Income]]&gt;50000,"50K-75K",(IF(ifood_data[[#All],[Income]]&gt;35000,"35K-50K","&lt;35K")))))</f>
        <v>50K-75K</v>
      </c>
      <c r="AW300" t="str">
        <f>IF(ifood_data[[#All],[Age]]&gt;60,"60+",(IF(ifood_data[[#All],[Age]]&gt;50,"50-60",(IF(ifood_data[[#All],[Age]]&gt;40,"40-50",(IF(ifood_data[[#All],[Age]]&gt;30,"30-40","&lt;30")))))))</f>
        <v>30-40</v>
      </c>
      <c r="AX300">
        <f t="shared" si="16"/>
        <v>24</v>
      </c>
      <c r="AY300">
        <f t="shared" si="17"/>
        <v>4</v>
      </c>
      <c r="AZ300">
        <f t="shared" si="18"/>
        <v>6</v>
      </c>
      <c r="BA300">
        <f t="shared" si="19"/>
        <v>9</v>
      </c>
      <c r="BB300">
        <f>SUM(ifood_data[[#This Row],[Recency Score]:[Monetary Score]])</f>
        <v>19</v>
      </c>
      <c r="BC300">
        <f>(_xlfn.PERCENTRANK.INC(ifood_data[[#All],[RFM]],ifood_data[[#This Row],[RFM]],1))*10</f>
        <v>7</v>
      </c>
      <c r="BD300" t="str">
        <f>VLOOKUP(ifood_data[[#This Row],[RFM Score]],'RFM Analysis'!$A$3:$B$14,2,FALSE)</f>
        <v>Loyal Customer</v>
      </c>
      <c r="BE300">
        <f>'Regression Models'!$B$101+'Regression Models'!$B$102*ifood_data[[#This Row],[Income]]+'Regression Models'!$B$103*ifood_data[[#This Row],[Age]]+'Regression Models'!$B$104*ifood_data[[#This Row],[Family]]</f>
        <v>1186.3966848747887</v>
      </c>
      <c r="BF300" t="str">
        <f>IF(ifood_data[[#This Row],[AcceptedCmpOverall]]=1,"Campaign Respondent","Non-respondent")</f>
        <v>Non-respondent</v>
      </c>
    </row>
    <row r="301" spans="1:58" x14ac:dyDescent="0.35">
      <c r="A301">
        <v>885</v>
      </c>
      <c r="B301">
        <v>71796</v>
      </c>
      <c r="C301">
        <v>0</v>
      </c>
      <c r="D301">
        <v>0</v>
      </c>
      <c r="E301">
        <v>54</v>
      </c>
      <c r="F301">
        <v>354</v>
      </c>
      <c r="G301">
        <v>21</v>
      </c>
      <c r="H301">
        <v>311</v>
      </c>
      <c r="I301">
        <v>167</v>
      </c>
      <c r="J301">
        <v>75</v>
      </c>
      <c r="K301">
        <v>32</v>
      </c>
      <c r="L301">
        <v>1</v>
      </c>
      <c r="M301">
        <v>9</v>
      </c>
      <c r="N301">
        <v>3</v>
      </c>
      <c r="O301">
        <v>4</v>
      </c>
      <c r="P301">
        <v>4</v>
      </c>
      <c r="Q301">
        <v>0</v>
      </c>
      <c r="R301">
        <v>0</v>
      </c>
      <c r="S301">
        <v>0</v>
      </c>
      <c r="T301">
        <v>0</v>
      </c>
      <c r="U301">
        <v>0</v>
      </c>
      <c r="V301">
        <f>IF(SUM(ifood_data[[#This Row],[AcceptedCmp1]:[AcceptedCmp5]])&gt;0,1,0)</f>
        <v>0</v>
      </c>
      <c r="W301">
        <v>0</v>
      </c>
      <c r="X301">
        <v>3</v>
      </c>
      <c r="Y301">
        <v>11</v>
      </c>
      <c r="Z301">
        <v>0</v>
      </c>
      <c r="AA301">
        <v>49</v>
      </c>
      <c r="AB301">
        <v>2407</v>
      </c>
      <c r="AC301" s="28">
        <f>ifood_data[[#This Row],[Customer_Days]]/365</f>
        <v>6.5945205479452058</v>
      </c>
      <c r="AD301">
        <v>0</v>
      </c>
      <c r="AE301">
        <v>0</v>
      </c>
      <c r="AF301">
        <v>0</v>
      </c>
      <c r="AG301">
        <v>1</v>
      </c>
      <c r="AH301">
        <v>0</v>
      </c>
      <c r="AI301">
        <v>0</v>
      </c>
      <c r="AJ301">
        <v>0</v>
      </c>
      <c r="AK301">
        <v>1</v>
      </c>
      <c r="AL301">
        <v>0</v>
      </c>
      <c r="AM301">
        <v>0</v>
      </c>
      <c r="AN301">
        <v>928</v>
      </c>
      <c r="AO301">
        <v>896</v>
      </c>
      <c r="AP301">
        <f>ifood_data[[#This Row],[MntTotal]]-ifood_data[[#This Row],[MntRegularProds]]</f>
        <v>32</v>
      </c>
      <c r="AQ301">
        <v>0</v>
      </c>
      <c r="AR301">
        <f>IF(SUM(ifood_data[[#This Row],[Kidhome]:[Teenhome]])&gt;0,1,0)</f>
        <v>0</v>
      </c>
      <c r="AS301" t="str">
        <f>IF(SUM(ifood_data[[#This Row],[Kidhome]:[Teenhome]])&gt;0,"Has Family","No Family")</f>
        <v>No Family</v>
      </c>
      <c r="AT301" t="str">
        <f>IF(ifood_data[[#This Row],[marital_Married]]=1,"Married", (IF(ifood_data[[#This Row],[marital_Single]]=1,"Single",(IF(ifood_data[[#This Row],[marital_Divorced]]=1,"Divorced",(IF(ifood_data[[#This Row],[marital_Together]]=1,"Living Together",(IF(ifood_data[[#This Row],[marital_Widow]]=1,"Widow","Other")))))))))</f>
        <v>Living Together</v>
      </c>
      <c r="AU301" t="str">
        <f>IF(ifood_data[[#This Row],[education_Basic]]=1,"High School",(IF(ifood_data[[#This Row],[education_Graduation]]=1,"Undergraduate Degree",(IF(SUM(AM301,AL301,AI301)&gt;0,"Master's Degree or Higher","Other")))))</f>
        <v>Undergraduate Degree</v>
      </c>
      <c r="AV301" t="str">
        <f>IF(ifood_data[[#All],[Income]]&gt;75000,"75K+",(IF(ifood_data[[#All],[Income]]&gt;50000,"50K-75K",(IF(ifood_data[[#All],[Income]]&gt;35000,"35K-50K","&lt;35K")))))</f>
        <v>50K-75K</v>
      </c>
      <c r="AW301" t="str">
        <f>IF(ifood_data[[#All],[Age]]&gt;60,"60+",(IF(ifood_data[[#All],[Age]]&gt;50,"50-60",(IF(ifood_data[[#All],[Age]]&gt;40,"40-50",(IF(ifood_data[[#All],[Age]]&gt;30,"30-40","&lt;30")))))))</f>
        <v>40-50</v>
      </c>
      <c r="AX301">
        <f t="shared" si="16"/>
        <v>21</v>
      </c>
      <c r="AY301">
        <f t="shared" si="17"/>
        <v>5</v>
      </c>
      <c r="AZ301">
        <f t="shared" si="18"/>
        <v>5</v>
      </c>
      <c r="BA301">
        <f t="shared" si="19"/>
        <v>7</v>
      </c>
      <c r="BB301">
        <f>SUM(ifood_data[[#This Row],[Recency Score]:[Monetary Score]])</f>
        <v>17</v>
      </c>
      <c r="BC301">
        <f>(_xlfn.PERCENTRANK.INC(ifood_data[[#All],[RFM]],ifood_data[[#This Row],[RFM]],1))*10</f>
        <v>6</v>
      </c>
      <c r="BD301" t="str">
        <f>VLOOKUP(ifood_data[[#This Row],[RFM Score]],'RFM Analysis'!$A$3:$B$14,2,FALSE)</f>
        <v>Promising</v>
      </c>
      <c r="BE301">
        <f>'Regression Models'!$B$101+'Regression Models'!$B$102*ifood_data[[#This Row],[Income]]+'Regression Models'!$B$103*ifood_data[[#This Row],[Age]]+'Regression Models'!$B$104*ifood_data[[#This Row],[Family]]</f>
        <v>1186.0312265190787</v>
      </c>
      <c r="BF301" t="str">
        <f>IF(ifood_data[[#This Row],[AcceptedCmpOverall]]=1,"Campaign Respondent","Non-respondent")</f>
        <v>Non-respondent</v>
      </c>
    </row>
    <row r="302" spans="1:58" x14ac:dyDescent="0.35">
      <c r="A302">
        <v>738</v>
      </c>
      <c r="B302">
        <v>71466</v>
      </c>
      <c r="C302">
        <v>0</v>
      </c>
      <c r="D302">
        <v>0</v>
      </c>
      <c r="E302">
        <v>86</v>
      </c>
      <c r="F302">
        <v>412</v>
      </c>
      <c r="G302">
        <v>12</v>
      </c>
      <c r="H302">
        <v>546</v>
      </c>
      <c r="I302">
        <v>78</v>
      </c>
      <c r="J302">
        <v>182</v>
      </c>
      <c r="K302">
        <v>0</v>
      </c>
      <c r="L302">
        <v>1</v>
      </c>
      <c r="M302">
        <v>4</v>
      </c>
      <c r="N302">
        <v>4</v>
      </c>
      <c r="O302">
        <v>10</v>
      </c>
      <c r="P302">
        <v>1</v>
      </c>
      <c r="Q302">
        <v>0</v>
      </c>
      <c r="R302">
        <v>0</v>
      </c>
      <c r="S302">
        <v>0</v>
      </c>
      <c r="T302">
        <v>0</v>
      </c>
      <c r="U302">
        <v>0</v>
      </c>
      <c r="V302">
        <f>IF(SUM(ifood_data[[#This Row],[AcceptedCmp1]:[AcceptedCmp5]])&gt;0,1,0)</f>
        <v>0</v>
      </c>
      <c r="W302">
        <v>0</v>
      </c>
      <c r="X302">
        <v>3</v>
      </c>
      <c r="Y302">
        <v>11</v>
      </c>
      <c r="Z302">
        <v>0</v>
      </c>
      <c r="AA302">
        <v>46</v>
      </c>
      <c r="AB302">
        <v>2244</v>
      </c>
      <c r="AC302" s="28">
        <f>ifood_data[[#This Row],[Customer_Days]]/365</f>
        <v>6.1479452054794521</v>
      </c>
      <c r="AD302">
        <v>0</v>
      </c>
      <c r="AE302">
        <v>0</v>
      </c>
      <c r="AF302">
        <v>1</v>
      </c>
      <c r="AG302">
        <v>0</v>
      </c>
      <c r="AH302">
        <v>0</v>
      </c>
      <c r="AI302">
        <v>0</v>
      </c>
      <c r="AJ302">
        <v>0</v>
      </c>
      <c r="AK302">
        <v>0</v>
      </c>
      <c r="AL302">
        <v>0</v>
      </c>
      <c r="AM302">
        <v>1</v>
      </c>
      <c r="AN302">
        <v>1230</v>
      </c>
      <c r="AO302">
        <v>1230</v>
      </c>
      <c r="AP302">
        <f>ifood_data[[#This Row],[MntTotal]]-ifood_data[[#This Row],[MntRegularProds]]</f>
        <v>0</v>
      </c>
      <c r="AQ302">
        <v>0</v>
      </c>
      <c r="AR302">
        <f>IF(SUM(ifood_data[[#This Row],[Kidhome]:[Teenhome]])&gt;0,1,0)</f>
        <v>0</v>
      </c>
      <c r="AS302" t="str">
        <f>IF(SUM(ifood_data[[#This Row],[Kidhome]:[Teenhome]])&gt;0,"Has Family","No Family")</f>
        <v>No Family</v>
      </c>
      <c r="AT302" t="str">
        <f>IF(ifood_data[[#This Row],[marital_Married]]=1,"Married", (IF(ifood_data[[#This Row],[marital_Single]]=1,"Single",(IF(ifood_data[[#This Row],[marital_Divorced]]=1,"Divorced",(IF(ifood_data[[#This Row],[marital_Together]]=1,"Living Together",(IF(ifood_data[[#This Row],[marital_Widow]]=1,"Widow","Other")))))))))</f>
        <v>Single</v>
      </c>
      <c r="AU302" t="str">
        <f>IF(ifood_data[[#This Row],[education_Basic]]=1,"High School",(IF(ifood_data[[#This Row],[education_Graduation]]=1,"Undergraduate Degree",(IF(SUM(AM302,AL302,AI302)&gt;0,"Master's Degree or Higher","Other")))))</f>
        <v>Master's Degree or Higher</v>
      </c>
      <c r="AV302" t="str">
        <f>IF(ifood_data[[#All],[Income]]&gt;75000,"75K+",(IF(ifood_data[[#All],[Income]]&gt;50000,"50K-75K",(IF(ifood_data[[#All],[Income]]&gt;35000,"35K-50K","&lt;35K")))))</f>
        <v>50K-75K</v>
      </c>
      <c r="AW302" t="str">
        <f>IF(ifood_data[[#All],[Age]]&gt;60,"60+",(IF(ifood_data[[#All],[Age]]&gt;50,"50-60",(IF(ifood_data[[#All],[Age]]&gt;40,"40-50",(IF(ifood_data[[#All],[Age]]&gt;30,"30-40","&lt;30")))))))</f>
        <v>40-50</v>
      </c>
      <c r="AX302">
        <f t="shared" si="16"/>
        <v>20</v>
      </c>
      <c r="AY302">
        <f t="shared" si="17"/>
        <v>1.9999999999999996</v>
      </c>
      <c r="AZ302">
        <f t="shared" si="18"/>
        <v>4</v>
      </c>
      <c r="BA302">
        <f t="shared" si="19"/>
        <v>8</v>
      </c>
      <c r="BB302">
        <f>SUM(ifood_data[[#This Row],[Recency Score]:[Monetary Score]])</f>
        <v>14</v>
      </c>
      <c r="BC302">
        <f>(_xlfn.PERCENTRANK.INC(ifood_data[[#All],[RFM]],ifood_data[[#This Row],[RFM]],1))*10</f>
        <v>4</v>
      </c>
      <c r="BD302" t="str">
        <f>VLOOKUP(ifood_data[[#This Row],[RFM Score]],'RFM Analysis'!$A$3:$B$14,2,FALSE)</f>
        <v>At Risk</v>
      </c>
      <c r="BE302">
        <f>'Regression Models'!$B$101+'Regression Models'!$B$102*ifood_data[[#This Row],[Income]]+'Regression Models'!$B$103*ifood_data[[#This Row],[Age]]+'Regression Models'!$B$104*ifood_data[[#This Row],[Family]]</f>
        <v>1184.8122502682745</v>
      </c>
      <c r="BF302" t="str">
        <f>IF(ifood_data[[#This Row],[AcceptedCmpOverall]]=1,"Campaign Respondent","Non-respondent")</f>
        <v>Non-respondent</v>
      </c>
    </row>
    <row r="303" spans="1:58" x14ac:dyDescent="0.35">
      <c r="A303">
        <v>1716</v>
      </c>
      <c r="B303">
        <v>72905</v>
      </c>
      <c r="C303">
        <v>0</v>
      </c>
      <c r="D303">
        <v>0</v>
      </c>
      <c r="E303">
        <v>52</v>
      </c>
      <c r="F303">
        <v>407</v>
      </c>
      <c r="G303">
        <v>114</v>
      </c>
      <c r="H303">
        <v>445</v>
      </c>
      <c r="I303">
        <v>181</v>
      </c>
      <c r="J303">
        <v>165</v>
      </c>
      <c r="K303">
        <v>203</v>
      </c>
      <c r="L303">
        <v>1</v>
      </c>
      <c r="M303">
        <v>3</v>
      </c>
      <c r="N303">
        <v>7</v>
      </c>
      <c r="O303">
        <v>9</v>
      </c>
      <c r="P303">
        <v>1</v>
      </c>
      <c r="Q303">
        <v>1</v>
      </c>
      <c r="R303">
        <v>0</v>
      </c>
      <c r="S303">
        <v>0</v>
      </c>
      <c r="T303">
        <v>0</v>
      </c>
      <c r="U303">
        <v>0</v>
      </c>
      <c r="V303">
        <f>IF(SUM(ifood_data[[#This Row],[AcceptedCmp1]:[AcceptedCmp5]])&gt;0,1,0)</f>
        <v>1</v>
      </c>
      <c r="W303">
        <v>0</v>
      </c>
      <c r="X303">
        <v>3</v>
      </c>
      <c r="Y303">
        <v>11</v>
      </c>
      <c r="Z303">
        <v>0</v>
      </c>
      <c r="AA303">
        <v>62</v>
      </c>
      <c r="AB303">
        <v>2318</v>
      </c>
      <c r="AC303" s="28">
        <f>ifood_data[[#This Row],[Customer_Days]]/365</f>
        <v>6.3506849315068497</v>
      </c>
      <c r="AD303">
        <v>0</v>
      </c>
      <c r="AE303">
        <v>1</v>
      </c>
      <c r="AF303">
        <v>0</v>
      </c>
      <c r="AG303">
        <v>0</v>
      </c>
      <c r="AH303">
        <v>0</v>
      </c>
      <c r="AI303">
        <v>0</v>
      </c>
      <c r="AJ303">
        <v>0</v>
      </c>
      <c r="AK303">
        <v>1</v>
      </c>
      <c r="AL303">
        <v>0</v>
      </c>
      <c r="AM303">
        <v>0</v>
      </c>
      <c r="AN303">
        <v>1312</v>
      </c>
      <c r="AO303">
        <v>1109</v>
      </c>
      <c r="AP303">
        <f>ifood_data[[#This Row],[MntTotal]]-ifood_data[[#This Row],[MntRegularProds]]</f>
        <v>203</v>
      </c>
      <c r="AQ303">
        <v>1</v>
      </c>
      <c r="AR303">
        <f>IF(SUM(ifood_data[[#This Row],[Kidhome]:[Teenhome]])&gt;0,1,0)</f>
        <v>0</v>
      </c>
      <c r="AS303" t="str">
        <f>IF(SUM(ifood_data[[#This Row],[Kidhome]:[Teenhome]])&gt;0,"Has Family","No Family")</f>
        <v>No Family</v>
      </c>
      <c r="AT303" t="str">
        <f>IF(ifood_data[[#This Row],[marital_Married]]=1,"Married", (IF(ifood_data[[#This Row],[marital_Single]]=1,"Single",(IF(ifood_data[[#This Row],[marital_Divorced]]=1,"Divorced",(IF(ifood_data[[#This Row],[marital_Together]]=1,"Living Together",(IF(ifood_data[[#This Row],[marital_Widow]]=1,"Widow","Other")))))))))</f>
        <v>Married</v>
      </c>
      <c r="AU303" t="str">
        <f>IF(ifood_data[[#This Row],[education_Basic]]=1,"High School",(IF(ifood_data[[#This Row],[education_Graduation]]=1,"Undergraduate Degree",(IF(SUM(AM303,AL303,AI303)&gt;0,"Master's Degree or Higher","Other")))))</f>
        <v>Undergraduate Degree</v>
      </c>
      <c r="AV303" t="str">
        <f>IF(ifood_data[[#All],[Income]]&gt;75000,"75K+",(IF(ifood_data[[#All],[Income]]&gt;50000,"50K-75K",(IF(ifood_data[[#All],[Income]]&gt;35000,"35K-50K","&lt;35K")))))</f>
        <v>50K-75K</v>
      </c>
      <c r="AW303" t="str">
        <f>IF(ifood_data[[#All],[Age]]&gt;60,"60+",(IF(ifood_data[[#All],[Age]]&gt;50,"50-60",(IF(ifood_data[[#All],[Age]]&gt;40,"40-50",(IF(ifood_data[[#All],[Age]]&gt;30,"30-40","&lt;30")))))))</f>
        <v>60+</v>
      </c>
      <c r="AX303">
        <f t="shared" si="16"/>
        <v>21</v>
      </c>
      <c r="AY303">
        <f t="shared" si="17"/>
        <v>5</v>
      </c>
      <c r="AZ303">
        <f t="shared" si="18"/>
        <v>5</v>
      </c>
      <c r="BA303">
        <f t="shared" si="19"/>
        <v>8</v>
      </c>
      <c r="BB303">
        <f>SUM(ifood_data[[#This Row],[Recency Score]:[Monetary Score]])</f>
        <v>18</v>
      </c>
      <c r="BC303">
        <f>(_xlfn.PERCENTRANK.INC(ifood_data[[#All],[RFM]],ifood_data[[#This Row],[RFM]],1))*10</f>
        <v>6</v>
      </c>
      <c r="BD303" t="str">
        <f>VLOOKUP(ifood_data[[#This Row],[RFM Score]],'RFM Analysis'!$A$3:$B$14,2,FALSE)</f>
        <v>Promising</v>
      </c>
      <c r="BE303">
        <f>'Regression Models'!$B$101+'Regression Models'!$B$102*ifood_data[[#This Row],[Income]]+'Regression Models'!$B$103*ifood_data[[#This Row],[Age]]+'Regression Models'!$B$104*ifood_data[[#This Row],[Family]]</f>
        <v>1184.7686623650368</v>
      </c>
      <c r="BF303" t="str">
        <f>IF(ifood_data[[#This Row],[AcceptedCmpOverall]]=1,"Campaign Respondent","Non-respondent")</f>
        <v>Campaign Respondent</v>
      </c>
    </row>
    <row r="304" spans="1:58" x14ac:dyDescent="0.35">
      <c r="A304">
        <v>1064</v>
      </c>
      <c r="B304">
        <v>86358</v>
      </c>
      <c r="C304">
        <v>1</v>
      </c>
      <c r="D304">
        <v>1</v>
      </c>
      <c r="E304">
        <v>78</v>
      </c>
      <c r="F304">
        <v>957</v>
      </c>
      <c r="G304">
        <v>47</v>
      </c>
      <c r="H304">
        <v>494</v>
      </c>
      <c r="I304">
        <v>82</v>
      </c>
      <c r="J304">
        <v>47</v>
      </c>
      <c r="K304">
        <v>95</v>
      </c>
      <c r="L304">
        <v>4</v>
      </c>
      <c r="M304">
        <v>5</v>
      </c>
      <c r="N304">
        <v>3</v>
      </c>
      <c r="O304">
        <v>6</v>
      </c>
      <c r="P304">
        <v>8</v>
      </c>
      <c r="Q304">
        <v>0</v>
      </c>
      <c r="R304">
        <v>0</v>
      </c>
      <c r="S304">
        <v>0</v>
      </c>
      <c r="T304">
        <v>0</v>
      </c>
      <c r="U304">
        <v>0</v>
      </c>
      <c r="V304">
        <f>IF(SUM(ifood_data[[#This Row],[AcceptedCmp1]:[AcceptedCmp5]])&gt;0,1,0)</f>
        <v>0</v>
      </c>
      <c r="W304">
        <v>0</v>
      </c>
      <c r="X304">
        <v>3</v>
      </c>
      <c r="Y304">
        <v>11</v>
      </c>
      <c r="Z304">
        <v>0</v>
      </c>
      <c r="AA304">
        <v>54</v>
      </c>
      <c r="AB304">
        <v>2849</v>
      </c>
      <c r="AC304" s="28">
        <f>ifood_data[[#This Row],[Customer_Days]]/365</f>
        <v>7.8054794520547945</v>
      </c>
      <c r="AD304">
        <v>0</v>
      </c>
      <c r="AE304">
        <v>0</v>
      </c>
      <c r="AF304">
        <v>1</v>
      </c>
      <c r="AG304">
        <v>0</v>
      </c>
      <c r="AH304">
        <v>0</v>
      </c>
      <c r="AI304">
        <v>0</v>
      </c>
      <c r="AJ304">
        <v>0</v>
      </c>
      <c r="AK304">
        <v>1</v>
      </c>
      <c r="AL304">
        <v>0</v>
      </c>
      <c r="AM304">
        <v>0</v>
      </c>
      <c r="AN304">
        <v>1627</v>
      </c>
      <c r="AO304">
        <v>1532</v>
      </c>
      <c r="AP304">
        <f>ifood_data[[#This Row],[MntTotal]]-ifood_data[[#This Row],[MntRegularProds]]</f>
        <v>95</v>
      </c>
      <c r="AQ304">
        <v>0</v>
      </c>
      <c r="AR304">
        <f>IF(SUM(ifood_data[[#This Row],[Kidhome]:[Teenhome]])&gt;0,1,0)</f>
        <v>1</v>
      </c>
      <c r="AS304" t="str">
        <f>IF(SUM(ifood_data[[#This Row],[Kidhome]:[Teenhome]])&gt;0,"Has Family","No Family")</f>
        <v>Has Family</v>
      </c>
      <c r="AT304" t="str">
        <f>IF(ifood_data[[#This Row],[marital_Married]]=1,"Married", (IF(ifood_data[[#This Row],[marital_Single]]=1,"Single",(IF(ifood_data[[#This Row],[marital_Divorced]]=1,"Divorced",(IF(ifood_data[[#This Row],[marital_Together]]=1,"Living Together",(IF(ifood_data[[#This Row],[marital_Widow]]=1,"Widow","Other")))))))))</f>
        <v>Single</v>
      </c>
      <c r="AU304" t="str">
        <f>IF(ifood_data[[#This Row],[education_Basic]]=1,"High School",(IF(ifood_data[[#This Row],[education_Graduation]]=1,"Undergraduate Degree",(IF(SUM(AM304,AL304,AI304)&gt;0,"Master's Degree or Higher","Other")))))</f>
        <v>Undergraduate Degree</v>
      </c>
      <c r="AV304" t="str">
        <f>IF(ifood_data[[#All],[Income]]&gt;75000,"75K+",(IF(ifood_data[[#All],[Income]]&gt;50000,"50K-75K",(IF(ifood_data[[#All],[Income]]&gt;35000,"35K-50K","&lt;35K")))))</f>
        <v>75K+</v>
      </c>
      <c r="AW304" t="str">
        <f>IF(ifood_data[[#All],[Age]]&gt;60,"60+",(IF(ifood_data[[#All],[Age]]&gt;50,"50-60",(IF(ifood_data[[#All],[Age]]&gt;40,"40-50",(IF(ifood_data[[#All],[Age]]&gt;30,"30-40","&lt;30")))))))</f>
        <v>50-60</v>
      </c>
      <c r="AX304">
        <f t="shared" si="16"/>
        <v>26</v>
      </c>
      <c r="AY304">
        <f t="shared" si="17"/>
        <v>3.0000000000000004</v>
      </c>
      <c r="AZ304">
        <f t="shared" si="18"/>
        <v>7</v>
      </c>
      <c r="BA304">
        <f t="shared" si="19"/>
        <v>9</v>
      </c>
      <c r="BB304">
        <f>SUM(ifood_data[[#This Row],[Recency Score]:[Monetary Score]])</f>
        <v>19</v>
      </c>
      <c r="BC304">
        <f>(_xlfn.PERCENTRANK.INC(ifood_data[[#All],[RFM]],ifood_data[[#This Row],[RFM]],1))*10</f>
        <v>7</v>
      </c>
      <c r="BD304" t="str">
        <f>VLOOKUP(ifood_data[[#This Row],[RFM Score]],'RFM Analysis'!$A$3:$B$14,2,FALSE)</f>
        <v>Loyal Customer</v>
      </c>
      <c r="BE304">
        <f>'Regression Models'!$B$101+'Regression Models'!$B$102*ifood_data[[#This Row],[Income]]+'Regression Models'!$B$103*ifood_data[[#This Row],[Age]]+'Regression Models'!$B$104*ifood_data[[#This Row],[Family]]</f>
        <v>1184.1366417630475</v>
      </c>
      <c r="BF304" t="str">
        <f>IF(ifood_data[[#This Row],[AcceptedCmpOverall]]=1,"Campaign Respondent","Non-respondent")</f>
        <v>Non-respondent</v>
      </c>
    </row>
    <row r="305" spans="1:58" x14ac:dyDescent="0.35">
      <c r="A305">
        <v>684</v>
      </c>
      <c r="B305">
        <v>72190</v>
      </c>
      <c r="C305">
        <v>0</v>
      </c>
      <c r="D305">
        <v>0</v>
      </c>
      <c r="E305">
        <v>79</v>
      </c>
      <c r="F305">
        <v>597</v>
      </c>
      <c r="G305">
        <v>166</v>
      </c>
      <c r="H305">
        <v>597</v>
      </c>
      <c r="I305">
        <v>172</v>
      </c>
      <c r="J305">
        <v>166</v>
      </c>
      <c r="K305">
        <v>249</v>
      </c>
      <c r="L305">
        <v>1</v>
      </c>
      <c r="M305">
        <v>5</v>
      </c>
      <c r="N305">
        <v>6</v>
      </c>
      <c r="O305">
        <v>4</v>
      </c>
      <c r="P305">
        <v>3</v>
      </c>
      <c r="Q305">
        <v>0</v>
      </c>
      <c r="R305">
        <v>0</v>
      </c>
      <c r="S305">
        <v>0</v>
      </c>
      <c r="T305">
        <v>0</v>
      </c>
      <c r="U305">
        <v>0</v>
      </c>
      <c r="V305">
        <f>IF(SUM(ifood_data[[#This Row],[AcceptedCmp1]:[AcceptedCmp5]])&gt;0,1,0)</f>
        <v>0</v>
      </c>
      <c r="W305">
        <v>0</v>
      </c>
      <c r="X305">
        <v>3</v>
      </c>
      <c r="Y305">
        <v>11</v>
      </c>
      <c r="Z305">
        <v>0</v>
      </c>
      <c r="AA305">
        <v>55</v>
      </c>
      <c r="AB305">
        <v>2660</v>
      </c>
      <c r="AC305" s="28">
        <f>ifood_data[[#This Row],[Customer_Days]]/365</f>
        <v>7.2876712328767121</v>
      </c>
      <c r="AD305">
        <v>0</v>
      </c>
      <c r="AE305">
        <v>1</v>
      </c>
      <c r="AF305">
        <v>0</v>
      </c>
      <c r="AG305">
        <v>0</v>
      </c>
      <c r="AH305">
        <v>0</v>
      </c>
      <c r="AI305">
        <v>0</v>
      </c>
      <c r="AJ305">
        <v>0</v>
      </c>
      <c r="AK305">
        <v>1</v>
      </c>
      <c r="AL305">
        <v>0</v>
      </c>
      <c r="AM305">
        <v>0</v>
      </c>
      <c r="AN305">
        <v>1698</v>
      </c>
      <c r="AO305">
        <v>1449</v>
      </c>
      <c r="AP305">
        <f>ifood_data[[#This Row],[MntTotal]]-ifood_data[[#This Row],[MntRegularProds]]</f>
        <v>249</v>
      </c>
      <c r="AQ305">
        <v>0</v>
      </c>
      <c r="AR305">
        <f>IF(SUM(ifood_data[[#This Row],[Kidhome]:[Teenhome]])&gt;0,1,0)</f>
        <v>0</v>
      </c>
      <c r="AS305" t="str">
        <f>IF(SUM(ifood_data[[#This Row],[Kidhome]:[Teenhome]])&gt;0,"Has Family","No Family")</f>
        <v>No Family</v>
      </c>
      <c r="AT305" t="str">
        <f>IF(ifood_data[[#This Row],[marital_Married]]=1,"Married", (IF(ifood_data[[#This Row],[marital_Single]]=1,"Single",(IF(ifood_data[[#This Row],[marital_Divorced]]=1,"Divorced",(IF(ifood_data[[#This Row],[marital_Together]]=1,"Living Together",(IF(ifood_data[[#This Row],[marital_Widow]]=1,"Widow","Other")))))))))</f>
        <v>Married</v>
      </c>
      <c r="AU305" t="str">
        <f>IF(ifood_data[[#This Row],[education_Basic]]=1,"High School",(IF(ifood_data[[#This Row],[education_Graduation]]=1,"Undergraduate Degree",(IF(SUM(AM305,AL305,AI305)&gt;0,"Master's Degree or Higher","Other")))))</f>
        <v>Undergraduate Degree</v>
      </c>
      <c r="AV305" t="str">
        <f>IF(ifood_data[[#All],[Income]]&gt;75000,"75K+",(IF(ifood_data[[#All],[Income]]&gt;50000,"50K-75K",(IF(ifood_data[[#All],[Income]]&gt;35000,"35K-50K","&lt;35K")))))</f>
        <v>50K-75K</v>
      </c>
      <c r="AW305" t="str">
        <f>IF(ifood_data[[#All],[Age]]&gt;60,"60+",(IF(ifood_data[[#All],[Age]]&gt;50,"50-60",(IF(ifood_data[[#All],[Age]]&gt;40,"40-50",(IF(ifood_data[[#All],[Age]]&gt;30,"30-40","&lt;30")))))))</f>
        <v>50-60</v>
      </c>
      <c r="AX305">
        <f t="shared" si="16"/>
        <v>19</v>
      </c>
      <c r="AY305">
        <f t="shared" si="17"/>
        <v>3.0000000000000004</v>
      </c>
      <c r="AZ305">
        <f t="shared" si="18"/>
        <v>4</v>
      </c>
      <c r="BA305">
        <f t="shared" si="19"/>
        <v>9</v>
      </c>
      <c r="BB305">
        <f>SUM(ifood_data[[#This Row],[Recency Score]:[Monetary Score]])</f>
        <v>16</v>
      </c>
      <c r="BC305">
        <f>(_xlfn.PERCENTRANK.INC(ifood_data[[#All],[RFM]],ifood_data[[#This Row],[RFM]],1))*10</f>
        <v>5</v>
      </c>
      <c r="BD305" t="str">
        <f>VLOOKUP(ifood_data[[#This Row],[RFM Score]],'RFM Analysis'!$A$3:$B$14,2,FALSE)</f>
        <v>Promising</v>
      </c>
      <c r="BE305">
        <f>'Regression Models'!$B$101+'Regression Models'!$B$102*ifood_data[[#This Row],[Income]]+'Regression Models'!$B$103*ifood_data[[#This Row],[Age]]+'Regression Models'!$B$104*ifood_data[[#This Row],[Family]]</f>
        <v>1183.0457666944089</v>
      </c>
      <c r="BF305" t="str">
        <f>IF(ifood_data[[#This Row],[AcceptedCmpOverall]]=1,"Campaign Respondent","Non-respondent")</f>
        <v>Non-respondent</v>
      </c>
    </row>
    <row r="306" spans="1:58" x14ac:dyDescent="0.35">
      <c r="A306">
        <v>575</v>
      </c>
      <c r="B306">
        <v>72906</v>
      </c>
      <c r="C306">
        <v>0</v>
      </c>
      <c r="D306">
        <v>0</v>
      </c>
      <c r="E306">
        <v>79</v>
      </c>
      <c r="F306">
        <v>400</v>
      </c>
      <c r="G306">
        <v>32</v>
      </c>
      <c r="H306">
        <v>519</v>
      </c>
      <c r="I306">
        <v>71</v>
      </c>
      <c r="J306">
        <v>75</v>
      </c>
      <c r="K306">
        <v>54</v>
      </c>
      <c r="L306">
        <v>1</v>
      </c>
      <c r="M306">
        <v>3</v>
      </c>
      <c r="N306">
        <v>4</v>
      </c>
      <c r="O306">
        <v>9</v>
      </c>
      <c r="P306">
        <v>1</v>
      </c>
      <c r="Q306">
        <v>0</v>
      </c>
      <c r="R306">
        <v>0</v>
      </c>
      <c r="S306">
        <v>0</v>
      </c>
      <c r="T306">
        <v>0</v>
      </c>
      <c r="U306">
        <v>0</v>
      </c>
      <c r="V306">
        <f>IF(SUM(ifood_data[[#This Row],[AcceptedCmp1]:[AcceptedCmp5]])&gt;0,1,0)</f>
        <v>0</v>
      </c>
      <c r="W306">
        <v>0</v>
      </c>
      <c r="X306">
        <v>3</v>
      </c>
      <c r="Y306">
        <v>11</v>
      </c>
      <c r="Z306">
        <v>0</v>
      </c>
      <c r="AA306">
        <v>65</v>
      </c>
      <c r="AB306">
        <v>2444</v>
      </c>
      <c r="AC306" s="28">
        <f>ifood_data[[#This Row],[Customer_Days]]/365</f>
        <v>6.6958904109589037</v>
      </c>
      <c r="AD306">
        <v>0</v>
      </c>
      <c r="AE306">
        <v>0</v>
      </c>
      <c r="AF306">
        <v>1</v>
      </c>
      <c r="AG306">
        <v>0</v>
      </c>
      <c r="AH306">
        <v>0</v>
      </c>
      <c r="AI306">
        <v>0</v>
      </c>
      <c r="AJ306">
        <v>0</v>
      </c>
      <c r="AK306">
        <v>1</v>
      </c>
      <c r="AL306">
        <v>0</v>
      </c>
      <c r="AM306">
        <v>0</v>
      </c>
      <c r="AN306">
        <v>1097</v>
      </c>
      <c r="AO306">
        <v>1043</v>
      </c>
      <c r="AP306">
        <f>ifood_data[[#This Row],[MntTotal]]-ifood_data[[#This Row],[MntRegularProds]]</f>
        <v>54</v>
      </c>
      <c r="AQ306">
        <v>0</v>
      </c>
      <c r="AR306">
        <f>IF(SUM(ifood_data[[#This Row],[Kidhome]:[Teenhome]])&gt;0,1,0)</f>
        <v>0</v>
      </c>
      <c r="AS306" t="str">
        <f>IF(SUM(ifood_data[[#This Row],[Kidhome]:[Teenhome]])&gt;0,"Has Family","No Family")</f>
        <v>No Family</v>
      </c>
      <c r="AT306" t="str">
        <f>IF(ifood_data[[#This Row],[marital_Married]]=1,"Married", (IF(ifood_data[[#This Row],[marital_Single]]=1,"Single",(IF(ifood_data[[#This Row],[marital_Divorced]]=1,"Divorced",(IF(ifood_data[[#This Row],[marital_Together]]=1,"Living Together",(IF(ifood_data[[#This Row],[marital_Widow]]=1,"Widow","Other")))))))))</f>
        <v>Single</v>
      </c>
      <c r="AU306" t="str">
        <f>IF(ifood_data[[#This Row],[education_Basic]]=1,"High School",(IF(ifood_data[[#This Row],[education_Graduation]]=1,"Undergraduate Degree",(IF(SUM(AM306,AL306,AI306)&gt;0,"Master's Degree or Higher","Other")))))</f>
        <v>Undergraduate Degree</v>
      </c>
      <c r="AV306" t="str">
        <f>IF(ifood_data[[#All],[Income]]&gt;75000,"75K+",(IF(ifood_data[[#All],[Income]]&gt;50000,"50K-75K",(IF(ifood_data[[#All],[Income]]&gt;35000,"35K-50K","&lt;35K")))))</f>
        <v>50K-75K</v>
      </c>
      <c r="AW306" t="str">
        <f>IF(ifood_data[[#All],[Age]]&gt;60,"60+",(IF(ifood_data[[#All],[Age]]&gt;50,"50-60",(IF(ifood_data[[#All],[Age]]&gt;40,"40-50",(IF(ifood_data[[#All],[Age]]&gt;30,"30-40","&lt;30")))))))</f>
        <v>60+</v>
      </c>
      <c r="AX306">
        <f t="shared" si="16"/>
        <v>18</v>
      </c>
      <c r="AY306">
        <f t="shared" si="17"/>
        <v>3.0000000000000004</v>
      </c>
      <c r="AZ306">
        <f t="shared" si="18"/>
        <v>4</v>
      </c>
      <c r="BA306">
        <f t="shared" si="19"/>
        <v>7</v>
      </c>
      <c r="BB306">
        <f>SUM(ifood_data[[#This Row],[Recency Score]:[Monetary Score]])</f>
        <v>14</v>
      </c>
      <c r="BC306">
        <f>(_xlfn.PERCENTRANK.INC(ifood_data[[#All],[RFM]],ifood_data[[#This Row],[RFM]],1))*10</f>
        <v>4</v>
      </c>
      <c r="BD306" t="str">
        <f>VLOOKUP(ifood_data[[#This Row],[RFM Score]],'RFM Analysis'!$A$3:$B$14,2,FALSE)</f>
        <v>At Risk</v>
      </c>
      <c r="BE306">
        <f>'Regression Models'!$B$101+'Regression Models'!$B$102*ifood_data[[#This Row],[Income]]+'Regression Models'!$B$103*ifood_data[[#This Row],[Age]]+'Regression Models'!$B$104*ifood_data[[#This Row],[Family]]</f>
        <v>1179.2797338964976</v>
      </c>
      <c r="BF306" t="str">
        <f>IF(ifood_data[[#This Row],[AcceptedCmpOverall]]=1,"Campaign Respondent","Non-respondent")</f>
        <v>Non-respondent</v>
      </c>
    </row>
    <row r="307" spans="1:58" x14ac:dyDescent="0.35">
      <c r="A307">
        <v>1921</v>
      </c>
      <c r="B307">
        <v>72217</v>
      </c>
      <c r="C307">
        <v>0</v>
      </c>
      <c r="D307">
        <v>0</v>
      </c>
      <c r="E307">
        <v>93</v>
      </c>
      <c r="F307">
        <v>816</v>
      </c>
      <c r="G307">
        <v>42</v>
      </c>
      <c r="H307">
        <v>450</v>
      </c>
      <c r="I307">
        <v>55</v>
      </c>
      <c r="J307">
        <v>56</v>
      </c>
      <c r="K307">
        <v>154</v>
      </c>
      <c r="L307">
        <v>1</v>
      </c>
      <c r="M307">
        <v>3</v>
      </c>
      <c r="N307">
        <v>10</v>
      </c>
      <c r="O307">
        <v>8</v>
      </c>
      <c r="P307">
        <v>2</v>
      </c>
      <c r="Q307">
        <v>0</v>
      </c>
      <c r="R307">
        <v>0</v>
      </c>
      <c r="S307">
        <v>0</v>
      </c>
      <c r="T307">
        <v>0</v>
      </c>
      <c r="U307">
        <v>0</v>
      </c>
      <c r="V307">
        <f>IF(SUM(ifood_data[[#This Row],[AcceptedCmp1]:[AcceptedCmp5]])&gt;0,1,0)</f>
        <v>0</v>
      </c>
      <c r="W307">
        <v>0</v>
      </c>
      <c r="X307">
        <v>3</v>
      </c>
      <c r="Y307">
        <v>11</v>
      </c>
      <c r="Z307">
        <v>0</v>
      </c>
      <c r="AA307">
        <v>58</v>
      </c>
      <c r="AB307">
        <v>2604</v>
      </c>
      <c r="AC307" s="28">
        <f>ifood_data[[#This Row],[Customer_Days]]/365</f>
        <v>7.1342465753424653</v>
      </c>
      <c r="AD307">
        <v>0</v>
      </c>
      <c r="AE307">
        <v>0</v>
      </c>
      <c r="AF307">
        <v>1</v>
      </c>
      <c r="AG307">
        <v>0</v>
      </c>
      <c r="AH307">
        <v>0</v>
      </c>
      <c r="AI307">
        <v>0</v>
      </c>
      <c r="AJ307">
        <v>0</v>
      </c>
      <c r="AK307">
        <v>0</v>
      </c>
      <c r="AL307">
        <v>1</v>
      </c>
      <c r="AM307">
        <v>0</v>
      </c>
      <c r="AN307">
        <v>1419</v>
      </c>
      <c r="AO307">
        <v>1265</v>
      </c>
      <c r="AP307">
        <f>ifood_data[[#This Row],[MntTotal]]-ifood_data[[#This Row],[MntRegularProds]]</f>
        <v>154</v>
      </c>
      <c r="AQ307">
        <v>0</v>
      </c>
      <c r="AR307">
        <f>IF(SUM(ifood_data[[#This Row],[Kidhome]:[Teenhome]])&gt;0,1,0)</f>
        <v>0</v>
      </c>
      <c r="AS307" t="str">
        <f>IF(SUM(ifood_data[[#This Row],[Kidhome]:[Teenhome]])&gt;0,"Has Family","No Family")</f>
        <v>No Family</v>
      </c>
      <c r="AT307" t="str">
        <f>IF(ifood_data[[#This Row],[marital_Married]]=1,"Married", (IF(ifood_data[[#This Row],[marital_Single]]=1,"Single",(IF(ifood_data[[#This Row],[marital_Divorced]]=1,"Divorced",(IF(ifood_data[[#This Row],[marital_Together]]=1,"Living Together",(IF(ifood_data[[#This Row],[marital_Widow]]=1,"Widow","Other")))))))))</f>
        <v>Single</v>
      </c>
      <c r="AU307" t="str">
        <f>IF(ifood_data[[#This Row],[education_Basic]]=1,"High School",(IF(ifood_data[[#This Row],[education_Graduation]]=1,"Undergraduate Degree",(IF(SUM(AM307,AL307,AI307)&gt;0,"Master's Degree or Higher","Other")))))</f>
        <v>Master's Degree or Higher</v>
      </c>
      <c r="AV307" t="str">
        <f>IF(ifood_data[[#All],[Income]]&gt;75000,"75K+",(IF(ifood_data[[#All],[Income]]&gt;50000,"50K-75K",(IF(ifood_data[[#All],[Income]]&gt;35000,"35K-50K","&lt;35K")))))</f>
        <v>50K-75K</v>
      </c>
      <c r="AW307" t="str">
        <f>IF(ifood_data[[#All],[Age]]&gt;60,"60+",(IF(ifood_data[[#All],[Age]]&gt;50,"50-60",(IF(ifood_data[[#All],[Age]]&gt;40,"40-50",(IF(ifood_data[[#All],[Age]]&gt;30,"30-40","&lt;30")))))))</f>
        <v>50-60</v>
      </c>
      <c r="AX307">
        <f t="shared" si="16"/>
        <v>24</v>
      </c>
      <c r="AY307">
        <f t="shared" si="17"/>
        <v>0.99999999999999978</v>
      </c>
      <c r="AZ307">
        <f t="shared" si="18"/>
        <v>6</v>
      </c>
      <c r="BA307">
        <f t="shared" si="19"/>
        <v>8</v>
      </c>
      <c r="BB307">
        <f>SUM(ifood_data[[#This Row],[Recency Score]:[Monetary Score]])</f>
        <v>15</v>
      </c>
      <c r="BC307">
        <f>(_xlfn.PERCENTRANK.INC(ifood_data[[#All],[RFM]],ifood_data[[#This Row],[RFM]],1))*10</f>
        <v>4</v>
      </c>
      <c r="BD307" t="str">
        <f>VLOOKUP(ifood_data[[#This Row],[RFM Score]],'RFM Analysis'!$A$3:$B$14,2,FALSE)</f>
        <v>At Risk</v>
      </c>
      <c r="BE307">
        <f>'Regression Models'!$B$101+'Regression Models'!$B$102*ifood_data[[#This Row],[Income]]+'Regression Models'!$B$103*ifood_data[[#This Row],[Age]]+'Regression Models'!$B$104*ifood_data[[#This Row],[Family]]</f>
        <v>1178.0869461976113</v>
      </c>
      <c r="BF307" t="str">
        <f>IF(ifood_data[[#This Row],[AcceptedCmpOverall]]=1,"Campaign Respondent","Non-respondent")</f>
        <v>Non-respondent</v>
      </c>
    </row>
    <row r="308" spans="1:58" x14ac:dyDescent="0.35">
      <c r="A308">
        <v>295</v>
      </c>
      <c r="B308">
        <v>70893</v>
      </c>
      <c r="C308">
        <v>0</v>
      </c>
      <c r="D308">
        <v>0</v>
      </c>
      <c r="E308">
        <v>42</v>
      </c>
      <c r="F308">
        <v>768</v>
      </c>
      <c r="G308">
        <v>44</v>
      </c>
      <c r="H308">
        <v>561</v>
      </c>
      <c r="I308">
        <v>77</v>
      </c>
      <c r="J308">
        <v>44</v>
      </c>
      <c r="K308">
        <v>14</v>
      </c>
      <c r="L308">
        <v>1</v>
      </c>
      <c r="M308">
        <v>6</v>
      </c>
      <c r="N308">
        <v>6</v>
      </c>
      <c r="O308">
        <v>10</v>
      </c>
      <c r="P308">
        <v>3</v>
      </c>
      <c r="Q308">
        <v>0</v>
      </c>
      <c r="R308">
        <v>0</v>
      </c>
      <c r="S308">
        <v>0</v>
      </c>
      <c r="T308">
        <v>0</v>
      </c>
      <c r="U308">
        <v>0</v>
      </c>
      <c r="V308">
        <f>IF(SUM(ifood_data[[#This Row],[AcceptedCmp1]:[AcceptedCmp5]])&gt;0,1,0)</f>
        <v>0</v>
      </c>
      <c r="W308">
        <v>0</v>
      </c>
      <c r="X308">
        <v>3</v>
      </c>
      <c r="Y308">
        <v>11</v>
      </c>
      <c r="Z308">
        <v>0</v>
      </c>
      <c r="AA308">
        <v>44</v>
      </c>
      <c r="AB308">
        <v>2667</v>
      </c>
      <c r="AC308" s="28">
        <f>ifood_data[[#This Row],[Customer_Days]]/365</f>
        <v>7.3068493150684928</v>
      </c>
      <c r="AD308">
        <v>0</v>
      </c>
      <c r="AE308">
        <v>0</v>
      </c>
      <c r="AF308">
        <v>1</v>
      </c>
      <c r="AG308">
        <v>0</v>
      </c>
      <c r="AH308">
        <v>0</v>
      </c>
      <c r="AI308">
        <v>0</v>
      </c>
      <c r="AJ308">
        <v>0</v>
      </c>
      <c r="AK308">
        <v>0</v>
      </c>
      <c r="AL308">
        <v>1</v>
      </c>
      <c r="AM308">
        <v>0</v>
      </c>
      <c r="AN308">
        <v>1494</v>
      </c>
      <c r="AO308">
        <v>1480</v>
      </c>
      <c r="AP308">
        <f>ifood_data[[#This Row],[MntTotal]]-ifood_data[[#This Row],[MntRegularProds]]</f>
        <v>14</v>
      </c>
      <c r="AQ308">
        <v>0</v>
      </c>
      <c r="AR308">
        <f>IF(SUM(ifood_data[[#This Row],[Kidhome]:[Teenhome]])&gt;0,1,0)</f>
        <v>0</v>
      </c>
      <c r="AS308" t="str">
        <f>IF(SUM(ifood_data[[#This Row],[Kidhome]:[Teenhome]])&gt;0,"Has Family","No Family")</f>
        <v>No Family</v>
      </c>
      <c r="AT308" t="str">
        <f>IF(ifood_data[[#This Row],[marital_Married]]=1,"Married", (IF(ifood_data[[#This Row],[marital_Single]]=1,"Single",(IF(ifood_data[[#This Row],[marital_Divorced]]=1,"Divorced",(IF(ifood_data[[#This Row],[marital_Together]]=1,"Living Together",(IF(ifood_data[[#This Row],[marital_Widow]]=1,"Widow","Other")))))))))</f>
        <v>Single</v>
      </c>
      <c r="AU308" t="str">
        <f>IF(ifood_data[[#This Row],[education_Basic]]=1,"High School",(IF(ifood_data[[#This Row],[education_Graduation]]=1,"Undergraduate Degree",(IF(SUM(AM308,AL308,AI308)&gt;0,"Master's Degree or Higher","Other")))))</f>
        <v>Master's Degree or Higher</v>
      </c>
      <c r="AV308" t="str">
        <f>IF(ifood_data[[#All],[Income]]&gt;75000,"75K+",(IF(ifood_data[[#All],[Income]]&gt;50000,"50K-75K",(IF(ifood_data[[#All],[Income]]&gt;35000,"35K-50K","&lt;35K")))))</f>
        <v>50K-75K</v>
      </c>
      <c r="AW308" t="str">
        <f>IF(ifood_data[[#All],[Age]]&gt;60,"60+",(IF(ifood_data[[#All],[Age]]&gt;50,"50-60",(IF(ifood_data[[#All],[Age]]&gt;40,"40-50",(IF(ifood_data[[#All],[Age]]&gt;30,"30-40","&lt;30")))))))</f>
        <v>40-50</v>
      </c>
      <c r="AX308">
        <f t="shared" si="16"/>
        <v>26</v>
      </c>
      <c r="AY308">
        <f t="shared" si="17"/>
        <v>6</v>
      </c>
      <c r="AZ308">
        <f t="shared" si="18"/>
        <v>7</v>
      </c>
      <c r="BA308">
        <f t="shared" si="19"/>
        <v>9</v>
      </c>
      <c r="BB308">
        <f>SUM(ifood_data[[#This Row],[Recency Score]:[Monetary Score]])</f>
        <v>22</v>
      </c>
      <c r="BC308">
        <f>(_xlfn.PERCENTRANK.INC(ifood_data[[#All],[RFM]],ifood_data[[#This Row],[RFM]],1))*10</f>
        <v>8</v>
      </c>
      <c r="BD308" t="str">
        <f>VLOOKUP(ifood_data[[#This Row],[RFM Score]],'RFM Analysis'!$A$3:$B$14,2,FALSE)</f>
        <v>Loyal Customer</v>
      </c>
      <c r="BE308">
        <f>'Regression Models'!$B$101+'Regression Models'!$B$102*ifood_data[[#This Row],[Income]]+'Regression Models'!$B$103*ifood_data[[#This Row],[Age]]+'Regression Models'!$B$104*ifood_data[[#This Row],[Family]]</f>
        <v>1176.8023642796093</v>
      </c>
      <c r="BF308" t="str">
        <f>IF(ifood_data[[#This Row],[AcceptedCmpOverall]]=1,"Campaign Respondent","Non-respondent")</f>
        <v>Non-respondent</v>
      </c>
    </row>
    <row r="309" spans="1:58" x14ac:dyDescent="0.35">
      <c r="A309">
        <v>263</v>
      </c>
      <c r="B309">
        <v>69867</v>
      </c>
      <c r="C309">
        <v>0</v>
      </c>
      <c r="D309">
        <v>0</v>
      </c>
      <c r="E309">
        <v>30</v>
      </c>
      <c r="F309">
        <v>196</v>
      </c>
      <c r="G309">
        <v>0</v>
      </c>
      <c r="H309">
        <v>512</v>
      </c>
      <c r="I309">
        <v>33</v>
      </c>
      <c r="J309">
        <v>130</v>
      </c>
      <c r="K309">
        <v>54</v>
      </c>
      <c r="L309">
        <v>1</v>
      </c>
      <c r="M309">
        <v>3</v>
      </c>
      <c r="N309">
        <v>5</v>
      </c>
      <c r="O309">
        <v>8</v>
      </c>
      <c r="P309">
        <v>1</v>
      </c>
      <c r="Q309">
        <v>1</v>
      </c>
      <c r="R309">
        <v>0</v>
      </c>
      <c r="S309">
        <v>0</v>
      </c>
      <c r="T309">
        <v>0</v>
      </c>
      <c r="U309">
        <v>0</v>
      </c>
      <c r="V309">
        <f>IF(SUM(ifood_data[[#This Row],[AcceptedCmp1]:[AcceptedCmp5]])&gt;0,1,0)</f>
        <v>1</v>
      </c>
      <c r="W309">
        <v>0</v>
      </c>
      <c r="X309">
        <v>3</v>
      </c>
      <c r="Y309">
        <v>11</v>
      </c>
      <c r="Z309">
        <v>1</v>
      </c>
      <c r="AA309">
        <v>34</v>
      </c>
      <c r="AB309">
        <v>2612</v>
      </c>
      <c r="AC309" s="28">
        <f>ifood_data[[#This Row],[Customer_Days]]/365</f>
        <v>7.1561643835616442</v>
      </c>
      <c r="AD309">
        <v>0</v>
      </c>
      <c r="AE309">
        <v>0</v>
      </c>
      <c r="AF309">
        <v>1</v>
      </c>
      <c r="AG309">
        <v>0</v>
      </c>
      <c r="AH309">
        <v>0</v>
      </c>
      <c r="AI309">
        <v>0</v>
      </c>
      <c r="AJ309">
        <v>0</v>
      </c>
      <c r="AK309">
        <v>0</v>
      </c>
      <c r="AL309">
        <v>0</v>
      </c>
      <c r="AM309">
        <v>1</v>
      </c>
      <c r="AN309">
        <v>871</v>
      </c>
      <c r="AO309">
        <v>817</v>
      </c>
      <c r="AP309">
        <f>ifood_data[[#This Row],[MntTotal]]-ifood_data[[#This Row],[MntRegularProds]]</f>
        <v>54</v>
      </c>
      <c r="AQ309">
        <v>1</v>
      </c>
      <c r="AR309">
        <f>IF(SUM(ifood_data[[#This Row],[Kidhome]:[Teenhome]])&gt;0,1,0)</f>
        <v>0</v>
      </c>
      <c r="AS309" t="str">
        <f>IF(SUM(ifood_data[[#This Row],[Kidhome]:[Teenhome]])&gt;0,"Has Family","No Family")</f>
        <v>No Family</v>
      </c>
      <c r="AT309" t="str">
        <f>IF(ifood_data[[#This Row],[marital_Married]]=1,"Married", (IF(ifood_data[[#This Row],[marital_Single]]=1,"Single",(IF(ifood_data[[#This Row],[marital_Divorced]]=1,"Divorced",(IF(ifood_data[[#This Row],[marital_Together]]=1,"Living Together",(IF(ifood_data[[#This Row],[marital_Widow]]=1,"Widow","Other")))))))))</f>
        <v>Single</v>
      </c>
      <c r="AU309" t="str">
        <f>IF(ifood_data[[#This Row],[education_Basic]]=1,"High School",(IF(ifood_data[[#This Row],[education_Graduation]]=1,"Undergraduate Degree",(IF(SUM(AM309,AL309,AI309)&gt;0,"Master's Degree or Higher","Other")))))</f>
        <v>Master's Degree or Higher</v>
      </c>
      <c r="AV309" t="str">
        <f>IF(ifood_data[[#All],[Income]]&gt;75000,"75K+",(IF(ifood_data[[#All],[Income]]&gt;50000,"50K-75K",(IF(ifood_data[[#All],[Income]]&gt;35000,"35K-50K","&lt;35K")))))</f>
        <v>50K-75K</v>
      </c>
      <c r="AW309" t="str">
        <f>IF(ifood_data[[#All],[Age]]&gt;60,"60+",(IF(ifood_data[[#All],[Age]]&gt;50,"50-60",(IF(ifood_data[[#All],[Age]]&gt;40,"40-50",(IF(ifood_data[[#All],[Age]]&gt;30,"30-40","&lt;30")))))))</f>
        <v>30-40</v>
      </c>
      <c r="AX309">
        <f t="shared" si="16"/>
        <v>18</v>
      </c>
      <c r="AY309">
        <f t="shared" si="17"/>
        <v>7</v>
      </c>
      <c r="AZ309">
        <f t="shared" si="18"/>
        <v>4</v>
      </c>
      <c r="BA309">
        <f t="shared" si="19"/>
        <v>7</v>
      </c>
      <c r="BB309">
        <f>SUM(ifood_data[[#This Row],[Recency Score]:[Monetary Score]])</f>
        <v>18</v>
      </c>
      <c r="BC309">
        <f>(_xlfn.PERCENTRANK.INC(ifood_data[[#All],[RFM]],ifood_data[[#This Row],[RFM]],1))*10</f>
        <v>6</v>
      </c>
      <c r="BD309" t="str">
        <f>VLOOKUP(ifood_data[[#This Row],[RFM Score]],'RFM Analysis'!$A$3:$B$14,2,FALSE)</f>
        <v>Promising</v>
      </c>
      <c r="BE309">
        <f>'Regression Models'!$B$101+'Regression Models'!$B$102*ifood_data[[#This Row],[Income]]+'Regression Models'!$B$103*ifood_data[[#This Row],[Age]]+'Regression Models'!$B$104*ifood_data[[#This Row],[Family]]</f>
        <v>1174.2478789529118</v>
      </c>
      <c r="BF309" t="str">
        <f>IF(ifood_data[[#This Row],[AcceptedCmpOverall]]=1,"Campaign Respondent","Non-respondent")</f>
        <v>Campaign Respondent</v>
      </c>
    </row>
    <row r="310" spans="1:58" x14ac:dyDescent="0.35">
      <c r="A310">
        <v>347</v>
      </c>
      <c r="B310">
        <v>72025</v>
      </c>
      <c r="C310">
        <v>0</v>
      </c>
      <c r="D310">
        <v>0</v>
      </c>
      <c r="E310">
        <v>27</v>
      </c>
      <c r="F310">
        <v>833</v>
      </c>
      <c r="G310">
        <v>33</v>
      </c>
      <c r="H310">
        <v>549</v>
      </c>
      <c r="I310">
        <v>151</v>
      </c>
      <c r="J310">
        <v>133</v>
      </c>
      <c r="K310">
        <v>233</v>
      </c>
      <c r="L310">
        <v>1</v>
      </c>
      <c r="M310">
        <v>4</v>
      </c>
      <c r="N310">
        <v>3</v>
      </c>
      <c r="O310">
        <v>8</v>
      </c>
      <c r="P310">
        <v>3</v>
      </c>
      <c r="Q310">
        <v>0</v>
      </c>
      <c r="R310">
        <v>0</v>
      </c>
      <c r="S310">
        <v>0</v>
      </c>
      <c r="T310">
        <v>0</v>
      </c>
      <c r="U310">
        <v>0</v>
      </c>
      <c r="V310">
        <f>IF(SUM(ifood_data[[#This Row],[AcceptedCmp1]:[AcceptedCmp5]])&gt;0,1,0)</f>
        <v>0</v>
      </c>
      <c r="W310">
        <v>0</v>
      </c>
      <c r="X310">
        <v>3</v>
      </c>
      <c r="Y310">
        <v>11</v>
      </c>
      <c r="Z310">
        <v>0</v>
      </c>
      <c r="AA310">
        <v>58</v>
      </c>
      <c r="AB310">
        <v>2748</v>
      </c>
      <c r="AC310" s="28">
        <f>ifood_data[[#This Row],[Customer_Days]]/365</f>
        <v>7.5287671232876709</v>
      </c>
      <c r="AD310">
        <v>0</v>
      </c>
      <c r="AE310">
        <v>0</v>
      </c>
      <c r="AF310">
        <v>0</v>
      </c>
      <c r="AG310">
        <v>1</v>
      </c>
      <c r="AH310">
        <v>0</v>
      </c>
      <c r="AI310">
        <v>0</v>
      </c>
      <c r="AJ310">
        <v>0</v>
      </c>
      <c r="AK310">
        <v>1</v>
      </c>
      <c r="AL310">
        <v>0</v>
      </c>
      <c r="AM310">
        <v>0</v>
      </c>
      <c r="AN310">
        <v>1699</v>
      </c>
      <c r="AO310">
        <v>1466</v>
      </c>
      <c r="AP310">
        <f>ifood_data[[#This Row],[MntTotal]]-ifood_data[[#This Row],[MntRegularProds]]</f>
        <v>233</v>
      </c>
      <c r="AQ310">
        <v>0</v>
      </c>
      <c r="AR310">
        <f>IF(SUM(ifood_data[[#This Row],[Kidhome]:[Teenhome]])&gt;0,1,0)</f>
        <v>0</v>
      </c>
      <c r="AS310" t="str">
        <f>IF(SUM(ifood_data[[#This Row],[Kidhome]:[Teenhome]])&gt;0,"Has Family","No Family")</f>
        <v>No Family</v>
      </c>
      <c r="AT310" t="str">
        <f>IF(ifood_data[[#This Row],[marital_Married]]=1,"Married", (IF(ifood_data[[#This Row],[marital_Single]]=1,"Single",(IF(ifood_data[[#This Row],[marital_Divorced]]=1,"Divorced",(IF(ifood_data[[#This Row],[marital_Together]]=1,"Living Together",(IF(ifood_data[[#This Row],[marital_Widow]]=1,"Widow","Other")))))))))</f>
        <v>Living Together</v>
      </c>
      <c r="AU310" t="str">
        <f>IF(ifood_data[[#This Row],[education_Basic]]=1,"High School",(IF(ifood_data[[#This Row],[education_Graduation]]=1,"Undergraduate Degree",(IF(SUM(AM310,AL310,AI310)&gt;0,"Master's Degree or Higher","Other")))))</f>
        <v>Undergraduate Degree</v>
      </c>
      <c r="AV310" t="str">
        <f>IF(ifood_data[[#All],[Income]]&gt;75000,"75K+",(IF(ifood_data[[#All],[Income]]&gt;50000,"50K-75K",(IF(ifood_data[[#All],[Income]]&gt;35000,"35K-50K","&lt;35K")))))</f>
        <v>50K-75K</v>
      </c>
      <c r="AW310" t="str">
        <f>IF(ifood_data[[#All],[Age]]&gt;60,"60+",(IF(ifood_data[[#All],[Age]]&gt;50,"50-60",(IF(ifood_data[[#All],[Age]]&gt;40,"40-50",(IF(ifood_data[[#All],[Age]]&gt;30,"30-40","&lt;30")))))))</f>
        <v>50-60</v>
      </c>
      <c r="AX310">
        <f t="shared" si="16"/>
        <v>19</v>
      </c>
      <c r="AY310">
        <f t="shared" si="17"/>
        <v>8</v>
      </c>
      <c r="AZ310">
        <f t="shared" si="18"/>
        <v>4</v>
      </c>
      <c r="BA310">
        <f t="shared" si="19"/>
        <v>9</v>
      </c>
      <c r="BB310">
        <f>SUM(ifood_data[[#This Row],[Recency Score]:[Monetary Score]])</f>
        <v>21</v>
      </c>
      <c r="BC310">
        <f>(_xlfn.PERCENTRANK.INC(ifood_data[[#All],[RFM]],ifood_data[[#This Row],[RFM]],1))*10</f>
        <v>8</v>
      </c>
      <c r="BD310" t="str">
        <f>VLOOKUP(ifood_data[[#This Row],[RFM Score]],'RFM Analysis'!$A$3:$B$14,2,FALSE)</f>
        <v>Loyal Customer</v>
      </c>
      <c r="BE310">
        <f>'Regression Models'!$B$101+'Regression Models'!$B$102*ifood_data[[#This Row],[Income]]+'Regression Models'!$B$103*ifood_data[[#This Row],[Age]]+'Regression Models'!$B$104*ifood_data[[#This Row],[Family]]</f>
        <v>1174.1723027139828</v>
      </c>
      <c r="BF310" t="str">
        <f>IF(ifood_data[[#This Row],[AcceptedCmpOverall]]=1,"Campaign Respondent","Non-respondent")</f>
        <v>Non-respondent</v>
      </c>
    </row>
    <row r="311" spans="1:58" x14ac:dyDescent="0.35">
      <c r="A311">
        <v>824</v>
      </c>
      <c r="B311">
        <v>70123</v>
      </c>
      <c r="C311">
        <v>0</v>
      </c>
      <c r="D311">
        <v>0</v>
      </c>
      <c r="E311">
        <v>27</v>
      </c>
      <c r="F311">
        <v>1308</v>
      </c>
      <c r="G311">
        <v>0</v>
      </c>
      <c r="H311">
        <v>396</v>
      </c>
      <c r="I311">
        <v>23</v>
      </c>
      <c r="J311">
        <v>0</v>
      </c>
      <c r="K311">
        <v>0</v>
      </c>
      <c r="L311">
        <v>1</v>
      </c>
      <c r="M311">
        <v>5</v>
      </c>
      <c r="N311">
        <v>7</v>
      </c>
      <c r="O311">
        <v>4</v>
      </c>
      <c r="P311">
        <v>3</v>
      </c>
      <c r="Q311">
        <v>0</v>
      </c>
      <c r="R311">
        <v>1</v>
      </c>
      <c r="S311">
        <v>0</v>
      </c>
      <c r="T311">
        <v>1</v>
      </c>
      <c r="U311">
        <v>0</v>
      </c>
      <c r="V311">
        <f>IF(SUM(ifood_data[[#This Row],[AcceptedCmp1]:[AcceptedCmp5]])&gt;0,1,0)</f>
        <v>1</v>
      </c>
      <c r="W311">
        <v>0</v>
      </c>
      <c r="X311">
        <v>3</v>
      </c>
      <c r="Y311">
        <v>11</v>
      </c>
      <c r="Z311">
        <v>0</v>
      </c>
      <c r="AA311">
        <v>37</v>
      </c>
      <c r="AB311">
        <v>2433</v>
      </c>
      <c r="AC311" s="28">
        <f>ifood_data[[#This Row],[Customer_Days]]/365</f>
        <v>6.6657534246575345</v>
      </c>
      <c r="AD311">
        <v>0</v>
      </c>
      <c r="AE311">
        <v>0</v>
      </c>
      <c r="AF311">
        <v>0</v>
      </c>
      <c r="AG311">
        <v>1</v>
      </c>
      <c r="AH311">
        <v>0</v>
      </c>
      <c r="AI311">
        <v>0</v>
      </c>
      <c r="AJ311">
        <v>0</v>
      </c>
      <c r="AK311">
        <v>0</v>
      </c>
      <c r="AL311">
        <v>0</v>
      </c>
      <c r="AM311">
        <v>1</v>
      </c>
      <c r="AN311">
        <v>1727</v>
      </c>
      <c r="AO311">
        <v>1727</v>
      </c>
      <c r="AP311">
        <f>ifood_data[[#This Row],[MntTotal]]-ifood_data[[#This Row],[MntRegularProds]]</f>
        <v>0</v>
      </c>
      <c r="AQ311">
        <v>2</v>
      </c>
      <c r="AR311">
        <f>IF(SUM(ifood_data[[#This Row],[Kidhome]:[Teenhome]])&gt;0,1,0)</f>
        <v>0</v>
      </c>
      <c r="AS311" t="str">
        <f>IF(SUM(ifood_data[[#This Row],[Kidhome]:[Teenhome]])&gt;0,"Has Family","No Family")</f>
        <v>No Family</v>
      </c>
      <c r="AT311" t="str">
        <f>IF(ifood_data[[#This Row],[marital_Married]]=1,"Married", (IF(ifood_data[[#This Row],[marital_Single]]=1,"Single",(IF(ifood_data[[#This Row],[marital_Divorced]]=1,"Divorced",(IF(ifood_data[[#This Row],[marital_Together]]=1,"Living Together",(IF(ifood_data[[#This Row],[marital_Widow]]=1,"Widow","Other")))))))))</f>
        <v>Living Together</v>
      </c>
      <c r="AU311" t="str">
        <f>IF(ifood_data[[#This Row],[education_Basic]]=1,"High School",(IF(ifood_data[[#This Row],[education_Graduation]]=1,"Undergraduate Degree",(IF(SUM(AM311,AL311,AI311)&gt;0,"Master's Degree or Higher","Other")))))</f>
        <v>Master's Degree or Higher</v>
      </c>
      <c r="AV311" t="str">
        <f>IF(ifood_data[[#All],[Income]]&gt;75000,"75K+",(IF(ifood_data[[#All],[Income]]&gt;50000,"50K-75K",(IF(ifood_data[[#All],[Income]]&gt;35000,"35K-50K","&lt;35K")))))</f>
        <v>50K-75K</v>
      </c>
      <c r="AW311" t="str">
        <f>IF(ifood_data[[#All],[Age]]&gt;60,"60+",(IF(ifood_data[[#All],[Age]]&gt;50,"50-60",(IF(ifood_data[[#All],[Age]]&gt;40,"40-50",(IF(ifood_data[[#All],[Age]]&gt;30,"30-40","&lt;30")))))))</f>
        <v>30-40</v>
      </c>
      <c r="AX311">
        <f t="shared" si="16"/>
        <v>20</v>
      </c>
      <c r="AY311">
        <f t="shared" si="17"/>
        <v>8</v>
      </c>
      <c r="AZ311">
        <f t="shared" si="18"/>
        <v>4</v>
      </c>
      <c r="BA311">
        <f t="shared" si="19"/>
        <v>9</v>
      </c>
      <c r="BB311">
        <f>SUM(ifood_data[[#This Row],[Recency Score]:[Monetary Score]])</f>
        <v>21</v>
      </c>
      <c r="BC311">
        <f>(_xlfn.PERCENTRANK.INC(ifood_data[[#All],[RFM]],ifood_data[[#This Row],[RFM]],1))*10</f>
        <v>8</v>
      </c>
      <c r="BD311" t="str">
        <f>VLOOKUP(ifood_data[[#This Row],[RFM Score]],'RFM Analysis'!$A$3:$B$14,2,FALSE)</f>
        <v>Loyal Customer</v>
      </c>
      <c r="BE311">
        <f>'Regression Models'!$B$101+'Regression Models'!$B$102*ifood_data[[#This Row],[Income]]+'Regression Models'!$B$103*ifood_data[[#This Row],[Age]]+'Regression Models'!$B$104*ifood_data[[#This Row],[Family]]</f>
        <v>1173.9580863610668</v>
      </c>
      <c r="BF311" t="str">
        <f>IF(ifood_data[[#This Row],[AcceptedCmpOverall]]=1,"Campaign Respondent","Non-respondent")</f>
        <v>Campaign Respondent</v>
      </c>
    </row>
    <row r="312" spans="1:58" x14ac:dyDescent="0.35">
      <c r="A312">
        <v>594</v>
      </c>
      <c r="B312">
        <v>72635</v>
      </c>
      <c r="C312">
        <v>0</v>
      </c>
      <c r="D312">
        <v>0</v>
      </c>
      <c r="E312">
        <v>54</v>
      </c>
      <c r="F312">
        <v>390</v>
      </c>
      <c r="G312">
        <v>22</v>
      </c>
      <c r="H312">
        <v>323</v>
      </c>
      <c r="I312">
        <v>104</v>
      </c>
      <c r="J312">
        <v>35</v>
      </c>
      <c r="K312">
        <v>107</v>
      </c>
      <c r="L312">
        <v>1</v>
      </c>
      <c r="M312">
        <v>6</v>
      </c>
      <c r="N312">
        <v>8</v>
      </c>
      <c r="O312">
        <v>6</v>
      </c>
      <c r="P312">
        <v>3</v>
      </c>
      <c r="Q312">
        <v>1</v>
      </c>
      <c r="R312">
        <v>0</v>
      </c>
      <c r="S312">
        <v>0</v>
      </c>
      <c r="T312">
        <v>0</v>
      </c>
      <c r="U312">
        <v>0</v>
      </c>
      <c r="V312">
        <f>IF(SUM(ifood_data[[#This Row],[AcceptedCmp1]:[AcceptedCmp5]])&gt;0,1,0)</f>
        <v>1</v>
      </c>
      <c r="W312">
        <v>0</v>
      </c>
      <c r="X312">
        <v>3</v>
      </c>
      <c r="Y312">
        <v>11</v>
      </c>
      <c r="Z312">
        <v>0</v>
      </c>
      <c r="AA312">
        <v>65</v>
      </c>
      <c r="AB312">
        <v>2550</v>
      </c>
      <c r="AC312" s="28">
        <f>ifood_data[[#This Row],[Customer_Days]]/365</f>
        <v>6.9863013698630141</v>
      </c>
      <c r="AD312">
        <v>0</v>
      </c>
      <c r="AE312">
        <v>1</v>
      </c>
      <c r="AF312">
        <v>0</v>
      </c>
      <c r="AG312">
        <v>0</v>
      </c>
      <c r="AH312">
        <v>0</v>
      </c>
      <c r="AI312">
        <v>1</v>
      </c>
      <c r="AJ312">
        <v>0</v>
      </c>
      <c r="AK312">
        <v>0</v>
      </c>
      <c r="AL312">
        <v>0</v>
      </c>
      <c r="AM312">
        <v>0</v>
      </c>
      <c r="AN312">
        <v>874</v>
      </c>
      <c r="AO312">
        <v>767</v>
      </c>
      <c r="AP312">
        <f>ifood_data[[#This Row],[MntTotal]]-ifood_data[[#This Row],[MntRegularProds]]</f>
        <v>107</v>
      </c>
      <c r="AQ312">
        <v>1</v>
      </c>
      <c r="AR312">
        <f>IF(SUM(ifood_data[[#This Row],[Kidhome]:[Teenhome]])&gt;0,1,0)</f>
        <v>0</v>
      </c>
      <c r="AS312" t="str">
        <f>IF(SUM(ifood_data[[#This Row],[Kidhome]:[Teenhome]])&gt;0,"Has Family","No Family")</f>
        <v>No Family</v>
      </c>
      <c r="AT312" t="str">
        <f>IF(ifood_data[[#This Row],[marital_Married]]=1,"Married", (IF(ifood_data[[#This Row],[marital_Single]]=1,"Single",(IF(ifood_data[[#This Row],[marital_Divorced]]=1,"Divorced",(IF(ifood_data[[#This Row],[marital_Together]]=1,"Living Together",(IF(ifood_data[[#This Row],[marital_Widow]]=1,"Widow","Other")))))))))</f>
        <v>Married</v>
      </c>
      <c r="AU312" t="str">
        <f>IF(ifood_data[[#This Row],[education_Basic]]=1,"High School",(IF(ifood_data[[#This Row],[education_Graduation]]=1,"Undergraduate Degree",(IF(SUM(AM312,AL312,AI312)&gt;0,"Master's Degree or Higher","Other")))))</f>
        <v>Master's Degree or Higher</v>
      </c>
      <c r="AV312" t="str">
        <f>IF(ifood_data[[#All],[Income]]&gt;75000,"75K+",(IF(ifood_data[[#All],[Income]]&gt;50000,"50K-75K",(IF(ifood_data[[#All],[Income]]&gt;35000,"35K-50K","&lt;35K")))))</f>
        <v>50K-75K</v>
      </c>
      <c r="AW312" t="str">
        <f>IF(ifood_data[[#All],[Age]]&gt;60,"60+",(IF(ifood_data[[#All],[Age]]&gt;50,"50-60",(IF(ifood_data[[#All],[Age]]&gt;40,"40-50",(IF(ifood_data[[#All],[Age]]&gt;30,"30-40","&lt;30")))))))</f>
        <v>60+</v>
      </c>
      <c r="AX312">
        <f t="shared" si="16"/>
        <v>24</v>
      </c>
      <c r="AY312">
        <f t="shared" si="17"/>
        <v>5</v>
      </c>
      <c r="AZ312">
        <f t="shared" si="18"/>
        <v>6</v>
      </c>
      <c r="BA312">
        <f t="shared" si="19"/>
        <v>7</v>
      </c>
      <c r="BB312">
        <f>SUM(ifood_data[[#This Row],[Recency Score]:[Monetary Score]])</f>
        <v>18</v>
      </c>
      <c r="BC312">
        <f>(_xlfn.PERCENTRANK.INC(ifood_data[[#All],[RFM]],ifood_data[[#This Row],[RFM]],1))*10</f>
        <v>6</v>
      </c>
      <c r="BD312" t="str">
        <f>VLOOKUP(ifood_data[[#This Row],[RFM Score]],'RFM Analysis'!$A$3:$B$14,2,FALSE)</f>
        <v>Promising</v>
      </c>
      <c r="BE312">
        <f>'Regression Models'!$B$101+'Regression Models'!$B$102*ifood_data[[#This Row],[Income]]+'Regression Models'!$B$103*ifood_data[[#This Row],[Age]]+'Regression Models'!$B$104*ifood_data[[#This Row],[Family]]</f>
        <v>1173.7543777295011</v>
      </c>
      <c r="BF312" t="str">
        <f>IF(ifood_data[[#This Row],[AcceptedCmpOverall]]=1,"Campaign Respondent","Non-respondent")</f>
        <v>Campaign Respondent</v>
      </c>
    </row>
    <row r="313" spans="1:58" x14ac:dyDescent="0.35">
      <c r="A313">
        <v>3</v>
      </c>
      <c r="B313">
        <v>71613</v>
      </c>
      <c r="C313">
        <v>0</v>
      </c>
      <c r="D313">
        <v>0</v>
      </c>
      <c r="E313">
        <v>26</v>
      </c>
      <c r="F313">
        <v>426</v>
      </c>
      <c r="G313">
        <v>49</v>
      </c>
      <c r="H313">
        <v>127</v>
      </c>
      <c r="I313">
        <v>111</v>
      </c>
      <c r="J313">
        <v>21</v>
      </c>
      <c r="K313">
        <v>42</v>
      </c>
      <c r="L313">
        <v>1</v>
      </c>
      <c r="M313">
        <v>8</v>
      </c>
      <c r="N313">
        <v>2</v>
      </c>
      <c r="O313">
        <v>10</v>
      </c>
      <c r="P313">
        <v>4</v>
      </c>
      <c r="Q313">
        <v>0</v>
      </c>
      <c r="R313">
        <v>0</v>
      </c>
      <c r="S313">
        <v>0</v>
      </c>
      <c r="T313">
        <v>0</v>
      </c>
      <c r="U313">
        <v>0</v>
      </c>
      <c r="V313">
        <f>IF(SUM(ifood_data[[#This Row],[AcceptedCmp1]:[AcceptedCmp5]])&gt;0,1,0)</f>
        <v>0</v>
      </c>
      <c r="W313">
        <v>0</v>
      </c>
      <c r="X313">
        <v>3</v>
      </c>
      <c r="Y313">
        <v>11</v>
      </c>
      <c r="Z313">
        <v>0</v>
      </c>
      <c r="AA313">
        <v>55</v>
      </c>
      <c r="AB313">
        <v>2471</v>
      </c>
      <c r="AC313" s="28">
        <f>ifood_data[[#This Row],[Customer_Days]]/365</f>
        <v>6.7698630136986298</v>
      </c>
      <c r="AD313">
        <v>0</v>
      </c>
      <c r="AE313">
        <v>0</v>
      </c>
      <c r="AF313">
        <v>0</v>
      </c>
      <c r="AG313">
        <v>1</v>
      </c>
      <c r="AH313">
        <v>0</v>
      </c>
      <c r="AI313">
        <v>0</v>
      </c>
      <c r="AJ313">
        <v>0</v>
      </c>
      <c r="AK313">
        <v>1</v>
      </c>
      <c r="AL313">
        <v>0</v>
      </c>
      <c r="AM313">
        <v>0</v>
      </c>
      <c r="AN313">
        <v>734</v>
      </c>
      <c r="AO313">
        <v>692</v>
      </c>
      <c r="AP313">
        <f>ifood_data[[#This Row],[MntTotal]]-ifood_data[[#This Row],[MntRegularProds]]</f>
        <v>42</v>
      </c>
      <c r="AQ313">
        <v>0</v>
      </c>
      <c r="AR313">
        <f>IF(SUM(ifood_data[[#This Row],[Kidhome]:[Teenhome]])&gt;0,1,0)</f>
        <v>0</v>
      </c>
      <c r="AS313" t="str">
        <f>IF(SUM(ifood_data[[#This Row],[Kidhome]:[Teenhome]])&gt;0,"Has Family","No Family")</f>
        <v>No Family</v>
      </c>
      <c r="AT313" t="str">
        <f>IF(ifood_data[[#This Row],[marital_Married]]=1,"Married", (IF(ifood_data[[#This Row],[marital_Single]]=1,"Single",(IF(ifood_data[[#This Row],[marital_Divorced]]=1,"Divorced",(IF(ifood_data[[#This Row],[marital_Together]]=1,"Living Together",(IF(ifood_data[[#This Row],[marital_Widow]]=1,"Widow","Other")))))))))</f>
        <v>Living Together</v>
      </c>
      <c r="AU313" t="str">
        <f>IF(ifood_data[[#This Row],[education_Basic]]=1,"High School",(IF(ifood_data[[#This Row],[education_Graduation]]=1,"Undergraduate Degree",(IF(SUM(AM313,AL313,AI313)&gt;0,"Master's Degree or Higher","Other")))))</f>
        <v>Undergraduate Degree</v>
      </c>
      <c r="AV313" t="str">
        <f>IF(ifood_data[[#All],[Income]]&gt;75000,"75K+",(IF(ifood_data[[#All],[Income]]&gt;50000,"50K-75K",(IF(ifood_data[[#All],[Income]]&gt;35000,"35K-50K","&lt;35K")))))</f>
        <v>50K-75K</v>
      </c>
      <c r="AW313" t="str">
        <f>IF(ifood_data[[#All],[Age]]&gt;60,"60+",(IF(ifood_data[[#All],[Age]]&gt;50,"50-60",(IF(ifood_data[[#All],[Age]]&gt;40,"40-50",(IF(ifood_data[[#All],[Age]]&gt;30,"30-40","&lt;30")))))))</f>
        <v>50-60</v>
      </c>
      <c r="AX313">
        <f t="shared" si="16"/>
        <v>25</v>
      </c>
      <c r="AY313">
        <f t="shared" si="17"/>
        <v>8</v>
      </c>
      <c r="AZ313">
        <f t="shared" si="18"/>
        <v>7</v>
      </c>
      <c r="BA313">
        <f t="shared" si="19"/>
        <v>6</v>
      </c>
      <c r="BB313">
        <f>SUM(ifood_data[[#This Row],[Recency Score]:[Monetary Score]])</f>
        <v>21</v>
      </c>
      <c r="BC313">
        <f>(_xlfn.PERCENTRANK.INC(ifood_data[[#All],[RFM]],ifood_data[[#This Row],[RFM]],1))*10</f>
        <v>8</v>
      </c>
      <c r="BD313" t="str">
        <f>VLOOKUP(ifood_data[[#This Row],[RFM Score]],'RFM Analysis'!$A$3:$B$14,2,FALSE)</f>
        <v>Loyal Customer</v>
      </c>
      <c r="BE313">
        <f>'Regression Models'!$B$101+'Regression Models'!$B$102*ifood_data[[#This Row],[Income]]+'Regression Models'!$B$103*ifood_data[[#This Row],[Age]]+'Regression Models'!$B$104*ifood_data[[#This Row],[Family]]</f>
        <v>1171.2814474753795</v>
      </c>
      <c r="BF313" t="str">
        <f>IF(ifood_data[[#This Row],[AcceptedCmpOverall]]=1,"Campaign Respondent","Non-respondent")</f>
        <v>Non-respondent</v>
      </c>
    </row>
    <row r="314" spans="1:58" x14ac:dyDescent="0.35">
      <c r="A314">
        <v>1545</v>
      </c>
      <c r="B314">
        <v>70440</v>
      </c>
      <c r="C314">
        <v>0</v>
      </c>
      <c r="D314">
        <v>0</v>
      </c>
      <c r="E314">
        <v>49</v>
      </c>
      <c r="F314">
        <v>690</v>
      </c>
      <c r="G314">
        <v>117</v>
      </c>
      <c r="H314">
        <v>499</v>
      </c>
      <c r="I314">
        <v>76</v>
      </c>
      <c r="J314">
        <v>102</v>
      </c>
      <c r="K314">
        <v>88</v>
      </c>
      <c r="L314">
        <v>1</v>
      </c>
      <c r="M314">
        <v>5</v>
      </c>
      <c r="N314">
        <v>10</v>
      </c>
      <c r="O314">
        <v>7</v>
      </c>
      <c r="P314">
        <v>3</v>
      </c>
      <c r="Q314">
        <v>1</v>
      </c>
      <c r="R314">
        <v>0</v>
      </c>
      <c r="S314">
        <v>0</v>
      </c>
      <c r="T314">
        <v>0</v>
      </c>
      <c r="U314">
        <v>0</v>
      </c>
      <c r="V314">
        <f>IF(SUM(ifood_data[[#This Row],[AcceptedCmp1]:[AcceptedCmp5]])&gt;0,1,0)</f>
        <v>1</v>
      </c>
      <c r="W314">
        <v>0</v>
      </c>
      <c r="X314">
        <v>3</v>
      </c>
      <c r="Y314">
        <v>11</v>
      </c>
      <c r="Z314">
        <v>0</v>
      </c>
      <c r="AA314">
        <v>42</v>
      </c>
      <c r="AB314">
        <v>2423</v>
      </c>
      <c r="AC314" s="28">
        <f>ifood_data[[#This Row],[Customer_Days]]/365</f>
        <v>6.6383561643835618</v>
      </c>
      <c r="AD314">
        <v>0</v>
      </c>
      <c r="AE314">
        <v>0</v>
      </c>
      <c r="AF314">
        <v>0</v>
      </c>
      <c r="AG314">
        <v>1</v>
      </c>
      <c r="AH314">
        <v>0</v>
      </c>
      <c r="AI314">
        <v>0</v>
      </c>
      <c r="AJ314">
        <v>0</v>
      </c>
      <c r="AK314">
        <v>1</v>
      </c>
      <c r="AL314">
        <v>0</v>
      </c>
      <c r="AM314">
        <v>0</v>
      </c>
      <c r="AN314">
        <v>1484</v>
      </c>
      <c r="AO314">
        <v>1396</v>
      </c>
      <c r="AP314">
        <f>ifood_data[[#This Row],[MntTotal]]-ifood_data[[#This Row],[MntRegularProds]]</f>
        <v>88</v>
      </c>
      <c r="AQ314">
        <v>1</v>
      </c>
      <c r="AR314">
        <f>IF(SUM(ifood_data[[#This Row],[Kidhome]:[Teenhome]])&gt;0,1,0)</f>
        <v>0</v>
      </c>
      <c r="AS314" t="str">
        <f>IF(SUM(ifood_data[[#This Row],[Kidhome]:[Teenhome]])&gt;0,"Has Family","No Family")</f>
        <v>No Family</v>
      </c>
      <c r="AT314" t="str">
        <f>IF(ifood_data[[#This Row],[marital_Married]]=1,"Married", (IF(ifood_data[[#This Row],[marital_Single]]=1,"Single",(IF(ifood_data[[#This Row],[marital_Divorced]]=1,"Divorced",(IF(ifood_data[[#This Row],[marital_Together]]=1,"Living Together",(IF(ifood_data[[#This Row],[marital_Widow]]=1,"Widow","Other")))))))))</f>
        <v>Living Together</v>
      </c>
      <c r="AU314" t="str">
        <f>IF(ifood_data[[#This Row],[education_Basic]]=1,"High School",(IF(ifood_data[[#This Row],[education_Graduation]]=1,"Undergraduate Degree",(IF(SUM(AM314,AL314,AI314)&gt;0,"Master's Degree or Higher","Other")))))</f>
        <v>Undergraduate Degree</v>
      </c>
      <c r="AV314" t="str">
        <f>IF(ifood_data[[#All],[Income]]&gt;75000,"75K+",(IF(ifood_data[[#All],[Income]]&gt;50000,"50K-75K",(IF(ifood_data[[#All],[Income]]&gt;35000,"35K-50K","&lt;35K")))))</f>
        <v>50K-75K</v>
      </c>
      <c r="AW314" t="str">
        <f>IF(ifood_data[[#All],[Age]]&gt;60,"60+",(IF(ifood_data[[#All],[Age]]&gt;50,"50-60",(IF(ifood_data[[#All],[Age]]&gt;40,"40-50",(IF(ifood_data[[#All],[Age]]&gt;30,"30-40","&lt;30")))))))</f>
        <v>40-50</v>
      </c>
      <c r="AX314">
        <f t="shared" si="16"/>
        <v>26</v>
      </c>
      <c r="AY314">
        <f t="shared" si="17"/>
        <v>6</v>
      </c>
      <c r="AZ314">
        <f t="shared" si="18"/>
        <v>7</v>
      </c>
      <c r="BA314">
        <f t="shared" si="19"/>
        <v>9</v>
      </c>
      <c r="BB314">
        <f>SUM(ifood_data[[#This Row],[Recency Score]:[Monetary Score]])</f>
        <v>22</v>
      </c>
      <c r="BC314">
        <f>(_xlfn.PERCENTRANK.INC(ifood_data[[#All],[RFM]],ifood_data[[#This Row],[RFM]],1))*10</f>
        <v>8</v>
      </c>
      <c r="BD314" t="str">
        <f>VLOOKUP(ifood_data[[#This Row],[RFM Score]],'RFM Analysis'!$A$3:$B$14,2,FALSE)</f>
        <v>Loyal Customer</v>
      </c>
      <c r="BE314">
        <f>'Regression Models'!$B$101+'Regression Models'!$B$102*ifood_data[[#This Row],[Income]]+'Regression Models'!$B$103*ifood_data[[#This Row],[Age]]+'Regression Models'!$B$104*ifood_data[[#This Row],[Family]]</f>
        <v>1171.2391304682114</v>
      </c>
      <c r="BF314" t="str">
        <f>IF(ifood_data[[#This Row],[AcceptedCmpOverall]]=1,"Campaign Respondent","Non-respondent")</f>
        <v>Campaign Respondent</v>
      </c>
    </row>
    <row r="315" spans="1:58" x14ac:dyDescent="0.35">
      <c r="A315">
        <v>641</v>
      </c>
      <c r="B315">
        <v>70337</v>
      </c>
      <c r="C315">
        <v>0</v>
      </c>
      <c r="D315">
        <v>0</v>
      </c>
      <c r="E315">
        <v>75</v>
      </c>
      <c r="F315">
        <v>187</v>
      </c>
      <c r="G315">
        <v>81</v>
      </c>
      <c r="H315">
        <v>149</v>
      </c>
      <c r="I315">
        <v>25</v>
      </c>
      <c r="J315">
        <v>43</v>
      </c>
      <c r="K315">
        <v>91</v>
      </c>
      <c r="L315">
        <v>1</v>
      </c>
      <c r="M315">
        <v>2</v>
      </c>
      <c r="N315">
        <v>2</v>
      </c>
      <c r="O315">
        <v>12</v>
      </c>
      <c r="P315">
        <v>1</v>
      </c>
      <c r="Q315">
        <v>0</v>
      </c>
      <c r="R315">
        <v>0</v>
      </c>
      <c r="S315">
        <v>0</v>
      </c>
      <c r="T315">
        <v>0</v>
      </c>
      <c r="U315">
        <v>0</v>
      </c>
      <c r="V315">
        <f>IF(SUM(ifood_data[[#This Row],[AcceptedCmp1]:[AcceptedCmp5]])&gt;0,1,0)</f>
        <v>0</v>
      </c>
      <c r="W315">
        <v>0</v>
      </c>
      <c r="X315">
        <v>3</v>
      </c>
      <c r="Y315">
        <v>11</v>
      </c>
      <c r="Z315">
        <v>0</v>
      </c>
      <c r="AA315">
        <v>41</v>
      </c>
      <c r="AB315">
        <v>2337</v>
      </c>
      <c r="AC315" s="28">
        <f>ifood_data[[#This Row],[Customer_Days]]/365</f>
        <v>6.4027397260273968</v>
      </c>
      <c r="AD315">
        <v>0</v>
      </c>
      <c r="AE315">
        <v>0</v>
      </c>
      <c r="AF315">
        <v>1</v>
      </c>
      <c r="AG315">
        <v>0</v>
      </c>
      <c r="AH315">
        <v>0</v>
      </c>
      <c r="AI315">
        <v>0</v>
      </c>
      <c r="AJ315">
        <v>0</v>
      </c>
      <c r="AK315">
        <v>1</v>
      </c>
      <c r="AL315">
        <v>0</v>
      </c>
      <c r="AM315">
        <v>0</v>
      </c>
      <c r="AN315">
        <v>485</v>
      </c>
      <c r="AO315">
        <v>394</v>
      </c>
      <c r="AP315">
        <f>ifood_data[[#This Row],[MntTotal]]-ifood_data[[#This Row],[MntRegularProds]]</f>
        <v>91</v>
      </c>
      <c r="AQ315">
        <v>0</v>
      </c>
      <c r="AR315">
        <f>IF(SUM(ifood_data[[#This Row],[Kidhome]:[Teenhome]])&gt;0,1,0)</f>
        <v>0</v>
      </c>
      <c r="AS315" t="str">
        <f>IF(SUM(ifood_data[[#This Row],[Kidhome]:[Teenhome]])&gt;0,"Has Family","No Family")</f>
        <v>No Family</v>
      </c>
      <c r="AT315" t="str">
        <f>IF(ifood_data[[#This Row],[marital_Married]]=1,"Married", (IF(ifood_data[[#This Row],[marital_Single]]=1,"Single",(IF(ifood_data[[#This Row],[marital_Divorced]]=1,"Divorced",(IF(ifood_data[[#This Row],[marital_Together]]=1,"Living Together",(IF(ifood_data[[#This Row],[marital_Widow]]=1,"Widow","Other")))))))))</f>
        <v>Single</v>
      </c>
      <c r="AU315" t="str">
        <f>IF(ifood_data[[#This Row],[education_Basic]]=1,"High School",(IF(ifood_data[[#This Row],[education_Graduation]]=1,"Undergraduate Degree",(IF(SUM(AM315,AL315,AI315)&gt;0,"Master's Degree or Higher","Other")))))</f>
        <v>Undergraduate Degree</v>
      </c>
      <c r="AV315" t="str">
        <f>IF(ifood_data[[#All],[Income]]&gt;75000,"75K+",(IF(ifood_data[[#All],[Income]]&gt;50000,"50K-75K",(IF(ifood_data[[#All],[Income]]&gt;35000,"35K-50K","&lt;35K")))))</f>
        <v>50K-75K</v>
      </c>
      <c r="AW315" t="str">
        <f>IF(ifood_data[[#All],[Age]]&gt;60,"60+",(IF(ifood_data[[#All],[Age]]&gt;50,"50-60",(IF(ifood_data[[#All],[Age]]&gt;40,"40-50",(IF(ifood_data[[#All],[Age]]&gt;30,"30-40","&lt;30")))))))</f>
        <v>40-50</v>
      </c>
      <c r="AX315">
        <f t="shared" si="16"/>
        <v>18</v>
      </c>
      <c r="AY315">
        <f t="shared" si="17"/>
        <v>3.0000000000000004</v>
      </c>
      <c r="AZ315">
        <f t="shared" si="18"/>
        <v>4</v>
      </c>
      <c r="BA315">
        <f t="shared" si="19"/>
        <v>5</v>
      </c>
      <c r="BB315">
        <f>SUM(ifood_data[[#This Row],[Recency Score]:[Monetary Score]])</f>
        <v>12</v>
      </c>
      <c r="BC315">
        <f>(_xlfn.PERCENTRANK.INC(ifood_data[[#All],[RFM]],ifood_data[[#This Row],[RFM]],1))*10</f>
        <v>3</v>
      </c>
      <c r="BD315" t="str">
        <f>VLOOKUP(ifood_data[[#This Row],[RFM Score]],'RFM Analysis'!$A$3:$B$14,2,FALSE)</f>
        <v>At Risk</v>
      </c>
      <c r="BE315">
        <f>'Regression Models'!$B$101+'Regression Models'!$B$102*ifood_data[[#This Row],[Income]]+'Regression Models'!$B$103*ifood_data[[#This Row],[Age]]+'Regression Models'!$B$104*ifood_data[[#This Row],[Family]]</f>
        <v>1170.9755264282844</v>
      </c>
      <c r="BF315" t="str">
        <f>IF(ifood_data[[#This Row],[AcceptedCmpOverall]]=1,"Campaign Respondent","Non-respondent")</f>
        <v>Non-respondent</v>
      </c>
    </row>
    <row r="316" spans="1:58" x14ac:dyDescent="0.35">
      <c r="A316">
        <v>1348</v>
      </c>
      <c r="B316">
        <v>70038</v>
      </c>
      <c r="C316">
        <v>0</v>
      </c>
      <c r="D316">
        <v>0</v>
      </c>
      <c r="E316">
        <v>54</v>
      </c>
      <c r="F316">
        <v>587</v>
      </c>
      <c r="G316">
        <v>54</v>
      </c>
      <c r="H316">
        <v>348</v>
      </c>
      <c r="I316">
        <v>71</v>
      </c>
      <c r="J316">
        <v>54</v>
      </c>
      <c r="K316">
        <v>130</v>
      </c>
      <c r="L316">
        <v>1</v>
      </c>
      <c r="M316">
        <v>4</v>
      </c>
      <c r="N316">
        <v>4</v>
      </c>
      <c r="O316">
        <v>8</v>
      </c>
      <c r="P316">
        <v>2</v>
      </c>
      <c r="Q316">
        <v>0</v>
      </c>
      <c r="R316">
        <v>0</v>
      </c>
      <c r="S316">
        <v>0</v>
      </c>
      <c r="T316">
        <v>0</v>
      </c>
      <c r="U316">
        <v>0</v>
      </c>
      <c r="V316">
        <f>IF(SUM(ifood_data[[#This Row],[AcceptedCmp1]:[AcceptedCmp5]])&gt;0,1,0)</f>
        <v>0</v>
      </c>
      <c r="W316">
        <v>0</v>
      </c>
      <c r="X316">
        <v>3</v>
      </c>
      <c r="Y316">
        <v>11</v>
      </c>
      <c r="Z316">
        <v>0</v>
      </c>
      <c r="AA316">
        <v>38</v>
      </c>
      <c r="AB316">
        <v>2406</v>
      </c>
      <c r="AC316" s="28">
        <f>ifood_data[[#This Row],[Customer_Days]]/365</f>
        <v>6.5917808219178085</v>
      </c>
      <c r="AD316">
        <v>0</v>
      </c>
      <c r="AE316">
        <v>0</v>
      </c>
      <c r="AF316">
        <v>0</v>
      </c>
      <c r="AG316">
        <v>1</v>
      </c>
      <c r="AH316">
        <v>0</v>
      </c>
      <c r="AI316">
        <v>0</v>
      </c>
      <c r="AJ316">
        <v>0</v>
      </c>
      <c r="AK316">
        <v>0</v>
      </c>
      <c r="AL316">
        <v>0</v>
      </c>
      <c r="AM316">
        <v>1</v>
      </c>
      <c r="AN316">
        <v>1114</v>
      </c>
      <c r="AO316">
        <v>984</v>
      </c>
      <c r="AP316">
        <f>ifood_data[[#This Row],[MntTotal]]-ifood_data[[#This Row],[MntRegularProds]]</f>
        <v>130</v>
      </c>
      <c r="AQ316">
        <v>0</v>
      </c>
      <c r="AR316">
        <f>IF(SUM(ifood_data[[#This Row],[Kidhome]:[Teenhome]])&gt;0,1,0)</f>
        <v>0</v>
      </c>
      <c r="AS316" t="str">
        <f>IF(SUM(ifood_data[[#This Row],[Kidhome]:[Teenhome]])&gt;0,"Has Family","No Family")</f>
        <v>No Family</v>
      </c>
      <c r="AT316" t="str">
        <f>IF(ifood_data[[#This Row],[marital_Married]]=1,"Married", (IF(ifood_data[[#This Row],[marital_Single]]=1,"Single",(IF(ifood_data[[#This Row],[marital_Divorced]]=1,"Divorced",(IF(ifood_data[[#This Row],[marital_Together]]=1,"Living Together",(IF(ifood_data[[#This Row],[marital_Widow]]=1,"Widow","Other")))))))))</f>
        <v>Living Together</v>
      </c>
      <c r="AU316" t="str">
        <f>IF(ifood_data[[#This Row],[education_Basic]]=1,"High School",(IF(ifood_data[[#This Row],[education_Graduation]]=1,"Undergraduate Degree",(IF(SUM(AM316,AL316,AI316)&gt;0,"Master's Degree or Higher","Other")))))</f>
        <v>Master's Degree or Higher</v>
      </c>
      <c r="AV316" t="str">
        <f>IF(ifood_data[[#All],[Income]]&gt;75000,"75K+",(IF(ifood_data[[#All],[Income]]&gt;50000,"50K-75K",(IF(ifood_data[[#All],[Income]]&gt;35000,"35K-50K","&lt;35K")))))</f>
        <v>50K-75K</v>
      </c>
      <c r="AW316" t="str">
        <f>IF(ifood_data[[#All],[Age]]&gt;60,"60+",(IF(ifood_data[[#All],[Age]]&gt;50,"50-60",(IF(ifood_data[[#All],[Age]]&gt;40,"40-50",(IF(ifood_data[[#All],[Age]]&gt;30,"30-40","&lt;30")))))))</f>
        <v>30-40</v>
      </c>
      <c r="AX316">
        <f t="shared" si="16"/>
        <v>19</v>
      </c>
      <c r="AY316">
        <f t="shared" si="17"/>
        <v>5</v>
      </c>
      <c r="AZ316">
        <f t="shared" si="18"/>
        <v>4</v>
      </c>
      <c r="BA316">
        <f t="shared" si="19"/>
        <v>8</v>
      </c>
      <c r="BB316">
        <f>SUM(ifood_data[[#This Row],[Recency Score]:[Monetary Score]])</f>
        <v>17</v>
      </c>
      <c r="BC316">
        <f>(_xlfn.PERCENTRANK.INC(ifood_data[[#All],[RFM]],ifood_data[[#This Row],[RFM]],1))*10</f>
        <v>6</v>
      </c>
      <c r="BD316" t="str">
        <f>VLOOKUP(ifood_data[[#This Row],[RFM Score]],'RFM Analysis'!$A$3:$B$14,2,FALSE)</f>
        <v>Promising</v>
      </c>
      <c r="BE316">
        <f>'Regression Models'!$B$101+'Regression Models'!$B$102*ifood_data[[#This Row],[Income]]+'Regression Models'!$B$103*ifood_data[[#This Row],[Age]]+'Regression Models'!$B$104*ifood_data[[#This Row],[Family]]</f>
        <v>1170.3886019899414</v>
      </c>
      <c r="BF316" t="str">
        <f>IF(ifood_data[[#This Row],[AcceptedCmpOverall]]=1,"Campaign Respondent","Non-respondent")</f>
        <v>Non-respondent</v>
      </c>
    </row>
    <row r="317" spans="1:58" x14ac:dyDescent="0.35">
      <c r="A317">
        <v>116</v>
      </c>
      <c r="B317">
        <v>71488</v>
      </c>
      <c r="C317">
        <v>0</v>
      </c>
      <c r="D317">
        <v>0</v>
      </c>
      <c r="E317">
        <v>87</v>
      </c>
      <c r="F317">
        <v>162</v>
      </c>
      <c r="G317">
        <v>33</v>
      </c>
      <c r="H317">
        <v>124</v>
      </c>
      <c r="I317">
        <v>40</v>
      </c>
      <c r="J317">
        <v>28</v>
      </c>
      <c r="K317">
        <v>172</v>
      </c>
      <c r="L317">
        <v>2</v>
      </c>
      <c r="M317">
        <v>3</v>
      </c>
      <c r="N317">
        <v>4</v>
      </c>
      <c r="O317">
        <v>7</v>
      </c>
      <c r="P317">
        <v>1</v>
      </c>
      <c r="Q317">
        <v>0</v>
      </c>
      <c r="R317">
        <v>0</v>
      </c>
      <c r="S317">
        <v>0</v>
      </c>
      <c r="T317">
        <v>0</v>
      </c>
      <c r="U317">
        <v>0</v>
      </c>
      <c r="V317">
        <f>IF(SUM(ifood_data[[#This Row],[AcceptedCmp1]:[AcceptedCmp5]])&gt;0,1,0)</f>
        <v>0</v>
      </c>
      <c r="W317">
        <v>0</v>
      </c>
      <c r="X317">
        <v>3</v>
      </c>
      <c r="Y317">
        <v>11</v>
      </c>
      <c r="Z317">
        <v>0</v>
      </c>
      <c r="AA317">
        <v>55</v>
      </c>
      <c r="AB317">
        <v>2655</v>
      </c>
      <c r="AC317" s="28">
        <f>ifood_data[[#This Row],[Customer_Days]]/365</f>
        <v>7.2739726027397262</v>
      </c>
      <c r="AD317">
        <v>0</v>
      </c>
      <c r="AE317">
        <v>0</v>
      </c>
      <c r="AF317">
        <v>0</v>
      </c>
      <c r="AG317">
        <v>1</v>
      </c>
      <c r="AH317">
        <v>0</v>
      </c>
      <c r="AI317">
        <v>1</v>
      </c>
      <c r="AJ317">
        <v>0</v>
      </c>
      <c r="AK317">
        <v>0</v>
      </c>
      <c r="AL317">
        <v>0</v>
      </c>
      <c r="AM317">
        <v>0</v>
      </c>
      <c r="AN317">
        <v>387</v>
      </c>
      <c r="AO317">
        <v>215</v>
      </c>
      <c r="AP317">
        <f>ifood_data[[#This Row],[MntTotal]]-ifood_data[[#This Row],[MntRegularProds]]</f>
        <v>172</v>
      </c>
      <c r="AQ317">
        <v>0</v>
      </c>
      <c r="AR317">
        <f>IF(SUM(ifood_data[[#This Row],[Kidhome]:[Teenhome]])&gt;0,1,0)</f>
        <v>0</v>
      </c>
      <c r="AS317" t="str">
        <f>IF(SUM(ifood_data[[#This Row],[Kidhome]:[Teenhome]])&gt;0,"Has Family","No Family")</f>
        <v>No Family</v>
      </c>
      <c r="AT317" t="str">
        <f>IF(ifood_data[[#This Row],[marital_Married]]=1,"Married", (IF(ifood_data[[#This Row],[marital_Single]]=1,"Single",(IF(ifood_data[[#This Row],[marital_Divorced]]=1,"Divorced",(IF(ifood_data[[#This Row],[marital_Together]]=1,"Living Together",(IF(ifood_data[[#This Row],[marital_Widow]]=1,"Widow","Other")))))))))</f>
        <v>Living Together</v>
      </c>
      <c r="AU317" t="str">
        <f>IF(ifood_data[[#This Row],[education_Basic]]=1,"High School",(IF(ifood_data[[#This Row],[education_Graduation]]=1,"Undergraduate Degree",(IF(SUM(AM317,AL317,AI317)&gt;0,"Master's Degree or Higher","Other")))))</f>
        <v>Master's Degree or Higher</v>
      </c>
      <c r="AV317" t="str">
        <f>IF(ifood_data[[#All],[Income]]&gt;75000,"75K+",(IF(ifood_data[[#All],[Income]]&gt;50000,"50K-75K",(IF(ifood_data[[#All],[Income]]&gt;35000,"35K-50K","&lt;35K")))))</f>
        <v>50K-75K</v>
      </c>
      <c r="AW317" t="str">
        <f>IF(ifood_data[[#All],[Age]]&gt;60,"60+",(IF(ifood_data[[#All],[Age]]&gt;50,"50-60",(IF(ifood_data[[#All],[Age]]&gt;40,"40-50",(IF(ifood_data[[#All],[Age]]&gt;30,"30-40","&lt;30")))))))</f>
        <v>50-60</v>
      </c>
      <c r="AX317">
        <f t="shared" si="16"/>
        <v>17</v>
      </c>
      <c r="AY317">
        <f t="shared" si="17"/>
        <v>1.9999999999999996</v>
      </c>
      <c r="AZ317">
        <f t="shared" si="18"/>
        <v>3</v>
      </c>
      <c r="BA317">
        <f t="shared" si="19"/>
        <v>5</v>
      </c>
      <c r="BB317">
        <f>SUM(ifood_data[[#This Row],[Recency Score]:[Monetary Score]])</f>
        <v>10</v>
      </c>
      <c r="BC317">
        <f>(_xlfn.PERCENTRANK.INC(ifood_data[[#All],[RFM]],ifood_data[[#This Row],[RFM]],1))*10</f>
        <v>2</v>
      </c>
      <c r="BD317" t="str">
        <f>VLOOKUP(ifood_data[[#This Row],[RFM Score]],'RFM Analysis'!$A$3:$B$14,2,FALSE)</f>
        <v>At Risk</v>
      </c>
      <c r="BE317">
        <f>'Regression Models'!$B$101+'Regression Models'!$B$102*ifood_data[[#This Row],[Income]]+'Regression Models'!$B$103*ifood_data[[#This Row],[Age]]+'Regression Models'!$B$104*ifood_data[[#This Row],[Family]]</f>
        <v>1168.7328514573919</v>
      </c>
      <c r="BF317" t="str">
        <f>IF(ifood_data[[#This Row],[AcceptedCmpOverall]]=1,"Campaign Respondent","Non-respondent")</f>
        <v>Non-respondent</v>
      </c>
    </row>
    <row r="318" spans="1:58" x14ac:dyDescent="0.35">
      <c r="A318">
        <v>1789</v>
      </c>
      <c r="B318">
        <v>71670</v>
      </c>
      <c r="C318">
        <v>0</v>
      </c>
      <c r="D318">
        <v>0</v>
      </c>
      <c r="E318">
        <v>8</v>
      </c>
      <c r="F318">
        <v>1462</v>
      </c>
      <c r="G318">
        <v>16</v>
      </c>
      <c r="H318">
        <v>128</v>
      </c>
      <c r="I318">
        <v>0</v>
      </c>
      <c r="J318">
        <v>0</v>
      </c>
      <c r="K318">
        <v>160</v>
      </c>
      <c r="L318">
        <v>1</v>
      </c>
      <c r="M318">
        <v>5</v>
      </c>
      <c r="N318">
        <v>3</v>
      </c>
      <c r="O318">
        <v>6</v>
      </c>
      <c r="P318">
        <v>6</v>
      </c>
      <c r="Q318">
        <v>0</v>
      </c>
      <c r="R318">
        <v>1</v>
      </c>
      <c r="S318">
        <v>0</v>
      </c>
      <c r="T318">
        <v>1</v>
      </c>
      <c r="U318">
        <v>1</v>
      </c>
      <c r="V318">
        <f>IF(SUM(ifood_data[[#This Row],[AcceptedCmp1]:[AcceptedCmp5]])&gt;0,1,0)</f>
        <v>1</v>
      </c>
      <c r="W318">
        <v>0</v>
      </c>
      <c r="X318">
        <v>3</v>
      </c>
      <c r="Y318">
        <v>11</v>
      </c>
      <c r="Z318">
        <v>1</v>
      </c>
      <c r="AA318">
        <v>58</v>
      </c>
      <c r="AB318">
        <v>2514</v>
      </c>
      <c r="AC318" s="28">
        <f>ifood_data[[#This Row],[Customer_Days]]/365</f>
        <v>6.8876712328767127</v>
      </c>
      <c r="AD318">
        <v>0</v>
      </c>
      <c r="AE318">
        <v>0</v>
      </c>
      <c r="AF318">
        <v>0</v>
      </c>
      <c r="AG318">
        <v>0</v>
      </c>
      <c r="AH318">
        <v>1</v>
      </c>
      <c r="AI318">
        <v>0</v>
      </c>
      <c r="AJ318">
        <v>0</v>
      </c>
      <c r="AK318">
        <v>0</v>
      </c>
      <c r="AL318">
        <v>0</v>
      </c>
      <c r="AM318">
        <v>1</v>
      </c>
      <c r="AN318">
        <v>1606</v>
      </c>
      <c r="AO318">
        <v>1446</v>
      </c>
      <c r="AP318">
        <f>ifood_data[[#This Row],[MntTotal]]-ifood_data[[#This Row],[MntRegularProds]]</f>
        <v>160</v>
      </c>
      <c r="AQ318">
        <v>3</v>
      </c>
      <c r="AR318">
        <f>IF(SUM(ifood_data[[#This Row],[Kidhome]:[Teenhome]])&gt;0,1,0)</f>
        <v>0</v>
      </c>
      <c r="AS318" t="str">
        <f>IF(SUM(ifood_data[[#This Row],[Kidhome]:[Teenhome]])&gt;0,"Has Family","No Family")</f>
        <v>No Family</v>
      </c>
      <c r="AT318" t="str">
        <f>IF(ifood_data[[#This Row],[marital_Married]]=1,"Married", (IF(ifood_data[[#This Row],[marital_Single]]=1,"Single",(IF(ifood_data[[#This Row],[marital_Divorced]]=1,"Divorced",(IF(ifood_data[[#This Row],[marital_Together]]=1,"Living Together",(IF(ifood_data[[#This Row],[marital_Widow]]=1,"Widow","Other")))))))))</f>
        <v>Widow</v>
      </c>
      <c r="AU318" t="str">
        <f>IF(ifood_data[[#This Row],[education_Basic]]=1,"High School",(IF(ifood_data[[#This Row],[education_Graduation]]=1,"Undergraduate Degree",(IF(SUM(AM318,AL318,AI318)&gt;0,"Master's Degree or Higher","Other")))))</f>
        <v>Master's Degree or Higher</v>
      </c>
      <c r="AV318" t="str">
        <f>IF(ifood_data[[#All],[Income]]&gt;75000,"75K+",(IF(ifood_data[[#All],[Income]]&gt;50000,"50K-75K",(IF(ifood_data[[#All],[Income]]&gt;35000,"35K-50K","&lt;35K")))))</f>
        <v>50K-75K</v>
      </c>
      <c r="AW318" t="str">
        <f>IF(ifood_data[[#All],[Age]]&gt;60,"60+",(IF(ifood_data[[#All],[Age]]&gt;50,"50-60",(IF(ifood_data[[#All],[Age]]&gt;40,"40-50",(IF(ifood_data[[#All],[Age]]&gt;30,"30-40","&lt;30")))))))</f>
        <v>50-60</v>
      </c>
      <c r="AX318">
        <f t="shared" si="16"/>
        <v>21</v>
      </c>
      <c r="AY318">
        <f t="shared" si="17"/>
        <v>10</v>
      </c>
      <c r="AZ318">
        <f t="shared" si="18"/>
        <v>5</v>
      </c>
      <c r="BA318">
        <f t="shared" si="19"/>
        <v>9</v>
      </c>
      <c r="BB318">
        <f>SUM(ifood_data[[#This Row],[Recency Score]:[Monetary Score]])</f>
        <v>24</v>
      </c>
      <c r="BC318">
        <f>(_xlfn.PERCENTRANK.INC(ifood_data[[#All],[RFM]],ifood_data[[#This Row],[RFM]],1))*10</f>
        <v>9</v>
      </c>
      <c r="BD318" t="str">
        <f>VLOOKUP(ifood_data[[#This Row],[RFM Score]],'RFM Analysis'!$A$3:$B$14,2,FALSE)</f>
        <v>Top Customer</v>
      </c>
      <c r="BE318">
        <f>'Regression Models'!$B$101+'Regression Models'!$B$102*ifood_data[[#This Row],[Income]]+'Regression Models'!$B$103*ifood_data[[#This Row],[Age]]+'Regression Models'!$B$104*ifood_data[[#This Row],[Family]]</f>
        <v>1166.9342900228989</v>
      </c>
      <c r="BF318" t="str">
        <f>IF(ifood_data[[#This Row],[AcceptedCmpOverall]]=1,"Campaign Respondent","Non-respondent")</f>
        <v>Campaign Respondent</v>
      </c>
    </row>
    <row r="319" spans="1:58" x14ac:dyDescent="0.35">
      <c r="A319">
        <v>1833</v>
      </c>
      <c r="B319">
        <v>71964</v>
      </c>
      <c r="C319">
        <v>0</v>
      </c>
      <c r="D319">
        <v>0</v>
      </c>
      <c r="E319">
        <v>81</v>
      </c>
      <c r="F319">
        <v>587</v>
      </c>
      <c r="G319">
        <v>51</v>
      </c>
      <c r="H319">
        <v>932</v>
      </c>
      <c r="I319">
        <v>180</v>
      </c>
      <c r="J319">
        <v>34</v>
      </c>
      <c r="K319">
        <v>86</v>
      </c>
      <c r="L319">
        <v>1</v>
      </c>
      <c r="M319">
        <v>5</v>
      </c>
      <c r="N319">
        <v>6</v>
      </c>
      <c r="O319">
        <v>5</v>
      </c>
      <c r="P319">
        <v>3</v>
      </c>
      <c r="Q319">
        <v>0</v>
      </c>
      <c r="R319">
        <v>0</v>
      </c>
      <c r="S319">
        <v>0</v>
      </c>
      <c r="T319">
        <v>0</v>
      </c>
      <c r="U319">
        <v>0</v>
      </c>
      <c r="V319">
        <f>IF(SUM(ifood_data[[#This Row],[AcceptedCmp1]:[AcceptedCmp5]])&gt;0,1,0)</f>
        <v>0</v>
      </c>
      <c r="W319">
        <v>0</v>
      </c>
      <c r="X319">
        <v>3</v>
      </c>
      <c r="Y319">
        <v>11</v>
      </c>
      <c r="Z319">
        <v>0</v>
      </c>
      <c r="AA319">
        <v>62</v>
      </c>
      <c r="AB319">
        <v>2564</v>
      </c>
      <c r="AC319" s="28">
        <f>ifood_data[[#This Row],[Customer_Days]]/365</f>
        <v>7.0246575342465754</v>
      </c>
      <c r="AD319">
        <v>1</v>
      </c>
      <c r="AE319">
        <v>0</v>
      </c>
      <c r="AF319">
        <v>0</v>
      </c>
      <c r="AG319">
        <v>0</v>
      </c>
      <c r="AH319">
        <v>0</v>
      </c>
      <c r="AI319">
        <v>0</v>
      </c>
      <c r="AJ319">
        <v>0</v>
      </c>
      <c r="AK319">
        <v>1</v>
      </c>
      <c r="AL319">
        <v>0</v>
      </c>
      <c r="AM319">
        <v>0</v>
      </c>
      <c r="AN319">
        <v>1784</v>
      </c>
      <c r="AO319">
        <v>1698</v>
      </c>
      <c r="AP319">
        <f>ifood_data[[#This Row],[MntTotal]]-ifood_data[[#This Row],[MntRegularProds]]</f>
        <v>86</v>
      </c>
      <c r="AQ319">
        <v>0</v>
      </c>
      <c r="AR319">
        <f>IF(SUM(ifood_data[[#This Row],[Kidhome]:[Teenhome]])&gt;0,1,0)</f>
        <v>0</v>
      </c>
      <c r="AS319" t="str">
        <f>IF(SUM(ifood_data[[#This Row],[Kidhome]:[Teenhome]])&gt;0,"Has Family","No Family")</f>
        <v>No Family</v>
      </c>
      <c r="AT319" t="str">
        <f>IF(ifood_data[[#This Row],[marital_Married]]=1,"Married", (IF(ifood_data[[#This Row],[marital_Single]]=1,"Single",(IF(ifood_data[[#This Row],[marital_Divorced]]=1,"Divorced",(IF(ifood_data[[#This Row],[marital_Together]]=1,"Living Together",(IF(ifood_data[[#This Row],[marital_Widow]]=1,"Widow","Other")))))))))</f>
        <v>Divorced</v>
      </c>
      <c r="AU319" t="str">
        <f>IF(ifood_data[[#This Row],[education_Basic]]=1,"High School",(IF(ifood_data[[#This Row],[education_Graduation]]=1,"Undergraduate Degree",(IF(SUM(AM319,AL319,AI319)&gt;0,"Master's Degree or Higher","Other")))))</f>
        <v>Undergraduate Degree</v>
      </c>
      <c r="AV319" t="str">
        <f>IF(ifood_data[[#All],[Income]]&gt;75000,"75K+",(IF(ifood_data[[#All],[Income]]&gt;50000,"50K-75K",(IF(ifood_data[[#All],[Income]]&gt;35000,"35K-50K","&lt;35K")))))</f>
        <v>50K-75K</v>
      </c>
      <c r="AW319" t="str">
        <f>IF(ifood_data[[#All],[Age]]&gt;60,"60+",(IF(ifood_data[[#All],[Age]]&gt;50,"50-60",(IF(ifood_data[[#All],[Age]]&gt;40,"40-50",(IF(ifood_data[[#All],[Age]]&gt;30,"30-40","&lt;30")))))))</f>
        <v>60+</v>
      </c>
      <c r="AX319">
        <f t="shared" si="16"/>
        <v>20</v>
      </c>
      <c r="AY319">
        <f t="shared" si="17"/>
        <v>1.9999999999999996</v>
      </c>
      <c r="AZ319">
        <f t="shared" si="18"/>
        <v>4</v>
      </c>
      <c r="BA319">
        <f t="shared" si="19"/>
        <v>9</v>
      </c>
      <c r="BB319">
        <f>SUM(ifood_data[[#This Row],[Recency Score]:[Monetary Score]])</f>
        <v>15</v>
      </c>
      <c r="BC319">
        <f>(_xlfn.PERCENTRANK.INC(ifood_data[[#All],[RFM]],ifood_data[[#This Row],[RFM]],1))*10</f>
        <v>4</v>
      </c>
      <c r="BD319" t="str">
        <f>VLOOKUP(ifood_data[[#This Row],[RFM Score]],'RFM Analysis'!$A$3:$B$14,2,FALSE)</f>
        <v>At Risk</v>
      </c>
      <c r="BE319">
        <f>'Regression Models'!$B$101+'Regression Models'!$B$102*ifood_data[[#This Row],[Income]]+'Regression Models'!$B$103*ifood_data[[#This Row],[Age]]+'Regression Models'!$B$104*ifood_data[[#This Row],[Family]]</f>
        <v>1165.5828315416277</v>
      </c>
      <c r="BF319" t="str">
        <f>IF(ifood_data[[#This Row],[AcceptedCmpOverall]]=1,"Campaign Respondent","Non-respondent")</f>
        <v>Non-respondent</v>
      </c>
    </row>
    <row r="320" spans="1:58" x14ac:dyDescent="0.35">
      <c r="A320">
        <v>1796</v>
      </c>
      <c r="B320">
        <v>72643</v>
      </c>
      <c r="C320">
        <v>0</v>
      </c>
      <c r="D320">
        <v>0</v>
      </c>
      <c r="E320">
        <v>60</v>
      </c>
      <c r="F320">
        <v>526</v>
      </c>
      <c r="G320">
        <v>80</v>
      </c>
      <c r="H320">
        <v>553</v>
      </c>
      <c r="I320">
        <v>123</v>
      </c>
      <c r="J320">
        <v>94</v>
      </c>
      <c r="K320">
        <v>53</v>
      </c>
      <c r="L320">
        <v>1</v>
      </c>
      <c r="M320">
        <v>3</v>
      </c>
      <c r="N320">
        <v>10</v>
      </c>
      <c r="O320">
        <v>7</v>
      </c>
      <c r="P320">
        <v>2</v>
      </c>
      <c r="Q320">
        <v>1</v>
      </c>
      <c r="R320">
        <v>0</v>
      </c>
      <c r="S320">
        <v>0</v>
      </c>
      <c r="T320">
        <v>0</v>
      </c>
      <c r="U320">
        <v>0</v>
      </c>
      <c r="V320">
        <f>IF(SUM(ifood_data[[#This Row],[AcceptedCmp1]:[AcceptedCmp5]])&gt;0,1,0)</f>
        <v>1</v>
      </c>
      <c r="W320">
        <v>0</v>
      </c>
      <c r="X320">
        <v>3</v>
      </c>
      <c r="Y320">
        <v>11</v>
      </c>
      <c r="Z320">
        <v>1</v>
      </c>
      <c r="AA320">
        <v>71</v>
      </c>
      <c r="AB320">
        <v>2646</v>
      </c>
      <c r="AC320" s="28">
        <f>ifood_data[[#This Row],[Customer_Days]]/365</f>
        <v>7.2493150684931509</v>
      </c>
      <c r="AD320">
        <v>0</v>
      </c>
      <c r="AE320">
        <v>0</v>
      </c>
      <c r="AF320">
        <v>0</v>
      </c>
      <c r="AG320">
        <v>0</v>
      </c>
      <c r="AH320">
        <v>1</v>
      </c>
      <c r="AI320">
        <v>0</v>
      </c>
      <c r="AJ320">
        <v>0</v>
      </c>
      <c r="AK320">
        <v>1</v>
      </c>
      <c r="AL320">
        <v>0</v>
      </c>
      <c r="AM320">
        <v>0</v>
      </c>
      <c r="AN320">
        <v>1376</v>
      </c>
      <c r="AO320">
        <v>1323</v>
      </c>
      <c r="AP320">
        <f>ifood_data[[#This Row],[MntTotal]]-ifood_data[[#This Row],[MntRegularProds]]</f>
        <v>53</v>
      </c>
      <c r="AQ320">
        <v>1</v>
      </c>
      <c r="AR320">
        <f>IF(SUM(ifood_data[[#This Row],[Kidhome]:[Teenhome]])&gt;0,1,0)</f>
        <v>0</v>
      </c>
      <c r="AS320" t="str">
        <f>IF(SUM(ifood_data[[#This Row],[Kidhome]:[Teenhome]])&gt;0,"Has Family","No Family")</f>
        <v>No Family</v>
      </c>
      <c r="AT320" t="str">
        <f>IF(ifood_data[[#This Row],[marital_Married]]=1,"Married", (IF(ifood_data[[#This Row],[marital_Single]]=1,"Single",(IF(ifood_data[[#This Row],[marital_Divorced]]=1,"Divorced",(IF(ifood_data[[#This Row],[marital_Together]]=1,"Living Together",(IF(ifood_data[[#This Row],[marital_Widow]]=1,"Widow","Other")))))))))</f>
        <v>Widow</v>
      </c>
      <c r="AU320" t="str">
        <f>IF(ifood_data[[#This Row],[education_Basic]]=1,"High School",(IF(ifood_data[[#This Row],[education_Graduation]]=1,"Undergraduate Degree",(IF(SUM(AM320,AL320,AI320)&gt;0,"Master's Degree or Higher","Other")))))</f>
        <v>Undergraduate Degree</v>
      </c>
      <c r="AV320" t="str">
        <f>IF(ifood_data[[#All],[Income]]&gt;75000,"75K+",(IF(ifood_data[[#All],[Income]]&gt;50000,"50K-75K",(IF(ifood_data[[#All],[Income]]&gt;35000,"35K-50K","&lt;35K")))))</f>
        <v>50K-75K</v>
      </c>
      <c r="AW320" t="str">
        <f>IF(ifood_data[[#All],[Age]]&gt;60,"60+",(IF(ifood_data[[#All],[Age]]&gt;50,"50-60",(IF(ifood_data[[#All],[Age]]&gt;40,"40-50",(IF(ifood_data[[#All],[Age]]&gt;30,"30-40","&lt;30")))))))</f>
        <v>60+</v>
      </c>
      <c r="AX320">
        <f t="shared" si="16"/>
        <v>23</v>
      </c>
      <c r="AY320">
        <f t="shared" si="17"/>
        <v>4</v>
      </c>
      <c r="AZ320">
        <f t="shared" si="18"/>
        <v>6</v>
      </c>
      <c r="BA320">
        <f t="shared" si="19"/>
        <v>8</v>
      </c>
      <c r="BB320">
        <f>SUM(ifood_data[[#This Row],[Recency Score]:[Monetary Score]])</f>
        <v>18</v>
      </c>
      <c r="BC320">
        <f>(_xlfn.PERCENTRANK.INC(ifood_data[[#All],[RFM]],ifood_data[[#This Row],[RFM]],1))*10</f>
        <v>6</v>
      </c>
      <c r="BD320" t="str">
        <f>VLOOKUP(ifood_data[[#This Row],[RFM Score]],'RFM Analysis'!$A$3:$B$14,2,FALSE)</f>
        <v>Promising</v>
      </c>
      <c r="BE320">
        <f>'Regression Models'!$B$101+'Regression Models'!$B$102*ifood_data[[#This Row],[Income]]+'Regression Models'!$B$103*ifood_data[[#This Row],[Age]]+'Regression Models'!$B$104*ifood_data[[#This Row],[Family]]</f>
        <v>1162.8988534012867</v>
      </c>
      <c r="BF320" t="str">
        <f>IF(ifood_data[[#This Row],[AcceptedCmpOverall]]=1,"Campaign Respondent","Non-respondent")</f>
        <v>Campaign Respondent</v>
      </c>
    </row>
    <row r="321" spans="1:58" x14ac:dyDescent="0.35">
      <c r="A321">
        <v>1887</v>
      </c>
      <c r="B321">
        <v>69520</v>
      </c>
      <c r="C321">
        <v>0</v>
      </c>
      <c r="D321">
        <v>0</v>
      </c>
      <c r="E321">
        <v>95</v>
      </c>
      <c r="F321">
        <v>627</v>
      </c>
      <c r="G321">
        <v>120</v>
      </c>
      <c r="H321">
        <v>414</v>
      </c>
      <c r="I321">
        <v>121</v>
      </c>
      <c r="J321">
        <v>80</v>
      </c>
      <c r="K321">
        <v>93</v>
      </c>
      <c r="L321">
        <v>1</v>
      </c>
      <c r="M321">
        <v>9</v>
      </c>
      <c r="N321">
        <v>6</v>
      </c>
      <c r="O321">
        <v>5</v>
      </c>
      <c r="P321">
        <v>5</v>
      </c>
      <c r="Q321">
        <v>0</v>
      </c>
      <c r="R321">
        <v>0</v>
      </c>
      <c r="S321">
        <v>0</v>
      </c>
      <c r="T321">
        <v>0</v>
      </c>
      <c r="U321">
        <v>0</v>
      </c>
      <c r="V321">
        <f>IF(SUM(ifood_data[[#This Row],[AcceptedCmp1]:[AcceptedCmp5]])&gt;0,1,0)</f>
        <v>0</v>
      </c>
      <c r="W321">
        <v>0</v>
      </c>
      <c r="X321">
        <v>3</v>
      </c>
      <c r="Y321">
        <v>11</v>
      </c>
      <c r="Z321">
        <v>0</v>
      </c>
      <c r="AA321">
        <v>37</v>
      </c>
      <c r="AB321">
        <v>2516</v>
      </c>
      <c r="AC321" s="28">
        <f>ifood_data[[#This Row],[Customer_Days]]/365</f>
        <v>6.8931506849315065</v>
      </c>
      <c r="AD321">
        <v>0</v>
      </c>
      <c r="AE321">
        <v>1</v>
      </c>
      <c r="AF321">
        <v>0</v>
      </c>
      <c r="AG321">
        <v>0</v>
      </c>
      <c r="AH321">
        <v>0</v>
      </c>
      <c r="AI321">
        <v>0</v>
      </c>
      <c r="AJ321">
        <v>0</v>
      </c>
      <c r="AK321">
        <v>1</v>
      </c>
      <c r="AL321">
        <v>0</v>
      </c>
      <c r="AM321">
        <v>0</v>
      </c>
      <c r="AN321">
        <v>1362</v>
      </c>
      <c r="AO321">
        <v>1269</v>
      </c>
      <c r="AP321">
        <f>ifood_data[[#This Row],[MntTotal]]-ifood_data[[#This Row],[MntRegularProds]]</f>
        <v>93</v>
      </c>
      <c r="AQ321">
        <v>0</v>
      </c>
      <c r="AR321">
        <f>IF(SUM(ifood_data[[#This Row],[Kidhome]:[Teenhome]])&gt;0,1,0)</f>
        <v>0</v>
      </c>
      <c r="AS321" t="str">
        <f>IF(SUM(ifood_data[[#This Row],[Kidhome]:[Teenhome]])&gt;0,"Has Family","No Family")</f>
        <v>No Family</v>
      </c>
      <c r="AT321" t="str">
        <f>IF(ifood_data[[#This Row],[marital_Married]]=1,"Married", (IF(ifood_data[[#This Row],[marital_Single]]=1,"Single",(IF(ifood_data[[#This Row],[marital_Divorced]]=1,"Divorced",(IF(ifood_data[[#This Row],[marital_Together]]=1,"Living Together",(IF(ifood_data[[#This Row],[marital_Widow]]=1,"Widow","Other")))))))))</f>
        <v>Married</v>
      </c>
      <c r="AU321" t="str">
        <f>IF(ifood_data[[#This Row],[education_Basic]]=1,"High School",(IF(ifood_data[[#This Row],[education_Graduation]]=1,"Undergraduate Degree",(IF(SUM(AM321,AL321,AI321)&gt;0,"Master's Degree or Higher","Other")))))</f>
        <v>Undergraduate Degree</v>
      </c>
      <c r="AV321" t="str">
        <f>IF(ifood_data[[#All],[Income]]&gt;75000,"75K+",(IF(ifood_data[[#All],[Income]]&gt;50000,"50K-75K",(IF(ifood_data[[#All],[Income]]&gt;35000,"35K-50K","&lt;35K")))))</f>
        <v>50K-75K</v>
      </c>
      <c r="AW321" t="str">
        <f>IF(ifood_data[[#All],[Age]]&gt;60,"60+",(IF(ifood_data[[#All],[Age]]&gt;50,"50-60",(IF(ifood_data[[#All],[Age]]&gt;40,"40-50",(IF(ifood_data[[#All],[Age]]&gt;30,"30-40","&lt;30")))))))</f>
        <v>30-40</v>
      </c>
      <c r="AX321">
        <f t="shared" si="16"/>
        <v>26</v>
      </c>
      <c r="AY321">
        <f t="shared" si="17"/>
        <v>0.99999999999999978</v>
      </c>
      <c r="AZ321">
        <f t="shared" si="18"/>
        <v>7</v>
      </c>
      <c r="BA321">
        <f t="shared" si="19"/>
        <v>8</v>
      </c>
      <c r="BB321">
        <f>SUM(ifood_data[[#This Row],[Recency Score]:[Monetary Score]])</f>
        <v>16</v>
      </c>
      <c r="BC321">
        <f>(_xlfn.PERCENTRANK.INC(ifood_data[[#All],[RFM]],ifood_data[[#This Row],[RFM]],1))*10</f>
        <v>5</v>
      </c>
      <c r="BD321" t="str">
        <f>VLOOKUP(ifood_data[[#This Row],[RFM Score]],'RFM Analysis'!$A$3:$B$14,2,FALSE)</f>
        <v>Promising</v>
      </c>
      <c r="BE321">
        <f>'Regression Models'!$B$101+'Regression Models'!$B$102*ifood_data[[#This Row],[Income]]+'Regression Models'!$B$103*ifood_data[[#This Row],[Age]]+'Regression Models'!$B$104*ifood_data[[#This Row],[Family]]</f>
        <v>1161.6636591702959</v>
      </c>
      <c r="BF321" t="str">
        <f>IF(ifood_data[[#This Row],[AcceptedCmpOverall]]=1,"Campaign Respondent","Non-respondent")</f>
        <v>Non-respondent</v>
      </c>
    </row>
    <row r="322" spans="1:58" x14ac:dyDescent="0.35">
      <c r="A322">
        <v>1757</v>
      </c>
      <c r="B322">
        <v>70617</v>
      </c>
      <c r="C322">
        <v>0</v>
      </c>
      <c r="D322">
        <v>0</v>
      </c>
      <c r="E322">
        <v>45</v>
      </c>
      <c r="F322">
        <v>353</v>
      </c>
      <c r="G322">
        <v>61</v>
      </c>
      <c r="H322">
        <v>753</v>
      </c>
      <c r="I322">
        <v>40</v>
      </c>
      <c r="J322">
        <v>46</v>
      </c>
      <c r="K322">
        <v>27</v>
      </c>
      <c r="L322">
        <v>1</v>
      </c>
      <c r="M322">
        <v>3</v>
      </c>
      <c r="N322">
        <v>3</v>
      </c>
      <c r="O322">
        <v>7</v>
      </c>
      <c r="P322">
        <v>2</v>
      </c>
      <c r="Q322">
        <v>0</v>
      </c>
      <c r="R322">
        <v>0</v>
      </c>
      <c r="S322">
        <v>0</v>
      </c>
      <c r="T322">
        <v>0</v>
      </c>
      <c r="U322">
        <v>0</v>
      </c>
      <c r="V322">
        <f>IF(SUM(ifood_data[[#This Row],[AcceptedCmp1]:[AcceptedCmp5]])&gt;0,1,0)</f>
        <v>0</v>
      </c>
      <c r="W322">
        <v>0</v>
      </c>
      <c r="X322">
        <v>3</v>
      </c>
      <c r="Y322">
        <v>11</v>
      </c>
      <c r="Z322">
        <v>0</v>
      </c>
      <c r="AA322">
        <v>50</v>
      </c>
      <c r="AB322">
        <v>2530</v>
      </c>
      <c r="AC322" s="28">
        <f>ifood_data[[#This Row],[Customer_Days]]/365</f>
        <v>6.9315068493150687</v>
      </c>
      <c r="AD322">
        <v>0</v>
      </c>
      <c r="AE322">
        <v>1</v>
      </c>
      <c r="AF322">
        <v>0</v>
      </c>
      <c r="AG322">
        <v>0</v>
      </c>
      <c r="AH322">
        <v>0</v>
      </c>
      <c r="AI322">
        <v>0</v>
      </c>
      <c r="AJ322">
        <v>0</v>
      </c>
      <c r="AK322">
        <v>1</v>
      </c>
      <c r="AL322">
        <v>0</v>
      </c>
      <c r="AM322">
        <v>0</v>
      </c>
      <c r="AN322">
        <v>1253</v>
      </c>
      <c r="AO322">
        <v>1226</v>
      </c>
      <c r="AP322">
        <f>ifood_data[[#This Row],[MntTotal]]-ifood_data[[#This Row],[MntRegularProds]]</f>
        <v>27</v>
      </c>
      <c r="AQ322">
        <v>0</v>
      </c>
      <c r="AR322">
        <f>IF(SUM(ifood_data[[#This Row],[Kidhome]:[Teenhome]])&gt;0,1,0)</f>
        <v>0</v>
      </c>
      <c r="AS322" t="str">
        <f>IF(SUM(ifood_data[[#This Row],[Kidhome]:[Teenhome]])&gt;0,"Has Family","No Family")</f>
        <v>No Family</v>
      </c>
      <c r="AT322" t="str">
        <f>IF(ifood_data[[#This Row],[marital_Married]]=1,"Married", (IF(ifood_data[[#This Row],[marital_Single]]=1,"Single",(IF(ifood_data[[#This Row],[marital_Divorced]]=1,"Divorced",(IF(ifood_data[[#This Row],[marital_Together]]=1,"Living Together",(IF(ifood_data[[#This Row],[marital_Widow]]=1,"Widow","Other")))))))))</f>
        <v>Married</v>
      </c>
      <c r="AU322" t="str">
        <f>IF(ifood_data[[#This Row],[education_Basic]]=1,"High School",(IF(ifood_data[[#This Row],[education_Graduation]]=1,"Undergraduate Degree",(IF(SUM(AM322,AL322,AI322)&gt;0,"Master's Degree or Higher","Other")))))</f>
        <v>Undergraduate Degree</v>
      </c>
      <c r="AV322" t="str">
        <f>IF(ifood_data[[#All],[Income]]&gt;75000,"75K+",(IF(ifood_data[[#All],[Income]]&gt;50000,"50K-75K",(IF(ifood_data[[#All],[Income]]&gt;35000,"35K-50K","&lt;35K")))))</f>
        <v>50K-75K</v>
      </c>
      <c r="AW322" t="str">
        <f>IF(ifood_data[[#All],[Age]]&gt;60,"60+",(IF(ifood_data[[#All],[Age]]&gt;50,"50-60",(IF(ifood_data[[#All],[Age]]&gt;40,"40-50",(IF(ifood_data[[#All],[Age]]&gt;30,"30-40","&lt;30")))))))</f>
        <v>40-50</v>
      </c>
      <c r="AX322">
        <f t="shared" ref="AX322:AX385" si="20">SUM(L322:P322)</f>
        <v>16</v>
      </c>
      <c r="AY322">
        <f t="shared" ref="AY322:AY385" si="21">(1-_xlfn.PERCENTRANK.INC($E$2:$E$2022,E322,1))*10</f>
        <v>6</v>
      </c>
      <c r="AZ322">
        <f t="shared" ref="AZ322:AZ385" si="22">_xlfn.PERCENTRANK.INC($AX$2:$AX$2022,AX322,1)*10</f>
        <v>3</v>
      </c>
      <c r="BA322">
        <f t="shared" ref="BA322:BA385" si="23">_xlfn.PERCENTRANK.INC($AN$2:$AN$2022,AN322,1)*10</f>
        <v>8</v>
      </c>
      <c r="BB322">
        <f>SUM(ifood_data[[#This Row],[Recency Score]:[Monetary Score]])</f>
        <v>17</v>
      </c>
      <c r="BC322">
        <f>(_xlfn.PERCENTRANK.INC(ifood_data[[#All],[RFM]],ifood_data[[#This Row],[RFM]],1))*10</f>
        <v>6</v>
      </c>
      <c r="BD322" t="str">
        <f>VLOOKUP(ifood_data[[#This Row],[RFM Score]],'RFM Analysis'!$A$3:$B$14,2,FALSE)</f>
        <v>Promising</v>
      </c>
      <c r="BE322">
        <f>'Regression Models'!$B$101+'Regression Models'!$B$102*ifood_data[[#This Row],[Income]]+'Regression Models'!$B$103*ifood_data[[#This Row],[Age]]+'Regression Models'!$B$104*ifood_data[[#This Row],[Family]]</f>
        <v>1160.1564297985274</v>
      </c>
      <c r="BF322" t="str">
        <f>IF(ifood_data[[#This Row],[AcceptedCmpOverall]]=1,"Campaign Respondent","Non-respondent")</f>
        <v>Non-respondent</v>
      </c>
    </row>
    <row r="323" spans="1:58" x14ac:dyDescent="0.35">
      <c r="A323">
        <v>1030</v>
      </c>
      <c r="B323">
        <v>71691</v>
      </c>
      <c r="C323">
        <v>0</v>
      </c>
      <c r="D323">
        <v>0</v>
      </c>
      <c r="E323">
        <v>0</v>
      </c>
      <c r="F323">
        <v>336</v>
      </c>
      <c r="G323">
        <v>130</v>
      </c>
      <c r="H323">
        <v>411</v>
      </c>
      <c r="I323">
        <v>240</v>
      </c>
      <c r="J323">
        <v>32</v>
      </c>
      <c r="K323">
        <v>43</v>
      </c>
      <c r="L323">
        <v>1</v>
      </c>
      <c r="M323">
        <v>4</v>
      </c>
      <c r="N323">
        <v>7</v>
      </c>
      <c r="O323">
        <v>5</v>
      </c>
      <c r="P323">
        <v>2</v>
      </c>
      <c r="Q323">
        <v>0</v>
      </c>
      <c r="R323">
        <v>0</v>
      </c>
      <c r="S323">
        <v>0</v>
      </c>
      <c r="T323">
        <v>0</v>
      </c>
      <c r="U323">
        <v>0</v>
      </c>
      <c r="V323">
        <f>IF(SUM(ifood_data[[#This Row],[AcceptedCmp1]:[AcceptedCmp5]])&gt;0,1,0)</f>
        <v>0</v>
      </c>
      <c r="W323">
        <v>0</v>
      </c>
      <c r="X323">
        <v>3</v>
      </c>
      <c r="Y323">
        <v>11</v>
      </c>
      <c r="Z323">
        <v>1</v>
      </c>
      <c r="AA323">
        <v>62</v>
      </c>
      <c r="AB323">
        <v>2263</v>
      </c>
      <c r="AC323" s="28">
        <f>ifood_data[[#This Row],[Customer_Days]]/365</f>
        <v>6.2</v>
      </c>
      <c r="AD323">
        <v>0</v>
      </c>
      <c r="AE323">
        <v>0</v>
      </c>
      <c r="AF323">
        <v>1</v>
      </c>
      <c r="AG323">
        <v>0</v>
      </c>
      <c r="AH323">
        <v>0</v>
      </c>
      <c r="AI323">
        <v>0</v>
      </c>
      <c r="AJ323">
        <v>0</v>
      </c>
      <c r="AK323">
        <v>0</v>
      </c>
      <c r="AL323">
        <v>0</v>
      </c>
      <c r="AM323">
        <v>1</v>
      </c>
      <c r="AN323">
        <v>1149</v>
      </c>
      <c r="AO323">
        <v>1106</v>
      </c>
      <c r="AP323">
        <f>ifood_data[[#This Row],[MntTotal]]-ifood_data[[#This Row],[MntRegularProds]]</f>
        <v>43</v>
      </c>
      <c r="AQ323">
        <v>0</v>
      </c>
      <c r="AR323">
        <f>IF(SUM(ifood_data[[#This Row],[Kidhome]:[Teenhome]])&gt;0,1,0)</f>
        <v>0</v>
      </c>
      <c r="AS323" t="str">
        <f>IF(SUM(ifood_data[[#This Row],[Kidhome]:[Teenhome]])&gt;0,"Has Family","No Family")</f>
        <v>No Family</v>
      </c>
      <c r="AT323" t="str">
        <f>IF(ifood_data[[#This Row],[marital_Married]]=1,"Married", (IF(ifood_data[[#This Row],[marital_Single]]=1,"Single",(IF(ifood_data[[#This Row],[marital_Divorced]]=1,"Divorced",(IF(ifood_data[[#This Row],[marital_Together]]=1,"Living Together",(IF(ifood_data[[#This Row],[marital_Widow]]=1,"Widow","Other")))))))))</f>
        <v>Single</v>
      </c>
      <c r="AU323" t="str">
        <f>IF(ifood_data[[#This Row],[education_Basic]]=1,"High School",(IF(ifood_data[[#This Row],[education_Graduation]]=1,"Undergraduate Degree",(IF(SUM(AM323,AL323,AI323)&gt;0,"Master's Degree or Higher","Other")))))</f>
        <v>Master's Degree or Higher</v>
      </c>
      <c r="AV323" t="str">
        <f>IF(ifood_data[[#All],[Income]]&gt;75000,"75K+",(IF(ifood_data[[#All],[Income]]&gt;50000,"50K-75K",(IF(ifood_data[[#All],[Income]]&gt;35000,"35K-50K","&lt;35K")))))</f>
        <v>50K-75K</v>
      </c>
      <c r="AW323" t="str">
        <f>IF(ifood_data[[#All],[Age]]&gt;60,"60+",(IF(ifood_data[[#All],[Age]]&gt;50,"50-60",(IF(ifood_data[[#All],[Age]]&gt;40,"40-50",(IF(ifood_data[[#All],[Age]]&gt;30,"30-40","&lt;30")))))))</f>
        <v>60+</v>
      </c>
      <c r="AX323">
        <f t="shared" si="20"/>
        <v>19</v>
      </c>
      <c r="AY323">
        <f t="shared" si="21"/>
        <v>10</v>
      </c>
      <c r="AZ323">
        <f t="shared" si="22"/>
        <v>4</v>
      </c>
      <c r="BA323">
        <f t="shared" si="23"/>
        <v>8</v>
      </c>
      <c r="BB323">
        <f>SUM(ifood_data[[#This Row],[Recency Score]:[Monetary Score]])</f>
        <v>22</v>
      </c>
      <c r="BC323">
        <f>(_xlfn.PERCENTRANK.INC(ifood_data[[#All],[RFM]],ifood_data[[#This Row],[RFM]],1))*10</f>
        <v>8</v>
      </c>
      <c r="BD323" t="str">
        <f>VLOOKUP(ifood_data[[#This Row],[RFM Score]],'RFM Analysis'!$A$3:$B$14,2,FALSE)</f>
        <v>Loyal Customer</v>
      </c>
      <c r="BE323">
        <f>'Regression Models'!$B$101+'Regression Models'!$B$102*ifood_data[[#This Row],[Income]]+'Regression Models'!$B$103*ifood_data[[#This Row],[Age]]+'Regression Models'!$B$104*ifood_data[[#This Row],[Family]]</f>
        <v>1160.0166978383434</v>
      </c>
      <c r="BF323" t="str">
        <f>IF(ifood_data[[#This Row],[AcceptedCmpOverall]]=1,"Campaign Respondent","Non-respondent")</f>
        <v>Non-respondent</v>
      </c>
    </row>
    <row r="324" spans="1:58" x14ac:dyDescent="0.35">
      <c r="A324">
        <v>1000</v>
      </c>
      <c r="B324">
        <v>72228</v>
      </c>
      <c r="C324">
        <v>0</v>
      </c>
      <c r="D324">
        <v>0</v>
      </c>
      <c r="E324">
        <v>87</v>
      </c>
      <c r="F324">
        <v>631</v>
      </c>
      <c r="G324">
        <v>28</v>
      </c>
      <c r="H324">
        <v>491</v>
      </c>
      <c r="I324">
        <v>30</v>
      </c>
      <c r="J324">
        <v>14</v>
      </c>
      <c r="K324">
        <v>56</v>
      </c>
      <c r="L324">
        <v>1</v>
      </c>
      <c r="M324">
        <v>6</v>
      </c>
      <c r="N324">
        <v>7</v>
      </c>
      <c r="O324">
        <v>8</v>
      </c>
      <c r="P324">
        <v>3</v>
      </c>
      <c r="Q324">
        <v>0</v>
      </c>
      <c r="R324">
        <v>0</v>
      </c>
      <c r="S324">
        <v>0</v>
      </c>
      <c r="T324">
        <v>0</v>
      </c>
      <c r="U324">
        <v>0</v>
      </c>
      <c r="V324">
        <f>IF(SUM(ifood_data[[#This Row],[AcceptedCmp1]:[AcceptedCmp5]])&gt;0,1,0)</f>
        <v>0</v>
      </c>
      <c r="W324">
        <v>0</v>
      </c>
      <c r="X324">
        <v>3</v>
      </c>
      <c r="Y324">
        <v>11</v>
      </c>
      <c r="Z324">
        <v>0</v>
      </c>
      <c r="AA324">
        <v>68</v>
      </c>
      <c r="AB324">
        <v>2738</v>
      </c>
      <c r="AC324" s="28">
        <f>ifood_data[[#This Row],[Customer_Days]]/365</f>
        <v>7.5013698630136982</v>
      </c>
      <c r="AD324">
        <v>0</v>
      </c>
      <c r="AE324">
        <v>0</v>
      </c>
      <c r="AF324">
        <v>1</v>
      </c>
      <c r="AG324">
        <v>0</v>
      </c>
      <c r="AH324">
        <v>0</v>
      </c>
      <c r="AI324">
        <v>0</v>
      </c>
      <c r="AJ324">
        <v>0</v>
      </c>
      <c r="AK324">
        <v>1</v>
      </c>
      <c r="AL324">
        <v>0</v>
      </c>
      <c r="AM324">
        <v>0</v>
      </c>
      <c r="AN324">
        <v>1194</v>
      </c>
      <c r="AO324">
        <v>1138</v>
      </c>
      <c r="AP324">
        <f>ifood_data[[#This Row],[MntTotal]]-ifood_data[[#This Row],[MntRegularProds]]</f>
        <v>56</v>
      </c>
      <c r="AQ324">
        <v>0</v>
      </c>
      <c r="AR324">
        <f>IF(SUM(ifood_data[[#This Row],[Kidhome]:[Teenhome]])&gt;0,1,0)</f>
        <v>0</v>
      </c>
      <c r="AS324" t="str">
        <f>IF(SUM(ifood_data[[#This Row],[Kidhome]:[Teenhome]])&gt;0,"Has Family","No Family")</f>
        <v>No Family</v>
      </c>
      <c r="AT324" t="str">
        <f>IF(ifood_data[[#This Row],[marital_Married]]=1,"Married", (IF(ifood_data[[#This Row],[marital_Single]]=1,"Single",(IF(ifood_data[[#This Row],[marital_Divorced]]=1,"Divorced",(IF(ifood_data[[#This Row],[marital_Together]]=1,"Living Together",(IF(ifood_data[[#This Row],[marital_Widow]]=1,"Widow","Other")))))))))</f>
        <v>Single</v>
      </c>
      <c r="AU324" t="str">
        <f>IF(ifood_data[[#This Row],[education_Basic]]=1,"High School",(IF(ifood_data[[#This Row],[education_Graduation]]=1,"Undergraduate Degree",(IF(SUM(AM324,AL324,AI324)&gt;0,"Master's Degree or Higher","Other")))))</f>
        <v>Undergraduate Degree</v>
      </c>
      <c r="AV324" t="str">
        <f>IF(ifood_data[[#All],[Income]]&gt;75000,"75K+",(IF(ifood_data[[#All],[Income]]&gt;50000,"50K-75K",(IF(ifood_data[[#All],[Income]]&gt;35000,"35K-50K","&lt;35K")))))</f>
        <v>50K-75K</v>
      </c>
      <c r="AW324" t="str">
        <f>IF(ifood_data[[#All],[Age]]&gt;60,"60+",(IF(ifood_data[[#All],[Age]]&gt;50,"50-60",(IF(ifood_data[[#All],[Age]]&gt;40,"40-50",(IF(ifood_data[[#All],[Age]]&gt;30,"30-40","&lt;30")))))))</f>
        <v>60+</v>
      </c>
      <c r="AX324">
        <f t="shared" si="20"/>
        <v>25</v>
      </c>
      <c r="AY324">
        <f t="shared" si="21"/>
        <v>1.9999999999999996</v>
      </c>
      <c r="AZ324">
        <f t="shared" si="22"/>
        <v>7</v>
      </c>
      <c r="BA324">
        <f t="shared" si="23"/>
        <v>8</v>
      </c>
      <c r="BB324">
        <f>SUM(ifood_data[[#This Row],[Recency Score]:[Monetary Score]])</f>
        <v>17</v>
      </c>
      <c r="BC324">
        <f>(_xlfn.PERCENTRANK.INC(ifood_data[[#All],[RFM]],ifood_data[[#This Row],[RFM]],1))*10</f>
        <v>6</v>
      </c>
      <c r="BD324" t="str">
        <f>VLOOKUP(ifood_data[[#This Row],[RFM Score]],'RFM Analysis'!$A$3:$B$14,2,FALSE)</f>
        <v>Promising</v>
      </c>
      <c r="BE324">
        <f>'Regression Models'!$B$101+'Regression Models'!$B$102*ifood_data[[#This Row],[Income]]+'Regression Models'!$B$103*ifood_data[[#This Row],[Age]]+'Regression Models'!$B$104*ifood_data[[#This Row],[Family]]</f>
        <v>1159.9468318582515</v>
      </c>
      <c r="BF324" t="str">
        <f>IF(ifood_data[[#This Row],[AcceptedCmpOverall]]=1,"Campaign Respondent","Non-respondent")</f>
        <v>Non-respondent</v>
      </c>
    </row>
    <row r="325" spans="1:58" x14ac:dyDescent="0.35">
      <c r="A325">
        <v>373</v>
      </c>
      <c r="B325">
        <v>68682</v>
      </c>
      <c r="C325">
        <v>0</v>
      </c>
      <c r="D325">
        <v>0</v>
      </c>
      <c r="E325">
        <v>56</v>
      </c>
      <c r="F325">
        <v>919</v>
      </c>
      <c r="G325">
        <v>0</v>
      </c>
      <c r="H325">
        <v>505</v>
      </c>
      <c r="I325">
        <v>99</v>
      </c>
      <c r="J325">
        <v>30</v>
      </c>
      <c r="K325">
        <v>45</v>
      </c>
      <c r="L325">
        <v>1</v>
      </c>
      <c r="M325">
        <v>4</v>
      </c>
      <c r="N325">
        <v>9</v>
      </c>
      <c r="O325">
        <v>10</v>
      </c>
      <c r="P325">
        <v>2</v>
      </c>
      <c r="Q325">
        <v>0</v>
      </c>
      <c r="R325">
        <v>0</v>
      </c>
      <c r="S325">
        <v>0</v>
      </c>
      <c r="T325">
        <v>0</v>
      </c>
      <c r="U325">
        <v>0</v>
      </c>
      <c r="V325">
        <f>IF(SUM(ifood_data[[#This Row],[AcceptedCmp1]:[AcceptedCmp5]])&gt;0,1,0)</f>
        <v>0</v>
      </c>
      <c r="W325">
        <v>0</v>
      </c>
      <c r="X325">
        <v>3</v>
      </c>
      <c r="Y325">
        <v>11</v>
      </c>
      <c r="Z325">
        <v>0</v>
      </c>
      <c r="AA325">
        <v>29</v>
      </c>
      <c r="AB325">
        <v>2425</v>
      </c>
      <c r="AC325" s="28">
        <f>ifood_data[[#This Row],[Customer_Days]]/365</f>
        <v>6.6438356164383565</v>
      </c>
      <c r="AD325">
        <v>0</v>
      </c>
      <c r="AE325">
        <v>0</v>
      </c>
      <c r="AF325">
        <v>0</v>
      </c>
      <c r="AG325">
        <v>1</v>
      </c>
      <c r="AH325">
        <v>0</v>
      </c>
      <c r="AI325">
        <v>0</v>
      </c>
      <c r="AJ325">
        <v>0</v>
      </c>
      <c r="AK325">
        <v>0</v>
      </c>
      <c r="AL325">
        <v>0</v>
      </c>
      <c r="AM325">
        <v>1</v>
      </c>
      <c r="AN325">
        <v>1553</v>
      </c>
      <c r="AO325">
        <v>1508</v>
      </c>
      <c r="AP325">
        <f>ifood_data[[#This Row],[MntTotal]]-ifood_data[[#This Row],[MntRegularProds]]</f>
        <v>45</v>
      </c>
      <c r="AQ325">
        <v>0</v>
      </c>
      <c r="AR325">
        <f>IF(SUM(ifood_data[[#This Row],[Kidhome]:[Teenhome]])&gt;0,1,0)</f>
        <v>0</v>
      </c>
      <c r="AS325" t="str">
        <f>IF(SUM(ifood_data[[#This Row],[Kidhome]:[Teenhome]])&gt;0,"Has Family","No Family")</f>
        <v>No Family</v>
      </c>
      <c r="AT325" t="str">
        <f>IF(ifood_data[[#This Row],[marital_Married]]=1,"Married", (IF(ifood_data[[#This Row],[marital_Single]]=1,"Single",(IF(ifood_data[[#This Row],[marital_Divorced]]=1,"Divorced",(IF(ifood_data[[#This Row],[marital_Together]]=1,"Living Together",(IF(ifood_data[[#This Row],[marital_Widow]]=1,"Widow","Other")))))))))</f>
        <v>Living Together</v>
      </c>
      <c r="AU325" t="str">
        <f>IF(ifood_data[[#This Row],[education_Basic]]=1,"High School",(IF(ifood_data[[#This Row],[education_Graduation]]=1,"Undergraduate Degree",(IF(SUM(AM325,AL325,AI325)&gt;0,"Master's Degree or Higher","Other")))))</f>
        <v>Master's Degree or Higher</v>
      </c>
      <c r="AV325" t="str">
        <f>IF(ifood_data[[#All],[Income]]&gt;75000,"75K+",(IF(ifood_data[[#All],[Income]]&gt;50000,"50K-75K",(IF(ifood_data[[#All],[Income]]&gt;35000,"35K-50K","&lt;35K")))))</f>
        <v>50K-75K</v>
      </c>
      <c r="AW325" t="str">
        <f>IF(ifood_data[[#All],[Age]]&gt;60,"60+",(IF(ifood_data[[#All],[Age]]&gt;50,"50-60",(IF(ifood_data[[#All],[Age]]&gt;40,"40-50",(IF(ifood_data[[#All],[Age]]&gt;30,"30-40","&lt;30")))))))</f>
        <v>&lt;30</v>
      </c>
      <c r="AX325">
        <f t="shared" si="20"/>
        <v>26</v>
      </c>
      <c r="AY325">
        <f t="shared" si="21"/>
        <v>5</v>
      </c>
      <c r="AZ325">
        <f t="shared" si="22"/>
        <v>7</v>
      </c>
      <c r="BA325">
        <f t="shared" si="23"/>
        <v>9</v>
      </c>
      <c r="BB325">
        <f>SUM(ifood_data[[#This Row],[Recency Score]:[Monetary Score]])</f>
        <v>21</v>
      </c>
      <c r="BC325">
        <f>(_xlfn.PERCENTRANK.INC(ifood_data[[#All],[RFM]],ifood_data[[#This Row],[RFM]],1))*10</f>
        <v>8</v>
      </c>
      <c r="BD325" t="str">
        <f>VLOOKUP(ifood_data[[#This Row],[RFM Score]],'RFM Analysis'!$A$3:$B$14,2,FALSE)</f>
        <v>Loyal Customer</v>
      </c>
      <c r="BE325">
        <f>'Regression Models'!$B$101+'Regression Models'!$B$102*ifood_data[[#This Row],[Income]]+'Regression Models'!$B$103*ifood_data[[#This Row],[Age]]+'Regression Models'!$B$104*ifood_data[[#This Row],[Family]]</f>
        <v>1159.2693840968627</v>
      </c>
      <c r="BF325" t="str">
        <f>IF(ifood_data[[#This Row],[AcceptedCmpOverall]]=1,"Campaign Respondent","Non-respondent")</f>
        <v>Non-respondent</v>
      </c>
    </row>
    <row r="326" spans="1:58" x14ac:dyDescent="0.35">
      <c r="A326">
        <v>1659</v>
      </c>
      <c r="B326">
        <v>72282</v>
      </c>
      <c r="C326">
        <v>0</v>
      </c>
      <c r="D326">
        <v>0</v>
      </c>
      <c r="E326">
        <v>70</v>
      </c>
      <c r="F326">
        <v>503</v>
      </c>
      <c r="G326">
        <v>27</v>
      </c>
      <c r="H326">
        <v>419</v>
      </c>
      <c r="I326">
        <v>90</v>
      </c>
      <c r="J326">
        <v>139</v>
      </c>
      <c r="K326">
        <v>153</v>
      </c>
      <c r="L326">
        <v>1</v>
      </c>
      <c r="M326">
        <v>5</v>
      </c>
      <c r="N326">
        <v>7</v>
      </c>
      <c r="O326">
        <v>9</v>
      </c>
      <c r="P326">
        <v>7</v>
      </c>
      <c r="Q326">
        <v>0</v>
      </c>
      <c r="R326">
        <v>0</v>
      </c>
      <c r="S326">
        <v>0</v>
      </c>
      <c r="T326">
        <v>0</v>
      </c>
      <c r="U326">
        <v>0</v>
      </c>
      <c r="V326">
        <f>IF(SUM(ifood_data[[#This Row],[AcceptedCmp1]:[AcceptedCmp5]])&gt;0,1,0)</f>
        <v>0</v>
      </c>
      <c r="W326">
        <v>0</v>
      </c>
      <c r="X326">
        <v>3</v>
      </c>
      <c r="Y326">
        <v>11</v>
      </c>
      <c r="Z326">
        <v>1</v>
      </c>
      <c r="AA326">
        <v>69</v>
      </c>
      <c r="AB326">
        <v>2504</v>
      </c>
      <c r="AC326" s="28">
        <f>ifood_data[[#This Row],[Customer_Days]]/365</f>
        <v>6.86027397260274</v>
      </c>
      <c r="AD326">
        <v>0</v>
      </c>
      <c r="AE326">
        <v>0</v>
      </c>
      <c r="AF326">
        <v>1</v>
      </c>
      <c r="AG326">
        <v>0</v>
      </c>
      <c r="AH326">
        <v>0</v>
      </c>
      <c r="AI326">
        <v>0</v>
      </c>
      <c r="AJ326">
        <v>0</v>
      </c>
      <c r="AK326">
        <v>1</v>
      </c>
      <c r="AL326">
        <v>0</v>
      </c>
      <c r="AM326">
        <v>0</v>
      </c>
      <c r="AN326">
        <v>1178</v>
      </c>
      <c r="AO326">
        <v>1025</v>
      </c>
      <c r="AP326">
        <f>ifood_data[[#This Row],[MntTotal]]-ifood_data[[#This Row],[MntRegularProds]]</f>
        <v>153</v>
      </c>
      <c r="AQ326">
        <v>0</v>
      </c>
      <c r="AR326">
        <f>IF(SUM(ifood_data[[#This Row],[Kidhome]:[Teenhome]])&gt;0,1,0)</f>
        <v>0</v>
      </c>
      <c r="AS326" t="str">
        <f>IF(SUM(ifood_data[[#This Row],[Kidhome]:[Teenhome]])&gt;0,"Has Family","No Family")</f>
        <v>No Family</v>
      </c>
      <c r="AT326" t="str">
        <f>IF(ifood_data[[#This Row],[marital_Married]]=1,"Married", (IF(ifood_data[[#This Row],[marital_Single]]=1,"Single",(IF(ifood_data[[#This Row],[marital_Divorced]]=1,"Divorced",(IF(ifood_data[[#This Row],[marital_Together]]=1,"Living Together",(IF(ifood_data[[#This Row],[marital_Widow]]=1,"Widow","Other")))))))))</f>
        <v>Single</v>
      </c>
      <c r="AU326" t="str">
        <f>IF(ifood_data[[#This Row],[education_Basic]]=1,"High School",(IF(ifood_data[[#This Row],[education_Graduation]]=1,"Undergraduate Degree",(IF(SUM(AM326,AL326,AI326)&gt;0,"Master's Degree or Higher","Other")))))</f>
        <v>Undergraduate Degree</v>
      </c>
      <c r="AV326" t="str">
        <f>IF(ifood_data[[#All],[Income]]&gt;75000,"75K+",(IF(ifood_data[[#All],[Income]]&gt;50000,"50K-75K",(IF(ifood_data[[#All],[Income]]&gt;35000,"35K-50K","&lt;35K")))))</f>
        <v>50K-75K</v>
      </c>
      <c r="AW326" t="str">
        <f>IF(ifood_data[[#All],[Age]]&gt;60,"60+",(IF(ifood_data[[#All],[Age]]&gt;50,"50-60",(IF(ifood_data[[#All],[Age]]&gt;40,"40-50",(IF(ifood_data[[#All],[Age]]&gt;30,"30-40","&lt;30")))))))</f>
        <v>60+</v>
      </c>
      <c r="AX326">
        <f t="shared" si="20"/>
        <v>29</v>
      </c>
      <c r="AY326">
        <f t="shared" si="21"/>
        <v>3.0000000000000004</v>
      </c>
      <c r="AZ326">
        <f t="shared" si="22"/>
        <v>8</v>
      </c>
      <c r="BA326">
        <f t="shared" si="23"/>
        <v>8</v>
      </c>
      <c r="BB326">
        <f>SUM(ifood_data[[#This Row],[Recency Score]:[Monetary Score]])</f>
        <v>19</v>
      </c>
      <c r="BC326">
        <f>(_xlfn.PERCENTRANK.INC(ifood_data[[#All],[RFM]],ifood_data[[#This Row],[RFM]],1))*10</f>
        <v>7</v>
      </c>
      <c r="BD326" t="str">
        <f>VLOOKUP(ifood_data[[#This Row],[RFM Score]],'RFM Analysis'!$A$3:$B$14,2,FALSE)</f>
        <v>Loyal Customer</v>
      </c>
      <c r="BE326">
        <f>'Regression Models'!$B$101+'Regression Models'!$B$102*ifood_data[[#This Row],[Income]]+'Regression Models'!$B$103*ifood_data[[#This Row],[Age]]+'Regression Models'!$B$104*ifood_data[[#This Row],[Family]]</f>
        <v>1159.2113862591275</v>
      </c>
      <c r="BF326" t="str">
        <f>IF(ifood_data[[#This Row],[AcceptedCmpOverall]]=1,"Campaign Respondent","Non-respondent")</f>
        <v>Non-respondent</v>
      </c>
    </row>
    <row r="327" spans="1:58" x14ac:dyDescent="0.35">
      <c r="A327">
        <v>182</v>
      </c>
      <c r="B327">
        <v>69661</v>
      </c>
      <c r="C327">
        <v>0</v>
      </c>
      <c r="D327">
        <v>0</v>
      </c>
      <c r="E327">
        <v>80</v>
      </c>
      <c r="F327">
        <v>656</v>
      </c>
      <c r="G327">
        <v>16</v>
      </c>
      <c r="H327">
        <v>106</v>
      </c>
      <c r="I327">
        <v>32</v>
      </c>
      <c r="J327">
        <v>16</v>
      </c>
      <c r="K327">
        <v>8</v>
      </c>
      <c r="L327">
        <v>1</v>
      </c>
      <c r="M327">
        <v>7</v>
      </c>
      <c r="N327">
        <v>3</v>
      </c>
      <c r="O327">
        <v>12</v>
      </c>
      <c r="P327">
        <v>3</v>
      </c>
      <c r="Q327">
        <v>0</v>
      </c>
      <c r="R327">
        <v>0</v>
      </c>
      <c r="S327">
        <v>0</v>
      </c>
      <c r="T327">
        <v>0</v>
      </c>
      <c r="U327">
        <v>0</v>
      </c>
      <c r="V327">
        <f>IF(SUM(ifood_data[[#This Row],[AcceptedCmp1]:[AcceptedCmp5]])&gt;0,1,0)</f>
        <v>0</v>
      </c>
      <c r="W327">
        <v>0</v>
      </c>
      <c r="X327">
        <v>3</v>
      </c>
      <c r="Y327">
        <v>11</v>
      </c>
      <c r="Z327">
        <v>0</v>
      </c>
      <c r="AA327">
        <v>40</v>
      </c>
      <c r="AB327">
        <v>2206</v>
      </c>
      <c r="AC327" s="28">
        <f>ifood_data[[#This Row],[Customer_Days]]/365</f>
        <v>6.043835616438356</v>
      </c>
      <c r="AD327">
        <v>0</v>
      </c>
      <c r="AE327">
        <v>1</v>
      </c>
      <c r="AF327">
        <v>0</v>
      </c>
      <c r="AG327">
        <v>0</v>
      </c>
      <c r="AH327">
        <v>0</v>
      </c>
      <c r="AI327">
        <v>0</v>
      </c>
      <c r="AJ327">
        <v>0</v>
      </c>
      <c r="AK327">
        <v>0</v>
      </c>
      <c r="AL327">
        <v>1</v>
      </c>
      <c r="AM327">
        <v>0</v>
      </c>
      <c r="AN327">
        <v>826</v>
      </c>
      <c r="AO327">
        <v>818</v>
      </c>
      <c r="AP327">
        <f>ifood_data[[#This Row],[MntTotal]]-ifood_data[[#This Row],[MntRegularProds]]</f>
        <v>8</v>
      </c>
      <c r="AQ327">
        <v>0</v>
      </c>
      <c r="AR327">
        <f>IF(SUM(ifood_data[[#This Row],[Kidhome]:[Teenhome]])&gt;0,1,0)</f>
        <v>0</v>
      </c>
      <c r="AS327" t="str">
        <f>IF(SUM(ifood_data[[#This Row],[Kidhome]:[Teenhome]])&gt;0,"Has Family","No Family")</f>
        <v>No Family</v>
      </c>
      <c r="AT327" t="str">
        <f>IF(ifood_data[[#This Row],[marital_Married]]=1,"Married", (IF(ifood_data[[#This Row],[marital_Single]]=1,"Single",(IF(ifood_data[[#This Row],[marital_Divorced]]=1,"Divorced",(IF(ifood_data[[#This Row],[marital_Together]]=1,"Living Together",(IF(ifood_data[[#This Row],[marital_Widow]]=1,"Widow","Other")))))))))</f>
        <v>Married</v>
      </c>
      <c r="AU327" t="str">
        <f>IF(ifood_data[[#This Row],[education_Basic]]=1,"High School",(IF(ifood_data[[#This Row],[education_Graduation]]=1,"Undergraduate Degree",(IF(SUM(AM327,AL327,AI327)&gt;0,"Master's Degree or Higher","Other")))))</f>
        <v>Master's Degree or Higher</v>
      </c>
      <c r="AV327" t="str">
        <f>IF(ifood_data[[#All],[Income]]&gt;75000,"75K+",(IF(ifood_data[[#All],[Income]]&gt;50000,"50K-75K",(IF(ifood_data[[#All],[Income]]&gt;35000,"35K-50K","&lt;35K")))))</f>
        <v>50K-75K</v>
      </c>
      <c r="AW327" t="str">
        <f>IF(ifood_data[[#All],[Age]]&gt;60,"60+",(IF(ifood_data[[#All],[Age]]&gt;50,"50-60",(IF(ifood_data[[#All],[Age]]&gt;40,"40-50",(IF(ifood_data[[#All],[Age]]&gt;30,"30-40","&lt;30")))))))</f>
        <v>30-40</v>
      </c>
      <c r="AX327">
        <f t="shared" si="20"/>
        <v>26</v>
      </c>
      <c r="AY327">
        <f t="shared" si="21"/>
        <v>1.9999999999999996</v>
      </c>
      <c r="AZ327">
        <f t="shared" si="22"/>
        <v>7</v>
      </c>
      <c r="BA327">
        <f t="shared" si="23"/>
        <v>6</v>
      </c>
      <c r="BB327">
        <f>SUM(ifood_data[[#This Row],[Recency Score]:[Monetary Score]])</f>
        <v>15</v>
      </c>
      <c r="BC327">
        <f>(_xlfn.PERCENTRANK.INC(ifood_data[[#All],[RFM]],ifood_data[[#This Row],[RFM]],1))*10</f>
        <v>4</v>
      </c>
      <c r="BD327" t="str">
        <f>VLOOKUP(ifood_data[[#This Row],[RFM Score]],'RFM Analysis'!$A$3:$B$14,2,FALSE)</f>
        <v>At Risk</v>
      </c>
      <c r="BE327">
        <f>'Regression Models'!$B$101+'Regression Models'!$B$102*ifood_data[[#This Row],[Income]]+'Regression Models'!$B$103*ifood_data[[#This Row],[Age]]+'Regression Models'!$B$104*ifood_data[[#This Row],[Family]]</f>
        <v>1159.0291582419027</v>
      </c>
      <c r="BF327" t="str">
        <f>IF(ifood_data[[#This Row],[AcceptedCmpOverall]]=1,"Campaign Respondent","Non-respondent")</f>
        <v>Non-respondent</v>
      </c>
    </row>
    <row r="328" spans="1:58" x14ac:dyDescent="0.35">
      <c r="A328">
        <v>960</v>
      </c>
      <c r="B328">
        <v>70924</v>
      </c>
      <c r="C328">
        <v>0</v>
      </c>
      <c r="D328">
        <v>0</v>
      </c>
      <c r="E328">
        <v>41</v>
      </c>
      <c r="F328">
        <v>635</v>
      </c>
      <c r="G328">
        <v>114</v>
      </c>
      <c r="H328">
        <v>254</v>
      </c>
      <c r="I328">
        <v>132</v>
      </c>
      <c r="J328">
        <v>152</v>
      </c>
      <c r="K328">
        <v>76</v>
      </c>
      <c r="L328">
        <v>1</v>
      </c>
      <c r="M328">
        <v>6</v>
      </c>
      <c r="N328">
        <v>6</v>
      </c>
      <c r="O328">
        <v>7</v>
      </c>
      <c r="P328">
        <v>3</v>
      </c>
      <c r="Q328">
        <v>0</v>
      </c>
      <c r="R328">
        <v>0</v>
      </c>
      <c r="S328">
        <v>0</v>
      </c>
      <c r="T328">
        <v>0</v>
      </c>
      <c r="U328">
        <v>1</v>
      </c>
      <c r="V328">
        <f>IF(SUM(ifood_data[[#This Row],[AcceptedCmp1]:[AcceptedCmp5]])&gt;0,1,0)</f>
        <v>1</v>
      </c>
      <c r="W328">
        <v>0</v>
      </c>
      <c r="X328">
        <v>3</v>
      </c>
      <c r="Y328">
        <v>11</v>
      </c>
      <c r="Z328">
        <v>0</v>
      </c>
      <c r="AA328">
        <v>55</v>
      </c>
      <c r="AB328">
        <v>2242</v>
      </c>
      <c r="AC328" s="28">
        <f>ifood_data[[#This Row],[Customer_Days]]/365</f>
        <v>6.1424657534246574</v>
      </c>
      <c r="AD328">
        <v>0</v>
      </c>
      <c r="AE328">
        <v>1</v>
      </c>
      <c r="AF328">
        <v>0</v>
      </c>
      <c r="AG328">
        <v>0</v>
      </c>
      <c r="AH328">
        <v>0</v>
      </c>
      <c r="AI328">
        <v>1</v>
      </c>
      <c r="AJ328">
        <v>0</v>
      </c>
      <c r="AK328">
        <v>0</v>
      </c>
      <c r="AL328">
        <v>0</v>
      </c>
      <c r="AM328">
        <v>0</v>
      </c>
      <c r="AN328">
        <v>1287</v>
      </c>
      <c r="AO328">
        <v>1211</v>
      </c>
      <c r="AP328">
        <f>ifood_data[[#This Row],[MntTotal]]-ifood_data[[#This Row],[MntRegularProds]]</f>
        <v>76</v>
      </c>
      <c r="AQ328">
        <v>1</v>
      </c>
      <c r="AR328">
        <f>IF(SUM(ifood_data[[#This Row],[Kidhome]:[Teenhome]])&gt;0,1,0)</f>
        <v>0</v>
      </c>
      <c r="AS328" t="str">
        <f>IF(SUM(ifood_data[[#This Row],[Kidhome]:[Teenhome]])&gt;0,"Has Family","No Family")</f>
        <v>No Family</v>
      </c>
      <c r="AT328" t="str">
        <f>IF(ifood_data[[#This Row],[marital_Married]]=1,"Married", (IF(ifood_data[[#This Row],[marital_Single]]=1,"Single",(IF(ifood_data[[#This Row],[marital_Divorced]]=1,"Divorced",(IF(ifood_data[[#This Row],[marital_Together]]=1,"Living Together",(IF(ifood_data[[#This Row],[marital_Widow]]=1,"Widow","Other")))))))))</f>
        <v>Married</v>
      </c>
      <c r="AU328" t="str">
        <f>IF(ifood_data[[#This Row],[education_Basic]]=1,"High School",(IF(ifood_data[[#This Row],[education_Graduation]]=1,"Undergraduate Degree",(IF(SUM(AM328,AL328,AI328)&gt;0,"Master's Degree or Higher","Other")))))</f>
        <v>Master's Degree or Higher</v>
      </c>
      <c r="AV328" t="str">
        <f>IF(ifood_data[[#All],[Income]]&gt;75000,"75K+",(IF(ifood_data[[#All],[Income]]&gt;50000,"50K-75K",(IF(ifood_data[[#All],[Income]]&gt;35000,"35K-50K","&lt;35K")))))</f>
        <v>50K-75K</v>
      </c>
      <c r="AW328" t="str">
        <f>IF(ifood_data[[#All],[Age]]&gt;60,"60+",(IF(ifood_data[[#All],[Age]]&gt;50,"50-60",(IF(ifood_data[[#All],[Age]]&gt;40,"40-50",(IF(ifood_data[[#All],[Age]]&gt;30,"30-40","&lt;30")))))))</f>
        <v>50-60</v>
      </c>
      <c r="AX328">
        <f t="shared" si="20"/>
        <v>23</v>
      </c>
      <c r="AY328">
        <f t="shared" si="21"/>
        <v>6</v>
      </c>
      <c r="AZ328">
        <f t="shared" si="22"/>
        <v>6</v>
      </c>
      <c r="BA328">
        <f t="shared" si="23"/>
        <v>8</v>
      </c>
      <c r="BB328">
        <f>SUM(ifood_data[[#This Row],[Recency Score]:[Monetary Score]])</f>
        <v>20</v>
      </c>
      <c r="BC328">
        <f>(_xlfn.PERCENTRANK.INC(ifood_data[[#All],[RFM]],ifood_data[[#This Row],[RFM]],1))*10</f>
        <v>7</v>
      </c>
      <c r="BD328" t="str">
        <f>VLOOKUP(ifood_data[[#This Row],[RFM Score]],'RFM Analysis'!$A$3:$B$14,2,FALSE)</f>
        <v>Loyal Customer</v>
      </c>
      <c r="BE328">
        <f>'Regression Models'!$B$101+'Regression Models'!$B$102*ifood_data[[#This Row],[Income]]+'Regression Models'!$B$103*ifood_data[[#This Row],[Age]]+'Regression Models'!$B$104*ifood_data[[#This Row],[Family]]</f>
        <v>1157.233586224233</v>
      </c>
      <c r="BF328" t="str">
        <f>IF(ifood_data[[#This Row],[AcceptedCmpOverall]]=1,"Campaign Respondent","Non-respondent")</f>
        <v>Campaign Respondent</v>
      </c>
    </row>
    <row r="329" spans="1:58" x14ac:dyDescent="0.35">
      <c r="A329">
        <v>596</v>
      </c>
      <c r="B329">
        <v>84196</v>
      </c>
      <c r="C329">
        <v>0</v>
      </c>
      <c r="D329">
        <v>1</v>
      </c>
      <c r="E329">
        <v>56</v>
      </c>
      <c r="F329">
        <v>215</v>
      </c>
      <c r="G329">
        <v>63</v>
      </c>
      <c r="H329">
        <v>507</v>
      </c>
      <c r="I329">
        <v>231</v>
      </c>
      <c r="J329">
        <v>31</v>
      </c>
      <c r="K329">
        <v>190</v>
      </c>
      <c r="L329">
        <v>1</v>
      </c>
      <c r="M329">
        <v>8</v>
      </c>
      <c r="N329">
        <v>4</v>
      </c>
      <c r="O329">
        <v>7</v>
      </c>
      <c r="P329">
        <v>3</v>
      </c>
      <c r="Q329">
        <v>0</v>
      </c>
      <c r="R329">
        <v>0</v>
      </c>
      <c r="S329">
        <v>0</v>
      </c>
      <c r="T329">
        <v>0</v>
      </c>
      <c r="U329">
        <v>0</v>
      </c>
      <c r="V329">
        <f>IF(SUM(ifood_data[[#This Row],[AcceptedCmp1]:[AcceptedCmp5]])&gt;0,1,0)</f>
        <v>0</v>
      </c>
      <c r="W329">
        <v>0</v>
      </c>
      <c r="X329">
        <v>3</v>
      </c>
      <c r="Y329">
        <v>11</v>
      </c>
      <c r="Z329">
        <v>0</v>
      </c>
      <c r="AA329">
        <v>45</v>
      </c>
      <c r="AB329">
        <v>2550</v>
      </c>
      <c r="AC329" s="28">
        <f>ifood_data[[#This Row],[Customer_Days]]/365</f>
        <v>6.9863013698630141</v>
      </c>
      <c r="AD329">
        <v>0</v>
      </c>
      <c r="AE329">
        <v>0</v>
      </c>
      <c r="AF329">
        <v>1</v>
      </c>
      <c r="AG329">
        <v>0</v>
      </c>
      <c r="AH329">
        <v>0</v>
      </c>
      <c r="AI329">
        <v>0</v>
      </c>
      <c r="AJ329">
        <v>0</v>
      </c>
      <c r="AK329">
        <v>1</v>
      </c>
      <c r="AL329">
        <v>0</v>
      </c>
      <c r="AM329">
        <v>0</v>
      </c>
      <c r="AN329">
        <v>1047</v>
      </c>
      <c r="AO329">
        <v>857</v>
      </c>
      <c r="AP329">
        <f>ifood_data[[#This Row],[MntTotal]]-ifood_data[[#This Row],[MntRegularProds]]</f>
        <v>190</v>
      </c>
      <c r="AQ329">
        <v>0</v>
      </c>
      <c r="AR329">
        <f>IF(SUM(ifood_data[[#This Row],[Kidhome]:[Teenhome]])&gt;0,1,0)</f>
        <v>1</v>
      </c>
      <c r="AS329" t="str">
        <f>IF(SUM(ifood_data[[#This Row],[Kidhome]:[Teenhome]])&gt;0,"Has Family","No Family")</f>
        <v>Has Family</v>
      </c>
      <c r="AT329" t="str">
        <f>IF(ifood_data[[#This Row],[marital_Married]]=1,"Married", (IF(ifood_data[[#This Row],[marital_Single]]=1,"Single",(IF(ifood_data[[#This Row],[marital_Divorced]]=1,"Divorced",(IF(ifood_data[[#This Row],[marital_Together]]=1,"Living Together",(IF(ifood_data[[#This Row],[marital_Widow]]=1,"Widow","Other")))))))))</f>
        <v>Single</v>
      </c>
      <c r="AU329" t="str">
        <f>IF(ifood_data[[#This Row],[education_Basic]]=1,"High School",(IF(ifood_data[[#This Row],[education_Graduation]]=1,"Undergraduate Degree",(IF(SUM(AM329,AL329,AI329)&gt;0,"Master's Degree or Higher","Other")))))</f>
        <v>Undergraduate Degree</v>
      </c>
      <c r="AV329" t="str">
        <f>IF(ifood_data[[#All],[Income]]&gt;75000,"75K+",(IF(ifood_data[[#All],[Income]]&gt;50000,"50K-75K",(IF(ifood_data[[#All],[Income]]&gt;35000,"35K-50K","&lt;35K")))))</f>
        <v>75K+</v>
      </c>
      <c r="AW329" t="str">
        <f>IF(ifood_data[[#All],[Age]]&gt;60,"60+",(IF(ifood_data[[#All],[Age]]&gt;50,"50-60",(IF(ifood_data[[#All],[Age]]&gt;40,"40-50",(IF(ifood_data[[#All],[Age]]&gt;30,"30-40","&lt;30")))))))</f>
        <v>40-50</v>
      </c>
      <c r="AX329">
        <f t="shared" si="20"/>
        <v>23</v>
      </c>
      <c r="AY329">
        <f t="shared" si="21"/>
        <v>5</v>
      </c>
      <c r="AZ329">
        <f t="shared" si="22"/>
        <v>6</v>
      </c>
      <c r="BA329">
        <f t="shared" si="23"/>
        <v>7</v>
      </c>
      <c r="BB329">
        <f>SUM(ifood_data[[#This Row],[Recency Score]:[Monetary Score]])</f>
        <v>18</v>
      </c>
      <c r="BC329">
        <f>(_xlfn.PERCENTRANK.INC(ifood_data[[#All],[RFM]],ifood_data[[#This Row],[RFM]],1))*10</f>
        <v>6</v>
      </c>
      <c r="BD329" t="str">
        <f>VLOOKUP(ifood_data[[#This Row],[RFM Score]],'RFM Analysis'!$A$3:$B$14,2,FALSE)</f>
        <v>Promising</v>
      </c>
      <c r="BE329">
        <f>'Regression Models'!$B$101+'Regression Models'!$B$102*ifood_data[[#This Row],[Income]]+'Regression Models'!$B$103*ifood_data[[#This Row],[Age]]+'Regression Models'!$B$104*ifood_data[[#This Row],[Family]]</f>
        <v>1156.5840767459863</v>
      </c>
      <c r="BF329" t="str">
        <f>IF(ifood_data[[#This Row],[AcceptedCmpOverall]]=1,"Campaign Respondent","Non-respondent")</f>
        <v>Non-respondent</v>
      </c>
    </row>
    <row r="330" spans="1:58" x14ac:dyDescent="0.35">
      <c r="A330">
        <v>592</v>
      </c>
      <c r="B330">
        <v>72298</v>
      </c>
      <c r="C330">
        <v>0</v>
      </c>
      <c r="D330">
        <v>0</v>
      </c>
      <c r="E330">
        <v>52</v>
      </c>
      <c r="F330">
        <v>625</v>
      </c>
      <c r="G330">
        <v>35</v>
      </c>
      <c r="H330">
        <v>169</v>
      </c>
      <c r="I330">
        <v>58</v>
      </c>
      <c r="J330">
        <v>17</v>
      </c>
      <c r="K330">
        <v>35</v>
      </c>
      <c r="L330">
        <v>1</v>
      </c>
      <c r="M330">
        <v>4</v>
      </c>
      <c r="N330">
        <v>3</v>
      </c>
      <c r="O330">
        <v>6</v>
      </c>
      <c r="P330">
        <v>1</v>
      </c>
      <c r="Q330">
        <v>0</v>
      </c>
      <c r="R330">
        <v>0</v>
      </c>
      <c r="S330">
        <v>0</v>
      </c>
      <c r="T330">
        <v>1</v>
      </c>
      <c r="U330">
        <v>1</v>
      </c>
      <c r="V330">
        <f>IF(SUM(ifood_data[[#This Row],[AcceptedCmp1]:[AcceptedCmp5]])&gt;0,1,0)</f>
        <v>1</v>
      </c>
      <c r="W330">
        <v>0</v>
      </c>
      <c r="X330">
        <v>3</v>
      </c>
      <c r="Y330">
        <v>11</v>
      </c>
      <c r="Z330">
        <v>0</v>
      </c>
      <c r="AA330">
        <v>71</v>
      </c>
      <c r="AB330">
        <v>2270</v>
      </c>
      <c r="AC330" s="28">
        <f>ifood_data[[#This Row],[Customer_Days]]/365</f>
        <v>6.2191780821917808</v>
      </c>
      <c r="AD330">
        <v>0</v>
      </c>
      <c r="AE330">
        <v>0</v>
      </c>
      <c r="AF330">
        <v>0</v>
      </c>
      <c r="AG330">
        <v>0</v>
      </c>
      <c r="AH330">
        <v>1</v>
      </c>
      <c r="AI330">
        <v>0</v>
      </c>
      <c r="AJ330">
        <v>0</v>
      </c>
      <c r="AK330">
        <v>1</v>
      </c>
      <c r="AL330">
        <v>0</v>
      </c>
      <c r="AM330">
        <v>0</v>
      </c>
      <c r="AN330">
        <v>904</v>
      </c>
      <c r="AO330">
        <v>869</v>
      </c>
      <c r="AP330">
        <f>ifood_data[[#This Row],[MntTotal]]-ifood_data[[#This Row],[MntRegularProds]]</f>
        <v>35</v>
      </c>
      <c r="AQ330">
        <v>2</v>
      </c>
      <c r="AR330">
        <f>IF(SUM(ifood_data[[#This Row],[Kidhome]:[Teenhome]])&gt;0,1,0)</f>
        <v>0</v>
      </c>
      <c r="AS330" t="str">
        <f>IF(SUM(ifood_data[[#This Row],[Kidhome]:[Teenhome]])&gt;0,"Has Family","No Family")</f>
        <v>No Family</v>
      </c>
      <c r="AT330" t="str">
        <f>IF(ifood_data[[#This Row],[marital_Married]]=1,"Married", (IF(ifood_data[[#This Row],[marital_Single]]=1,"Single",(IF(ifood_data[[#This Row],[marital_Divorced]]=1,"Divorced",(IF(ifood_data[[#This Row],[marital_Together]]=1,"Living Together",(IF(ifood_data[[#This Row],[marital_Widow]]=1,"Widow","Other")))))))))</f>
        <v>Widow</v>
      </c>
      <c r="AU330" t="str">
        <f>IF(ifood_data[[#This Row],[education_Basic]]=1,"High School",(IF(ifood_data[[#This Row],[education_Graduation]]=1,"Undergraduate Degree",(IF(SUM(AM330,AL330,AI330)&gt;0,"Master's Degree or Higher","Other")))))</f>
        <v>Undergraduate Degree</v>
      </c>
      <c r="AV330" t="str">
        <f>IF(ifood_data[[#All],[Income]]&gt;75000,"75K+",(IF(ifood_data[[#All],[Income]]&gt;50000,"50K-75K",(IF(ifood_data[[#All],[Income]]&gt;35000,"35K-50K","&lt;35K")))))</f>
        <v>50K-75K</v>
      </c>
      <c r="AW330" t="str">
        <f>IF(ifood_data[[#All],[Age]]&gt;60,"60+",(IF(ifood_data[[#All],[Age]]&gt;50,"50-60",(IF(ifood_data[[#All],[Age]]&gt;40,"40-50",(IF(ifood_data[[#All],[Age]]&gt;30,"30-40","&lt;30")))))))</f>
        <v>60+</v>
      </c>
      <c r="AX330">
        <f t="shared" si="20"/>
        <v>15</v>
      </c>
      <c r="AY330">
        <f t="shared" si="21"/>
        <v>5</v>
      </c>
      <c r="AZ330">
        <f t="shared" si="22"/>
        <v>2</v>
      </c>
      <c r="BA330">
        <f t="shared" si="23"/>
        <v>7</v>
      </c>
      <c r="BB330">
        <f>SUM(ifood_data[[#This Row],[Recency Score]:[Monetary Score]])</f>
        <v>14</v>
      </c>
      <c r="BC330">
        <f>(_xlfn.PERCENTRANK.INC(ifood_data[[#All],[RFM]],ifood_data[[#This Row],[RFM]],1))*10</f>
        <v>4</v>
      </c>
      <c r="BD330" t="str">
        <f>VLOOKUP(ifood_data[[#This Row],[RFM Score]],'RFM Analysis'!$A$3:$B$14,2,FALSE)</f>
        <v>At Risk</v>
      </c>
      <c r="BE330">
        <f>'Regression Models'!$B$101+'Regression Models'!$B$102*ifood_data[[#This Row],[Income]]+'Regression Models'!$B$103*ifood_data[[#This Row],[Age]]+'Regression Models'!$B$104*ifood_data[[#This Row],[Family]]</f>
        <v>1155.8647283916414</v>
      </c>
      <c r="BF330" t="str">
        <f>IF(ifood_data[[#This Row],[AcceptedCmpOverall]]=1,"Campaign Respondent","Non-respondent")</f>
        <v>Campaign Respondent</v>
      </c>
    </row>
    <row r="331" spans="1:58" x14ac:dyDescent="0.35">
      <c r="A331">
        <v>492</v>
      </c>
      <c r="B331">
        <v>71367</v>
      </c>
      <c r="C331">
        <v>0</v>
      </c>
      <c r="D331">
        <v>0</v>
      </c>
      <c r="E331">
        <v>24</v>
      </c>
      <c r="F331">
        <v>227</v>
      </c>
      <c r="G331">
        <v>23</v>
      </c>
      <c r="H331">
        <v>389</v>
      </c>
      <c r="I331">
        <v>42</v>
      </c>
      <c r="J331">
        <v>21</v>
      </c>
      <c r="K331">
        <v>75</v>
      </c>
      <c r="L331">
        <v>1</v>
      </c>
      <c r="M331">
        <v>4</v>
      </c>
      <c r="N331">
        <v>5</v>
      </c>
      <c r="O331">
        <v>7</v>
      </c>
      <c r="P331">
        <v>2</v>
      </c>
      <c r="Q331">
        <v>0</v>
      </c>
      <c r="R331">
        <v>0</v>
      </c>
      <c r="S331">
        <v>0</v>
      </c>
      <c r="T331">
        <v>0</v>
      </c>
      <c r="U331">
        <v>0</v>
      </c>
      <c r="V331">
        <f>IF(SUM(ifood_data[[#This Row],[AcceptedCmp1]:[AcceptedCmp5]])&gt;0,1,0)</f>
        <v>0</v>
      </c>
      <c r="W331">
        <v>0</v>
      </c>
      <c r="X331">
        <v>3</v>
      </c>
      <c r="Y331">
        <v>11</v>
      </c>
      <c r="Z331">
        <v>0</v>
      </c>
      <c r="AA331">
        <v>61</v>
      </c>
      <c r="AB331">
        <v>2469</v>
      </c>
      <c r="AC331" s="28">
        <f>ifood_data[[#This Row],[Customer_Days]]/365</f>
        <v>6.7643835616438359</v>
      </c>
      <c r="AD331">
        <v>0</v>
      </c>
      <c r="AE331">
        <v>0</v>
      </c>
      <c r="AF331">
        <v>0</v>
      </c>
      <c r="AG331">
        <v>1</v>
      </c>
      <c r="AH331">
        <v>0</v>
      </c>
      <c r="AI331">
        <v>0</v>
      </c>
      <c r="AJ331">
        <v>0</v>
      </c>
      <c r="AK331">
        <v>1</v>
      </c>
      <c r="AL331">
        <v>0</v>
      </c>
      <c r="AM331">
        <v>0</v>
      </c>
      <c r="AN331">
        <v>702</v>
      </c>
      <c r="AO331">
        <v>627</v>
      </c>
      <c r="AP331">
        <f>ifood_data[[#This Row],[MntTotal]]-ifood_data[[#This Row],[MntRegularProds]]</f>
        <v>75</v>
      </c>
      <c r="AQ331">
        <v>0</v>
      </c>
      <c r="AR331">
        <f>IF(SUM(ifood_data[[#This Row],[Kidhome]:[Teenhome]])&gt;0,1,0)</f>
        <v>0</v>
      </c>
      <c r="AS331" t="str">
        <f>IF(SUM(ifood_data[[#This Row],[Kidhome]:[Teenhome]])&gt;0,"Has Family","No Family")</f>
        <v>No Family</v>
      </c>
      <c r="AT331" t="str">
        <f>IF(ifood_data[[#This Row],[marital_Married]]=1,"Married", (IF(ifood_data[[#This Row],[marital_Single]]=1,"Single",(IF(ifood_data[[#This Row],[marital_Divorced]]=1,"Divorced",(IF(ifood_data[[#This Row],[marital_Together]]=1,"Living Together",(IF(ifood_data[[#This Row],[marital_Widow]]=1,"Widow","Other")))))))))</f>
        <v>Living Together</v>
      </c>
      <c r="AU331" t="str">
        <f>IF(ifood_data[[#This Row],[education_Basic]]=1,"High School",(IF(ifood_data[[#This Row],[education_Graduation]]=1,"Undergraduate Degree",(IF(SUM(AM331,AL331,AI331)&gt;0,"Master's Degree or Higher","Other")))))</f>
        <v>Undergraduate Degree</v>
      </c>
      <c r="AV331" t="str">
        <f>IF(ifood_data[[#All],[Income]]&gt;75000,"75K+",(IF(ifood_data[[#All],[Income]]&gt;50000,"50K-75K",(IF(ifood_data[[#All],[Income]]&gt;35000,"35K-50K","&lt;35K")))))</f>
        <v>50K-75K</v>
      </c>
      <c r="AW331" t="str">
        <f>IF(ifood_data[[#All],[Age]]&gt;60,"60+",(IF(ifood_data[[#All],[Age]]&gt;50,"50-60",(IF(ifood_data[[#All],[Age]]&gt;40,"40-50",(IF(ifood_data[[#All],[Age]]&gt;30,"30-40","&lt;30")))))))</f>
        <v>60+</v>
      </c>
      <c r="AX331">
        <f t="shared" si="20"/>
        <v>19</v>
      </c>
      <c r="AY331">
        <f t="shared" si="21"/>
        <v>8</v>
      </c>
      <c r="AZ331">
        <f t="shared" si="22"/>
        <v>4</v>
      </c>
      <c r="BA331">
        <f t="shared" si="23"/>
        <v>6</v>
      </c>
      <c r="BB331">
        <f>SUM(ifood_data[[#This Row],[Recency Score]:[Monetary Score]])</f>
        <v>18</v>
      </c>
      <c r="BC331">
        <f>(_xlfn.PERCENTRANK.INC(ifood_data[[#All],[RFM]],ifood_data[[#This Row],[RFM]],1))*10</f>
        <v>6</v>
      </c>
      <c r="BD331" t="str">
        <f>VLOOKUP(ifood_data[[#This Row],[RFM Score]],'RFM Analysis'!$A$3:$B$14,2,FALSE)</f>
        <v>Promising</v>
      </c>
      <c r="BE331">
        <f>'Regression Models'!$B$101+'Regression Models'!$B$102*ifood_data[[#This Row],[Income]]+'Regression Models'!$B$103*ifood_data[[#This Row],[Age]]+'Regression Models'!$B$104*ifood_data[[#This Row],[Family]]</f>
        <v>1155.2471760386145</v>
      </c>
      <c r="BF331" t="str">
        <f>IF(ifood_data[[#This Row],[AcceptedCmpOverall]]=1,"Campaign Respondent","Non-respondent")</f>
        <v>Non-respondent</v>
      </c>
    </row>
    <row r="332" spans="1:58" x14ac:dyDescent="0.35">
      <c r="A332">
        <v>1699</v>
      </c>
      <c r="B332">
        <v>70116</v>
      </c>
      <c r="C332">
        <v>0</v>
      </c>
      <c r="D332">
        <v>0</v>
      </c>
      <c r="E332">
        <v>73</v>
      </c>
      <c r="F332">
        <v>707</v>
      </c>
      <c r="G332">
        <v>44</v>
      </c>
      <c r="H332">
        <v>603</v>
      </c>
      <c r="I332">
        <v>95</v>
      </c>
      <c r="J332">
        <v>58</v>
      </c>
      <c r="K332">
        <v>29</v>
      </c>
      <c r="L332">
        <v>1</v>
      </c>
      <c r="M332">
        <v>2</v>
      </c>
      <c r="N332">
        <v>8</v>
      </c>
      <c r="O332">
        <v>12</v>
      </c>
      <c r="P332">
        <v>1</v>
      </c>
      <c r="Q332">
        <v>0</v>
      </c>
      <c r="R332">
        <v>0</v>
      </c>
      <c r="S332">
        <v>0</v>
      </c>
      <c r="T332">
        <v>0</v>
      </c>
      <c r="U332">
        <v>0</v>
      </c>
      <c r="V332">
        <f>IF(SUM(ifood_data[[#This Row],[AcceptedCmp1]:[AcceptedCmp5]])&gt;0,1,0)</f>
        <v>0</v>
      </c>
      <c r="W332">
        <v>0</v>
      </c>
      <c r="X332">
        <v>3</v>
      </c>
      <c r="Y332">
        <v>11</v>
      </c>
      <c r="Z332">
        <v>0</v>
      </c>
      <c r="AA332">
        <v>48</v>
      </c>
      <c r="AB332">
        <v>2678</v>
      </c>
      <c r="AC332" s="28">
        <f>ifood_data[[#This Row],[Customer_Days]]/365</f>
        <v>7.3369863013698629</v>
      </c>
      <c r="AD332">
        <v>0</v>
      </c>
      <c r="AE332">
        <v>1</v>
      </c>
      <c r="AF332">
        <v>0</v>
      </c>
      <c r="AG332">
        <v>0</v>
      </c>
      <c r="AH332">
        <v>0</v>
      </c>
      <c r="AI332">
        <v>0</v>
      </c>
      <c r="AJ332">
        <v>0</v>
      </c>
      <c r="AK332">
        <v>0</v>
      </c>
      <c r="AL332">
        <v>0</v>
      </c>
      <c r="AM332">
        <v>1</v>
      </c>
      <c r="AN332">
        <v>1507</v>
      </c>
      <c r="AO332">
        <v>1478</v>
      </c>
      <c r="AP332">
        <f>ifood_data[[#This Row],[MntTotal]]-ifood_data[[#This Row],[MntRegularProds]]</f>
        <v>29</v>
      </c>
      <c r="AQ332">
        <v>0</v>
      </c>
      <c r="AR332">
        <f>IF(SUM(ifood_data[[#This Row],[Kidhome]:[Teenhome]])&gt;0,1,0)</f>
        <v>0</v>
      </c>
      <c r="AS332" t="str">
        <f>IF(SUM(ifood_data[[#This Row],[Kidhome]:[Teenhome]])&gt;0,"Has Family","No Family")</f>
        <v>No Family</v>
      </c>
      <c r="AT332" t="str">
        <f>IF(ifood_data[[#This Row],[marital_Married]]=1,"Married", (IF(ifood_data[[#This Row],[marital_Single]]=1,"Single",(IF(ifood_data[[#This Row],[marital_Divorced]]=1,"Divorced",(IF(ifood_data[[#This Row],[marital_Together]]=1,"Living Together",(IF(ifood_data[[#This Row],[marital_Widow]]=1,"Widow","Other")))))))))</f>
        <v>Married</v>
      </c>
      <c r="AU332" t="str">
        <f>IF(ifood_data[[#This Row],[education_Basic]]=1,"High School",(IF(ifood_data[[#This Row],[education_Graduation]]=1,"Undergraduate Degree",(IF(SUM(AM332,AL332,AI332)&gt;0,"Master's Degree or Higher","Other")))))</f>
        <v>Master's Degree or Higher</v>
      </c>
      <c r="AV332" t="str">
        <f>IF(ifood_data[[#All],[Income]]&gt;75000,"75K+",(IF(ifood_data[[#All],[Income]]&gt;50000,"50K-75K",(IF(ifood_data[[#All],[Income]]&gt;35000,"35K-50K","&lt;35K")))))</f>
        <v>50K-75K</v>
      </c>
      <c r="AW332" t="str">
        <f>IF(ifood_data[[#All],[Age]]&gt;60,"60+",(IF(ifood_data[[#All],[Age]]&gt;50,"50-60",(IF(ifood_data[[#All],[Age]]&gt;40,"40-50",(IF(ifood_data[[#All],[Age]]&gt;30,"30-40","&lt;30")))))))</f>
        <v>40-50</v>
      </c>
      <c r="AX332">
        <f t="shared" si="20"/>
        <v>24</v>
      </c>
      <c r="AY332">
        <f t="shared" si="21"/>
        <v>3.0000000000000004</v>
      </c>
      <c r="AZ332">
        <f t="shared" si="22"/>
        <v>6</v>
      </c>
      <c r="BA332">
        <f t="shared" si="23"/>
        <v>9</v>
      </c>
      <c r="BB332">
        <f>SUM(ifood_data[[#This Row],[Recency Score]:[Monetary Score]])</f>
        <v>18</v>
      </c>
      <c r="BC332">
        <f>(_xlfn.PERCENTRANK.INC(ifood_data[[#All],[RFM]],ifood_data[[#This Row],[RFM]],1))*10</f>
        <v>6</v>
      </c>
      <c r="BD332" t="str">
        <f>VLOOKUP(ifood_data[[#This Row],[RFM Score]],'RFM Analysis'!$A$3:$B$14,2,FALSE)</f>
        <v>Promising</v>
      </c>
      <c r="BE332">
        <f>'Regression Models'!$B$101+'Regression Models'!$B$102*ifood_data[[#This Row],[Income]]+'Regression Models'!$B$103*ifood_data[[#This Row],[Age]]+'Regression Models'!$B$104*ifood_data[[#This Row],[Family]]</f>
        <v>1153.6145351162227</v>
      </c>
      <c r="BF332" t="str">
        <f>IF(ifood_data[[#This Row],[AcceptedCmpOverall]]=1,"Campaign Respondent","Non-respondent")</f>
        <v>Non-respondent</v>
      </c>
    </row>
    <row r="333" spans="1:58" x14ac:dyDescent="0.35">
      <c r="A333">
        <v>320</v>
      </c>
      <c r="B333">
        <v>68655</v>
      </c>
      <c r="C333">
        <v>0</v>
      </c>
      <c r="D333">
        <v>0</v>
      </c>
      <c r="E333">
        <v>95</v>
      </c>
      <c r="F333">
        <v>456</v>
      </c>
      <c r="G333">
        <v>19</v>
      </c>
      <c r="H333">
        <v>832</v>
      </c>
      <c r="I333">
        <v>75</v>
      </c>
      <c r="J333">
        <v>118</v>
      </c>
      <c r="K333">
        <v>38</v>
      </c>
      <c r="L333">
        <v>1</v>
      </c>
      <c r="M333">
        <v>4</v>
      </c>
      <c r="N333">
        <v>5</v>
      </c>
      <c r="O333">
        <v>11</v>
      </c>
      <c r="P333">
        <v>3</v>
      </c>
      <c r="Q333">
        <v>0</v>
      </c>
      <c r="R333">
        <v>0</v>
      </c>
      <c r="S333">
        <v>0</v>
      </c>
      <c r="T333">
        <v>0</v>
      </c>
      <c r="U333">
        <v>0</v>
      </c>
      <c r="V333">
        <f>IF(SUM(ifood_data[[#This Row],[AcceptedCmp1]:[AcceptedCmp5]])&gt;0,1,0)</f>
        <v>0</v>
      </c>
      <c r="W333">
        <v>0</v>
      </c>
      <c r="X333">
        <v>3</v>
      </c>
      <c r="Y333">
        <v>11</v>
      </c>
      <c r="Z333">
        <v>0</v>
      </c>
      <c r="AA333">
        <v>32</v>
      </c>
      <c r="AB333">
        <v>2847</v>
      </c>
      <c r="AC333" s="28">
        <f>ifood_data[[#This Row],[Customer_Days]]/365</f>
        <v>7.8</v>
      </c>
      <c r="AD333">
        <v>0</v>
      </c>
      <c r="AE333">
        <v>0</v>
      </c>
      <c r="AF333">
        <v>1</v>
      </c>
      <c r="AG333">
        <v>0</v>
      </c>
      <c r="AH333">
        <v>0</v>
      </c>
      <c r="AI333">
        <v>0</v>
      </c>
      <c r="AJ333">
        <v>0</v>
      </c>
      <c r="AK333">
        <v>1</v>
      </c>
      <c r="AL333">
        <v>0</v>
      </c>
      <c r="AM333">
        <v>0</v>
      </c>
      <c r="AN333">
        <v>1500</v>
      </c>
      <c r="AO333">
        <v>1462</v>
      </c>
      <c r="AP333">
        <f>ifood_data[[#This Row],[MntTotal]]-ifood_data[[#This Row],[MntRegularProds]]</f>
        <v>38</v>
      </c>
      <c r="AQ333">
        <v>0</v>
      </c>
      <c r="AR333">
        <f>IF(SUM(ifood_data[[#This Row],[Kidhome]:[Teenhome]])&gt;0,1,0)</f>
        <v>0</v>
      </c>
      <c r="AS333" t="str">
        <f>IF(SUM(ifood_data[[#This Row],[Kidhome]:[Teenhome]])&gt;0,"Has Family","No Family")</f>
        <v>No Family</v>
      </c>
      <c r="AT333" t="str">
        <f>IF(ifood_data[[#This Row],[marital_Married]]=1,"Married", (IF(ifood_data[[#This Row],[marital_Single]]=1,"Single",(IF(ifood_data[[#This Row],[marital_Divorced]]=1,"Divorced",(IF(ifood_data[[#This Row],[marital_Together]]=1,"Living Together",(IF(ifood_data[[#This Row],[marital_Widow]]=1,"Widow","Other")))))))))</f>
        <v>Single</v>
      </c>
      <c r="AU333" t="str">
        <f>IF(ifood_data[[#This Row],[education_Basic]]=1,"High School",(IF(ifood_data[[#This Row],[education_Graduation]]=1,"Undergraduate Degree",(IF(SUM(AM333,AL333,AI333)&gt;0,"Master's Degree or Higher","Other")))))</f>
        <v>Undergraduate Degree</v>
      </c>
      <c r="AV333" t="str">
        <f>IF(ifood_data[[#All],[Income]]&gt;75000,"75K+",(IF(ifood_data[[#All],[Income]]&gt;50000,"50K-75K",(IF(ifood_data[[#All],[Income]]&gt;35000,"35K-50K","&lt;35K")))))</f>
        <v>50K-75K</v>
      </c>
      <c r="AW333" t="str">
        <f>IF(ifood_data[[#All],[Age]]&gt;60,"60+",(IF(ifood_data[[#All],[Age]]&gt;50,"50-60",(IF(ifood_data[[#All],[Age]]&gt;40,"40-50",(IF(ifood_data[[#All],[Age]]&gt;30,"30-40","&lt;30")))))))</f>
        <v>30-40</v>
      </c>
      <c r="AX333">
        <f t="shared" si="20"/>
        <v>24</v>
      </c>
      <c r="AY333">
        <f t="shared" si="21"/>
        <v>0.99999999999999978</v>
      </c>
      <c r="AZ333">
        <f t="shared" si="22"/>
        <v>6</v>
      </c>
      <c r="BA333">
        <f t="shared" si="23"/>
        <v>9</v>
      </c>
      <c r="BB333">
        <f>SUM(ifood_data[[#This Row],[Recency Score]:[Monetary Score]])</f>
        <v>16</v>
      </c>
      <c r="BC333">
        <f>(_xlfn.PERCENTRANK.INC(ifood_data[[#All],[RFM]],ifood_data[[#This Row],[RFM]],1))*10</f>
        <v>5</v>
      </c>
      <c r="BD333" t="str">
        <f>VLOOKUP(ifood_data[[#This Row],[RFM Score]],'RFM Analysis'!$A$3:$B$14,2,FALSE)</f>
        <v>Promising</v>
      </c>
      <c r="BE333">
        <f>'Regression Models'!$B$101+'Regression Models'!$B$102*ifood_data[[#This Row],[Income]]+'Regression Models'!$B$103*ifood_data[[#This Row],[Age]]+'Regression Models'!$B$104*ifood_data[[#This Row],[Family]]</f>
        <v>1153.2095701202948</v>
      </c>
      <c r="BF333" t="str">
        <f>IF(ifood_data[[#This Row],[AcceptedCmpOverall]]=1,"Campaign Respondent","Non-respondent")</f>
        <v>Non-respondent</v>
      </c>
    </row>
    <row r="334" spans="1:58" x14ac:dyDescent="0.35">
      <c r="A334">
        <v>875</v>
      </c>
      <c r="B334">
        <v>83033</v>
      </c>
      <c r="C334">
        <v>1</v>
      </c>
      <c r="D334">
        <v>0</v>
      </c>
      <c r="E334">
        <v>82</v>
      </c>
      <c r="F334">
        <v>812</v>
      </c>
      <c r="G334">
        <v>99</v>
      </c>
      <c r="H334">
        <v>431</v>
      </c>
      <c r="I334">
        <v>237</v>
      </c>
      <c r="J334">
        <v>149</v>
      </c>
      <c r="K334">
        <v>33</v>
      </c>
      <c r="L334">
        <v>1</v>
      </c>
      <c r="M334">
        <v>11</v>
      </c>
      <c r="N334">
        <v>4</v>
      </c>
      <c r="O334">
        <v>10</v>
      </c>
      <c r="P334">
        <v>5</v>
      </c>
      <c r="Q334">
        <v>1</v>
      </c>
      <c r="R334">
        <v>0</v>
      </c>
      <c r="S334">
        <v>0</v>
      </c>
      <c r="T334">
        <v>0</v>
      </c>
      <c r="U334">
        <v>0</v>
      </c>
      <c r="V334">
        <f>IF(SUM(ifood_data[[#This Row],[AcceptedCmp1]:[AcceptedCmp5]])&gt;0,1,0)</f>
        <v>1</v>
      </c>
      <c r="W334">
        <v>0</v>
      </c>
      <c r="X334">
        <v>3</v>
      </c>
      <c r="Y334">
        <v>11</v>
      </c>
      <c r="Z334">
        <v>0</v>
      </c>
      <c r="AA334">
        <v>34</v>
      </c>
      <c r="AB334">
        <v>2201</v>
      </c>
      <c r="AC334" s="28">
        <f>ifood_data[[#This Row],[Customer_Days]]/365</f>
        <v>6.0301369863013701</v>
      </c>
      <c r="AD334">
        <v>0</v>
      </c>
      <c r="AE334">
        <v>0</v>
      </c>
      <c r="AF334">
        <v>0</v>
      </c>
      <c r="AG334">
        <v>1</v>
      </c>
      <c r="AH334">
        <v>0</v>
      </c>
      <c r="AI334">
        <v>0</v>
      </c>
      <c r="AJ334">
        <v>0</v>
      </c>
      <c r="AK334">
        <v>1</v>
      </c>
      <c r="AL334">
        <v>0</v>
      </c>
      <c r="AM334">
        <v>0</v>
      </c>
      <c r="AN334">
        <v>1728</v>
      </c>
      <c r="AO334">
        <v>1695</v>
      </c>
      <c r="AP334">
        <f>ifood_data[[#This Row],[MntTotal]]-ifood_data[[#This Row],[MntRegularProds]]</f>
        <v>33</v>
      </c>
      <c r="AQ334">
        <v>1</v>
      </c>
      <c r="AR334">
        <f>IF(SUM(ifood_data[[#This Row],[Kidhome]:[Teenhome]])&gt;0,1,0)</f>
        <v>1</v>
      </c>
      <c r="AS334" t="str">
        <f>IF(SUM(ifood_data[[#This Row],[Kidhome]:[Teenhome]])&gt;0,"Has Family","No Family")</f>
        <v>Has Family</v>
      </c>
      <c r="AT334" t="str">
        <f>IF(ifood_data[[#This Row],[marital_Married]]=1,"Married", (IF(ifood_data[[#This Row],[marital_Single]]=1,"Single",(IF(ifood_data[[#This Row],[marital_Divorced]]=1,"Divorced",(IF(ifood_data[[#This Row],[marital_Together]]=1,"Living Together",(IF(ifood_data[[#This Row],[marital_Widow]]=1,"Widow","Other")))))))))</f>
        <v>Living Together</v>
      </c>
      <c r="AU334" t="str">
        <f>IF(ifood_data[[#This Row],[education_Basic]]=1,"High School",(IF(ifood_data[[#This Row],[education_Graduation]]=1,"Undergraduate Degree",(IF(SUM(AM334,AL334,AI334)&gt;0,"Master's Degree or Higher","Other")))))</f>
        <v>Undergraduate Degree</v>
      </c>
      <c r="AV334" t="str">
        <f>IF(ifood_data[[#All],[Income]]&gt;75000,"75K+",(IF(ifood_data[[#All],[Income]]&gt;50000,"50K-75K",(IF(ifood_data[[#All],[Income]]&gt;35000,"35K-50K","&lt;35K")))))</f>
        <v>75K+</v>
      </c>
      <c r="AW334" t="str">
        <f>IF(ifood_data[[#All],[Age]]&gt;60,"60+",(IF(ifood_data[[#All],[Age]]&gt;50,"50-60",(IF(ifood_data[[#All],[Age]]&gt;40,"40-50",(IF(ifood_data[[#All],[Age]]&gt;30,"30-40","&lt;30")))))))</f>
        <v>30-40</v>
      </c>
      <c r="AX334">
        <f t="shared" si="20"/>
        <v>31</v>
      </c>
      <c r="AY334">
        <f t="shared" si="21"/>
        <v>1.9999999999999996</v>
      </c>
      <c r="AZ334">
        <f t="shared" si="22"/>
        <v>9</v>
      </c>
      <c r="BA334">
        <f t="shared" si="23"/>
        <v>9</v>
      </c>
      <c r="BB334">
        <f>SUM(ifood_data[[#This Row],[Recency Score]:[Monetary Score]])</f>
        <v>20</v>
      </c>
      <c r="BC334">
        <f>(_xlfn.PERCENTRANK.INC(ifood_data[[#All],[RFM]],ifood_data[[#This Row],[RFM]],1))*10</f>
        <v>7</v>
      </c>
      <c r="BD334" t="str">
        <f>VLOOKUP(ifood_data[[#This Row],[RFM Score]],'RFM Analysis'!$A$3:$B$14,2,FALSE)</f>
        <v>Loyal Customer</v>
      </c>
      <c r="BE334">
        <f>'Regression Models'!$B$101+'Regression Models'!$B$102*ifood_data[[#This Row],[Income]]+'Regression Models'!$B$103*ifood_data[[#This Row],[Age]]+'Regression Models'!$B$104*ifood_data[[#This Row],[Family]]</f>
        <v>1153.0727692624691</v>
      </c>
      <c r="BF334" t="str">
        <f>IF(ifood_data[[#This Row],[AcceptedCmpOverall]]=1,"Campaign Respondent","Non-respondent")</f>
        <v>Campaign Respondent</v>
      </c>
    </row>
    <row r="335" spans="1:58" x14ac:dyDescent="0.35">
      <c r="A335">
        <v>1272</v>
      </c>
      <c r="B335">
        <v>69109</v>
      </c>
      <c r="C335">
        <v>0</v>
      </c>
      <c r="D335">
        <v>0</v>
      </c>
      <c r="E335">
        <v>10</v>
      </c>
      <c r="F335">
        <v>823</v>
      </c>
      <c r="G335">
        <v>25</v>
      </c>
      <c r="H335">
        <v>459</v>
      </c>
      <c r="I335">
        <v>124</v>
      </c>
      <c r="J335">
        <v>29</v>
      </c>
      <c r="K335">
        <v>95</v>
      </c>
      <c r="L335">
        <v>1</v>
      </c>
      <c r="M335">
        <v>6</v>
      </c>
      <c r="N335">
        <v>6</v>
      </c>
      <c r="O335">
        <v>7</v>
      </c>
      <c r="P335">
        <v>4</v>
      </c>
      <c r="Q335">
        <v>0</v>
      </c>
      <c r="R335">
        <v>0</v>
      </c>
      <c r="S335">
        <v>0</v>
      </c>
      <c r="T335">
        <v>0</v>
      </c>
      <c r="U335">
        <v>1</v>
      </c>
      <c r="V335">
        <f>IF(SUM(ifood_data[[#This Row],[AcceptedCmp1]:[AcceptedCmp5]])&gt;0,1,0)</f>
        <v>1</v>
      </c>
      <c r="W335">
        <v>0</v>
      </c>
      <c r="X335">
        <v>3</v>
      </c>
      <c r="Y335">
        <v>11</v>
      </c>
      <c r="Z335">
        <v>1</v>
      </c>
      <c r="AA335">
        <v>38</v>
      </c>
      <c r="AB335">
        <v>2756</v>
      </c>
      <c r="AC335" s="28">
        <f>ifood_data[[#This Row],[Customer_Days]]/365</f>
        <v>7.5506849315068489</v>
      </c>
      <c r="AD335">
        <v>0</v>
      </c>
      <c r="AE335">
        <v>1</v>
      </c>
      <c r="AF335">
        <v>0</v>
      </c>
      <c r="AG335">
        <v>0</v>
      </c>
      <c r="AH335">
        <v>0</v>
      </c>
      <c r="AI335">
        <v>0</v>
      </c>
      <c r="AJ335">
        <v>0</v>
      </c>
      <c r="AK335">
        <v>1</v>
      </c>
      <c r="AL335">
        <v>0</v>
      </c>
      <c r="AM335">
        <v>0</v>
      </c>
      <c r="AN335">
        <v>1460</v>
      </c>
      <c r="AO335">
        <v>1365</v>
      </c>
      <c r="AP335">
        <f>ifood_data[[#This Row],[MntTotal]]-ifood_data[[#This Row],[MntRegularProds]]</f>
        <v>95</v>
      </c>
      <c r="AQ335">
        <v>1</v>
      </c>
      <c r="AR335">
        <f>IF(SUM(ifood_data[[#This Row],[Kidhome]:[Teenhome]])&gt;0,1,0)</f>
        <v>0</v>
      </c>
      <c r="AS335" t="str">
        <f>IF(SUM(ifood_data[[#This Row],[Kidhome]:[Teenhome]])&gt;0,"Has Family","No Family")</f>
        <v>No Family</v>
      </c>
      <c r="AT335" t="str">
        <f>IF(ifood_data[[#This Row],[marital_Married]]=1,"Married", (IF(ifood_data[[#This Row],[marital_Single]]=1,"Single",(IF(ifood_data[[#This Row],[marital_Divorced]]=1,"Divorced",(IF(ifood_data[[#This Row],[marital_Together]]=1,"Living Together",(IF(ifood_data[[#This Row],[marital_Widow]]=1,"Widow","Other")))))))))</f>
        <v>Married</v>
      </c>
      <c r="AU335" t="str">
        <f>IF(ifood_data[[#This Row],[education_Basic]]=1,"High School",(IF(ifood_data[[#This Row],[education_Graduation]]=1,"Undergraduate Degree",(IF(SUM(AM335,AL335,AI335)&gt;0,"Master's Degree or Higher","Other")))))</f>
        <v>Undergraduate Degree</v>
      </c>
      <c r="AV335" t="str">
        <f>IF(ifood_data[[#All],[Income]]&gt;75000,"75K+",(IF(ifood_data[[#All],[Income]]&gt;50000,"50K-75K",(IF(ifood_data[[#All],[Income]]&gt;35000,"35K-50K","&lt;35K")))))</f>
        <v>50K-75K</v>
      </c>
      <c r="AW335" t="str">
        <f>IF(ifood_data[[#All],[Age]]&gt;60,"60+",(IF(ifood_data[[#All],[Age]]&gt;50,"50-60",(IF(ifood_data[[#All],[Age]]&gt;40,"40-50",(IF(ifood_data[[#All],[Age]]&gt;30,"30-40","&lt;30")))))))</f>
        <v>30-40</v>
      </c>
      <c r="AX335">
        <f t="shared" si="20"/>
        <v>24</v>
      </c>
      <c r="AY335">
        <f t="shared" si="21"/>
        <v>9</v>
      </c>
      <c r="AZ335">
        <f t="shared" si="22"/>
        <v>6</v>
      </c>
      <c r="BA335">
        <f t="shared" si="23"/>
        <v>8</v>
      </c>
      <c r="BB335">
        <f>SUM(ifood_data[[#This Row],[Recency Score]:[Monetary Score]])</f>
        <v>23</v>
      </c>
      <c r="BC335">
        <f>(_xlfn.PERCENTRANK.INC(ifood_data[[#All],[RFM]],ifood_data[[#This Row],[RFM]],1))*10</f>
        <v>8</v>
      </c>
      <c r="BD335" t="str">
        <f>VLOOKUP(ifood_data[[#This Row],[RFM Score]],'RFM Analysis'!$A$3:$B$14,2,FALSE)</f>
        <v>Loyal Customer</v>
      </c>
      <c r="BE335">
        <f>'Regression Models'!$B$101+'Regression Models'!$B$102*ifood_data[[#This Row],[Income]]+'Regression Models'!$B$103*ifood_data[[#This Row],[Age]]+'Regression Models'!$B$104*ifood_data[[#This Row],[Family]]</f>
        <v>1151.4474363842592</v>
      </c>
      <c r="BF335" t="str">
        <f>IF(ifood_data[[#This Row],[AcceptedCmpOverall]]=1,"Campaign Respondent","Non-respondent")</f>
        <v>Campaign Respondent</v>
      </c>
    </row>
    <row r="336" spans="1:58" x14ac:dyDescent="0.35">
      <c r="A336">
        <v>694</v>
      </c>
      <c r="B336">
        <v>72025</v>
      </c>
      <c r="C336">
        <v>0</v>
      </c>
      <c r="D336">
        <v>0</v>
      </c>
      <c r="E336">
        <v>46</v>
      </c>
      <c r="F336">
        <v>967</v>
      </c>
      <c r="G336">
        <v>0</v>
      </c>
      <c r="H336">
        <v>617</v>
      </c>
      <c r="I336">
        <v>43</v>
      </c>
      <c r="J336">
        <v>50</v>
      </c>
      <c r="K336">
        <v>0</v>
      </c>
      <c r="L336">
        <v>1</v>
      </c>
      <c r="M336">
        <v>4</v>
      </c>
      <c r="N336">
        <v>8</v>
      </c>
      <c r="O336">
        <v>13</v>
      </c>
      <c r="P336">
        <v>2</v>
      </c>
      <c r="Q336">
        <v>1</v>
      </c>
      <c r="R336">
        <v>0</v>
      </c>
      <c r="S336">
        <v>0</v>
      </c>
      <c r="T336">
        <v>1</v>
      </c>
      <c r="U336">
        <v>1</v>
      </c>
      <c r="V336">
        <f>IF(SUM(ifood_data[[#This Row],[AcceptedCmp1]:[AcceptedCmp5]])&gt;0,1,0)</f>
        <v>1</v>
      </c>
      <c r="W336">
        <v>0</v>
      </c>
      <c r="X336">
        <v>3</v>
      </c>
      <c r="Y336">
        <v>11</v>
      </c>
      <c r="Z336">
        <v>1</v>
      </c>
      <c r="AA336">
        <v>71</v>
      </c>
      <c r="AB336">
        <v>2220</v>
      </c>
      <c r="AC336" s="28">
        <f>ifood_data[[#This Row],[Customer_Days]]/365</f>
        <v>6.0821917808219181</v>
      </c>
      <c r="AD336">
        <v>0</v>
      </c>
      <c r="AE336">
        <v>1</v>
      </c>
      <c r="AF336">
        <v>0</v>
      </c>
      <c r="AG336">
        <v>0</v>
      </c>
      <c r="AH336">
        <v>0</v>
      </c>
      <c r="AI336">
        <v>0</v>
      </c>
      <c r="AJ336">
        <v>0</v>
      </c>
      <c r="AK336">
        <v>1</v>
      </c>
      <c r="AL336">
        <v>0</v>
      </c>
      <c r="AM336">
        <v>0</v>
      </c>
      <c r="AN336">
        <v>1677</v>
      </c>
      <c r="AO336">
        <v>1677</v>
      </c>
      <c r="AP336">
        <f>ifood_data[[#This Row],[MntTotal]]-ifood_data[[#This Row],[MntRegularProds]]</f>
        <v>0</v>
      </c>
      <c r="AQ336">
        <v>3</v>
      </c>
      <c r="AR336">
        <f>IF(SUM(ifood_data[[#This Row],[Kidhome]:[Teenhome]])&gt;0,1,0)</f>
        <v>0</v>
      </c>
      <c r="AS336" t="str">
        <f>IF(SUM(ifood_data[[#This Row],[Kidhome]:[Teenhome]])&gt;0,"Has Family","No Family")</f>
        <v>No Family</v>
      </c>
      <c r="AT336" t="str">
        <f>IF(ifood_data[[#This Row],[marital_Married]]=1,"Married", (IF(ifood_data[[#This Row],[marital_Single]]=1,"Single",(IF(ifood_data[[#This Row],[marital_Divorced]]=1,"Divorced",(IF(ifood_data[[#This Row],[marital_Together]]=1,"Living Together",(IF(ifood_data[[#This Row],[marital_Widow]]=1,"Widow","Other")))))))))</f>
        <v>Married</v>
      </c>
      <c r="AU336" t="str">
        <f>IF(ifood_data[[#This Row],[education_Basic]]=1,"High School",(IF(ifood_data[[#This Row],[education_Graduation]]=1,"Undergraduate Degree",(IF(SUM(AM336,AL336,AI336)&gt;0,"Master's Degree or Higher","Other")))))</f>
        <v>Undergraduate Degree</v>
      </c>
      <c r="AV336" t="str">
        <f>IF(ifood_data[[#All],[Income]]&gt;75000,"75K+",(IF(ifood_data[[#All],[Income]]&gt;50000,"50K-75K",(IF(ifood_data[[#All],[Income]]&gt;35000,"35K-50K","&lt;35K")))))</f>
        <v>50K-75K</v>
      </c>
      <c r="AW336" t="str">
        <f>IF(ifood_data[[#All],[Age]]&gt;60,"60+",(IF(ifood_data[[#All],[Age]]&gt;50,"50-60",(IF(ifood_data[[#All],[Age]]&gt;40,"40-50",(IF(ifood_data[[#All],[Age]]&gt;30,"30-40","&lt;30")))))))</f>
        <v>60+</v>
      </c>
      <c r="AX336">
        <f t="shared" si="20"/>
        <v>28</v>
      </c>
      <c r="AY336">
        <f t="shared" si="21"/>
        <v>6</v>
      </c>
      <c r="AZ336">
        <f t="shared" si="22"/>
        <v>8</v>
      </c>
      <c r="BA336">
        <f t="shared" si="23"/>
        <v>9</v>
      </c>
      <c r="BB336">
        <f>SUM(ifood_data[[#This Row],[Recency Score]:[Monetary Score]])</f>
        <v>23</v>
      </c>
      <c r="BC336">
        <f>(_xlfn.PERCENTRANK.INC(ifood_data[[#All],[RFM]],ifood_data[[#This Row],[RFM]],1))*10</f>
        <v>8</v>
      </c>
      <c r="BD336" t="str">
        <f>VLOOKUP(ifood_data[[#This Row],[RFM Score]],'RFM Analysis'!$A$3:$B$14,2,FALSE)</f>
        <v>Loyal Customer</v>
      </c>
      <c r="BE336">
        <f>'Regression Models'!$B$101+'Regression Models'!$B$102*ifood_data[[#This Row],[Income]]+'Regression Models'!$B$103*ifood_data[[#This Row],[Age]]+'Regression Models'!$B$104*ifood_data[[#This Row],[Family]]</f>
        <v>1150.2985946883571</v>
      </c>
      <c r="BF336" t="str">
        <f>IF(ifood_data[[#This Row],[AcceptedCmpOverall]]=1,"Campaign Respondent","Non-respondent")</f>
        <v>Campaign Respondent</v>
      </c>
    </row>
    <row r="337" spans="1:58" x14ac:dyDescent="0.35">
      <c r="A337">
        <v>1393</v>
      </c>
      <c r="B337">
        <v>68487</v>
      </c>
      <c r="C337">
        <v>0</v>
      </c>
      <c r="D337">
        <v>0</v>
      </c>
      <c r="E337">
        <v>48</v>
      </c>
      <c r="F337">
        <v>758</v>
      </c>
      <c r="G337">
        <v>12</v>
      </c>
      <c r="H337">
        <v>385</v>
      </c>
      <c r="I337">
        <v>33</v>
      </c>
      <c r="J337">
        <v>89</v>
      </c>
      <c r="K337">
        <v>89</v>
      </c>
      <c r="L337">
        <v>1</v>
      </c>
      <c r="M337">
        <v>9</v>
      </c>
      <c r="N337">
        <v>7</v>
      </c>
      <c r="O337">
        <v>13</v>
      </c>
      <c r="P337">
        <v>4</v>
      </c>
      <c r="Q337">
        <v>0</v>
      </c>
      <c r="R337">
        <v>0</v>
      </c>
      <c r="S337">
        <v>0</v>
      </c>
      <c r="T337">
        <v>0</v>
      </c>
      <c r="U337">
        <v>0</v>
      </c>
      <c r="V337">
        <f>IF(SUM(ifood_data[[#This Row],[AcceptedCmp1]:[AcceptedCmp5]])&gt;0,1,0)</f>
        <v>0</v>
      </c>
      <c r="W337">
        <v>0</v>
      </c>
      <c r="X337">
        <v>3</v>
      </c>
      <c r="Y337">
        <v>11</v>
      </c>
      <c r="Z337">
        <v>0</v>
      </c>
      <c r="AA337">
        <v>32</v>
      </c>
      <c r="AB337">
        <v>2691</v>
      </c>
      <c r="AC337" s="28">
        <f>ifood_data[[#This Row],[Customer_Days]]/365</f>
        <v>7.3726027397260276</v>
      </c>
      <c r="AD337">
        <v>0</v>
      </c>
      <c r="AE337">
        <v>1</v>
      </c>
      <c r="AF337">
        <v>0</v>
      </c>
      <c r="AG337">
        <v>0</v>
      </c>
      <c r="AH337">
        <v>0</v>
      </c>
      <c r="AI337">
        <v>0</v>
      </c>
      <c r="AJ337">
        <v>0</v>
      </c>
      <c r="AK337">
        <v>1</v>
      </c>
      <c r="AL337">
        <v>0</v>
      </c>
      <c r="AM337">
        <v>0</v>
      </c>
      <c r="AN337">
        <v>1277</v>
      </c>
      <c r="AO337">
        <v>1188</v>
      </c>
      <c r="AP337">
        <f>ifood_data[[#This Row],[MntTotal]]-ifood_data[[#This Row],[MntRegularProds]]</f>
        <v>89</v>
      </c>
      <c r="AQ337">
        <v>0</v>
      </c>
      <c r="AR337">
        <f>IF(SUM(ifood_data[[#This Row],[Kidhome]:[Teenhome]])&gt;0,1,0)</f>
        <v>0</v>
      </c>
      <c r="AS337" t="str">
        <f>IF(SUM(ifood_data[[#This Row],[Kidhome]:[Teenhome]])&gt;0,"Has Family","No Family")</f>
        <v>No Family</v>
      </c>
      <c r="AT337" t="str">
        <f>IF(ifood_data[[#This Row],[marital_Married]]=1,"Married", (IF(ifood_data[[#This Row],[marital_Single]]=1,"Single",(IF(ifood_data[[#This Row],[marital_Divorced]]=1,"Divorced",(IF(ifood_data[[#This Row],[marital_Together]]=1,"Living Together",(IF(ifood_data[[#This Row],[marital_Widow]]=1,"Widow","Other")))))))))</f>
        <v>Married</v>
      </c>
      <c r="AU337" t="str">
        <f>IF(ifood_data[[#This Row],[education_Basic]]=1,"High School",(IF(ifood_data[[#This Row],[education_Graduation]]=1,"Undergraduate Degree",(IF(SUM(AM337,AL337,AI337)&gt;0,"Master's Degree or Higher","Other")))))</f>
        <v>Undergraduate Degree</v>
      </c>
      <c r="AV337" t="str">
        <f>IF(ifood_data[[#All],[Income]]&gt;75000,"75K+",(IF(ifood_data[[#All],[Income]]&gt;50000,"50K-75K",(IF(ifood_data[[#All],[Income]]&gt;35000,"35K-50K","&lt;35K")))))</f>
        <v>50K-75K</v>
      </c>
      <c r="AW337" t="str">
        <f>IF(ifood_data[[#All],[Age]]&gt;60,"60+",(IF(ifood_data[[#All],[Age]]&gt;50,"50-60",(IF(ifood_data[[#All],[Age]]&gt;40,"40-50",(IF(ifood_data[[#All],[Age]]&gt;30,"30-40","&lt;30")))))))</f>
        <v>30-40</v>
      </c>
      <c r="AX337">
        <f t="shared" si="20"/>
        <v>34</v>
      </c>
      <c r="AY337">
        <f t="shared" si="21"/>
        <v>6</v>
      </c>
      <c r="AZ337">
        <f t="shared" si="22"/>
        <v>9</v>
      </c>
      <c r="BA337">
        <f t="shared" si="23"/>
        <v>8</v>
      </c>
      <c r="BB337">
        <f>SUM(ifood_data[[#This Row],[Recency Score]:[Monetary Score]])</f>
        <v>23</v>
      </c>
      <c r="BC337">
        <f>(_xlfn.PERCENTRANK.INC(ifood_data[[#All],[RFM]],ifood_data[[#This Row],[RFM]],1))*10</f>
        <v>8</v>
      </c>
      <c r="BD337" t="str">
        <f>VLOOKUP(ifood_data[[#This Row],[RFM Score]],'RFM Analysis'!$A$3:$B$14,2,FALSE)</f>
        <v>Loyal Customer</v>
      </c>
      <c r="BE337">
        <f>'Regression Models'!$B$101+'Regression Models'!$B$102*ifood_data[[#This Row],[Income]]+'Regression Models'!$B$103*ifood_data[[#This Row],[Age]]+'Regression Models'!$B$104*ifood_data[[#This Row],[Family]]</f>
        <v>1149.7842570721195</v>
      </c>
      <c r="BF337" t="str">
        <f>IF(ifood_data[[#This Row],[AcceptedCmpOverall]]=1,"Campaign Respondent","Non-respondent")</f>
        <v>Non-respondent</v>
      </c>
    </row>
    <row r="338" spans="1:58" x14ac:dyDescent="0.35">
      <c r="A338">
        <v>1732</v>
      </c>
      <c r="B338">
        <v>69719</v>
      </c>
      <c r="C338">
        <v>0</v>
      </c>
      <c r="D338">
        <v>0</v>
      </c>
      <c r="E338">
        <v>99</v>
      </c>
      <c r="F338">
        <v>273</v>
      </c>
      <c r="G338">
        <v>86</v>
      </c>
      <c r="H338">
        <v>208</v>
      </c>
      <c r="I338">
        <v>177</v>
      </c>
      <c r="J338">
        <v>14</v>
      </c>
      <c r="K338">
        <v>43</v>
      </c>
      <c r="L338">
        <v>1</v>
      </c>
      <c r="M338">
        <v>2</v>
      </c>
      <c r="N338">
        <v>3</v>
      </c>
      <c r="O338">
        <v>5</v>
      </c>
      <c r="P338">
        <v>1</v>
      </c>
      <c r="Q338">
        <v>0</v>
      </c>
      <c r="R338">
        <v>0</v>
      </c>
      <c r="S338">
        <v>0</v>
      </c>
      <c r="T338">
        <v>0</v>
      </c>
      <c r="U338">
        <v>0</v>
      </c>
      <c r="V338">
        <f>IF(SUM(ifood_data[[#This Row],[AcceptedCmp1]:[AcceptedCmp5]])&gt;0,1,0)</f>
        <v>0</v>
      </c>
      <c r="W338">
        <v>0</v>
      </c>
      <c r="X338">
        <v>3</v>
      </c>
      <c r="Y338">
        <v>11</v>
      </c>
      <c r="Z338">
        <v>0</v>
      </c>
      <c r="AA338">
        <v>46</v>
      </c>
      <c r="AB338">
        <v>2193</v>
      </c>
      <c r="AC338" s="28">
        <f>ifood_data[[#This Row],[Customer_Days]]/365</f>
        <v>6.0082191780821921</v>
      </c>
      <c r="AD338">
        <v>0</v>
      </c>
      <c r="AE338">
        <v>0</v>
      </c>
      <c r="AF338">
        <v>1</v>
      </c>
      <c r="AG338">
        <v>0</v>
      </c>
      <c r="AH338">
        <v>0</v>
      </c>
      <c r="AI338">
        <v>0</v>
      </c>
      <c r="AJ338">
        <v>0</v>
      </c>
      <c r="AK338">
        <v>1</v>
      </c>
      <c r="AL338">
        <v>0</v>
      </c>
      <c r="AM338">
        <v>0</v>
      </c>
      <c r="AN338">
        <v>758</v>
      </c>
      <c r="AO338">
        <v>715</v>
      </c>
      <c r="AP338">
        <f>ifood_data[[#This Row],[MntTotal]]-ifood_data[[#This Row],[MntRegularProds]]</f>
        <v>43</v>
      </c>
      <c r="AQ338">
        <v>0</v>
      </c>
      <c r="AR338">
        <f>IF(SUM(ifood_data[[#This Row],[Kidhome]:[Teenhome]])&gt;0,1,0)</f>
        <v>0</v>
      </c>
      <c r="AS338" t="str">
        <f>IF(SUM(ifood_data[[#This Row],[Kidhome]:[Teenhome]])&gt;0,"Has Family","No Family")</f>
        <v>No Family</v>
      </c>
      <c r="AT338" t="str">
        <f>IF(ifood_data[[#This Row],[marital_Married]]=1,"Married", (IF(ifood_data[[#This Row],[marital_Single]]=1,"Single",(IF(ifood_data[[#This Row],[marital_Divorced]]=1,"Divorced",(IF(ifood_data[[#This Row],[marital_Together]]=1,"Living Together",(IF(ifood_data[[#This Row],[marital_Widow]]=1,"Widow","Other")))))))))</f>
        <v>Single</v>
      </c>
      <c r="AU338" t="str">
        <f>IF(ifood_data[[#This Row],[education_Basic]]=1,"High School",(IF(ifood_data[[#This Row],[education_Graduation]]=1,"Undergraduate Degree",(IF(SUM(AM338,AL338,AI338)&gt;0,"Master's Degree or Higher","Other")))))</f>
        <v>Undergraduate Degree</v>
      </c>
      <c r="AV338" t="str">
        <f>IF(ifood_data[[#All],[Income]]&gt;75000,"75K+",(IF(ifood_data[[#All],[Income]]&gt;50000,"50K-75K",(IF(ifood_data[[#All],[Income]]&gt;35000,"35K-50K","&lt;35K")))))</f>
        <v>50K-75K</v>
      </c>
      <c r="AW338" t="str">
        <f>IF(ifood_data[[#All],[Age]]&gt;60,"60+",(IF(ifood_data[[#All],[Age]]&gt;50,"50-60",(IF(ifood_data[[#All],[Age]]&gt;40,"40-50",(IF(ifood_data[[#All],[Age]]&gt;30,"30-40","&lt;30")))))))</f>
        <v>40-50</v>
      </c>
      <c r="AX338">
        <f t="shared" si="20"/>
        <v>12</v>
      </c>
      <c r="AY338">
        <f t="shared" si="21"/>
        <v>0.99999999999999978</v>
      </c>
      <c r="AZ338">
        <f t="shared" si="22"/>
        <v>1</v>
      </c>
      <c r="BA338">
        <f t="shared" si="23"/>
        <v>6</v>
      </c>
      <c r="BB338">
        <f>SUM(ifood_data[[#This Row],[Recency Score]:[Monetary Score]])</f>
        <v>8</v>
      </c>
      <c r="BC338">
        <f>(_xlfn.PERCENTRANK.INC(ifood_data[[#All],[RFM]],ifood_data[[#This Row],[RFM]],1))*10</f>
        <v>1</v>
      </c>
      <c r="BD338" t="str">
        <f>VLOOKUP(ifood_data[[#This Row],[RFM Score]],'RFM Analysis'!$A$3:$B$14,2,FALSE)</f>
        <v>At Risk</v>
      </c>
      <c r="BE338">
        <f>'Regression Models'!$B$101+'Regression Models'!$B$102*ifood_data[[#This Row],[Income]]+'Regression Models'!$B$103*ifood_data[[#This Row],[Age]]+'Regression Models'!$B$104*ifood_data[[#This Row],[Family]]</f>
        <v>1149.1930723208834</v>
      </c>
      <c r="BF338" t="str">
        <f>IF(ifood_data[[#This Row],[AcceptedCmpOverall]]=1,"Campaign Respondent","Non-respondent")</f>
        <v>Non-respondent</v>
      </c>
    </row>
    <row r="339" spans="1:58" x14ac:dyDescent="0.35">
      <c r="A339">
        <v>1777</v>
      </c>
      <c r="B339">
        <v>83891</v>
      </c>
      <c r="C339">
        <v>0</v>
      </c>
      <c r="D339">
        <v>1</v>
      </c>
      <c r="E339">
        <v>24</v>
      </c>
      <c r="F339">
        <v>217</v>
      </c>
      <c r="G339">
        <v>38</v>
      </c>
      <c r="H339">
        <v>350</v>
      </c>
      <c r="I339">
        <v>111</v>
      </c>
      <c r="J339">
        <v>85</v>
      </c>
      <c r="K339">
        <v>15</v>
      </c>
      <c r="L339">
        <v>1</v>
      </c>
      <c r="M339">
        <v>4</v>
      </c>
      <c r="N339">
        <v>7</v>
      </c>
      <c r="O339">
        <v>10</v>
      </c>
      <c r="P339">
        <v>1</v>
      </c>
      <c r="Q339">
        <v>0</v>
      </c>
      <c r="R339">
        <v>0</v>
      </c>
      <c r="S339">
        <v>0</v>
      </c>
      <c r="T339">
        <v>0</v>
      </c>
      <c r="U339">
        <v>0</v>
      </c>
      <c r="V339">
        <f>IF(SUM(ifood_data[[#This Row],[AcceptedCmp1]:[AcceptedCmp5]])&gt;0,1,0)</f>
        <v>0</v>
      </c>
      <c r="W339">
        <v>0</v>
      </c>
      <c r="X339">
        <v>3</v>
      </c>
      <c r="Y339">
        <v>11</v>
      </c>
      <c r="Z339">
        <v>0</v>
      </c>
      <c r="AA339">
        <v>46</v>
      </c>
      <c r="AB339">
        <v>2168</v>
      </c>
      <c r="AC339" s="28">
        <f>ifood_data[[#This Row],[Customer_Days]]/365</f>
        <v>5.9397260273972599</v>
      </c>
      <c r="AD339">
        <v>0</v>
      </c>
      <c r="AE339">
        <v>1</v>
      </c>
      <c r="AF339">
        <v>0</v>
      </c>
      <c r="AG339">
        <v>0</v>
      </c>
      <c r="AH339">
        <v>0</v>
      </c>
      <c r="AI339">
        <v>0</v>
      </c>
      <c r="AJ339">
        <v>0</v>
      </c>
      <c r="AK339">
        <v>0</v>
      </c>
      <c r="AL339">
        <v>1</v>
      </c>
      <c r="AM339">
        <v>0</v>
      </c>
      <c r="AN339">
        <v>801</v>
      </c>
      <c r="AO339">
        <v>786</v>
      </c>
      <c r="AP339">
        <f>ifood_data[[#This Row],[MntTotal]]-ifood_data[[#This Row],[MntRegularProds]]</f>
        <v>15</v>
      </c>
      <c r="AQ339">
        <v>0</v>
      </c>
      <c r="AR339">
        <f>IF(SUM(ifood_data[[#This Row],[Kidhome]:[Teenhome]])&gt;0,1,0)</f>
        <v>1</v>
      </c>
      <c r="AS339" t="str">
        <f>IF(SUM(ifood_data[[#This Row],[Kidhome]:[Teenhome]])&gt;0,"Has Family","No Family")</f>
        <v>Has Family</v>
      </c>
      <c r="AT339" t="str">
        <f>IF(ifood_data[[#This Row],[marital_Married]]=1,"Married", (IF(ifood_data[[#This Row],[marital_Single]]=1,"Single",(IF(ifood_data[[#This Row],[marital_Divorced]]=1,"Divorced",(IF(ifood_data[[#This Row],[marital_Together]]=1,"Living Together",(IF(ifood_data[[#This Row],[marital_Widow]]=1,"Widow","Other")))))))))</f>
        <v>Married</v>
      </c>
      <c r="AU339" t="str">
        <f>IF(ifood_data[[#This Row],[education_Basic]]=1,"High School",(IF(ifood_data[[#This Row],[education_Graduation]]=1,"Undergraduate Degree",(IF(SUM(AM339,AL339,AI339)&gt;0,"Master's Degree or Higher","Other")))))</f>
        <v>Master's Degree or Higher</v>
      </c>
      <c r="AV339" t="str">
        <f>IF(ifood_data[[#All],[Income]]&gt;75000,"75K+",(IF(ifood_data[[#All],[Income]]&gt;50000,"50K-75K",(IF(ifood_data[[#All],[Income]]&gt;35000,"35K-50K","&lt;35K")))))</f>
        <v>75K+</v>
      </c>
      <c r="AW339" t="str">
        <f>IF(ifood_data[[#All],[Age]]&gt;60,"60+",(IF(ifood_data[[#All],[Age]]&gt;50,"50-60",(IF(ifood_data[[#All],[Age]]&gt;40,"40-50",(IF(ifood_data[[#All],[Age]]&gt;30,"30-40","&lt;30")))))))</f>
        <v>40-50</v>
      </c>
      <c r="AX339">
        <f t="shared" si="20"/>
        <v>23</v>
      </c>
      <c r="AY339">
        <f t="shared" si="21"/>
        <v>8</v>
      </c>
      <c r="AZ339">
        <f t="shared" si="22"/>
        <v>6</v>
      </c>
      <c r="BA339">
        <f t="shared" si="23"/>
        <v>6</v>
      </c>
      <c r="BB339">
        <f>SUM(ifood_data[[#This Row],[Recency Score]:[Monetary Score]])</f>
        <v>20</v>
      </c>
      <c r="BC339">
        <f>(_xlfn.PERCENTRANK.INC(ifood_data[[#All],[RFM]],ifood_data[[#This Row],[RFM]],1))*10</f>
        <v>7</v>
      </c>
      <c r="BD339" t="str">
        <f>VLOOKUP(ifood_data[[#This Row],[RFM Score]],'RFM Analysis'!$A$3:$B$14,2,FALSE)</f>
        <v>Loyal Customer</v>
      </c>
      <c r="BE339">
        <f>'Regression Models'!$B$101+'Regression Models'!$B$102*ifood_data[[#This Row],[Income]]+'Regression Models'!$B$103*ifood_data[[#This Row],[Age]]+'Regression Models'!$B$104*ifood_data[[#This Row],[Family]]</f>
        <v>1148.5290633832028</v>
      </c>
      <c r="BF339" t="str">
        <f>IF(ifood_data[[#This Row],[AcceptedCmpOverall]]=1,"Campaign Respondent","Non-respondent")</f>
        <v>Non-respondent</v>
      </c>
    </row>
    <row r="340" spans="1:58" x14ac:dyDescent="0.35">
      <c r="A340">
        <v>1411</v>
      </c>
      <c r="B340">
        <v>69930</v>
      </c>
      <c r="C340">
        <v>0</v>
      </c>
      <c r="D340">
        <v>0</v>
      </c>
      <c r="E340">
        <v>21</v>
      </c>
      <c r="F340">
        <v>252</v>
      </c>
      <c r="G340">
        <v>98</v>
      </c>
      <c r="H340">
        <v>827</v>
      </c>
      <c r="I340">
        <v>219</v>
      </c>
      <c r="J340">
        <v>70</v>
      </c>
      <c r="K340">
        <v>196</v>
      </c>
      <c r="L340">
        <v>1</v>
      </c>
      <c r="M340">
        <v>4</v>
      </c>
      <c r="N340">
        <v>5</v>
      </c>
      <c r="O340">
        <v>12</v>
      </c>
      <c r="P340">
        <v>3</v>
      </c>
      <c r="Q340">
        <v>0</v>
      </c>
      <c r="R340">
        <v>0</v>
      </c>
      <c r="S340">
        <v>0</v>
      </c>
      <c r="T340">
        <v>0</v>
      </c>
      <c r="U340">
        <v>0</v>
      </c>
      <c r="V340">
        <f>IF(SUM(ifood_data[[#This Row],[AcceptedCmp1]:[AcceptedCmp5]])&gt;0,1,0)</f>
        <v>0</v>
      </c>
      <c r="W340">
        <v>0</v>
      </c>
      <c r="X340">
        <v>3</v>
      </c>
      <c r="Y340">
        <v>11</v>
      </c>
      <c r="Z340">
        <v>0</v>
      </c>
      <c r="AA340">
        <v>49</v>
      </c>
      <c r="AB340">
        <v>2558</v>
      </c>
      <c r="AC340" s="28">
        <f>ifood_data[[#This Row],[Customer_Days]]/365</f>
        <v>7.0082191780821921</v>
      </c>
      <c r="AD340">
        <v>0</v>
      </c>
      <c r="AE340">
        <v>0</v>
      </c>
      <c r="AF340">
        <v>0</v>
      </c>
      <c r="AG340">
        <v>1</v>
      </c>
      <c r="AH340">
        <v>0</v>
      </c>
      <c r="AI340">
        <v>0</v>
      </c>
      <c r="AJ340">
        <v>0</v>
      </c>
      <c r="AK340">
        <v>1</v>
      </c>
      <c r="AL340">
        <v>0</v>
      </c>
      <c r="AM340">
        <v>0</v>
      </c>
      <c r="AN340">
        <v>1466</v>
      </c>
      <c r="AO340">
        <v>1270</v>
      </c>
      <c r="AP340">
        <f>ifood_data[[#This Row],[MntTotal]]-ifood_data[[#This Row],[MntRegularProds]]</f>
        <v>196</v>
      </c>
      <c r="AQ340">
        <v>0</v>
      </c>
      <c r="AR340">
        <f>IF(SUM(ifood_data[[#This Row],[Kidhome]:[Teenhome]])&gt;0,1,0)</f>
        <v>0</v>
      </c>
      <c r="AS340" t="str">
        <f>IF(SUM(ifood_data[[#This Row],[Kidhome]:[Teenhome]])&gt;0,"Has Family","No Family")</f>
        <v>No Family</v>
      </c>
      <c r="AT340" t="str">
        <f>IF(ifood_data[[#This Row],[marital_Married]]=1,"Married", (IF(ifood_data[[#This Row],[marital_Single]]=1,"Single",(IF(ifood_data[[#This Row],[marital_Divorced]]=1,"Divorced",(IF(ifood_data[[#This Row],[marital_Together]]=1,"Living Together",(IF(ifood_data[[#This Row],[marital_Widow]]=1,"Widow","Other")))))))))</f>
        <v>Living Together</v>
      </c>
      <c r="AU340" t="str">
        <f>IF(ifood_data[[#This Row],[education_Basic]]=1,"High School",(IF(ifood_data[[#This Row],[education_Graduation]]=1,"Undergraduate Degree",(IF(SUM(AM340,AL340,AI340)&gt;0,"Master's Degree or Higher","Other")))))</f>
        <v>Undergraduate Degree</v>
      </c>
      <c r="AV340" t="str">
        <f>IF(ifood_data[[#All],[Income]]&gt;75000,"75K+",(IF(ifood_data[[#All],[Income]]&gt;50000,"50K-75K",(IF(ifood_data[[#All],[Income]]&gt;35000,"35K-50K","&lt;35K")))))</f>
        <v>50K-75K</v>
      </c>
      <c r="AW340" t="str">
        <f>IF(ifood_data[[#All],[Age]]&gt;60,"60+",(IF(ifood_data[[#All],[Age]]&gt;50,"50-60",(IF(ifood_data[[#All],[Age]]&gt;40,"40-50",(IF(ifood_data[[#All],[Age]]&gt;30,"30-40","&lt;30")))))))</f>
        <v>40-50</v>
      </c>
      <c r="AX340">
        <f t="shared" si="20"/>
        <v>25</v>
      </c>
      <c r="AY340">
        <f t="shared" si="21"/>
        <v>8</v>
      </c>
      <c r="AZ340">
        <f t="shared" si="22"/>
        <v>7</v>
      </c>
      <c r="BA340">
        <f t="shared" si="23"/>
        <v>8</v>
      </c>
      <c r="BB340">
        <f>SUM(ifood_data[[#This Row],[Recency Score]:[Monetary Score]])</f>
        <v>23</v>
      </c>
      <c r="BC340">
        <f>(_xlfn.PERCENTRANK.INC(ifood_data[[#All],[RFM]],ifood_data[[#This Row],[RFM]],1))*10</f>
        <v>8</v>
      </c>
      <c r="BD340" t="str">
        <f>VLOOKUP(ifood_data[[#This Row],[RFM Score]],'RFM Analysis'!$A$3:$B$14,2,FALSE)</f>
        <v>Loyal Customer</v>
      </c>
      <c r="BE340">
        <f>'Regression Models'!$B$101+'Regression Models'!$B$102*ifood_data[[#This Row],[Income]]+'Regression Models'!$B$103*ifood_data[[#This Row],[Age]]+'Regression Models'!$B$104*ifood_data[[#This Row],[Family]]</f>
        <v>1147.9857851625634</v>
      </c>
      <c r="BF340" t="str">
        <f>IF(ifood_data[[#This Row],[AcceptedCmpOverall]]=1,"Campaign Respondent","Non-respondent")</f>
        <v>Non-respondent</v>
      </c>
    </row>
    <row r="341" spans="1:58" x14ac:dyDescent="0.35">
      <c r="A341">
        <v>102</v>
      </c>
      <c r="B341">
        <v>68126</v>
      </c>
      <c r="C341">
        <v>0</v>
      </c>
      <c r="D341">
        <v>0</v>
      </c>
      <c r="E341">
        <v>40</v>
      </c>
      <c r="F341">
        <v>1332</v>
      </c>
      <c r="G341">
        <v>17</v>
      </c>
      <c r="H341">
        <v>311</v>
      </c>
      <c r="I341">
        <v>23</v>
      </c>
      <c r="J341">
        <v>51</v>
      </c>
      <c r="K341">
        <v>86</v>
      </c>
      <c r="L341">
        <v>1</v>
      </c>
      <c r="M341">
        <v>7</v>
      </c>
      <c r="N341">
        <v>4</v>
      </c>
      <c r="O341">
        <v>5</v>
      </c>
      <c r="P341">
        <v>9</v>
      </c>
      <c r="Q341">
        <v>0</v>
      </c>
      <c r="R341">
        <v>0</v>
      </c>
      <c r="S341">
        <v>0</v>
      </c>
      <c r="T341">
        <v>1</v>
      </c>
      <c r="U341">
        <v>0</v>
      </c>
      <c r="V341">
        <f>IF(SUM(ifood_data[[#This Row],[AcceptedCmp1]:[AcceptedCmp5]])&gt;0,1,0)</f>
        <v>1</v>
      </c>
      <c r="W341">
        <v>0</v>
      </c>
      <c r="X341">
        <v>3</v>
      </c>
      <c r="Y341">
        <v>11</v>
      </c>
      <c r="Z341">
        <v>1</v>
      </c>
      <c r="AA341">
        <v>29</v>
      </c>
      <c r="AB341">
        <v>2755</v>
      </c>
      <c r="AC341" s="28">
        <f>ifood_data[[#This Row],[Customer_Days]]/365</f>
        <v>7.5479452054794525</v>
      </c>
      <c r="AD341">
        <v>0</v>
      </c>
      <c r="AE341">
        <v>0</v>
      </c>
      <c r="AF341">
        <v>1</v>
      </c>
      <c r="AG341">
        <v>0</v>
      </c>
      <c r="AH341">
        <v>0</v>
      </c>
      <c r="AI341">
        <v>0</v>
      </c>
      <c r="AJ341">
        <v>0</v>
      </c>
      <c r="AK341">
        <v>0</v>
      </c>
      <c r="AL341">
        <v>0</v>
      </c>
      <c r="AM341">
        <v>1</v>
      </c>
      <c r="AN341">
        <v>1734</v>
      </c>
      <c r="AO341">
        <v>1648</v>
      </c>
      <c r="AP341">
        <f>ifood_data[[#This Row],[MntTotal]]-ifood_data[[#This Row],[MntRegularProds]]</f>
        <v>86</v>
      </c>
      <c r="AQ341">
        <v>1</v>
      </c>
      <c r="AR341">
        <f>IF(SUM(ifood_data[[#This Row],[Kidhome]:[Teenhome]])&gt;0,1,0)</f>
        <v>0</v>
      </c>
      <c r="AS341" t="str">
        <f>IF(SUM(ifood_data[[#This Row],[Kidhome]:[Teenhome]])&gt;0,"Has Family","No Family")</f>
        <v>No Family</v>
      </c>
      <c r="AT341" t="str">
        <f>IF(ifood_data[[#This Row],[marital_Married]]=1,"Married", (IF(ifood_data[[#This Row],[marital_Single]]=1,"Single",(IF(ifood_data[[#This Row],[marital_Divorced]]=1,"Divorced",(IF(ifood_data[[#This Row],[marital_Together]]=1,"Living Together",(IF(ifood_data[[#This Row],[marital_Widow]]=1,"Widow","Other")))))))))</f>
        <v>Single</v>
      </c>
      <c r="AU341" t="str">
        <f>IF(ifood_data[[#This Row],[education_Basic]]=1,"High School",(IF(ifood_data[[#This Row],[education_Graduation]]=1,"Undergraduate Degree",(IF(SUM(AM341,AL341,AI341)&gt;0,"Master's Degree or Higher","Other")))))</f>
        <v>Master's Degree or Higher</v>
      </c>
      <c r="AV341" t="str">
        <f>IF(ifood_data[[#All],[Income]]&gt;75000,"75K+",(IF(ifood_data[[#All],[Income]]&gt;50000,"50K-75K",(IF(ifood_data[[#All],[Income]]&gt;35000,"35K-50K","&lt;35K")))))</f>
        <v>50K-75K</v>
      </c>
      <c r="AW341" t="str">
        <f>IF(ifood_data[[#All],[Age]]&gt;60,"60+",(IF(ifood_data[[#All],[Age]]&gt;50,"50-60",(IF(ifood_data[[#All],[Age]]&gt;40,"40-50",(IF(ifood_data[[#All],[Age]]&gt;30,"30-40","&lt;30")))))))</f>
        <v>&lt;30</v>
      </c>
      <c r="AX341">
        <f t="shared" si="20"/>
        <v>26</v>
      </c>
      <c r="AY341">
        <f t="shared" si="21"/>
        <v>6</v>
      </c>
      <c r="AZ341">
        <f t="shared" si="22"/>
        <v>7</v>
      </c>
      <c r="BA341">
        <f t="shared" si="23"/>
        <v>9</v>
      </c>
      <c r="BB341">
        <f>SUM(ifood_data[[#This Row],[Recency Score]:[Monetary Score]])</f>
        <v>22</v>
      </c>
      <c r="BC341">
        <f>(_xlfn.PERCENTRANK.INC(ifood_data[[#All],[RFM]],ifood_data[[#This Row],[RFM]],1))*10</f>
        <v>8</v>
      </c>
      <c r="BD341" t="str">
        <f>VLOOKUP(ifood_data[[#This Row],[RFM Score]],'RFM Analysis'!$A$3:$B$14,2,FALSE)</f>
        <v>Loyal Customer</v>
      </c>
      <c r="BE341">
        <f>'Regression Models'!$B$101+'Regression Models'!$B$102*ifood_data[[#This Row],[Income]]+'Regression Models'!$B$103*ifood_data[[#This Row],[Age]]+'Regression Models'!$B$104*ifood_data[[#This Row],[Family]]</f>
        <v>1147.9332290088551</v>
      </c>
      <c r="BF341" t="str">
        <f>IF(ifood_data[[#This Row],[AcceptedCmpOverall]]=1,"Campaign Respondent","Non-respondent")</f>
        <v>Campaign Respondent</v>
      </c>
    </row>
    <row r="342" spans="1:58" x14ac:dyDescent="0.35">
      <c r="A342">
        <v>53</v>
      </c>
      <c r="B342">
        <v>70287</v>
      </c>
      <c r="C342">
        <v>0</v>
      </c>
      <c r="D342">
        <v>0</v>
      </c>
      <c r="E342">
        <v>30</v>
      </c>
      <c r="F342">
        <v>295</v>
      </c>
      <c r="G342">
        <v>35</v>
      </c>
      <c r="H342">
        <v>482</v>
      </c>
      <c r="I342">
        <v>121</v>
      </c>
      <c r="J342">
        <v>120</v>
      </c>
      <c r="K342">
        <v>40</v>
      </c>
      <c r="L342">
        <v>1</v>
      </c>
      <c r="M342">
        <v>5</v>
      </c>
      <c r="N342">
        <v>5</v>
      </c>
      <c r="O342">
        <v>10</v>
      </c>
      <c r="P342">
        <v>3</v>
      </c>
      <c r="Q342">
        <v>0</v>
      </c>
      <c r="R342">
        <v>0</v>
      </c>
      <c r="S342">
        <v>0</v>
      </c>
      <c r="T342">
        <v>0</v>
      </c>
      <c r="U342">
        <v>0</v>
      </c>
      <c r="V342">
        <f>IF(SUM(ifood_data[[#This Row],[AcceptedCmp1]:[AcceptedCmp5]])&gt;0,1,0)</f>
        <v>0</v>
      </c>
      <c r="W342">
        <v>0</v>
      </c>
      <c r="X342">
        <v>3</v>
      </c>
      <c r="Y342">
        <v>11</v>
      </c>
      <c r="Z342">
        <v>1</v>
      </c>
      <c r="AA342">
        <v>54</v>
      </c>
      <c r="AB342">
        <v>2612</v>
      </c>
      <c r="AC342" s="28">
        <f>ifood_data[[#This Row],[Customer_Days]]/365</f>
        <v>7.1561643835616442</v>
      </c>
      <c r="AD342">
        <v>1</v>
      </c>
      <c r="AE342">
        <v>0</v>
      </c>
      <c r="AF342">
        <v>0</v>
      </c>
      <c r="AG342">
        <v>0</v>
      </c>
      <c r="AH342">
        <v>0</v>
      </c>
      <c r="AI342">
        <v>0</v>
      </c>
      <c r="AJ342">
        <v>0</v>
      </c>
      <c r="AK342">
        <v>1</v>
      </c>
      <c r="AL342">
        <v>0</v>
      </c>
      <c r="AM342">
        <v>0</v>
      </c>
      <c r="AN342">
        <v>1053</v>
      </c>
      <c r="AO342">
        <v>1013</v>
      </c>
      <c r="AP342">
        <f>ifood_data[[#This Row],[MntTotal]]-ifood_data[[#This Row],[MntRegularProds]]</f>
        <v>40</v>
      </c>
      <c r="AQ342">
        <v>0</v>
      </c>
      <c r="AR342">
        <f>IF(SUM(ifood_data[[#This Row],[Kidhome]:[Teenhome]])&gt;0,1,0)</f>
        <v>0</v>
      </c>
      <c r="AS342" t="str">
        <f>IF(SUM(ifood_data[[#This Row],[Kidhome]:[Teenhome]])&gt;0,"Has Family","No Family")</f>
        <v>No Family</v>
      </c>
      <c r="AT342" t="str">
        <f>IF(ifood_data[[#This Row],[marital_Married]]=1,"Married", (IF(ifood_data[[#This Row],[marital_Single]]=1,"Single",(IF(ifood_data[[#This Row],[marital_Divorced]]=1,"Divorced",(IF(ifood_data[[#This Row],[marital_Together]]=1,"Living Together",(IF(ifood_data[[#This Row],[marital_Widow]]=1,"Widow","Other")))))))))</f>
        <v>Divorced</v>
      </c>
      <c r="AU342" t="str">
        <f>IF(ifood_data[[#This Row],[education_Basic]]=1,"High School",(IF(ifood_data[[#This Row],[education_Graduation]]=1,"Undergraduate Degree",(IF(SUM(AM342,AL342,AI342)&gt;0,"Master's Degree or Higher","Other")))))</f>
        <v>Undergraduate Degree</v>
      </c>
      <c r="AV342" t="str">
        <f>IF(ifood_data[[#All],[Income]]&gt;75000,"75K+",(IF(ifood_data[[#All],[Income]]&gt;50000,"50K-75K",(IF(ifood_data[[#All],[Income]]&gt;35000,"35K-50K","&lt;35K")))))</f>
        <v>50K-75K</v>
      </c>
      <c r="AW342" t="str">
        <f>IF(ifood_data[[#All],[Age]]&gt;60,"60+",(IF(ifood_data[[#All],[Age]]&gt;50,"50-60",(IF(ifood_data[[#All],[Age]]&gt;40,"40-50",(IF(ifood_data[[#All],[Age]]&gt;30,"30-40","&lt;30")))))))</f>
        <v>50-60</v>
      </c>
      <c r="AX342">
        <f t="shared" si="20"/>
        <v>24</v>
      </c>
      <c r="AY342">
        <f t="shared" si="21"/>
        <v>7</v>
      </c>
      <c r="AZ342">
        <f t="shared" si="22"/>
        <v>6</v>
      </c>
      <c r="BA342">
        <f t="shared" si="23"/>
        <v>7</v>
      </c>
      <c r="BB342">
        <f>SUM(ifood_data[[#This Row],[Recency Score]:[Monetary Score]])</f>
        <v>20</v>
      </c>
      <c r="BC342">
        <f>(_xlfn.PERCENTRANK.INC(ifood_data[[#All],[RFM]],ifood_data[[#This Row],[RFM]],1))*10</f>
        <v>7</v>
      </c>
      <c r="BD342" t="str">
        <f>VLOOKUP(ifood_data[[#This Row],[RFM Score]],'RFM Analysis'!$A$3:$B$14,2,FALSE)</f>
        <v>Loyal Customer</v>
      </c>
      <c r="BE342">
        <f>'Regression Models'!$B$101+'Regression Models'!$B$102*ifood_data[[#This Row],[Income]]+'Regression Models'!$B$103*ifood_data[[#This Row],[Age]]+'Regression Models'!$B$104*ifood_data[[#This Row],[Family]]</f>
        <v>1146.0823799954637</v>
      </c>
      <c r="BF342" t="str">
        <f>IF(ifood_data[[#This Row],[AcceptedCmpOverall]]=1,"Campaign Respondent","Non-respondent")</f>
        <v>Non-respondent</v>
      </c>
    </row>
    <row r="343" spans="1:58" x14ac:dyDescent="0.35">
      <c r="A343">
        <v>281</v>
      </c>
      <c r="B343">
        <v>68627</v>
      </c>
      <c r="C343">
        <v>0</v>
      </c>
      <c r="D343">
        <v>0</v>
      </c>
      <c r="E343">
        <v>45</v>
      </c>
      <c r="F343">
        <v>395</v>
      </c>
      <c r="G343">
        <v>15</v>
      </c>
      <c r="H343">
        <v>263</v>
      </c>
      <c r="I343">
        <v>60</v>
      </c>
      <c r="J343">
        <v>54</v>
      </c>
      <c r="K343">
        <v>38</v>
      </c>
      <c r="L343">
        <v>1</v>
      </c>
      <c r="M343">
        <v>2</v>
      </c>
      <c r="N343">
        <v>3</v>
      </c>
      <c r="O343">
        <v>6</v>
      </c>
      <c r="P343">
        <v>1</v>
      </c>
      <c r="Q343">
        <v>0</v>
      </c>
      <c r="R343">
        <v>0</v>
      </c>
      <c r="S343">
        <v>0</v>
      </c>
      <c r="T343">
        <v>0</v>
      </c>
      <c r="U343">
        <v>0</v>
      </c>
      <c r="V343">
        <f>IF(SUM(ifood_data[[#This Row],[AcceptedCmp1]:[AcceptedCmp5]])&gt;0,1,0)</f>
        <v>0</v>
      </c>
      <c r="W343">
        <v>0</v>
      </c>
      <c r="X343">
        <v>3</v>
      </c>
      <c r="Y343">
        <v>11</v>
      </c>
      <c r="Z343">
        <v>0</v>
      </c>
      <c r="AA343">
        <v>38</v>
      </c>
      <c r="AB343">
        <v>2692</v>
      </c>
      <c r="AC343" s="28">
        <f>ifood_data[[#This Row],[Customer_Days]]/365</f>
        <v>7.375342465753425</v>
      </c>
      <c r="AD343">
        <v>0</v>
      </c>
      <c r="AE343">
        <v>0</v>
      </c>
      <c r="AF343">
        <v>1</v>
      </c>
      <c r="AG343">
        <v>0</v>
      </c>
      <c r="AH343">
        <v>0</v>
      </c>
      <c r="AI343">
        <v>0</v>
      </c>
      <c r="AJ343">
        <v>0</v>
      </c>
      <c r="AK343">
        <v>1</v>
      </c>
      <c r="AL343">
        <v>0</v>
      </c>
      <c r="AM343">
        <v>0</v>
      </c>
      <c r="AN343">
        <v>787</v>
      </c>
      <c r="AO343">
        <v>749</v>
      </c>
      <c r="AP343">
        <f>ifood_data[[#This Row],[MntTotal]]-ifood_data[[#This Row],[MntRegularProds]]</f>
        <v>38</v>
      </c>
      <c r="AQ343">
        <v>0</v>
      </c>
      <c r="AR343">
        <f>IF(SUM(ifood_data[[#This Row],[Kidhome]:[Teenhome]])&gt;0,1,0)</f>
        <v>0</v>
      </c>
      <c r="AS343" t="str">
        <f>IF(SUM(ifood_data[[#This Row],[Kidhome]:[Teenhome]])&gt;0,"Has Family","No Family")</f>
        <v>No Family</v>
      </c>
      <c r="AT343" t="str">
        <f>IF(ifood_data[[#This Row],[marital_Married]]=1,"Married", (IF(ifood_data[[#This Row],[marital_Single]]=1,"Single",(IF(ifood_data[[#This Row],[marital_Divorced]]=1,"Divorced",(IF(ifood_data[[#This Row],[marital_Together]]=1,"Living Together",(IF(ifood_data[[#This Row],[marital_Widow]]=1,"Widow","Other")))))))))</f>
        <v>Single</v>
      </c>
      <c r="AU343" t="str">
        <f>IF(ifood_data[[#This Row],[education_Basic]]=1,"High School",(IF(ifood_data[[#This Row],[education_Graduation]]=1,"Undergraduate Degree",(IF(SUM(AM343,AL343,AI343)&gt;0,"Master's Degree or Higher","Other")))))</f>
        <v>Undergraduate Degree</v>
      </c>
      <c r="AV343" t="str">
        <f>IF(ifood_data[[#All],[Income]]&gt;75000,"75K+",(IF(ifood_data[[#All],[Income]]&gt;50000,"50K-75K",(IF(ifood_data[[#All],[Income]]&gt;35000,"35K-50K","&lt;35K")))))</f>
        <v>50K-75K</v>
      </c>
      <c r="AW343" t="str">
        <f>IF(ifood_data[[#All],[Age]]&gt;60,"60+",(IF(ifood_data[[#All],[Age]]&gt;50,"50-60",(IF(ifood_data[[#All],[Age]]&gt;40,"40-50",(IF(ifood_data[[#All],[Age]]&gt;30,"30-40","&lt;30")))))))</f>
        <v>30-40</v>
      </c>
      <c r="AX343">
        <f t="shared" si="20"/>
        <v>13</v>
      </c>
      <c r="AY343">
        <f t="shared" si="21"/>
        <v>6</v>
      </c>
      <c r="AZ343">
        <f t="shared" si="22"/>
        <v>1</v>
      </c>
      <c r="BA343">
        <f t="shared" si="23"/>
        <v>6</v>
      </c>
      <c r="BB343">
        <f>SUM(ifood_data[[#This Row],[Recency Score]:[Monetary Score]])</f>
        <v>13</v>
      </c>
      <c r="BC343">
        <f>(_xlfn.PERCENTRANK.INC(ifood_data[[#All],[RFM]],ifood_data[[#This Row],[RFM]],1))*10</f>
        <v>3</v>
      </c>
      <c r="BD343" t="str">
        <f>VLOOKUP(ifood_data[[#This Row],[RFM Score]],'RFM Analysis'!$A$3:$B$14,2,FALSE)</f>
        <v>At Risk</v>
      </c>
      <c r="BE343">
        <f>'Regression Models'!$B$101+'Regression Models'!$B$102*ifood_data[[#This Row],[Income]]+'Regression Models'!$B$103*ifood_data[[#This Row],[Age]]+'Regression Models'!$B$104*ifood_data[[#This Row],[Family]]</f>
        <v>1141.6200501388998</v>
      </c>
      <c r="BF343" t="str">
        <f>IF(ifood_data[[#This Row],[AcceptedCmpOverall]]=1,"Campaign Respondent","Non-respondent")</f>
        <v>Non-respondent</v>
      </c>
    </row>
    <row r="344" spans="1:58" x14ac:dyDescent="0.35">
      <c r="A344">
        <v>1178</v>
      </c>
      <c r="B344">
        <v>69969</v>
      </c>
      <c r="C344">
        <v>0</v>
      </c>
      <c r="D344">
        <v>0</v>
      </c>
      <c r="E344">
        <v>64</v>
      </c>
      <c r="F344">
        <v>882</v>
      </c>
      <c r="G344">
        <v>29</v>
      </c>
      <c r="H344">
        <v>514</v>
      </c>
      <c r="I344">
        <v>38</v>
      </c>
      <c r="J344">
        <v>29</v>
      </c>
      <c r="K344">
        <v>44</v>
      </c>
      <c r="L344">
        <v>1</v>
      </c>
      <c r="M344">
        <v>4</v>
      </c>
      <c r="N344">
        <v>2</v>
      </c>
      <c r="O344">
        <v>6</v>
      </c>
      <c r="P344">
        <v>3</v>
      </c>
      <c r="Q344">
        <v>1</v>
      </c>
      <c r="R344">
        <v>0</v>
      </c>
      <c r="S344">
        <v>0</v>
      </c>
      <c r="T344">
        <v>0</v>
      </c>
      <c r="U344">
        <v>1</v>
      </c>
      <c r="V344">
        <f>IF(SUM(ifood_data[[#This Row],[AcceptedCmp1]:[AcceptedCmp5]])&gt;0,1,0)</f>
        <v>1</v>
      </c>
      <c r="W344">
        <v>0</v>
      </c>
      <c r="X344">
        <v>3</v>
      </c>
      <c r="Y344">
        <v>11</v>
      </c>
      <c r="Z344">
        <v>1</v>
      </c>
      <c r="AA344">
        <v>55</v>
      </c>
      <c r="AB344">
        <v>2465</v>
      </c>
      <c r="AC344" s="28">
        <f>ifood_data[[#This Row],[Customer_Days]]/365</f>
        <v>6.7534246575342465</v>
      </c>
      <c r="AD344">
        <v>0</v>
      </c>
      <c r="AE344">
        <v>1</v>
      </c>
      <c r="AF344">
        <v>0</v>
      </c>
      <c r="AG344">
        <v>0</v>
      </c>
      <c r="AH344">
        <v>0</v>
      </c>
      <c r="AI344">
        <v>0</v>
      </c>
      <c r="AJ344">
        <v>0</v>
      </c>
      <c r="AK344">
        <v>0</v>
      </c>
      <c r="AL344">
        <v>0</v>
      </c>
      <c r="AM344">
        <v>1</v>
      </c>
      <c r="AN344">
        <v>1492</v>
      </c>
      <c r="AO344">
        <v>1448</v>
      </c>
      <c r="AP344">
        <f>ifood_data[[#This Row],[MntTotal]]-ifood_data[[#This Row],[MntRegularProds]]</f>
        <v>44</v>
      </c>
      <c r="AQ344">
        <v>2</v>
      </c>
      <c r="AR344">
        <f>IF(SUM(ifood_data[[#This Row],[Kidhome]:[Teenhome]])&gt;0,1,0)</f>
        <v>0</v>
      </c>
      <c r="AS344" t="str">
        <f>IF(SUM(ifood_data[[#This Row],[Kidhome]:[Teenhome]])&gt;0,"Has Family","No Family")</f>
        <v>No Family</v>
      </c>
      <c r="AT344" t="str">
        <f>IF(ifood_data[[#This Row],[marital_Married]]=1,"Married", (IF(ifood_data[[#This Row],[marital_Single]]=1,"Single",(IF(ifood_data[[#This Row],[marital_Divorced]]=1,"Divorced",(IF(ifood_data[[#This Row],[marital_Together]]=1,"Living Together",(IF(ifood_data[[#This Row],[marital_Widow]]=1,"Widow","Other")))))))))</f>
        <v>Married</v>
      </c>
      <c r="AU344" t="str">
        <f>IF(ifood_data[[#This Row],[education_Basic]]=1,"High School",(IF(ifood_data[[#This Row],[education_Graduation]]=1,"Undergraduate Degree",(IF(SUM(AM344,AL344,AI344)&gt;0,"Master's Degree or Higher","Other")))))</f>
        <v>Master's Degree or Higher</v>
      </c>
      <c r="AV344" t="str">
        <f>IF(ifood_data[[#All],[Income]]&gt;75000,"75K+",(IF(ifood_data[[#All],[Income]]&gt;50000,"50K-75K",(IF(ifood_data[[#All],[Income]]&gt;35000,"35K-50K","&lt;35K")))))</f>
        <v>50K-75K</v>
      </c>
      <c r="AW344" t="str">
        <f>IF(ifood_data[[#All],[Age]]&gt;60,"60+",(IF(ifood_data[[#All],[Age]]&gt;50,"50-60",(IF(ifood_data[[#All],[Age]]&gt;40,"40-50",(IF(ifood_data[[#All],[Age]]&gt;30,"30-40","&lt;30")))))))</f>
        <v>50-60</v>
      </c>
      <c r="AX344">
        <f t="shared" si="20"/>
        <v>16</v>
      </c>
      <c r="AY344">
        <f t="shared" si="21"/>
        <v>4</v>
      </c>
      <c r="AZ344">
        <f t="shared" si="22"/>
        <v>3</v>
      </c>
      <c r="BA344">
        <f t="shared" si="23"/>
        <v>9</v>
      </c>
      <c r="BB344">
        <f>SUM(ifood_data[[#This Row],[Recency Score]:[Monetary Score]])</f>
        <v>16</v>
      </c>
      <c r="BC344">
        <f>(_xlfn.PERCENTRANK.INC(ifood_data[[#All],[RFM]],ifood_data[[#This Row],[RFM]],1))*10</f>
        <v>5</v>
      </c>
      <c r="BD344" t="str">
        <f>VLOOKUP(ifood_data[[#This Row],[RFM Score]],'RFM Analysis'!$A$3:$B$14,2,FALSE)</f>
        <v>Promising</v>
      </c>
      <c r="BE344">
        <f>'Regression Models'!$B$101+'Regression Models'!$B$102*ifood_data[[#This Row],[Income]]+'Regression Models'!$B$103*ifood_data[[#This Row],[Age]]+'Regression Models'!$B$104*ifood_data[[#This Row],[Family]]</f>
        <v>1137.7623126468097</v>
      </c>
      <c r="BF344" t="str">
        <f>IF(ifood_data[[#This Row],[AcceptedCmpOverall]]=1,"Campaign Respondent","Non-respondent")</f>
        <v>Campaign Respondent</v>
      </c>
    </row>
    <row r="345" spans="1:58" x14ac:dyDescent="0.35">
      <c r="A345">
        <v>565</v>
      </c>
      <c r="B345">
        <v>69882</v>
      </c>
      <c r="C345">
        <v>0</v>
      </c>
      <c r="D345">
        <v>0</v>
      </c>
      <c r="E345">
        <v>94</v>
      </c>
      <c r="F345">
        <v>292</v>
      </c>
      <c r="G345">
        <v>127</v>
      </c>
      <c r="H345">
        <v>635</v>
      </c>
      <c r="I345">
        <v>132</v>
      </c>
      <c r="J345">
        <v>127</v>
      </c>
      <c r="K345">
        <v>165</v>
      </c>
      <c r="L345">
        <v>1</v>
      </c>
      <c r="M345">
        <v>3</v>
      </c>
      <c r="N345">
        <v>7</v>
      </c>
      <c r="O345">
        <v>9</v>
      </c>
      <c r="P345">
        <v>1</v>
      </c>
      <c r="Q345">
        <v>0</v>
      </c>
      <c r="R345">
        <v>0</v>
      </c>
      <c r="S345">
        <v>0</v>
      </c>
      <c r="T345">
        <v>0</v>
      </c>
      <c r="U345">
        <v>0</v>
      </c>
      <c r="V345">
        <f>IF(SUM(ifood_data[[#This Row],[AcceptedCmp1]:[AcceptedCmp5]])&gt;0,1,0)</f>
        <v>0</v>
      </c>
      <c r="W345">
        <v>0</v>
      </c>
      <c r="X345">
        <v>3</v>
      </c>
      <c r="Y345">
        <v>11</v>
      </c>
      <c r="Z345">
        <v>0</v>
      </c>
      <c r="AA345">
        <v>55</v>
      </c>
      <c r="AB345">
        <v>2390</v>
      </c>
      <c r="AC345" s="28">
        <f>ifood_data[[#This Row],[Customer_Days]]/365</f>
        <v>6.5479452054794525</v>
      </c>
      <c r="AD345">
        <v>0</v>
      </c>
      <c r="AE345">
        <v>0</v>
      </c>
      <c r="AF345">
        <v>1</v>
      </c>
      <c r="AG345">
        <v>0</v>
      </c>
      <c r="AH345">
        <v>0</v>
      </c>
      <c r="AI345">
        <v>0</v>
      </c>
      <c r="AJ345">
        <v>0</v>
      </c>
      <c r="AK345">
        <v>0</v>
      </c>
      <c r="AL345">
        <v>1</v>
      </c>
      <c r="AM345">
        <v>0</v>
      </c>
      <c r="AN345">
        <v>1313</v>
      </c>
      <c r="AO345">
        <v>1148</v>
      </c>
      <c r="AP345">
        <f>ifood_data[[#This Row],[MntTotal]]-ifood_data[[#This Row],[MntRegularProds]]</f>
        <v>165</v>
      </c>
      <c r="AQ345">
        <v>0</v>
      </c>
      <c r="AR345">
        <f>IF(SUM(ifood_data[[#This Row],[Kidhome]:[Teenhome]])&gt;0,1,0)</f>
        <v>0</v>
      </c>
      <c r="AS345" t="str">
        <f>IF(SUM(ifood_data[[#This Row],[Kidhome]:[Teenhome]])&gt;0,"Has Family","No Family")</f>
        <v>No Family</v>
      </c>
      <c r="AT345" t="str">
        <f>IF(ifood_data[[#This Row],[marital_Married]]=1,"Married", (IF(ifood_data[[#This Row],[marital_Single]]=1,"Single",(IF(ifood_data[[#This Row],[marital_Divorced]]=1,"Divorced",(IF(ifood_data[[#This Row],[marital_Together]]=1,"Living Together",(IF(ifood_data[[#This Row],[marital_Widow]]=1,"Widow","Other")))))))))</f>
        <v>Single</v>
      </c>
      <c r="AU345" t="str">
        <f>IF(ifood_data[[#This Row],[education_Basic]]=1,"High School",(IF(ifood_data[[#This Row],[education_Graduation]]=1,"Undergraduate Degree",(IF(SUM(AM345,AL345,AI345)&gt;0,"Master's Degree or Higher","Other")))))</f>
        <v>Master's Degree or Higher</v>
      </c>
      <c r="AV345" t="str">
        <f>IF(ifood_data[[#All],[Income]]&gt;75000,"75K+",(IF(ifood_data[[#All],[Income]]&gt;50000,"50K-75K",(IF(ifood_data[[#All],[Income]]&gt;35000,"35K-50K","&lt;35K")))))</f>
        <v>50K-75K</v>
      </c>
      <c r="AW345" t="str">
        <f>IF(ifood_data[[#All],[Age]]&gt;60,"60+",(IF(ifood_data[[#All],[Age]]&gt;50,"50-60",(IF(ifood_data[[#All],[Age]]&gt;40,"40-50",(IF(ifood_data[[#All],[Age]]&gt;30,"30-40","&lt;30")))))))</f>
        <v>50-60</v>
      </c>
      <c r="AX345">
        <f t="shared" si="20"/>
        <v>21</v>
      </c>
      <c r="AY345">
        <f t="shared" si="21"/>
        <v>0.99999999999999978</v>
      </c>
      <c r="AZ345">
        <f t="shared" si="22"/>
        <v>5</v>
      </c>
      <c r="BA345">
        <f t="shared" si="23"/>
        <v>8</v>
      </c>
      <c r="BB345">
        <f>SUM(ifood_data[[#This Row],[Recency Score]:[Monetary Score]])</f>
        <v>14</v>
      </c>
      <c r="BC345">
        <f>(_xlfn.PERCENTRANK.INC(ifood_data[[#All],[RFM]],ifood_data[[#This Row],[RFM]],1))*10</f>
        <v>4</v>
      </c>
      <c r="BD345" t="str">
        <f>VLOOKUP(ifood_data[[#This Row],[RFM Score]],'RFM Analysis'!$A$3:$B$14,2,FALSE)</f>
        <v>At Risk</v>
      </c>
      <c r="BE345">
        <f>'Regression Models'!$B$101+'Regression Models'!$B$102*ifood_data[[#This Row],[Income]]+'Regression Models'!$B$103*ifood_data[[#This Row],[Age]]+'Regression Models'!$B$104*ifood_data[[#This Row],[Family]]</f>
        <v>1135.9884898182904</v>
      </c>
      <c r="BF345" t="str">
        <f>IF(ifood_data[[#This Row],[AcceptedCmpOverall]]=1,"Campaign Respondent","Non-respondent")</f>
        <v>Non-respondent</v>
      </c>
    </row>
    <row r="346" spans="1:58" x14ac:dyDescent="0.35">
      <c r="A346">
        <v>332</v>
      </c>
      <c r="B346">
        <v>69759</v>
      </c>
      <c r="C346">
        <v>0</v>
      </c>
      <c r="D346">
        <v>0</v>
      </c>
      <c r="E346">
        <v>38</v>
      </c>
      <c r="F346">
        <v>452</v>
      </c>
      <c r="G346">
        <v>20</v>
      </c>
      <c r="H346">
        <v>514</v>
      </c>
      <c r="I346">
        <v>13</v>
      </c>
      <c r="J346">
        <v>30</v>
      </c>
      <c r="K346">
        <v>0</v>
      </c>
      <c r="L346">
        <v>3</v>
      </c>
      <c r="M346">
        <v>4</v>
      </c>
      <c r="N346">
        <v>6</v>
      </c>
      <c r="O346">
        <v>5</v>
      </c>
      <c r="P346">
        <v>3</v>
      </c>
      <c r="Q346">
        <v>0</v>
      </c>
      <c r="R346">
        <v>0</v>
      </c>
      <c r="S346">
        <v>0</v>
      </c>
      <c r="T346">
        <v>0</v>
      </c>
      <c r="U346">
        <v>0</v>
      </c>
      <c r="V346">
        <f>IF(SUM(ifood_data[[#This Row],[AcceptedCmp1]:[AcceptedCmp5]])&gt;0,1,0)</f>
        <v>0</v>
      </c>
      <c r="W346">
        <v>0</v>
      </c>
      <c r="X346">
        <v>3</v>
      </c>
      <c r="Y346">
        <v>11</v>
      </c>
      <c r="Z346">
        <v>1</v>
      </c>
      <c r="AA346">
        <v>54</v>
      </c>
      <c r="AB346">
        <v>2403</v>
      </c>
      <c r="AC346" s="28">
        <f>ifood_data[[#This Row],[Customer_Days]]/365</f>
        <v>6.5835616438356164</v>
      </c>
      <c r="AD346">
        <v>0</v>
      </c>
      <c r="AE346">
        <v>0</v>
      </c>
      <c r="AF346">
        <v>1</v>
      </c>
      <c r="AG346">
        <v>0</v>
      </c>
      <c r="AH346">
        <v>0</v>
      </c>
      <c r="AI346">
        <v>0</v>
      </c>
      <c r="AJ346">
        <v>0</v>
      </c>
      <c r="AK346">
        <v>0</v>
      </c>
      <c r="AL346">
        <v>0</v>
      </c>
      <c r="AM346">
        <v>1</v>
      </c>
      <c r="AN346">
        <v>1029</v>
      </c>
      <c r="AO346">
        <v>1029</v>
      </c>
      <c r="AP346">
        <f>ifood_data[[#This Row],[MntTotal]]-ifood_data[[#This Row],[MntRegularProds]]</f>
        <v>0</v>
      </c>
      <c r="AQ346">
        <v>0</v>
      </c>
      <c r="AR346">
        <f>IF(SUM(ifood_data[[#This Row],[Kidhome]:[Teenhome]])&gt;0,1,0)</f>
        <v>0</v>
      </c>
      <c r="AS346" t="str">
        <f>IF(SUM(ifood_data[[#This Row],[Kidhome]:[Teenhome]])&gt;0,"Has Family","No Family")</f>
        <v>No Family</v>
      </c>
      <c r="AT346" t="str">
        <f>IF(ifood_data[[#This Row],[marital_Married]]=1,"Married", (IF(ifood_data[[#This Row],[marital_Single]]=1,"Single",(IF(ifood_data[[#This Row],[marital_Divorced]]=1,"Divorced",(IF(ifood_data[[#This Row],[marital_Together]]=1,"Living Together",(IF(ifood_data[[#This Row],[marital_Widow]]=1,"Widow","Other")))))))))</f>
        <v>Single</v>
      </c>
      <c r="AU346" t="str">
        <f>IF(ifood_data[[#This Row],[education_Basic]]=1,"High School",(IF(ifood_data[[#This Row],[education_Graduation]]=1,"Undergraduate Degree",(IF(SUM(AM346,AL346,AI346)&gt;0,"Master's Degree or Higher","Other")))))</f>
        <v>Master's Degree or Higher</v>
      </c>
      <c r="AV346" t="str">
        <f>IF(ifood_data[[#All],[Income]]&gt;75000,"75K+",(IF(ifood_data[[#All],[Income]]&gt;50000,"50K-75K",(IF(ifood_data[[#All],[Income]]&gt;35000,"35K-50K","&lt;35K")))))</f>
        <v>50K-75K</v>
      </c>
      <c r="AW346" t="str">
        <f>IF(ifood_data[[#All],[Age]]&gt;60,"60+",(IF(ifood_data[[#All],[Age]]&gt;50,"50-60",(IF(ifood_data[[#All],[Age]]&gt;40,"40-50",(IF(ifood_data[[#All],[Age]]&gt;30,"30-40","&lt;30")))))))</f>
        <v>50-60</v>
      </c>
      <c r="AX346">
        <f t="shared" si="20"/>
        <v>21</v>
      </c>
      <c r="AY346">
        <f t="shared" si="21"/>
        <v>7</v>
      </c>
      <c r="AZ346">
        <f t="shared" si="22"/>
        <v>5</v>
      </c>
      <c r="BA346">
        <f t="shared" si="23"/>
        <v>7</v>
      </c>
      <c r="BB346">
        <f>SUM(ifood_data[[#This Row],[Recency Score]:[Monetary Score]])</f>
        <v>19</v>
      </c>
      <c r="BC346">
        <f>(_xlfn.PERCENTRANK.INC(ifood_data[[#All],[RFM]],ifood_data[[#This Row],[RFM]],1))*10</f>
        <v>7</v>
      </c>
      <c r="BD346" t="str">
        <f>VLOOKUP(ifood_data[[#This Row],[RFM Score]],'RFM Analysis'!$A$3:$B$14,2,FALSE)</f>
        <v>Loyal Customer</v>
      </c>
      <c r="BE346">
        <f>'Regression Models'!$B$101+'Regression Models'!$B$102*ifood_data[[#This Row],[Income]]+'Regression Models'!$B$103*ifood_data[[#This Row],[Age]]+'Regression Models'!$B$104*ifood_data[[#This Row],[Family]]</f>
        <v>1135.3171104154853</v>
      </c>
      <c r="BF346" t="str">
        <f>IF(ifood_data[[#This Row],[AcceptedCmpOverall]]=1,"Campaign Respondent","Non-respondent")</f>
        <v>Non-respondent</v>
      </c>
    </row>
    <row r="347" spans="1:58" x14ac:dyDescent="0.35">
      <c r="A347">
        <v>1949</v>
      </c>
      <c r="B347">
        <v>69209</v>
      </c>
      <c r="C347">
        <v>0</v>
      </c>
      <c r="D347">
        <v>0</v>
      </c>
      <c r="E347">
        <v>4</v>
      </c>
      <c r="F347">
        <v>496</v>
      </c>
      <c r="G347">
        <v>32</v>
      </c>
      <c r="H347">
        <v>849</v>
      </c>
      <c r="I347">
        <v>229</v>
      </c>
      <c r="J347">
        <v>48</v>
      </c>
      <c r="K347">
        <v>128</v>
      </c>
      <c r="L347">
        <v>2</v>
      </c>
      <c r="M347">
        <v>5</v>
      </c>
      <c r="N347">
        <v>3</v>
      </c>
      <c r="O347">
        <v>6</v>
      </c>
      <c r="P347">
        <v>4</v>
      </c>
      <c r="Q347">
        <v>1</v>
      </c>
      <c r="R347">
        <v>0</v>
      </c>
      <c r="S347">
        <v>0</v>
      </c>
      <c r="T347">
        <v>0</v>
      </c>
      <c r="U347">
        <v>0</v>
      </c>
      <c r="V347">
        <f>IF(SUM(ifood_data[[#This Row],[AcceptedCmp1]:[AcceptedCmp5]])&gt;0,1,0)</f>
        <v>1</v>
      </c>
      <c r="W347">
        <v>0</v>
      </c>
      <c r="X347">
        <v>3</v>
      </c>
      <c r="Y347">
        <v>11</v>
      </c>
      <c r="Z347">
        <v>0</v>
      </c>
      <c r="AA347">
        <v>48</v>
      </c>
      <c r="AB347">
        <v>2809</v>
      </c>
      <c r="AC347" s="28">
        <f>ifood_data[[#This Row],[Customer_Days]]/365</f>
        <v>7.6958904109589037</v>
      </c>
      <c r="AD347">
        <v>0</v>
      </c>
      <c r="AE347">
        <v>1</v>
      </c>
      <c r="AF347">
        <v>0</v>
      </c>
      <c r="AG347">
        <v>0</v>
      </c>
      <c r="AH347">
        <v>0</v>
      </c>
      <c r="AI347">
        <v>0</v>
      </c>
      <c r="AJ347">
        <v>0</v>
      </c>
      <c r="AK347">
        <v>1</v>
      </c>
      <c r="AL347">
        <v>0</v>
      </c>
      <c r="AM347">
        <v>0</v>
      </c>
      <c r="AN347">
        <v>1654</v>
      </c>
      <c r="AO347">
        <v>1526</v>
      </c>
      <c r="AP347">
        <f>ifood_data[[#This Row],[MntTotal]]-ifood_data[[#This Row],[MntRegularProds]]</f>
        <v>128</v>
      </c>
      <c r="AQ347">
        <v>1</v>
      </c>
      <c r="AR347">
        <f>IF(SUM(ifood_data[[#This Row],[Kidhome]:[Teenhome]])&gt;0,1,0)</f>
        <v>0</v>
      </c>
      <c r="AS347" t="str">
        <f>IF(SUM(ifood_data[[#This Row],[Kidhome]:[Teenhome]])&gt;0,"Has Family","No Family")</f>
        <v>No Family</v>
      </c>
      <c r="AT347" t="str">
        <f>IF(ifood_data[[#This Row],[marital_Married]]=1,"Married", (IF(ifood_data[[#This Row],[marital_Single]]=1,"Single",(IF(ifood_data[[#This Row],[marital_Divorced]]=1,"Divorced",(IF(ifood_data[[#This Row],[marital_Together]]=1,"Living Together",(IF(ifood_data[[#This Row],[marital_Widow]]=1,"Widow","Other")))))))))</f>
        <v>Married</v>
      </c>
      <c r="AU347" t="str">
        <f>IF(ifood_data[[#This Row],[education_Basic]]=1,"High School",(IF(ifood_data[[#This Row],[education_Graduation]]=1,"Undergraduate Degree",(IF(SUM(AM347,AL347,AI347)&gt;0,"Master's Degree or Higher","Other")))))</f>
        <v>Undergraduate Degree</v>
      </c>
      <c r="AV347" t="str">
        <f>IF(ifood_data[[#All],[Income]]&gt;75000,"75K+",(IF(ifood_data[[#All],[Income]]&gt;50000,"50K-75K",(IF(ifood_data[[#All],[Income]]&gt;35000,"35K-50K","&lt;35K")))))</f>
        <v>50K-75K</v>
      </c>
      <c r="AW347" t="str">
        <f>IF(ifood_data[[#All],[Age]]&gt;60,"60+",(IF(ifood_data[[#All],[Age]]&gt;50,"50-60",(IF(ifood_data[[#All],[Age]]&gt;40,"40-50",(IF(ifood_data[[#All],[Age]]&gt;30,"30-40","&lt;30")))))))</f>
        <v>40-50</v>
      </c>
      <c r="AX347">
        <f t="shared" si="20"/>
        <v>20</v>
      </c>
      <c r="AY347">
        <f t="shared" si="21"/>
        <v>10</v>
      </c>
      <c r="AZ347">
        <f t="shared" si="22"/>
        <v>4</v>
      </c>
      <c r="BA347">
        <f t="shared" si="23"/>
        <v>9</v>
      </c>
      <c r="BB347">
        <f>SUM(ifood_data[[#This Row],[Recency Score]:[Monetary Score]])</f>
        <v>23</v>
      </c>
      <c r="BC347">
        <f>(_xlfn.PERCENTRANK.INC(ifood_data[[#All],[RFM]],ifood_data[[#This Row],[RFM]],1))*10</f>
        <v>8</v>
      </c>
      <c r="BD347" t="str">
        <f>VLOOKUP(ifood_data[[#This Row],[RFM Score]],'RFM Analysis'!$A$3:$B$14,2,FALSE)</f>
        <v>Loyal Customer</v>
      </c>
      <c r="BE347">
        <f>'Regression Models'!$B$101+'Regression Models'!$B$102*ifood_data[[#This Row],[Income]]+'Regression Models'!$B$103*ifood_data[[#This Row],[Age]]+'Regression Models'!$B$104*ifood_data[[#This Row],[Family]]</f>
        <v>1135.1219224097063</v>
      </c>
      <c r="BF347" t="str">
        <f>IF(ifood_data[[#This Row],[AcceptedCmpOverall]]=1,"Campaign Respondent","Non-respondent")</f>
        <v>Campaign Respondent</v>
      </c>
    </row>
    <row r="348" spans="1:58" x14ac:dyDescent="0.35">
      <c r="A348">
        <v>652</v>
      </c>
      <c r="B348">
        <v>69476</v>
      </c>
      <c r="C348">
        <v>0</v>
      </c>
      <c r="D348">
        <v>0</v>
      </c>
      <c r="E348">
        <v>3</v>
      </c>
      <c r="F348">
        <v>260</v>
      </c>
      <c r="G348">
        <v>86</v>
      </c>
      <c r="H348">
        <v>559</v>
      </c>
      <c r="I348">
        <v>63</v>
      </c>
      <c r="J348">
        <v>9</v>
      </c>
      <c r="K348">
        <v>67</v>
      </c>
      <c r="L348">
        <v>1</v>
      </c>
      <c r="M348">
        <v>4</v>
      </c>
      <c r="N348">
        <v>6</v>
      </c>
      <c r="O348">
        <v>4</v>
      </c>
      <c r="P348">
        <v>2</v>
      </c>
      <c r="Q348">
        <v>0</v>
      </c>
      <c r="R348">
        <v>0</v>
      </c>
      <c r="S348">
        <v>0</v>
      </c>
      <c r="T348">
        <v>0</v>
      </c>
      <c r="U348">
        <v>0</v>
      </c>
      <c r="V348">
        <f>IF(SUM(ifood_data[[#This Row],[AcceptedCmp1]:[AcceptedCmp5]])&gt;0,1,0)</f>
        <v>0</v>
      </c>
      <c r="W348">
        <v>0</v>
      </c>
      <c r="X348">
        <v>3</v>
      </c>
      <c r="Y348">
        <v>11</v>
      </c>
      <c r="Z348">
        <v>0</v>
      </c>
      <c r="AA348">
        <v>51</v>
      </c>
      <c r="AB348">
        <v>2431</v>
      </c>
      <c r="AC348" s="28">
        <f>ifood_data[[#This Row],[Customer_Days]]/365</f>
        <v>6.6602739726027398</v>
      </c>
      <c r="AD348">
        <v>0</v>
      </c>
      <c r="AE348">
        <v>0</v>
      </c>
      <c r="AF348">
        <v>0</v>
      </c>
      <c r="AG348">
        <v>1</v>
      </c>
      <c r="AH348">
        <v>0</v>
      </c>
      <c r="AI348">
        <v>0</v>
      </c>
      <c r="AJ348">
        <v>0</v>
      </c>
      <c r="AK348">
        <v>0</v>
      </c>
      <c r="AL348">
        <v>0</v>
      </c>
      <c r="AM348">
        <v>1</v>
      </c>
      <c r="AN348">
        <v>977</v>
      </c>
      <c r="AO348">
        <v>910</v>
      </c>
      <c r="AP348">
        <f>ifood_data[[#This Row],[MntTotal]]-ifood_data[[#This Row],[MntRegularProds]]</f>
        <v>67</v>
      </c>
      <c r="AQ348">
        <v>0</v>
      </c>
      <c r="AR348">
        <f>IF(SUM(ifood_data[[#This Row],[Kidhome]:[Teenhome]])&gt;0,1,0)</f>
        <v>0</v>
      </c>
      <c r="AS348" t="str">
        <f>IF(SUM(ifood_data[[#This Row],[Kidhome]:[Teenhome]])&gt;0,"Has Family","No Family")</f>
        <v>No Family</v>
      </c>
      <c r="AT348" t="str">
        <f>IF(ifood_data[[#This Row],[marital_Married]]=1,"Married", (IF(ifood_data[[#This Row],[marital_Single]]=1,"Single",(IF(ifood_data[[#This Row],[marital_Divorced]]=1,"Divorced",(IF(ifood_data[[#This Row],[marital_Together]]=1,"Living Together",(IF(ifood_data[[#This Row],[marital_Widow]]=1,"Widow","Other")))))))))</f>
        <v>Living Together</v>
      </c>
      <c r="AU348" t="str">
        <f>IF(ifood_data[[#This Row],[education_Basic]]=1,"High School",(IF(ifood_data[[#This Row],[education_Graduation]]=1,"Undergraduate Degree",(IF(SUM(AM348,AL348,AI348)&gt;0,"Master's Degree or Higher","Other")))))</f>
        <v>Master's Degree or Higher</v>
      </c>
      <c r="AV348" t="str">
        <f>IF(ifood_data[[#All],[Income]]&gt;75000,"75K+",(IF(ifood_data[[#All],[Income]]&gt;50000,"50K-75K",(IF(ifood_data[[#All],[Income]]&gt;35000,"35K-50K","&lt;35K")))))</f>
        <v>50K-75K</v>
      </c>
      <c r="AW348" t="str">
        <f>IF(ifood_data[[#All],[Age]]&gt;60,"60+",(IF(ifood_data[[#All],[Age]]&gt;50,"50-60",(IF(ifood_data[[#All],[Age]]&gt;40,"40-50",(IF(ifood_data[[#All],[Age]]&gt;30,"30-40","&lt;30")))))))</f>
        <v>50-60</v>
      </c>
      <c r="AX348">
        <f t="shared" si="20"/>
        <v>17</v>
      </c>
      <c r="AY348">
        <f t="shared" si="21"/>
        <v>10</v>
      </c>
      <c r="AZ348">
        <f t="shared" si="22"/>
        <v>3</v>
      </c>
      <c r="BA348">
        <f t="shared" si="23"/>
        <v>7</v>
      </c>
      <c r="BB348">
        <f>SUM(ifood_data[[#This Row],[Recency Score]:[Monetary Score]])</f>
        <v>20</v>
      </c>
      <c r="BC348">
        <f>(_xlfn.PERCENTRANK.INC(ifood_data[[#All],[RFM]],ifood_data[[#This Row],[RFM]],1))*10</f>
        <v>7</v>
      </c>
      <c r="BD348" t="str">
        <f>VLOOKUP(ifood_data[[#This Row],[RFM Score]],'RFM Analysis'!$A$3:$B$14,2,FALSE)</f>
        <v>Loyal Customer</v>
      </c>
      <c r="BE348">
        <f>'Regression Models'!$B$101+'Regression Models'!$B$102*ifood_data[[#This Row],[Income]]+'Regression Models'!$B$103*ifood_data[[#This Row],[Age]]+'Regression Models'!$B$104*ifood_data[[#This Row],[Family]]</f>
        <v>1135.0564062674443</v>
      </c>
      <c r="BF348" t="str">
        <f>IF(ifood_data[[#This Row],[AcceptedCmpOverall]]=1,"Campaign Respondent","Non-respondent")</f>
        <v>Non-respondent</v>
      </c>
    </row>
    <row r="349" spans="1:58" x14ac:dyDescent="0.35">
      <c r="A349">
        <v>1250</v>
      </c>
      <c r="B349">
        <v>71604</v>
      </c>
      <c r="C349">
        <v>0</v>
      </c>
      <c r="D349">
        <v>0</v>
      </c>
      <c r="E349">
        <v>3</v>
      </c>
      <c r="F349">
        <v>345</v>
      </c>
      <c r="G349">
        <v>53</v>
      </c>
      <c r="H349">
        <v>528</v>
      </c>
      <c r="I349">
        <v>98</v>
      </c>
      <c r="J349">
        <v>75</v>
      </c>
      <c r="K349">
        <v>97</v>
      </c>
      <c r="L349">
        <v>1</v>
      </c>
      <c r="M349">
        <v>8</v>
      </c>
      <c r="N349">
        <v>3</v>
      </c>
      <c r="O349">
        <v>5</v>
      </c>
      <c r="P349">
        <v>4</v>
      </c>
      <c r="Q349">
        <v>0</v>
      </c>
      <c r="R349">
        <v>0</v>
      </c>
      <c r="S349">
        <v>1</v>
      </c>
      <c r="T349">
        <v>0</v>
      </c>
      <c r="U349">
        <v>0</v>
      </c>
      <c r="V349">
        <f>IF(SUM(ifood_data[[#This Row],[AcceptedCmp1]:[AcceptedCmp5]])&gt;0,1,0)</f>
        <v>1</v>
      </c>
      <c r="W349">
        <v>0</v>
      </c>
      <c r="X349">
        <v>3</v>
      </c>
      <c r="Y349">
        <v>11</v>
      </c>
      <c r="Z349">
        <v>1</v>
      </c>
      <c r="AA349">
        <v>75</v>
      </c>
      <c r="AB349">
        <v>2383</v>
      </c>
      <c r="AC349" s="28">
        <f>ifood_data[[#This Row],[Customer_Days]]/365</f>
        <v>6.5287671232876709</v>
      </c>
      <c r="AD349">
        <v>0</v>
      </c>
      <c r="AE349">
        <v>0</v>
      </c>
      <c r="AF349">
        <v>0</v>
      </c>
      <c r="AG349">
        <v>1</v>
      </c>
      <c r="AH349">
        <v>0</v>
      </c>
      <c r="AI349">
        <v>0</v>
      </c>
      <c r="AJ349">
        <v>0</v>
      </c>
      <c r="AK349">
        <v>0</v>
      </c>
      <c r="AL349">
        <v>0</v>
      </c>
      <c r="AM349">
        <v>1</v>
      </c>
      <c r="AN349">
        <v>1099</v>
      </c>
      <c r="AO349">
        <v>1002</v>
      </c>
      <c r="AP349">
        <f>ifood_data[[#This Row],[MntTotal]]-ifood_data[[#This Row],[MntRegularProds]]</f>
        <v>97</v>
      </c>
      <c r="AQ349">
        <v>1</v>
      </c>
      <c r="AR349">
        <f>IF(SUM(ifood_data[[#This Row],[Kidhome]:[Teenhome]])&gt;0,1,0)</f>
        <v>0</v>
      </c>
      <c r="AS349" t="str">
        <f>IF(SUM(ifood_data[[#This Row],[Kidhome]:[Teenhome]])&gt;0,"Has Family","No Family")</f>
        <v>No Family</v>
      </c>
      <c r="AT349" t="str">
        <f>IF(ifood_data[[#This Row],[marital_Married]]=1,"Married", (IF(ifood_data[[#This Row],[marital_Single]]=1,"Single",(IF(ifood_data[[#This Row],[marital_Divorced]]=1,"Divorced",(IF(ifood_data[[#This Row],[marital_Together]]=1,"Living Together",(IF(ifood_data[[#This Row],[marital_Widow]]=1,"Widow","Other")))))))))</f>
        <v>Living Together</v>
      </c>
      <c r="AU349" t="str">
        <f>IF(ifood_data[[#This Row],[education_Basic]]=1,"High School",(IF(ifood_data[[#This Row],[education_Graduation]]=1,"Undergraduate Degree",(IF(SUM(AM349,AL349,AI349)&gt;0,"Master's Degree or Higher","Other")))))</f>
        <v>Master's Degree or Higher</v>
      </c>
      <c r="AV349" t="str">
        <f>IF(ifood_data[[#All],[Income]]&gt;75000,"75K+",(IF(ifood_data[[#All],[Income]]&gt;50000,"50K-75K",(IF(ifood_data[[#All],[Income]]&gt;35000,"35K-50K","&lt;35K")))))</f>
        <v>50K-75K</v>
      </c>
      <c r="AW349" t="str">
        <f>IF(ifood_data[[#All],[Age]]&gt;60,"60+",(IF(ifood_data[[#All],[Age]]&gt;50,"50-60",(IF(ifood_data[[#All],[Age]]&gt;40,"40-50",(IF(ifood_data[[#All],[Age]]&gt;30,"30-40","&lt;30")))))))</f>
        <v>60+</v>
      </c>
      <c r="AX349">
        <f t="shared" si="20"/>
        <v>21</v>
      </c>
      <c r="AY349">
        <f t="shared" si="21"/>
        <v>10</v>
      </c>
      <c r="AZ349">
        <f t="shared" si="22"/>
        <v>5</v>
      </c>
      <c r="BA349">
        <f t="shared" si="23"/>
        <v>8</v>
      </c>
      <c r="BB349">
        <f>SUM(ifood_data[[#This Row],[Recency Score]:[Monetary Score]])</f>
        <v>23</v>
      </c>
      <c r="BC349">
        <f>(_xlfn.PERCENTRANK.INC(ifood_data[[#All],[RFM]],ifood_data[[#This Row],[RFM]],1))*10</f>
        <v>8</v>
      </c>
      <c r="BD349" t="str">
        <f>VLOOKUP(ifood_data[[#This Row],[RFM Score]],'RFM Analysis'!$A$3:$B$14,2,FALSE)</f>
        <v>Loyal Customer</v>
      </c>
      <c r="BE349">
        <f>'Regression Models'!$B$101+'Regression Models'!$B$102*ifood_data[[#This Row],[Income]]+'Regression Models'!$B$103*ifood_data[[#This Row],[Age]]+'Regression Models'!$B$104*ifood_data[[#This Row],[Family]]</f>
        <v>1134.3691669841985</v>
      </c>
      <c r="BF349" t="str">
        <f>IF(ifood_data[[#This Row],[AcceptedCmpOverall]]=1,"Campaign Respondent","Non-respondent")</f>
        <v>Campaign Respondent</v>
      </c>
    </row>
    <row r="350" spans="1:58" x14ac:dyDescent="0.35">
      <c r="A350">
        <v>1479</v>
      </c>
      <c r="B350">
        <v>70638</v>
      </c>
      <c r="C350">
        <v>0</v>
      </c>
      <c r="D350">
        <v>0</v>
      </c>
      <c r="E350">
        <v>69</v>
      </c>
      <c r="F350">
        <v>1016</v>
      </c>
      <c r="G350">
        <v>12</v>
      </c>
      <c r="H350">
        <v>215</v>
      </c>
      <c r="I350">
        <v>16</v>
      </c>
      <c r="J350">
        <v>12</v>
      </c>
      <c r="K350">
        <v>63</v>
      </c>
      <c r="L350">
        <v>1</v>
      </c>
      <c r="M350">
        <v>4</v>
      </c>
      <c r="N350">
        <v>5</v>
      </c>
      <c r="O350">
        <v>10</v>
      </c>
      <c r="P350">
        <v>3</v>
      </c>
      <c r="Q350">
        <v>0</v>
      </c>
      <c r="R350">
        <v>0</v>
      </c>
      <c r="S350">
        <v>0</v>
      </c>
      <c r="T350">
        <v>1</v>
      </c>
      <c r="U350">
        <v>0</v>
      </c>
      <c r="V350">
        <f>IF(SUM(ifood_data[[#This Row],[AcceptedCmp1]:[AcceptedCmp5]])&gt;0,1,0)</f>
        <v>1</v>
      </c>
      <c r="W350">
        <v>0</v>
      </c>
      <c r="X350">
        <v>3</v>
      </c>
      <c r="Y350">
        <v>11</v>
      </c>
      <c r="Z350">
        <v>0</v>
      </c>
      <c r="AA350">
        <v>65</v>
      </c>
      <c r="AB350">
        <v>2552</v>
      </c>
      <c r="AC350" s="28">
        <f>ifood_data[[#This Row],[Customer_Days]]/365</f>
        <v>6.9917808219178079</v>
      </c>
      <c r="AD350">
        <v>1</v>
      </c>
      <c r="AE350">
        <v>0</v>
      </c>
      <c r="AF350">
        <v>0</v>
      </c>
      <c r="AG350">
        <v>0</v>
      </c>
      <c r="AH350">
        <v>0</v>
      </c>
      <c r="AI350">
        <v>0</v>
      </c>
      <c r="AJ350">
        <v>0</v>
      </c>
      <c r="AK350">
        <v>0</v>
      </c>
      <c r="AL350">
        <v>1</v>
      </c>
      <c r="AM350">
        <v>0</v>
      </c>
      <c r="AN350">
        <v>1271</v>
      </c>
      <c r="AO350">
        <v>1208</v>
      </c>
      <c r="AP350">
        <f>ifood_data[[#This Row],[MntTotal]]-ifood_data[[#This Row],[MntRegularProds]]</f>
        <v>63</v>
      </c>
      <c r="AQ350">
        <v>1</v>
      </c>
      <c r="AR350">
        <f>IF(SUM(ifood_data[[#This Row],[Kidhome]:[Teenhome]])&gt;0,1,0)</f>
        <v>0</v>
      </c>
      <c r="AS350" t="str">
        <f>IF(SUM(ifood_data[[#This Row],[Kidhome]:[Teenhome]])&gt;0,"Has Family","No Family")</f>
        <v>No Family</v>
      </c>
      <c r="AT350" t="str">
        <f>IF(ifood_data[[#This Row],[marital_Married]]=1,"Married", (IF(ifood_data[[#This Row],[marital_Single]]=1,"Single",(IF(ifood_data[[#This Row],[marital_Divorced]]=1,"Divorced",(IF(ifood_data[[#This Row],[marital_Together]]=1,"Living Together",(IF(ifood_data[[#This Row],[marital_Widow]]=1,"Widow","Other")))))))))</f>
        <v>Divorced</v>
      </c>
      <c r="AU350" t="str">
        <f>IF(ifood_data[[#This Row],[education_Basic]]=1,"High School",(IF(ifood_data[[#This Row],[education_Graduation]]=1,"Undergraduate Degree",(IF(SUM(AM350,AL350,AI350)&gt;0,"Master's Degree or Higher","Other")))))</f>
        <v>Master's Degree or Higher</v>
      </c>
      <c r="AV350" t="str">
        <f>IF(ifood_data[[#All],[Income]]&gt;75000,"75K+",(IF(ifood_data[[#All],[Income]]&gt;50000,"50K-75K",(IF(ifood_data[[#All],[Income]]&gt;35000,"35K-50K","&lt;35K")))))</f>
        <v>50K-75K</v>
      </c>
      <c r="AW350" t="str">
        <f>IF(ifood_data[[#All],[Age]]&gt;60,"60+",(IF(ifood_data[[#All],[Age]]&gt;50,"50-60",(IF(ifood_data[[#All],[Age]]&gt;40,"40-50",(IF(ifood_data[[#All],[Age]]&gt;30,"30-40","&lt;30")))))))</f>
        <v>60+</v>
      </c>
      <c r="AX350">
        <f t="shared" si="20"/>
        <v>23</v>
      </c>
      <c r="AY350">
        <f t="shared" si="21"/>
        <v>4</v>
      </c>
      <c r="AZ350">
        <f t="shared" si="22"/>
        <v>6</v>
      </c>
      <c r="BA350">
        <f t="shared" si="23"/>
        <v>8</v>
      </c>
      <c r="BB350">
        <f>SUM(ifood_data[[#This Row],[Recency Score]:[Monetary Score]])</f>
        <v>18</v>
      </c>
      <c r="BC350">
        <f>(_xlfn.PERCENTRANK.INC(ifood_data[[#All],[RFM]],ifood_data[[#This Row],[RFM]],1))*10</f>
        <v>6</v>
      </c>
      <c r="BD350" t="str">
        <f>VLOOKUP(ifood_data[[#This Row],[RFM Score]],'RFM Analysis'!$A$3:$B$14,2,FALSE)</f>
        <v>Promising</v>
      </c>
      <c r="BE350">
        <f>'Regression Models'!$B$101+'Regression Models'!$B$102*ifood_data[[#This Row],[Income]]+'Regression Models'!$B$103*ifood_data[[#This Row],[Age]]+'Regression Models'!$B$104*ifood_data[[#This Row],[Family]]</f>
        <v>1133.0380077461348</v>
      </c>
      <c r="BF350" t="str">
        <f>IF(ifood_data[[#This Row],[AcceptedCmpOverall]]=1,"Campaign Respondent","Non-respondent")</f>
        <v>Campaign Respondent</v>
      </c>
    </row>
    <row r="351" spans="1:58" x14ac:dyDescent="0.35">
      <c r="A351">
        <v>367</v>
      </c>
      <c r="B351">
        <v>83664</v>
      </c>
      <c r="C351">
        <v>1</v>
      </c>
      <c r="D351">
        <v>1</v>
      </c>
      <c r="E351">
        <v>57</v>
      </c>
      <c r="F351">
        <v>866</v>
      </c>
      <c r="G351">
        <v>21</v>
      </c>
      <c r="H351">
        <v>151</v>
      </c>
      <c r="I351">
        <v>28</v>
      </c>
      <c r="J351">
        <v>21</v>
      </c>
      <c r="K351">
        <v>86</v>
      </c>
      <c r="L351">
        <v>3</v>
      </c>
      <c r="M351">
        <v>2</v>
      </c>
      <c r="N351">
        <v>2</v>
      </c>
      <c r="O351">
        <v>12</v>
      </c>
      <c r="P351">
        <v>5</v>
      </c>
      <c r="Q351">
        <v>0</v>
      </c>
      <c r="R351">
        <v>0</v>
      </c>
      <c r="S351">
        <v>0</v>
      </c>
      <c r="T351">
        <v>0</v>
      </c>
      <c r="U351">
        <v>0</v>
      </c>
      <c r="V351">
        <f>IF(SUM(ifood_data[[#This Row],[AcceptedCmp1]:[AcceptedCmp5]])&gt;0,1,0)</f>
        <v>0</v>
      </c>
      <c r="W351">
        <v>0</v>
      </c>
      <c r="X351">
        <v>3</v>
      </c>
      <c r="Y351">
        <v>11</v>
      </c>
      <c r="Z351">
        <v>0</v>
      </c>
      <c r="AA351">
        <v>52</v>
      </c>
      <c r="AB351">
        <v>2576</v>
      </c>
      <c r="AC351" s="28">
        <f>ifood_data[[#This Row],[Customer_Days]]/365</f>
        <v>7.0575342465753428</v>
      </c>
      <c r="AD351">
        <v>1</v>
      </c>
      <c r="AE351">
        <v>0</v>
      </c>
      <c r="AF351">
        <v>0</v>
      </c>
      <c r="AG351">
        <v>0</v>
      </c>
      <c r="AH351">
        <v>0</v>
      </c>
      <c r="AI351">
        <v>0</v>
      </c>
      <c r="AJ351">
        <v>0</v>
      </c>
      <c r="AK351">
        <v>0</v>
      </c>
      <c r="AL351">
        <v>0</v>
      </c>
      <c r="AM351">
        <v>1</v>
      </c>
      <c r="AN351">
        <v>1087</v>
      </c>
      <c r="AO351">
        <v>1001</v>
      </c>
      <c r="AP351">
        <f>ifood_data[[#This Row],[MntTotal]]-ifood_data[[#This Row],[MntRegularProds]]</f>
        <v>86</v>
      </c>
      <c r="AQ351">
        <v>0</v>
      </c>
      <c r="AR351">
        <f>IF(SUM(ifood_data[[#This Row],[Kidhome]:[Teenhome]])&gt;0,1,0)</f>
        <v>1</v>
      </c>
      <c r="AS351" t="str">
        <f>IF(SUM(ifood_data[[#This Row],[Kidhome]:[Teenhome]])&gt;0,"Has Family","No Family")</f>
        <v>Has Family</v>
      </c>
      <c r="AT351" t="str">
        <f>IF(ifood_data[[#This Row],[marital_Married]]=1,"Married", (IF(ifood_data[[#This Row],[marital_Single]]=1,"Single",(IF(ifood_data[[#This Row],[marital_Divorced]]=1,"Divorced",(IF(ifood_data[[#This Row],[marital_Together]]=1,"Living Together",(IF(ifood_data[[#This Row],[marital_Widow]]=1,"Widow","Other")))))))))</f>
        <v>Divorced</v>
      </c>
      <c r="AU351" t="str">
        <f>IF(ifood_data[[#This Row],[education_Basic]]=1,"High School",(IF(ifood_data[[#This Row],[education_Graduation]]=1,"Undergraduate Degree",(IF(SUM(AM351,AL351,AI351)&gt;0,"Master's Degree or Higher","Other")))))</f>
        <v>Master's Degree or Higher</v>
      </c>
      <c r="AV351" t="str">
        <f>IF(ifood_data[[#All],[Income]]&gt;75000,"75K+",(IF(ifood_data[[#All],[Income]]&gt;50000,"50K-75K",(IF(ifood_data[[#All],[Income]]&gt;35000,"35K-50K","&lt;35K")))))</f>
        <v>75K+</v>
      </c>
      <c r="AW351" t="str">
        <f>IF(ifood_data[[#All],[Age]]&gt;60,"60+",(IF(ifood_data[[#All],[Age]]&gt;50,"50-60",(IF(ifood_data[[#All],[Age]]&gt;40,"40-50",(IF(ifood_data[[#All],[Age]]&gt;30,"30-40","&lt;30")))))))</f>
        <v>50-60</v>
      </c>
      <c r="AX351">
        <f t="shared" si="20"/>
        <v>24</v>
      </c>
      <c r="AY351">
        <f t="shared" si="21"/>
        <v>5</v>
      </c>
      <c r="AZ351">
        <f t="shared" si="22"/>
        <v>6</v>
      </c>
      <c r="BA351">
        <f t="shared" si="23"/>
        <v>7</v>
      </c>
      <c r="BB351">
        <f>SUM(ifood_data[[#This Row],[Recency Score]:[Monetary Score]])</f>
        <v>18</v>
      </c>
      <c r="BC351">
        <f>(_xlfn.PERCENTRANK.INC(ifood_data[[#All],[RFM]],ifood_data[[#This Row],[RFM]],1))*10</f>
        <v>6</v>
      </c>
      <c r="BD351" t="str">
        <f>VLOOKUP(ifood_data[[#This Row],[RFM Score]],'RFM Analysis'!$A$3:$B$14,2,FALSE)</f>
        <v>Promising</v>
      </c>
      <c r="BE351">
        <f>'Regression Models'!$B$101+'Regression Models'!$B$102*ifood_data[[#This Row],[Income]]+'Regression Models'!$B$103*ifood_data[[#This Row],[Age]]+'Regression Models'!$B$104*ifood_data[[#This Row],[Family]]</f>
        <v>1132.8821785411724</v>
      </c>
      <c r="BF351" t="str">
        <f>IF(ifood_data[[#This Row],[AcceptedCmpOverall]]=1,"Campaign Respondent","Non-respondent")</f>
        <v>Non-respondent</v>
      </c>
    </row>
    <row r="352" spans="1:58" x14ac:dyDescent="0.35">
      <c r="A352">
        <v>233</v>
      </c>
      <c r="B352">
        <v>67546</v>
      </c>
      <c r="C352">
        <v>0</v>
      </c>
      <c r="D352">
        <v>0</v>
      </c>
      <c r="E352">
        <v>90</v>
      </c>
      <c r="F352">
        <v>864</v>
      </c>
      <c r="G352">
        <v>134</v>
      </c>
      <c r="H352">
        <v>768</v>
      </c>
      <c r="I352">
        <v>150</v>
      </c>
      <c r="J352">
        <v>38</v>
      </c>
      <c r="K352">
        <v>172</v>
      </c>
      <c r="L352">
        <v>1</v>
      </c>
      <c r="M352">
        <v>4</v>
      </c>
      <c r="N352">
        <v>10</v>
      </c>
      <c r="O352">
        <v>5</v>
      </c>
      <c r="P352">
        <v>3</v>
      </c>
      <c r="Q352">
        <v>0</v>
      </c>
      <c r="R352">
        <v>0</v>
      </c>
      <c r="S352">
        <v>0</v>
      </c>
      <c r="T352">
        <v>0</v>
      </c>
      <c r="U352">
        <v>0</v>
      </c>
      <c r="V352">
        <f>IF(SUM(ifood_data[[#This Row],[AcceptedCmp1]:[AcceptedCmp5]])&gt;0,1,0)</f>
        <v>0</v>
      </c>
      <c r="W352">
        <v>0</v>
      </c>
      <c r="X352">
        <v>3</v>
      </c>
      <c r="Y352">
        <v>11</v>
      </c>
      <c r="Z352">
        <v>0</v>
      </c>
      <c r="AA352">
        <v>32</v>
      </c>
      <c r="AB352">
        <v>2826</v>
      </c>
      <c r="AC352" s="28">
        <f>ifood_data[[#This Row],[Customer_Days]]/365</f>
        <v>7.7424657534246579</v>
      </c>
      <c r="AD352">
        <v>0</v>
      </c>
      <c r="AE352">
        <v>1</v>
      </c>
      <c r="AF352">
        <v>0</v>
      </c>
      <c r="AG352">
        <v>0</v>
      </c>
      <c r="AH352">
        <v>0</v>
      </c>
      <c r="AI352">
        <v>0</v>
      </c>
      <c r="AJ352">
        <v>0</v>
      </c>
      <c r="AK352">
        <v>0</v>
      </c>
      <c r="AL352">
        <v>0</v>
      </c>
      <c r="AM352">
        <v>1</v>
      </c>
      <c r="AN352">
        <v>1954</v>
      </c>
      <c r="AO352">
        <v>1782</v>
      </c>
      <c r="AP352">
        <f>ifood_data[[#This Row],[MntTotal]]-ifood_data[[#This Row],[MntRegularProds]]</f>
        <v>172</v>
      </c>
      <c r="AQ352">
        <v>0</v>
      </c>
      <c r="AR352">
        <f>IF(SUM(ifood_data[[#This Row],[Kidhome]:[Teenhome]])&gt;0,1,0)</f>
        <v>0</v>
      </c>
      <c r="AS352" t="str">
        <f>IF(SUM(ifood_data[[#This Row],[Kidhome]:[Teenhome]])&gt;0,"Has Family","No Family")</f>
        <v>No Family</v>
      </c>
      <c r="AT352" t="str">
        <f>IF(ifood_data[[#This Row],[marital_Married]]=1,"Married", (IF(ifood_data[[#This Row],[marital_Single]]=1,"Single",(IF(ifood_data[[#This Row],[marital_Divorced]]=1,"Divorced",(IF(ifood_data[[#This Row],[marital_Together]]=1,"Living Together",(IF(ifood_data[[#This Row],[marital_Widow]]=1,"Widow","Other")))))))))</f>
        <v>Married</v>
      </c>
      <c r="AU352" t="str">
        <f>IF(ifood_data[[#This Row],[education_Basic]]=1,"High School",(IF(ifood_data[[#This Row],[education_Graduation]]=1,"Undergraduate Degree",(IF(SUM(AM352,AL352,AI352)&gt;0,"Master's Degree or Higher","Other")))))</f>
        <v>Master's Degree or Higher</v>
      </c>
      <c r="AV352" t="str">
        <f>IF(ifood_data[[#All],[Income]]&gt;75000,"75K+",(IF(ifood_data[[#All],[Income]]&gt;50000,"50K-75K",(IF(ifood_data[[#All],[Income]]&gt;35000,"35K-50K","&lt;35K")))))</f>
        <v>50K-75K</v>
      </c>
      <c r="AW352" t="str">
        <f>IF(ifood_data[[#All],[Age]]&gt;60,"60+",(IF(ifood_data[[#All],[Age]]&gt;50,"50-60",(IF(ifood_data[[#All],[Age]]&gt;40,"40-50",(IF(ifood_data[[#All],[Age]]&gt;30,"30-40","&lt;30")))))))</f>
        <v>30-40</v>
      </c>
      <c r="AX352">
        <f t="shared" si="20"/>
        <v>23</v>
      </c>
      <c r="AY352">
        <f t="shared" si="21"/>
        <v>0.99999999999999978</v>
      </c>
      <c r="AZ352">
        <f t="shared" si="22"/>
        <v>6</v>
      </c>
      <c r="BA352">
        <f t="shared" si="23"/>
        <v>9</v>
      </c>
      <c r="BB352">
        <f>SUM(ifood_data[[#This Row],[Recency Score]:[Monetary Score]])</f>
        <v>16</v>
      </c>
      <c r="BC352">
        <f>(_xlfn.PERCENTRANK.INC(ifood_data[[#All],[RFM]],ifood_data[[#This Row],[RFM]],1))*10</f>
        <v>5</v>
      </c>
      <c r="BD352" t="str">
        <f>VLOOKUP(ifood_data[[#This Row],[RFM Score]],'RFM Analysis'!$A$3:$B$14,2,FALSE)</f>
        <v>Promising</v>
      </c>
      <c r="BE352">
        <f>'Regression Models'!$B$101+'Regression Models'!$B$102*ifood_data[[#This Row],[Income]]+'Regression Models'!$B$103*ifood_data[[#This Row],[Age]]+'Regression Models'!$B$104*ifood_data[[#This Row],[Family]]</f>
        <v>1130.5984262487109</v>
      </c>
      <c r="BF352" t="str">
        <f>IF(ifood_data[[#This Row],[AcceptedCmpOverall]]=1,"Campaign Respondent","Non-respondent")</f>
        <v>Non-respondent</v>
      </c>
    </row>
    <row r="353" spans="1:58" x14ac:dyDescent="0.35">
      <c r="A353">
        <v>1001</v>
      </c>
      <c r="B353">
        <v>67605</v>
      </c>
      <c r="C353">
        <v>0</v>
      </c>
      <c r="D353">
        <v>0</v>
      </c>
      <c r="E353">
        <v>84</v>
      </c>
      <c r="F353">
        <v>336</v>
      </c>
      <c r="G353">
        <v>28</v>
      </c>
      <c r="H353">
        <v>282</v>
      </c>
      <c r="I353">
        <v>184</v>
      </c>
      <c r="J353">
        <v>54</v>
      </c>
      <c r="K353">
        <v>54</v>
      </c>
      <c r="L353">
        <v>1</v>
      </c>
      <c r="M353">
        <v>2</v>
      </c>
      <c r="N353">
        <v>8</v>
      </c>
      <c r="O353">
        <v>6</v>
      </c>
      <c r="P353">
        <v>1</v>
      </c>
      <c r="Q353">
        <v>0</v>
      </c>
      <c r="R353">
        <v>0</v>
      </c>
      <c r="S353">
        <v>0</v>
      </c>
      <c r="T353">
        <v>0</v>
      </c>
      <c r="U353">
        <v>0</v>
      </c>
      <c r="V353">
        <f>IF(SUM(ifood_data[[#This Row],[AcceptedCmp1]:[AcceptedCmp5]])&gt;0,1,0)</f>
        <v>0</v>
      </c>
      <c r="W353">
        <v>0</v>
      </c>
      <c r="X353">
        <v>3</v>
      </c>
      <c r="Y353">
        <v>11</v>
      </c>
      <c r="Z353">
        <v>0</v>
      </c>
      <c r="AA353">
        <v>33</v>
      </c>
      <c r="AB353">
        <v>2614</v>
      </c>
      <c r="AC353" s="28">
        <f>ifood_data[[#This Row],[Customer_Days]]/365</f>
        <v>7.161643835616438</v>
      </c>
      <c r="AD353">
        <v>0</v>
      </c>
      <c r="AE353">
        <v>0</v>
      </c>
      <c r="AF353">
        <v>0</v>
      </c>
      <c r="AG353">
        <v>1</v>
      </c>
      <c r="AH353">
        <v>0</v>
      </c>
      <c r="AI353">
        <v>0</v>
      </c>
      <c r="AJ353">
        <v>0</v>
      </c>
      <c r="AK353">
        <v>1</v>
      </c>
      <c r="AL353">
        <v>0</v>
      </c>
      <c r="AM353">
        <v>0</v>
      </c>
      <c r="AN353">
        <v>884</v>
      </c>
      <c r="AO353">
        <v>830</v>
      </c>
      <c r="AP353">
        <f>ifood_data[[#This Row],[MntTotal]]-ifood_data[[#This Row],[MntRegularProds]]</f>
        <v>54</v>
      </c>
      <c r="AQ353">
        <v>0</v>
      </c>
      <c r="AR353">
        <f>IF(SUM(ifood_data[[#This Row],[Kidhome]:[Teenhome]])&gt;0,1,0)</f>
        <v>0</v>
      </c>
      <c r="AS353" t="str">
        <f>IF(SUM(ifood_data[[#This Row],[Kidhome]:[Teenhome]])&gt;0,"Has Family","No Family")</f>
        <v>No Family</v>
      </c>
      <c r="AT353" t="str">
        <f>IF(ifood_data[[#This Row],[marital_Married]]=1,"Married", (IF(ifood_data[[#This Row],[marital_Single]]=1,"Single",(IF(ifood_data[[#This Row],[marital_Divorced]]=1,"Divorced",(IF(ifood_data[[#This Row],[marital_Together]]=1,"Living Together",(IF(ifood_data[[#This Row],[marital_Widow]]=1,"Widow","Other")))))))))</f>
        <v>Living Together</v>
      </c>
      <c r="AU353" t="str">
        <f>IF(ifood_data[[#This Row],[education_Basic]]=1,"High School",(IF(ifood_data[[#This Row],[education_Graduation]]=1,"Undergraduate Degree",(IF(SUM(AM353,AL353,AI353)&gt;0,"Master's Degree or Higher","Other")))))</f>
        <v>Undergraduate Degree</v>
      </c>
      <c r="AV353" t="str">
        <f>IF(ifood_data[[#All],[Income]]&gt;75000,"75K+",(IF(ifood_data[[#All],[Income]]&gt;50000,"50K-75K",(IF(ifood_data[[#All],[Income]]&gt;35000,"35K-50K","&lt;35K")))))</f>
        <v>50K-75K</v>
      </c>
      <c r="AW353" t="str">
        <f>IF(ifood_data[[#All],[Age]]&gt;60,"60+",(IF(ifood_data[[#All],[Age]]&gt;50,"50-60",(IF(ifood_data[[#All],[Age]]&gt;40,"40-50",(IF(ifood_data[[#All],[Age]]&gt;30,"30-40","&lt;30")))))))</f>
        <v>30-40</v>
      </c>
      <c r="AX353">
        <f t="shared" si="20"/>
        <v>18</v>
      </c>
      <c r="AY353">
        <f t="shared" si="21"/>
        <v>1.9999999999999996</v>
      </c>
      <c r="AZ353">
        <f t="shared" si="22"/>
        <v>4</v>
      </c>
      <c r="BA353">
        <f t="shared" si="23"/>
        <v>7</v>
      </c>
      <c r="BB353">
        <f>SUM(ifood_data[[#This Row],[Recency Score]:[Monetary Score]])</f>
        <v>13</v>
      </c>
      <c r="BC353">
        <f>(_xlfn.PERCENTRANK.INC(ifood_data[[#All],[RFM]],ifood_data[[#This Row],[RFM]],1))*10</f>
        <v>3</v>
      </c>
      <c r="BD353" t="str">
        <f>VLOOKUP(ifood_data[[#This Row],[RFM Score]],'RFM Analysis'!$A$3:$B$14,2,FALSE)</f>
        <v>At Risk</v>
      </c>
      <c r="BE353">
        <f>'Regression Models'!$B$101+'Regression Models'!$B$102*ifood_data[[#This Row],[Income]]+'Regression Models'!$B$103*ifood_data[[#This Row],[Age]]+'Regression Models'!$B$104*ifood_data[[#This Row],[Family]]</f>
        <v>1129.9649244903067</v>
      </c>
      <c r="BF353" t="str">
        <f>IF(ifood_data[[#This Row],[AcceptedCmpOverall]]=1,"Campaign Respondent","Non-respondent")</f>
        <v>Non-respondent</v>
      </c>
    </row>
    <row r="354" spans="1:58" x14ac:dyDescent="0.35">
      <c r="A354">
        <v>1775</v>
      </c>
      <c r="B354">
        <v>70792</v>
      </c>
      <c r="C354">
        <v>0</v>
      </c>
      <c r="D354">
        <v>0</v>
      </c>
      <c r="E354">
        <v>82</v>
      </c>
      <c r="F354">
        <v>344</v>
      </c>
      <c r="G354">
        <v>45</v>
      </c>
      <c r="H354">
        <v>654</v>
      </c>
      <c r="I354">
        <v>104</v>
      </c>
      <c r="J354">
        <v>11</v>
      </c>
      <c r="K354">
        <v>114</v>
      </c>
      <c r="L354">
        <v>2</v>
      </c>
      <c r="M354">
        <v>3</v>
      </c>
      <c r="N354">
        <v>4</v>
      </c>
      <c r="O354">
        <v>10</v>
      </c>
      <c r="P354">
        <v>3</v>
      </c>
      <c r="Q354">
        <v>0</v>
      </c>
      <c r="R354">
        <v>0</v>
      </c>
      <c r="S354">
        <v>0</v>
      </c>
      <c r="T354">
        <v>0</v>
      </c>
      <c r="U354">
        <v>0</v>
      </c>
      <c r="V354">
        <f>IF(SUM(ifood_data[[#This Row],[AcceptedCmp1]:[AcceptedCmp5]])&gt;0,1,0)</f>
        <v>0</v>
      </c>
      <c r="W354">
        <v>0</v>
      </c>
      <c r="X354">
        <v>3</v>
      </c>
      <c r="Y354">
        <v>11</v>
      </c>
      <c r="Z354">
        <v>0</v>
      </c>
      <c r="AA354">
        <v>69</v>
      </c>
      <c r="AB354">
        <v>2667</v>
      </c>
      <c r="AC354" s="28">
        <f>ifood_data[[#This Row],[Customer_Days]]/365</f>
        <v>7.3068493150684928</v>
      </c>
      <c r="AD354">
        <v>0</v>
      </c>
      <c r="AE354">
        <v>0</v>
      </c>
      <c r="AF354">
        <v>0</v>
      </c>
      <c r="AG354">
        <v>0</v>
      </c>
      <c r="AH354">
        <v>1</v>
      </c>
      <c r="AI354">
        <v>0</v>
      </c>
      <c r="AJ354">
        <v>0</v>
      </c>
      <c r="AK354">
        <v>1</v>
      </c>
      <c r="AL354">
        <v>0</v>
      </c>
      <c r="AM354">
        <v>0</v>
      </c>
      <c r="AN354">
        <v>1158</v>
      </c>
      <c r="AO354">
        <v>1044</v>
      </c>
      <c r="AP354">
        <f>ifood_data[[#This Row],[MntTotal]]-ifood_data[[#This Row],[MntRegularProds]]</f>
        <v>114</v>
      </c>
      <c r="AQ354">
        <v>0</v>
      </c>
      <c r="AR354">
        <f>IF(SUM(ifood_data[[#This Row],[Kidhome]:[Teenhome]])&gt;0,1,0)</f>
        <v>0</v>
      </c>
      <c r="AS354" t="str">
        <f>IF(SUM(ifood_data[[#This Row],[Kidhome]:[Teenhome]])&gt;0,"Has Family","No Family")</f>
        <v>No Family</v>
      </c>
      <c r="AT354" t="str">
        <f>IF(ifood_data[[#This Row],[marital_Married]]=1,"Married", (IF(ifood_data[[#This Row],[marital_Single]]=1,"Single",(IF(ifood_data[[#This Row],[marital_Divorced]]=1,"Divorced",(IF(ifood_data[[#This Row],[marital_Together]]=1,"Living Together",(IF(ifood_data[[#This Row],[marital_Widow]]=1,"Widow","Other")))))))))</f>
        <v>Widow</v>
      </c>
      <c r="AU354" t="str">
        <f>IF(ifood_data[[#This Row],[education_Basic]]=1,"High School",(IF(ifood_data[[#This Row],[education_Graduation]]=1,"Undergraduate Degree",(IF(SUM(AM354,AL354,AI354)&gt;0,"Master's Degree or Higher","Other")))))</f>
        <v>Undergraduate Degree</v>
      </c>
      <c r="AV354" t="str">
        <f>IF(ifood_data[[#All],[Income]]&gt;75000,"75K+",(IF(ifood_data[[#All],[Income]]&gt;50000,"50K-75K",(IF(ifood_data[[#All],[Income]]&gt;35000,"35K-50K","&lt;35K")))))</f>
        <v>50K-75K</v>
      </c>
      <c r="AW354" t="str">
        <f>IF(ifood_data[[#All],[Age]]&gt;60,"60+",(IF(ifood_data[[#All],[Age]]&gt;50,"50-60",(IF(ifood_data[[#All],[Age]]&gt;40,"40-50",(IF(ifood_data[[#All],[Age]]&gt;30,"30-40","&lt;30")))))))</f>
        <v>60+</v>
      </c>
      <c r="AX354">
        <f t="shared" si="20"/>
        <v>22</v>
      </c>
      <c r="AY354">
        <f t="shared" si="21"/>
        <v>1.9999999999999996</v>
      </c>
      <c r="AZ354">
        <f t="shared" si="22"/>
        <v>5</v>
      </c>
      <c r="BA354">
        <f t="shared" si="23"/>
        <v>8</v>
      </c>
      <c r="BB354">
        <f>SUM(ifood_data[[#This Row],[Recency Score]:[Monetary Score]])</f>
        <v>15</v>
      </c>
      <c r="BC354">
        <f>(_xlfn.PERCENTRANK.INC(ifood_data[[#All],[RFM]],ifood_data[[#This Row],[RFM]],1))*10</f>
        <v>4</v>
      </c>
      <c r="BD354" t="str">
        <f>VLOOKUP(ifood_data[[#This Row],[RFM Score]],'RFM Analysis'!$A$3:$B$14,2,FALSE)</f>
        <v>At Risk</v>
      </c>
      <c r="BE354">
        <f>'Regression Models'!$B$101+'Regression Models'!$B$102*ifood_data[[#This Row],[Income]]+'Regression Models'!$B$103*ifood_data[[#This Row],[Age]]+'Regression Models'!$B$104*ifood_data[[#This Row],[Family]]</f>
        <v>1128.8321217247183</v>
      </c>
      <c r="BF354" t="str">
        <f>IF(ifood_data[[#This Row],[AcceptedCmpOverall]]=1,"Campaign Respondent","Non-respondent")</f>
        <v>Non-respondent</v>
      </c>
    </row>
    <row r="355" spans="1:58" x14ac:dyDescent="0.35">
      <c r="A355">
        <v>1862</v>
      </c>
      <c r="B355">
        <v>83273</v>
      </c>
      <c r="C355">
        <v>1</v>
      </c>
      <c r="D355">
        <v>2</v>
      </c>
      <c r="E355">
        <v>98</v>
      </c>
      <c r="F355">
        <v>433</v>
      </c>
      <c r="G355">
        <v>89</v>
      </c>
      <c r="H355">
        <v>650</v>
      </c>
      <c r="I355">
        <v>16</v>
      </c>
      <c r="J355">
        <v>102</v>
      </c>
      <c r="K355">
        <v>102</v>
      </c>
      <c r="L355">
        <v>10</v>
      </c>
      <c r="M355">
        <v>4</v>
      </c>
      <c r="N355">
        <v>6</v>
      </c>
      <c r="O355">
        <v>9</v>
      </c>
      <c r="P355">
        <v>7</v>
      </c>
      <c r="Q355">
        <v>0</v>
      </c>
      <c r="R355">
        <v>0</v>
      </c>
      <c r="S355">
        <v>0</v>
      </c>
      <c r="T355">
        <v>0</v>
      </c>
      <c r="U355">
        <v>0</v>
      </c>
      <c r="V355">
        <f>IF(SUM(ifood_data[[#This Row],[AcceptedCmp1]:[AcceptedCmp5]])&gt;0,1,0)</f>
        <v>0</v>
      </c>
      <c r="W355">
        <v>0</v>
      </c>
      <c r="X355">
        <v>3</v>
      </c>
      <c r="Y355">
        <v>11</v>
      </c>
      <c r="Z355">
        <v>0</v>
      </c>
      <c r="AA355">
        <v>50</v>
      </c>
      <c r="AB355">
        <v>2801</v>
      </c>
      <c r="AC355" s="28">
        <f>ifood_data[[#This Row],[Customer_Days]]/365</f>
        <v>7.6739726027397257</v>
      </c>
      <c r="AD355">
        <v>0</v>
      </c>
      <c r="AE355">
        <v>0</v>
      </c>
      <c r="AF355">
        <v>1</v>
      </c>
      <c r="AG355">
        <v>0</v>
      </c>
      <c r="AH355">
        <v>0</v>
      </c>
      <c r="AI355">
        <v>0</v>
      </c>
      <c r="AJ355">
        <v>0</v>
      </c>
      <c r="AK355">
        <v>1</v>
      </c>
      <c r="AL355">
        <v>0</v>
      </c>
      <c r="AM355">
        <v>0</v>
      </c>
      <c r="AN355">
        <v>1290</v>
      </c>
      <c r="AO355">
        <v>1188</v>
      </c>
      <c r="AP355">
        <f>ifood_data[[#This Row],[MntTotal]]-ifood_data[[#This Row],[MntRegularProds]]</f>
        <v>102</v>
      </c>
      <c r="AQ355">
        <v>0</v>
      </c>
      <c r="AR355">
        <f>IF(SUM(ifood_data[[#This Row],[Kidhome]:[Teenhome]])&gt;0,1,0)</f>
        <v>1</v>
      </c>
      <c r="AS355" t="str">
        <f>IF(SUM(ifood_data[[#This Row],[Kidhome]:[Teenhome]])&gt;0,"Has Family","No Family")</f>
        <v>Has Family</v>
      </c>
      <c r="AT355" t="str">
        <f>IF(ifood_data[[#This Row],[marital_Married]]=1,"Married", (IF(ifood_data[[#This Row],[marital_Single]]=1,"Single",(IF(ifood_data[[#This Row],[marital_Divorced]]=1,"Divorced",(IF(ifood_data[[#This Row],[marital_Together]]=1,"Living Together",(IF(ifood_data[[#This Row],[marital_Widow]]=1,"Widow","Other")))))))))</f>
        <v>Single</v>
      </c>
      <c r="AU355" t="str">
        <f>IF(ifood_data[[#This Row],[education_Basic]]=1,"High School",(IF(ifood_data[[#This Row],[education_Graduation]]=1,"Undergraduate Degree",(IF(SUM(AM355,AL355,AI355)&gt;0,"Master's Degree or Higher","Other")))))</f>
        <v>Undergraduate Degree</v>
      </c>
      <c r="AV355" t="str">
        <f>IF(ifood_data[[#All],[Income]]&gt;75000,"75K+",(IF(ifood_data[[#All],[Income]]&gt;50000,"50K-75K",(IF(ifood_data[[#All],[Income]]&gt;35000,"35K-50K","&lt;35K")))))</f>
        <v>75K+</v>
      </c>
      <c r="AW355" t="str">
        <f>IF(ifood_data[[#All],[Age]]&gt;60,"60+",(IF(ifood_data[[#All],[Age]]&gt;50,"50-60",(IF(ifood_data[[#All],[Age]]&gt;40,"40-50",(IF(ifood_data[[#All],[Age]]&gt;30,"30-40","&lt;30")))))))</f>
        <v>40-50</v>
      </c>
      <c r="AX355">
        <f t="shared" si="20"/>
        <v>36</v>
      </c>
      <c r="AY355">
        <f t="shared" si="21"/>
        <v>0.99999999999999978</v>
      </c>
      <c r="AZ355">
        <f t="shared" si="22"/>
        <v>9</v>
      </c>
      <c r="BA355">
        <f t="shared" si="23"/>
        <v>8</v>
      </c>
      <c r="BB355">
        <f>SUM(ifood_data[[#This Row],[Recency Score]:[Monetary Score]])</f>
        <v>18</v>
      </c>
      <c r="BC355">
        <f>(_xlfn.PERCENTRANK.INC(ifood_data[[#All],[RFM]],ifood_data[[#This Row],[RFM]],1))*10</f>
        <v>6</v>
      </c>
      <c r="BD355" t="str">
        <f>VLOOKUP(ifood_data[[#This Row],[RFM Score]],'RFM Analysis'!$A$3:$B$14,2,FALSE)</f>
        <v>Promising</v>
      </c>
      <c r="BE355">
        <f>'Regression Models'!$B$101+'Regression Models'!$B$102*ifood_data[[#This Row],[Income]]+'Regression Models'!$B$103*ifood_data[[#This Row],[Age]]+'Regression Models'!$B$104*ifood_data[[#This Row],[Family]]</f>
        <v>1128.5830483546965</v>
      </c>
      <c r="BF355" t="str">
        <f>IF(ifood_data[[#This Row],[AcceptedCmpOverall]]=1,"Campaign Respondent","Non-respondent")</f>
        <v>Non-respondent</v>
      </c>
    </row>
    <row r="356" spans="1:58" x14ac:dyDescent="0.35">
      <c r="A356">
        <v>497</v>
      </c>
      <c r="B356">
        <v>70503</v>
      </c>
      <c r="C356">
        <v>0</v>
      </c>
      <c r="D356">
        <v>0</v>
      </c>
      <c r="E356">
        <v>73</v>
      </c>
      <c r="F356">
        <v>1379</v>
      </c>
      <c r="G356">
        <v>33</v>
      </c>
      <c r="H356">
        <v>216</v>
      </c>
      <c r="I356">
        <v>0</v>
      </c>
      <c r="J356">
        <v>33</v>
      </c>
      <c r="K356">
        <v>66</v>
      </c>
      <c r="L356">
        <v>1</v>
      </c>
      <c r="M356">
        <v>2</v>
      </c>
      <c r="N356">
        <v>4</v>
      </c>
      <c r="O356">
        <v>9</v>
      </c>
      <c r="P356">
        <v>6</v>
      </c>
      <c r="Q356">
        <v>0</v>
      </c>
      <c r="R356">
        <v>0</v>
      </c>
      <c r="S356">
        <v>0</v>
      </c>
      <c r="T356">
        <v>1</v>
      </c>
      <c r="U356">
        <v>1</v>
      </c>
      <c r="V356">
        <f>IF(SUM(ifood_data[[#This Row],[AcceptedCmp1]:[AcceptedCmp5]])&gt;0,1,0)</f>
        <v>1</v>
      </c>
      <c r="W356">
        <v>0</v>
      </c>
      <c r="X356">
        <v>3</v>
      </c>
      <c r="Y356">
        <v>11</v>
      </c>
      <c r="Z356">
        <v>0</v>
      </c>
      <c r="AA356">
        <v>67</v>
      </c>
      <c r="AB356">
        <v>2796</v>
      </c>
      <c r="AC356" s="28">
        <f>ifood_data[[#This Row],[Customer_Days]]/365</f>
        <v>7.6602739726027398</v>
      </c>
      <c r="AD356">
        <v>0</v>
      </c>
      <c r="AE356">
        <v>1</v>
      </c>
      <c r="AF356">
        <v>0</v>
      </c>
      <c r="AG356">
        <v>0</v>
      </c>
      <c r="AH356">
        <v>0</v>
      </c>
      <c r="AI356">
        <v>0</v>
      </c>
      <c r="AJ356">
        <v>0</v>
      </c>
      <c r="AK356">
        <v>1</v>
      </c>
      <c r="AL356">
        <v>0</v>
      </c>
      <c r="AM356">
        <v>0</v>
      </c>
      <c r="AN356">
        <v>1661</v>
      </c>
      <c r="AO356">
        <v>1595</v>
      </c>
      <c r="AP356">
        <f>ifood_data[[#This Row],[MntTotal]]-ifood_data[[#This Row],[MntRegularProds]]</f>
        <v>66</v>
      </c>
      <c r="AQ356">
        <v>2</v>
      </c>
      <c r="AR356">
        <f>IF(SUM(ifood_data[[#This Row],[Kidhome]:[Teenhome]])&gt;0,1,0)</f>
        <v>0</v>
      </c>
      <c r="AS356" t="str">
        <f>IF(SUM(ifood_data[[#This Row],[Kidhome]:[Teenhome]])&gt;0,"Has Family","No Family")</f>
        <v>No Family</v>
      </c>
      <c r="AT356" t="str">
        <f>IF(ifood_data[[#This Row],[marital_Married]]=1,"Married", (IF(ifood_data[[#This Row],[marital_Single]]=1,"Single",(IF(ifood_data[[#This Row],[marital_Divorced]]=1,"Divorced",(IF(ifood_data[[#This Row],[marital_Together]]=1,"Living Together",(IF(ifood_data[[#This Row],[marital_Widow]]=1,"Widow","Other")))))))))</f>
        <v>Married</v>
      </c>
      <c r="AU356" t="str">
        <f>IF(ifood_data[[#This Row],[education_Basic]]=1,"High School",(IF(ifood_data[[#This Row],[education_Graduation]]=1,"Undergraduate Degree",(IF(SUM(AM356,AL356,AI356)&gt;0,"Master's Degree or Higher","Other")))))</f>
        <v>Undergraduate Degree</v>
      </c>
      <c r="AV356" t="str">
        <f>IF(ifood_data[[#All],[Income]]&gt;75000,"75K+",(IF(ifood_data[[#All],[Income]]&gt;50000,"50K-75K",(IF(ifood_data[[#All],[Income]]&gt;35000,"35K-50K","&lt;35K")))))</f>
        <v>50K-75K</v>
      </c>
      <c r="AW356" t="str">
        <f>IF(ifood_data[[#All],[Age]]&gt;60,"60+",(IF(ifood_data[[#All],[Age]]&gt;50,"50-60",(IF(ifood_data[[#All],[Age]]&gt;40,"40-50",(IF(ifood_data[[#All],[Age]]&gt;30,"30-40","&lt;30")))))))</f>
        <v>60+</v>
      </c>
      <c r="AX356">
        <f t="shared" si="20"/>
        <v>22</v>
      </c>
      <c r="AY356">
        <f t="shared" si="21"/>
        <v>3.0000000000000004</v>
      </c>
      <c r="AZ356">
        <f t="shared" si="22"/>
        <v>5</v>
      </c>
      <c r="BA356">
        <f t="shared" si="23"/>
        <v>9</v>
      </c>
      <c r="BB356">
        <f>SUM(ifood_data[[#This Row],[Recency Score]:[Monetary Score]])</f>
        <v>17</v>
      </c>
      <c r="BC356">
        <f>(_xlfn.PERCENTRANK.INC(ifood_data[[#All],[RFM]],ifood_data[[#This Row],[RFM]],1))*10</f>
        <v>6</v>
      </c>
      <c r="BD356" t="str">
        <f>VLOOKUP(ifood_data[[#This Row],[RFM Score]],'RFM Analysis'!$A$3:$B$14,2,FALSE)</f>
        <v>Promising</v>
      </c>
      <c r="BE356">
        <f>'Regression Models'!$B$101+'Regression Models'!$B$102*ifood_data[[#This Row],[Income]]+'Regression Models'!$B$103*ifood_data[[#This Row],[Age]]+'Regression Models'!$B$104*ifood_data[[#This Row],[Family]]</f>
        <v>1126.61264588892</v>
      </c>
      <c r="BF356" t="str">
        <f>IF(ifood_data[[#This Row],[AcceptedCmpOverall]]=1,"Campaign Respondent","Non-respondent")</f>
        <v>Campaign Respondent</v>
      </c>
    </row>
    <row r="357" spans="1:58" x14ac:dyDescent="0.35">
      <c r="A357">
        <v>725</v>
      </c>
      <c r="B357">
        <v>67430</v>
      </c>
      <c r="C357">
        <v>0</v>
      </c>
      <c r="D357">
        <v>0</v>
      </c>
      <c r="E357">
        <v>6</v>
      </c>
      <c r="F357">
        <v>595</v>
      </c>
      <c r="G357">
        <v>97</v>
      </c>
      <c r="H357">
        <v>291</v>
      </c>
      <c r="I357">
        <v>127</v>
      </c>
      <c r="J357">
        <v>133</v>
      </c>
      <c r="K357">
        <v>121</v>
      </c>
      <c r="L357">
        <v>1</v>
      </c>
      <c r="M357">
        <v>11</v>
      </c>
      <c r="N357">
        <v>5</v>
      </c>
      <c r="O357">
        <v>12</v>
      </c>
      <c r="P357">
        <v>6</v>
      </c>
      <c r="Q357">
        <v>0</v>
      </c>
      <c r="R357">
        <v>0</v>
      </c>
      <c r="S357">
        <v>0</v>
      </c>
      <c r="T357">
        <v>0</v>
      </c>
      <c r="U357">
        <v>0</v>
      </c>
      <c r="V357">
        <f>IF(SUM(ifood_data[[#This Row],[AcceptedCmp1]:[AcceptedCmp5]])&gt;0,1,0)</f>
        <v>0</v>
      </c>
      <c r="W357">
        <v>0</v>
      </c>
      <c r="X357">
        <v>3</v>
      </c>
      <c r="Y357">
        <v>11</v>
      </c>
      <c r="Z357">
        <v>0</v>
      </c>
      <c r="AA357">
        <v>33</v>
      </c>
      <c r="AB357">
        <v>2821</v>
      </c>
      <c r="AC357" s="28">
        <f>ifood_data[[#This Row],[Customer_Days]]/365</f>
        <v>7.7287671232876711</v>
      </c>
      <c r="AD357">
        <v>0</v>
      </c>
      <c r="AE357">
        <v>0</v>
      </c>
      <c r="AF357">
        <v>0</v>
      </c>
      <c r="AG357">
        <v>1</v>
      </c>
      <c r="AH357">
        <v>0</v>
      </c>
      <c r="AI357">
        <v>0</v>
      </c>
      <c r="AJ357">
        <v>0</v>
      </c>
      <c r="AK357">
        <v>1</v>
      </c>
      <c r="AL357">
        <v>0</v>
      </c>
      <c r="AM357">
        <v>0</v>
      </c>
      <c r="AN357">
        <v>1243</v>
      </c>
      <c r="AO357">
        <v>1122</v>
      </c>
      <c r="AP357">
        <f>ifood_data[[#This Row],[MntTotal]]-ifood_data[[#This Row],[MntRegularProds]]</f>
        <v>121</v>
      </c>
      <c r="AQ357">
        <v>0</v>
      </c>
      <c r="AR357">
        <f>IF(SUM(ifood_data[[#This Row],[Kidhome]:[Teenhome]])&gt;0,1,0)</f>
        <v>0</v>
      </c>
      <c r="AS357" t="str">
        <f>IF(SUM(ifood_data[[#This Row],[Kidhome]:[Teenhome]])&gt;0,"Has Family","No Family")</f>
        <v>No Family</v>
      </c>
      <c r="AT357" t="str">
        <f>IF(ifood_data[[#This Row],[marital_Married]]=1,"Married", (IF(ifood_data[[#This Row],[marital_Single]]=1,"Single",(IF(ifood_data[[#This Row],[marital_Divorced]]=1,"Divorced",(IF(ifood_data[[#This Row],[marital_Together]]=1,"Living Together",(IF(ifood_data[[#This Row],[marital_Widow]]=1,"Widow","Other")))))))))</f>
        <v>Living Together</v>
      </c>
      <c r="AU357" t="str">
        <f>IF(ifood_data[[#This Row],[education_Basic]]=1,"High School",(IF(ifood_data[[#This Row],[education_Graduation]]=1,"Undergraduate Degree",(IF(SUM(AM357,AL357,AI357)&gt;0,"Master's Degree or Higher","Other")))))</f>
        <v>Undergraduate Degree</v>
      </c>
      <c r="AV357" t="str">
        <f>IF(ifood_data[[#All],[Income]]&gt;75000,"75K+",(IF(ifood_data[[#All],[Income]]&gt;50000,"50K-75K",(IF(ifood_data[[#All],[Income]]&gt;35000,"35K-50K","&lt;35K")))))</f>
        <v>50K-75K</v>
      </c>
      <c r="AW357" t="str">
        <f>IF(ifood_data[[#All],[Age]]&gt;60,"60+",(IF(ifood_data[[#All],[Age]]&gt;50,"50-60",(IF(ifood_data[[#All],[Age]]&gt;40,"40-50",(IF(ifood_data[[#All],[Age]]&gt;30,"30-40","&lt;30")))))))</f>
        <v>30-40</v>
      </c>
      <c r="AX357">
        <f t="shared" si="20"/>
        <v>35</v>
      </c>
      <c r="AY357">
        <f t="shared" si="21"/>
        <v>10</v>
      </c>
      <c r="AZ357">
        <f t="shared" si="22"/>
        <v>9</v>
      </c>
      <c r="BA357">
        <f t="shared" si="23"/>
        <v>8</v>
      </c>
      <c r="BB357">
        <f>SUM(ifood_data[[#This Row],[Recency Score]:[Monetary Score]])</f>
        <v>27</v>
      </c>
      <c r="BC357">
        <f>(_xlfn.PERCENTRANK.INC(ifood_data[[#All],[RFM]],ifood_data[[#This Row],[RFM]],1))*10</f>
        <v>9</v>
      </c>
      <c r="BD357" t="str">
        <f>VLOOKUP(ifood_data[[#This Row],[RFM Score]],'RFM Analysis'!$A$3:$B$14,2,FALSE)</f>
        <v>Top Customer</v>
      </c>
      <c r="BE357">
        <f>'Regression Models'!$B$101+'Regression Models'!$B$102*ifood_data[[#This Row],[Income]]+'Regression Models'!$B$103*ifood_data[[#This Row],[Age]]+'Regression Models'!$B$104*ifood_data[[#This Row],[Family]]</f>
        <v>1126.3968900651244</v>
      </c>
      <c r="BF357" t="str">
        <f>IF(ifood_data[[#This Row],[AcceptedCmpOverall]]=1,"Campaign Respondent","Non-respondent")</f>
        <v>Non-respondent</v>
      </c>
    </row>
    <row r="358" spans="1:58" x14ac:dyDescent="0.35">
      <c r="A358">
        <v>842</v>
      </c>
      <c r="B358">
        <v>68092</v>
      </c>
      <c r="C358">
        <v>0</v>
      </c>
      <c r="D358">
        <v>0</v>
      </c>
      <c r="E358">
        <v>7</v>
      </c>
      <c r="F358">
        <v>852</v>
      </c>
      <c r="G358">
        <v>60</v>
      </c>
      <c r="H358">
        <v>207</v>
      </c>
      <c r="I358">
        <v>78</v>
      </c>
      <c r="J358">
        <v>36</v>
      </c>
      <c r="K358">
        <v>48</v>
      </c>
      <c r="L358">
        <v>2</v>
      </c>
      <c r="M358">
        <v>2</v>
      </c>
      <c r="N358">
        <v>6</v>
      </c>
      <c r="O358">
        <v>10</v>
      </c>
      <c r="P358">
        <v>5</v>
      </c>
      <c r="Q358">
        <v>0</v>
      </c>
      <c r="R358">
        <v>0</v>
      </c>
      <c r="S358">
        <v>0</v>
      </c>
      <c r="T358">
        <v>0</v>
      </c>
      <c r="U358">
        <v>0</v>
      </c>
      <c r="V358">
        <f>IF(SUM(ifood_data[[#This Row],[AcceptedCmp1]:[AcceptedCmp5]])&gt;0,1,0)</f>
        <v>0</v>
      </c>
      <c r="W358">
        <v>0</v>
      </c>
      <c r="X358">
        <v>3</v>
      </c>
      <c r="Y358">
        <v>11</v>
      </c>
      <c r="Z358">
        <v>0</v>
      </c>
      <c r="AA358">
        <v>42</v>
      </c>
      <c r="AB358">
        <v>2354</v>
      </c>
      <c r="AC358" s="28">
        <f>ifood_data[[#This Row],[Customer_Days]]/365</f>
        <v>6.4493150684931511</v>
      </c>
      <c r="AD358">
        <v>0</v>
      </c>
      <c r="AE358">
        <v>0</v>
      </c>
      <c r="AF358">
        <v>1</v>
      </c>
      <c r="AG358">
        <v>0</v>
      </c>
      <c r="AH358">
        <v>0</v>
      </c>
      <c r="AI358">
        <v>0</v>
      </c>
      <c r="AJ358">
        <v>0</v>
      </c>
      <c r="AK358">
        <v>0</v>
      </c>
      <c r="AL358">
        <v>1</v>
      </c>
      <c r="AM358">
        <v>0</v>
      </c>
      <c r="AN358">
        <v>1233</v>
      </c>
      <c r="AO358">
        <v>1185</v>
      </c>
      <c r="AP358">
        <f>ifood_data[[#This Row],[MntTotal]]-ifood_data[[#This Row],[MntRegularProds]]</f>
        <v>48</v>
      </c>
      <c r="AQ358">
        <v>0</v>
      </c>
      <c r="AR358">
        <f>IF(SUM(ifood_data[[#This Row],[Kidhome]:[Teenhome]])&gt;0,1,0)</f>
        <v>0</v>
      </c>
      <c r="AS358" t="str">
        <f>IF(SUM(ifood_data[[#This Row],[Kidhome]:[Teenhome]])&gt;0,"Has Family","No Family")</f>
        <v>No Family</v>
      </c>
      <c r="AT358" t="str">
        <f>IF(ifood_data[[#This Row],[marital_Married]]=1,"Married", (IF(ifood_data[[#This Row],[marital_Single]]=1,"Single",(IF(ifood_data[[#This Row],[marital_Divorced]]=1,"Divorced",(IF(ifood_data[[#This Row],[marital_Together]]=1,"Living Together",(IF(ifood_data[[#This Row],[marital_Widow]]=1,"Widow","Other")))))))))</f>
        <v>Single</v>
      </c>
      <c r="AU358" t="str">
        <f>IF(ifood_data[[#This Row],[education_Basic]]=1,"High School",(IF(ifood_data[[#This Row],[education_Graduation]]=1,"Undergraduate Degree",(IF(SUM(AM358,AL358,AI358)&gt;0,"Master's Degree or Higher","Other")))))</f>
        <v>Master's Degree or Higher</v>
      </c>
      <c r="AV358" t="str">
        <f>IF(ifood_data[[#All],[Income]]&gt;75000,"75K+",(IF(ifood_data[[#All],[Income]]&gt;50000,"50K-75K",(IF(ifood_data[[#All],[Income]]&gt;35000,"35K-50K","&lt;35K")))))</f>
        <v>50K-75K</v>
      </c>
      <c r="AW358" t="str">
        <f>IF(ifood_data[[#All],[Age]]&gt;60,"60+",(IF(ifood_data[[#All],[Age]]&gt;50,"50-60",(IF(ifood_data[[#All],[Age]]&gt;40,"40-50",(IF(ifood_data[[#All],[Age]]&gt;30,"30-40","&lt;30")))))))</f>
        <v>40-50</v>
      </c>
      <c r="AX358">
        <f t="shared" si="20"/>
        <v>25</v>
      </c>
      <c r="AY358">
        <f t="shared" si="21"/>
        <v>10</v>
      </c>
      <c r="AZ358">
        <f t="shared" si="22"/>
        <v>7</v>
      </c>
      <c r="BA358">
        <f t="shared" si="23"/>
        <v>8</v>
      </c>
      <c r="BB358">
        <f>SUM(ifood_data[[#This Row],[Recency Score]:[Monetary Score]])</f>
        <v>25</v>
      </c>
      <c r="BC358">
        <f>(_xlfn.PERCENTRANK.INC(ifood_data[[#All],[RFM]],ifood_data[[#This Row],[RFM]],1))*10</f>
        <v>9</v>
      </c>
      <c r="BD358" t="str">
        <f>VLOOKUP(ifood_data[[#This Row],[RFM Score]],'RFM Analysis'!$A$3:$B$14,2,FALSE)</f>
        <v>Top Customer</v>
      </c>
      <c r="BE358">
        <f>'Regression Models'!$B$101+'Regression Models'!$B$102*ifood_data[[#This Row],[Income]]+'Regression Models'!$B$103*ifood_data[[#This Row],[Age]]+'Regression Models'!$B$104*ifood_data[[#This Row],[Family]]</f>
        <v>1123.3663028663368</v>
      </c>
      <c r="BF358" t="str">
        <f>IF(ifood_data[[#This Row],[AcceptedCmpOverall]]=1,"Campaign Respondent","Non-respondent")</f>
        <v>Non-respondent</v>
      </c>
    </row>
    <row r="359" spans="1:58" x14ac:dyDescent="0.35">
      <c r="A359">
        <v>60</v>
      </c>
      <c r="B359">
        <v>70666</v>
      </c>
      <c r="C359">
        <v>0</v>
      </c>
      <c r="D359">
        <v>0</v>
      </c>
      <c r="E359">
        <v>29</v>
      </c>
      <c r="F359">
        <v>398</v>
      </c>
      <c r="G359">
        <v>40</v>
      </c>
      <c r="H359">
        <v>367</v>
      </c>
      <c r="I359">
        <v>119</v>
      </c>
      <c r="J359">
        <v>122</v>
      </c>
      <c r="K359">
        <v>30</v>
      </c>
      <c r="L359">
        <v>1</v>
      </c>
      <c r="M359">
        <v>7</v>
      </c>
      <c r="N359">
        <v>4</v>
      </c>
      <c r="O359">
        <v>4</v>
      </c>
      <c r="P359">
        <v>4</v>
      </c>
      <c r="Q359">
        <v>0</v>
      </c>
      <c r="R359">
        <v>0</v>
      </c>
      <c r="S359">
        <v>0</v>
      </c>
      <c r="T359">
        <v>0</v>
      </c>
      <c r="U359">
        <v>0</v>
      </c>
      <c r="V359">
        <f>IF(SUM(ifood_data[[#This Row],[AcceptedCmp1]:[AcceptedCmp5]])&gt;0,1,0)</f>
        <v>0</v>
      </c>
      <c r="W359">
        <v>0</v>
      </c>
      <c r="X359">
        <v>3</v>
      </c>
      <c r="Y359">
        <v>11</v>
      </c>
      <c r="Z359">
        <v>0</v>
      </c>
      <c r="AA359">
        <v>72</v>
      </c>
      <c r="AB359">
        <v>2364</v>
      </c>
      <c r="AC359" s="28">
        <f>ifood_data[[#This Row],[Customer_Days]]/365</f>
        <v>6.4767123287671229</v>
      </c>
      <c r="AD359">
        <v>0</v>
      </c>
      <c r="AE359">
        <v>0</v>
      </c>
      <c r="AF359">
        <v>0</v>
      </c>
      <c r="AG359">
        <v>1</v>
      </c>
      <c r="AH359">
        <v>0</v>
      </c>
      <c r="AI359">
        <v>0</v>
      </c>
      <c r="AJ359">
        <v>0</v>
      </c>
      <c r="AK359">
        <v>1</v>
      </c>
      <c r="AL359">
        <v>0</v>
      </c>
      <c r="AM359">
        <v>0</v>
      </c>
      <c r="AN359">
        <v>1046</v>
      </c>
      <c r="AO359">
        <v>1016</v>
      </c>
      <c r="AP359">
        <f>ifood_data[[#This Row],[MntTotal]]-ifood_data[[#This Row],[MntRegularProds]]</f>
        <v>30</v>
      </c>
      <c r="AQ359">
        <v>0</v>
      </c>
      <c r="AR359">
        <f>IF(SUM(ifood_data[[#This Row],[Kidhome]:[Teenhome]])&gt;0,1,0)</f>
        <v>0</v>
      </c>
      <c r="AS359" t="str">
        <f>IF(SUM(ifood_data[[#This Row],[Kidhome]:[Teenhome]])&gt;0,"Has Family","No Family")</f>
        <v>No Family</v>
      </c>
      <c r="AT359" t="str">
        <f>IF(ifood_data[[#This Row],[marital_Married]]=1,"Married", (IF(ifood_data[[#This Row],[marital_Single]]=1,"Single",(IF(ifood_data[[#This Row],[marital_Divorced]]=1,"Divorced",(IF(ifood_data[[#This Row],[marital_Together]]=1,"Living Together",(IF(ifood_data[[#This Row],[marital_Widow]]=1,"Widow","Other")))))))))</f>
        <v>Living Together</v>
      </c>
      <c r="AU359" t="str">
        <f>IF(ifood_data[[#This Row],[education_Basic]]=1,"High School",(IF(ifood_data[[#This Row],[education_Graduation]]=1,"Undergraduate Degree",(IF(SUM(AM359,AL359,AI359)&gt;0,"Master's Degree or Higher","Other")))))</f>
        <v>Undergraduate Degree</v>
      </c>
      <c r="AV359" t="str">
        <f>IF(ifood_data[[#All],[Income]]&gt;75000,"75K+",(IF(ifood_data[[#All],[Income]]&gt;50000,"50K-75K",(IF(ifood_data[[#All],[Income]]&gt;35000,"35K-50K","&lt;35K")))))</f>
        <v>50K-75K</v>
      </c>
      <c r="AW359" t="str">
        <f>IF(ifood_data[[#All],[Age]]&gt;60,"60+",(IF(ifood_data[[#All],[Age]]&gt;50,"50-60",(IF(ifood_data[[#All],[Age]]&gt;40,"40-50",(IF(ifood_data[[#All],[Age]]&gt;30,"30-40","&lt;30")))))))</f>
        <v>60+</v>
      </c>
      <c r="AX359">
        <f t="shared" si="20"/>
        <v>20</v>
      </c>
      <c r="AY359">
        <f t="shared" si="21"/>
        <v>8</v>
      </c>
      <c r="AZ359">
        <f t="shared" si="22"/>
        <v>4</v>
      </c>
      <c r="BA359">
        <f t="shared" si="23"/>
        <v>7</v>
      </c>
      <c r="BB359">
        <f>SUM(ifood_data[[#This Row],[Recency Score]:[Monetary Score]])</f>
        <v>19</v>
      </c>
      <c r="BC359">
        <f>(_xlfn.PERCENTRANK.INC(ifood_data[[#All],[RFM]],ifood_data[[#This Row],[RFM]],1))*10</f>
        <v>7</v>
      </c>
      <c r="BD359" t="str">
        <f>VLOOKUP(ifood_data[[#This Row],[RFM Score]],'RFM Analysis'!$A$3:$B$14,2,FALSE)</f>
        <v>Loyal Customer</v>
      </c>
      <c r="BE359">
        <f>'Regression Models'!$B$101+'Regression Models'!$B$102*ifood_data[[#This Row],[Income]]+'Regression Models'!$B$103*ifood_data[[#This Row],[Age]]+'Regression Models'!$B$104*ifood_data[[#This Row],[Family]]</f>
        <v>1120.7538197019041</v>
      </c>
      <c r="BF359" t="str">
        <f>IF(ifood_data[[#This Row],[AcceptedCmpOverall]]=1,"Campaign Respondent","Non-respondent")</f>
        <v>Non-respondent</v>
      </c>
    </row>
    <row r="360" spans="1:58" x14ac:dyDescent="0.35">
      <c r="A360">
        <v>178</v>
      </c>
      <c r="B360">
        <v>66973</v>
      </c>
      <c r="C360">
        <v>0</v>
      </c>
      <c r="D360">
        <v>0</v>
      </c>
      <c r="E360">
        <v>98</v>
      </c>
      <c r="F360">
        <v>466</v>
      </c>
      <c r="G360">
        <v>22</v>
      </c>
      <c r="H360">
        <v>432</v>
      </c>
      <c r="I360">
        <v>147</v>
      </c>
      <c r="J360">
        <v>113</v>
      </c>
      <c r="K360">
        <v>102</v>
      </c>
      <c r="L360">
        <v>1</v>
      </c>
      <c r="M360">
        <v>8</v>
      </c>
      <c r="N360">
        <v>7</v>
      </c>
      <c r="O360">
        <v>12</v>
      </c>
      <c r="P360">
        <v>3</v>
      </c>
      <c r="Q360">
        <v>0</v>
      </c>
      <c r="R360">
        <v>0</v>
      </c>
      <c r="S360">
        <v>0</v>
      </c>
      <c r="T360">
        <v>0</v>
      </c>
      <c r="U360">
        <v>0</v>
      </c>
      <c r="V360">
        <f>IF(SUM(ifood_data[[#This Row],[AcceptedCmp1]:[AcceptedCmp5]])&gt;0,1,0)</f>
        <v>0</v>
      </c>
      <c r="W360">
        <v>0</v>
      </c>
      <c r="X360">
        <v>3</v>
      </c>
      <c r="Y360">
        <v>11</v>
      </c>
      <c r="Z360">
        <v>0</v>
      </c>
      <c r="AA360">
        <v>31</v>
      </c>
      <c r="AB360">
        <v>2567</v>
      </c>
      <c r="AC360" s="28">
        <f>ifood_data[[#This Row],[Customer_Days]]/365</f>
        <v>7.0328767123287674</v>
      </c>
      <c r="AD360">
        <v>0</v>
      </c>
      <c r="AE360">
        <v>0</v>
      </c>
      <c r="AF360">
        <v>0</v>
      </c>
      <c r="AG360">
        <v>1</v>
      </c>
      <c r="AH360">
        <v>0</v>
      </c>
      <c r="AI360">
        <v>0</v>
      </c>
      <c r="AJ360">
        <v>0</v>
      </c>
      <c r="AK360">
        <v>0</v>
      </c>
      <c r="AL360">
        <v>0</v>
      </c>
      <c r="AM360">
        <v>1</v>
      </c>
      <c r="AN360">
        <v>1180</v>
      </c>
      <c r="AO360">
        <v>1078</v>
      </c>
      <c r="AP360">
        <f>ifood_data[[#This Row],[MntTotal]]-ifood_data[[#This Row],[MntRegularProds]]</f>
        <v>102</v>
      </c>
      <c r="AQ360">
        <v>0</v>
      </c>
      <c r="AR360">
        <f>IF(SUM(ifood_data[[#This Row],[Kidhome]:[Teenhome]])&gt;0,1,0)</f>
        <v>0</v>
      </c>
      <c r="AS360" t="str">
        <f>IF(SUM(ifood_data[[#This Row],[Kidhome]:[Teenhome]])&gt;0,"Has Family","No Family")</f>
        <v>No Family</v>
      </c>
      <c r="AT360" t="str">
        <f>IF(ifood_data[[#This Row],[marital_Married]]=1,"Married", (IF(ifood_data[[#This Row],[marital_Single]]=1,"Single",(IF(ifood_data[[#This Row],[marital_Divorced]]=1,"Divorced",(IF(ifood_data[[#This Row],[marital_Together]]=1,"Living Together",(IF(ifood_data[[#This Row],[marital_Widow]]=1,"Widow","Other")))))))))</f>
        <v>Living Together</v>
      </c>
      <c r="AU360" t="str">
        <f>IF(ifood_data[[#This Row],[education_Basic]]=1,"High School",(IF(ifood_data[[#This Row],[education_Graduation]]=1,"Undergraduate Degree",(IF(SUM(AM360,AL360,AI360)&gt;0,"Master's Degree or Higher","Other")))))</f>
        <v>Master's Degree or Higher</v>
      </c>
      <c r="AV360" t="str">
        <f>IF(ifood_data[[#All],[Income]]&gt;75000,"75K+",(IF(ifood_data[[#All],[Income]]&gt;50000,"50K-75K",(IF(ifood_data[[#All],[Income]]&gt;35000,"35K-50K","&lt;35K")))))</f>
        <v>50K-75K</v>
      </c>
      <c r="AW360" t="str">
        <f>IF(ifood_data[[#All],[Age]]&gt;60,"60+",(IF(ifood_data[[#All],[Age]]&gt;50,"50-60",(IF(ifood_data[[#All],[Age]]&gt;40,"40-50",(IF(ifood_data[[#All],[Age]]&gt;30,"30-40","&lt;30")))))))</f>
        <v>30-40</v>
      </c>
      <c r="AX360">
        <f t="shared" si="20"/>
        <v>31</v>
      </c>
      <c r="AY360">
        <f t="shared" si="21"/>
        <v>0.99999999999999978</v>
      </c>
      <c r="AZ360">
        <f t="shared" si="22"/>
        <v>9</v>
      </c>
      <c r="BA360">
        <f t="shared" si="23"/>
        <v>8</v>
      </c>
      <c r="BB360">
        <f>SUM(ifood_data[[#This Row],[Recency Score]:[Monetary Score]])</f>
        <v>18</v>
      </c>
      <c r="BC360">
        <f>(_xlfn.PERCENTRANK.INC(ifood_data[[#All],[RFM]],ifood_data[[#This Row],[RFM]],1))*10</f>
        <v>6</v>
      </c>
      <c r="BD360" t="str">
        <f>VLOOKUP(ifood_data[[#This Row],[RFM Score]],'RFM Analysis'!$A$3:$B$14,2,FALSE)</f>
        <v>Promising</v>
      </c>
      <c r="BE360">
        <f>'Regression Models'!$B$101+'Regression Models'!$B$102*ifood_data[[#This Row],[Income]]+'Regression Models'!$B$103*ifood_data[[#This Row],[Age]]+'Regression Models'!$B$104*ifood_data[[#This Row],[Family]]</f>
        <v>1120.7521011811509</v>
      </c>
      <c r="BF360" t="str">
        <f>IF(ifood_data[[#This Row],[AcceptedCmpOverall]]=1,"Campaign Respondent","Non-respondent")</f>
        <v>Non-respondent</v>
      </c>
    </row>
    <row r="361" spans="1:58" x14ac:dyDescent="0.35">
      <c r="A361">
        <v>976</v>
      </c>
      <c r="B361">
        <v>68695</v>
      </c>
      <c r="C361">
        <v>0</v>
      </c>
      <c r="D361">
        <v>0</v>
      </c>
      <c r="E361">
        <v>3</v>
      </c>
      <c r="F361">
        <v>458</v>
      </c>
      <c r="G361">
        <v>81</v>
      </c>
      <c r="H361">
        <v>356</v>
      </c>
      <c r="I361">
        <v>106</v>
      </c>
      <c r="J361">
        <v>50</v>
      </c>
      <c r="K361">
        <v>40</v>
      </c>
      <c r="L361">
        <v>1</v>
      </c>
      <c r="M361">
        <v>4</v>
      </c>
      <c r="N361">
        <v>4</v>
      </c>
      <c r="O361">
        <v>7</v>
      </c>
      <c r="P361">
        <v>2</v>
      </c>
      <c r="Q361">
        <v>0</v>
      </c>
      <c r="R361">
        <v>0</v>
      </c>
      <c r="S361">
        <v>0</v>
      </c>
      <c r="T361">
        <v>0</v>
      </c>
      <c r="U361">
        <v>0</v>
      </c>
      <c r="V361">
        <f>IF(SUM(ifood_data[[#This Row],[AcceptedCmp1]:[AcceptedCmp5]])&gt;0,1,0)</f>
        <v>0</v>
      </c>
      <c r="W361">
        <v>0</v>
      </c>
      <c r="X361">
        <v>3</v>
      </c>
      <c r="Y361">
        <v>11</v>
      </c>
      <c r="Z361">
        <v>0</v>
      </c>
      <c r="AA361">
        <v>51</v>
      </c>
      <c r="AB361">
        <v>2163</v>
      </c>
      <c r="AC361" s="28">
        <f>ifood_data[[#This Row],[Customer_Days]]/365</f>
        <v>5.9260273972602739</v>
      </c>
      <c r="AD361">
        <v>0</v>
      </c>
      <c r="AE361">
        <v>0</v>
      </c>
      <c r="AF361">
        <v>0</v>
      </c>
      <c r="AG361">
        <v>1</v>
      </c>
      <c r="AH361">
        <v>0</v>
      </c>
      <c r="AI361">
        <v>0</v>
      </c>
      <c r="AJ361">
        <v>0</v>
      </c>
      <c r="AK361">
        <v>1</v>
      </c>
      <c r="AL361">
        <v>0</v>
      </c>
      <c r="AM361">
        <v>0</v>
      </c>
      <c r="AN361">
        <v>1051</v>
      </c>
      <c r="AO361">
        <v>1011</v>
      </c>
      <c r="AP361">
        <f>ifood_data[[#This Row],[MntTotal]]-ifood_data[[#This Row],[MntRegularProds]]</f>
        <v>40</v>
      </c>
      <c r="AQ361">
        <v>0</v>
      </c>
      <c r="AR361">
        <f>IF(SUM(ifood_data[[#This Row],[Kidhome]:[Teenhome]])&gt;0,1,0)</f>
        <v>0</v>
      </c>
      <c r="AS361" t="str">
        <f>IF(SUM(ifood_data[[#This Row],[Kidhome]:[Teenhome]])&gt;0,"Has Family","No Family")</f>
        <v>No Family</v>
      </c>
      <c r="AT361" t="str">
        <f>IF(ifood_data[[#This Row],[marital_Married]]=1,"Married", (IF(ifood_data[[#This Row],[marital_Single]]=1,"Single",(IF(ifood_data[[#This Row],[marital_Divorced]]=1,"Divorced",(IF(ifood_data[[#This Row],[marital_Together]]=1,"Living Together",(IF(ifood_data[[#This Row],[marital_Widow]]=1,"Widow","Other")))))))))</f>
        <v>Living Together</v>
      </c>
      <c r="AU361" t="str">
        <f>IF(ifood_data[[#This Row],[education_Basic]]=1,"High School",(IF(ifood_data[[#This Row],[education_Graduation]]=1,"Undergraduate Degree",(IF(SUM(AM361,AL361,AI361)&gt;0,"Master's Degree or Higher","Other")))))</f>
        <v>Undergraduate Degree</v>
      </c>
      <c r="AV361" t="str">
        <f>IF(ifood_data[[#All],[Income]]&gt;75000,"75K+",(IF(ifood_data[[#All],[Income]]&gt;50000,"50K-75K",(IF(ifood_data[[#All],[Income]]&gt;35000,"35K-50K","&lt;35K")))))</f>
        <v>50K-75K</v>
      </c>
      <c r="AW361" t="str">
        <f>IF(ifood_data[[#All],[Age]]&gt;60,"60+",(IF(ifood_data[[#All],[Age]]&gt;50,"50-60",(IF(ifood_data[[#All],[Age]]&gt;40,"40-50",(IF(ifood_data[[#All],[Age]]&gt;30,"30-40","&lt;30")))))))</f>
        <v>50-60</v>
      </c>
      <c r="AX361">
        <f t="shared" si="20"/>
        <v>18</v>
      </c>
      <c r="AY361">
        <f t="shared" si="21"/>
        <v>10</v>
      </c>
      <c r="AZ361">
        <f t="shared" si="22"/>
        <v>4</v>
      </c>
      <c r="BA361">
        <f t="shared" si="23"/>
        <v>7</v>
      </c>
      <c r="BB361">
        <f>SUM(ifood_data[[#This Row],[Recency Score]:[Monetary Score]])</f>
        <v>21</v>
      </c>
      <c r="BC361">
        <f>(_xlfn.PERCENTRANK.INC(ifood_data[[#All],[RFM]],ifood_data[[#This Row],[RFM]],1))*10</f>
        <v>8</v>
      </c>
      <c r="BD361" t="str">
        <f>VLOOKUP(ifood_data[[#This Row],[RFM Score]],'RFM Analysis'!$A$3:$B$14,2,FALSE)</f>
        <v>Loyal Customer</v>
      </c>
      <c r="BE361">
        <f>'Regression Models'!$B$101+'Regression Models'!$B$102*ifood_data[[#This Row],[Income]]+'Regression Models'!$B$103*ifood_data[[#This Row],[Age]]+'Regression Models'!$B$104*ifood_data[[#This Row],[Family]]</f>
        <v>1119.1327783470597</v>
      </c>
      <c r="BF361" t="str">
        <f>IF(ifood_data[[#This Row],[AcceptedCmpOverall]]=1,"Campaign Respondent","Non-respondent")</f>
        <v>Non-respondent</v>
      </c>
    </row>
    <row r="362" spans="1:58" x14ac:dyDescent="0.35">
      <c r="A362">
        <v>156</v>
      </c>
      <c r="B362">
        <v>66951</v>
      </c>
      <c r="C362">
        <v>0</v>
      </c>
      <c r="D362">
        <v>0</v>
      </c>
      <c r="E362">
        <v>46</v>
      </c>
      <c r="F362">
        <v>277</v>
      </c>
      <c r="G362">
        <v>162</v>
      </c>
      <c r="H362">
        <v>305</v>
      </c>
      <c r="I362">
        <v>173</v>
      </c>
      <c r="J362">
        <v>76</v>
      </c>
      <c r="K362">
        <v>124</v>
      </c>
      <c r="L362">
        <v>1</v>
      </c>
      <c r="M362">
        <v>3</v>
      </c>
      <c r="N362">
        <v>4</v>
      </c>
      <c r="O362">
        <v>7</v>
      </c>
      <c r="P362">
        <v>1</v>
      </c>
      <c r="Q362">
        <v>0</v>
      </c>
      <c r="R362">
        <v>0</v>
      </c>
      <c r="S362">
        <v>0</v>
      </c>
      <c r="T362">
        <v>0</v>
      </c>
      <c r="U362">
        <v>0</v>
      </c>
      <c r="V362">
        <f>IF(SUM(ifood_data[[#This Row],[AcceptedCmp1]:[AcceptedCmp5]])&gt;0,1,0)</f>
        <v>0</v>
      </c>
      <c r="W362">
        <v>0</v>
      </c>
      <c r="X362">
        <v>3</v>
      </c>
      <c r="Y362">
        <v>11</v>
      </c>
      <c r="Z362">
        <v>0</v>
      </c>
      <c r="AA362">
        <v>32</v>
      </c>
      <c r="AB362">
        <v>2398</v>
      </c>
      <c r="AC362" s="28">
        <f>ifood_data[[#This Row],[Customer_Days]]/365</f>
        <v>6.5698630136986305</v>
      </c>
      <c r="AD362">
        <v>0</v>
      </c>
      <c r="AE362">
        <v>0</v>
      </c>
      <c r="AF362">
        <v>1</v>
      </c>
      <c r="AG362">
        <v>0</v>
      </c>
      <c r="AH362">
        <v>0</v>
      </c>
      <c r="AI362">
        <v>0</v>
      </c>
      <c r="AJ362">
        <v>0</v>
      </c>
      <c r="AK362">
        <v>1</v>
      </c>
      <c r="AL362">
        <v>0</v>
      </c>
      <c r="AM362">
        <v>0</v>
      </c>
      <c r="AN362">
        <v>993</v>
      </c>
      <c r="AO362">
        <v>869</v>
      </c>
      <c r="AP362">
        <f>ifood_data[[#This Row],[MntTotal]]-ifood_data[[#This Row],[MntRegularProds]]</f>
        <v>124</v>
      </c>
      <c r="AQ362">
        <v>0</v>
      </c>
      <c r="AR362">
        <f>IF(SUM(ifood_data[[#This Row],[Kidhome]:[Teenhome]])&gt;0,1,0)</f>
        <v>0</v>
      </c>
      <c r="AS362" t="str">
        <f>IF(SUM(ifood_data[[#This Row],[Kidhome]:[Teenhome]])&gt;0,"Has Family","No Family")</f>
        <v>No Family</v>
      </c>
      <c r="AT362" t="str">
        <f>IF(ifood_data[[#This Row],[marital_Married]]=1,"Married", (IF(ifood_data[[#This Row],[marital_Single]]=1,"Single",(IF(ifood_data[[#This Row],[marital_Divorced]]=1,"Divorced",(IF(ifood_data[[#This Row],[marital_Together]]=1,"Living Together",(IF(ifood_data[[#This Row],[marital_Widow]]=1,"Widow","Other")))))))))</f>
        <v>Single</v>
      </c>
      <c r="AU362" t="str">
        <f>IF(ifood_data[[#This Row],[education_Basic]]=1,"High School",(IF(ifood_data[[#This Row],[education_Graduation]]=1,"Undergraduate Degree",(IF(SUM(AM362,AL362,AI362)&gt;0,"Master's Degree or Higher","Other")))))</f>
        <v>Undergraduate Degree</v>
      </c>
      <c r="AV362" t="str">
        <f>IF(ifood_data[[#All],[Income]]&gt;75000,"75K+",(IF(ifood_data[[#All],[Income]]&gt;50000,"50K-75K",(IF(ifood_data[[#All],[Income]]&gt;35000,"35K-50K","&lt;35K")))))</f>
        <v>50K-75K</v>
      </c>
      <c r="AW362" t="str">
        <f>IF(ifood_data[[#All],[Age]]&gt;60,"60+",(IF(ifood_data[[#All],[Age]]&gt;50,"50-60",(IF(ifood_data[[#All],[Age]]&gt;40,"40-50",(IF(ifood_data[[#All],[Age]]&gt;30,"30-40","&lt;30")))))))</f>
        <v>30-40</v>
      </c>
      <c r="AX362">
        <f t="shared" si="20"/>
        <v>16</v>
      </c>
      <c r="AY362">
        <f t="shared" si="21"/>
        <v>6</v>
      </c>
      <c r="AZ362">
        <f t="shared" si="22"/>
        <v>3</v>
      </c>
      <c r="BA362">
        <f t="shared" si="23"/>
        <v>7</v>
      </c>
      <c r="BB362">
        <f>SUM(ifood_data[[#This Row],[Recency Score]:[Monetary Score]])</f>
        <v>16</v>
      </c>
      <c r="BC362">
        <f>(_xlfn.PERCENTRANK.INC(ifood_data[[#All],[RFM]],ifood_data[[#This Row],[RFM]],1))*10</f>
        <v>5</v>
      </c>
      <c r="BD362" t="str">
        <f>VLOOKUP(ifood_data[[#This Row],[RFM Score]],'RFM Analysis'!$A$3:$B$14,2,FALSE)</f>
        <v>Promising</v>
      </c>
      <c r="BE362">
        <f>'Regression Models'!$B$101+'Regression Models'!$B$102*ifood_data[[#This Row],[Income]]+'Regression Models'!$B$103*ifood_data[[#This Row],[Age]]+'Regression Models'!$B$104*ifood_data[[#This Row],[Family]]</f>
        <v>1118.4671092030912</v>
      </c>
      <c r="BF362" t="str">
        <f>IF(ifood_data[[#This Row],[AcceptedCmpOverall]]=1,"Campaign Respondent","Non-respondent")</f>
        <v>Non-respondent</v>
      </c>
    </row>
    <row r="363" spans="1:58" x14ac:dyDescent="0.35">
      <c r="A363">
        <v>645</v>
      </c>
      <c r="B363">
        <v>68743</v>
      </c>
      <c r="C363">
        <v>0</v>
      </c>
      <c r="D363">
        <v>0</v>
      </c>
      <c r="E363">
        <v>81</v>
      </c>
      <c r="F363">
        <v>1132</v>
      </c>
      <c r="G363">
        <v>134</v>
      </c>
      <c r="H363">
        <v>384</v>
      </c>
      <c r="I363">
        <v>175</v>
      </c>
      <c r="J363">
        <v>134</v>
      </c>
      <c r="K363">
        <v>115</v>
      </c>
      <c r="L363">
        <v>1</v>
      </c>
      <c r="M363">
        <v>11</v>
      </c>
      <c r="N363">
        <v>5</v>
      </c>
      <c r="O363">
        <v>13</v>
      </c>
      <c r="P363">
        <v>7</v>
      </c>
      <c r="Q363">
        <v>0</v>
      </c>
      <c r="R363">
        <v>0</v>
      </c>
      <c r="S363">
        <v>0</v>
      </c>
      <c r="T363">
        <v>0</v>
      </c>
      <c r="U363">
        <v>0</v>
      </c>
      <c r="V363">
        <f>IF(SUM(ifood_data[[#This Row],[AcceptedCmp1]:[AcceptedCmp5]])&gt;0,1,0)</f>
        <v>0</v>
      </c>
      <c r="W363">
        <v>0</v>
      </c>
      <c r="X363">
        <v>3</v>
      </c>
      <c r="Y363">
        <v>11</v>
      </c>
      <c r="Z363">
        <v>0</v>
      </c>
      <c r="AA363">
        <v>53</v>
      </c>
      <c r="AB363">
        <v>2827</v>
      </c>
      <c r="AC363" s="28">
        <f>ifood_data[[#This Row],[Customer_Days]]/365</f>
        <v>7.7452054794520544</v>
      </c>
      <c r="AD363">
        <v>1</v>
      </c>
      <c r="AE363">
        <v>0</v>
      </c>
      <c r="AF363">
        <v>0</v>
      </c>
      <c r="AG363">
        <v>0</v>
      </c>
      <c r="AH363">
        <v>0</v>
      </c>
      <c r="AI363">
        <v>0</v>
      </c>
      <c r="AJ363">
        <v>0</v>
      </c>
      <c r="AK363">
        <v>1</v>
      </c>
      <c r="AL363">
        <v>0</v>
      </c>
      <c r="AM363">
        <v>0</v>
      </c>
      <c r="AN363">
        <v>1959</v>
      </c>
      <c r="AO363">
        <v>1844</v>
      </c>
      <c r="AP363">
        <f>ifood_data[[#This Row],[MntTotal]]-ifood_data[[#This Row],[MntRegularProds]]</f>
        <v>115</v>
      </c>
      <c r="AQ363">
        <v>0</v>
      </c>
      <c r="AR363">
        <f>IF(SUM(ifood_data[[#This Row],[Kidhome]:[Teenhome]])&gt;0,1,0)</f>
        <v>0</v>
      </c>
      <c r="AS363" t="str">
        <f>IF(SUM(ifood_data[[#This Row],[Kidhome]:[Teenhome]])&gt;0,"Has Family","No Family")</f>
        <v>No Family</v>
      </c>
      <c r="AT363" t="str">
        <f>IF(ifood_data[[#This Row],[marital_Married]]=1,"Married", (IF(ifood_data[[#This Row],[marital_Single]]=1,"Single",(IF(ifood_data[[#This Row],[marital_Divorced]]=1,"Divorced",(IF(ifood_data[[#This Row],[marital_Together]]=1,"Living Together",(IF(ifood_data[[#This Row],[marital_Widow]]=1,"Widow","Other")))))))))</f>
        <v>Divorced</v>
      </c>
      <c r="AU363" t="str">
        <f>IF(ifood_data[[#This Row],[education_Basic]]=1,"High School",(IF(ifood_data[[#This Row],[education_Graduation]]=1,"Undergraduate Degree",(IF(SUM(AM363,AL363,AI363)&gt;0,"Master's Degree or Higher","Other")))))</f>
        <v>Undergraduate Degree</v>
      </c>
      <c r="AV363" t="str">
        <f>IF(ifood_data[[#All],[Income]]&gt;75000,"75K+",(IF(ifood_data[[#All],[Income]]&gt;50000,"50K-75K",(IF(ifood_data[[#All],[Income]]&gt;35000,"35K-50K","&lt;35K")))))</f>
        <v>50K-75K</v>
      </c>
      <c r="AW363" t="str">
        <f>IF(ifood_data[[#All],[Age]]&gt;60,"60+",(IF(ifood_data[[#All],[Age]]&gt;50,"50-60",(IF(ifood_data[[#All],[Age]]&gt;40,"40-50",(IF(ifood_data[[#All],[Age]]&gt;30,"30-40","&lt;30")))))))</f>
        <v>50-60</v>
      </c>
      <c r="AX363">
        <f t="shared" si="20"/>
        <v>37</v>
      </c>
      <c r="AY363">
        <f t="shared" si="21"/>
        <v>1.9999999999999996</v>
      </c>
      <c r="AZ363">
        <f t="shared" si="22"/>
        <v>9</v>
      </c>
      <c r="BA363">
        <f t="shared" si="23"/>
        <v>9</v>
      </c>
      <c r="BB363">
        <f>SUM(ifood_data[[#This Row],[Recency Score]:[Monetary Score]])</f>
        <v>20</v>
      </c>
      <c r="BC363">
        <f>(_xlfn.PERCENTRANK.INC(ifood_data[[#All],[RFM]],ifood_data[[#This Row],[RFM]],1))*10</f>
        <v>7</v>
      </c>
      <c r="BD363" t="str">
        <f>VLOOKUP(ifood_data[[#This Row],[RFM Score]],'RFM Analysis'!$A$3:$B$14,2,FALSE)</f>
        <v>Loyal Customer</v>
      </c>
      <c r="BE363">
        <f>'Regression Models'!$B$101+'Regression Models'!$B$102*ifood_data[[#This Row],[Income]]+'Regression Models'!$B$103*ifood_data[[#This Row],[Age]]+'Regression Models'!$B$104*ifood_data[[#This Row],[Family]]</f>
        <v>1116.438561060178</v>
      </c>
      <c r="BF363" t="str">
        <f>IF(ifood_data[[#This Row],[AcceptedCmpOverall]]=1,"Campaign Respondent","Non-respondent")</f>
        <v>Non-respondent</v>
      </c>
    </row>
    <row r="364" spans="1:58" x14ac:dyDescent="0.35">
      <c r="A364">
        <v>337</v>
      </c>
      <c r="B364">
        <v>68462</v>
      </c>
      <c r="C364">
        <v>0</v>
      </c>
      <c r="D364">
        <v>0</v>
      </c>
      <c r="E364">
        <v>6</v>
      </c>
      <c r="F364">
        <v>561</v>
      </c>
      <c r="G364">
        <v>64</v>
      </c>
      <c r="H364">
        <v>785</v>
      </c>
      <c r="I364">
        <v>84</v>
      </c>
      <c r="J364">
        <v>128</v>
      </c>
      <c r="K364">
        <v>48</v>
      </c>
      <c r="L364">
        <v>1</v>
      </c>
      <c r="M364">
        <v>3</v>
      </c>
      <c r="N364">
        <v>3</v>
      </c>
      <c r="O364">
        <v>8</v>
      </c>
      <c r="P364">
        <v>1</v>
      </c>
      <c r="Q364">
        <v>0</v>
      </c>
      <c r="R364">
        <v>0</v>
      </c>
      <c r="S364">
        <v>0</v>
      </c>
      <c r="T364">
        <v>0</v>
      </c>
      <c r="U364">
        <v>0</v>
      </c>
      <c r="V364">
        <f>IF(SUM(ifood_data[[#This Row],[AcceptedCmp1]:[AcceptedCmp5]])&gt;0,1,0)</f>
        <v>0</v>
      </c>
      <c r="W364">
        <v>0</v>
      </c>
      <c r="X364">
        <v>3</v>
      </c>
      <c r="Y364">
        <v>11</v>
      </c>
      <c r="Z364">
        <v>0</v>
      </c>
      <c r="AA364">
        <v>51</v>
      </c>
      <c r="AB364">
        <v>2723</v>
      </c>
      <c r="AC364" s="28">
        <f>ifood_data[[#This Row],[Customer_Days]]/365</f>
        <v>7.4602739726027396</v>
      </c>
      <c r="AD364">
        <v>0</v>
      </c>
      <c r="AE364">
        <v>1</v>
      </c>
      <c r="AF364">
        <v>0</v>
      </c>
      <c r="AG364">
        <v>0</v>
      </c>
      <c r="AH364">
        <v>0</v>
      </c>
      <c r="AI364">
        <v>0</v>
      </c>
      <c r="AJ364">
        <v>0</v>
      </c>
      <c r="AK364">
        <v>0</v>
      </c>
      <c r="AL364">
        <v>0</v>
      </c>
      <c r="AM364">
        <v>1</v>
      </c>
      <c r="AN364">
        <v>1622</v>
      </c>
      <c r="AO364">
        <v>1574</v>
      </c>
      <c r="AP364">
        <f>ifood_data[[#This Row],[MntTotal]]-ifood_data[[#This Row],[MntRegularProds]]</f>
        <v>48</v>
      </c>
      <c r="AQ364">
        <v>0</v>
      </c>
      <c r="AR364">
        <f>IF(SUM(ifood_data[[#This Row],[Kidhome]:[Teenhome]])&gt;0,1,0)</f>
        <v>0</v>
      </c>
      <c r="AS364" t="str">
        <f>IF(SUM(ifood_data[[#This Row],[Kidhome]:[Teenhome]])&gt;0,"Has Family","No Family")</f>
        <v>No Family</v>
      </c>
      <c r="AT364" t="str">
        <f>IF(ifood_data[[#This Row],[marital_Married]]=1,"Married", (IF(ifood_data[[#This Row],[marital_Single]]=1,"Single",(IF(ifood_data[[#This Row],[marital_Divorced]]=1,"Divorced",(IF(ifood_data[[#This Row],[marital_Together]]=1,"Living Together",(IF(ifood_data[[#This Row],[marital_Widow]]=1,"Widow","Other")))))))))</f>
        <v>Married</v>
      </c>
      <c r="AU364" t="str">
        <f>IF(ifood_data[[#This Row],[education_Basic]]=1,"High School",(IF(ifood_data[[#This Row],[education_Graduation]]=1,"Undergraduate Degree",(IF(SUM(AM364,AL364,AI364)&gt;0,"Master's Degree or Higher","Other")))))</f>
        <v>Master's Degree or Higher</v>
      </c>
      <c r="AV364" t="str">
        <f>IF(ifood_data[[#All],[Income]]&gt;75000,"75K+",(IF(ifood_data[[#All],[Income]]&gt;50000,"50K-75K",(IF(ifood_data[[#All],[Income]]&gt;35000,"35K-50K","&lt;35K")))))</f>
        <v>50K-75K</v>
      </c>
      <c r="AW364" t="str">
        <f>IF(ifood_data[[#All],[Age]]&gt;60,"60+",(IF(ifood_data[[#All],[Age]]&gt;50,"50-60",(IF(ifood_data[[#All],[Age]]&gt;40,"40-50",(IF(ifood_data[[#All],[Age]]&gt;30,"30-40","&lt;30")))))))</f>
        <v>50-60</v>
      </c>
      <c r="AX364">
        <f t="shared" si="20"/>
        <v>16</v>
      </c>
      <c r="AY364">
        <f t="shared" si="21"/>
        <v>10</v>
      </c>
      <c r="AZ364">
        <f t="shared" si="22"/>
        <v>3</v>
      </c>
      <c r="BA364">
        <f t="shared" si="23"/>
        <v>9</v>
      </c>
      <c r="BB364">
        <f>SUM(ifood_data[[#This Row],[Recency Score]:[Monetary Score]])</f>
        <v>22</v>
      </c>
      <c r="BC364">
        <f>(_xlfn.PERCENTRANK.INC(ifood_data[[#All],[RFM]],ifood_data[[#This Row],[RFM]],1))*10</f>
        <v>8</v>
      </c>
      <c r="BD364" t="str">
        <f>VLOOKUP(ifood_data[[#This Row],[RFM Score]],'RFM Analysis'!$A$3:$B$14,2,FALSE)</f>
        <v>Loyal Customer</v>
      </c>
      <c r="BE364">
        <f>'Regression Models'!$B$101+'Regression Models'!$B$102*ifood_data[[#This Row],[Income]]+'Regression Models'!$B$103*ifood_data[[#This Row],[Age]]+'Regression Models'!$B$104*ifood_data[[#This Row],[Family]]</f>
        <v>1114.382195369531</v>
      </c>
      <c r="BF364" t="str">
        <f>IF(ifood_data[[#This Row],[AcceptedCmpOverall]]=1,"Campaign Respondent","Non-respondent")</f>
        <v>Non-respondent</v>
      </c>
    </row>
    <row r="365" spans="1:58" x14ac:dyDescent="0.35">
      <c r="A365">
        <v>437</v>
      </c>
      <c r="B365">
        <v>70165</v>
      </c>
      <c r="C365">
        <v>0</v>
      </c>
      <c r="D365">
        <v>0</v>
      </c>
      <c r="E365">
        <v>60</v>
      </c>
      <c r="F365">
        <v>161</v>
      </c>
      <c r="G365">
        <v>0</v>
      </c>
      <c r="H365">
        <v>253</v>
      </c>
      <c r="I365">
        <v>199</v>
      </c>
      <c r="J365">
        <v>191</v>
      </c>
      <c r="K365">
        <v>122</v>
      </c>
      <c r="L365">
        <v>1</v>
      </c>
      <c r="M365">
        <v>3</v>
      </c>
      <c r="N365">
        <v>7</v>
      </c>
      <c r="O365">
        <v>11</v>
      </c>
      <c r="P365">
        <v>1</v>
      </c>
      <c r="Q365">
        <v>0</v>
      </c>
      <c r="R365">
        <v>0</v>
      </c>
      <c r="S365">
        <v>0</v>
      </c>
      <c r="T365">
        <v>0</v>
      </c>
      <c r="U365">
        <v>0</v>
      </c>
      <c r="V365">
        <f>IF(SUM(ifood_data[[#This Row],[AcceptedCmp1]:[AcceptedCmp5]])&gt;0,1,0)</f>
        <v>0</v>
      </c>
      <c r="W365">
        <v>0</v>
      </c>
      <c r="X365">
        <v>3</v>
      </c>
      <c r="Y365">
        <v>11</v>
      </c>
      <c r="Z365">
        <v>0</v>
      </c>
      <c r="AA365">
        <v>71</v>
      </c>
      <c r="AB365">
        <v>2439</v>
      </c>
      <c r="AC365" s="28">
        <f>ifood_data[[#This Row],[Customer_Days]]/365</f>
        <v>6.6821917808219178</v>
      </c>
      <c r="AD365">
        <v>0</v>
      </c>
      <c r="AE365">
        <v>0</v>
      </c>
      <c r="AF365">
        <v>0</v>
      </c>
      <c r="AG365">
        <v>0</v>
      </c>
      <c r="AH365">
        <v>1</v>
      </c>
      <c r="AI365">
        <v>0</v>
      </c>
      <c r="AJ365">
        <v>0</v>
      </c>
      <c r="AK365">
        <v>1</v>
      </c>
      <c r="AL365">
        <v>0</v>
      </c>
      <c r="AM365">
        <v>0</v>
      </c>
      <c r="AN365">
        <v>804</v>
      </c>
      <c r="AO365">
        <v>682</v>
      </c>
      <c r="AP365">
        <f>ifood_data[[#This Row],[MntTotal]]-ifood_data[[#This Row],[MntRegularProds]]</f>
        <v>122</v>
      </c>
      <c r="AQ365">
        <v>0</v>
      </c>
      <c r="AR365">
        <f>IF(SUM(ifood_data[[#This Row],[Kidhome]:[Teenhome]])&gt;0,1,0)</f>
        <v>0</v>
      </c>
      <c r="AS365" t="str">
        <f>IF(SUM(ifood_data[[#This Row],[Kidhome]:[Teenhome]])&gt;0,"Has Family","No Family")</f>
        <v>No Family</v>
      </c>
      <c r="AT365" t="str">
        <f>IF(ifood_data[[#This Row],[marital_Married]]=1,"Married", (IF(ifood_data[[#This Row],[marital_Single]]=1,"Single",(IF(ifood_data[[#This Row],[marital_Divorced]]=1,"Divorced",(IF(ifood_data[[#This Row],[marital_Together]]=1,"Living Together",(IF(ifood_data[[#This Row],[marital_Widow]]=1,"Widow","Other")))))))))</f>
        <v>Widow</v>
      </c>
      <c r="AU365" t="str">
        <f>IF(ifood_data[[#This Row],[education_Basic]]=1,"High School",(IF(ifood_data[[#This Row],[education_Graduation]]=1,"Undergraduate Degree",(IF(SUM(AM365,AL365,AI365)&gt;0,"Master's Degree or Higher","Other")))))</f>
        <v>Undergraduate Degree</v>
      </c>
      <c r="AV365" t="str">
        <f>IF(ifood_data[[#All],[Income]]&gt;75000,"75K+",(IF(ifood_data[[#All],[Income]]&gt;50000,"50K-75K",(IF(ifood_data[[#All],[Income]]&gt;35000,"35K-50K","&lt;35K")))))</f>
        <v>50K-75K</v>
      </c>
      <c r="AW365" t="str">
        <f>IF(ifood_data[[#All],[Age]]&gt;60,"60+",(IF(ifood_data[[#All],[Age]]&gt;50,"50-60",(IF(ifood_data[[#All],[Age]]&gt;40,"40-50",(IF(ifood_data[[#All],[Age]]&gt;30,"30-40","&lt;30")))))))</f>
        <v>60+</v>
      </c>
      <c r="AX365">
        <f t="shared" si="20"/>
        <v>23</v>
      </c>
      <c r="AY365">
        <f t="shared" si="21"/>
        <v>4</v>
      </c>
      <c r="AZ365">
        <f t="shared" si="22"/>
        <v>6</v>
      </c>
      <c r="BA365">
        <f t="shared" si="23"/>
        <v>6</v>
      </c>
      <c r="BB365">
        <f>SUM(ifood_data[[#This Row],[Recency Score]:[Monetary Score]])</f>
        <v>16</v>
      </c>
      <c r="BC365">
        <f>(_xlfn.PERCENTRANK.INC(ifood_data[[#All],[RFM]],ifood_data[[#This Row],[RFM]],1))*10</f>
        <v>5</v>
      </c>
      <c r="BD365" t="str">
        <f>VLOOKUP(ifood_data[[#This Row],[RFM Score]],'RFM Analysis'!$A$3:$B$14,2,FALSE)</f>
        <v>Promising</v>
      </c>
      <c r="BE365">
        <f>'Regression Models'!$B$101+'Regression Models'!$B$102*ifood_data[[#This Row],[Income]]+'Regression Models'!$B$103*ifood_data[[#This Row],[Age]]+'Regression Models'!$B$104*ifood_data[[#This Row],[Family]]</f>
        <v>1112.3754859407052</v>
      </c>
      <c r="BF365" t="str">
        <f>IF(ifood_data[[#This Row],[AcceptedCmpOverall]]=1,"Campaign Respondent","Non-respondent")</f>
        <v>Non-respondent</v>
      </c>
    </row>
    <row r="366" spans="1:58" x14ac:dyDescent="0.35">
      <c r="A366">
        <v>1904</v>
      </c>
      <c r="B366">
        <v>81929</v>
      </c>
      <c r="C366">
        <v>1</v>
      </c>
      <c r="D366">
        <v>0</v>
      </c>
      <c r="E366">
        <v>60</v>
      </c>
      <c r="F366">
        <v>1486</v>
      </c>
      <c r="G366">
        <v>55</v>
      </c>
      <c r="H366">
        <v>278</v>
      </c>
      <c r="I366">
        <v>49</v>
      </c>
      <c r="J366">
        <v>0</v>
      </c>
      <c r="K366">
        <v>185</v>
      </c>
      <c r="L366">
        <v>2</v>
      </c>
      <c r="M366">
        <v>4</v>
      </c>
      <c r="N366">
        <v>4</v>
      </c>
      <c r="O366">
        <v>10</v>
      </c>
      <c r="P366">
        <v>6</v>
      </c>
      <c r="Q366">
        <v>0</v>
      </c>
      <c r="R366">
        <v>0</v>
      </c>
      <c r="S366">
        <v>1</v>
      </c>
      <c r="T366">
        <v>0</v>
      </c>
      <c r="U366">
        <v>1</v>
      </c>
      <c r="V366">
        <f>IF(SUM(ifood_data[[#This Row],[AcceptedCmp1]:[AcceptedCmp5]])&gt;0,1,0)</f>
        <v>1</v>
      </c>
      <c r="W366">
        <v>0</v>
      </c>
      <c r="X366">
        <v>3</v>
      </c>
      <c r="Y366">
        <v>11</v>
      </c>
      <c r="Z366">
        <v>1</v>
      </c>
      <c r="AA366">
        <v>44</v>
      </c>
      <c r="AB366">
        <v>2797</v>
      </c>
      <c r="AC366" s="28">
        <f>ifood_data[[#This Row],[Customer_Days]]/365</f>
        <v>7.6630136986301371</v>
      </c>
      <c r="AD366">
        <v>0</v>
      </c>
      <c r="AE366">
        <v>1</v>
      </c>
      <c r="AF366">
        <v>0</v>
      </c>
      <c r="AG366">
        <v>0</v>
      </c>
      <c r="AH366">
        <v>0</v>
      </c>
      <c r="AI366">
        <v>0</v>
      </c>
      <c r="AJ366">
        <v>0</v>
      </c>
      <c r="AK366">
        <v>0</v>
      </c>
      <c r="AL366">
        <v>1</v>
      </c>
      <c r="AM366">
        <v>0</v>
      </c>
      <c r="AN366">
        <v>1868</v>
      </c>
      <c r="AO366">
        <v>1683</v>
      </c>
      <c r="AP366">
        <f>ifood_data[[#This Row],[MntTotal]]-ifood_data[[#This Row],[MntRegularProds]]</f>
        <v>185</v>
      </c>
      <c r="AQ366">
        <v>2</v>
      </c>
      <c r="AR366">
        <f>IF(SUM(ifood_data[[#This Row],[Kidhome]:[Teenhome]])&gt;0,1,0)</f>
        <v>1</v>
      </c>
      <c r="AS366" t="str">
        <f>IF(SUM(ifood_data[[#This Row],[Kidhome]:[Teenhome]])&gt;0,"Has Family","No Family")</f>
        <v>Has Family</v>
      </c>
      <c r="AT366" t="str">
        <f>IF(ifood_data[[#This Row],[marital_Married]]=1,"Married", (IF(ifood_data[[#This Row],[marital_Single]]=1,"Single",(IF(ifood_data[[#This Row],[marital_Divorced]]=1,"Divorced",(IF(ifood_data[[#This Row],[marital_Together]]=1,"Living Together",(IF(ifood_data[[#This Row],[marital_Widow]]=1,"Widow","Other")))))))))</f>
        <v>Married</v>
      </c>
      <c r="AU366" t="str">
        <f>IF(ifood_data[[#This Row],[education_Basic]]=1,"High School",(IF(ifood_data[[#This Row],[education_Graduation]]=1,"Undergraduate Degree",(IF(SUM(AM366,AL366,AI366)&gt;0,"Master's Degree or Higher","Other")))))</f>
        <v>Master's Degree or Higher</v>
      </c>
      <c r="AV366" t="str">
        <f>IF(ifood_data[[#All],[Income]]&gt;75000,"75K+",(IF(ifood_data[[#All],[Income]]&gt;50000,"50K-75K",(IF(ifood_data[[#All],[Income]]&gt;35000,"35K-50K","&lt;35K")))))</f>
        <v>75K+</v>
      </c>
      <c r="AW366" t="str">
        <f>IF(ifood_data[[#All],[Age]]&gt;60,"60+",(IF(ifood_data[[#All],[Age]]&gt;50,"50-60",(IF(ifood_data[[#All],[Age]]&gt;40,"40-50",(IF(ifood_data[[#All],[Age]]&gt;30,"30-40","&lt;30")))))))</f>
        <v>40-50</v>
      </c>
      <c r="AX366">
        <f t="shared" si="20"/>
        <v>26</v>
      </c>
      <c r="AY366">
        <f t="shared" si="21"/>
        <v>4</v>
      </c>
      <c r="AZ366">
        <f t="shared" si="22"/>
        <v>7</v>
      </c>
      <c r="BA366">
        <f t="shared" si="23"/>
        <v>9</v>
      </c>
      <c r="BB366">
        <f>SUM(ifood_data[[#This Row],[Recency Score]:[Monetary Score]])</f>
        <v>20</v>
      </c>
      <c r="BC366">
        <f>(_xlfn.PERCENTRANK.INC(ifood_data[[#All],[RFM]],ifood_data[[#This Row],[RFM]],1))*10</f>
        <v>7</v>
      </c>
      <c r="BD366" t="str">
        <f>VLOOKUP(ifood_data[[#This Row],[RFM Score]],'RFM Analysis'!$A$3:$B$14,2,FALSE)</f>
        <v>Loyal Customer</v>
      </c>
      <c r="BE366">
        <f>'Regression Models'!$B$101+'Regression Models'!$B$102*ifood_data[[#This Row],[Income]]+'Regression Models'!$B$103*ifood_data[[#This Row],[Age]]+'Regression Models'!$B$104*ifood_data[[#This Row],[Family]]</f>
        <v>1112.1991784426618</v>
      </c>
      <c r="BF366" t="str">
        <f>IF(ifood_data[[#This Row],[AcceptedCmpOverall]]=1,"Campaign Respondent","Non-respondent")</f>
        <v>Campaign Respondent</v>
      </c>
    </row>
    <row r="367" spans="1:58" x14ac:dyDescent="0.35">
      <c r="A367">
        <v>1603</v>
      </c>
      <c r="B367">
        <v>70321</v>
      </c>
      <c r="C367">
        <v>0</v>
      </c>
      <c r="D367">
        <v>0</v>
      </c>
      <c r="E367">
        <v>6</v>
      </c>
      <c r="F367">
        <v>303</v>
      </c>
      <c r="G367">
        <v>23</v>
      </c>
      <c r="H367">
        <v>751</v>
      </c>
      <c r="I367">
        <v>82</v>
      </c>
      <c r="J367">
        <v>26</v>
      </c>
      <c r="K367">
        <v>191</v>
      </c>
      <c r="L367">
        <v>1</v>
      </c>
      <c r="M367">
        <v>6</v>
      </c>
      <c r="N367">
        <v>5</v>
      </c>
      <c r="O367">
        <v>13</v>
      </c>
      <c r="P367">
        <v>4</v>
      </c>
      <c r="Q367">
        <v>0</v>
      </c>
      <c r="R367">
        <v>0</v>
      </c>
      <c r="S367">
        <v>0</v>
      </c>
      <c r="T367">
        <v>0</v>
      </c>
      <c r="U367">
        <v>0</v>
      </c>
      <c r="V367">
        <f>IF(SUM(ifood_data[[#This Row],[AcceptedCmp1]:[AcceptedCmp5]])&gt;0,1,0)</f>
        <v>0</v>
      </c>
      <c r="W367">
        <v>0</v>
      </c>
      <c r="X367">
        <v>3</v>
      </c>
      <c r="Y367">
        <v>11</v>
      </c>
      <c r="Z367">
        <v>1</v>
      </c>
      <c r="AA367">
        <v>73</v>
      </c>
      <c r="AB367">
        <v>2688</v>
      </c>
      <c r="AC367" s="28">
        <f>ifood_data[[#This Row],[Customer_Days]]/365</f>
        <v>7.3643835616438356</v>
      </c>
      <c r="AD367">
        <v>0</v>
      </c>
      <c r="AE367">
        <v>0</v>
      </c>
      <c r="AF367">
        <v>0</v>
      </c>
      <c r="AG367">
        <v>1</v>
      </c>
      <c r="AH367">
        <v>0</v>
      </c>
      <c r="AI367">
        <v>0</v>
      </c>
      <c r="AJ367">
        <v>0</v>
      </c>
      <c r="AK367">
        <v>1</v>
      </c>
      <c r="AL367">
        <v>0</v>
      </c>
      <c r="AM367">
        <v>0</v>
      </c>
      <c r="AN367">
        <v>1185</v>
      </c>
      <c r="AO367">
        <v>994</v>
      </c>
      <c r="AP367">
        <f>ifood_data[[#This Row],[MntTotal]]-ifood_data[[#This Row],[MntRegularProds]]</f>
        <v>191</v>
      </c>
      <c r="AQ367">
        <v>0</v>
      </c>
      <c r="AR367">
        <f>IF(SUM(ifood_data[[#This Row],[Kidhome]:[Teenhome]])&gt;0,1,0)</f>
        <v>0</v>
      </c>
      <c r="AS367" t="str">
        <f>IF(SUM(ifood_data[[#This Row],[Kidhome]:[Teenhome]])&gt;0,"Has Family","No Family")</f>
        <v>No Family</v>
      </c>
      <c r="AT367" t="str">
        <f>IF(ifood_data[[#This Row],[marital_Married]]=1,"Married", (IF(ifood_data[[#This Row],[marital_Single]]=1,"Single",(IF(ifood_data[[#This Row],[marital_Divorced]]=1,"Divorced",(IF(ifood_data[[#This Row],[marital_Together]]=1,"Living Together",(IF(ifood_data[[#This Row],[marital_Widow]]=1,"Widow","Other")))))))))</f>
        <v>Living Together</v>
      </c>
      <c r="AU367" t="str">
        <f>IF(ifood_data[[#This Row],[education_Basic]]=1,"High School",(IF(ifood_data[[#This Row],[education_Graduation]]=1,"Undergraduate Degree",(IF(SUM(AM367,AL367,AI367)&gt;0,"Master's Degree or Higher","Other")))))</f>
        <v>Undergraduate Degree</v>
      </c>
      <c r="AV367" t="str">
        <f>IF(ifood_data[[#All],[Income]]&gt;75000,"75K+",(IF(ifood_data[[#All],[Income]]&gt;50000,"50K-75K",(IF(ifood_data[[#All],[Income]]&gt;35000,"35K-50K","&lt;35K")))))</f>
        <v>50K-75K</v>
      </c>
      <c r="AW367" t="str">
        <f>IF(ifood_data[[#All],[Age]]&gt;60,"60+",(IF(ifood_data[[#All],[Age]]&gt;50,"50-60",(IF(ifood_data[[#All],[Age]]&gt;40,"40-50",(IF(ifood_data[[#All],[Age]]&gt;30,"30-40","&lt;30")))))))</f>
        <v>60+</v>
      </c>
      <c r="AX367">
        <f t="shared" si="20"/>
        <v>29</v>
      </c>
      <c r="AY367">
        <f t="shared" si="21"/>
        <v>10</v>
      </c>
      <c r="AZ367">
        <f t="shared" si="22"/>
        <v>8</v>
      </c>
      <c r="BA367">
        <f t="shared" si="23"/>
        <v>8</v>
      </c>
      <c r="BB367">
        <f>SUM(ifood_data[[#This Row],[Recency Score]:[Monetary Score]])</f>
        <v>26</v>
      </c>
      <c r="BC367">
        <f>(_xlfn.PERCENTRANK.INC(ifood_data[[#All],[RFM]],ifood_data[[#This Row],[RFM]],1))*10</f>
        <v>9</v>
      </c>
      <c r="BD367" t="str">
        <f>VLOOKUP(ifood_data[[#This Row],[RFM Score]],'RFM Analysis'!$A$3:$B$14,2,FALSE)</f>
        <v>Top Customer</v>
      </c>
      <c r="BE367">
        <f>'Regression Models'!$B$101+'Regression Models'!$B$102*ifood_data[[#This Row],[Income]]+'Regression Models'!$B$103*ifood_data[[#This Row],[Age]]+'Regression Models'!$B$104*ifood_data[[#This Row],[Family]]</f>
        <v>1111.883255613365</v>
      </c>
      <c r="BF367" t="str">
        <f>IF(ifood_data[[#This Row],[AcceptedCmpOverall]]=1,"Campaign Respondent","Non-respondent")</f>
        <v>Non-respondent</v>
      </c>
    </row>
    <row r="368" spans="1:58" x14ac:dyDescent="0.35">
      <c r="A368">
        <v>150</v>
      </c>
      <c r="B368">
        <v>70356</v>
      </c>
      <c r="C368">
        <v>0</v>
      </c>
      <c r="D368">
        <v>0</v>
      </c>
      <c r="E368">
        <v>20</v>
      </c>
      <c r="F368">
        <v>1349</v>
      </c>
      <c r="G368">
        <v>16</v>
      </c>
      <c r="H368">
        <v>249</v>
      </c>
      <c r="I368">
        <v>43</v>
      </c>
      <c r="J368">
        <v>16</v>
      </c>
      <c r="K368">
        <v>33</v>
      </c>
      <c r="L368">
        <v>2</v>
      </c>
      <c r="M368">
        <v>10</v>
      </c>
      <c r="N368">
        <v>6</v>
      </c>
      <c r="O368">
        <v>9</v>
      </c>
      <c r="P368">
        <v>6</v>
      </c>
      <c r="Q368">
        <v>0</v>
      </c>
      <c r="R368">
        <v>0</v>
      </c>
      <c r="S368">
        <v>0</v>
      </c>
      <c r="T368">
        <v>0</v>
      </c>
      <c r="U368">
        <v>0</v>
      </c>
      <c r="V368">
        <f>IF(SUM(ifood_data[[#This Row],[AcceptedCmp1]:[AcceptedCmp5]])&gt;0,1,0)</f>
        <v>0</v>
      </c>
      <c r="W368">
        <v>0</v>
      </c>
      <c r="X368">
        <v>3</v>
      </c>
      <c r="Y368">
        <v>11</v>
      </c>
      <c r="Z368">
        <v>0</v>
      </c>
      <c r="AA368">
        <v>75</v>
      </c>
      <c r="AB368">
        <v>2760</v>
      </c>
      <c r="AC368" s="28">
        <f>ifood_data[[#This Row],[Customer_Days]]/365</f>
        <v>7.5616438356164384</v>
      </c>
      <c r="AD368">
        <v>0</v>
      </c>
      <c r="AE368">
        <v>1</v>
      </c>
      <c r="AF368">
        <v>0</v>
      </c>
      <c r="AG368">
        <v>0</v>
      </c>
      <c r="AH368">
        <v>0</v>
      </c>
      <c r="AI368">
        <v>0</v>
      </c>
      <c r="AJ368">
        <v>0</v>
      </c>
      <c r="AK368">
        <v>0</v>
      </c>
      <c r="AL368">
        <v>0</v>
      </c>
      <c r="AM368">
        <v>1</v>
      </c>
      <c r="AN368">
        <v>1673</v>
      </c>
      <c r="AO368">
        <v>1640</v>
      </c>
      <c r="AP368">
        <f>ifood_data[[#This Row],[MntTotal]]-ifood_data[[#This Row],[MntRegularProds]]</f>
        <v>33</v>
      </c>
      <c r="AQ368">
        <v>0</v>
      </c>
      <c r="AR368">
        <f>IF(SUM(ifood_data[[#This Row],[Kidhome]:[Teenhome]])&gt;0,1,0)</f>
        <v>0</v>
      </c>
      <c r="AS368" t="str">
        <f>IF(SUM(ifood_data[[#This Row],[Kidhome]:[Teenhome]])&gt;0,"Has Family","No Family")</f>
        <v>No Family</v>
      </c>
      <c r="AT368" t="str">
        <f>IF(ifood_data[[#This Row],[marital_Married]]=1,"Married", (IF(ifood_data[[#This Row],[marital_Single]]=1,"Single",(IF(ifood_data[[#This Row],[marital_Divorced]]=1,"Divorced",(IF(ifood_data[[#This Row],[marital_Together]]=1,"Living Together",(IF(ifood_data[[#This Row],[marital_Widow]]=1,"Widow","Other")))))))))</f>
        <v>Married</v>
      </c>
      <c r="AU368" t="str">
        <f>IF(ifood_data[[#This Row],[education_Basic]]=1,"High School",(IF(ifood_data[[#This Row],[education_Graduation]]=1,"Undergraduate Degree",(IF(SUM(AM368,AL368,AI368)&gt;0,"Master's Degree or Higher","Other")))))</f>
        <v>Master's Degree or Higher</v>
      </c>
      <c r="AV368" t="str">
        <f>IF(ifood_data[[#All],[Income]]&gt;75000,"75K+",(IF(ifood_data[[#All],[Income]]&gt;50000,"50K-75K",(IF(ifood_data[[#All],[Income]]&gt;35000,"35K-50K","&lt;35K")))))</f>
        <v>50K-75K</v>
      </c>
      <c r="AW368" t="str">
        <f>IF(ifood_data[[#All],[Age]]&gt;60,"60+",(IF(ifood_data[[#All],[Age]]&gt;50,"50-60",(IF(ifood_data[[#All],[Age]]&gt;40,"40-50",(IF(ifood_data[[#All],[Age]]&gt;30,"30-40","&lt;30")))))))</f>
        <v>60+</v>
      </c>
      <c r="AX368">
        <f t="shared" si="20"/>
        <v>33</v>
      </c>
      <c r="AY368">
        <f t="shared" si="21"/>
        <v>8</v>
      </c>
      <c r="AZ368">
        <f t="shared" si="22"/>
        <v>9</v>
      </c>
      <c r="BA368">
        <f t="shared" si="23"/>
        <v>9</v>
      </c>
      <c r="BB368">
        <f>SUM(ifood_data[[#This Row],[Recency Score]:[Monetary Score]])</f>
        <v>26</v>
      </c>
      <c r="BC368">
        <f>(_xlfn.PERCENTRANK.INC(ifood_data[[#All],[RFM]],ifood_data[[#This Row],[RFM]],1))*10</f>
        <v>9</v>
      </c>
      <c r="BD368" t="str">
        <f>VLOOKUP(ifood_data[[#This Row],[RFM Score]],'RFM Analysis'!$A$3:$B$14,2,FALSE)</f>
        <v>Top Customer</v>
      </c>
      <c r="BE368">
        <f>'Regression Models'!$B$101+'Regression Models'!$B$102*ifood_data[[#This Row],[Income]]+'Regression Models'!$B$103*ifood_data[[#This Row],[Age]]+'Regression Models'!$B$104*ifood_data[[#This Row],[Family]]</f>
        <v>1108.9239843406128</v>
      </c>
      <c r="BF368" t="str">
        <f>IF(ifood_data[[#This Row],[AcceptedCmpOverall]]=1,"Campaign Respondent","Non-respondent")</f>
        <v>Non-respondent</v>
      </c>
    </row>
    <row r="369" spans="1:58" x14ac:dyDescent="0.35">
      <c r="A369">
        <v>435</v>
      </c>
      <c r="B369">
        <v>66664</v>
      </c>
      <c r="C369">
        <v>0</v>
      </c>
      <c r="D369">
        <v>0</v>
      </c>
      <c r="E369">
        <v>78</v>
      </c>
      <c r="F369">
        <v>398</v>
      </c>
      <c r="G369">
        <v>96</v>
      </c>
      <c r="H369">
        <v>447</v>
      </c>
      <c r="I369">
        <v>220</v>
      </c>
      <c r="J369">
        <v>96</v>
      </c>
      <c r="K369">
        <v>32</v>
      </c>
      <c r="L369">
        <v>1</v>
      </c>
      <c r="M369">
        <v>5</v>
      </c>
      <c r="N369">
        <v>7</v>
      </c>
      <c r="O369">
        <v>6</v>
      </c>
      <c r="P369">
        <v>3</v>
      </c>
      <c r="Q369">
        <v>0</v>
      </c>
      <c r="R369">
        <v>0</v>
      </c>
      <c r="S369">
        <v>0</v>
      </c>
      <c r="T369">
        <v>0</v>
      </c>
      <c r="U369">
        <v>0</v>
      </c>
      <c r="V369">
        <f>IF(SUM(ifood_data[[#This Row],[AcceptedCmp1]:[AcceptedCmp5]])&gt;0,1,0)</f>
        <v>0</v>
      </c>
      <c r="W369">
        <v>0</v>
      </c>
      <c r="X369">
        <v>3</v>
      </c>
      <c r="Y369">
        <v>11</v>
      </c>
      <c r="Z369">
        <v>0</v>
      </c>
      <c r="AA369">
        <v>38</v>
      </c>
      <c r="AB369">
        <v>2801</v>
      </c>
      <c r="AC369" s="28">
        <f>ifood_data[[#This Row],[Customer_Days]]/365</f>
        <v>7.6739726027397257</v>
      </c>
      <c r="AD369">
        <v>0</v>
      </c>
      <c r="AE369">
        <v>0</v>
      </c>
      <c r="AF369">
        <v>0</v>
      </c>
      <c r="AG369">
        <v>1</v>
      </c>
      <c r="AH369">
        <v>0</v>
      </c>
      <c r="AI369">
        <v>1</v>
      </c>
      <c r="AJ369">
        <v>0</v>
      </c>
      <c r="AK369">
        <v>0</v>
      </c>
      <c r="AL369">
        <v>0</v>
      </c>
      <c r="AM369">
        <v>0</v>
      </c>
      <c r="AN369">
        <v>1257</v>
      </c>
      <c r="AO369">
        <v>1225</v>
      </c>
      <c r="AP369">
        <f>ifood_data[[#This Row],[MntTotal]]-ifood_data[[#This Row],[MntRegularProds]]</f>
        <v>32</v>
      </c>
      <c r="AQ369">
        <v>0</v>
      </c>
      <c r="AR369">
        <f>IF(SUM(ifood_data[[#This Row],[Kidhome]:[Teenhome]])&gt;0,1,0)</f>
        <v>0</v>
      </c>
      <c r="AS369" t="str">
        <f>IF(SUM(ifood_data[[#This Row],[Kidhome]:[Teenhome]])&gt;0,"Has Family","No Family")</f>
        <v>No Family</v>
      </c>
      <c r="AT369" t="str">
        <f>IF(ifood_data[[#This Row],[marital_Married]]=1,"Married", (IF(ifood_data[[#This Row],[marital_Single]]=1,"Single",(IF(ifood_data[[#This Row],[marital_Divorced]]=1,"Divorced",(IF(ifood_data[[#This Row],[marital_Together]]=1,"Living Together",(IF(ifood_data[[#This Row],[marital_Widow]]=1,"Widow","Other")))))))))</f>
        <v>Living Together</v>
      </c>
      <c r="AU369" t="str">
        <f>IF(ifood_data[[#This Row],[education_Basic]]=1,"High School",(IF(ifood_data[[#This Row],[education_Graduation]]=1,"Undergraduate Degree",(IF(SUM(AM369,AL369,AI369)&gt;0,"Master's Degree or Higher","Other")))))</f>
        <v>Master's Degree or Higher</v>
      </c>
      <c r="AV369" t="str">
        <f>IF(ifood_data[[#All],[Income]]&gt;75000,"75K+",(IF(ifood_data[[#All],[Income]]&gt;50000,"50K-75K",(IF(ifood_data[[#All],[Income]]&gt;35000,"35K-50K","&lt;35K")))))</f>
        <v>50K-75K</v>
      </c>
      <c r="AW369" t="str">
        <f>IF(ifood_data[[#All],[Age]]&gt;60,"60+",(IF(ifood_data[[#All],[Age]]&gt;50,"50-60",(IF(ifood_data[[#All],[Age]]&gt;40,"40-50",(IF(ifood_data[[#All],[Age]]&gt;30,"30-40","&lt;30")))))))</f>
        <v>30-40</v>
      </c>
      <c r="AX369">
        <f t="shared" si="20"/>
        <v>22</v>
      </c>
      <c r="AY369">
        <f t="shared" si="21"/>
        <v>3.0000000000000004</v>
      </c>
      <c r="AZ369">
        <f t="shared" si="22"/>
        <v>5</v>
      </c>
      <c r="BA369">
        <f t="shared" si="23"/>
        <v>8</v>
      </c>
      <c r="BB369">
        <f>SUM(ifood_data[[#This Row],[Recency Score]:[Monetary Score]])</f>
        <v>16</v>
      </c>
      <c r="BC369">
        <f>(_xlfn.PERCENTRANK.INC(ifood_data[[#All],[RFM]],ifood_data[[#This Row],[RFM]],1))*10</f>
        <v>5</v>
      </c>
      <c r="BD369" t="str">
        <f>VLOOKUP(ifood_data[[#This Row],[RFM Score]],'RFM Analysis'!$A$3:$B$14,2,FALSE)</f>
        <v>Promising</v>
      </c>
      <c r="BE369">
        <f>'Regression Models'!$B$101+'Regression Models'!$B$102*ifood_data[[#This Row],[Income]]+'Regression Models'!$B$103*ifood_data[[#This Row],[Age]]+'Regression Models'!$B$104*ifood_data[[#This Row],[Family]]</f>
        <v>1101.5968982724266</v>
      </c>
      <c r="BF369" t="str">
        <f>IF(ifood_data[[#This Row],[AcceptedCmpOverall]]=1,"Campaign Respondent","Non-respondent")</f>
        <v>Non-respondent</v>
      </c>
    </row>
    <row r="370" spans="1:58" x14ac:dyDescent="0.35">
      <c r="A370">
        <v>1011</v>
      </c>
      <c r="B370">
        <v>67023</v>
      </c>
      <c r="C370">
        <v>0</v>
      </c>
      <c r="D370">
        <v>0</v>
      </c>
      <c r="E370">
        <v>93</v>
      </c>
      <c r="F370">
        <v>444</v>
      </c>
      <c r="G370">
        <v>44</v>
      </c>
      <c r="H370">
        <v>382</v>
      </c>
      <c r="I370">
        <v>11</v>
      </c>
      <c r="J370">
        <v>8</v>
      </c>
      <c r="K370">
        <v>17</v>
      </c>
      <c r="L370">
        <v>1</v>
      </c>
      <c r="M370">
        <v>3</v>
      </c>
      <c r="N370">
        <v>7</v>
      </c>
      <c r="O370">
        <v>13</v>
      </c>
      <c r="P370">
        <v>2</v>
      </c>
      <c r="Q370">
        <v>0</v>
      </c>
      <c r="R370">
        <v>0</v>
      </c>
      <c r="S370">
        <v>0</v>
      </c>
      <c r="T370">
        <v>0</v>
      </c>
      <c r="U370">
        <v>0</v>
      </c>
      <c r="V370">
        <f>IF(SUM(ifood_data[[#This Row],[AcceptedCmp1]:[AcceptedCmp5]])&gt;0,1,0)</f>
        <v>0</v>
      </c>
      <c r="W370">
        <v>1</v>
      </c>
      <c r="X370">
        <v>3</v>
      </c>
      <c r="Y370">
        <v>11</v>
      </c>
      <c r="Z370">
        <v>0</v>
      </c>
      <c r="AA370">
        <v>42</v>
      </c>
      <c r="AB370">
        <v>2276</v>
      </c>
      <c r="AC370" s="28">
        <f>ifood_data[[#This Row],[Customer_Days]]/365</f>
        <v>6.2356164383561641</v>
      </c>
      <c r="AD370">
        <v>0</v>
      </c>
      <c r="AE370">
        <v>1</v>
      </c>
      <c r="AF370">
        <v>0</v>
      </c>
      <c r="AG370">
        <v>0</v>
      </c>
      <c r="AH370">
        <v>0</v>
      </c>
      <c r="AI370">
        <v>0</v>
      </c>
      <c r="AJ370">
        <v>0</v>
      </c>
      <c r="AK370">
        <v>1</v>
      </c>
      <c r="AL370">
        <v>0</v>
      </c>
      <c r="AM370">
        <v>0</v>
      </c>
      <c r="AN370">
        <v>889</v>
      </c>
      <c r="AO370">
        <v>872</v>
      </c>
      <c r="AP370">
        <f>ifood_data[[#This Row],[MntTotal]]-ifood_data[[#This Row],[MntRegularProds]]</f>
        <v>17</v>
      </c>
      <c r="AQ370">
        <v>0</v>
      </c>
      <c r="AR370">
        <f>IF(SUM(ifood_data[[#This Row],[Kidhome]:[Teenhome]])&gt;0,1,0)</f>
        <v>0</v>
      </c>
      <c r="AS370" t="str">
        <f>IF(SUM(ifood_data[[#This Row],[Kidhome]:[Teenhome]])&gt;0,"Has Family","No Family")</f>
        <v>No Family</v>
      </c>
      <c r="AT370" t="str">
        <f>IF(ifood_data[[#This Row],[marital_Married]]=1,"Married", (IF(ifood_data[[#This Row],[marital_Single]]=1,"Single",(IF(ifood_data[[#This Row],[marital_Divorced]]=1,"Divorced",(IF(ifood_data[[#This Row],[marital_Together]]=1,"Living Together",(IF(ifood_data[[#This Row],[marital_Widow]]=1,"Widow","Other")))))))))</f>
        <v>Married</v>
      </c>
      <c r="AU370" t="str">
        <f>IF(ifood_data[[#This Row],[education_Basic]]=1,"High School",(IF(ifood_data[[#This Row],[education_Graduation]]=1,"Undergraduate Degree",(IF(SUM(AM370,AL370,AI370)&gt;0,"Master's Degree or Higher","Other")))))</f>
        <v>Undergraduate Degree</v>
      </c>
      <c r="AV370" t="str">
        <f>IF(ifood_data[[#All],[Income]]&gt;75000,"75K+",(IF(ifood_data[[#All],[Income]]&gt;50000,"50K-75K",(IF(ifood_data[[#All],[Income]]&gt;35000,"35K-50K","&lt;35K")))))</f>
        <v>50K-75K</v>
      </c>
      <c r="AW370" t="str">
        <f>IF(ifood_data[[#All],[Age]]&gt;60,"60+",(IF(ifood_data[[#All],[Age]]&gt;50,"50-60",(IF(ifood_data[[#All],[Age]]&gt;40,"40-50",(IF(ifood_data[[#All],[Age]]&gt;30,"30-40","&lt;30")))))))</f>
        <v>40-50</v>
      </c>
      <c r="AX370">
        <f t="shared" si="20"/>
        <v>26</v>
      </c>
      <c r="AY370">
        <f t="shared" si="21"/>
        <v>0.99999999999999978</v>
      </c>
      <c r="AZ370">
        <f t="shared" si="22"/>
        <v>7</v>
      </c>
      <c r="BA370">
        <f t="shared" si="23"/>
        <v>7</v>
      </c>
      <c r="BB370">
        <f>SUM(ifood_data[[#This Row],[Recency Score]:[Monetary Score]])</f>
        <v>15</v>
      </c>
      <c r="BC370">
        <f>(_xlfn.PERCENTRANK.INC(ifood_data[[#All],[RFM]],ifood_data[[#This Row],[RFM]],1))*10</f>
        <v>4</v>
      </c>
      <c r="BD370" t="str">
        <f>VLOOKUP(ifood_data[[#This Row],[RFM Score]],'RFM Analysis'!$A$3:$B$14,2,FALSE)</f>
        <v>At Risk</v>
      </c>
      <c r="BE370">
        <f>'Regression Models'!$B$101+'Regression Models'!$B$102*ifood_data[[#This Row],[Income]]+'Regression Models'!$B$103*ifood_data[[#This Row],[Age]]+'Regression Models'!$B$104*ifood_data[[#This Row],[Family]]</f>
        <v>1101.5707097205091</v>
      </c>
      <c r="BF370" t="str">
        <f>IF(ifood_data[[#This Row],[AcceptedCmpOverall]]=1,"Campaign Respondent","Non-respondent")</f>
        <v>Non-respondent</v>
      </c>
    </row>
    <row r="371" spans="1:58" x14ac:dyDescent="0.35">
      <c r="A371">
        <v>255</v>
      </c>
      <c r="B371">
        <v>69267</v>
      </c>
      <c r="C371">
        <v>0</v>
      </c>
      <c r="D371">
        <v>0</v>
      </c>
      <c r="E371">
        <v>31</v>
      </c>
      <c r="F371">
        <v>778</v>
      </c>
      <c r="G371">
        <v>44</v>
      </c>
      <c r="H371">
        <v>499</v>
      </c>
      <c r="I371">
        <v>95</v>
      </c>
      <c r="J371">
        <v>73</v>
      </c>
      <c r="K371">
        <v>146</v>
      </c>
      <c r="L371">
        <v>2</v>
      </c>
      <c r="M371">
        <v>3</v>
      </c>
      <c r="N371">
        <v>4</v>
      </c>
      <c r="O371">
        <v>5</v>
      </c>
      <c r="P371">
        <v>7</v>
      </c>
      <c r="Q371">
        <v>0</v>
      </c>
      <c r="R371">
        <v>0</v>
      </c>
      <c r="S371">
        <v>0</v>
      </c>
      <c r="T371">
        <v>0</v>
      </c>
      <c r="U371">
        <v>0</v>
      </c>
      <c r="V371">
        <f>IF(SUM(ifood_data[[#This Row],[AcceptedCmp1]:[AcceptedCmp5]])&gt;0,1,0)</f>
        <v>0</v>
      </c>
      <c r="W371">
        <v>0</v>
      </c>
      <c r="X371">
        <v>3</v>
      </c>
      <c r="Y371">
        <v>11</v>
      </c>
      <c r="Z371">
        <v>1</v>
      </c>
      <c r="AA371">
        <v>67</v>
      </c>
      <c r="AB371">
        <v>2804</v>
      </c>
      <c r="AC371" s="28">
        <f>ifood_data[[#This Row],[Customer_Days]]/365</f>
        <v>7.6821917808219178</v>
      </c>
      <c r="AD371">
        <v>0</v>
      </c>
      <c r="AE371">
        <v>0</v>
      </c>
      <c r="AF371">
        <v>1</v>
      </c>
      <c r="AG371">
        <v>0</v>
      </c>
      <c r="AH371">
        <v>0</v>
      </c>
      <c r="AI371">
        <v>0</v>
      </c>
      <c r="AJ371">
        <v>0</v>
      </c>
      <c r="AK371">
        <v>1</v>
      </c>
      <c r="AL371">
        <v>0</v>
      </c>
      <c r="AM371">
        <v>0</v>
      </c>
      <c r="AN371">
        <v>1489</v>
      </c>
      <c r="AO371">
        <v>1343</v>
      </c>
      <c r="AP371">
        <f>ifood_data[[#This Row],[MntTotal]]-ifood_data[[#This Row],[MntRegularProds]]</f>
        <v>146</v>
      </c>
      <c r="AQ371">
        <v>0</v>
      </c>
      <c r="AR371">
        <f>IF(SUM(ifood_data[[#This Row],[Kidhome]:[Teenhome]])&gt;0,1,0)</f>
        <v>0</v>
      </c>
      <c r="AS371" t="str">
        <f>IF(SUM(ifood_data[[#This Row],[Kidhome]:[Teenhome]])&gt;0,"Has Family","No Family")</f>
        <v>No Family</v>
      </c>
      <c r="AT371" t="str">
        <f>IF(ifood_data[[#This Row],[marital_Married]]=1,"Married", (IF(ifood_data[[#This Row],[marital_Single]]=1,"Single",(IF(ifood_data[[#This Row],[marital_Divorced]]=1,"Divorced",(IF(ifood_data[[#This Row],[marital_Together]]=1,"Living Together",(IF(ifood_data[[#This Row],[marital_Widow]]=1,"Widow","Other")))))))))</f>
        <v>Single</v>
      </c>
      <c r="AU371" t="str">
        <f>IF(ifood_data[[#This Row],[education_Basic]]=1,"High School",(IF(ifood_data[[#This Row],[education_Graduation]]=1,"Undergraduate Degree",(IF(SUM(AM371,AL371,AI371)&gt;0,"Master's Degree or Higher","Other")))))</f>
        <v>Undergraduate Degree</v>
      </c>
      <c r="AV371" t="str">
        <f>IF(ifood_data[[#All],[Income]]&gt;75000,"75K+",(IF(ifood_data[[#All],[Income]]&gt;50000,"50K-75K",(IF(ifood_data[[#All],[Income]]&gt;35000,"35K-50K","&lt;35K")))))</f>
        <v>50K-75K</v>
      </c>
      <c r="AW371" t="str">
        <f>IF(ifood_data[[#All],[Age]]&gt;60,"60+",(IF(ifood_data[[#All],[Age]]&gt;50,"50-60",(IF(ifood_data[[#All],[Age]]&gt;40,"40-50",(IF(ifood_data[[#All],[Age]]&gt;30,"30-40","&lt;30")))))))</f>
        <v>60+</v>
      </c>
      <c r="AX371">
        <f t="shared" si="20"/>
        <v>21</v>
      </c>
      <c r="AY371">
        <f t="shared" si="21"/>
        <v>7</v>
      </c>
      <c r="AZ371">
        <f t="shared" si="22"/>
        <v>5</v>
      </c>
      <c r="BA371">
        <f t="shared" si="23"/>
        <v>9</v>
      </c>
      <c r="BB371">
        <f>SUM(ifood_data[[#This Row],[Recency Score]:[Monetary Score]])</f>
        <v>21</v>
      </c>
      <c r="BC371">
        <f>(_xlfn.PERCENTRANK.INC(ifood_data[[#All],[RFM]],ifood_data[[#This Row],[RFM]],1))*10</f>
        <v>8</v>
      </c>
      <c r="BD371" t="str">
        <f>VLOOKUP(ifood_data[[#This Row],[RFM Score]],'RFM Analysis'!$A$3:$B$14,2,FALSE)</f>
        <v>Loyal Customer</v>
      </c>
      <c r="BE371">
        <f>'Regression Models'!$B$101+'Regression Models'!$B$102*ifood_data[[#This Row],[Income]]+'Regression Models'!$B$103*ifood_data[[#This Row],[Age]]+'Regression Models'!$B$104*ifood_data[[#This Row],[Family]]</f>
        <v>1101.4121284630612</v>
      </c>
      <c r="BF371" t="str">
        <f>IF(ifood_data[[#This Row],[AcceptedCmpOverall]]=1,"Campaign Respondent","Non-respondent")</f>
        <v>Non-respondent</v>
      </c>
    </row>
    <row r="372" spans="1:58" x14ac:dyDescent="0.35">
      <c r="A372">
        <v>1508</v>
      </c>
      <c r="B372">
        <v>69755</v>
      </c>
      <c r="C372">
        <v>0</v>
      </c>
      <c r="D372">
        <v>0</v>
      </c>
      <c r="E372">
        <v>23</v>
      </c>
      <c r="F372">
        <v>217</v>
      </c>
      <c r="G372">
        <v>77</v>
      </c>
      <c r="H372">
        <v>373</v>
      </c>
      <c r="I372">
        <v>111</v>
      </c>
      <c r="J372">
        <v>23</v>
      </c>
      <c r="K372">
        <v>93</v>
      </c>
      <c r="L372">
        <v>1</v>
      </c>
      <c r="M372">
        <v>3</v>
      </c>
      <c r="N372">
        <v>6</v>
      </c>
      <c r="O372">
        <v>12</v>
      </c>
      <c r="P372">
        <v>1</v>
      </c>
      <c r="Q372">
        <v>0</v>
      </c>
      <c r="R372">
        <v>0</v>
      </c>
      <c r="S372">
        <v>0</v>
      </c>
      <c r="T372">
        <v>0</v>
      </c>
      <c r="U372">
        <v>0</v>
      </c>
      <c r="V372">
        <f>IF(SUM(ifood_data[[#This Row],[AcceptedCmp1]:[AcceptedCmp5]])&gt;0,1,0)</f>
        <v>0</v>
      </c>
      <c r="W372">
        <v>0</v>
      </c>
      <c r="X372">
        <v>3</v>
      </c>
      <c r="Y372">
        <v>11</v>
      </c>
      <c r="Z372">
        <v>0</v>
      </c>
      <c r="AA372">
        <v>75</v>
      </c>
      <c r="AB372">
        <v>2429</v>
      </c>
      <c r="AC372" s="28">
        <f>ifood_data[[#This Row],[Customer_Days]]/365</f>
        <v>6.6547945205479451</v>
      </c>
      <c r="AD372">
        <v>0</v>
      </c>
      <c r="AE372">
        <v>1</v>
      </c>
      <c r="AF372">
        <v>0</v>
      </c>
      <c r="AG372">
        <v>0</v>
      </c>
      <c r="AH372">
        <v>0</v>
      </c>
      <c r="AI372">
        <v>0</v>
      </c>
      <c r="AJ372">
        <v>0</v>
      </c>
      <c r="AK372">
        <v>1</v>
      </c>
      <c r="AL372">
        <v>0</v>
      </c>
      <c r="AM372">
        <v>0</v>
      </c>
      <c r="AN372">
        <v>801</v>
      </c>
      <c r="AO372">
        <v>708</v>
      </c>
      <c r="AP372">
        <f>ifood_data[[#This Row],[MntTotal]]-ifood_data[[#This Row],[MntRegularProds]]</f>
        <v>93</v>
      </c>
      <c r="AQ372">
        <v>0</v>
      </c>
      <c r="AR372">
        <f>IF(SUM(ifood_data[[#This Row],[Kidhome]:[Teenhome]])&gt;0,1,0)</f>
        <v>0</v>
      </c>
      <c r="AS372" t="str">
        <f>IF(SUM(ifood_data[[#This Row],[Kidhome]:[Teenhome]])&gt;0,"Has Family","No Family")</f>
        <v>No Family</v>
      </c>
      <c r="AT372" t="str">
        <f>IF(ifood_data[[#This Row],[marital_Married]]=1,"Married", (IF(ifood_data[[#This Row],[marital_Single]]=1,"Single",(IF(ifood_data[[#This Row],[marital_Divorced]]=1,"Divorced",(IF(ifood_data[[#This Row],[marital_Together]]=1,"Living Together",(IF(ifood_data[[#This Row],[marital_Widow]]=1,"Widow","Other")))))))))</f>
        <v>Married</v>
      </c>
      <c r="AU372" t="str">
        <f>IF(ifood_data[[#This Row],[education_Basic]]=1,"High School",(IF(ifood_data[[#This Row],[education_Graduation]]=1,"Undergraduate Degree",(IF(SUM(AM372,AL372,AI372)&gt;0,"Master's Degree or Higher","Other")))))</f>
        <v>Undergraduate Degree</v>
      </c>
      <c r="AV372" t="str">
        <f>IF(ifood_data[[#All],[Income]]&gt;75000,"75K+",(IF(ifood_data[[#All],[Income]]&gt;50000,"50K-75K",(IF(ifood_data[[#All],[Income]]&gt;35000,"35K-50K","&lt;35K")))))</f>
        <v>50K-75K</v>
      </c>
      <c r="AW372" t="str">
        <f>IF(ifood_data[[#All],[Age]]&gt;60,"60+",(IF(ifood_data[[#All],[Age]]&gt;50,"50-60",(IF(ifood_data[[#All],[Age]]&gt;40,"40-50",(IF(ifood_data[[#All],[Age]]&gt;30,"30-40","&lt;30")))))))</f>
        <v>60+</v>
      </c>
      <c r="AX372">
        <f t="shared" si="20"/>
        <v>23</v>
      </c>
      <c r="AY372">
        <f t="shared" si="21"/>
        <v>8</v>
      </c>
      <c r="AZ372">
        <f t="shared" si="22"/>
        <v>6</v>
      </c>
      <c r="BA372">
        <f t="shared" si="23"/>
        <v>6</v>
      </c>
      <c r="BB372">
        <f>SUM(ifood_data[[#This Row],[Recency Score]:[Monetary Score]])</f>
        <v>20</v>
      </c>
      <c r="BC372">
        <f>(_xlfn.PERCENTRANK.INC(ifood_data[[#All],[RFM]],ifood_data[[#This Row],[RFM]],1))*10</f>
        <v>7</v>
      </c>
      <c r="BD372" t="str">
        <f>VLOOKUP(ifood_data[[#This Row],[RFM Score]],'RFM Analysis'!$A$3:$B$14,2,FALSE)</f>
        <v>Loyal Customer</v>
      </c>
      <c r="BE372">
        <f>'Regression Models'!$B$101+'Regression Models'!$B$102*ifood_data[[#This Row],[Income]]+'Regression Models'!$B$103*ifood_data[[#This Row],[Age]]+'Regression Models'!$B$104*ifood_data[[#This Row],[Family]]</f>
        <v>1096.6703346861298</v>
      </c>
      <c r="BF372" t="str">
        <f>IF(ifood_data[[#This Row],[AcceptedCmpOverall]]=1,"Campaign Respondent","Non-respondent")</f>
        <v>Non-respondent</v>
      </c>
    </row>
    <row r="373" spans="1:58" x14ac:dyDescent="0.35">
      <c r="A373">
        <v>144</v>
      </c>
      <c r="B373">
        <v>69372</v>
      </c>
      <c r="C373">
        <v>0</v>
      </c>
      <c r="D373">
        <v>0</v>
      </c>
      <c r="E373">
        <v>10</v>
      </c>
      <c r="F373">
        <v>997</v>
      </c>
      <c r="G373">
        <v>26</v>
      </c>
      <c r="H373">
        <v>269</v>
      </c>
      <c r="I373">
        <v>34</v>
      </c>
      <c r="J373">
        <v>13</v>
      </c>
      <c r="K373">
        <v>42</v>
      </c>
      <c r="L373">
        <v>1</v>
      </c>
      <c r="M373">
        <v>10</v>
      </c>
      <c r="N373">
        <v>4</v>
      </c>
      <c r="O373">
        <v>6</v>
      </c>
      <c r="P373">
        <v>4</v>
      </c>
      <c r="Q373">
        <v>0</v>
      </c>
      <c r="R373">
        <v>0</v>
      </c>
      <c r="S373">
        <v>0</v>
      </c>
      <c r="T373">
        <v>1</v>
      </c>
      <c r="U373">
        <v>1</v>
      </c>
      <c r="V373">
        <f>IF(SUM(ifood_data[[#This Row],[AcceptedCmp1]:[AcceptedCmp5]])&gt;0,1,0)</f>
        <v>1</v>
      </c>
      <c r="W373">
        <v>0</v>
      </c>
      <c r="X373">
        <v>3</v>
      </c>
      <c r="Y373">
        <v>11</v>
      </c>
      <c r="Z373">
        <v>1</v>
      </c>
      <c r="AA373">
        <v>71</v>
      </c>
      <c r="AB373">
        <v>2654</v>
      </c>
      <c r="AC373" s="28">
        <f>ifood_data[[#This Row],[Customer_Days]]/365</f>
        <v>7.2712328767123289</v>
      </c>
      <c r="AD373">
        <v>0</v>
      </c>
      <c r="AE373">
        <v>0</v>
      </c>
      <c r="AF373">
        <v>0</v>
      </c>
      <c r="AG373">
        <v>1</v>
      </c>
      <c r="AH373">
        <v>0</v>
      </c>
      <c r="AI373">
        <v>0</v>
      </c>
      <c r="AJ373">
        <v>0</v>
      </c>
      <c r="AK373">
        <v>1</v>
      </c>
      <c r="AL373">
        <v>0</v>
      </c>
      <c r="AM373">
        <v>0</v>
      </c>
      <c r="AN373">
        <v>1339</v>
      </c>
      <c r="AO373">
        <v>1297</v>
      </c>
      <c r="AP373">
        <f>ifood_data[[#This Row],[MntTotal]]-ifood_data[[#This Row],[MntRegularProds]]</f>
        <v>42</v>
      </c>
      <c r="AQ373">
        <v>2</v>
      </c>
      <c r="AR373">
        <f>IF(SUM(ifood_data[[#This Row],[Kidhome]:[Teenhome]])&gt;0,1,0)</f>
        <v>0</v>
      </c>
      <c r="AS373" t="str">
        <f>IF(SUM(ifood_data[[#This Row],[Kidhome]:[Teenhome]])&gt;0,"Has Family","No Family")</f>
        <v>No Family</v>
      </c>
      <c r="AT373" t="str">
        <f>IF(ifood_data[[#This Row],[marital_Married]]=1,"Married", (IF(ifood_data[[#This Row],[marital_Single]]=1,"Single",(IF(ifood_data[[#This Row],[marital_Divorced]]=1,"Divorced",(IF(ifood_data[[#This Row],[marital_Together]]=1,"Living Together",(IF(ifood_data[[#This Row],[marital_Widow]]=1,"Widow","Other")))))))))</f>
        <v>Living Together</v>
      </c>
      <c r="AU373" t="str">
        <f>IF(ifood_data[[#This Row],[education_Basic]]=1,"High School",(IF(ifood_data[[#This Row],[education_Graduation]]=1,"Undergraduate Degree",(IF(SUM(AM373,AL373,AI373)&gt;0,"Master's Degree or Higher","Other")))))</f>
        <v>Undergraduate Degree</v>
      </c>
      <c r="AV373" t="str">
        <f>IF(ifood_data[[#All],[Income]]&gt;75000,"75K+",(IF(ifood_data[[#All],[Income]]&gt;50000,"50K-75K",(IF(ifood_data[[#All],[Income]]&gt;35000,"35K-50K","&lt;35K")))))</f>
        <v>50K-75K</v>
      </c>
      <c r="AW373" t="str">
        <f>IF(ifood_data[[#All],[Age]]&gt;60,"60+",(IF(ifood_data[[#All],[Age]]&gt;50,"50-60",(IF(ifood_data[[#All],[Age]]&gt;40,"40-50",(IF(ifood_data[[#All],[Age]]&gt;30,"30-40","&lt;30")))))))</f>
        <v>60+</v>
      </c>
      <c r="AX373">
        <f t="shared" si="20"/>
        <v>25</v>
      </c>
      <c r="AY373">
        <f t="shared" si="21"/>
        <v>9</v>
      </c>
      <c r="AZ373">
        <f t="shared" si="22"/>
        <v>7</v>
      </c>
      <c r="BA373">
        <f t="shared" si="23"/>
        <v>8</v>
      </c>
      <c r="BB373">
        <f>SUM(ifood_data[[#This Row],[Recency Score]:[Monetary Score]])</f>
        <v>24</v>
      </c>
      <c r="BC373">
        <f>(_xlfn.PERCENTRANK.INC(ifood_data[[#All],[RFM]],ifood_data[[#This Row],[RFM]],1))*10</f>
        <v>9</v>
      </c>
      <c r="BD373" t="str">
        <f>VLOOKUP(ifood_data[[#This Row],[RFM Score]],'RFM Analysis'!$A$3:$B$14,2,FALSE)</f>
        <v>Top Customer</v>
      </c>
      <c r="BE373">
        <f>'Regression Models'!$B$101+'Regression Models'!$B$102*ifood_data[[#This Row],[Income]]+'Regression Models'!$B$103*ifood_data[[#This Row],[Age]]+'Regression Models'!$B$104*ifood_data[[#This Row],[Family]]</f>
        <v>1096.2071928025932</v>
      </c>
      <c r="BF373" t="str">
        <f>IF(ifood_data[[#This Row],[AcceptedCmpOverall]]=1,"Campaign Respondent","Non-respondent")</f>
        <v>Campaign Respondent</v>
      </c>
    </row>
    <row r="374" spans="1:58" x14ac:dyDescent="0.35">
      <c r="A374">
        <v>994</v>
      </c>
      <c r="B374">
        <v>69098</v>
      </c>
      <c r="C374">
        <v>0</v>
      </c>
      <c r="D374">
        <v>0</v>
      </c>
      <c r="E374">
        <v>82</v>
      </c>
      <c r="F374">
        <v>1315</v>
      </c>
      <c r="G374">
        <v>22</v>
      </c>
      <c r="H374">
        <v>780</v>
      </c>
      <c r="I374">
        <v>145</v>
      </c>
      <c r="J374">
        <v>0</v>
      </c>
      <c r="K374">
        <v>178</v>
      </c>
      <c r="L374">
        <v>1</v>
      </c>
      <c r="M374">
        <v>7</v>
      </c>
      <c r="N374">
        <v>8</v>
      </c>
      <c r="O374">
        <v>9</v>
      </c>
      <c r="P374">
        <v>5</v>
      </c>
      <c r="Q374">
        <v>0</v>
      </c>
      <c r="R374">
        <v>0</v>
      </c>
      <c r="S374">
        <v>0</v>
      </c>
      <c r="T374">
        <v>0</v>
      </c>
      <c r="U374">
        <v>0</v>
      </c>
      <c r="V374">
        <f>IF(SUM(ifood_data[[#This Row],[AcceptedCmp1]:[AcceptedCmp5]])&gt;0,1,0)</f>
        <v>0</v>
      </c>
      <c r="W374">
        <v>0</v>
      </c>
      <c r="X374">
        <v>3</v>
      </c>
      <c r="Y374">
        <v>11</v>
      </c>
      <c r="Z374">
        <v>0</v>
      </c>
      <c r="AA374">
        <v>71</v>
      </c>
      <c r="AB374">
        <v>2657</v>
      </c>
      <c r="AC374" s="28">
        <f>ifood_data[[#This Row],[Customer_Days]]/365</f>
        <v>7.279452054794521</v>
      </c>
      <c r="AD374">
        <v>0</v>
      </c>
      <c r="AE374">
        <v>1</v>
      </c>
      <c r="AF374">
        <v>0</v>
      </c>
      <c r="AG374">
        <v>0</v>
      </c>
      <c r="AH374">
        <v>0</v>
      </c>
      <c r="AI374">
        <v>0</v>
      </c>
      <c r="AJ374">
        <v>0</v>
      </c>
      <c r="AK374">
        <v>0</v>
      </c>
      <c r="AL374">
        <v>0</v>
      </c>
      <c r="AM374">
        <v>1</v>
      </c>
      <c r="AN374">
        <v>2262</v>
      </c>
      <c r="AO374">
        <v>2084</v>
      </c>
      <c r="AP374">
        <f>ifood_data[[#This Row],[MntTotal]]-ifood_data[[#This Row],[MntRegularProds]]</f>
        <v>178</v>
      </c>
      <c r="AQ374">
        <v>0</v>
      </c>
      <c r="AR374">
        <f>IF(SUM(ifood_data[[#This Row],[Kidhome]:[Teenhome]])&gt;0,1,0)</f>
        <v>0</v>
      </c>
      <c r="AS374" t="str">
        <f>IF(SUM(ifood_data[[#This Row],[Kidhome]:[Teenhome]])&gt;0,"Has Family","No Family")</f>
        <v>No Family</v>
      </c>
      <c r="AT374" t="str">
        <f>IF(ifood_data[[#This Row],[marital_Married]]=1,"Married", (IF(ifood_data[[#This Row],[marital_Single]]=1,"Single",(IF(ifood_data[[#This Row],[marital_Divorced]]=1,"Divorced",(IF(ifood_data[[#This Row],[marital_Together]]=1,"Living Together",(IF(ifood_data[[#This Row],[marital_Widow]]=1,"Widow","Other")))))))))</f>
        <v>Married</v>
      </c>
      <c r="AU374" t="str">
        <f>IF(ifood_data[[#This Row],[education_Basic]]=1,"High School",(IF(ifood_data[[#This Row],[education_Graduation]]=1,"Undergraduate Degree",(IF(SUM(AM374,AL374,AI374)&gt;0,"Master's Degree or Higher","Other")))))</f>
        <v>Master's Degree or Higher</v>
      </c>
      <c r="AV374" t="str">
        <f>IF(ifood_data[[#All],[Income]]&gt;75000,"75K+",(IF(ifood_data[[#All],[Income]]&gt;50000,"50K-75K",(IF(ifood_data[[#All],[Income]]&gt;35000,"35K-50K","&lt;35K")))))</f>
        <v>50K-75K</v>
      </c>
      <c r="AW374" t="str">
        <f>IF(ifood_data[[#All],[Age]]&gt;60,"60+",(IF(ifood_data[[#All],[Age]]&gt;50,"50-60",(IF(ifood_data[[#All],[Age]]&gt;40,"40-50",(IF(ifood_data[[#All],[Age]]&gt;30,"30-40","&lt;30")))))))</f>
        <v>60+</v>
      </c>
      <c r="AX374">
        <f t="shared" si="20"/>
        <v>30</v>
      </c>
      <c r="AY374">
        <f t="shared" si="21"/>
        <v>1.9999999999999996</v>
      </c>
      <c r="AZ374">
        <f t="shared" si="22"/>
        <v>8</v>
      </c>
      <c r="BA374">
        <f t="shared" si="23"/>
        <v>9</v>
      </c>
      <c r="BB374">
        <f>SUM(ifood_data[[#This Row],[Recency Score]:[Monetary Score]])</f>
        <v>19</v>
      </c>
      <c r="BC374">
        <f>(_xlfn.PERCENTRANK.INC(ifood_data[[#All],[RFM]],ifood_data[[#This Row],[RFM]],1))*10</f>
        <v>7</v>
      </c>
      <c r="BD374" t="str">
        <f>VLOOKUP(ifood_data[[#This Row],[RFM Score]],'RFM Analysis'!$A$3:$B$14,2,FALSE)</f>
        <v>Loyal Customer</v>
      </c>
      <c r="BE374">
        <f>'Regression Models'!$B$101+'Regression Models'!$B$102*ifood_data[[#This Row],[Income]]+'Regression Models'!$B$103*ifood_data[[#This Row],[Age]]+'Regression Models'!$B$104*ifood_data[[#This Row],[Family]]</f>
        <v>1090.6206703311652</v>
      </c>
      <c r="BF374" t="str">
        <f>IF(ifood_data[[#This Row],[AcceptedCmpOverall]]=1,"Campaign Respondent","Non-respondent")</f>
        <v>Non-respondent</v>
      </c>
    </row>
    <row r="375" spans="1:58" x14ac:dyDescent="0.35">
      <c r="A375">
        <v>1837</v>
      </c>
      <c r="B375">
        <v>68281</v>
      </c>
      <c r="C375">
        <v>0</v>
      </c>
      <c r="D375">
        <v>0</v>
      </c>
      <c r="E375">
        <v>31</v>
      </c>
      <c r="F375">
        <v>995</v>
      </c>
      <c r="G375">
        <v>112</v>
      </c>
      <c r="H375">
        <v>417</v>
      </c>
      <c r="I375">
        <v>42</v>
      </c>
      <c r="J375">
        <v>48</v>
      </c>
      <c r="K375">
        <v>41</v>
      </c>
      <c r="L375">
        <v>1</v>
      </c>
      <c r="M375">
        <v>2</v>
      </c>
      <c r="N375">
        <v>9</v>
      </c>
      <c r="O375">
        <v>13</v>
      </c>
      <c r="P375">
        <v>5</v>
      </c>
      <c r="Q375">
        <v>0</v>
      </c>
      <c r="R375">
        <v>0</v>
      </c>
      <c r="S375">
        <v>0</v>
      </c>
      <c r="T375">
        <v>0</v>
      </c>
      <c r="U375">
        <v>0</v>
      </c>
      <c r="V375">
        <f>IF(SUM(ifood_data[[#This Row],[AcceptedCmp1]:[AcceptedCmp5]])&gt;0,1,0)</f>
        <v>0</v>
      </c>
      <c r="W375">
        <v>0</v>
      </c>
      <c r="X375">
        <v>3</v>
      </c>
      <c r="Y375">
        <v>11</v>
      </c>
      <c r="Z375">
        <v>1</v>
      </c>
      <c r="AA375">
        <v>62</v>
      </c>
      <c r="AB375">
        <v>2850</v>
      </c>
      <c r="AC375" s="28">
        <f>ifood_data[[#This Row],[Customer_Days]]/365</f>
        <v>7.8082191780821919</v>
      </c>
      <c r="AD375">
        <v>0</v>
      </c>
      <c r="AE375">
        <v>0</v>
      </c>
      <c r="AF375">
        <v>1</v>
      </c>
      <c r="AG375">
        <v>0</v>
      </c>
      <c r="AH375">
        <v>0</v>
      </c>
      <c r="AI375">
        <v>0</v>
      </c>
      <c r="AJ375">
        <v>0</v>
      </c>
      <c r="AK375">
        <v>1</v>
      </c>
      <c r="AL375">
        <v>0</v>
      </c>
      <c r="AM375">
        <v>0</v>
      </c>
      <c r="AN375">
        <v>1614</v>
      </c>
      <c r="AO375">
        <v>1573</v>
      </c>
      <c r="AP375">
        <f>ifood_data[[#This Row],[MntTotal]]-ifood_data[[#This Row],[MntRegularProds]]</f>
        <v>41</v>
      </c>
      <c r="AQ375">
        <v>0</v>
      </c>
      <c r="AR375">
        <f>IF(SUM(ifood_data[[#This Row],[Kidhome]:[Teenhome]])&gt;0,1,0)</f>
        <v>0</v>
      </c>
      <c r="AS375" t="str">
        <f>IF(SUM(ifood_data[[#This Row],[Kidhome]:[Teenhome]])&gt;0,"Has Family","No Family")</f>
        <v>No Family</v>
      </c>
      <c r="AT375" t="str">
        <f>IF(ifood_data[[#This Row],[marital_Married]]=1,"Married", (IF(ifood_data[[#This Row],[marital_Single]]=1,"Single",(IF(ifood_data[[#This Row],[marital_Divorced]]=1,"Divorced",(IF(ifood_data[[#This Row],[marital_Together]]=1,"Living Together",(IF(ifood_data[[#This Row],[marital_Widow]]=1,"Widow","Other")))))))))</f>
        <v>Single</v>
      </c>
      <c r="AU375" t="str">
        <f>IF(ifood_data[[#This Row],[education_Basic]]=1,"High School",(IF(ifood_data[[#This Row],[education_Graduation]]=1,"Undergraduate Degree",(IF(SUM(AM375,AL375,AI375)&gt;0,"Master's Degree or Higher","Other")))))</f>
        <v>Undergraduate Degree</v>
      </c>
      <c r="AV375" t="str">
        <f>IF(ifood_data[[#All],[Income]]&gt;75000,"75K+",(IF(ifood_data[[#All],[Income]]&gt;50000,"50K-75K",(IF(ifood_data[[#All],[Income]]&gt;35000,"35K-50K","&lt;35K")))))</f>
        <v>50K-75K</v>
      </c>
      <c r="AW375" t="str">
        <f>IF(ifood_data[[#All],[Age]]&gt;60,"60+",(IF(ifood_data[[#All],[Age]]&gt;50,"50-60",(IF(ifood_data[[#All],[Age]]&gt;40,"40-50",(IF(ifood_data[[#All],[Age]]&gt;30,"30-40","&lt;30")))))))</f>
        <v>60+</v>
      </c>
      <c r="AX375">
        <f t="shared" si="20"/>
        <v>30</v>
      </c>
      <c r="AY375">
        <f t="shared" si="21"/>
        <v>7</v>
      </c>
      <c r="AZ375">
        <f t="shared" si="22"/>
        <v>8</v>
      </c>
      <c r="BA375">
        <f t="shared" si="23"/>
        <v>9</v>
      </c>
      <c r="BB375">
        <f>SUM(ifood_data[[#This Row],[Recency Score]:[Monetary Score]])</f>
        <v>24</v>
      </c>
      <c r="BC375">
        <f>(_xlfn.PERCENTRANK.INC(ifood_data[[#All],[RFM]],ifood_data[[#This Row],[RFM]],1))*10</f>
        <v>9</v>
      </c>
      <c r="BD375" t="str">
        <f>VLOOKUP(ifood_data[[#This Row],[RFM Score]],'RFM Analysis'!$A$3:$B$14,2,FALSE)</f>
        <v>Top Customer</v>
      </c>
      <c r="BE375">
        <f>'Regression Models'!$B$101+'Regression Models'!$B$102*ifood_data[[#This Row],[Income]]+'Regression Models'!$B$103*ifood_data[[#This Row],[Age]]+'Regression Models'!$B$104*ifood_data[[#This Row],[Family]]</f>
        <v>1090.4909984676481</v>
      </c>
      <c r="BF375" t="str">
        <f>IF(ifood_data[[#This Row],[AcceptedCmpOverall]]=1,"Campaign Respondent","Non-respondent")</f>
        <v>Non-respondent</v>
      </c>
    </row>
    <row r="376" spans="1:58" x14ac:dyDescent="0.35">
      <c r="A376">
        <v>217</v>
      </c>
      <c r="B376">
        <v>81975</v>
      </c>
      <c r="C376">
        <v>0</v>
      </c>
      <c r="D376">
        <v>1</v>
      </c>
      <c r="E376">
        <v>2</v>
      </c>
      <c r="F376">
        <v>983</v>
      </c>
      <c r="G376">
        <v>76</v>
      </c>
      <c r="H376">
        <v>184</v>
      </c>
      <c r="I376">
        <v>180</v>
      </c>
      <c r="J376">
        <v>138</v>
      </c>
      <c r="K376">
        <v>27</v>
      </c>
      <c r="L376">
        <v>1</v>
      </c>
      <c r="M376">
        <v>6</v>
      </c>
      <c r="N376">
        <v>3</v>
      </c>
      <c r="O376">
        <v>4</v>
      </c>
      <c r="P376">
        <v>7</v>
      </c>
      <c r="Q376">
        <v>0</v>
      </c>
      <c r="R376">
        <v>0</v>
      </c>
      <c r="S376">
        <v>0</v>
      </c>
      <c r="T376">
        <v>0</v>
      </c>
      <c r="U376">
        <v>1</v>
      </c>
      <c r="V376">
        <f>IF(SUM(ifood_data[[#This Row],[AcceptedCmp1]:[AcceptedCmp5]])&gt;0,1,0)</f>
        <v>1</v>
      </c>
      <c r="W376">
        <v>0</v>
      </c>
      <c r="X376">
        <v>3</v>
      </c>
      <c r="Y376">
        <v>11</v>
      </c>
      <c r="Z376">
        <v>0</v>
      </c>
      <c r="AA376">
        <v>58</v>
      </c>
      <c r="AB376">
        <v>2699</v>
      </c>
      <c r="AC376" s="28">
        <f>ifood_data[[#This Row],[Customer_Days]]/365</f>
        <v>7.3945205479452056</v>
      </c>
      <c r="AD376">
        <v>1</v>
      </c>
      <c r="AE376">
        <v>0</v>
      </c>
      <c r="AF376">
        <v>0</v>
      </c>
      <c r="AG376">
        <v>0</v>
      </c>
      <c r="AH376">
        <v>0</v>
      </c>
      <c r="AI376">
        <v>1</v>
      </c>
      <c r="AJ376">
        <v>0</v>
      </c>
      <c r="AK376">
        <v>0</v>
      </c>
      <c r="AL376">
        <v>0</v>
      </c>
      <c r="AM376">
        <v>0</v>
      </c>
      <c r="AN376">
        <v>1561</v>
      </c>
      <c r="AO376">
        <v>1534</v>
      </c>
      <c r="AP376">
        <f>ifood_data[[#This Row],[MntTotal]]-ifood_data[[#This Row],[MntRegularProds]]</f>
        <v>27</v>
      </c>
      <c r="AQ376">
        <v>1</v>
      </c>
      <c r="AR376">
        <f>IF(SUM(ifood_data[[#This Row],[Kidhome]:[Teenhome]])&gt;0,1,0)</f>
        <v>1</v>
      </c>
      <c r="AS376" t="str">
        <f>IF(SUM(ifood_data[[#This Row],[Kidhome]:[Teenhome]])&gt;0,"Has Family","No Family")</f>
        <v>Has Family</v>
      </c>
      <c r="AT376" t="str">
        <f>IF(ifood_data[[#This Row],[marital_Married]]=1,"Married", (IF(ifood_data[[#This Row],[marital_Single]]=1,"Single",(IF(ifood_data[[#This Row],[marital_Divorced]]=1,"Divorced",(IF(ifood_data[[#This Row],[marital_Together]]=1,"Living Together",(IF(ifood_data[[#This Row],[marital_Widow]]=1,"Widow","Other")))))))))</f>
        <v>Divorced</v>
      </c>
      <c r="AU376" t="str">
        <f>IF(ifood_data[[#This Row],[education_Basic]]=1,"High School",(IF(ifood_data[[#This Row],[education_Graduation]]=1,"Undergraduate Degree",(IF(SUM(AM376,AL376,AI376)&gt;0,"Master's Degree or Higher","Other")))))</f>
        <v>Master's Degree or Higher</v>
      </c>
      <c r="AV376" t="str">
        <f>IF(ifood_data[[#All],[Income]]&gt;75000,"75K+",(IF(ifood_data[[#All],[Income]]&gt;50000,"50K-75K",(IF(ifood_data[[#All],[Income]]&gt;35000,"35K-50K","&lt;35K")))))</f>
        <v>75K+</v>
      </c>
      <c r="AW376" t="str">
        <f>IF(ifood_data[[#All],[Age]]&gt;60,"60+",(IF(ifood_data[[#All],[Age]]&gt;50,"50-60",(IF(ifood_data[[#All],[Age]]&gt;40,"40-50",(IF(ifood_data[[#All],[Age]]&gt;30,"30-40","&lt;30")))))))</f>
        <v>50-60</v>
      </c>
      <c r="AX376">
        <f t="shared" si="20"/>
        <v>21</v>
      </c>
      <c r="AY376">
        <f t="shared" si="21"/>
        <v>10</v>
      </c>
      <c r="AZ376">
        <f t="shared" si="22"/>
        <v>5</v>
      </c>
      <c r="BA376">
        <f t="shared" si="23"/>
        <v>9</v>
      </c>
      <c r="BB376">
        <f>SUM(ifood_data[[#This Row],[Recency Score]:[Monetary Score]])</f>
        <v>24</v>
      </c>
      <c r="BC376">
        <f>(_xlfn.PERCENTRANK.INC(ifood_data[[#All],[RFM]],ifood_data[[#This Row],[RFM]],1))*10</f>
        <v>9</v>
      </c>
      <c r="BD376" t="str">
        <f>VLOOKUP(ifood_data[[#This Row],[RFM Score]],'RFM Analysis'!$A$3:$B$14,2,FALSE)</f>
        <v>Top Customer</v>
      </c>
      <c r="BE376">
        <f>'Regression Models'!$B$101+'Regression Models'!$B$102*ifood_data[[#This Row],[Income]]+'Regression Models'!$B$103*ifood_data[[#This Row],[Age]]+'Regression Models'!$B$104*ifood_data[[#This Row],[Family]]</f>
        <v>1087.4269146727615</v>
      </c>
      <c r="BF376" t="str">
        <f>IF(ifood_data[[#This Row],[AcceptedCmpOverall]]=1,"Campaign Respondent","Non-respondent")</f>
        <v>Campaign Respondent</v>
      </c>
    </row>
    <row r="377" spans="1:58" x14ac:dyDescent="0.35">
      <c r="A377">
        <v>1684</v>
      </c>
      <c r="B377">
        <v>68148</v>
      </c>
      <c r="C377">
        <v>0</v>
      </c>
      <c r="D377">
        <v>0</v>
      </c>
      <c r="E377">
        <v>86</v>
      </c>
      <c r="F377">
        <v>389</v>
      </c>
      <c r="G377">
        <v>66</v>
      </c>
      <c r="H377">
        <v>408</v>
      </c>
      <c r="I377">
        <v>37</v>
      </c>
      <c r="J377">
        <v>57</v>
      </c>
      <c r="K377">
        <v>85</v>
      </c>
      <c r="L377">
        <v>1</v>
      </c>
      <c r="M377">
        <v>4</v>
      </c>
      <c r="N377">
        <v>4</v>
      </c>
      <c r="O377">
        <v>6</v>
      </c>
      <c r="P377">
        <v>2</v>
      </c>
      <c r="Q377">
        <v>0</v>
      </c>
      <c r="R377">
        <v>0</v>
      </c>
      <c r="S377">
        <v>0</v>
      </c>
      <c r="T377">
        <v>0</v>
      </c>
      <c r="U377">
        <v>0</v>
      </c>
      <c r="V377">
        <f>IF(SUM(ifood_data[[#This Row],[AcceptedCmp1]:[AcceptedCmp5]])&gt;0,1,0)</f>
        <v>0</v>
      </c>
      <c r="W377">
        <v>0</v>
      </c>
      <c r="X377">
        <v>3</v>
      </c>
      <c r="Y377">
        <v>11</v>
      </c>
      <c r="Z377">
        <v>0</v>
      </c>
      <c r="AA377">
        <v>63</v>
      </c>
      <c r="AB377">
        <v>2461</v>
      </c>
      <c r="AC377" s="28">
        <f>ifood_data[[#This Row],[Customer_Days]]/365</f>
        <v>6.7424657534246579</v>
      </c>
      <c r="AD377">
        <v>0</v>
      </c>
      <c r="AE377">
        <v>0</v>
      </c>
      <c r="AF377">
        <v>0</v>
      </c>
      <c r="AG377">
        <v>1</v>
      </c>
      <c r="AH377">
        <v>0</v>
      </c>
      <c r="AI377">
        <v>0</v>
      </c>
      <c r="AJ377">
        <v>0</v>
      </c>
      <c r="AK377">
        <v>0</v>
      </c>
      <c r="AL377">
        <v>1</v>
      </c>
      <c r="AM377">
        <v>0</v>
      </c>
      <c r="AN377">
        <v>957</v>
      </c>
      <c r="AO377">
        <v>872</v>
      </c>
      <c r="AP377">
        <f>ifood_data[[#This Row],[MntTotal]]-ifood_data[[#This Row],[MntRegularProds]]</f>
        <v>85</v>
      </c>
      <c r="AQ377">
        <v>0</v>
      </c>
      <c r="AR377">
        <f>IF(SUM(ifood_data[[#This Row],[Kidhome]:[Teenhome]])&gt;0,1,0)</f>
        <v>0</v>
      </c>
      <c r="AS377" t="str">
        <f>IF(SUM(ifood_data[[#This Row],[Kidhome]:[Teenhome]])&gt;0,"Has Family","No Family")</f>
        <v>No Family</v>
      </c>
      <c r="AT377" t="str">
        <f>IF(ifood_data[[#This Row],[marital_Married]]=1,"Married", (IF(ifood_data[[#This Row],[marital_Single]]=1,"Single",(IF(ifood_data[[#This Row],[marital_Divorced]]=1,"Divorced",(IF(ifood_data[[#This Row],[marital_Together]]=1,"Living Together",(IF(ifood_data[[#This Row],[marital_Widow]]=1,"Widow","Other")))))))))</f>
        <v>Living Together</v>
      </c>
      <c r="AU377" t="str">
        <f>IF(ifood_data[[#This Row],[education_Basic]]=1,"High School",(IF(ifood_data[[#This Row],[education_Graduation]]=1,"Undergraduate Degree",(IF(SUM(AM377,AL377,AI377)&gt;0,"Master's Degree or Higher","Other")))))</f>
        <v>Master's Degree or Higher</v>
      </c>
      <c r="AV377" t="str">
        <f>IF(ifood_data[[#All],[Income]]&gt;75000,"75K+",(IF(ifood_data[[#All],[Income]]&gt;50000,"50K-75K",(IF(ifood_data[[#All],[Income]]&gt;35000,"35K-50K","&lt;35K")))))</f>
        <v>50K-75K</v>
      </c>
      <c r="AW377" t="str">
        <f>IF(ifood_data[[#All],[Age]]&gt;60,"60+",(IF(ifood_data[[#All],[Age]]&gt;50,"50-60",(IF(ifood_data[[#All],[Age]]&gt;40,"40-50",(IF(ifood_data[[#All],[Age]]&gt;30,"30-40","&lt;30")))))))</f>
        <v>60+</v>
      </c>
      <c r="AX377">
        <f t="shared" si="20"/>
        <v>17</v>
      </c>
      <c r="AY377">
        <f t="shared" si="21"/>
        <v>1.9999999999999996</v>
      </c>
      <c r="AZ377">
        <f t="shared" si="22"/>
        <v>3</v>
      </c>
      <c r="BA377">
        <f t="shared" si="23"/>
        <v>7</v>
      </c>
      <c r="BB377">
        <f>SUM(ifood_data[[#This Row],[Recency Score]:[Monetary Score]])</f>
        <v>12</v>
      </c>
      <c r="BC377">
        <f>(_xlfn.PERCENTRANK.INC(ifood_data[[#All],[RFM]],ifood_data[[#This Row],[RFM]],1))*10</f>
        <v>3</v>
      </c>
      <c r="BD377" t="str">
        <f>VLOOKUP(ifood_data[[#This Row],[RFM Score]],'RFM Analysis'!$A$3:$B$14,2,FALSE)</f>
        <v>At Risk</v>
      </c>
      <c r="BE377">
        <f>'Regression Models'!$B$101+'Regression Models'!$B$102*ifood_data[[#This Row],[Income]]+'Regression Models'!$B$103*ifood_data[[#This Row],[Age]]+'Regression Models'!$B$104*ifood_data[[#This Row],[Family]]</f>
        <v>1085.9428532256154</v>
      </c>
      <c r="BF377" t="str">
        <f>IF(ifood_data[[#This Row],[AcceptedCmpOverall]]=1,"Campaign Respondent","Non-respondent")</f>
        <v>Non-respondent</v>
      </c>
    </row>
    <row r="378" spans="1:58" x14ac:dyDescent="0.35">
      <c r="A378">
        <v>1426</v>
      </c>
      <c r="B378">
        <v>67786</v>
      </c>
      <c r="C378">
        <v>0</v>
      </c>
      <c r="D378">
        <v>0</v>
      </c>
      <c r="E378">
        <v>0</v>
      </c>
      <c r="F378">
        <v>431</v>
      </c>
      <c r="G378">
        <v>82</v>
      </c>
      <c r="H378">
        <v>441</v>
      </c>
      <c r="I378">
        <v>80</v>
      </c>
      <c r="J378">
        <v>20</v>
      </c>
      <c r="K378">
        <v>102</v>
      </c>
      <c r="L378">
        <v>1</v>
      </c>
      <c r="M378">
        <v>3</v>
      </c>
      <c r="N378">
        <v>6</v>
      </c>
      <c r="O378">
        <v>6</v>
      </c>
      <c r="P378">
        <v>1</v>
      </c>
      <c r="Q378">
        <v>0</v>
      </c>
      <c r="R378">
        <v>0</v>
      </c>
      <c r="S378">
        <v>0</v>
      </c>
      <c r="T378">
        <v>0</v>
      </c>
      <c r="U378">
        <v>0</v>
      </c>
      <c r="V378">
        <f>IF(SUM(ifood_data[[#This Row],[AcceptedCmp1]:[AcceptedCmp5]])&gt;0,1,0)</f>
        <v>0</v>
      </c>
      <c r="W378">
        <v>0</v>
      </c>
      <c r="X378">
        <v>3</v>
      </c>
      <c r="Y378">
        <v>11</v>
      </c>
      <c r="Z378">
        <v>1</v>
      </c>
      <c r="AA378">
        <v>61</v>
      </c>
      <c r="AB378">
        <v>2363</v>
      </c>
      <c r="AC378" s="28">
        <f>ifood_data[[#This Row],[Customer_Days]]/365</f>
        <v>6.4739726027397264</v>
      </c>
      <c r="AD378">
        <v>0</v>
      </c>
      <c r="AE378">
        <v>0</v>
      </c>
      <c r="AF378">
        <v>0</v>
      </c>
      <c r="AG378">
        <v>0</v>
      </c>
      <c r="AH378">
        <v>1</v>
      </c>
      <c r="AI378">
        <v>0</v>
      </c>
      <c r="AJ378">
        <v>0</v>
      </c>
      <c r="AK378">
        <v>0</v>
      </c>
      <c r="AL378">
        <v>0</v>
      </c>
      <c r="AM378">
        <v>1</v>
      </c>
      <c r="AN378">
        <v>1054</v>
      </c>
      <c r="AO378">
        <v>952</v>
      </c>
      <c r="AP378">
        <f>ifood_data[[#This Row],[MntTotal]]-ifood_data[[#This Row],[MntRegularProds]]</f>
        <v>102</v>
      </c>
      <c r="AQ378">
        <v>0</v>
      </c>
      <c r="AR378">
        <f>IF(SUM(ifood_data[[#This Row],[Kidhome]:[Teenhome]])&gt;0,1,0)</f>
        <v>0</v>
      </c>
      <c r="AS378" t="str">
        <f>IF(SUM(ifood_data[[#This Row],[Kidhome]:[Teenhome]])&gt;0,"Has Family","No Family")</f>
        <v>No Family</v>
      </c>
      <c r="AT378" t="str">
        <f>IF(ifood_data[[#This Row],[marital_Married]]=1,"Married", (IF(ifood_data[[#This Row],[marital_Single]]=1,"Single",(IF(ifood_data[[#This Row],[marital_Divorced]]=1,"Divorced",(IF(ifood_data[[#This Row],[marital_Together]]=1,"Living Together",(IF(ifood_data[[#This Row],[marital_Widow]]=1,"Widow","Other")))))))))</f>
        <v>Widow</v>
      </c>
      <c r="AU378" t="str">
        <f>IF(ifood_data[[#This Row],[education_Basic]]=1,"High School",(IF(ifood_data[[#This Row],[education_Graduation]]=1,"Undergraduate Degree",(IF(SUM(AM378,AL378,AI378)&gt;0,"Master's Degree or Higher","Other")))))</f>
        <v>Master's Degree or Higher</v>
      </c>
      <c r="AV378" t="str">
        <f>IF(ifood_data[[#All],[Income]]&gt;75000,"75K+",(IF(ifood_data[[#All],[Income]]&gt;50000,"50K-75K",(IF(ifood_data[[#All],[Income]]&gt;35000,"35K-50K","&lt;35K")))))</f>
        <v>50K-75K</v>
      </c>
      <c r="AW378" t="str">
        <f>IF(ifood_data[[#All],[Age]]&gt;60,"60+",(IF(ifood_data[[#All],[Age]]&gt;50,"50-60",(IF(ifood_data[[#All],[Age]]&gt;40,"40-50",(IF(ifood_data[[#All],[Age]]&gt;30,"30-40","&lt;30")))))))</f>
        <v>60+</v>
      </c>
      <c r="AX378">
        <f t="shared" si="20"/>
        <v>17</v>
      </c>
      <c r="AY378">
        <f t="shared" si="21"/>
        <v>10</v>
      </c>
      <c r="AZ378">
        <f t="shared" si="22"/>
        <v>3</v>
      </c>
      <c r="BA378">
        <f t="shared" si="23"/>
        <v>7</v>
      </c>
      <c r="BB378">
        <f>SUM(ifood_data[[#This Row],[Recency Score]:[Monetary Score]])</f>
        <v>20</v>
      </c>
      <c r="BC378">
        <f>(_xlfn.PERCENTRANK.INC(ifood_data[[#All],[RFM]],ifood_data[[#This Row],[RFM]],1))*10</f>
        <v>7</v>
      </c>
      <c r="BD378" t="str">
        <f>VLOOKUP(ifood_data[[#This Row],[RFM Score]],'RFM Analysis'!$A$3:$B$14,2,FALSE)</f>
        <v>Loyal Customer</v>
      </c>
      <c r="BE378">
        <f>'Regression Models'!$B$101+'Regression Models'!$B$102*ifood_data[[#This Row],[Income]]+'Regression Models'!$B$103*ifood_data[[#This Row],[Age]]+'Regression Models'!$B$104*ifood_data[[#This Row],[Family]]</f>
        <v>1082.2349973153125</v>
      </c>
      <c r="BF378" t="str">
        <f>IF(ifood_data[[#This Row],[AcceptedCmpOverall]]=1,"Campaign Respondent","Non-respondent")</f>
        <v>Non-respondent</v>
      </c>
    </row>
    <row r="379" spans="1:58" x14ac:dyDescent="0.35">
      <c r="A379">
        <v>39</v>
      </c>
      <c r="B379">
        <v>80011</v>
      </c>
      <c r="C379">
        <v>0</v>
      </c>
      <c r="D379">
        <v>1</v>
      </c>
      <c r="E379">
        <v>3</v>
      </c>
      <c r="F379">
        <v>421</v>
      </c>
      <c r="G379">
        <v>76</v>
      </c>
      <c r="H379">
        <v>536</v>
      </c>
      <c r="I379">
        <v>82</v>
      </c>
      <c r="J379">
        <v>178</v>
      </c>
      <c r="K379">
        <v>102</v>
      </c>
      <c r="L379">
        <v>2</v>
      </c>
      <c r="M379">
        <v>8</v>
      </c>
      <c r="N379">
        <v>6</v>
      </c>
      <c r="O379">
        <v>5</v>
      </c>
      <c r="P379">
        <v>4</v>
      </c>
      <c r="Q379">
        <v>0</v>
      </c>
      <c r="R379">
        <v>0</v>
      </c>
      <c r="S379">
        <v>0</v>
      </c>
      <c r="T379">
        <v>0</v>
      </c>
      <c r="U379">
        <v>0</v>
      </c>
      <c r="V379">
        <f>IF(SUM(ifood_data[[#This Row],[AcceptedCmp1]:[AcceptedCmp5]])&gt;0,1,0)</f>
        <v>0</v>
      </c>
      <c r="W379">
        <v>0</v>
      </c>
      <c r="X379">
        <v>3</v>
      </c>
      <c r="Y379">
        <v>11</v>
      </c>
      <c r="Z379">
        <v>0</v>
      </c>
      <c r="AA379">
        <v>40</v>
      </c>
      <c r="AB379">
        <v>2585</v>
      </c>
      <c r="AC379" s="28">
        <f>ifood_data[[#This Row],[Customer_Days]]/365</f>
        <v>7.0821917808219181</v>
      </c>
      <c r="AD379">
        <v>0</v>
      </c>
      <c r="AE379">
        <v>1</v>
      </c>
      <c r="AF379">
        <v>0</v>
      </c>
      <c r="AG379">
        <v>0</v>
      </c>
      <c r="AH379">
        <v>0</v>
      </c>
      <c r="AI379">
        <v>0</v>
      </c>
      <c r="AJ379">
        <v>0</v>
      </c>
      <c r="AK379">
        <v>1</v>
      </c>
      <c r="AL379">
        <v>0</v>
      </c>
      <c r="AM379">
        <v>0</v>
      </c>
      <c r="AN379">
        <v>1293</v>
      </c>
      <c r="AO379">
        <v>1191</v>
      </c>
      <c r="AP379">
        <f>ifood_data[[#This Row],[MntTotal]]-ifood_data[[#This Row],[MntRegularProds]]</f>
        <v>102</v>
      </c>
      <c r="AQ379">
        <v>0</v>
      </c>
      <c r="AR379">
        <f>IF(SUM(ifood_data[[#This Row],[Kidhome]:[Teenhome]])&gt;0,1,0)</f>
        <v>1</v>
      </c>
      <c r="AS379" t="str">
        <f>IF(SUM(ifood_data[[#This Row],[Kidhome]:[Teenhome]])&gt;0,"Has Family","No Family")</f>
        <v>Has Family</v>
      </c>
      <c r="AT379" t="str">
        <f>IF(ifood_data[[#This Row],[marital_Married]]=1,"Married", (IF(ifood_data[[#This Row],[marital_Single]]=1,"Single",(IF(ifood_data[[#This Row],[marital_Divorced]]=1,"Divorced",(IF(ifood_data[[#This Row],[marital_Together]]=1,"Living Together",(IF(ifood_data[[#This Row],[marital_Widow]]=1,"Widow","Other")))))))))</f>
        <v>Married</v>
      </c>
      <c r="AU379" t="str">
        <f>IF(ifood_data[[#This Row],[education_Basic]]=1,"High School",(IF(ifood_data[[#This Row],[education_Graduation]]=1,"Undergraduate Degree",(IF(SUM(AM379,AL379,AI379)&gt;0,"Master's Degree or Higher","Other")))))</f>
        <v>Undergraduate Degree</v>
      </c>
      <c r="AV379" t="str">
        <f>IF(ifood_data[[#All],[Income]]&gt;75000,"75K+",(IF(ifood_data[[#All],[Income]]&gt;50000,"50K-75K",(IF(ifood_data[[#All],[Income]]&gt;35000,"35K-50K","&lt;35K")))))</f>
        <v>75K+</v>
      </c>
      <c r="AW379" t="str">
        <f>IF(ifood_data[[#All],[Age]]&gt;60,"60+",(IF(ifood_data[[#All],[Age]]&gt;50,"50-60",(IF(ifood_data[[#All],[Age]]&gt;40,"40-50",(IF(ifood_data[[#All],[Age]]&gt;30,"30-40","&lt;30")))))))</f>
        <v>30-40</v>
      </c>
      <c r="AX379">
        <f t="shared" si="20"/>
        <v>25</v>
      </c>
      <c r="AY379">
        <f t="shared" si="21"/>
        <v>10</v>
      </c>
      <c r="AZ379">
        <f t="shared" si="22"/>
        <v>7</v>
      </c>
      <c r="BA379">
        <f t="shared" si="23"/>
        <v>8</v>
      </c>
      <c r="BB379">
        <f>SUM(ifood_data[[#This Row],[Recency Score]:[Monetary Score]])</f>
        <v>25</v>
      </c>
      <c r="BC379">
        <f>(_xlfn.PERCENTRANK.INC(ifood_data[[#All],[RFM]],ifood_data[[#This Row],[RFM]],1))*10</f>
        <v>9</v>
      </c>
      <c r="BD379" t="str">
        <f>VLOOKUP(ifood_data[[#This Row],[RFM Score]],'RFM Analysis'!$A$3:$B$14,2,FALSE)</f>
        <v>Top Customer</v>
      </c>
      <c r="BE379">
        <f>'Regression Models'!$B$101+'Regression Models'!$B$102*ifood_data[[#This Row],[Income]]+'Regression Models'!$B$103*ifood_data[[#This Row],[Age]]+'Regression Models'!$B$104*ifood_data[[#This Row],[Family]]</f>
        <v>1080.4392774582411</v>
      </c>
      <c r="BF379" t="str">
        <f>IF(ifood_data[[#This Row],[AcceptedCmpOverall]]=1,"Campaign Respondent","Non-respondent")</f>
        <v>Non-respondent</v>
      </c>
    </row>
    <row r="380" spans="1:58" x14ac:dyDescent="0.35">
      <c r="A380">
        <v>163</v>
      </c>
      <c r="B380">
        <v>80427</v>
      </c>
      <c r="C380">
        <v>0</v>
      </c>
      <c r="D380">
        <v>1</v>
      </c>
      <c r="E380">
        <v>56</v>
      </c>
      <c r="F380">
        <v>1149</v>
      </c>
      <c r="G380">
        <v>71</v>
      </c>
      <c r="H380">
        <v>449</v>
      </c>
      <c r="I380">
        <v>69</v>
      </c>
      <c r="J380">
        <v>71</v>
      </c>
      <c r="K380">
        <v>26</v>
      </c>
      <c r="L380">
        <v>1</v>
      </c>
      <c r="M380">
        <v>11</v>
      </c>
      <c r="N380">
        <v>8</v>
      </c>
      <c r="O380">
        <v>8</v>
      </c>
      <c r="P380">
        <v>5</v>
      </c>
      <c r="Q380">
        <v>0</v>
      </c>
      <c r="R380">
        <v>0</v>
      </c>
      <c r="S380">
        <v>0</v>
      </c>
      <c r="T380">
        <v>0</v>
      </c>
      <c r="U380">
        <v>0</v>
      </c>
      <c r="V380">
        <f>IF(SUM(ifood_data[[#This Row],[AcceptedCmp1]:[AcceptedCmp5]])&gt;0,1,0)</f>
        <v>0</v>
      </c>
      <c r="W380">
        <v>0</v>
      </c>
      <c r="X380">
        <v>3</v>
      </c>
      <c r="Y380">
        <v>11</v>
      </c>
      <c r="Z380">
        <v>0</v>
      </c>
      <c r="AA380">
        <v>45</v>
      </c>
      <c r="AB380">
        <v>2814</v>
      </c>
      <c r="AC380" s="28">
        <f>ifood_data[[#This Row],[Customer_Days]]/365</f>
        <v>7.7095890410958905</v>
      </c>
      <c r="AD380">
        <v>0</v>
      </c>
      <c r="AE380">
        <v>1</v>
      </c>
      <c r="AF380">
        <v>0</v>
      </c>
      <c r="AG380">
        <v>0</v>
      </c>
      <c r="AH380">
        <v>0</v>
      </c>
      <c r="AI380">
        <v>0</v>
      </c>
      <c r="AJ380">
        <v>0</v>
      </c>
      <c r="AK380">
        <v>0</v>
      </c>
      <c r="AL380">
        <v>0</v>
      </c>
      <c r="AM380">
        <v>1</v>
      </c>
      <c r="AN380">
        <v>1809</v>
      </c>
      <c r="AO380">
        <v>1783</v>
      </c>
      <c r="AP380">
        <f>ifood_data[[#This Row],[MntTotal]]-ifood_data[[#This Row],[MntRegularProds]]</f>
        <v>26</v>
      </c>
      <c r="AQ380">
        <v>0</v>
      </c>
      <c r="AR380">
        <f>IF(SUM(ifood_data[[#This Row],[Kidhome]:[Teenhome]])&gt;0,1,0)</f>
        <v>1</v>
      </c>
      <c r="AS380" t="str">
        <f>IF(SUM(ifood_data[[#This Row],[Kidhome]:[Teenhome]])&gt;0,"Has Family","No Family")</f>
        <v>Has Family</v>
      </c>
      <c r="AT380" t="str">
        <f>IF(ifood_data[[#This Row],[marital_Married]]=1,"Married", (IF(ifood_data[[#This Row],[marital_Single]]=1,"Single",(IF(ifood_data[[#This Row],[marital_Divorced]]=1,"Divorced",(IF(ifood_data[[#This Row],[marital_Together]]=1,"Living Together",(IF(ifood_data[[#This Row],[marital_Widow]]=1,"Widow","Other")))))))))</f>
        <v>Married</v>
      </c>
      <c r="AU380" t="str">
        <f>IF(ifood_data[[#This Row],[education_Basic]]=1,"High School",(IF(ifood_data[[#This Row],[education_Graduation]]=1,"Undergraduate Degree",(IF(SUM(AM380,AL380,AI380)&gt;0,"Master's Degree or Higher","Other")))))</f>
        <v>Master's Degree or Higher</v>
      </c>
      <c r="AV380" t="str">
        <f>IF(ifood_data[[#All],[Income]]&gt;75000,"75K+",(IF(ifood_data[[#All],[Income]]&gt;50000,"50K-75K",(IF(ifood_data[[#All],[Income]]&gt;35000,"35K-50K","&lt;35K")))))</f>
        <v>75K+</v>
      </c>
      <c r="AW380" t="str">
        <f>IF(ifood_data[[#All],[Age]]&gt;60,"60+",(IF(ifood_data[[#All],[Age]]&gt;50,"50-60",(IF(ifood_data[[#All],[Age]]&gt;40,"40-50",(IF(ifood_data[[#All],[Age]]&gt;30,"30-40","&lt;30")))))))</f>
        <v>40-50</v>
      </c>
      <c r="AX380">
        <f t="shared" si="20"/>
        <v>33</v>
      </c>
      <c r="AY380">
        <f t="shared" si="21"/>
        <v>5</v>
      </c>
      <c r="AZ380">
        <f t="shared" si="22"/>
        <v>9</v>
      </c>
      <c r="BA380">
        <f t="shared" si="23"/>
        <v>9</v>
      </c>
      <c r="BB380">
        <f>SUM(ifood_data[[#This Row],[Recency Score]:[Monetary Score]])</f>
        <v>23</v>
      </c>
      <c r="BC380">
        <f>(_xlfn.PERCENTRANK.INC(ifood_data[[#All],[RFM]],ifood_data[[#This Row],[RFM]],1))*10</f>
        <v>8</v>
      </c>
      <c r="BD380" t="str">
        <f>VLOOKUP(ifood_data[[#This Row],[RFM Score]],'RFM Analysis'!$A$3:$B$14,2,FALSE)</f>
        <v>Loyal Customer</v>
      </c>
      <c r="BE380">
        <f>'Regression Models'!$B$101+'Regression Models'!$B$102*ifood_data[[#This Row],[Income]]+'Regression Models'!$B$103*ifood_data[[#This Row],[Age]]+'Regression Models'!$B$104*ifood_data[[#This Row],[Family]]</f>
        <v>1079.7388096116315</v>
      </c>
      <c r="BF380" t="str">
        <f>IF(ifood_data[[#This Row],[AcceptedCmpOverall]]=1,"Campaign Respondent","Non-respondent")</f>
        <v>Non-respondent</v>
      </c>
    </row>
    <row r="381" spans="1:58" x14ac:dyDescent="0.35">
      <c r="A381">
        <v>1630</v>
      </c>
      <c r="B381">
        <v>65370</v>
      </c>
      <c r="C381">
        <v>0</v>
      </c>
      <c r="D381">
        <v>0</v>
      </c>
      <c r="E381">
        <v>1</v>
      </c>
      <c r="F381">
        <v>71</v>
      </c>
      <c r="G381">
        <v>22</v>
      </c>
      <c r="H381">
        <v>112</v>
      </c>
      <c r="I381">
        <v>138</v>
      </c>
      <c r="J381">
        <v>89</v>
      </c>
      <c r="K381">
        <v>29</v>
      </c>
      <c r="L381">
        <v>1</v>
      </c>
      <c r="M381">
        <v>2</v>
      </c>
      <c r="N381">
        <v>3</v>
      </c>
      <c r="O381">
        <v>13</v>
      </c>
      <c r="P381">
        <v>1</v>
      </c>
      <c r="Q381">
        <v>0</v>
      </c>
      <c r="R381">
        <v>0</v>
      </c>
      <c r="S381">
        <v>0</v>
      </c>
      <c r="T381">
        <v>0</v>
      </c>
      <c r="U381">
        <v>0</v>
      </c>
      <c r="V381">
        <f>IF(SUM(ifood_data[[#This Row],[AcceptedCmp1]:[AcceptedCmp5]])&gt;0,1,0)</f>
        <v>0</v>
      </c>
      <c r="W381">
        <v>0</v>
      </c>
      <c r="X381">
        <v>3</v>
      </c>
      <c r="Y381">
        <v>11</v>
      </c>
      <c r="Z381">
        <v>0</v>
      </c>
      <c r="AA381">
        <v>36</v>
      </c>
      <c r="AB381">
        <v>2491</v>
      </c>
      <c r="AC381" s="28">
        <f>ifood_data[[#This Row],[Customer_Days]]/365</f>
        <v>6.8246575342465752</v>
      </c>
      <c r="AD381">
        <v>0</v>
      </c>
      <c r="AE381">
        <v>1</v>
      </c>
      <c r="AF381">
        <v>0</v>
      </c>
      <c r="AG381">
        <v>0</v>
      </c>
      <c r="AH381">
        <v>0</v>
      </c>
      <c r="AI381">
        <v>1</v>
      </c>
      <c r="AJ381">
        <v>0</v>
      </c>
      <c r="AK381">
        <v>0</v>
      </c>
      <c r="AL381">
        <v>0</v>
      </c>
      <c r="AM381">
        <v>0</v>
      </c>
      <c r="AN381">
        <v>432</v>
      </c>
      <c r="AO381">
        <v>403</v>
      </c>
      <c r="AP381">
        <f>ifood_data[[#This Row],[MntTotal]]-ifood_data[[#This Row],[MntRegularProds]]</f>
        <v>29</v>
      </c>
      <c r="AQ381">
        <v>0</v>
      </c>
      <c r="AR381">
        <f>IF(SUM(ifood_data[[#This Row],[Kidhome]:[Teenhome]])&gt;0,1,0)</f>
        <v>0</v>
      </c>
      <c r="AS381" t="str">
        <f>IF(SUM(ifood_data[[#This Row],[Kidhome]:[Teenhome]])&gt;0,"Has Family","No Family")</f>
        <v>No Family</v>
      </c>
      <c r="AT381" t="str">
        <f>IF(ifood_data[[#This Row],[marital_Married]]=1,"Married", (IF(ifood_data[[#This Row],[marital_Single]]=1,"Single",(IF(ifood_data[[#This Row],[marital_Divorced]]=1,"Divorced",(IF(ifood_data[[#This Row],[marital_Together]]=1,"Living Together",(IF(ifood_data[[#This Row],[marital_Widow]]=1,"Widow","Other")))))))))</f>
        <v>Married</v>
      </c>
      <c r="AU381" t="str">
        <f>IF(ifood_data[[#This Row],[education_Basic]]=1,"High School",(IF(ifood_data[[#This Row],[education_Graduation]]=1,"Undergraduate Degree",(IF(SUM(AM381,AL381,AI381)&gt;0,"Master's Degree or Higher","Other")))))</f>
        <v>Master's Degree or Higher</v>
      </c>
      <c r="AV381" t="str">
        <f>IF(ifood_data[[#All],[Income]]&gt;75000,"75K+",(IF(ifood_data[[#All],[Income]]&gt;50000,"50K-75K",(IF(ifood_data[[#All],[Income]]&gt;35000,"35K-50K","&lt;35K")))))</f>
        <v>50K-75K</v>
      </c>
      <c r="AW381" t="str">
        <f>IF(ifood_data[[#All],[Age]]&gt;60,"60+",(IF(ifood_data[[#All],[Age]]&gt;50,"50-60",(IF(ifood_data[[#All],[Age]]&gt;40,"40-50",(IF(ifood_data[[#All],[Age]]&gt;30,"30-40","&lt;30")))))))</f>
        <v>30-40</v>
      </c>
      <c r="AX381">
        <f t="shared" si="20"/>
        <v>20</v>
      </c>
      <c r="AY381">
        <f t="shared" si="21"/>
        <v>10</v>
      </c>
      <c r="AZ381">
        <f t="shared" si="22"/>
        <v>4</v>
      </c>
      <c r="BA381">
        <f t="shared" si="23"/>
        <v>5</v>
      </c>
      <c r="BB381">
        <f>SUM(ifood_data[[#This Row],[Recency Score]:[Monetary Score]])</f>
        <v>19</v>
      </c>
      <c r="BC381">
        <f>(_xlfn.PERCENTRANK.INC(ifood_data[[#All],[RFM]],ifood_data[[#This Row],[RFM]],1))*10</f>
        <v>7</v>
      </c>
      <c r="BD381" t="str">
        <f>VLOOKUP(ifood_data[[#This Row],[RFM Score]],'RFM Analysis'!$A$3:$B$14,2,FALSE)</f>
        <v>Loyal Customer</v>
      </c>
      <c r="BE381">
        <f>'Regression Models'!$B$101+'Regression Models'!$B$102*ifood_data[[#This Row],[Income]]+'Regression Models'!$B$103*ifood_data[[#This Row],[Age]]+'Regression Models'!$B$104*ifood_data[[#This Row],[Family]]</f>
        <v>1078.88671045201</v>
      </c>
      <c r="BF381" t="str">
        <f>IF(ifood_data[[#This Row],[AcceptedCmpOverall]]=1,"Campaign Respondent","Non-respondent")</f>
        <v>Non-respondent</v>
      </c>
    </row>
    <row r="382" spans="1:58" x14ac:dyDescent="0.35">
      <c r="A382">
        <v>854</v>
      </c>
      <c r="B382">
        <v>66825</v>
      </c>
      <c r="C382">
        <v>0</v>
      </c>
      <c r="D382">
        <v>0</v>
      </c>
      <c r="E382">
        <v>73</v>
      </c>
      <c r="F382">
        <v>243</v>
      </c>
      <c r="G382">
        <v>101</v>
      </c>
      <c r="H382">
        <v>405</v>
      </c>
      <c r="I382">
        <v>29</v>
      </c>
      <c r="J382">
        <v>40</v>
      </c>
      <c r="K382">
        <v>40</v>
      </c>
      <c r="L382">
        <v>1</v>
      </c>
      <c r="M382">
        <v>4</v>
      </c>
      <c r="N382">
        <v>5</v>
      </c>
      <c r="O382">
        <v>6</v>
      </c>
      <c r="P382">
        <v>2</v>
      </c>
      <c r="Q382">
        <v>0</v>
      </c>
      <c r="R382">
        <v>0</v>
      </c>
      <c r="S382">
        <v>0</v>
      </c>
      <c r="T382">
        <v>0</v>
      </c>
      <c r="U382">
        <v>0</v>
      </c>
      <c r="V382">
        <f>IF(SUM(ifood_data[[#This Row],[AcceptedCmp1]:[AcceptedCmp5]])&gt;0,1,0)</f>
        <v>0</v>
      </c>
      <c r="W382">
        <v>0</v>
      </c>
      <c r="X382">
        <v>3</v>
      </c>
      <c r="Y382">
        <v>11</v>
      </c>
      <c r="Z382">
        <v>0</v>
      </c>
      <c r="AA382">
        <v>53</v>
      </c>
      <c r="AB382">
        <v>2509</v>
      </c>
      <c r="AC382" s="28">
        <f>ifood_data[[#This Row],[Customer_Days]]/365</f>
        <v>6.8739726027397259</v>
      </c>
      <c r="AD382">
        <v>0</v>
      </c>
      <c r="AE382">
        <v>0</v>
      </c>
      <c r="AF382">
        <v>0</v>
      </c>
      <c r="AG382">
        <v>1</v>
      </c>
      <c r="AH382">
        <v>0</v>
      </c>
      <c r="AI382">
        <v>0</v>
      </c>
      <c r="AJ382">
        <v>0</v>
      </c>
      <c r="AK382">
        <v>1</v>
      </c>
      <c r="AL382">
        <v>0</v>
      </c>
      <c r="AM382">
        <v>0</v>
      </c>
      <c r="AN382">
        <v>818</v>
      </c>
      <c r="AO382">
        <v>778</v>
      </c>
      <c r="AP382">
        <f>ifood_data[[#This Row],[MntTotal]]-ifood_data[[#This Row],[MntRegularProds]]</f>
        <v>40</v>
      </c>
      <c r="AQ382">
        <v>0</v>
      </c>
      <c r="AR382">
        <f>IF(SUM(ifood_data[[#This Row],[Kidhome]:[Teenhome]])&gt;0,1,0)</f>
        <v>0</v>
      </c>
      <c r="AS382" t="str">
        <f>IF(SUM(ifood_data[[#This Row],[Kidhome]:[Teenhome]])&gt;0,"Has Family","No Family")</f>
        <v>No Family</v>
      </c>
      <c r="AT382" t="str">
        <f>IF(ifood_data[[#This Row],[marital_Married]]=1,"Married", (IF(ifood_data[[#This Row],[marital_Single]]=1,"Single",(IF(ifood_data[[#This Row],[marital_Divorced]]=1,"Divorced",(IF(ifood_data[[#This Row],[marital_Together]]=1,"Living Together",(IF(ifood_data[[#This Row],[marital_Widow]]=1,"Widow","Other")))))))))</f>
        <v>Living Together</v>
      </c>
      <c r="AU382" t="str">
        <f>IF(ifood_data[[#This Row],[education_Basic]]=1,"High School",(IF(ifood_data[[#This Row],[education_Graduation]]=1,"Undergraduate Degree",(IF(SUM(AM382,AL382,AI382)&gt;0,"Master's Degree or Higher","Other")))))</f>
        <v>Undergraduate Degree</v>
      </c>
      <c r="AV382" t="str">
        <f>IF(ifood_data[[#All],[Income]]&gt;75000,"75K+",(IF(ifood_data[[#All],[Income]]&gt;50000,"50K-75K",(IF(ifood_data[[#All],[Income]]&gt;35000,"35K-50K","&lt;35K")))))</f>
        <v>50K-75K</v>
      </c>
      <c r="AW382" t="str">
        <f>IF(ifood_data[[#All],[Age]]&gt;60,"60+",(IF(ifood_data[[#All],[Age]]&gt;50,"50-60",(IF(ifood_data[[#All],[Age]]&gt;40,"40-50",(IF(ifood_data[[#All],[Age]]&gt;30,"30-40","&lt;30")))))))</f>
        <v>50-60</v>
      </c>
      <c r="AX382">
        <f t="shared" si="20"/>
        <v>18</v>
      </c>
      <c r="AY382">
        <f t="shared" si="21"/>
        <v>3.0000000000000004</v>
      </c>
      <c r="AZ382">
        <f t="shared" si="22"/>
        <v>4</v>
      </c>
      <c r="BA382">
        <f t="shared" si="23"/>
        <v>6</v>
      </c>
      <c r="BB382">
        <f>SUM(ifood_data[[#This Row],[Recency Score]:[Monetary Score]])</f>
        <v>13</v>
      </c>
      <c r="BC382">
        <f>(_xlfn.PERCENTRANK.INC(ifood_data[[#All],[RFM]],ifood_data[[#This Row],[RFM]],1))*10</f>
        <v>3</v>
      </c>
      <c r="BD382" t="str">
        <f>VLOOKUP(ifood_data[[#This Row],[RFM Score]],'RFM Analysis'!$A$3:$B$14,2,FALSE)</f>
        <v>At Risk</v>
      </c>
      <c r="BE382">
        <f>'Regression Models'!$B$101+'Regression Models'!$B$102*ifood_data[[#This Row],[Income]]+'Regression Models'!$B$103*ifood_data[[#This Row],[Age]]+'Regression Models'!$B$104*ifood_data[[#This Row],[Family]]</f>
        <v>1077.3329037601802</v>
      </c>
      <c r="BF382" t="str">
        <f>IF(ifood_data[[#This Row],[AcceptedCmpOverall]]=1,"Campaign Respondent","Non-respondent")</f>
        <v>Non-respondent</v>
      </c>
    </row>
    <row r="383" spans="1:58" x14ac:dyDescent="0.35">
      <c r="A383">
        <v>1431</v>
      </c>
      <c r="B383">
        <v>65819</v>
      </c>
      <c r="C383">
        <v>0</v>
      </c>
      <c r="D383">
        <v>0</v>
      </c>
      <c r="E383">
        <v>99</v>
      </c>
      <c r="F383">
        <v>267</v>
      </c>
      <c r="G383">
        <v>38</v>
      </c>
      <c r="H383">
        <v>701</v>
      </c>
      <c r="I383">
        <v>149</v>
      </c>
      <c r="J383">
        <v>165</v>
      </c>
      <c r="K383">
        <v>63</v>
      </c>
      <c r="L383">
        <v>1</v>
      </c>
      <c r="M383">
        <v>5</v>
      </c>
      <c r="N383">
        <v>4</v>
      </c>
      <c r="O383">
        <v>10</v>
      </c>
      <c r="P383">
        <v>3</v>
      </c>
      <c r="Q383">
        <v>0</v>
      </c>
      <c r="R383">
        <v>0</v>
      </c>
      <c r="S383">
        <v>0</v>
      </c>
      <c r="T383">
        <v>0</v>
      </c>
      <c r="U383">
        <v>0</v>
      </c>
      <c r="V383">
        <f>IF(SUM(ifood_data[[#This Row],[AcceptedCmp1]:[AcceptedCmp5]])&gt;0,1,0)</f>
        <v>0</v>
      </c>
      <c r="W383">
        <v>0</v>
      </c>
      <c r="X383">
        <v>3</v>
      </c>
      <c r="Y383">
        <v>11</v>
      </c>
      <c r="Z383">
        <v>0</v>
      </c>
      <c r="AA383">
        <v>42</v>
      </c>
      <c r="AB383">
        <v>2736</v>
      </c>
      <c r="AC383" s="28">
        <f>ifood_data[[#This Row],[Customer_Days]]/365</f>
        <v>7.4958904109589044</v>
      </c>
      <c r="AD383">
        <v>0</v>
      </c>
      <c r="AE383">
        <v>1</v>
      </c>
      <c r="AF383">
        <v>0</v>
      </c>
      <c r="AG383">
        <v>0</v>
      </c>
      <c r="AH383">
        <v>0</v>
      </c>
      <c r="AI383">
        <v>0</v>
      </c>
      <c r="AJ383">
        <v>0</v>
      </c>
      <c r="AK383">
        <v>1</v>
      </c>
      <c r="AL383">
        <v>0</v>
      </c>
      <c r="AM383">
        <v>0</v>
      </c>
      <c r="AN383">
        <v>1320</v>
      </c>
      <c r="AO383">
        <v>1257</v>
      </c>
      <c r="AP383">
        <f>ifood_data[[#This Row],[MntTotal]]-ifood_data[[#This Row],[MntRegularProds]]</f>
        <v>63</v>
      </c>
      <c r="AQ383">
        <v>0</v>
      </c>
      <c r="AR383">
        <f>IF(SUM(ifood_data[[#This Row],[Kidhome]:[Teenhome]])&gt;0,1,0)</f>
        <v>0</v>
      </c>
      <c r="AS383" t="str">
        <f>IF(SUM(ifood_data[[#This Row],[Kidhome]:[Teenhome]])&gt;0,"Has Family","No Family")</f>
        <v>No Family</v>
      </c>
      <c r="AT383" t="str">
        <f>IF(ifood_data[[#This Row],[marital_Married]]=1,"Married", (IF(ifood_data[[#This Row],[marital_Single]]=1,"Single",(IF(ifood_data[[#This Row],[marital_Divorced]]=1,"Divorced",(IF(ifood_data[[#This Row],[marital_Together]]=1,"Living Together",(IF(ifood_data[[#This Row],[marital_Widow]]=1,"Widow","Other")))))))))</f>
        <v>Married</v>
      </c>
      <c r="AU383" t="str">
        <f>IF(ifood_data[[#This Row],[education_Basic]]=1,"High School",(IF(ifood_data[[#This Row],[education_Graduation]]=1,"Undergraduate Degree",(IF(SUM(AM383,AL383,AI383)&gt;0,"Master's Degree or Higher","Other")))))</f>
        <v>Undergraduate Degree</v>
      </c>
      <c r="AV383" t="str">
        <f>IF(ifood_data[[#All],[Income]]&gt;75000,"75K+",(IF(ifood_data[[#All],[Income]]&gt;50000,"50K-75K",(IF(ifood_data[[#All],[Income]]&gt;35000,"35K-50K","&lt;35K")))))</f>
        <v>50K-75K</v>
      </c>
      <c r="AW383" t="str">
        <f>IF(ifood_data[[#All],[Age]]&gt;60,"60+",(IF(ifood_data[[#All],[Age]]&gt;50,"50-60",(IF(ifood_data[[#All],[Age]]&gt;40,"40-50",(IF(ifood_data[[#All],[Age]]&gt;30,"30-40","&lt;30")))))))</f>
        <v>40-50</v>
      </c>
      <c r="AX383">
        <f t="shared" si="20"/>
        <v>23</v>
      </c>
      <c r="AY383">
        <f t="shared" si="21"/>
        <v>0.99999999999999978</v>
      </c>
      <c r="AZ383">
        <f t="shared" si="22"/>
        <v>6</v>
      </c>
      <c r="BA383">
        <f t="shared" si="23"/>
        <v>8</v>
      </c>
      <c r="BB383">
        <f>SUM(ifood_data[[#This Row],[Recency Score]:[Monetary Score]])</f>
        <v>15</v>
      </c>
      <c r="BC383">
        <f>(_xlfn.PERCENTRANK.INC(ifood_data[[#All],[RFM]],ifood_data[[#This Row],[RFM]],1))*10</f>
        <v>4</v>
      </c>
      <c r="BD383" t="str">
        <f>VLOOKUP(ifood_data[[#This Row],[RFM Score]],'RFM Analysis'!$A$3:$B$14,2,FALSE)</f>
        <v>At Risk</v>
      </c>
      <c r="BE383">
        <f>'Regression Models'!$B$101+'Regression Models'!$B$102*ifood_data[[#This Row],[Income]]+'Regression Models'!$B$103*ifood_data[[#This Row],[Age]]+'Regression Models'!$B$104*ifood_data[[#This Row],[Family]]</f>
        <v>1077.0226328752547</v>
      </c>
      <c r="BF383" t="str">
        <f>IF(ifood_data[[#This Row],[AcceptedCmpOverall]]=1,"Campaign Respondent","Non-respondent")</f>
        <v>Non-respondent</v>
      </c>
    </row>
    <row r="384" spans="1:58" x14ac:dyDescent="0.35">
      <c r="A384">
        <v>33</v>
      </c>
      <c r="B384">
        <v>68657</v>
      </c>
      <c r="C384">
        <v>0</v>
      </c>
      <c r="D384">
        <v>0</v>
      </c>
      <c r="E384">
        <v>4</v>
      </c>
      <c r="F384">
        <v>482</v>
      </c>
      <c r="G384">
        <v>34</v>
      </c>
      <c r="H384">
        <v>471</v>
      </c>
      <c r="I384">
        <v>119</v>
      </c>
      <c r="J384">
        <v>68</v>
      </c>
      <c r="K384">
        <v>22</v>
      </c>
      <c r="L384">
        <v>1</v>
      </c>
      <c r="M384">
        <v>3</v>
      </c>
      <c r="N384">
        <v>5</v>
      </c>
      <c r="O384">
        <v>9</v>
      </c>
      <c r="P384">
        <v>7</v>
      </c>
      <c r="Q384">
        <v>0</v>
      </c>
      <c r="R384">
        <v>0</v>
      </c>
      <c r="S384">
        <v>0</v>
      </c>
      <c r="T384">
        <v>0</v>
      </c>
      <c r="U384">
        <v>0</v>
      </c>
      <c r="V384">
        <f>IF(SUM(ifood_data[[#This Row],[AcceptedCmp1]:[AcceptedCmp5]])&gt;0,1,0)</f>
        <v>0</v>
      </c>
      <c r="W384">
        <v>0</v>
      </c>
      <c r="X384">
        <v>3</v>
      </c>
      <c r="Y384">
        <v>11</v>
      </c>
      <c r="Z384">
        <v>0</v>
      </c>
      <c r="AA384">
        <v>74</v>
      </c>
      <c r="AB384">
        <v>2653</v>
      </c>
      <c r="AC384" s="28">
        <f>ifood_data[[#This Row],[Customer_Days]]/365</f>
        <v>7.2684931506849315</v>
      </c>
      <c r="AD384">
        <v>0</v>
      </c>
      <c r="AE384">
        <v>1</v>
      </c>
      <c r="AF384">
        <v>0</v>
      </c>
      <c r="AG384">
        <v>0</v>
      </c>
      <c r="AH384">
        <v>0</v>
      </c>
      <c r="AI384">
        <v>0</v>
      </c>
      <c r="AJ384">
        <v>0</v>
      </c>
      <c r="AK384">
        <v>0</v>
      </c>
      <c r="AL384">
        <v>1</v>
      </c>
      <c r="AM384">
        <v>0</v>
      </c>
      <c r="AN384">
        <v>1174</v>
      </c>
      <c r="AO384">
        <v>1152</v>
      </c>
      <c r="AP384">
        <f>ifood_data[[#This Row],[MntTotal]]-ifood_data[[#This Row],[MntRegularProds]]</f>
        <v>22</v>
      </c>
      <c r="AQ384">
        <v>0</v>
      </c>
      <c r="AR384">
        <f>IF(SUM(ifood_data[[#This Row],[Kidhome]:[Teenhome]])&gt;0,1,0)</f>
        <v>0</v>
      </c>
      <c r="AS384" t="str">
        <f>IF(SUM(ifood_data[[#This Row],[Kidhome]:[Teenhome]])&gt;0,"Has Family","No Family")</f>
        <v>No Family</v>
      </c>
      <c r="AT384" t="str">
        <f>IF(ifood_data[[#This Row],[marital_Married]]=1,"Married", (IF(ifood_data[[#This Row],[marital_Single]]=1,"Single",(IF(ifood_data[[#This Row],[marital_Divorced]]=1,"Divorced",(IF(ifood_data[[#This Row],[marital_Together]]=1,"Living Together",(IF(ifood_data[[#This Row],[marital_Widow]]=1,"Widow","Other")))))))))</f>
        <v>Married</v>
      </c>
      <c r="AU384" t="str">
        <f>IF(ifood_data[[#This Row],[education_Basic]]=1,"High School",(IF(ifood_data[[#This Row],[education_Graduation]]=1,"Undergraduate Degree",(IF(SUM(AM384,AL384,AI384)&gt;0,"Master's Degree or Higher","Other")))))</f>
        <v>Master's Degree or Higher</v>
      </c>
      <c r="AV384" t="str">
        <f>IF(ifood_data[[#All],[Income]]&gt;75000,"75K+",(IF(ifood_data[[#All],[Income]]&gt;50000,"50K-75K",(IF(ifood_data[[#All],[Income]]&gt;35000,"35K-50K","&lt;35K")))))</f>
        <v>50K-75K</v>
      </c>
      <c r="AW384" t="str">
        <f>IF(ifood_data[[#All],[Age]]&gt;60,"60+",(IF(ifood_data[[#All],[Age]]&gt;50,"50-60",(IF(ifood_data[[#All],[Age]]&gt;40,"40-50",(IF(ifood_data[[#All],[Age]]&gt;30,"30-40","&lt;30")))))))</f>
        <v>60+</v>
      </c>
      <c r="AX384">
        <f t="shared" si="20"/>
        <v>25</v>
      </c>
      <c r="AY384">
        <f t="shared" si="21"/>
        <v>10</v>
      </c>
      <c r="AZ384">
        <f t="shared" si="22"/>
        <v>7</v>
      </c>
      <c r="BA384">
        <f t="shared" si="23"/>
        <v>8</v>
      </c>
      <c r="BB384">
        <f>SUM(ifood_data[[#This Row],[Recency Score]:[Monetary Score]])</f>
        <v>25</v>
      </c>
      <c r="BC384">
        <f>(_xlfn.PERCENTRANK.INC(ifood_data[[#All],[RFM]],ifood_data[[#This Row],[RFM]],1))*10</f>
        <v>9</v>
      </c>
      <c r="BD384" t="str">
        <f>VLOOKUP(ifood_data[[#This Row],[RFM Score]],'RFM Analysis'!$A$3:$B$14,2,FALSE)</f>
        <v>Top Customer</v>
      </c>
      <c r="BE384">
        <f>'Regression Models'!$B$101+'Regression Models'!$B$102*ifood_data[[#This Row],[Income]]+'Regression Models'!$B$103*ifood_data[[#This Row],[Age]]+'Regression Models'!$B$104*ifood_data[[#This Row],[Family]]</f>
        <v>1076.1199063430229</v>
      </c>
      <c r="BF384" t="str">
        <f>IF(ifood_data[[#This Row],[AcceptedCmpOverall]]=1,"Campaign Respondent","Non-respondent")</f>
        <v>Non-respondent</v>
      </c>
    </row>
    <row r="385" spans="1:58" x14ac:dyDescent="0.35">
      <c r="A385">
        <v>440</v>
      </c>
      <c r="B385">
        <v>66582</v>
      </c>
      <c r="C385">
        <v>0</v>
      </c>
      <c r="D385">
        <v>0</v>
      </c>
      <c r="E385">
        <v>83</v>
      </c>
      <c r="F385">
        <v>789</v>
      </c>
      <c r="G385">
        <v>25</v>
      </c>
      <c r="H385">
        <v>420</v>
      </c>
      <c r="I385">
        <v>16</v>
      </c>
      <c r="J385">
        <v>38</v>
      </c>
      <c r="K385">
        <v>0</v>
      </c>
      <c r="L385">
        <v>1</v>
      </c>
      <c r="M385">
        <v>2</v>
      </c>
      <c r="N385">
        <v>8</v>
      </c>
      <c r="O385">
        <v>9</v>
      </c>
      <c r="P385">
        <v>1</v>
      </c>
      <c r="Q385">
        <v>0</v>
      </c>
      <c r="R385">
        <v>0</v>
      </c>
      <c r="S385">
        <v>0</v>
      </c>
      <c r="T385">
        <v>0</v>
      </c>
      <c r="U385">
        <v>0</v>
      </c>
      <c r="V385">
        <f>IF(SUM(ifood_data[[#This Row],[AcceptedCmp1]:[AcceptedCmp5]])&gt;0,1,0)</f>
        <v>0</v>
      </c>
      <c r="W385">
        <v>0</v>
      </c>
      <c r="X385">
        <v>3</v>
      </c>
      <c r="Y385">
        <v>11</v>
      </c>
      <c r="Z385">
        <v>0</v>
      </c>
      <c r="AA385">
        <v>51</v>
      </c>
      <c r="AB385">
        <v>2277</v>
      </c>
      <c r="AC385" s="28">
        <f>ifood_data[[#This Row],[Customer_Days]]/365</f>
        <v>6.2383561643835614</v>
      </c>
      <c r="AD385">
        <v>0</v>
      </c>
      <c r="AE385">
        <v>0</v>
      </c>
      <c r="AF385">
        <v>1</v>
      </c>
      <c r="AG385">
        <v>0</v>
      </c>
      <c r="AH385">
        <v>0</v>
      </c>
      <c r="AI385">
        <v>0</v>
      </c>
      <c r="AJ385">
        <v>0</v>
      </c>
      <c r="AK385">
        <v>0</v>
      </c>
      <c r="AL385">
        <v>0</v>
      </c>
      <c r="AM385">
        <v>1</v>
      </c>
      <c r="AN385">
        <v>1288</v>
      </c>
      <c r="AO385">
        <v>1288</v>
      </c>
      <c r="AP385">
        <f>ifood_data[[#This Row],[MntTotal]]-ifood_data[[#This Row],[MntRegularProds]]</f>
        <v>0</v>
      </c>
      <c r="AQ385">
        <v>0</v>
      </c>
      <c r="AR385">
        <f>IF(SUM(ifood_data[[#This Row],[Kidhome]:[Teenhome]])&gt;0,1,0)</f>
        <v>0</v>
      </c>
      <c r="AS385" t="str">
        <f>IF(SUM(ifood_data[[#This Row],[Kidhome]:[Teenhome]])&gt;0,"Has Family","No Family")</f>
        <v>No Family</v>
      </c>
      <c r="AT385" t="str">
        <f>IF(ifood_data[[#This Row],[marital_Married]]=1,"Married", (IF(ifood_data[[#This Row],[marital_Single]]=1,"Single",(IF(ifood_data[[#This Row],[marital_Divorced]]=1,"Divorced",(IF(ifood_data[[#This Row],[marital_Together]]=1,"Living Together",(IF(ifood_data[[#This Row],[marital_Widow]]=1,"Widow","Other")))))))))</f>
        <v>Single</v>
      </c>
      <c r="AU385" t="str">
        <f>IF(ifood_data[[#This Row],[education_Basic]]=1,"High School",(IF(ifood_data[[#This Row],[education_Graduation]]=1,"Undergraduate Degree",(IF(SUM(AM385,AL385,AI385)&gt;0,"Master's Degree or Higher","Other")))))</f>
        <v>Master's Degree or Higher</v>
      </c>
      <c r="AV385" t="str">
        <f>IF(ifood_data[[#All],[Income]]&gt;75000,"75K+",(IF(ifood_data[[#All],[Income]]&gt;50000,"50K-75K",(IF(ifood_data[[#All],[Income]]&gt;35000,"35K-50K","&lt;35K")))))</f>
        <v>50K-75K</v>
      </c>
      <c r="AW385" t="str">
        <f>IF(ifood_data[[#All],[Age]]&gt;60,"60+",(IF(ifood_data[[#All],[Age]]&gt;50,"50-60",(IF(ifood_data[[#All],[Age]]&gt;40,"40-50",(IF(ifood_data[[#All],[Age]]&gt;30,"30-40","&lt;30")))))))</f>
        <v>50-60</v>
      </c>
      <c r="AX385">
        <f t="shared" si="20"/>
        <v>21</v>
      </c>
      <c r="AY385">
        <f t="shared" si="21"/>
        <v>1.9999999999999996</v>
      </c>
      <c r="AZ385">
        <f t="shared" si="22"/>
        <v>5</v>
      </c>
      <c r="BA385">
        <f t="shared" si="23"/>
        <v>8</v>
      </c>
      <c r="BB385">
        <f>SUM(ifood_data[[#This Row],[Recency Score]:[Monetary Score]])</f>
        <v>15</v>
      </c>
      <c r="BC385">
        <f>(_xlfn.PERCENTRANK.INC(ifood_data[[#All],[RFM]],ifood_data[[#This Row],[RFM]],1))*10</f>
        <v>4</v>
      </c>
      <c r="BD385" t="str">
        <f>VLOOKUP(ifood_data[[#This Row],[RFM Score]],'RFM Analysis'!$A$3:$B$14,2,FALSE)</f>
        <v>At Risk</v>
      </c>
      <c r="BE385">
        <f>'Regression Models'!$B$101+'Regression Models'!$B$102*ifood_data[[#This Row],[Income]]+'Regression Models'!$B$103*ifood_data[[#This Row],[Age]]+'Regression Models'!$B$104*ifood_data[[#This Row],[Family]]</f>
        <v>1076.0513112590011</v>
      </c>
      <c r="BF385" t="str">
        <f>IF(ifood_data[[#This Row],[AcceptedCmpOverall]]=1,"Campaign Respondent","Non-respondent")</f>
        <v>Non-respondent</v>
      </c>
    </row>
    <row r="386" spans="1:58" x14ac:dyDescent="0.35">
      <c r="A386">
        <v>640</v>
      </c>
      <c r="B386">
        <v>81300</v>
      </c>
      <c r="C386">
        <v>0</v>
      </c>
      <c r="D386">
        <v>1</v>
      </c>
      <c r="E386">
        <v>17</v>
      </c>
      <c r="F386">
        <v>1004</v>
      </c>
      <c r="G386">
        <v>12</v>
      </c>
      <c r="H386">
        <v>145</v>
      </c>
      <c r="I386">
        <v>32</v>
      </c>
      <c r="J386">
        <v>12</v>
      </c>
      <c r="K386">
        <v>36</v>
      </c>
      <c r="L386">
        <v>3</v>
      </c>
      <c r="M386">
        <v>10</v>
      </c>
      <c r="N386">
        <v>3</v>
      </c>
      <c r="O386">
        <v>5</v>
      </c>
      <c r="P386">
        <v>5</v>
      </c>
      <c r="Q386">
        <v>1</v>
      </c>
      <c r="R386">
        <v>0</v>
      </c>
      <c r="S386">
        <v>0</v>
      </c>
      <c r="T386">
        <v>0</v>
      </c>
      <c r="U386">
        <v>0</v>
      </c>
      <c r="V386">
        <f>IF(SUM(ifood_data[[#This Row],[AcceptedCmp1]:[AcceptedCmp5]])&gt;0,1,0)</f>
        <v>1</v>
      </c>
      <c r="W386">
        <v>0</v>
      </c>
      <c r="X386">
        <v>3</v>
      </c>
      <c r="Y386">
        <v>11</v>
      </c>
      <c r="Z386">
        <v>1</v>
      </c>
      <c r="AA386">
        <v>57</v>
      </c>
      <c r="AB386">
        <v>2766</v>
      </c>
      <c r="AC386" s="28">
        <f>ifood_data[[#This Row],[Customer_Days]]/365</f>
        <v>7.5780821917808217</v>
      </c>
      <c r="AD386">
        <v>0</v>
      </c>
      <c r="AE386">
        <v>1</v>
      </c>
      <c r="AF386">
        <v>0</v>
      </c>
      <c r="AG386">
        <v>0</v>
      </c>
      <c r="AH386">
        <v>0</v>
      </c>
      <c r="AI386">
        <v>0</v>
      </c>
      <c r="AJ386">
        <v>0</v>
      </c>
      <c r="AK386">
        <v>0</v>
      </c>
      <c r="AL386">
        <v>0</v>
      </c>
      <c r="AM386">
        <v>1</v>
      </c>
      <c r="AN386">
        <v>1205</v>
      </c>
      <c r="AO386">
        <v>1169</v>
      </c>
      <c r="AP386">
        <f>ifood_data[[#This Row],[MntTotal]]-ifood_data[[#This Row],[MntRegularProds]]</f>
        <v>36</v>
      </c>
      <c r="AQ386">
        <v>1</v>
      </c>
      <c r="AR386">
        <f>IF(SUM(ifood_data[[#This Row],[Kidhome]:[Teenhome]])&gt;0,1,0)</f>
        <v>1</v>
      </c>
      <c r="AS386" t="str">
        <f>IF(SUM(ifood_data[[#This Row],[Kidhome]:[Teenhome]])&gt;0,"Has Family","No Family")</f>
        <v>Has Family</v>
      </c>
      <c r="AT386" t="str">
        <f>IF(ifood_data[[#This Row],[marital_Married]]=1,"Married", (IF(ifood_data[[#This Row],[marital_Single]]=1,"Single",(IF(ifood_data[[#This Row],[marital_Divorced]]=1,"Divorced",(IF(ifood_data[[#This Row],[marital_Together]]=1,"Living Together",(IF(ifood_data[[#This Row],[marital_Widow]]=1,"Widow","Other")))))))))</f>
        <v>Married</v>
      </c>
      <c r="AU386" t="str">
        <f>IF(ifood_data[[#This Row],[education_Basic]]=1,"High School",(IF(ifood_data[[#This Row],[education_Graduation]]=1,"Undergraduate Degree",(IF(SUM(AM386,AL386,AI386)&gt;0,"Master's Degree or Higher","Other")))))</f>
        <v>Master's Degree or Higher</v>
      </c>
      <c r="AV386" t="str">
        <f>IF(ifood_data[[#All],[Income]]&gt;75000,"75K+",(IF(ifood_data[[#All],[Income]]&gt;50000,"50K-75K",(IF(ifood_data[[#All],[Income]]&gt;35000,"35K-50K","&lt;35K")))))</f>
        <v>75K+</v>
      </c>
      <c r="AW386" t="str">
        <f>IF(ifood_data[[#All],[Age]]&gt;60,"60+",(IF(ifood_data[[#All],[Age]]&gt;50,"50-60",(IF(ifood_data[[#All],[Age]]&gt;40,"40-50",(IF(ifood_data[[#All],[Age]]&gt;30,"30-40","&lt;30")))))))</f>
        <v>50-60</v>
      </c>
      <c r="AX386">
        <f t="shared" ref="AX386:AX449" si="24">SUM(L386:P386)</f>
        <v>26</v>
      </c>
      <c r="AY386">
        <f t="shared" ref="AY386:AY449" si="25">(1-_xlfn.PERCENTRANK.INC($E$2:$E$2022,E386,1))*10</f>
        <v>9</v>
      </c>
      <c r="AZ386">
        <f t="shared" ref="AZ386:AZ449" si="26">_xlfn.PERCENTRANK.INC($AX$2:$AX$2022,AX386,1)*10</f>
        <v>7</v>
      </c>
      <c r="BA386">
        <f t="shared" ref="BA386:BA449" si="27">_xlfn.PERCENTRANK.INC($AN$2:$AN$2022,AN386,1)*10</f>
        <v>8</v>
      </c>
      <c r="BB386">
        <f>SUM(ifood_data[[#This Row],[Recency Score]:[Monetary Score]])</f>
        <v>24</v>
      </c>
      <c r="BC386">
        <f>(_xlfn.PERCENTRANK.INC(ifood_data[[#All],[RFM]],ifood_data[[#This Row],[RFM]],1))*10</f>
        <v>9</v>
      </c>
      <c r="BD386" t="str">
        <f>VLOOKUP(ifood_data[[#This Row],[RFM Score]],'RFM Analysis'!$A$3:$B$14,2,FALSE)</f>
        <v>Top Customer</v>
      </c>
      <c r="BE386">
        <f>'Regression Models'!$B$101+'Regression Models'!$B$102*ifood_data[[#This Row],[Income]]+'Regression Models'!$B$103*ifood_data[[#This Row],[Age]]+'Regression Models'!$B$104*ifood_data[[#This Row],[Family]]</f>
        <v>1075.5009352545239</v>
      </c>
      <c r="BF386" t="str">
        <f>IF(ifood_data[[#This Row],[AcceptedCmpOverall]]=1,"Campaign Respondent","Non-respondent")</f>
        <v>Campaign Respondent</v>
      </c>
    </row>
    <row r="387" spans="1:58" x14ac:dyDescent="0.35">
      <c r="A387">
        <v>1487</v>
      </c>
      <c r="B387">
        <v>64509</v>
      </c>
      <c r="C387">
        <v>0</v>
      </c>
      <c r="D387">
        <v>0</v>
      </c>
      <c r="E387">
        <v>19</v>
      </c>
      <c r="F387">
        <v>836</v>
      </c>
      <c r="G387">
        <v>185</v>
      </c>
      <c r="H387">
        <v>575</v>
      </c>
      <c r="I387">
        <v>24</v>
      </c>
      <c r="J387">
        <v>25</v>
      </c>
      <c r="K387">
        <v>77</v>
      </c>
      <c r="L387">
        <v>1</v>
      </c>
      <c r="M387">
        <v>6</v>
      </c>
      <c r="N387">
        <v>3</v>
      </c>
      <c r="O387">
        <v>9</v>
      </c>
      <c r="P387">
        <v>4</v>
      </c>
      <c r="Q387">
        <v>0</v>
      </c>
      <c r="R387">
        <v>0</v>
      </c>
      <c r="S387">
        <v>1</v>
      </c>
      <c r="T387">
        <v>0</v>
      </c>
      <c r="U387">
        <v>0</v>
      </c>
      <c r="V387">
        <f>IF(SUM(ifood_data[[#This Row],[AcceptedCmp1]:[AcceptedCmp5]])&gt;0,1,0)</f>
        <v>1</v>
      </c>
      <c r="W387">
        <v>0</v>
      </c>
      <c r="X387">
        <v>3</v>
      </c>
      <c r="Y387">
        <v>11</v>
      </c>
      <c r="Z387">
        <v>1</v>
      </c>
      <c r="AA387">
        <v>30</v>
      </c>
      <c r="AB387">
        <v>2475</v>
      </c>
      <c r="AC387" s="28">
        <f>ifood_data[[#This Row],[Customer_Days]]/365</f>
        <v>6.7808219178082192</v>
      </c>
      <c r="AD387">
        <v>0</v>
      </c>
      <c r="AE387">
        <v>0</v>
      </c>
      <c r="AF387">
        <v>1</v>
      </c>
      <c r="AG387">
        <v>0</v>
      </c>
      <c r="AH387">
        <v>0</v>
      </c>
      <c r="AI387">
        <v>0</v>
      </c>
      <c r="AJ387">
        <v>0</v>
      </c>
      <c r="AK387">
        <v>1</v>
      </c>
      <c r="AL387">
        <v>0</v>
      </c>
      <c r="AM387">
        <v>0</v>
      </c>
      <c r="AN387">
        <v>1645</v>
      </c>
      <c r="AO387">
        <v>1568</v>
      </c>
      <c r="AP387">
        <f>ifood_data[[#This Row],[MntTotal]]-ifood_data[[#This Row],[MntRegularProds]]</f>
        <v>77</v>
      </c>
      <c r="AQ387">
        <v>1</v>
      </c>
      <c r="AR387">
        <f>IF(SUM(ifood_data[[#This Row],[Kidhome]:[Teenhome]])&gt;0,1,0)</f>
        <v>0</v>
      </c>
      <c r="AS387" t="str">
        <f>IF(SUM(ifood_data[[#This Row],[Kidhome]:[Teenhome]])&gt;0,"Has Family","No Family")</f>
        <v>No Family</v>
      </c>
      <c r="AT387" t="str">
        <f>IF(ifood_data[[#This Row],[marital_Married]]=1,"Married", (IF(ifood_data[[#This Row],[marital_Single]]=1,"Single",(IF(ifood_data[[#This Row],[marital_Divorced]]=1,"Divorced",(IF(ifood_data[[#This Row],[marital_Together]]=1,"Living Together",(IF(ifood_data[[#This Row],[marital_Widow]]=1,"Widow","Other")))))))))</f>
        <v>Single</v>
      </c>
      <c r="AU387" t="str">
        <f>IF(ifood_data[[#This Row],[education_Basic]]=1,"High School",(IF(ifood_data[[#This Row],[education_Graduation]]=1,"Undergraduate Degree",(IF(SUM(AM387,AL387,AI387)&gt;0,"Master's Degree or Higher","Other")))))</f>
        <v>Undergraduate Degree</v>
      </c>
      <c r="AV387" t="str">
        <f>IF(ifood_data[[#All],[Income]]&gt;75000,"75K+",(IF(ifood_data[[#All],[Income]]&gt;50000,"50K-75K",(IF(ifood_data[[#All],[Income]]&gt;35000,"35K-50K","&lt;35K")))))</f>
        <v>50K-75K</v>
      </c>
      <c r="AW387" t="str">
        <f>IF(ifood_data[[#All],[Age]]&gt;60,"60+",(IF(ifood_data[[#All],[Age]]&gt;50,"50-60",(IF(ifood_data[[#All],[Age]]&gt;40,"40-50",(IF(ifood_data[[#All],[Age]]&gt;30,"30-40","&lt;30")))))))</f>
        <v>&lt;30</v>
      </c>
      <c r="AX387">
        <f t="shared" si="24"/>
        <v>23</v>
      </c>
      <c r="AY387">
        <f t="shared" si="25"/>
        <v>9</v>
      </c>
      <c r="AZ387">
        <f t="shared" si="26"/>
        <v>6</v>
      </c>
      <c r="BA387">
        <f t="shared" si="27"/>
        <v>9</v>
      </c>
      <c r="BB387">
        <f>SUM(ifood_data[[#This Row],[Recency Score]:[Monetary Score]])</f>
        <v>24</v>
      </c>
      <c r="BC387">
        <f>(_xlfn.PERCENTRANK.INC(ifood_data[[#All],[RFM]],ifood_data[[#This Row],[RFM]],1))*10</f>
        <v>9</v>
      </c>
      <c r="BD387" t="str">
        <f>VLOOKUP(ifood_data[[#This Row],[RFM Score]],'RFM Analysis'!$A$3:$B$14,2,FALSE)</f>
        <v>Top Customer</v>
      </c>
      <c r="BE387">
        <f>'Regression Models'!$B$101+'Regression Models'!$B$102*ifood_data[[#This Row],[Income]]+'Regression Models'!$B$103*ifood_data[[#This Row],[Age]]+'Regression Models'!$B$104*ifood_data[[#This Row],[Family]]</f>
        <v>1072.3506155534787</v>
      </c>
      <c r="BF387" t="str">
        <f>IF(ifood_data[[#This Row],[AcceptedCmpOverall]]=1,"Campaign Respondent","Non-respondent")</f>
        <v>Campaign Respondent</v>
      </c>
    </row>
    <row r="388" spans="1:58" x14ac:dyDescent="0.35">
      <c r="A388">
        <v>1230</v>
      </c>
      <c r="B388">
        <v>65169</v>
      </c>
      <c r="C388">
        <v>0</v>
      </c>
      <c r="D388">
        <v>0</v>
      </c>
      <c r="E388">
        <v>23</v>
      </c>
      <c r="F388">
        <v>1074</v>
      </c>
      <c r="G388">
        <v>0</v>
      </c>
      <c r="H388">
        <v>69</v>
      </c>
      <c r="I388">
        <v>0</v>
      </c>
      <c r="J388">
        <v>0</v>
      </c>
      <c r="K388">
        <v>46</v>
      </c>
      <c r="L388">
        <v>1</v>
      </c>
      <c r="M388">
        <v>10</v>
      </c>
      <c r="N388">
        <v>4</v>
      </c>
      <c r="O388">
        <v>13</v>
      </c>
      <c r="P388">
        <v>6</v>
      </c>
      <c r="Q388">
        <v>1</v>
      </c>
      <c r="R388">
        <v>1</v>
      </c>
      <c r="S388">
        <v>1</v>
      </c>
      <c r="T388">
        <v>0</v>
      </c>
      <c r="U388">
        <v>1</v>
      </c>
      <c r="V388">
        <f>IF(SUM(ifood_data[[#This Row],[AcceptedCmp1]:[AcceptedCmp5]])&gt;0,1,0)</f>
        <v>1</v>
      </c>
      <c r="W388">
        <v>0</v>
      </c>
      <c r="X388">
        <v>3</v>
      </c>
      <c r="Y388">
        <v>11</v>
      </c>
      <c r="Z388">
        <v>1</v>
      </c>
      <c r="AA388">
        <v>38</v>
      </c>
      <c r="AB388">
        <v>2325</v>
      </c>
      <c r="AC388" s="28">
        <f>ifood_data[[#This Row],[Customer_Days]]/365</f>
        <v>6.3698630136986303</v>
      </c>
      <c r="AD388">
        <v>0</v>
      </c>
      <c r="AE388">
        <v>1</v>
      </c>
      <c r="AF388">
        <v>0</v>
      </c>
      <c r="AG388">
        <v>0</v>
      </c>
      <c r="AH388">
        <v>0</v>
      </c>
      <c r="AI388">
        <v>0</v>
      </c>
      <c r="AJ388">
        <v>0</v>
      </c>
      <c r="AK388">
        <v>1</v>
      </c>
      <c r="AL388">
        <v>0</v>
      </c>
      <c r="AM388">
        <v>0</v>
      </c>
      <c r="AN388">
        <v>1143</v>
      </c>
      <c r="AO388">
        <v>1097</v>
      </c>
      <c r="AP388">
        <f>ifood_data[[#This Row],[MntTotal]]-ifood_data[[#This Row],[MntRegularProds]]</f>
        <v>46</v>
      </c>
      <c r="AQ388">
        <v>4</v>
      </c>
      <c r="AR388">
        <f>IF(SUM(ifood_data[[#This Row],[Kidhome]:[Teenhome]])&gt;0,1,0)</f>
        <v>0</v>
      </c>
      <c r="AS388" t="str">
        <f>IF(SUM(ifood_data[[#This Row],[Kidhome]:[Teenhome]])&gt;0,"Has Family","No Family")</f>
        <v>No Family</v>
      </c>
      <c r="AT388" t="str">
        <f>IF(ifood_data[[#This Row],[marital_Married]]=1,"Married", (IF(ifood_data[[#This Row],[marital_Single]]=1,"Single",(IF(ifood_data[[#This Row],[marital_Divorced]]=1,"Divorced",(IF(ifood_data[[#This Row],[marital_Together]]=1,"Living Together",(IF(ifood_data[[#This Row],[marital_Widow]]=1,"Widow","Other")))))))))</f>
        <v>Married</v>
      </c>
      <c r="AU388" t="str">
        <f>IF(ifood_data[[#This Row],[education_Basic]]=1,"High School",(IF(ifood_data[[#This Row],[education_Graduation]]=1,"Undergraduate Degree",(IF(SUM(AM388,AL388,AI388)&gt;0,"Master's Degree or Higher","Other")))))</f>
        <v>Undergraduate Degree</v>
      </c>
      <c r="AV388" t="str">
        <f>IF(ifood_data[[#All],[Income]]&gt;75000,"75K+",(IF(ifood_data[[#All],[Income]]&gt;50000,"50K-75K",(IF(ifood_data[[#All],[Income]]&gt;35000,"35K-50K","&lt;35K")))))</f>
        <v>50K-75K</v>
      </c>
      <c r="AW388" t="str">
        <f>IF(ifood_data[[#All],[Age]]&gt;60,"60+",(IF(ifood_data[[#All],[Age]]&gt;50,"50-60",(IF(ifood_data[[#All],[Age]]&gt;40,"40-50",(IF(ifood_data[[#All],[Age]]&gt;30,"30-40","&lt;30")))))))</f>
        <v>30-40</v>
      </c>
      <c r="AX388">
        <f t="shared" si="24"/>
        <v>34</v>
      </c>
      <c r="AY388">
        <f t="shared" si="25"/>
        <v>8</v>
      </c>
      <c r="AZ388">
        <f t="shared" si="26"/>
        <v>9</v>
      </c>
      <c r="BA388">
        <f t="shared" si="27"/>
        <v>8</v>
      </c>
      <c r="BB388">
        <f>SUM(ifood_data[[#This Row],[Recency Score]:[Monetary Score]])</f>
        <v>25</v>
      </c>
      <c r="BC388">
        <f>(_xlfn.PERCENTRANK.INC(ifood_data[[#All],[RFM]],ifood_data[[#This Row],[RFM]],1))*10</f>
        <v>9</v>
      </c>
      <c r="BD388" t="str">
        <f>VLOOKUP(ifood_data[[#This Row],[RFM Score]],'RFM Analysis'!$A$3:$B$14,2,FALSE)</f>
        <v>Top Customer</v>
      </c>
      <c r="BE388">
        <f>'Regression Models'!$B$101+'Regression Models'!$B$102*ifood_data[[#This Row],[Income]]+'Regression Models'!$B$103*ifood_data[[#This Row],[Age]]+'Regression Models'!$B$104*ifood_data[[#This Row],[Family]]</f>
        <v>1071.1156898972977</v>
      </c>
      <c r="BF388" t="str">
        <f>IF(ifood_data[[#This Row],[AcceptedCmpOverall]]=1,"Campaign Respondent","Non-respondent")</f>
        <v>Campaign Respondent</v>
      </c>
    </row>
    <row r="389" spans="1:58" x14ac:dyDescent="0.35">
      <c r="A389">
        <v>643</v>
      </c>
      <c r="B389">
        <v>65295</v>
      </c>
      <c r="C389">
        <v>0</v>
      </c>
      <c r="D389">
        <v>0</v>
      </c>
      <c r="E389">
        <v>19</v>
      </c>
      <c r="F389">
        <v>365</v>
      </c>
      <c r="G389">
        <v>32</v>
      </c>
      <c r="H389">
        <v>117</v>
      </c>
      <c r="I389">
        <v>34</v>
      </c>
      <c r="J389">
        <v>110</v>
      </c>
      <c r="K389">
        <v>6</v>
      </c>
      <c r="L389">
        <v>1</v>
      </c>
      <c r="M389">
        <v>3</v>
      </c>
      <c r="N389">
        <v>3</v>
      </c>
      <c r="O389">
        <v>13</v>
      </c>
      <c r="P389">
        <v>2</v>
      </c>
      <c r="Q389">
        <v>0</v>
      </c>
      <c r="R389">
        <v>0</v>
      </c>
      <c r="S389">
        <v>0</v>
      </c>
      <c r="T389">
        <v>0</v>
      </c>
      <c r="U389">
        <v>0</v>
      </c>
      <c r="V389">
        <f>IF(SUM(ifood_data[[#This Row],[AcceptedCmp1]:[AcceptedCmp5]])&gt;0,1,0)</f>
        <v>0</v>
      </c>
      <c r="W389">
        <v>0</v>
      </c>
      <c r="X389">
        <v>3</v>
      </c>
      <c r="Y389">
        <v>11</v>
      </c>
      <c r="Z389">
        <v>0</v>
      </c>
      <c r="AA389">
        <v>40</v>
      </c>
      <c r="AB389">
        <v>2347</v>
      </c>
      <c r="AC389" s="28">
        <f>ifood_data[[#This Row],[Customer_Days]]/365</f>
        <v>6.4301369863013695</v>
      </c>
      <c r="AD389">
        <v>0</v>
      </c>
      <c r="AE389">
        <v>0</v>
      </c>
      <c r="AF389">
        <v>1</v>
      </c>
      <c r="AG389">
        <v>0</v>
      </c>
      <c r="AH389">
        <v>0</v>
      </c>
      <c r="AI389">
        <v>0</v>
      </c>
      <c r="AJ389">
        <v>0</v>
      </c>
      <c r="AK389">
        <v>0</v>
      </c>
      <c r="AL389">
        <v>0</v>
      </c>
      <c r="AM389">
        <v>1</v>
      </c>
      <c r="AN389">
        <v>658</v>
      </c>
      <c r="AO389">
        <v>652</v>
      </c>
      <c r="AP389">
        <f>ifood_data[[#This Row],[MntTotal]]-ifood_data[[#This Row],[MntRegularProds]]</f>
        <v>6</v>
      </c>
      <c r="AQ389">
        <v>0</v>
      </c>
      <c r="AR389">
        <f>IF(SUM(ifood_data[[#This Row],[Kidhome]:[Teenhome]])&gt;0,1,0)</f>
        <v>0</v>
      </c>
      <c r="AS389" t="str">
        <f>IF(SUM(ifood_data[[#This Row],[Kidhome]:[Teenhome]])&gt;0,"Has Family","No Family")</f>
        <v>No Family</v>
      </c>
      <c r="AT389" t="str">
        <f>IF(ifood_data[[#This Row],[marital_Married]]=1,"Married", (IF(ifood_data[[#This Row],[marital_Single]]=1,"Single",(IF(ifood_data[[#This Row],[marital_Divorced]]=1,"Divorced",(IF(ifood_data[[#This Row],[marital_Together]]=1,"Living Together",(IF(ifood_data[[#This Row],[marital_Widow]]=1,"Widow","Other")))))))))</f>
        <v>Single</v>
      </c>
      <c r="AU389" t="str">
        <f>IF(ifood_data[[#This Row],[education_Basic]]=1,"High School",(IF(ifood_data[[#This Row],[education_Graduation]]=1,"Undergraduate Degree",(IF(SUM(AM389,AL389,AI389)&gt;0,"Master's Degree or Higher","Other")))))</f>
        <v>Master's Degree or Higher</v>
      </c>
      <c r="AV389" t="str">
        <f>IF(ifood_data[[#All],[Income]]&gt;75000,"75K+",(IF(ifood_data[[#All],[Income]]&gt;50000,"50K-75K",(IF(ifood_data[[#All],[Income]]&gt;35000,"35K-50K","&lt;35K")))))</f>
        <v>50K-75K</v>
      </c>
      <c r="AW389" t="str">
        <f>IF(ifood_data[[#All],[Age]]&gt;60,"60+",(IF(ifood_data[[#All],[Age]]&gt;50,"50-60",(IF(ifood_data[[#All],[Age]]&gt;40,"40-50",(IF(ifood_data[[#All],[Age]]&gt;30,"30-40","&lt;30")))))))</f>
        <v>30-40</v>
      </c>
      <c r="AX389">
        <f t="shared" si="24"/>
        <v>22</v>
      </c>
      <c r="AY389">
        <f t="shared" si="25"/>
        <v>9</v>
      </c>
      <c r="AZ389">
        <f t="shared" si="26"/>
        <v>5</v>
      </c>
      <c r="BA389">
        <f t="shared" si="27"/>
        <v>6</v>
      </c>
      <c r="BB389">
        <f>SUM(ifood_data[[#This Row],[Recency Score]:[Monetary Score]])</f>
        <v>20</v>
      </c>
      <c r="BC389">
        <f>(_xlfn.PERCENTRANK.INC(ifood_data[[#All],[RFM]],ifood_data[[#This Row],[RFM]],1))*10</f>
        <v>7</v>
      </c>
      <c r="BD389" t="str">
        <f>VLOOKUP(ifood_data[[#This Row],[RFM Score]],'RFM Analysis'!$A$3:$B$14,2,FALSE)</f>
        <v>Loyal Customer</v>
      </c>
      <c r="BE389">
        <f>'Regression Models'!$B$101+'Regression Models'!$B$102*ifood_data[[#This Row],[Income]]+'Regression Models'!$B$103*ifood_data[[#This Row],[Age]]+'Regression Models'!$B$104*ifood_data[[#This Row],[Family]]</f>
        <v>1070.0117965256404</v>
      </c>
      <c r="BF389" t="str">
        <f>IF(ifood_data[[#This Row],[AcceptedCmpOverall]]=1,"Campaign Respondent","Non-respondent")</f>
        <v>Non-respondent</v>
      </c>
    </row>
    <row r="390" spans="1:58" x14ac:dyDescent="0.35">
      <c r="A390">
        <v>231</v>
      </c>
      <c r="B390">
        <v>80134</v>
      </c>
      <c r="C390">
        <v>1</v>
      </c>
      <c r="D390">
        <v>0</v>
      </c>
      <c r="E390">
        <v>40</v>
      </c>
      <c r="F390">
        <v>1218</v>
      </c>
      <c r="G390">
        <v>16</v>
      </c>
      <c r="H390">
        <v>272</v>
      </c>
      <c r="I390">
        <v>104</v>
      </c>
      <c r="J390">
        <v>0</v>
      </c>
      <c r="K390">
        <v>80</v>
      </c>
      <c r="L390">
        <v>2</v>
      </c>
      <c r="M390">
        <v>5</v>
      </c>
      <c r="N390">
        <v>3</v>
      </c>
      <c r="O390">
        <v>6</v>
      </c>
      <c r="P390">
        <v>6</v>
      </c>
      <c r="Q390">
        <v>1</v>
      </c>
      <c r="R390">
        <v>0</v>
      </c>
      <c r="S390">
        <v>0</v>
      </c>
      <c r="T390">
        <v>1</v>
      </c>
      <c r="U390">
        <v>1</v>
      </c>
      <c r="V390">
        <f>IF(SUM(ifood_data[[#This Row],[AcceptedCmp1]:[AcceptedCmp5]])&gt;0,1,0)</f>
        <v>1</v>
      </c>
      <c r="W390">
        <v>0</v>
      </c>
      <c r="X390">
        <v>3</v>
      </c>
      <c r="Y390">
        <v>11</v>
      </c>
      <c r="Z390">
        <v>1</v>
      </c>
      <c r="AA390">
        <v>48</v>
      </c>
      <c r="AB390">
        <v>2564</v>
      </c>
      <c r="AC390" s="28">
        <f>ifood_data[[#This Row],[Customer_Days]]/365</f>
        <v>7.0246575342465754</v>
      </c>
      <c r="AD390">
        <v>0</v>
      </c>
      <c r="AE390">
        <v>1</v>
      </c>
      <c r="AF390">
        <v>0</v>
      </c>
      <c r="AG390">
        <v>0</v>
      </c>
      <c r="AH390">
        <v>0</v>
      </c>
      <c r="AI390">
        <v>0</v>
      </c>
      <c r="AJ390">
        <v>0</v>
      </c>
      <c r="AK390">
        <v>1</v>
      </c>
      <c r="AL390">
        <v>0</v>
      </c>
      <c r="AM390">
        <v>0</v>
      </c>
      <c r="AN390">
        <v>1610</v>
      </c>
      <c r="AO390">
        <v>1530</v>
      </c>
      <c r="AP390">
        <f>ifood_data[[#This Row],[MntTotal]]-ifood_data[[#This Row],[MntRegularProds]]</f>
        <v>80</v>
      </c>
      <c r="AQ390">
        <v>3</v>
      </c>
      <c r="AR390">
        <f>IF(SUM(ifood_data[[#This Row],[Kidhome]:[Teenhome]])&gt;0,1,0)</f>
        <v>1</v>
      </c>
      <c r="AS390" t="str">
        <f>IF(SUM(ifood_data[[#This Row],[Kidhome]:[Teenhome]])&gt;0,"Has Family","No Family")</f>
        <v>Has Family</v>
      </c>
      <c r="AT390" t="str">
        <f>IF(ifood_data[[#This Row],[marital_Married]]=1,"Married", (IF(ifood_data[[#This Row],[marital_Single]]=1,"Single",(IF(ifood_data[[#This Row],[marital_Divorced]]=1,"Divorced",(IF(ifood_data[[#This Row],[marital_Together]]=1,"Living Together",(IF(ifood_data[[#This Row],[marital_Widow]]=1,"Widow","Other")))))))))</f>
        <v>Married</v>
      </c>
      <c r="AU390" t="str">
        <f>IF(ifood_data[[#This Row],[education_Basic]]=1,"High School",(IF(ifood_data[[#This Row],[education_Graduation]]=1,"Undergraduate Degree",(IF(SUM(AM390,AL390,AI390)&gt;0,"Master's Degree or Higher","Other")))))</f>
        <v>Undergraduate Degree</v>
      </c>
      <c r="AV390" t="str">
        <f>IF(ifood_data[[#All],[Income]]&gt;75000,"75K+",(IF(ifood_data[[#All],[Income]]&gt;50000,"50K-75K",(IF(ifood_data[[#All],[Income]]&gt;35000,"35K-50K","&lt;35K")))))</f>
        <v>75K+</v>
      </c>
      <c r="AW390" t="str">
        <f>IF(ifood_data[[#All],[Age]]&gt;60,"60+",(IF(ifood_data[[#All],[Age]]&gt;50,"50-60",(IF(ifood_data[[#All],[Age]]&gt;40,"40-50",(IF(ifood_data[[#All],[Age]]&gt;30,"30-40","&lt;30")))))))</f>
        <v>40-50</v>
      </c>
      <c r="AX390">
        <f t="shared" si="24"/>
        <v>22</v>
      </c>
      <c r="AY390">
        <f t="shared" si="25"/>
        <v>6</v>
      </c>
      <c r="AZ390">
        <f t="shared" si="26"/>
        <v>5</v>
      </c>
      <c r="BA390">
        <f t="shared" si="27"/>
        <v>9</v>
      </c>
      <c r="BB390">
        <f>SUM(ifood_data[[#This Row],[Recency Score]:[Monetary Score]])</f>
        <v>20</v>
      </c>
      <c r="BC390">
        <f>(_xlfn.PERCENTRANK.INC(ifood_data[[#All],[RFM]],ifood_data[[#This Row],[RFM]],1))*10</f>
        <v>7</v>
      </c>
      <c r="BD390" t="str">
        <f>VLOOKUP(ifood_data[[#This Row],[RFM Score]],'RFM Analysis'!$A$3:$B$14,2,FALSE)</f>
        <v>Loyal Customer</v>
      </c>
      <c r="BE390">
        <f>'Regression Models'!$B$101+'Regression Models'!$B$102*ifood_data[[#This Row],[Income]]+'Regression Models'!$B$103*ifood_data[[#This Row],[Age]]+'Regression Models'!$B$104*ifood_data[[#This Row],[Family]]</f>
        <v>1068.2555833087863</v>
      </c>
      <c r="BF390" t="str">
        <f>IF(ifood_data[[#This Row],[AcceptedCmpOverall]]=1,"Campaign Respondent","Non-respondent")</f>
        <v>Campaign Respondent</v>
      </c>
    </row>
    <row r="391" spans="1:58" x14ac:dyDescent="0.35">
      <c r="A391">
        <v>1326</v>
      </c>
      <c r="B391">
        <v>65704</v>
      </c>
      <c r="C391">
        <v>0</v>
      </c>
      <c r="D391">
        <v>0</v>
      </c>
      <c r="E391">
        <v>18</v>
      </c>
      <c r="F391">
        <v>279</v>
      </c>
      <c r="G391">
        <v>172</v>
      </c>
      <c r="H391">
        <v>74</v>
      </c>
      <c r="I391">
        <v>38</v>
      </c>
      <c r="J391">
        <v>8</v>
      </c>
      <c r="K391">
        <v>246</v>
      </c>
      <c r="L391">
        <v>1</v>
      </c>
      <c r="M391">
        <v>2</v>
      </c>
      <c r="N391">
        <v>10</v>
      </c>
      <c r="O391">
        <v>10</v>
      </c>
      <c r="P391">
        <v>1</v>
      </c>
      <c r="Q391">
        <v>0</v>
      </c>
      <c r="R391">
        <v>0</v>
      </c>
      <c r="S391">
        <v>0</v>
      </c>
      <c r="T391">
        <v>0</v>
      </c>
      <c r="U391">
        <v>0</v>
      </c>
      <c r="V391">
        <f>IF(SUM(ifood_data[[#This Row],[AcceptedCmp1]:[AcceptedCmp5]])&gt;0,1,0)</f>
        <v>0</v>
      </c>
      <c r="W391">
        <v>0</v>
      </c>
      <c r="X391">
        <v>3</v>
      </c>
      <c r="Y391">
        <v>11</v>
      </c>
      <c r="Z391">
        <v>0</v>
      </c>
      <c r="AA391">
        <v>48</v>
      </c>
      <c r="AB391">
        <v>2418</v>
      </c>
      <c r="AC391" s="28">
        <f>ifood_data[[#This Row],[Customer_Days]]/365</f>
        <v>6.624657534246575</v>
      </c>
      <c r="AD391">
        <v>0</v>
      </c>
      <c r="AE391">
        <v>0</v>
      </c>
      <c r="AF391">
        <v>1</v>
      </c>
      <c r="AG391">
        <v>0</v>
      </c>
      <c r="AH391">
        <v>0</v>
      </c>
      <c r="AI391">
        <v>1</v>
      </c>
      <c r="AJ391">
        <v>0</v>
      </c>
      <c r="AK391">
        <v>0</v>
      </c>
      <c r="AL391">
        <v>0</v>
      </c>
      <c r="AM391">
        <v>0</v>
      </c>
      <c r="AN391">
        <v>571</v>
      </c>
      <c r="AO391">
        <v>325</v>
      </c>
      <c r="AP391">
        <f>ifood_data[[#This Row],[MntTotal]]-ifood_data[[#This Row],[MntRegularProds]]</f>
        <v>246</v>
      </c>
      <c r="AQ391">
        <v>0</v>
      </c>
      <c r="AR391">
        <f>IF(SUM(ifood_data[[#This Row],[Kidhome]:[Teenhome]])&gt;0,1,0)</f>
        <v>0</v>
      </c>
      <c r="AS391" t="str">
        <f>IF(SUM(ifood_data[[#This Row],[Kidhome]:[Teenhome]])&gt;0,"Has Family","No Family")</f>
        <v>No Family</v>
      </c>
      <c r="AT391" t="str">
        <f>IF(ifood_data[[#This Row],[marital_Married]]=1,"Married", (IF(ifood_data[[#This Row],[marital_Single]]=1,"Single",(IF(ifood_data[[#This Row],[marital_Divorced]]=1,"Divorced",(IF(ifood_data[[#This Row],[marital_Together]]=1,"Living Together",(IF(ifood_data[[#This Row],[marital_Widow]]=1,"Widow","Other")))))))))</f>
        <v>Single</v>
      </c>
      <c r="AU391" t="str">
        <f>IF(ifood_data[[#This Row],[education_Basic]]=1,"High School",(IF(ifood_data[[#This Row],[education_Graduation]]=1,"Undergraduate Degree",(IF(SUM(AM391,AL391,AI391)&gt;0,"Master's Degree or Higher","Other")))))</f>
        <v>Master's Degree or Higher</v>
      </c>
      <c r="AV391" t="str">
        <f>IF(ifood_data[[#All],[Income]]&gt;75000,"75K+",(IF(ifood_data[[#All],[Income]]&gt;50000,"50K-75K",(IF(ifood_data[[#All],[Income]]&gt;35000,"35K-50K","&lt;35K")))))</f>
        <v>50K-75K</v>
      </c>
      <c r="AW391" t="str">
        <f>IF(ifood_data[[#All],[Age]]&gt;60,"60+",(IF(ifood_data[[#All],[Age]]&gt;50,"50-60",(IF(ifood_data[[#All],[Age]]&gt;40,"40-50",(IF(ifood_data[[#All],[Age]]&gt;30,"30-40","&lt;30")))))))</f>
        <v>40-50</v>
      </c>
      <c r="AX391">
        <f t="shared" si="24"/>
        <v>24</v>
      </c>
      <c r="AY391">
        <f t="shared" si="25"/>
        <v>9</v>
      </c>
      <c r="AZ391">
        <f t="shared" si="26"/>
        <v>6</v>
      </c>
      <c r="BA391">
        <f t="shared" si="27"/>
        <v>6</v>
      </c>
      <c r="BB391">
        <f>SUM(ifood_data[[#This Row],[Recency Score]:[Monetary Score]])</f>
        <v>21</v>
      </c>
      <c r="BC391">
        <f>(_xlfn.PERCENTRANK.INC(ifood_data[[#All],[RFM]],ifood_data[[#This Row],[RFM]],1))*10</f>
        <v>8</v>
      </c>
      <c r="BD391" t="str">
        <f>VLOOKUP(ifood_data[[#This Row],[RFM Score]],'RFM Analysis'!$A$3:$B$14,2,FALSE)</f>
        <v>Loyal Customer</v>
      </c>
      <c r="BE391">
        <f>'Regression Models'!$B$101+'Regression Models'!$B$102*ifood_data[[#This Row],[Income]]+'Regression Models'!$B$103*ifood_data[[#This Row],[Age]]+'Regression Models'!$B$104*ifood_data[[#This Row],[Family]]</f>
        <v>1063.6592900653409</v>
      </c>
      <c r="BF391" t="str">
        <f>IF(ifood_data[[#This Row],[AcceptedCmpOverall]]=1,"Campaign Respondent","Non-respondent")</f>
        <v>Non-respondent</v>
      </c>
    </row>
    <row r="392" spans="1:58" x14ac:dyDescent="0.35">
      <c r="A392">
        <v>1021</v>
      </c>
      <c r="B392">
        <v>66294</v>
      </c>
      <c r="C392">
        <v>0</v>
      </c>
      <c r="D392">
        <v>0</v>
      </c>
      <c r="E392">
        <v>68</v>
      </c>
      <c r="F392">
        <v>251</v>
      </c>
      <c r="G392">
        <v>108</v>
      </c>
      <c r="H392">
        <v>334</v>
      </c>
      <c r="I392">
        <v>65</v>
      </c>
      <c r="J392">
        <v>92</v>
      </c>
      <c r="K392">
        <v>117</v>
      </c>
      <c r="L392">
        <v>1</v>
      </c>
      <c r="M392">
        <v>4</v>
      </c>
      <c r="N392">
        <v>3</v>
      </c>
      <c r="O392">
        <v>5</v>
      </c>
      <c r="P392">
        <v>2</v>
      </c>
      <c r="Q392">
        <v>0</v>
      </c>
      <c r="R392">
        <v>0</v>
      </c>
      <c r="S392">
        <v>0</v>
      </c>
      <c r="T392">
        <v>0</v>
      </c>
      <c r="U392">
        <v>0</v>
      </c>
      <c r="V392">
        <f>IF(SUM(ifood_data[[#This Row],[AcceptedCmp1]:[AcceptedCmp5]])&gt;0,1,0)</f>
        <v>0</v>
      </c>
      <c r="W392">
        <v>0</v>
      </c>
      <c r="X392">
        <v>3</v>
      </c>
      <c r="Y392">
        <v>11</v>
      </c>
      <c r="Z392">
        <v>0</v>
      </c>
      <c r="AA392">
        <v>55</v>
      </c>
      <c r="AB392">
        <v>2263</v>
      </c>
      <c r="AC392" s="28">
        <f>ifood_data[[#This Row],[Customer_Days]]/365</f>
        <v>6.2</v>
      </c>
      <c r="AD392">
        <v>0</v>
      </c>
      <c r="AE392">
        <v>0</v>
      </c>
      <c r="AF392">
        <v>1</v>
      </c>
      <c r="AG392">
        <v>0</v>
      </c>
      <c r="AH392">
        <v>0</v>
      </c>
      <c r="AI392">
        <v>0</v>
      </c>
      <c r="AJ392">
        <v>0</v>
      </c>
      <c r="AK392">
        <v>1</v>
      </c>
      <c r="AL392">
        <v>0</v>
      </c>
      <c r="AM392">
        <v>0</v>
      </c>
      <c r="AN392">
        <v>850</v>
      </c>
      <c r="AO392">
        <v>733</v>
      </c>
      <c r="AP392">
        <f>ifood_data[[#This Row],[MntTotal]]-ifood_data[[#This Row],[MntRegularProds]]</f>
        <v>117</v>
      </c>
      <c r="AQ392">
        <v>0</v>
      </c>
      <c r="AR392">
        <f>IF(SUM(ifood_data[[#This Row],[Kidhome]:[Teenhome]])&gt;0,1,0)</f>
        <v>0</v>
      </c>
      <c r="AS392" t="str">
        <f>IF(SUM(ifood_data[[#This Row],[Kidhome]:[Teenhome]])&gt;0,"Has Family","No Family")</f>
        <v>No Family</v>
      </c>
      <c r="AT392" t="str">
        <f>IF(ifood_data[[#This Row],[marital_Married]]=1,"Married", (IF(ifood_data[[#This Row],[marital_Single]]=1,"Single",(IF(ifood_data[[#This Row],[marital_Divorced]]=1,"Divorced",(IF(ifood_data[[#This Row],[marital_Together]]=1,"Living Together",(IF(ifood_data[[#This Row],[marital_Widow]]=1,"Widow","Other")))))))))</f>
        <v>Single</v>
      </c>
      <c r="AU392" t="str">
        <f>IF(ifood_data[[#This Row],[education_Basic]]=1,"High School",(IF(ifood_data[[#This Row],[education_Graduation]]=1,"Undergraduate Degree",(IF(SUM(AM392,AL392,AI392)&gt;0,"Master's Degree or Higher","Other")))))</f>
        <v>Undergraduate Degree</v>
      </c>
      <c r="AV392" t="str">
        <f>IF(ifood_data[[#All],[Income]]&gt;75000,"75K+",(IF(ifood_data[[#All],[Income]]&gt;50000,"50K-75K",(IF(ifood_data[[#All],[Income]]&gt;35000,"35K-50K","&lt;35K")))))</f>
        <v>50K-75K</v>
      </c>
      <c r="AW392" t="str">
        <f>IF(ifood_data[[#All],[Age]]&gt;60,"60+",(IF(ifood_data[[#All],[Age]]&gt;50,"50-60",(IF(ifood_data[[#All],[Age]]&gt;40,"40-50",(IF(ifood_data[[#All],[Age]]&gt;30,"30-40","&lt;30")))))))</f>
        <v>50-60</v>
      </c>
      <c r="AX392">
        <f t="shared" si="24"/>
        <v>15</v>
      </c>
      <c r="AY392">
        <f t="shared" si="25"/>
        <v>4</v>
      </c>
      <c r="AZ392">
        <f t="shared" si="26"/>
        <v>2</v>
      </c>
      <c r="BA392">
        <f t="shared" si="27"/>
        <v>6</v>
      </c>
      <c r="BB392">
        <f>SUM(ifood_data[[#This Row],[Recency Score]:[Monetary Score]])</f>
        <v>12</v>
      </c>
      <c r="BC392">
        <f>(_xlfn.PERCENTRANK.INC(ifood_data[[#All],[RFM]],ifood_data[[#This Row],[RFM]],1))*10</f>
        <v>3</v>
      </c>
      <c r="BD392" t="str">
        <f>VLOOKUP(ifood_data[[#This Row],[RFM Score]],'RFM Analysis'!$A$3:$B$14,2,FALSE)</f>
        <v>At Risk</v>
      </c>
      <c r="BE392">
        <f>'Regression Models'!$B$101+'Regression Models'!$B$102*ifood_data[[#This Row],[Income]]+'Regression Models'!$B$103*ifood_data[[#This Row],[Age]]+'Regression Models'!$B$104*ifood_data[[#This Row],[Family]]</f>
        <v>1062.8335897179813</v>
      </c>
      <c r="BF392" t="str">
        <f>IF(ifood_data[[#This Row],[AcceptedCmpOverall]]=1,"Campaign Respondent","Non-respondent")</f>
        <v>Non-respondent</v>
      </c>
    </row>
    <row r="393" spans="1:58" x14ac:dyDescent="0.35">
      <c r="A393">
        <v>1755</v>
      </c>
      <c r="B393">
        <v>80982</v>
      </c>
      <c r="C393">
        <v>1</v>
      </c>
      <c r="D393">
        <v>1</v>
      </c>
      <c r="E393">
        <v>48</v>
      </c>
      <c r="F393">
        <v>505</v>
      </c>
      <c r="G393">
        <v>137</v>
      </c>
      <c r="H393">
        <v>401</v>
      </c>
      <c r="I393">
        <v>104</v>
      </c>
      <c r="J393">
        <v>22</v>
      </c>
      <c r="K393">
        <v>22</v>
      </c>
      <c r="L393">
        <v>3</v>
      </c>
      <c r="M393">
        <v>11</v>
      </c>
      <c r="N393">
        <v>5</v>
      </c>
      <c r="O393">
        <v>11</v>
      </c>
      <c r="P393">
        <v>5</v>
      </c>
      <c r="Q393">
        <v>0</v>
      </c>
      <c r="R393">
        <v>0</v>
      </c>
      <c r="S393">
        <v>0</v>
      </c>
      <c r="T393">
        <v>0</v>
      </c>
      <c r="U393">
        <v>0</v>
      </c>
      <c r="V393">
        <f>IF(SUM(ifood_data[[#This Row],[AcceptedCmp1]:[AcceptedCmp5]])&gt;0,1,0)</f>
        <v>0</v>
      </c>
      <c r="W393">
        <v>1</v>
      </c>
      <c r="X393">
        <v>3</v>
      </c>
      <c r="Y393">
        <v>11</v>
      </c>
      <c r="Z393">
        <v>0</v>
      </c>
      <c r="AA393">
        <v>61</v>
      </c>
      <c r="AB393">
        <v>2696</v>
      </c>
      <c r="AC393" s="28">
        <f>ifood_data[[#This Row],[Customer_Days]]/365</f>
        <v>7.3863013698630136</v>
      </c>
      <c r="AD393">
        <v>0</v>
      </c>
      <c r="AE393">
        <v>0</v>
      </c>
      <c r="AF393">
        <v>1</v>
      </c>
      <c r="AG393">
        <v>0</v>
      </c>
      <c r="AH393">
        <v>0</v>
      </c>
      <c r="AI393">
        <v>0</v>
      </c>
      <c r="AJ393">
        <v>0</v>
      </c>
      <c r="AK393">
        <v>1</v>
      </c>
      <c r="AL393">
        <v>0</v>
      </c>
      <c r="AM393">
        <v>0</v>
      </c>
      <c r="AN393">
        <v>1169</v>
      </c>
      <c r="AO393">
        <v>1147</v>
      </c>
      <c r="AP393">
        <f>ifood_data[[#This Row],[MntTotal]]-ifood_data[[#This Row],[MntRegularProds]]</f>
        <v>22</v>
      </c>
      <c r="AQ393">
        <v>0</v>
      </c>
      <c r="AR393">
        <f>IF(SUM(ifood_data[[#This Row],[Kidhome]:[Teenhome]])&gt;0,1,0)</f>
        <v>1</v>
      </c>
      <c r="AS393" t="str">
        <f>IF(SUM(ifood_data[[#This Row],[Kidhome]:[Teenhome]])&gt;0,"Has Family","No Family")</f>
        <v>Has Family</v>
      </c>
      <c r="AT393" t="str">
        <f>IF(ifood_data[[#This Row],[marital_Married]]=1,"Married", (IF(ifood_data[[#This Row],[marital_Single]]=1,"Single",(IF(ifood_data[[#This Row],[marital_Divorced]]=1,"Divorced",(IF(ifood_data[[#This Row],[marital_Together]]=1,"Living Together",(IF(ifood_data[[#This Row],[marital_Widow]]=1,"Widow","Other")))))))))</f>
        <v>Single</v>
      </c>
      <c r="AU393" t="str">
        <f>IF(ifood_data[[#This Row],[education_Basic]]=1,"High School",(IF(ifood_data[[#This Row],[education_Graduation]]=1,"Undergraduate Degree",(IF(SUM(AM393,AL393,AI393)&gt;0,"Master's Degree or Higher","Other")))))</f>
        <v>Undergraduate Degree</v>
      </c>
      <c r="AV393" t="str">
        <f>IF(ifood_data[[#All],[Income]]&gt;75000,"75K+",(IF(ifood_data[[#All],[Income]]&gt;50000,"50K-75K",(IF(ifood_data[[#All],[Income]]&gt;35000,"35K-50K","&lt;35K")))))</f>
        <v>75K+</v>
      </c>
      <c r="AW393" t="str">
        <f>IF(ifood_data[[#All],[Age]]&gt;60,"60+",(IF(ifood_data[[#All],[Age]]&gt;50,"50-60",(IF(ifood_data[[#All],[Age]]&gt;40,"40-50",(IF(ifood_data[[#All],[Age]]&gt;30,"30-40","&lt;30")))))))</f>
        <v>60+</v>
      </c>
      <c r="AX393">
        <f t="shared" si="24"/>
        <v>35</v>
      </c>
      <c r="AY393">
        <f t="shared" si="25"/>
        <v>6</v>
      </c>
      <c r="AZ393">
        <f t="shared" si="26"/>
        <v>9</v>
      </c>
      <c r="BA393">
        <f t="shared" si="27"/>
        <v>8</v>
      </c>
      <c r="BB393">
        <f>SUM(ifood_data[[#This Row],[Recency Score]:[Monetary Score]])</f>
        <v>23</v>
      </c>
      <c r="BC393">
        <f>(_xlfn.PERCENTRANK.INC(ifood_data[[#All],[RFM]],ifood_data[[#This Row],[RFM]],1))*10</f>
        <v>8</v>
      </c>
      <c r="BD393" t="str">
        <f>VLOOKUP(ifood_data[[#This Row],[RFM Score]],'RFM Analysis'!$A$3:$B$14,2,FALSE)</f>
        <v>Loyal Customer</v>
      </c>
      <c r="BE393">
        <f>'Regression Models'!$B$101+'Regression Models'!$B$102*ifood_data[[#This Row],[Income]]+'Regression Models'!$B$103*ifood_data[[#This Row],[Age]]+'Regression Models'!$B$104*ifood_data[[#This Row],[Family]]</f>
        <v>1061.6715506691871</v>
      </c>
      <c r="BF393" t="str">
        <f>IF(ifood_data[[#This Row],[AcceptedCmpOverall]]=1,"Campaign Respondent","Non-respondent")</f>
        <v>Non-respondent</v>
      </c>
    </row>
    <row r="394" spans="1:58" x14ac:dyDescent="0.35">
      <c r="A394">
        <v>784</v>
      </c>
      <c r="B394">
        <v>80995</v>
      </c>
      <c r="C394">
        <v>0</v>
      </c>
      <c r="D394">
        <v>1</v>
      </c>
      <c r="E394">
        <v>83</v>
      </c>
      <c r="F394">
        <v>860</v>
      </c>
      <c r="G394">
        <v>28</v>
      </c>
      <c r="H394">
        <v>409</v>
      </c>
      <c r="I394">
        <v>73</v>
      </c>
      <c r="J394">
        <v>56</v>
      </c>
      <c r="K394">
        <v>56</v>
      </c>
      <c r="L394">
        <v>1</v>
      </c>
      <c r="M394">
        <v>8</v>
      </c>
      <c r="N394">
        <v>9</v>
      </c>
      <c r="O394">
        <v>4</v>
      </c>
      <c r="P394">
        <v>4</v>
      </c>
      <c r="Q394">
        <v>0</v>
      </c>
      <c r="R394">
        <v>0</v>
      </c>
      <c r="S394">
        <v>0</v>
      </c>
      <c r="T394">
        <v>0</v>
      </c>
      <c r="U394">
        <v>0</v>
      </c>
      <c r="V394">
        <f>IF(SUM(ifood_data[[#This Row],[AcceptedCmp1]:[AcceptedCmp5]])&gt;0,1,0)</f>
        <v>0</v>
      </c>
      <c r="W394">
        <v>0</v>
      </c>
      <c r="X394">
        <v>3</v>
      </c>
      <c r="Y394">
        <v>11</v>
      </c>
      <c r="Z394">
        <v>0</v>
      </c>
      <c r="AA394">
        <v>62</v>
      </c>
      <c r="AB394">
        <v>2573</v>
      </c>
      <c r="AC394" s="28">
        <f>ifood_data[[#This Row],[Customer_Days]]/365</f>
        <v>7.0493150684931507</v>
      </c>
      <c r="AD394">
        <v>0</v>
      </c>
      <c r="AE394">
        <v>0</v>
      </c>
      <c r="AF394">
        <v>0</v>
      </c>
      <c r="AG394">
        <v>0</v>
      </c>
      <c r="AH394">
        <v>1</v>
      </c>
      <c r="AI394">
        <v>0</v>
      </c>
      <c r="AJ394">
        <v>0</v>
      </c>
      <c r="AK394">
        <v>0</v>
      </c>
      <c r="AL394">
        <v>0</v>
      </c>
      <c r="AM394">
        <v>1</v>
      </c>
      <c r="AN394">
        <v>1426</v>
      </c>
      <c r="AO394">
        <v>1370</v>
      </c>
      <c r="AP394">
        <f>ifood_data[[#This Row],[MntTotal]]-ifood_data[[#This Row],[MntRegularProds]]</f>
        <v>56</v>
      </c>
      <c r="AQ394">
        <v>0</v>
      </c>
      <c r="AR394">
        <f>IF(SUM(ifood_data[[#This Row],[Kidhome]:[Teenhome]])&gt;0,1,0)</f>
        <v>1</v>
      </c>
      <c r="AS394" t="str">
        <f>IF(SUM(ifood_data[[#This Row],[Kidhome]:[Teenhome]])&gt;0,"Has Family","No Family")</f>
        <v>Has Family</v>
      </c>
      <c r="AT394" t="str">
        <f>IF(ifood_data[[#This Row],[marital_Married]]=1,"Married", (IF(ifood_data[[#This Row],[marital_Single]]=1,"Single",(IF(ifood_data[[#This Row],[marital_Divorced]]=1,"Divorced",(IF(ifood_data[[#This Row],[marital_Together]]=1,"Living Together",(IF(ifood_data[[#This Row],[marital_Widow]]=1,"Widow","Other")))))))))</f>
        <v>Widow</v>
      </c>
      <c r="AU394" t="str">
        <f>IF(ifood_data[[#This Row],[education_Basic]]=1,"High School",(IF(ifood_data[[#This Row],[education_Graduation]]=1,"Undergraduate Degree",(IF(SUM(AM394,AL394,AI394)&gt;0,"Master's Degree or Higher","Other")))))</f>
        <v>Master's Degree or Higher</v>
      </c>
      <c r="AV394" t="str">
        <f>IF(ifood_data[[#All],[Income]]&gt;75000,"75K+",(IF(ifood_data[[#All],[Income]]&gt;50000,"50K-75K",(IF(ifood_data[[#All],[Income]]&gt;35000,"35K-50K","&lt;35K")))))</f>
        <v>75K+</v>
      </c>
      <c r="AW394" t="str">
        <f>IF(ifood_data[[#All],[Age]]&gt;60,"60+",(IF(ifood_data[[#All],[Age]]&gt;50,"50-60",(IF(ifood_data[[#All],[Age]]&gt;40,"40-50",(IF(ifood_data[[#All],[Age]]&gt;30,"30-40","&lt;30")))))))</f>
        <v>60+</v>
      </c>
      <c r="AX394">
        <f t="shared" si="24"/>
        <v>26</v>
      </c>
      <c r="AY394">
        <f t="shared" si="25"/>
        <v>1.9999999999999996</v>
      </c>
      <c r="AZ394">
        <f t="shared" si="26"/>
        <v>7</v>
      </c>
      <c r="BA394">
        <f t="shared" si="27"/>
        <v>8</v>
      </c>
      <c r="BB394">
        <f>SUM(ifood_data[[#This Row],[Recency Score]:[Monetary Score]])</f>
        <v>17</v>
      </c>
      <c r="BC394">
        <f>(_xlfn.PERCENTRANK.INC(ifood_data[[#All],[RFM]],ifood_data[[#This Row],[RFM]],1))*10</f>
        <v>6</v>
      </c>
      <c r="BD394" t="str">
        <f>VLOOKUP(ifood_data[[#This Row],[RFM Score]],'RFM Analysis'!$A$3:$B$14,2,FALSE)</f>
        <v>Promising</v>
      </c>
      <c r="BE394">
        <f>'Regression Models'!$B$101+'Regression Models'!$B$102*ifood_data[[#This Row],[Income]]+'Regression Models'!$B$103*ifood_data[[#This Row],[Age]]+'Regression Models'!$B$104*ifood_data[[#This Row],[Family]]</f>
        <v>1060.1001655761634</v>
      </c>
      <c r="BF394" t="str">
        <f>IF(ifood_data[[#This Row],[AcceptedCmpOverall]]=1,"Campaign Respondent","Non-respondent")</f>
        <v>Non-respondent</v>
      </c>
    </row>
    <row r="395" spans="1:58" x14ac:dyDescent="0.35">
      <c r="A395">
        <v>1966</v>
      </c>
      <c r="B395">
        <v>65706</v>
      </c>
      <c r="C395">
        <v>0</v>
      </c>
      <c r="D395">
        <v>0</v>
      </c>
      <c r="E395">
        <v>77</v>
      </c>
      <c r="F395">
        <v>918</v>
      </c>
      <c r="G395">
        <v>10</v>
      </c>
      <c r="H395">
        <v>129</v>
      </c>
      <c r="I395">
        <v>13</v>
      </c>
      <c r="J395">
        <v>0</v>
      </c>
      <c r="K395">
        <v>129</v>
      </c>
      <c r="L395">
        <v>1</v>
      </c>
      <c r="M395">
        <v>11</v>
      </c>
      <c r="N395">
        <v>3</v>
      </c>
      <c r="O395">
        <v>12</v>
      </c>
      <c r="P395">
        <v>7</v>
      </c>
      <c r="Q395">
        <v>0</v>
      </c>
      <c r="R395">
        <v>1</v>
      </c>
      <c r="S395">
        <v>0</v>
      </c>
      <c r="T395">
        <v>1</v>
      </c>
      <c r="U395">
        <v>1</v>
      </c>
      <c r="V395">
        <f>IF(SUM(ifood_data[[#This Row],[AcceptedCmp1]:[AcceptedCmp5]])&gt;0,1,0)</f>
        <v>1</v>
      </c>
      <c r="W395">
        <v>0</v>
      </c>
      <c r="X395">
        <v>3</v>
      </c>
      <c r="Y395">
        <v>11</v>
      </c>
      <c r="Z395">
        <v>1</v>
      </c>
      <c r="AA395">
        <v>50</v>
      </c>
      <c r="AB395">
        <v>2525</v>
      </c>
      <c r="AC395" s="28">
        <f>ifood_data[[#This Row],[Customer_Days]]/365</f>
        <v>6.9178082191780819</v>
      </c>
      <c r="AD395">
        <v>1</v>
      </c>
      <c r="AE395">
        <v>0</v>
      </c>
      <c r="AF395">
        <v>0</v>
      </c>
      <c r="AG395">
        <v>0</v>
      </c>
      <c r="AH395">
        <v>0</v>
      </c>
      <c r="AI395">
        <v>1</v>
      </c>
      <c r="AJ395">
        <v>0</v>
      </c>
      <c r="AK395">
        <v>0</v>
      </c>
      <c r="AL395">
        <v>0</v>
      </c>
      <c r="AM395">
        <v>0</v>
      </c>
      <c r="AN395">
        <v>1070</v>
      </c>
      <c r="AO395">
        <v>941</v>
      </c>
      <c r="AP395">
        <f>ifood_data[[#This Row],[MntTotal]]-ifood_data[[#This Row],[MntRegularProds]]</f>
        <v>129</v>
      </c>
      <c r="AQ395">
        <v>3</v>
      </c>
      <c r="AR395">
        <f>IF(SUM(ifood_data[[#This Row],[Kidhome]:[Teenhome]])&gt;0,1,0)</f>
        <v>0</v>
      </c>
      <c r="AS395" t="str">
        <f>IF(SUM(ifood_data[[#This Row],[Kidhome]:[Teenhome]])&gt;0,"Has Family","No Family")</f>
        <v>No Family</v>
      </c>
      <c r="AT395" t="str">
        <f>IF(ifood_data[[#This Row],[marital_Married]]=1,"Married", (IF(ifood_data[[#This Row],[marital_Single]]=1,"Single",(IF(ifood_data[[#This Row],[marital_Divorced]]=1,"Divorced",(IF(ifood_data[[#This Row],[marital_Together]]=1,"Living Together",(IF(ifood_data[[#This Row],[marital_Widow]]=1,"Widow","Other")))))))))</f>
        <v>Divorced</v>
      </c>
      <c r="AU395" t="str">
        <f>IF(ifood_data[[#This Row],[education_Basic]]=1,"High School",(IF(ifood_data[[#This Row],[education_Graduation]]=1,"Undergraduate Degree",(IF(SUM(AM395,AL395,AI395)&gt;0,"Master's Degree or Higher","Other")))))</f>
        <v>Master's Degree or Higher</v>
      </c>
      <c r="AV395" t="str">
        <f>IF(ifood_data[[#All],[Income]]&gt;75000,"75K+",(IF(ifood_data[[#All],[Income]]&gt;50000,"50K-75K",(IF(ifood_data[[#All],[Income]]&gt;35000,"35K-50K","&lt;35K")))))</f>
        <v>50K-75K</v>
      </c>
      <c r="AW395" t="str">
        <f>IF(ifood_data[[#All],[Age]]&gt;60,"60+",(IF(ifood_data[[#All],[Age]]&gt;50,"50-60",(IF(ifood_data[[#All],[Age]]&gt;40,"40-50",(IF(ifood_data[[#All],[Age]]&gt;30,"30-40","&lt;30")))))))</f>
        <v>40-50</v>
      </c>
      <c r="AX395">
        <f t="shared" si="24"/>
        <v>34</v>
      </c>
      <c r="AY395">
        <f t="shared" si="25"/>
        <v>3.0000000000000004</v>
      </c>
      <c r="AZ395">
        <f t="shared" si="26"/>
        <v>9</v>
      </c>
      <c r="BA395">
        <f t="shared" si="27"/>
        <v>7</v>
      </c>
      <c r="BB395">
        <f>SUM(ifood_data[[#This Row],[Recency Score]:[Monetary Score]])</f>
        <v>19</v>
      </c>
      <c r="BC395">
        <f>(_xlfn.PERCENTRANK.INC(ifood_data[[#All],[RFM]],ifood_data[[#This Row],[RFM]],1))*10</f>
        <v>7</v>
      </c>
      <c r="BD395" t="str">
        <f>VLOOKUP(ifood_data[[#This Row],[RFM Score]],'RFM Analysis'!$A$3:$B$14,2,FALSE)</f>
        <v>Loyal Customer</v>
      </c>
      <c r="BE395">
        <f>'Regression Models'!$B$101+'Regression Models'!$B$102*ifood_data[[#This Row],[Income]]+'Regression Models'!$B$103*ifood_data[[#This Row],[Age]]+'Regression Models'!$B$104*ifood_data[[#This Row],[Family]]</f>
        <v>1060.0271894438401</v>
      </c>
      <c r="BF395" t="str">
        <f>IF(ifood_data[[#This Row],[AcceptedCmpOverall]]=1,"Campaign Respondent","Non-respondent")</f>
        <v>Campaign Respondent</v>
      </c>
    </row>
    <row r="396" spans="1:58" x14ac:dyDescent="0.35">
      <c r="A396">
        <v>1868</v>
      </c>
      <c r="B396">
        <v>65308</v>
      </c>
      <c r="C396">
        <v>0</v>
      </c>
      <c r="D396">
        <v>0</v>
      </c>
      <c r="E396">
        <v>60</v>
      </c>
      <c r="F396">
        <v>713</v>
      </c>
      <c r="G396">
        <v>0</v>
      </c>
      <c r="H396">
        <v>264</v>
      </c>
      <c r="I396">
        <v>120</v>
      </c>
      <c r="J396">
        <v>80</v>
      </c>
      <c r="K396">
        <v>34</v>
      </c>
      <c r="L396">
        <v>1</v>
      </c>
      <c r="M396">
        <v>7</v>
      </c>
      <c r="N396">
        <v>8</v>
      </c>
      <c r="O396">
        <v>12</v>
      </c>
      <c r="P396">
        <v>4</v>
      </c>
      <c r="Q396">
        <v>1</v>
      </c>
      <c r="R396">
        <v>0</v>
      </c>
      <c r="S396">
        <v>0</v>
      </c>
      <c r="T396">
        <v>0</v>
      </c>
      <c r="U396">
        <v>1</v>
      </c>
      <c r="V396">
        <f>IF(SUM(ifood_data[[#This Row],[AcceptedCmp1]:[AcceptedCmp5]])&gt;0,1,0)</f>
        <v>1</v>
      </c>
      <c r="W396">
        <v>0</v>
      </c>
      <c r="X396">
        <v>3</v>
      </c>
      <c r="Y396">
        <v>11</v>
      </c>
      <c r="Z396">
        <v>0</v>
      </c>
      <c r="AA396">
        <v>47</v>
      </c>
      <c r="AB396">
        <v>2450</v>
      </c>
      <c r="AC396" s="28">
        <f>ifood_data[[#This Row],[Customer_Days]]/365</f>
        <v>6.7123287671232879</v>
      </c>
      <c r="AD396">
        <v>0</v>
      </c>
      <c r="AE396">
        <v>1</v>
      </c>
      <c r="AF396">
        <v>0</v>
      </c>
      <c r="AG396">
        <v>0</v>
      </c>
      <c r="AH396">
        <v>0</v>
      </c>
      <c r="AI396">
        <v>0</v>
      </c>
      <c r="AJ396">
        <v>0</v>
      </c>
      <c r="AK396">
        <v>1</v>
      </c>
      <c r="AL396">
        <v>0</v>
      </c>
      <c r="AM396">
        <v>0</v>
      </c>
      <c r="AN396">
        <v>1177</v>
      </c>
      <c r="AO396">
        <v>1143</v>
      </c>
      <c r="AP396">
        <f>ifood_data[[#This Row],[MntTotal]]-ifood_data[[#This Row],[MntRegularProds]]</f>
        <v>34</v>
      </c>
      <c r="AQ396">
        <v>2</v>
      </c>
      <c r="AR396">
        <f>IF(SUM(ifood_data[[#This Row],[Kidhome]:[Teenhome]])&gt;0,1,0)</f>
        <v>0</v>
      </c>
      <c r="AS396" t="str">
        <f>IF(SUM(ifood_data[[#This Row],[Kidhome]:[Teenhome]])&gt;0,"Has Family","No Family")</f>
        <v>No Family</v>
      </c>
      <c r="AT396" t="str">
        <f>IF(ifood_data[[#This Row],[marital_Married]]=1,"Married", (IF(ifood_data[[#This Row],[marital_Single]]=1,"Single",(IF(ifood_data[[#This Row],[marital_Divorced]]=1,"Divorced",(IF(ifood_data[[#This Row],[marital_Together]]=1,"Living Together",(IF(ifood_data[[#This Row],[marital_Widow]]=1,"Widow","Other")))))))))</f>
        <v>Married</v>
      </c>
      <c r="AU396" t="str">
        <f>IF(ifood_data[[#This Row],[education_Basic]]=1,"High School",(IF(ifood_data[[#This Row],[education_Graduation]]=1,"Undergraduate Degree",(IF(SUM(AM396,AL396,AI396)&gt;0,"Master's Degree or Higher","Other")))))</f>
        <v>Undergraduate Degree</v>
      </c>
      <c r="AV396" t="str">
        <f>IF(ifood_data[[#All],[Income]]&gt;75000,"75K+",(IF(ifood_data[[#All],[Income]]&gt;50000,"50K-75K",(IF(ifood_data[[#All],[Income]]&gt;35000,"35K-50K","&lt;35K")))))</f>
        <v>50K-75K</v>
      </c>
      <c r="AW396" t="str">
        <f>IF(ifood_data[[#All],[Age]]&gt;60,"60+",(IF(ifood_data[[#All],[Age]]&gt;50,"50-60",(IF(ifood_data[[#All],[Age]]&gt;40,"40-50",(IF(ifood_data[[#All],[Age]]&gt;30,"30-40","&lt;30")))))))</f>
        <v>40-50</v>
      </c>
      <c r="AX396">
        <f t="shared" si="24"/>
        <v>32</v>
      </c>
      <c r="AY396">
        <f t="shared" si="25"/>
        <v>4</v>
      </c>
      <c r="AZ396">
        <f t="shared" si="26"/>
        <v>9</v>
      </c>
      <c r="BA396">
        <f t="shared" si="27"/>
        <v>8</v>
      </c>
      <c r="BB396">
        <f>SUM(ifood_data[[#This Row],[Recency Score]:[Monetary Score]])</f>
        <v>21</v>
      </c>
      <c r="BC396">
        <f>(_xlfn.PERCENTRANK.INC(ifood_data[[#All],[RFM]],ifood_data[[#This Row],[RFM]],1))*10</f>
        <v>8</v>
      </c>
      <c r="BD396" t="str">
        <f>VLOOKUP(ifood_data[[#This Row],[RFM Score]],'RFM Analysis'!$A$3:$B$14,2,FALSE)</f>
        <v>Loyal Customer</v>
      </c>
      <c r="BE396">
        <f>'Regression Models'!$B$101+'Regression Models'!$B$102*ifood_data[[#This Row],[Income]]+'Regression Models'!$B$103*ifood_data[[#This Row],[Age]]+'Regression Models'!$B$104*ifood_data[[#This Row],[Family]]</f>
        <v>1057.421776959251</v>
      </c>
      <c r="BF396" t="str">
        <f>IF(ifood_data[[#This Row],[AcceptedCmpOverall]]=1,"Campaign Respondent","Non-respondent")</f>
        <v>Campaign Respondent</v>
      </c>
    </row>
    <row r="397" spans="1:58" x14ac:dyDescent="0.35">
      <c r="A397">
        <v>66</v>
      </c>
      <c r="B397">
        <v>66991</v>
      </c>
      <c r="C397">
        <v>0</v>
      </c>
      <c r="D397">
        <v>0</v>
      </c>
      <c r="E397">
        <v>1</v>
      </c>
      <c r="F397">
        <v>496</v>
      </c>
      <c r="G397">
        <v>36</v>
      </c>
      <c r="H397">
        <v>460</v>
      </c>
      <c r="I397">
        <v>189</v>
      </c>
      <c r="J397">
        <v>60</v>
      </c>
      <c r="K397">
        <v>12</v>
      </c>
      <c r="L397">
        <v>3</v>
      </c>
      <c r="M397">
        <v>4</v>
      </c>
      <c r="N397">
        <v>8</v>
      </c>
      <c r="O397">
        <v>6</v>
      </c>
      <c r="P397">
        <v>3</v>
      </c>
      <c r="Q397">
        <v>0</v>
      </c>
      <c r="R397">
        <v>0</v>
      </c>
      <c r="S397">
        <v>0</v>
      </c>
      <c r="T397">
        <v>0</v>
      </c>
      <c r="U397">
        <v>0</v>
      </c>
      <c r="V397">
        <f>IF(SUM(ifood_data[[#This Row],[AcceptedCmp1]:[AcceptedCmp5]])&gt;0,1,0)</f>
        <v>0</v>
      </c>
      <c r="W397">
        <v>0</v>
      </c>
      <c r="X397">
        <v>3</v>
      </c>
      <c r="Y397">
        <v>11</v>
      </c>
      <c r="Z397">
        <v>0</v>
      </c>
      <c r="AA397">
        <v>66</v>
      </c>
      <c r="AB397">
        <v>2815</v>
      </c>
      <c r="AC397" s="28">
        <f>ifood_data[[#This Row],[Customer_Days]]/365</f>
        <v>7.7123287671232879</v>
      </c>
      <c r="AD397">
        <v>0</v>
      </c>
      <c r="AE397">
        <v>1</v>
      </c>
      <c r="AF397">
        <v>0</v>
      </c>
      <c r="AG397">
        <v>0</v>
      </c>
      <c r="AH397">
        <v>0</v>
      </c>
      <c r="AI397">
        <v>0</v>
      </c>
      <c r="AJ397">
        <v>0</v>
      </c>
      <c r="AK397">
        <v>0</v>
      </c>
      <c r="AL397">
        <v>1</v>
      </c>
      <c r="AM397">
        <v>0</v>
      </c>
      <c r="AN397">
        <v>1241</v>
      </c>
      <c r="AO397">
        <v>1229</v>
      </c>
      <c r="AP397">
        <f>ifood_data[[#This Row],[MntTotal]]-ifood_data[[#This Row],[MntRegularProds]]</f>
        <v>12</v>
      </c>
      <c r="AQ397">
        <v>0</v>
      </c>
      <c r="AR397">
        <f>IF(SUM(ifood_data[[#This Row],[Kidhome]:[Teenhome]])&gt;0,1,0)</f>
        <v>0</v>
      </c>
      <c r="AS397" t="str">
        <f>IF(SUM(ifood_data[[#This Row],[Kidhome]:[Teenhome]])&gt;0,"Has Family","No Family")</f>
        <v>No Family</v>
      </c>
      <c r="AT397" t="str">
        <f>IF(ifood_data[[#This Row],[marital_Married]]=1,"Married", (IF(ifood_data[[#This Row],[marital_Single]]=1,"Single",(IF(ifood_data[[#This Row],[marital_Divorced]]=1,"Divorced",(IF(ifood_data[[#This Row],[marital_Together]]=1,"Living Together",(IF(ifood_data[[#This Row],[marital_Widow]]=1,"Widow","Other")))))))))</f>
        <v>Married</v>
      </c>
      <c r="AU397" t="str">
        <f>IF(ifood_data[[#This Row],[education_Basic]]=1,"High School",(IF(ifood_data[[#This Row],[education_Graduation]]=1,"Undergraduate Degree",(IF(SUM(AM397,AL397,AI397)&gt;0,"Master's Degree or Higher","Other")))))</f>
        <v>Master's Degree or Higher</v>
      </c>
      <c r="AV397" t="str">
        <f>IF(ifood_data[[#All],[Income]]&gt;75000,"75K+",(IF(ifood_data[[#All],[Income]]&gt;50000,"50K-75K",(IF(ifood_data[[#All],[Income]]&gt;35000,"35K-50K","&lt;35K")))))</f>
        <v>50K-75K</v>
      </c>
      <c r="AW397" t="str">
        <f>IF(ifood_data[[#All],[Age]]&gt;60,"60+",(IF(ifood_data[[#All],[Age]]&gt;50,"50-60",(IF(ifood_data[[#All],[Age]]&gt;40,"40-50",(IF(ifood_data[[#All],[Age]]&gt;30,"30-40","&lt;30")))))))</f>
        <v>60+</v>
      </c>
      <c r="AX397">
        <f t="shared" si="24"/>
        <v>24</v>
      </c>
      <c r="AY397">
        <f t="shared" si="25"/>
        <v>10</v>
      </c>
      <c r="AZ397">
        <f t="shared" si="26"/>
        <v>6</v>
      </c>
      <c r="BA397">
        <f t="shared" si="27"/>
        <v>8</v>
      </c>
      <c r="BB397">
        <f>SUM(ifood_data[[#This Row],[Recency Score]:[Monetary Score]])</f>
        <v>24</v>
      </c>
      <c r="BC397">
        <f>(_xlfn.PERCENTRANK.INC(ifood_data[[#All],[RFM]],ifood_data[[#This Row],[RFM]],1))*10</f>
        <v>9</v>
      </c>
      <c r="BD397" t="str">
        <f>VLOOKUP(ifood_data[[#This Row],[RFM Score]],'RFM Analysis'!$A$3:$B$14,2,FALSE)</f>
        <v>Top Customer</v>
      </c>
      <c r="BE397">
        <f>'Regression Models'!$B$101+'Regression Models'!$B$102*ifood_data[[#This Row],[Income]]+'Regression Models'!$B$103*ifood_data[[#This Row],[Age]]+'Regression Models'!$B$104*ifood_data[[#This Row],[Family]]</f>
        <v>1056.8437312464414</v>
      </c>
      <c r="BF397" t="str">
        <f>IF(ifood_data[[#This Row],[AcceptedCmpOverall]]=1,"Campaign Respondent","Non-respondent")</f>
        <v>Non-respondent</v>
      </c>
    </row>
    <row r="398" spans="1:58" x14ac:dyDescent="0.35">
      <c r="A398">
        <v>648</v>
      </c>
      <c r="B398">
        <v>65777</v>
      </c>
      <c r="C398">
        <v>0</v>
      </c>
      <c r="D398">
        <v>0</v>
      </c>
      <c r="E398">
        <v>87</v>
      </c>
      <c r="F398">
        <v>565</v>
      </c>
      <c r="G398">
        <v>32</v>
      </c>
      <c r="H398">
        <v>435</v>
      </c>
      <c r="I398">
        <v>28</v>
      </c>
      <c r="J398">
        <v>32</v>
      </c>
      <c r="K398">
        <v>54</v>
      </c>
      <c r="L398">
        <v>1</v>
      </c>
      <c r="M398">
        <v>2</v>
      </c>
      <c r="N398">
        <v>8</v>
      </c>
      <c r="O398">
        <v>6</v>
      </c>
      <c r="P398">
        <v>1</v>
      </c>
      <c r="Q398">
        <v>0</v>
      </c>
      <c r="R398">
        <v>0</v>
      </c>
      <c r="S398">
        <v>0</v>
      </c>
      <c r="T398">
        <v>0</v>
      </c>
      <c r="U398">
        <v>0</v>
      </c>
      <c r="V398">
        <f>IF(SUM(ifood_data[[#This Row],[AcceptedCmp1]:[AcceptedCmp5]])&gt;0,1,0)</f>
        <v>0</v>
      </c>
      <c r="W398">
        <v>0</v>
      </c>
      <c r="X398">
        <v>3</v>
      </c>
      <c r="Y398">
        <v>11</v>
      </c>
      <c r="Z398">
        <v>0</v>
      </c>
      <c r="AA398">
        <v>53</v>
      </c>
      <c r="AB398">
        <v>2351</v>
      </c>
      <c r="AC398" s="28">
        <f>ifood_data[[#This Row],[Customer_Days]]/365</f>
        <v>6.441095890410959</v>
      </c>
      <c r="AD398">
        <v>0</v>
      </c>
      <c r="AE398">
        <v>0</v>
      </c>
      <c r="AF398">
        <v>0</v>
      </c>
      <c r="AG398">
        <v>1</v>
      </c>
      <c r="AH398">
        <v>0</v>
      </c>
      <c r="AI398">
        <v>0</v>
      </c>
      <c r="AJ398">
        <v>0</v>
      </c>
      <c r="AK398">
        <v>1</v>
      </c>
      <c r="AL398">
        <v>0</v>
      </c>
      <c r="AM398">
        <v>0</v>
      </c>
      <c r="AN398">
        <v>1092</v>
      </c>
      <c r="AO398">
        <v>1038</v>
      </c>
      <c r="AP398">
        <f>ifood_data[[#This Row],[MntTotal]]-ifood_data[[#This Row],[MntRegularProds]]</f>
        <v>54</v>
      </c>
      <c r="AQ398">
        <v>0</v>
      </c>
      <c r="AR398">
        <f>IF(SUM(ifood_data[[#This Row],[Kidhome]:[Teenhome]])&gt;0,1,0)</f>
        <v>0</v>
      </c>
      <c r="AS398" t="str">
        <f>IF(SUM(ifood_data[[#This Row],[Kidhome]:[Teenhome]])&gt;0,"Has Family","No Family")</f>
        <v>No Family</v>
      </c>
      <c r="AT398" t="str">
        <f>IF(ifood_data[[#This Row],[marital_Married]]=1,"Married", (IF(ifood_data[[#This Row],[marital_Single]]=1,"Single",(IF(ifood_data[[#This Row],[marital_Divorced]]=1,"Divorced",(IF(ifood_data[[#This Row],[marital_Together]]=1,"Living Together",(IF(ifood_data[[#This Row],[marital_Widow]]=1,"Widow","Other")))))))))</f>
        <v>Living Together</v>
      </c>
      <c r="AU398" t="str">
        <f>IF(ifood_data[[#This Row],[education_Basic]]=1,"High School",(IF(ifood_data[[#This Row],[education_Graduation]]=1,"Undergraduate Degree",(IF(SUM(AM398,AL398,AI398)&gt;0,"Master's Degree or Higher","Other")))))</f>
        <v>Undergraduate Degree</v>
      </c>
      <c r="AV398" t="str">
        <f>IF(ifood_data[[#All],[Income]]&gt;75000,"75K+",(IF(ifood_data[[#All],[Income]]&gt;50000,"50K-75K",(IF(ifood_data[[#All],[Income]]&gt;35000,"35K-50K","&lt;35K")))))</f>
        <v>50K-75K</v>
      </c>
      <c r="AW398" t="str">
        <f>IF(ifood_data[[#All],[Age]]&gt;60,"60+",(IF(ifood_data[[#All],[Age]]&gt;50,"50-60",(IF(ifood_data[[#All],[Age]]&gt;40,"40-50",(IF(ifood_data[[#All],[Age]]&gt;30,"30-40","&lt;30")))))))</f>
        <v>50-60</v>
      </c>
      <c r="AX398">
        <f t="shared" si="24"/>
        <v>18</v>
      </c>
      <c r="AY398">
        <f t="shared" si="25"/>
        <v>1.9999999999999996</v>
      </c>
      <c r="AZ398">
        <f t="shared" si="26"/>
        <v>4</v>
      </c>
      <c r="BA398">
        <f t="shared" si="27"/>
        <v>7</v>
      </c>
      <c r="BB398">
        <f>SUM(ifood_data[[#This Row],[Recency Score]:[Monetary Score]])</f>
        <v>13</v>
      </c>
      <c r="BC398">
        <f>(_xlfn.PERCENTRANK.INC(ifood_data[[#All],[RFM]],ifood_data[[#This Row],[RFM]],1))*10</f>
        <v>3</v>
      </c>
      <c r="BD398" t="str">
        <f>VLOOKUP(ifood_data[[#This Row],[RFM Score]],'RFM Analysis'!$A$3:$B$14,2,FALSE)</f>
        <v>At Risk</v>
      </c>
      <c r="BE398">
        <f>'Regression Models'!$B$101+'Regression Models'!$B$102*ifood_data[[#This Row],[Income]]+'Regression Models'!$B$103*ifood_data[[#This Row],[Age]]+'Regression Models'!$B$104*ifood_data[[#This Row],[Family]]</f>
        <v>1055.9654747453742</v>
      </c>
      <c r="BF398" t="str">
        <f>IF(ifood_data[[#This Row],[AcceptedCmpOverall]]=1,"Campaign Respondent","Non-respondent")</f>
        <v>Non-respondent</v>
      </c>
    </row>
    <row r="399" spans="1:58" x14ac:dyDescent="0.35">
      <c r="A399">
        <v>1135</v>
      </c>
      <c r="B399">
        <v>66636</v>
      </c>
      <c r="C399">
        <v>0</v>
      </c>
      <c r="D399">
        <v>0</v>
      </c>
      <c r="E399">
        <v>64</v>
      </c>
      <c r="F399">
        <v>291</v>
      </c>
      <c r="G399">
        <v>10</v>
      </c>
      <c r="H399">
        <v>689</v>
      </c>
      <c r="I399">
        <v>84</v>
      </c>
      <c r="J399">
        <v>10</v>
      </c>
      <c r="K399">
        <v>0</v>
      </c>
      <c r="L399">
        <v>1</v>
      </c>
      <c r="M399">
        <v>3</v>
      </c>
      <c r="N399">
        <v>4</v>
      </c>
      <c r="O399">
        <v>9</v>
      </c>
      <c r="P399">
        <v>1</v>
      </c>
      <c r="Q399">
        <v>0</v>
      </c>
      <c r="R399">
        <v>0</v>
      </c>
      <c r="S399">
        <v>0</v>
      </c>
      <c r="T399">
        <v>0</v>
      </c>
      <c r="U399">
        <v>0</v>
      </c>
      <c r="V399">
        <f>IF(SUM(ifood_data[[#This Row],[AcceptedCmp1]:[AcceptedCmp5]])&gt;0,1,0)</f>
        <v>0</v>
      </c>
      <c r="W399">
        <v>0</v>
      </c>
      <c r="X399">
        <v>3</v>
      </c>
      <c r="Y399">
        <v>11</v>
      </c>
      <c r="Z399">
        <v>0</v>
      </c>
      <c r="AA399">
        <v>63</v>
      </c>
      <c r="AB399">
        <v>2475</v>
      </c>
      <c r="AC399" s="28">
        <f>ifood_data[[#This Row],[Customer_Days]]/365</f>
        <v>6.7808219178082192</v>
      </c>
      <c r="AD399">
        <v>0</v>
      </c>
      <c r="AE399">
        <v>0</v>
      </c>
      <c r="AF399">
        <v>0</v>
      </c>
      <c r="AG399">
        <v>1</v>
      </c>
      <c r="AH399">
        <v>0</v>
      </c>
      <c r="AI399">
        <v>0</v>
      </c>
      <c r="AJ399">
        <v>0</v>
      </c>
      <c r="AK399">
        <v>0</v>
      </c>
      <c r="AL399">
        <v>1</v>
      </c>
      <c r="AM399">
        <v>0</v>
      </c>
      <c r="AN399">
        <v>1084</v>
      </c>
      <c r="AO399">
        <v>1084</v>
      </c>
      <c r="AP399">
        <f>ifood_data[[#This Row],[MntTotal]]-ifood_data[[#This Row],[MntRegularProds]]</f>
        <v>0</v>
      </c>
      <c r="AQ399">
        <v>0</v>
      </c>
      <c r="AR399">
        <f>IF(SUM(ifood_data[[#This Row],[Kidhome]:[Teenhome]])&gt;0,1,0)</f>
        <v>0</v>
      </c>
      <c r="AS399" t="str">
        <f>IF(SUM(ifood_data[[#This Row],[Kidhome]:[Teenhome]])&gt;0,"Has Family","No Family")</f>
        <v>No Family</v>
      </c>
      <c r="AT399" t="str">
        <f>IF(ifood_data[[#This Row],[marital_Married]]=1,"Married", (IF(ifood_data[[#This Row],[marital_Single]]=1,"Single",(IF(ifood_data[[#This Row],[marital_Divorced]]=1,"Divorced",(IF(ifood_data[[#This Row],[marital_Together]]=1,"Living Together",(IF(ifood_data[[#This Row],[marital_Widow]]=1,"Widow","Other")))))))))</f>
        <v>Living Together</v>
      </c>
      <c r="AU399" t="str">
        <f>IF(ifood_data[[#This Row],[education_Basic]]=1,"High School",(IF(ifood_data[[#This Row],[education_Graduation]]=1,"Undergraduate Degree",(IF(SUM(AM399,AL399,AI399)&gt;0,"Master's Degree or Higher","Other")))))</f>
        <v>Master's Degree or Higher</v>
      </c>
      <c r="AV399" t="str">
        <f>IF(ifood_data[[#All],[Income]]&gt;75000,"75K+",(IF(ifood_data[[#All],[Income]]&gt;50000,"50K-75K",(IF(ifood_data[[#All],[Income]]&gt;35000,"35K-50K","&lt;35K")))))</f>
        <v>50K-75K</v>
      </c>
      <c r="AW399" t="str">
        <f>IF(ifood_data[[#All],[Age]]&gt;60,"60+",(IF(ifood_data[[#All],[Age]]&gt;50,"50-60",(IF(ifood_data[[#All],[Age]]&gt;40,"40-50",(IF(ifood_data[[#All],[Age]]&gt;30,"30-40","&lt;30")))))))</f>
        <v>60+</v>
      </c>
      <c r="AX399">
        <f t="shared" si="24"/>
        <v>18</v>
      </c>
      <c r="AY399">
        <f t="shared" si="25"/>
        <v>4</v>
      </c>
      <c r="AZ399">
        <f t="shared" si="26"/>
        <v>4</v>
      </c>
      <c r="BA399">
        <f t="shared" si="27"/>
        <v>7</v>
      </c>
      <c r="BB399">
        <f>SUM(ifood_data[[#This Row],[Recency Score]:[Monetary Score]])</f>
        <v>15</v>
      </c>
      <c r="BC399">
        <f>(_xlfn.PERCENTRANK.INC(ifood_data[[#All],[RFM]],ifood_data[[#This Row],[RFM]],1))*10</f>
        <v>4</v>
      </c>
      <c r="BD399" t="str">
        <f>VLOOKUP(ifood_data[[#This Row],[RFM Score]],'RFM Analysis'!$A$3:$B$14,2,FALSE)</f>
        <v>At Risk</v>
      </c>
      <c r="BE399">
        <f>'Regression Models'!$B$101+'Regression Models'!$B$102*ifood_data[[#This Row],[Income]]+'Regression Models'!$B$103*ifood_data[[#This Row],[Age]]+'Regression Models'!$B$104*ifood_data[[#This Row],[Family]]</f>
        <v>1055.1150357920403</v>
      </c>
      <c r="BF399" t="str">
        <f>IF(ifood_data[[#This Row],[AcceptedCmpOverall]]=1,"Campaign Respondent","Non-respondent")</f>
        <v>Non-respondent</v>
      </c>
    </row>
    <row r="400" spans="1:58" x14ac:dyDescent="0.35">
      <c r="A400">
        <v>1655</v>
      </c>
      <c r="B400">
        <v>63207</v>
      </c>
      <c r="C400">
        <v>0</v>
      </c>
      <c r="D400">
        <v>0</v>
      </c>
      <c r="E400">
        <v>68</v>
      </c>
      <c r="F400">
        <v>438</v>
      </c>
      <c r="G400">
        <v>169</v>
      </c>
      <c r="H400">
        <v>565</v>
      </c>
      <c r="I400">
        <v>91</v>
      </c>
      <c r="J400">
        <v>169</v>
      </c>
      <c r="K400">
        <v>70</v>
      </c>
      <c r="L400">
        <v>1</v>
      </c>
      <c r="M400">
        <v>2</v>
      </c>
      <c r="N400">
        <v>3</v>
      </c>
      <c r="O400">
        <v>6</v>
      </c>
      <c r="P400">
        <v>7</v>
      </c>
      <c r="Q400">
        <v>1</v>
      </c>
      <c r="R400">
        <v>0</v>
      </c>
      <c r="S400">
        <v>0</v>
      </c>
      <c r="T400">
        <v>0</v>
      </c>
      <c r="U400">
        <v>0</v>
      </c>
      <c r="V400">
        <f>IF(SUM(ifood_data[[#This Row],[AcceptedCmp1]:[AcceptedCmp5]])&gt;0,1,0)</f>
        <v>1</v>
      </c>
      <c r="W400">
        <v>0</v>
      </c>
      <c r="X400">
        <v>3</v>
      </c>
      <c r="Y400">
        <v>11</v>
      </c>
      <c r="Z400">
        <v>0</v>
      </c>
      <c r="AA400">
        <v>28</v>
      </c>
      <c r="AB400">
        <v>2684</v>
      </c>
      <c r="AC400" s="28">
        <f>ifood_data[[#This Row],[Customer_Days]]/365</f>
        <v>7.353424657534247</v>
      </c>
      <c r="AD400">
        <v>0</v>
      </c>
      <c r="AE400">
        <v>0</v>
      </c>
      <c r="AF400">
        <v>0</v>
      </c>
      <c r="AG400">
        <v>1</v>
      </c>
      <c r="AH400">
        <v>0</v>
      </c>
      <c r="AI400">
        <v>0</v>
      </c>
      <c r="AJ400">
        <v>0</v>
      </c>
      <c r="AK400">
        <v>1</v>
      </c>
      <c r="AL400">
        <v>0</v>
      </c>
      <c r="AM400">
        <v>0</v>
      </c>
      <c r="AN400">
        <v>1432</v>
      </c>
      <c r="AO400">
        <v>1362</v>
      </c>
      <c r="AP400">
        <f>ifood_data[[#This Row],[MntTotal]]-ifood_data[[#This Row],[MntRegularProds]]</f>
        <v>70</v>
      </c>
      <c r="AQ400">
        <v>1</v>
      </c>
      <c r="AR400">
        <f>IF(SUM(ifood_data[[#This Row],[Kidhome]:[Teenhome]])&gt;0,1,0)</f>
        <v>0</v>
      </c>
      <c r="AS400" t="str">
        <f>IF(SUM(ifood_data[[#This Row],[Kidhome]:[Teenhome]])&gt;0,"Has Family","No Family")</f>
        <v>No Family</v>
      </c>
      <c r="AT400" t="str">
        <f>IF(ifood_data[[#This Row],[marital_Married]]=1,"Married", (IF(ifood_data[[#This Row],[marital_Single]]=1,"Single",(IF(ifood_data[[#This Row],[marital_Divorced]]=1,"Divorced",(IF(ifood_data[[#This Row],[marital_Together]]=1,"Living Together",(IF(ifood_data[[#This Row],[marital_Widow]]=1,"Widow","Other")))))))))</f>
        <v>Living Together</v>
      </c>
      <c r="AU400" t="str">
        <f>IF(ifood_data[[#This Row],[education_Basic]]=1,"High School",(IF(ifood_data[[#This Row],[education_Graduation]]=1,"Undergraduate Degree",(IF(SUM(AM400,AL400,AI400)&gt;0,"Master's Degree or Higher","Other")))))</f>
        <v>Undergraduate Degree</v>
      </c>
      <c r="AV400" t="str">
        <f>IF(ifood_data[[#All],[Income]]&gt;75000,"75K+",(IF(ifood_data[[#All],[Income]]&gt;50000,"50K-75K",(IF(ifood_data[[#All],[Income]]&gt;35000,"35K-50K","&lt;35K")))))</f>
        <v>50K-75K</v>
      </c>
      <c r="AW400" t="str">
        <f>IF(ifood_data[[#All],[Age]]&gt;60,"60+",(IF(ifood_data[[#All],[Age]]&gt;50,"50-60",(IF(ifood_data[[#All],[Age]]&gt;40,"40-50",(IF(ifood_data[[#All],[Age]]&gt;30,"30-40","&lt;30")))))))</f>
        <v>&lt;30</v>
      </c>
      <c r="AX400">
        <f t="shared" si="24"/>
        <v>19</v>
      </c>
      <c r="AY400">
        <f t="shared" si="25"/>
        <v>4</v>
      </c>
      <c r="AZ400">
        <f t="shared" si="26"/>
        <v>4</v>
      </c>
      <c r="BA400">
        <f t="shared" si="27"/>
        <v>8</v>
      </c>
      <c r="BB400">
        <f>SUM(ifood_data[[#This Row],[Recency Score]:[Monetary Score]])</f>
        <v>16</v>
      </c>
      <c r="BC400">
        <f>(_xlfn.PERCENTRANK.INC(ifood_data[[#All],[RFM]],ifood_data[[#This Row],[RFM]],1))*10</f>
        <v>5</v>
      </c>
      <c r="BD400" t="str">
        <f>VLOOKUP(ifood_data[[#This Row],[RFM Score]],'RFM Analysis'!$A$3:$B$14,2,FALSE)</f>
        <v>Promising</v>
      </c>
      <c r="BE400">
        <f>'Regression Models'!$B$101+'Regression Models'!$B$102*ifood_data[[#This Row],[Income]]+'Regression Models'!$B$103*ifood_data[[#This Row],[Age]]+'Regression Models'!$B$104*ifood_data[[#This Row],[Family]]</f>
        <v>1049.4773175879109</v>
      </c>
      <c r="BF400" t="str">
        <f>IF(ifood_data[[#This Row],[AcceptedCmpOverall]]=1,"Campaign Respondent","Non-respondent")</f>
        <v>Campaign Respondent</v>
      </c>
    </row>
    <row r="401" spans="1:58" x14ac:dyDescent="0.35">
      <c r="A401">
        <v>616</v>
      </c>
      <c r="B401">
        <v>78710</v>
      </c>
      <c r="C401">
        <v>0</v>
      </c>
      <c r="D401">
        <v>1</v>
      </c>
      <c r="E401">
        <v>42</v>
      </c>
      <c r="F401">
        <v>721</v>
      </c>
      <c r="G401">
        <v>0</v>
      </c>
      <c r="H401">
        <v>152</v>
      </c>
      <c r="I401">
        <v>119</v>
      </c>
      <c r="J401">
        <v>50</v>
      </c>
      <c r="K401">
        <v>50</v>
      </c>
      <c r="L401">
        <v>3</v>
      </c>
      <c r="M401">
        <v>7</v>
      </c>
      <c r="N401">
        <v>6</v>
      </c>
      <c r="O401">
        <v>12</v>
      </c>
      <c r="P401">
        <v>4</v>
      </c>
      <c r="Q401">
        <v>0</v>
      </c>
      <c r="R401">
        <v>0</v>
      </c>
      <c r="S401">
        <v>0</v>
      </c>
      <c r="T401">
        <v>0</v>
      </c>
      <c r="U401">
        <v>0</v>
      </c>
      <c r="V401">
        <f>IF(SUM(ifood_data[[#This Row],[AcceptedCmp1]:[AcceptedCmp5]])&gt;0,1,0)</f>
        <v>0</v>
      </c>
      <c r="W401">
        <v>0</v>
      </c>
      <c r="X401">
        <v>3</v>
      </c>
      <c r="Y401">
        <v>11</v>
      </c>
      <c r="Z401">
        <v>0</v>
      </c>
      <c r="AA401">
        <v>43</v>
      </c>
      <c r="AB401">
        <v>2196</v>
      </c>
      <c r="AC401" s="28">
        <f>ifood_data[[#This Row],[Customer_Days]]/365</f>
        <v>6.0164383561643833</v>
      </c>
      <c r="AD401">
        <v>0</v>
      </c>
      <c r="AE401">
        <v>1</v>
      </c>
      <c r="AF401">
        <v>0</v>
      </c>
      <c r="AG401">
        <v>0</v>
      </c>
      <c r="AH401">
        <v>0</v>
      </c>
      <c r="AI401">
        <v>0</v>
      </c>
      <c r="AJ401">
        <v>0</v>
      </c>
      <c r="AK401">
        <v>0</v>
      </c>
      <c r="AL401">
        <v>1</v>
      </c>
      <c r="AM401">
        <v>0</v>
      </c>
      <c r="AN401">
        <v>1042</v>
      </c>
      <c r="AO401">
        <v>992</v>
      </c>
      <c r="AP401">
        <f>ifood_data[[#This Row],[MntTotal]]-ifood_data[[#This Row],[MntRegularProds]]</f>
        <v>50</v>
      </c>
      <c r="AQ401">
        <v>0</v>
      </c>
      <c r="AR401">
        <f>IF(SUM(ifood_data[[#This Row],[Kidhome]:[Teenhome]])&gt;0,1,0)</f>
        <v>1</v>
      </c>
      <c r="AS401" t="str">
        <f>IF(SUM(ifood_data[[#This Row],[Kidhome]:[Teenhome]])&gt;0,"Has Family","No Family")</f>
        <v>Has Family</v>
      </c>
      <c r="AT401" t="str">
        <f>IF(ifood_data[[#This Row],[marital_Married]]=1,"Married", (IF(ifood_data[[#This Row],[marital_Single]]=1,"Single",(IF(ifood_data[[#This Row],[marital_Divorced]]=1,"Divorced",(IF(ifood_data[[#This Row],[marital_Together]]=1,"Living Together",(IF(ifood_data[[#This Row],[marital_Widow]]=1,"Widow","Other")))))))))</f>
        <v>Married</v>
      </c>
      <c r="AU401" t="str">
        <f>IF(ifood_data[[#This Row],[education_Basic]]=1,"High School",(IF(ifood_data[[#This Row],[education_Graduation]]=1,"Undergraduate Degree",(IF(SUM(AM401,AL401,AI401)&gt;0,"Master's Degree or Higher","Other")))))</f>
        <v>Master's Degree or Higher</v>
      </c>
      <c r="AV401" t="str">
        <f>IF(ifood_data[[#All],[Income]]&gt;75000,"75K+",(IF(ifood_data[[#All],[Income]]&gt;50000,"50K-75K",(IF(ifood_data[[#All],[Income]]&gt;35000,"35K-50K","&lt;35K")))))</f>
        <v>75K+</v>
      </c>
      <c r="AW401" t="str">
        <f>IF(ifood_data[[#All],[Age]]&gt;60,"60+",(IF(ifood_data[[#All],[Age]]&gt;50,"50-60",(IF(ifood_data[[#All],[Age]]&gt;40,"40-50",(IF(ifood_data[[#All],[Age]]&gt;30,"30-40","&lt;30")))))))</f>
        <v>40-50</v>
      </c>
      <c r="AX401">
        <f t="shared" si="24"/>
        <v>32</v>
      </c>
      <c r="AY401">
        <f t="shared" si="25"/>
        <v>6</v>
      </c>
      <c r="AZ401">
        <f t="shared" si="26"/>
        <v>9</v>
      </c>
      <c r="BA401">
        <f t="shared" si="27"/>
        <v>7</v>
      </c>
      <c r="BB401">
        <f>SUM(ifood_data[[#This Row],[Recency Score]:[Monetary Score]])</f>
        <v>22</v>
      </c>
      <c r="BC401">
        <f>(_xlfn.PERCENTRANK.INC(ifood_data[[#All],[RFM]],ifood_data[[#This Row],[RFM]],1))*10</f>
        <v>8</v>
      </c>
      <c r="BD401" t="str">
        <f>VLOOKUP(ifood_data[[#This Row],[RFM Score]],'RFM Analysis'!$A$3:$B$14,2,FALSE)</f>
        <v>Loyal Customer</v>
      </c>
      <c r="BE401">
        <f>'Regression Models'!$B$101+'Regression Models'!$B$102*ifood_data[[#This Row],[Income]]+'Regression Models'!$B$103*ifood_data[[#This Row],[Age]]+'Regression Models'!$B$104*ifood_data[[#This Row],[Family]]</f>
        <v>1048.4041728663456</v>
      </c>
      <c r="BF401" t="str">
        <f>IF(ifood_data[[#This Row],[AcceptedCmpOverall]]=1,"Campaign Respondent","Non-respondent")</f>
        <v>Non-respondent</v>
      </c>
    </row>
    <row r="402" spans="1:58" x14ac:dyDescent="0.35">
      <c r="A402">
        <v>663</v>
      </c>
      <c r="B402">
        <v>78901</v>
      </c>
      <c r="C402">
        <v>0</v>
      </c>
      <c r="D402">
        <v>1</v>
      </c>
      <c r="E402">
        <v>99</v>
      </c>
      <c r="F402">
        <v>321</v>
      </c>
      <c r="G402">
        <v>11</v>
      </c>
      <c r="H402">
        <v>309</v>
      </c>
      <c r="I402">
        <v>33</v>
      </c>
      <c r="J402">
        <v>26</v>
      </c>
      <c r="K402">
        <v>34</v>
      </c>
      <c r="L402">
        <v>3</v>
      </c>
      <c r="M402">
        <v>9</v>
      </c>
      <c r="N402">
        <v>3</v>
      </c>
      <c r="O402">
        <v>5</v>
      </c>
      <c r="P402">
        <v>4</v>
      </c>
      <c r="Q402">
        <v>0</v>
      </c>
      <c r="R402">
        <v>0</v>
      </c>
      <c r="S402">
        <v>0</v>
      </c>
      <c r="T402">
        <v>0</v>
      </c>
      <c r="U402">
        <v>0</v>
      </c>
      <c r="V402">
        <f>IF(SUM(ifood_data[[#This Row],[AcceptedCmp1]:[AcceptedCmp5]])&gt;0,1,0)</f>
        <v>0</v>
      </c>
      <c r="W402">
        <v>0</v>
      </c>
      <c r="X402">
        <v>3</v>
      </c>
      <c r="Y402">
        <v>11</v>
      </c>
      <c r="Z402">
        <v>0</v>
      </c>
      <c r="AA402">
        <v>47</v>
      </c>
      <c r="AB402">
        <v>2444</v>
      </c>
      <c r="AC402" s="28">
        <f>ifood_data[[#This Row],[Customer_Days]]/365</f>
        <v>6.6958904109589037</v>
      </c>
      <c r="AD402">
        <v>1</v>
      </c>
      <c r="AE402">
        <v>0</v>
      </c>
      <c r="AF402">
        <v>0</v>
      </c>
      <c r="AG402">
        <v>0</v>
      </c>
      <c r="AH402">
        <v>0</v>
      </c>
      <c r="AI402">
        <v>0</v>
      </c>
      <c r="AJ402">
        <v>0</v>
      </c>
      <c r="AK402">
        <v>1</v>
      </c>
      <c r="AL402">
        <v>0</v>
      </c>
      <c r="AM402">
        <v>0</v>
      </c>
      <c r="AN402">
        <v>700</v>
      </c>
      <c r="AO402">
        <v>666</v>
      </c>
      <c r="AP402">
        <f>ifood_data[[#This Row],[MntTotal]]-ifood_data[[#This Row],[MntRegularProds]]</f>
        <v>34</v>
      </c>
      <c r="AQ402">
        <v>0</v>
      </c>
      <c r="AR402">
        <f>IF(SUM(ifood_data[[#This Row],[Kidhome]:[Teenhome]])&gt;0,1,0)</f>
        <v>1</v>
      </c>
      <c r="AS402" t="str">
        <f>IF(SUM(ifood_data[[#This Row],[Kidhome]:[Teenhome]])&gt;0,"Has Family","No Family")</f>
        <v>Has Family</v>
      </c>
      <c r="AT402" t="str">
        <f>IF(ifood_data[[#This Row],[marital_Married]]=1,"Married", (IF(ifood_data[[#This Row],[marital_Single]]=1,"Single",(IF(ifood_data[[#This Row],[marital_Divorced]]=1,"Divorced",(IF(ifood_data[[#This Row],[marital_Together]]=1,"Living Together",(IF(ifood_data[[#This Row],[marital_Widow]]=1,"Widow","Other")))))))))</f>
        <v>Divorced</v>
      </c>
      <c r="AU402" t="str">
        <f>IF(ifood_data[[#This Row],[education_Basic]]=1,"High School",(IF(ifood_data[[#This Row],[education_Graduation]]=1,"Undergraduate Degree",(IF(SUM(AM402,AL402,AI402)&gt;0,"Master's Degree or Higher","Other")))))</f>
        <v>Undergraduate Degree</v>
      </c>
      <c r="AV402" t="str">
        <f>IF(ifood_data[[#All],[Income]]&gt;75000,"75K+",(IF(ifood_data[[#All],[Income]]&gt;50000,"50K-75K",(IF(ifood_data[[#All],[Income]]&gt;35000,"35K-50K","&lt;35K")))))</f>
        <v>75K+</v>
      </c>
      <c r="AW402" t="str">
        <f>IF(ifood_data[[#All],[Age]]&gt;60,"60+",(IF(ifood_data[[#All],[Age]]&gt;50,"50-60",(IF(ifood_data[[#All],[Age]]&gt;40,"40-50",(IF(ifood_data[[#All],[Age]]&gt;30,"30-40","&lt;30")))))))</f>
        <v>40-50</v>
      </c>
      <c r="AX402">
        <f t="shared" si="24"/>
        <v>24</v>
      </c>
      <c r="AY402">
        <f t="shared" si="25"/>
        <v>0.99999999999999978</v>
      </c>
      <c r="AZ402">
        <f t="shared" si="26"/>
        <v>6</v>
      </c>
      <c r="BA402">
        <f t="shared" si="27"/>
        <v>6</v>
      </c>
      <c r="BB402">
        <f>SUM(ifood_data[[#This Row],[Recency Score]:[Monetary Score]])</f>
        <v>13</v>
      </c>
      <c r="BC402">
        <f>(_xlfn.PERCENTRANK.INC(ifood_data[[#All],[RFM]],ifood_data[[#This Row],[RFM]],1))*10</f>
        <v>3</v>
      </c>
      <c r="BD402" t="str">
        <f>VLOOKUP(ifood_data[[#This Row],[RFM Score]],'RFM Analysis'!$A$3:$B$14,2,FALSE)</f>
        <v>At Risk</v>
      </c>
      <c r="BE402">
        <f>'Regression Models'!$B$101+'Regression Models'!$B$102*ifood_data[[#This Row],[Income]]+'Regression Models'!$B$103*ifood_data[[#This Row],[Age]]+'Regression Models'!$B$104*ifood_data[[#This Row],[Family]]</f>
        <v>1044.9526712662532</v>
      </c>
      <c r="BF402" t="str">
        <f>IF(ifood_data[[#This Row],[AcceptedCmpOverall]]=1,"Campaign Respondent","Non-respondent")</f>
        <v>Non-respondent</v>
      </c>
    </row>
    <row r="403" spans="1:58" x14ac:dyDescent="0.35">
      <c r="A403">
        <v>1929</v>
      </c>
      <c r="B403">
        <v>65220</v>
      </c>
      <c r="C403">
        <v>0</v>
      </c>
      <c r="D403">
        <v>0</v>
      </c>
      <c r="E403">
        <v>3</v>
      </c>
      <c r="F403">
        <v>890</v>
      </c>
      <c r="G403">
        <v>63</v>
      </c>
      <c r="H403">
        <v>292</v>
      </c>
      <c r="I403">
        <v>0</v>
      </c>
      <c r="J403">
        <v>25</v>
      </c>
      <c r="K403">
        <v>12</v>
      </c>
      <c r="L403">
        <v>4</v>
      </c>
      <c r="M403">
        <v>8</v>
      </c>
      <c r="N403">
        <v>4</v>
      </c>
      <c r="O403">
        <v>7</v>
      </c>
      <c r="P403">
        <v>6</v>
      </c>
      <c r="Q403">
        <v>0</v>
      </c>
      <c r="R403">
        <v>0</v>
      </c>
      <c r="S403">
        <v>0</v>
      </c>
      <c r="T403">
        <v>0</v>
      </c>
      <c r="U403">
        <v>0</v>
      </c>
      <c r="V403">
        <f>IF(SUM(ifood_data[[#This Row],[AcceptedCmp1]:[AcceptedCmp5]])&gt;0,1,0)</f>
        <v>0</v>
      </c>
      <c r="W403">
        <v>0</v>
      </c>
      <c r="X403">
        <v>3</v>
      </c>
      <c r="Y403">
        <v>11</v>
      </c>
      <c r="Z403">
        <v>1</v>
      </c>
      <c r="AA403">
        <v>55</v>
      </c>
      <c r="AB403">
        <v>2823</v>
      </c>
      <c r="AC403" s="28">
        <f>ifood_data[[#This Row],[Customer_Days]]/365</f>
        <v>7.7342465753424658</v>
      </c>
      <c r="AD403">
        <v>0</v>
      </c>
      <c r="AE403">
        <v>0</v>
      </c>
      <c r="AF403">
        <v>0</v>
      </c>
      <c r="AG403">
        <v>1</v>
      </c>
      <c r="AH403">
        <v>0</v>
      </c>
      <c r="AI403">
        <v>0</v>
      </c>
      <c r="AJ403">
        <v>0</v>
      </c>
      <c r="AK403">
        <v>0</v>
      </c>
      <c r="AL403">
        <v>0</v>
      </c>
      <c r="AM403">
        <v>1</v>
      </c>
      <c r="AN403">
        <v>1270</v>
      </c>
      <c r="AO403">
        <v>1258</v>
      </c>
      <c r="AP403">
        <f>ifood_data[[#This Row],[MntTotal]]-ifood_data[[#This Row],[MntRegularProds]]</f>
        <v>12</v>
      </c>
      <c r="AQ403">
        <v>0</v>
      </c>
      <c r="AR403">
        <f>IF(SUM(ifood_data[[#This Row],[Kidhome]:[Teenhome]])&gt;0,1,0)</f>
        <v>0</v>
      </c>
      <c r="AS403" t="str">
        <f>IF(SUM(ifood_data[[#This Row],[Kidhome]:[Teenhome]])&gt;0,"Has Family","No Family")</f>
        <v>No Family</v>
      </c>
      <c r="AT403" t="str">
        <f>IF(ifood_data[[#This Row],[marital_Married]]=1,"Married", (IF(ifood_data[[#This Row],[marital_Single]]=1,"Single",(IF(ifood_data[[#This Row],[marital_Divorced]]=1,"Divorced",(IF(ifood_data[[#This Row],[marital_Together]]=1,"Living Together",(IF(ifood_data[[#This Row],[marital_Widow]]=1,"Widow","Other")))))))))</f>
        <v>Living Together</v>
      </c>
      <c r="AU403" t="str">
        <f>IF(ifood_data[[#This Row],[education_Basic]]=1,"High School",(IF(ifood_data[[#This Row],[education_Graduation]]=1,"Undergraduate Degree",(IF(SUM(AM403,AL403,AI403)&gt;0,"Master's Degree or Higher","Other")))))</f>
        <v>Master's Degree or Higher</v>
      </c>
      <c r="AV403" t="str">
        <f>IF(ifood_data[[#All],[Income]]&gt;75000,"75K+",(IF(ifood_data[[#All],[Income]]&gt;50000,"50K-75K",(IF(ifood_data[[#All],[Income]]&gt;35000,"35K-50K","&lt;35K")))))</f>
        <v>50K-75K</v>
      </c>
      <c r="AW403" t="str">
        <f>IF(ifood_data[[#All],[Age]]&gt;60,"60+",(IF(ifood_data[[#All],[Age]]&gt;50,"50-60",(IF(ifood_data[[#All],[Age]]&gt;40,"40-50",(IF(ifood_data[[#All],[Age]]&gt;30,"30-40","&lt;30")))))))</f>
        <v>50-60</v>
      </c>
      <c r="AX403">
        <f t="shared" si="24"/>
        <v>29</v>
      </c>
      <c r="AY403">
        <f t="shared" si="25"/>
        <v>10</v>
      </c>
      <c r="AZ403">
        <f t="shared" si="26"/>
        <v>8</v>
      </c>
      <c r="BA403">
        <f t="shared" si="27"/>
        <v>8</v>
      </c>
      <c r="BB403">
        <f>SUM(ifood_data[[#This Row],[Recency Score]:[Monetary Score]])</f>
        <v>26</v>
      </c>
      <c r="BC403">
        <f>(_xlfn.PERCENTRANK.INC(ifood_data[[#All],[RFM]],ifood_data[[#This Row],[RFM]],1))*10</f>
        <v>9</v>
      </c>
      <c r="BD403" t="str">
        <f>VLOOKUP(ifood_data[[#This Row],[RFM Score]],'RFM Analysis'!$A$3:$B$14,2,FALSE)</f>
        <v>Top Customer</v>
      </c>
      <c r="BE403">
        <f>'Regression Models'!$B$101+'Regression Models'!$B$102*ifood_data[[#This Row],[Income]]+'Regression Models'!$B$103*ifood_data[[#This Row],[Age]]+'Regression Models'!$B$104*ifood_data[[#This Row],[Family]]</f>
        <v>1040.9360527314338</v>
      </c>
      <c r="BF403" t="str">
        <f>IF(ifood_data[[#This Row],[AcceptedCmpOverall]]=1,"Campaign Respondent","Non-respondent")</f>
        <v>Non-respondent</v>
      </c>
    </row>
    <row r="404" spans="1:58" x14ac:dyDescent="0.35">
      <c r="A404">
        <v>1646</v>
      </c>
      <c r="B404">
        <v>78416</v>
      </c>
      <c r="C404">
        <v>0</v>
      </c>
      <c r="D404">
        <v>1</v>
      </c>
      <c r="E404">
        <v>99</v>
      </c>
      <c r="F404">
        <v>453</v>
      </c>
      <c r="G404">
        <v>38</v>
      </c>
      <c r="H404">
        <v>279</v>
      </c>
      <c r="I404">
        <v>188</v>
      </c>
      <c r="J404">
        <v>38</v>
      </c>
      <c r="K404">
        <v>183</v>
      </c>
      <c r="L404">
        <v>2</v>
      </c>
      <c r="M404">
        <v>7</v>
      </c>
      <c r="N404">
        <v>7</v>
      </c>
      <c r="O404">
        <v>10</v>
      </c>
      <c r="P404">
        <v>3</v>
      </c>
      <c r="Q404">
        <v>0</v>
      </c>
      <c r="R404">
        <v>0</v>
      </c>
      <c r="S404">
        <v>0</v>
      </c>
      <c r="T404">
        <v>0</v>
      </c>
      <c r="U404">
        <v>0</v>
      </c>
      <c r="V404">
        <f>IF(SUM(ifood_data[[#This Row],[AcceptedCmp1]:[AcceptedCmp5]])&gt;0,1,0)</f>
        <v>0</v>
      </c>
      <c r="W404">
        <v>0</v>
      </c>
      <c r="X404">
        <v>3</v>
      </c>
      <c r="Y404">
        <v>11</v>
      </c>
      <c r="Z404">
        <v>0</v>
      </c>
      <c r="AA404">
        <v>44</v>
      </c>
      <c r="AB404">
        <v>2161</v>
      </c>
      <c r="AC404" s="28">
        <f>ifood_data[[#This Row],[Customer_Days]]/365</f>
        <v>5.9205479452054792</v>
      </c>
      <c r="AD404">
        <v>0</v>
      </c>
      <c r="AE404">
        <v>0</v>
      </c>
      <c r="AF404">
        <v>0</v>
      </c>
      <c r="AG404">
        <v>1</v>
      </c>
      <c r="AH404">
        <v>0</v>
      </c>
      <c r="AI404">
        <v>0</v>
      </c>
      <c r="AJ404">
        <v>0</v>
      </c>
      <c r="AK404">
        <v>1</v>
      </c>
      <c r="AL404">
        <v>0</v>
      </c>
      <c r="AM404">
        <v>0</v>
      </c>
      <c r="AN404">
        <v>996</v>
      </c>
      <c r="AO404">
        <v>813</v>
      </c>
      <c r="AP404">
        <f>ifood_data[[#This Row],[MntTotal]]-ifood_data[[#This Row],[MntRegularProds]]</f>
        <v>183</v>
      </c>
      <c r="AQ404">
        <v>0</v>
      </c>
      <c r="AR404">
        <f>IF(SUM(ifood_data[[#This Row],[Kidhome]:[Teenhome]])&gt;0,1,0)</f>
        <v>1</v>
      </c>
      <c r="AS404" t="str">
        <f>IF(SUM(ifood_data[[#This Row],[Kidhome]:[Teenhome]])&gt;0,"Has Family","No Family")</f>
        <v>Has Family</v>
      </c>
      <c r="AT404" t="str">
        <f>IF(ifood_data[[#This Row],[marital_Married]]=1,"Married", (IF(ifood_data[[#This Row],[marital_Single]]=1,"Single",(IF(ifood_data[[#This Row],[marital_Divorced]]=1,"Divorced",(IF(ifood_data[[#This Row],[marital_Together]]=1,"Living Together",(IF(ifood_data[[#This Row],[marital_Widow]]=1,"Widow","Other")))))))))</f>
        <v>Living Together</v>
      </c>
      <c r="AU404" t="str">
        <f>IF(ifood_data[[#This Row],[education_Basic]]=1,"High School",(IF(ifood_data[[#This Row],[education_Graduation]]=1,"Undergraduate Degree",(IF(SUM(AM404,AL404,AI404)&gt;0,"Master's Degree or Higher","Other")))))</f>
        <v>Undergraduate Degree</v>
      </c>
      <c r="AV404" t="str">
        <f>IF(ifood_data[[#All],[Income]]&gt;75000,"75K+",(IF(ifood_data[[#All],[Income]]&gt;50000,"50K-75K",(IF(ifood_data[[#All],[Income]]&gt;35000,"35K-50K","&lt;35K")))))</f>
        <v>75K+</v>
      </c>
      <c r="AW404" t="str">
        <f>IF(ifood_data[[#All],[Age]]&gt;60,"60+",(IF(ifood_data[[#All],[Age]]&gt;50,"50-60",(IF(ifood_data[[#All],[Age]]&gt;40,"40-50",(IF(ifood_data[[#All],[Age]]&gt;30,"30-40","&lt;30")))))))</f>
        <v>40-50</v>
      </c>
      <c r="AX404">
        <f t="shared" si="24"/>
        <v>29</v>
      </c>
      <c r="AY404">
        <f t="shared" si="25"/>
        <v>0.99999999999999978</v>
      </c>
      <c r="AZ404">
        <f t="shared" si="26"/>
        <v>8</v>
      </c>
      <c r="BA404">
        <f t="shared" si="27"/>
        <v>7</v>
      </c>
      <c r="BB404">
        <f>SUM(ifood_data[[#This Row],[Recency Score]:[Monetary Score]])</f>
        <v>16</v>
      </c>
      <c r="BC404">
        <f>(_xlfn.PERCENTRANK.INC(ifood_data[[#All],[RFM]],ifood_data[[#This Row],[RFM]],1))*10</f>
        <v>5</v>
      </c>
      <c r="BD404" t="str">
        <f>VLOOKUP(ifood_data[[#This Row],[RFM Score]],'RFM Analysis'!$A$3:$B$14,2,FALSE)</f>
        <v>Promising</v>
      </c>
      <c r="BE404">
        <f>'Regression Models'!$B$101+'Regression Models'!$B$102*ifood_data[[#This Row],[Income]]+'Regression Models'!$B$103*ifood_data[[#This Row],[Age]]+'Regression Models'!$B$104*ifood_data[[#This Row],[Family]]</f>
        <v>1040.5734359531452</v>
      </c>
      <c r="BF404" t="str">
        <f>IF(ifood_data[[#This Row],[AcceptedCmpOverall]]=1,"Campaign Respondent","Non-respondent")</f>
        <v>Non-respondent</v>
      </c>
    </row>
    <row r="405" spans="1:58" x14ac:dyDescent="0.35">
      <c r="A405">
        <v>169</v>
      </c>
      <c r="B405">
        <v>66835</v>
      </c>
      <c r="C405">
        <v>0</v>
      </c>
      <c r="D405">
        <v>0</v>
      </c>
      <c r="E405">
        <v>21</v>
      </c>
      <c r="F405">
        <v>620</v>
      </c>
      <c r="G405">
        <v>26</v>
      </c>
      <c r="H405">
        <v>195</v>
      </c>
      <c r="I405">
        <v>34</v>
      </c>
      <c r="J405">
        <v>17</v>
      </c>
      <c r="K405">
        <v>141</v>
      </c>
      <c r="L405">
        <v>1</v>
      </c>
      <c r="M405">
        <v>6</v>
      </c>
      <c r="N405">
        <v>4</v>
      </c>
      <c r="O405">
        <v>13</v>
      </c>
      <c r="P405">
        <v>2</v>
      </c>
      <c r="Q405">
        <v>0</v>
      </c>
      <c r="R405">
        <v>0</v>
      </c>
      <c r="S405">
        <v>0</v>
      </c>
      <c r="T405">
        <v>0</v>
      </c>
      <c r="U405">
        <v>0</v>
      </c>
      <c r="V405">
        <f>IF(SUM(ifood_data[[#This Row],[AcceptedCmp1]:[AcceptedCmp5]])&gt;0,1,0)</f>
        <v>0</v>
      </c>
      <c r="W405">
        <v>0</v>
      </c>
      <c r="X405">
        <v>3</v>
      </c>
      <c r="Y405">
        <v>11</v>
      </c>
      <c r="Z405">
        <v>0</v>
      </c>
      <c r="AA405">
        <v>74</v>
      </c>
      <c r="AB405">
        <v>2433</v>
      </c>
      <c r="AC405" s="28">
        <f>ifood_data[[#This Row],[Customer_Days]]/365</f>
        <v>6.6657534246575345</v>
      </c>
      <c r="AD405">
        <v>0</v>
      </c>
      <c r="AE405">
        <v>1</v>
      </c>
      <c r="AF405">
        <v>0</v>
      </c>
      <c r="AG405">
        <v>0</v>
      </c>
      <c r="AH405">
        <v>0</v>
      </c>
      <c r="AI405">
        <v>0</v>
      </c>
      <c r="AJ405">
        <v>0</v>
      </c>
      <c r="AK405">
        <v>0</v>
      </c>
      <c r="AL405">
        <v>1</v>
      </c>
      <c r="AM405">
        <v>0</v>
      </c>
      <c r="AN405">
        <v>892</v>
      </c>
      <c r="AO405">
        <v>751</v>
      </c>
      <c r="AP405">
        <f>ifood_data[[#This Row],[MntTotal]]-ifood_data[[#This Row],[MntRegularProds]]</f>
        <v>141</v>
      </c>
      <c r="AQ405">
        <v>0</v>
      </c>
      <c r="AR405">
        <f>IF(SUM(ifood_data[[#This Row],[Kidhome]:[Teenhome]])&gt;0,1,0)</f>
        <v>0</v>
      </c>
      <c r="AS405" t="str">
        <f>IF(SUM(ifood_data[[#This Row],[Kidhome]:[Teenhome]])&gt;0,"Has Family","No Family")</f>
        <v>No Family</v>
      </c>
      <c r="AT405" t="str">
        <f>IF(ifood_data[[#This Row],[marital_Married]]=1,"Married", (IF(ifood_data[[#This Row],[marital_Single]]=1,"Single",(IF(ifood_data[[#This Row],[marital_Divorced]]=1,"Divorced",(IF(ifood_data[[#This Row],[marital_Together]]=1,"Living Together",(IF(ifood_data[[#This Row],[marital_Widow]]=1,"Widow","Other")))))))))</f>
        <v>Married</v>
      </c>
      <c r="AU405" t="str">
        <f>IF(ifood_data[[#This Row],[education_Basic]]=1,"High School",(IF(ifood_data[[#This Row],[education_Graduation]]=1,"Undergraduate Degree",(IF(SUM(AM405,AL405,AI405)&gt;0,"Master's Degree or Higher","Other")))))</f>
        <v>Master's Degree or Higher</v>
      </c>
      <c r="AV405" t="str">
        <f>IF(ifood_data[[#All],[Income]]&gt;75000,"75K+",(IF(ifood_data[[#All],[Income]]&gt;50000,"50K-75K",(IF(ifood_data[[#All],[Income]]&gt;35000,"35K-50K","&lt;35K")))))</f>
        <v>50K-75K</v>
      </c>
      <c r="AW405" t="str">
        <f>IF(ifood_data[[#All],[Age]]&gt;60,"60+",(IF(ifood_data[[#All],[Age]]&gt;50,"50-60",(IF(ifood_data[[#All],[Age]]&gt;40,"40-50",(IF(ifood_data[[#All],[Age]]&gt;30,"30-40","&lt;30")))))))</f>
        <v>60+</v>
      </c>
      <c r="AX405">
        <f t="shared" si="24"/>
        <v>26</v>
      </c>
      <c r="AY405">
        <f t="shared" si="25"/>
        <v>8</v>
      </c>
      <c r="AZ405">
        <f t="shared" si="26"/>
        <v>7</v>
      </c>
      <c r="BA405">
        <f t="shared" si="27"/>
        <v>7</v>
      </c>
      <c r="BB405">
        <f>SUM(ifood_data[[#This Row],[Recency Score]:[Monetary Score]])</f>
        <v>22</v>
      </c>
      <c r="BC405">
        <f>(_xlfn.PERCENTRANK.INC(ifood_data[[#All],[RFM]],ifood_data[[#This Row],[RFM]],1))*10</f>
        <v>8</v>
      </c>
      <c r="BD405" t="str">
        <f>VLOOKUP(ifood_data[[#This Row],[RFM Score]],'RFM Analysis'!$A$3:$B$14,2,FALSE)</f>
        <v>Loyal Customer</v>
      </c>
      <c r="BE405">
        <f>'Regression Models'!$B$101+'Regression Models'!$B$102*ifood_data[[#This Row],[Income]]+'Regression Models'!$B$103*ifood_data[[#This Row],[Age]]+'Regression Models'!$B$104*ifood_data[[#This Row],[Family]]</f>
        <v>1038.9715707848393</v>
      </c>
      <c r="BF405" t="str">
        <f>IF(ifood_data[[#This Row],[AcceptedCmpOverall]]=1,"Campaign Respondent","Non-respondent")</f>
        <v>Non-respondent</v>
      </c>
    </row>
    <row r="406" spans="1:58" x14ac:dyDescent="0.35">
      <c r="A406">
        <v>719</v>
      </c>
      <c r="B406">
        <v>79146</v>
      </c>
      <c r="C406">
        <v>1</v>
      </c>
      <c r="D406">
        <v>1</v>
      </c>
      <c r="E406">
        <v>33</v>
      </c>
      <c r="F406">
        <v>245</v>
      </c>
      <c r="G406">
        <v>16</v>
      </c>
      <c r="H406">
        <v>223</v>
      </c>
      <c r="I406">
        <v>21</v>
      </c>
      <c r="J406">
        <v>43</v>
      </c>
      <c r="K406">
        <v>16</v>
      </c>
      <c r="L406">
        <v>2</v>
      </c>
      <c r="M406">
        <v>8</v>
      </c>
      <c r="N406">
        <v>1</v>
      </c>
      <c r="O406">
        <v>8</v>
      </c>
      <c r="P406">
        <v>6</v>
      </c>
      <c r="Q406">
        <v>0</v>
      </c>
      <c r="R406">
        <v>0</v>
      </c>
      <c r="S406">
        <v>0</v>
      </c>
      <c r="T406">
        <v>0</v>
      </c>
      <c r="U406">
        <v>0</v>
      </c>
      <c r="V406">
        <f>IF(SUM(ifood_data[[#This Row],[AcceptedCmp1]:[AcceptedCmp5]])&gt;0,1,0)</f>
        <v>0</v>
      </c>
      <c r="W406">
        <v>0</v>
      </c>
      <c r="X406">
        <v>3</v>
      </c>
      <c r="Y406">
        <v>11</v>
      </c>
      <c r="Z406">
        <v>0</v>
      </c>
      <c r="AA406">
        <v>53</v>
      </c>
      <c r="AB406">
        <v>2225</v>
      </c>
      <c r="AC406" s="28">
        <f>ifood_data[[#This Row],[Customer_Days]]/365</f>
        <v>6.095890410958904</v>
      </c>
      <c r="AD406">
        <v>0</v>
      </c>
      <c r="AE406">
        <v>0</v>
      </c>
      <c r="AF406">
        <v>1</v>
      </c>
      <c r="AG406">
        <v>0</v>
      </c>
      <c r="AH406">
        <v>0</v>
      </c>
      <c r="AI406">
        <v>0</v>
      </c>
      <c r="AJ406">
        <v>0</v>
      </c>
      <c r="AK406">
        <v>1</v>
      </c>
      <c r="AL406">
        <v>0</v>
      </c>
      <c r="AM406">
        <v>0</v>
      </c>
      <c r="AN406">
        <v>548</v>
      </c>
      <c r="AO406">
        <v>532</v>
      </c>
      <c r="AP406">
        <f>ifood_data[[#This Row],[MntTotal]]-ifood_data[[#This Row],[MntRegularProds]]</f>
        <v>16</v>
      </c>
      <c r="AQ406">
        <v>0</v>
      </c>
      <c r="AR406">
        <f>IF(SUM(ifood_data[[#This Row],[Kidhome]:[Teenhome]])&gt;0,1,0)</f>
        <v>1</v>
      </c>
      <c r="AS406" t="str">
        <f>IF(SUM(ifood_data[[#This Row],[Kidhome]:[Teenhome]])&gt;0,"Has Family","No Family")</f>
        <v>Has Family</v>
      </c>
      <c r="AT406" t="str">
        <f>IF(ifood_data[[#This Row],[marital_Married]]=1,"Married", (IF(ifood_data[[#This Row],[marital_Single]]=1,"Single",(IF(ifood_data[[#This Row],[marital_Divorced]]=1,"Divorced",(IF(ifood_data[[#This Row],[marital_Together]]=1,"Living Together",(IF(ifood_data[[#This Row],[marital_Widow]]=1,"Widow","Other")))))))))</f>
        <v>Single</v>
      </c>
      <c r="AU406" t="str">
        <f>IF(ifood_data[[#This Row],[education_Basic]]=1,"High School",(IF(ifood_data[[#This Row],[education_Graduation]]=1,"Undergraduate Degree",(IF(SUM(AM406,AL406,AI406)&gt;0,"Master's Degree or Higher","Other")))))</f>
        <v>Undergraduate Degree</v>
      </c>
      <c r="AV406" t="str">
        <f>IF(ifood_data[[#All],[Income]]&gt;75000,"75K+",(IF(ifood_data[[#All],[Income]]&gt;50000,"50K-75K",(IF(ifood_data[[#All],[Income]]&gt;35000,"35K-50K","&lt;35K")))))</f>
        <v>75K+</v>
      </c>
      <c r="AW406" t="str">
        <f>IF(ifood_data[[#All],[Age]]&gt;60,"60+",(IF(ifood_data[[#All],[Age]]&gt;50,"50-60",(IF(ifood_data[[#All],[Age]]&gt;40,"40-50",(IF(ifood_data[[#All],[Age]]&gt;30,"30-40","&lt;30")))))))</f>
        <v>50-60</v>
      </c>
      <c r="AX406">
        <f t="shared" si="24"/>
        <v>25</v>
      </c>
      <c r="AY406">
        <f t="shared" si="25"/>
        <v>7</v>
      </c>
      <c r="AZ406">
        <f t="shared" si="26"/>
        <v>7</v>
      </c>
      <c r="BA406">
        <f t="shared" si="27"/>
        <v>5</v>
      </c>
      <c r="BB406">
        <f>SUM(ifood_data[[#This Row],[Recency Score]:[Monetary Score]])</f>
        <v>19</v>
      </c>
      <c r="BC406">
        <f>(_xlfn.PERCENTRANK.INC(ifood_data[[#All],[RFM]],ifood_data[[#This Row],[RFM]],1))*10</f>
        <v>7</v>
      </c>
      <c r="BD406" t="str">
        <f>VLOOKUP(ifood_data[[#This Row],[RFM Score]],'RFM Analysis'!$A$3:$B$14,2,FALSE)</f>
        <v>Loyal Customer</v>
      </c>
      <c r="BE406">
        <f>'Regression Models'!$B$101+'Regression Models'!$B$102*ifood_data[[#This Row],[Income]]+'Regression Models'!$B$103*ifood_data[[#This Row],[Age]]+'Regression Models'!$B$104*ifood_data[[#This Row],[Family]]</f>
        <v>1038.9292849881426</v>
      </c>
      <c r="BF406" t="str">
        <f>IF(ifood_data[[#This Row],[AcceptedCmpOverall]]=1,"Campaign Respondent","Non-respondent")</f>
        <v>Non-respondent</v>
      </c>
    </row>
    <row r="407" spans="1:58" x14ac:dyDescent="0.35">
      <c r="A407">
        <v>1894</v>
      </c>
      <c r="B407">
        <v>79823</v>
      </c>
      <c r="C407">
        <v>0</v>
      </c>
      <c r="D407">
        <v>1</v>
      </c>
      <c r="E407">
        <v>6</v>
      </c>
      <c r="F407">
        <v>835</v>
      </c>
      <c r="G407">
        <v>73</v>
      </c>
      <c r="H407">
        <v>380</v>
      </c>
      <c r="I407">
        <v>114</v>
      </c>
      <c r="J407">
        <v>73</v>
      </c>
      <c r="K407">
        <v>43</v>
      </c>
      <c r="L407">
        <v>1</v>
      </c>
      <c r="M407">
        <v>6</v>
      </c>
      <c r="N407">
        <v>9</v>
      </c>
      <c r="O407">
        <v>7</v>
      </c>
      <c r="P407">
        <v>2</v>
      </c>
      <c r="Q407">
        <v>0</v>
      </c>
      <c r="R407">
        <v>0</v>
      </c>
      <c r="S407">
        <v>0</v>
      </c>
      <c r="T407">
        <v>1</v>
      </c>
      <c r="U407">
        <v>0</v>
      </c>
      <c r="V407">
        <f>IF(SUM(ifood_data[[#This Row],[AcceptedCmp1]:[AcceptedCmp5]])&gt;0,1,0)</f>
        <v>1</v>
      </c>
      <c r="W407">
        <v>0</v>
      </c>
      <c r="X407">
        <v>3</v>
      </c>
      <c r="Y407">
        <v>11</v>
      </c>
      <c r="Z407">
        <v>0</v>
      </c>
      <c r="AA407">
        <v>61</v>
      </c>
      <c r="AB407">
        <v>2249</v>
      </c>
      <c r="AC407" s="28">
        <f>ifood_data[[#This Row],[Customer_Days]]/365</f>
        <v>6.161643835616438</v>
      </c>
      <c r="AD407">
        <v>0</v>
      </c>
      <c r="AE407">
        <v>1</v>
      </c>
      <c r="AF407">
        <v>0</v>
      </c>
      <c r="AG407">
        <v>0</v>
      </c>
      <c r="AH407">
        <v>0</v>
      </c>
      <c r="AI407">
        <v>0</v>
      </c>
      <c r="AJ407">
        <v>0</v>
      </c>
      <c r="AK407">
        <v>1</v>
      </c>
      <c r="AL407">
        <v>0</v>
      </c>
      <c r="AM407">
        <v>0</v>
      </c>
      <c r="AN407">
        <v>1475</v>
      </c>
      <c r="AO407">
        <v>1432</v>
      </c>
      <c r="AP407">
        <f>ifood_data[[#This Row],[MntTotal]]-ifood_data[[#This Row],[MntRegularProds]]</f>
        <v>43</v>
      </c>
      <c r="AQ407">
        <v>1</v>
      </c>
      <c r="AR407">
        <f>IF(SUM(ifood_data[[#This Row],[Kidhome]:[Teenhome]])&gt;0,1,0)</f>
        <v>1</v>
      </c>
      <c r="AS407" t="str">
        <f>IF(SUM(ifood_data[[#This Row],[Kidhome]:[Teenhome]])&gt;0,"Has Family","No Family")</f>
        <v>Has Family</v>
      </c>
      <c r="AT407" t="str">
        <f>IF(ifood_data[[#This Row],[marital_Married]]=1,"Married", (IF(ifood_data[[#This Row],[marital_Single]]=1,"Single",(IF(ifood_data[[#This Row],[marital_Divorced]]=1,"Divorced",(IF(ifood_data[[#This Row],[marital_Together]]=1,"Living Together",(IF(ifood_data[[#This Row],[marital_Widow]]=1,"Widow","Other")))))))))</f>
        <v>Married</v>
      </c>
      <c r="AU407" t="str">
        <f>IF(ifood_data[[#This Row],[education_Basic]]=1,"High School",(IF(ifood_data[[#This Row],[education_Graduation]]=1,"Undergraduate Degree",(IF(SUM(AM407,AL407,AI407)&gt;0,"Master's Degree or Higher","Other")))))</f>
        <v>Undergraduate Degree</v>
      </c>
      <c r="AV407" t="str">
        <f>IF(ifood_data[[#All],[Income]]&gt;75000,"75K+",(IF(ifood_data[[#All],[Income]]&gt;50000,"50K-75K",(IF(ifood_data[[#All],[Income]]&gt;35000,"35K-50K","&lt;35K")))))</f>
        <v>75K+</v>
      </c>
      <c r="AW407" t="str">
        <f>IF(ifood_data[[#All],[Age]]&gt;60,"60+",(IF(ifood_data[[#All],[Age]]&gt;50,"50-60",(IF(ifood_data[[#All],[Age]]&gt;40,"40-50",(IF(ifood_data[[#All],[Age]]&gt;30,"30-40","&lt;30")))))))</f>
        <v>60+</v>
      </c>
      <c r="AX407">
        <f t="shared" si="24"/>
        <v>25</v>
      </c>
      <c r="AY407">
        <f t="shared" si="25"/>
        <v>10</v>
      </c>
      <c r="AZ407">
        <f t="shared" si="26"/>
        <v>7</v>
      </c>
      <c r="BA407">
        <f t="shared" si="27"/>
        <v>9</v>
      </c>
      <c r="BB407">
        <f>SUM(ifood_data[[#This Row],[Recency Score]:[Monetary Score]])</f>
        <v>26</v>
      </c>
      <c r="BC407">
        <f>(_xlfn.PERCENTRANK.INC(ifood_data[[#All],[RFM]],ifood_data[[#This Row],[RFM]],1))*10</f>
        <v>9</v>
      </c>
      <c r="BD407" t="str">
        <f>VLOOKUP(ifood_data[[#This Row],[RFM Score]],'RFM Analysis'!$A$3:$B$14,2,FALSE)</f>
        <v>Top Customer</v>
      </c>
      <c r="BE407">
        <f>'Regression Models'!$B$101+'Regression Models'!$B$102*ifood_data[[#This Row],[Income]]+'Regression Models'!$B$103*ifood_data[[#This Row],[Age]]+'Regression Models'!$B$104*ifood_data[[#This Row],[Family]]</f>
        <v>1038.0409683904081</v>
      </c>
      <c r="BF407" t="str">
        <f>IF(ifood_data[[#This Row],[AcceptedCmpOverall]]=1,"Campaign Respondent","Non-respondent")</f>
        <v>Campaign Respondent</v>
      </c>
    </row>
    <row r="408" spans="1:58" x14ac:dyDescent="0.35">
      <c r="A408">
        <v>713</v>
      </c>
      <c r="B408">
        <v>63855</v>
      </c>
      <c r="C408">
        <v>0</v>
      </c>
      <c r="D408">
        <v>0</v>
      </c>
      <c r="E408">
        <v>28</v>
      </c>
      <c r="F408">
        <v>359</v>
      </c>
      <c r="G408">
        <v>35</v>
      </c>
      <c r="H408">
        <v>314</v>
      </c>
      <c r="I408">
        <v>93</v>
      </c>
      <c r="J408">
        <v>116</v>
      </c>
      <c r="K408">
        <v>89</v>
      </c>
      <c r="L408">
        <v>1</v>
      </c>
      <c r="M408">
        <v>7</v>
      </c>
      <c r="N408">
        <v>3</v>
      </c>
      <c r="O408">
        <v>13</v>
      </c>
      <c r="P408">
        <v>4</v>
      </c>
      <c r="Q408">
        <v>0</v>
      </c>
      <c r="R408">
        <v>0</v>
      </c>
      <c r="S408">
        <v>0</v>
      </c>
      <c r="T408">
        <v>0</v>
      </c>
      <c r="U408">
        <v>0</v>
      </c>
      <c r="V408">
        <f>IF(SUM(ifood_data[[#This Row],[AcceptedCmp1]:[AcceptedCmp5]])&gt;0,1,0)</f>
        <v>0</v>
      </c>
      <c r="W408">
        <v>0</v>
      </c>
      <c r="X408">
        <v>3</v>
      </c>
      <c r="Y408">
        <v>11</v>
      </c>
      <c r="Z408">
        <v>0</v>
      </c>
      <c r="AA408">
        <v>42</v>
      </c>
      <c r="AB408">
        <v>2664</v>
      </c>
      <c r="AC408" s="28">
        <f>ifood_data[[#This Row],[Customer_Days]]/365</f>
        <v>7.2986301369863016</v>
      </c>
      <c r="AD408">
        <v>0</v>
      </c>
      <c r="AE408">
        <v>0</v>
      </c>
      <c r="AF408">
        <v>0</v>
      </c>
      <c r="AG408">
        <v>1</v>
      </c>
      <c r="AH408">
        <v>0</v>
      </c>
      <c r="AI408">
        <v>1</v>
      </c>
      <c r="AJ408">
        <v>0</v>
      </c>
      <c r="AK408">
        <v>0</v>
      </c>
      <c r="AL408">
        <v>0</v>
      </c>
      <c r="AM408">
        <v>0</v>
      </c>
      <c r="AN408">
        <v>917</v>
      </c>
      <c r="AO408">
        <v>828</v>
      </c>
      <c r="AP408">
        <f>ifood_data[[#This Row],[MntTotal]]-ifood_data[[#This Row],[MntRegularProds]]</f>
        <v>89</v>
      </c>
      <c r="AQ408">
        <v>0</v>
      </c>
      <c r="AR408">
        <f>IF(SUM(ifood_data[[#This Row],[Kidhome]:[Teenhome]])&gt;0,1,0)</f>
        <v>0</v>
      </c>
      <c r="AS408" t="str">
        <f>IF(SUM(ifood_data[[#This Row],[Kidhome]:[Teenhome]])&gt;0,"Has Family","No Family")</f>
        <v>No Family</v>
      </c>
      <c r="AT408" t="str">
        <f>IF(ifood_data[[#This Row],[marital_Married]]=1,"Married", (IF(ifood_data[[#This Row],[marital_Single]]=1,"Single",(IF(ifood_data[[#This Row],[marital_Divorced]]=1,"Divorced",(IF(ifood_data[[#This Row],[marital_Together]]=1,"Living Together",(IF(ifood_data[[#This Row],[marital_Widow]]=1,"Widow","Other")))))))))</f>
        <v>Living Together</v>
      </c>
      <c r="AU408" t="str">
        <f>IF(ifood_data[[#This Row],[education_Basic]]=1,"High School",(IF(ifood_data[[#This Row],[education_Graduation]]=1,"Undergraduate Degree",(IF(SUM(AM408,AL408,AI408)&gt;0,"Master's Degree or Higher","Other")))))</f>
        <v>Master's Degree or Higher</v>
      </c>
      <c r="AV408" t="str">
        <f>IF(ifood_data[[#All],[Income]]&gt;75000,"75K+",(IF(ifood_data[[#All],[Income]]&gt;50000,"50K-75K",(IF(ifood_data[[#All],[Income]]&gt;35000,"35K-50K","&lt;35K")))))</f>
        <v>50K-75K</v>
      </c>
      <c r="AW408" t="str">
        <f>IF(ifood_data[[#All],[Age]]&gt;60,"60+",(IF(ifood_data[[#All],[Age]]&gt;50,"50-60",(IF(ifood_data[[#All],[Age]]&gt;40,"40-50",(IF(ifood_data[[#All],[Age]]&gt;30,"30-40","&lt;30")))))))</f>
        <v>40-50</v>
      </c>
      <c r="AX408">
        <f t="shared" si="24"/>
        <v>28</v>
      </c>
      <c r="AY408">
        <f t="shared" si="25"/>
        <v>8</v>
      </c>
      <c r="AZ408">
        <f t="shared" si="26"/>
        <v>8</v>
      </c>
      <c r="BA408">
        <f t="shared" si="27"/>
        <v>7</v>
      </c>
      <c r="BB408">
        <f>SUM(ifood_data[[#This Row],[Recency Score]:[Monetary Score]])</f>
        <v>23</v>
      </c>
      <c r="BC408">
        <f>(_xlfn.PERCENTRANK.INC(ifood_data[[#All],[RFM]],ifood_data[[#This Row],[RFM]],1))*10</f>
        <v>8</v>
      </c>
      <c r="BD408" t="str">
        <f>VLOOKUP(ifood_data[[#This Row],[RFM Score]],'RFM Analysis'!$A$3:$B$14,2,FALSE)</f>
        <v>Loyal Customer</v>
      </c>
      <c r="BE408">
        <f>'Regression Models'!$B$101+'Regression Models'!$B$102*ifood_data[[#This Row],[Income]]+'Regression Models'!$B$103*ifood_data[[#This Row],[Age]]+'Regression Models'!$B$104*ifood_data[[#This Row],[Family]]</f>
        <v>1036.9790922406373</v>
      </c>
      <c r="BF408" t="str">
        <f>IF(ifood_data[[#This Row],[AcceptedCmpOverall]]=1,"Campaign Respondent","Non-respondent")</f>
        <v>Non-respondent</v>
      </c>
    </row>
    <row r="409" spans="1:58" x14ac:dyDescent="0.35">
      <c r="A409">
        <v>472</v>
      </c>
      <c r="B409">
        <v>78642</v>
      </c>
      <c r="C409">
        <v>0</v>
      </c>
      <c r="D409">
        <v>1</v>
      </c>
      <c r="E409">
        <v>83</v>
      </c>
      <c r="F409">
        <v>1396</v>
      </c>
      <c r="G409">
        <v>0</v>
      </c>
      <c r="H409">
        <v>322</v>
      </c>
      <c r="I409">
        <v>46</v>
      </c>
      <c r="J409">
        <v>35</v>
      </c>
      <c r="K409">
        <v>17</v>
      </c>
      <c r="L409">
        <v>1</v>
      </c>
      <c r="M409">
        <v>4</v>
      </c>
      <c r="N409">
        <v>9</v>
      </c>
      <c r="O409">
        <v>4</v>
      </c>
      <c r="P409">
        <v>6</v>
      </c>
      <c r="Q409">
        <v>0</v>
      </c>
      <c r="R409">
        <v>0</v>
      </c>
      <c r="S409">
        <v>0</v>
      </c>
      <c r="T409">
        <v>0</v>
      </c>
      <c r="U409">
        <v>0</v>
      </c>
      <c r="V409">
        <f>IF(SUM(ifood_data[[#This Row],[AcceptedCmp1]:[AcceptedCmp5]])&gt;0,1,0)</f>
        <v>0</v>
      </c>
      <c r="W409">
        <v>0</v>
      </c>
      <c r="X409">
        <v>3</v>
      </c>
      <c r="Y409">
        <v>11</v>
      </c>
      <c r="Z409">
        <v>0</v>
      </c>
      <c r="AA409">
        <v>49</v>
      </c>
      <c r="AB409">
        <v>2593</v>
      </c>
      <c r="AC409" s="28">
        <f>ifood_data[[#This Row],[Customer_Days]]/365</f>
        <v>7.1041095890410961</v>
      </c>
      <c r="AD409">
        <v>0</v>
      </c>
      <c r="AE409">
        <v>0</v>
      </c>
      <c r="AF409">
        <v>0</v>
      </c>
      <c r="AG409">
        <v>1</v>
      </c>
      <c r="AH409">
        <v>0</v>
      </c>
      <c r="AI409">
        <v>0</v>
      </c>
      <c r="AJ409">
        <v>0</v>
      </c>
      <c r="AK409">
        <v>0</v>
      </c>
      <c r="AL409">
        <v>0</v>
      </c>
      <c r="AM409">
        <v>1</v>
      </c>
      <c r="AN409">
        <v>1799</v>
      </c>
      <c r="AO409">
        <v>1782</v>
      </c>
      <c r="AP409">
        <f>ifood_data[[#This Row],[MntTotal]]-ifood_data[[#This Row],[MntRegularProds]]</f>
        <v>17</v>
      </c>
      <c r="AQ409">
        <v>0</v>
      </c>
      <c r="AR409">
        <f>IF(SUM(ifood_data[[#This Row],[Kidhome]:[Teenhome]])&gt;0,1,0)</f>
        <v>1</v>
      </c>
      <c r="AS409" t="str">
        <f>IF(SUM(ifood_data[[#This Row],[Kidhome]:[Teenhome]])&gt;0,"Has Family","No Family")</f>
        <v>Has Family</v>
      </c>
      <c r="AT409" t="str">
        <f>IF(ifood_data[[#This Row],[marital_Married]]=1,"Married", (IF(ifood_data[[#This Row],[marital_Single]]=1,"Single",(IF(ifood_data[[#This Row],[marital_Divorced]]=1,"Divorced",(IF(ifood_data[[#This Row],[marital_Together]]=1,"Living Together",(IF(ifood_data[[#This Row],[marital_Widow]]=1,"Widow","Other")))))))))</f>
        <v>Living Together</v>
      </c>
      <c r="AU409" t="str">
        <f>IF(ifood_data[[#This Row],[education_Basic]]=1,"High School",(IF(ifood_data[[#This Row],[education_Graduation]]=1,"Undergraduate Degree",(IF(SUM(AM409,AL409,AI409)&gt;0,"Master's Degree or Higher","Other")))))</f>
        <v>Master's Degree or Higher</v>
      </c>
      <c r="AV409" t="str">
        <f>IF(ifood_data[[#All],[Income]]&gt;75000,"75K+",(IF(ifood_data[[#All],[Income]]&gt;50000,"50K-75K",(IF(ifood_data[[#All],[Income]]&gt;35000,"35K-50K","&lt;35K")))))</f>
        <v>75K+</v>
      </c>
      <c r="AW409" t="str">
        <f>IF(ifood_data[[#All],[Age]]&gt;60,"60+",(IF(ifood_data[[#All],[Age]]&gt;50,"50-60",(IF(ifood_data[[#All],[Age]]&gt;40,"40-50",(IF(ifood_data[[#All],[Age]]&gt;30,"30-40","&lt;30")))))))</f>
        <v>40-50</v>
      </c>
      <c r="AX409">
        <f t="shared" si="24"/>
        <v>24</v>
      </c>
      <c r="AY409">
        <f t="shared" si="25"/>
        <v>1.9999999999999996</v>
      </c>
      <c r="AZ409">
        <f t="shared" si="26"/>
        <v>6</v>
      </c>
      <c r="BA409">
        <f t="shared" si="27"/>
        <v>9</v>
      </c>
      <c r="BB409">
        <f>SUM(ifood_data[[#This Row],[Recency Score]:[Monetary Score]])</f>
        <v>17</v>
      </c>
      <c r="BC409">
        <f>(_xlfn.PERCENTRANK.INC(ifood_data[[#All],[RFM]],ifood_data[[#This Row],[RFM]],1))*10</f>
        <v>6</v>
      </c>
      <c r="BD409" t="str">
        <f>VLOOKUP(ifood_data[[#This Row],[RFM Score]],'RFM Analysis'!$A$3:$B$14,2,FALSE)</f>
        <v>Promising</v>
      </c>
      <c r="BE409">
        <f>'Regression Models'!$B$101+'Regression Models'!$B$102*ifood_data[[#This Row],[Income]]+'Regression Models'!$B$103*ifood_data[[#This Row],[Age]]+'Regression Models'!$B$104*ifood_data[[#This Row],[Family]]</f>
        <v>1035.999102159195</v>
      </c>
      <c r="BF409" t="str">
        <f>IF(ifood_data[[#This Row],[AcceptedCmpOverall]]=1,"Campaign Respondent","Non-respondent")</f>
        <v>Non-respondent</v>
      </c>
    </row>
    <row r="410" spans="1:58" x14ac:dyDescent="0.35">
      <c r="A410">
        <v>1036</v>
      </c>
      <c r="B410">
        <v>79803</v>
      </c>
      <c r="C410">
        <v>0</v>
      </c>
      <c r="D410">
        <v>1</v>
      </c>
      <c r="E410">
        <v>54</v>
      </c>
      <c r="F410">
        <v>574</v>
      </c>
      <c r="G410">
        <v>8</v>
      </c>
      <c r="H410">
        <v>216</v>
      </c>
      <c r="I410">
        <v>21</v>
      </c>
      <c r="J410">
        <v>16</v>
      </c>
      <c r="K410">
        <v>33</v>
      </c>
      <c r="L410">
        <v>1</v>
      </c>
      <c r="M410">
        <v>4</v>
      </c>
      <c r="N410">
        <v>3</v>
      </c>
      <c r="O410">
        <v>5</v>
      </c>
      <c r="P410">
        <v>1</v>
      </c>
      <c r="Q410">
        <v>0</v>
      </c>
      <c r="R410">
        <v>0</v>
      </c>
      <c r="S410">
        <v>0</v>
      </c>
      <c r="T410">
        <v>0</v>
      </c>
      <c r="U410">
        <v>0</v>
      </c>
      <c r="V410">
        <f>IF(SUM(ifood_data[[#This Row],[AcceptedCmp1]:[AcceptedCmp5]])&gt;0,1,0)</f>
        <v>0</v>
      </c>
      <c r="W410">
        <v>0</v>
      </c>
      <c r="X410">
        <v>3</v>
      </c>
      <c r="Y410">
        <v>11</v>
      </c>
      <c r="Z410">
        <v>0</v>
      </c>
      <c r="AA410">
        <v>62</v>
      </c>
      <c r="AB410">
        <v>2186</v>
      </c>
      <c r="AC410" s="28">
        <f>ifood_data[[#This Row],[Customer_Days]]/365</f>
        <v>5.9890410958904106</v>
      </c>
      <c r="AD410">
        <v>1</v>
      </c>
      <c r="AE410">
        <v>0</v>
      </c>
      <c r="AF410">
        <v>0</v>
      </c>
      <c r="AG410">
        <v>0</v>
      </c>
      <c r="AH410">
        <v>0</v>
      </c>
      <c r="AI410">
        <v>0</v>
      </c>
      <c r="AJ410">
        <v>0</v>
      </c>
      <c r="AK410">
        <v>1</v>
      </c>
      <c r="AL410">
        <v>0</v>
      </c>
      <c r="AM410">
        <v>0</v>
      </c>
      <c r="AN410">
        <v>835</v>
      </c>
      <c r="AO410">
        <v>802</v>
      </c>
      <c r="AP410">
        <f>ifood_data[[#This Row],[MntTotal]]-ifood_data[[#This Row],[MntRegularProds]]</f>
        <v>33</v>
      </c>
      <c r="AQ410">
        <v>0</v>
      </c>
      <c r="AR410">
        <f>IF(SUM(ifood_data[[#This Row],[Kidhome]:[Teenhome]])&gt;0,1,0)</f>
        <v>1</v>
      </c>
      <c r="AS410" t="str">
        <f>IF(SUM(ifood_data[[#This Row],[Kidhome]:[Teenhome]])&gt;0,"Has Family","No Family")</f>
        <v>Has Family</v>
      </c>
      <c r="AT410" t="str">
        <f>IF(ifood_data[[#This Row],[marital_Married]]=1,"Married", (IF(ifood_data[[#This Row],[marital_Single]]=1,"Single",(IF(ifood_data[[#This Row],[marital_Divorced]]=1,"Divorced",(IF(ifood_data[[#This Row],[marital_Together]]=1,"Living Together",(IF(ifood_data[[#This Row],[marital_Widow]]=1,"Widow","Other")))))))))</f>
        <v>Divorced</v>
      </c>
      <c r="AU410" t="str">
        <f>IF(ifood_data[[#This Row],[education_Basic]]=1,"High School",(IF(ifood_data[[#This Row],[education_Graduation]]=1,"Undergraduate Degree",(IF(SUM(AM410,AL410,AI410)&gt;0,"Master's Degree or Higher","Other")))))</f>
        <v>Undergraduate Degree</v>
      </c>
      <c r="AV410" t="str">
        <f>IF(ifood_data[[#All],[Income]]&gt;75000,"75K+",(IF(ifood_data[[#All],[Income]]&gt;50000,"50K-75K",(IF(ifood_data[[#All],[Income]]&gt;35000,"35K-50K","&lt;35K")))))</f>
        <v>75K+</v>
      </c>
      <c r="AW410" t="str">
        <f>IF(ifood_data[[#All],[Age]]&gt;60,"60+",(IF(ifood_data[[#All],[Age]]&gt;50,"50-60",(IF(ifood_data[[#All],[Age]]&gt;40,"40-50",(IF(ifood_data[[#All],[Age]]&gt;30,"30-40","&lt;30")))))))</f>
        <v>60+</v>
      </c>
      <c r="AX410">
        <f t="shared" si="24"/>
        <v>14</v>
      </c>
      <c r="AY410">
        <f t="shared" si="25"/>
        <v>5</v>
      </c>
      <c r="AZ410">
        <f t="shared" si="26"/>
        <v>2</v>
      </c>
      <c r="BA410">
        <f t="shared" si="27"/>
        <v>6</v>
      </c>
      <c r="BB410">
        <f>SUM(ifood_data[[#This Row],[Recency Score]:[Monetary Score]])</f>
        <v>13</v>
      </c>
      <c r="BC410">
        <f>(_xlfn.PERCENTRANK.INC(ifood_data[[#All],[RFM]],ifood_data[[#This Row],[RFM]],1))*10</f>
        <v>3</v>
      </c>
      <c r="BD410" t="str">
        <f>VLOOKUP(ifood_data[[#This Row],[RFM Score]],'RFM Analysis'!$A$3:$B$14,2,FALSE)</f>
        <v>At Risk</v>
      </c>
      <c r="BE410">
        <f>'Regression Models'!$B$101+'Regression Models'!$B$102*ifood_data[[#This Row],[Income]]+'Regression Models'!$B$103*ifood_data[[#This Row],[Age]]+'Regression Models'!$B$104*ifood_data[[#This Row],[Family]]</f>
        <v>1035.7967539486358</v>
      </c>
      <c r="BF410" t="str">
        <f>IF(ifood_data[[#This Row],[AcceptedCmpOverall]]=1,"Campaign Respondent","Non-respondent")</f>
        <v>Non-respondent</v>
      </c>
    </row>
    <row r="411" spans="1:58" x14ac:dyDescent="0.35">
      <c r="A411">
        <v>1389</v>
      </c>
      <c r="B411">
        <v>65492</v>
      </c>
      <c r="C411">
        <v>0</v>
      </c>
      <c r="D411">
        <v>0</v>
      </c>
      <c r="E411">
        <v>73</v>
      </c>
      <c r="F411">
        <v>247</v>
      </c>
      <c r="G411">
        <v>161</v>
      </c>
      <c r="H411">
        <v>295</v>
      </c>
      <c r="I411">
        <v>210</v>
      </c>
      <c r="J411">
        <v>85</v>
      </c>
      <c r="K411">
        <v>47</v>
      </c>
      <c r="L411">
        <v>2</v>
      </c>
      <c r="M411">
        <v>4</v>
      </c>
      <c r="N411">
        <v>7</v>
      </c>
      <c r="O411">
        <v>13</v>
      </c>
      <c r="P411">
        <v>2</v>
      </c>
      <c r="Q411">
        <v>0</v>
      </c>
      <c r="R411">
        <v>0</v>
      </c>
      <c r="S411">
        <v>0</v>
      </c>
      <c r="T411">
        <v>0</v>
      </c>
      <c r="U411">
        <v>0</v>
      </c>
      <c r="V411">
        <f>IF(SUM(ifood_data[[#This Row],[AcceptedCmp1]:[AcceptedCmp5]])&gt;0,1,0)</f>
        <v>0</v>
      </c>
      <c r="W411">
        <v>0</v>
      </c>
      <c r="X411">
        <v>3</v>
      </c>
      <c r="Y411">
        <v>11</v>
      </c>
      <c r="Z411">
        <v>0</v>
      </c>
      <c r="AA411">
        <v>61</v>
      </c>
      <c r="AB411">
        <v>2313</v>
      </c>
      <c r="AC411" s="28">
        <f>ifood_data[[#This Row],[Customer_Days]]/365</f>
        <v>6.3369863013698629</v>
      </c>
      <c r="AD411">
        <v>0</v>
      </c>
      <c r="AE411">
        <v>1</v>
      </c>
      <c r="AF411">
        <v>0</v>
      </c>
      <c r="AG411">
        <v>0</v>
      </c>
      <c r="AH411">
        <v>0</v>
      </c>
      <c r="AI411">
        <v>0</v>
      </c>
      <c r="AJ411">
        <v>0</v>
      </c>
      <c r="AK411">
        <v>1</v>
      </c>
      <c r="AL411">
        <v>0</v>
      </c>
      <c r="AM411">
        <v>0</v>
      </c>
      <c r="AN411">
        <v>998</v>
      </c>
      <c r="AO411">
        <v>951</v>
      </c>
      <c r="AP411">
        <f>ifood_data[[#This Row],[MntTotal]]-ifood_data[[#This Row],[MntRegularProds]]</f>
        <v>47</v>
      </c>
      <c r="AQ411">
        <v>0</v>
      </c>
      <c r="AR411">
        <f>IF(SUM(ifood_data[[#This Row],[Kidhome]:[Teenhome]])&gt;0,1,0)</f>
        <v>0</v>
      </c>
      <c r="AS411" t="str">
        <f>IF(SUM(ifood_data[[#This Row],[Kidhome]:[Teenhome]])&gt;0,"Has Family","No Family")</f>
        <v>No Family</v>
      </c>
      <c r="AT411" t="str">
        <f>IF(ifood_data[[#This Row],[marital_Married]]=1,"Married", (IF(ifood_data[[#This Row],[marital_Single]]=1,"Single",(IF(ifood_data[[#This Row],[marital_Divorced]]=1,"Divorced",(IF(ifood_data[[#This Row],[marital_Together]]=1,"Living Together",(IF(ifood_data[[#This Row],[marital_Widow]]=1,"Widow","Other")))))))))</f>
        <v>Married</v>
      </c>
      <c r="AU411" t="str">
        <f>IF(ifood_data[[#This Row],[education_Basic]]=1,"High School",(IF(ifood_data[[#This Row],[education_Graduation]]=1,"Undergraduate Degree",(IF(SUM(AM411,AL411,AI411)&gt;0,"Master's Degree or Higher","Other")))))</f>
        <v>Undergraduate Degree</v>
      </c>
      <c r="AV411" t="str">
        <f>IF(ifood_data[[#All],[Income]]&gt;75000,"75K+",(IF(ifood_data[[#All],[Income]]&gt;50000,"50K-75K",(IF(ifood_data[[#All],[Income]]&gt;35000,"35K-50K","&lt;35K")))))</f>
        <v>50K-75K</v>
      </c>
      <c r="AW411" t="str">
        <f>IF(ifood_data[[#All],[Age]]&gt;60,"60+",(IF(ifood_data[[#All],[Age]]&gt;50,"50-60",(IF(ifood_data[[#All],[Age]]&gt;40,"40-50",(IF(ifood_data[[#All],[Age]]&gt;30,"30-40","&lt;30")))))))</f>
        <v>60+</v>
      </c>
      <c r="AX411">
        <f t="shared" si="24"/>
        <v>28</v>
      </c>
      <c r="AY411">
        <f t="shared" si="25"/>
        <v>3.0000000000000004</v>
      </c>
      <c r="AZ411">
        <f t="shared" si="26"/>
        <v>8</v>
      </c>
      <c r="BA411">
        <f t="shared" si="27"/>
        <v>7</v>
      </c>
      <c r="BB411">
        <f>SUM(ifood_data[[#This Row],[Recency Score]:[Monetary Score]])</f>
        <v>18</v>
      </c>
      <c r="BC411">
        <f>(_xlfn.PERCENTRANK.INC(ifood_data[[#All],[RFM]],ifood_data[[#This Row],[RFM]],1))*10</f>
        <v>6</v>
      </c>
      <c r="BD411" t="str">
        <f>VLOOKUP(ifood_data[[#This Row],[RFM Score]],'RFM Analysis'!$A$3:$B$14,2,FALSE)</f>
        <v>Promising</v>
      </c>
      <c r="BE411">
        <f>'Regression Models'!$B$101+'Regression Models'!$B$102*ifood_data[[#This Row],[Income]]+'Regression Models'!$B$103*ifood_data[[#This Row],[Age]]+'Regression Models'!$B$104*ifood_data[[#This Row],[Family]]</f>
        <v>1035.4631631932086</v>
      </c>
      <c r="BF411" t="str">
        <f>IF(ifood_data[[#This Row],[AcceptedCmpOverall]]=1,"Campaign Respondent","Non-respondent")</f>
        <v>Non-respondent</v>
      </c>
    </row>
    <row r="412" spans="1:58" x14ac:dyDescent="0.35">
      <c r="A412">
        <v>223</v>
      </c>
      <c r="B412">
        <v>79761</v>
      </c>
      <c r="C412">
        <v>0</v>
      </c>
      <c r="D412">
        <v>1</v>
      </c>
      <c r="E412">
        <v>32</v>
      </c>
      <c r="F412">
        <v>415</v>
      </c>
      <c r="G412">
        <v>5</v>
      </c>
      <c r="H412">
        <v>124</v>
      </c>
      <c r="I412">
        <v>15</v>
      </c>
      <c r="J412">
        <v>35</v>
      </c>
      <c r="K412">
        <v>11</v>
      </c>
      <c r="L412">
        <v>1</v>
      </c>
      <c r="M412">
        <v>5</v>
      </c>
      <c r="N412">
        <v>2</v>
      </c>
      <c r="O412">
        <v>11</v>
      </c>
      <c r="P412">
        <v>3</v>
      </c>
      <c r="Q412">
        <v>0</v>
      </c>
      <c r="R412">
        <v>0</v>
      </c>
      <c r="S412">
        <v>0</v>
      </c>
      <c r="T412">
        <v>0</v>
      </c>
      <c r="U412">
        <v>0</v>
      </c>
      <c r="V412">
        <f>IF(SUM(ifood_data[[#This Row],[AcceptedCmp1]:[AcceptedCmp5]])&gt;0,1,0)</f>
        <v>0</v>
      </c>
      <c r="W412">
        <v>0</v>
      </c>
      <c r="X412">
        <v>3</v>
      </c>
      <c r="Y412">
        <v>11</v>
      </c>
      <c r="Z412">
        <v>0</v>
      </c>
      <c r="AA412">
        <v>62</v>
      </c>
      <c r="AB412">
        <v>2427</v>
      </c>
      <c r="AC412" s="28">
        <f>ifood_data[[#This Row],[Customer_Days]]/365</f>
        <v>6.6493150684931503</v>
      </c>
      <c r="AD412">
        <v>0</v>
      </c>
      <c r="AE412">
        <v>0</v>
      </c>
      <c r="AF412">
        <v>1</v>
      </c>
      <c r="AG412">
        <v>0</v>
      </c>
      <c r="AH412">
        <v>0</v>
      </c>
      <c r="AI412">
        <v>0</v>
      </c>
      <c r="AJ412">
        <v>0</v>
      </c>
      <c r="AK412">
        <v>0</v>
      </c>
      <c r="AL412">
        <v>0</v>
      </c>
      <c r="AM412">
        <v>1</v>
      </c>
      <c r="AN412">
        <v>594</v>
      </c>
      <c r="AO412">
        <v>583</v>
      </c>
      <c r="AP412">
        <f>ifood_data[[#This Row],[MntTotal]]-ifood_data[[#This Row],[MntRegularProds]]</f>
        <v>11</v>
      </c>
      <c r="AQ412">
        <v>0</v>
      </c>
      <c r="AR412">
        <f>IF(SUM(ifood_data[[#This Row],[Kidhome]:[Teenhome]])&gt;0,1,0)</f>
        <v>1</v>
      </c>
      <c r="AS412" t="str">
        <f>IF(SUM(ifood_data[[#This Row],[Kidhome]:[Teenhome]])&gt;0,"Has Family","No Family")</f>
        <v>Has Family</v>
      </c>
      <c r="AT412" t="str">
        <f>IF(ifood_data[[#This Row],[marital_Married]]=1,"Married", (IF(ifood_data[[#This Row],[marital_Single]]=1,"Single",(IF(ifood_data[[#This Row],[marital_Divorced]]=1,"Divorced",(IF(ifood_data[[#This Row],[marital_Together]]=1,"Living Together",(IF(ifood_data[[#This Row],[marital_Widow]]=1,"Widow","Other")))))))))</f>
        <v>Single</v>
      </c>
      <c r="AU412" t="str">
        <f>IF(ifood_data[[#This Row],[education_Basic]]=1,"High School",(IF(ifood_data[[#This Row],[education_Graduation]]=1,"Undergraduate Degree",(IF(SUM(AM412,AL412,AI412)&gt;0,"Master's Degree or Higher","Other")))))</f>
        <v>Master's Degree or Higher</v>
      </c>
      <c r="AV412" t="str">
        <f>IF(ifood_data[[#All],[Income]]&gt;75000,"75K+",(IF(ifood_data[[#All],[Income]]&gt;50000,"50K-75K",(IF(ifood_data[[#All],[Income]]&gt;35000,"35K-50K","&lt;35K")))))</f>
        <v>75K+</v>
      </c>
      <c r="AW412" t="str">
        <f>IF(ifood_data[[#All],[Age]]&gt;60,"60+",(IF(ifood_data[[#All],[Age]]&gt;50,"50-60",(IF(ifood_data[[#All],[Age]]&gt;40,"40-50",(IF(ifood_data[[#All],[Age]]&gt;30,"30-40","&lt;30")))))))</f>
        <v>60+</v>
      </c>
      <c r="AX412">
        <f t="shared" si="24"/>
        <v>22</v>
      </c>
      <c r="AY412">
        <f t="shared" si="25"/>
        <v>7</v>
      </c>
      <c r="AZ412">
        <f t="shared" si="26"/>
        <v>5</v>
      </c>
      <c r="BA412">
        <f t="shared" si="27"/>
        <v>6</v>
      </c>
      <c r="BB412">
        <f>SUM(ifood_data[[#This Row],[Recency Score]:[Monetary Score]])</f>
        <v>18</v>
      </c>
      <c r="BC412">
        <f>(_xlfn.PERCENTRANK.INC(ifood_data[[#All],[RFM]],ifood_data[[#This Row],[RFM]],1))*10</f>
        <v>6</v>
      </c>
      <c r="BD412" t="str">
        <f>VLOOKUP(ifood_data[[#This Row],[RFM Score]],'RFM Analysis'!$A$3:$B$14,2,FALSE)</f>
        <v>Promising</v>
      </c>
      <c r="BE412">
        <f>'Regression Models'!$B$101+'Regression Models'!$B$102*ifood_data[[#This Row],[Income]]+'Regression Models'!$B$103*ifood_data[[#This Row],[Age]]+'Regression Models'!$B$104*ifood_data[[#This Row],[Family]]</f>
        <v>1034.9404256865923</v>
      </c>
      <c r="BF412" t="str">
        <f>IF(ifood_data[[#This Row],[AcceptedCmpOverall]]=1,"Campaign Respondent","Non-respondent")</f>
        <v>Non-respondent</v>
      </c>
    </row>
    <row r="413" spans="1:58" x14ac:dyDescent="0.35">
      <c r="A413">
        <v>1633</v>
      </c>
      <c r="B413">
        <v>64590</v>
      </c>
      <c r="C413">
        <v>0</v>
      </c>
      <c r="D413">
        <v>0</v>
      </c>
      <c r="E413">
        <v>98</v>
      </c>
      <c r="F413">
        <v>920</v>
      </c>
      <c r="G413">
        <v>138</v>
      </c>
      <c r="H413">
        <v>168</v>
      </c>
      <c r="I413">
        <v>36</v>
      </c>
      <c r="J413">
        <v>46</v>
      </c>
      <c r="K413">
        <v>30</v>
      </c>
      <c r="L413">
        <v>1</v>
      </c>
      <c r="M413">
        <v>9</v>
      </c>
      <c r="N413">
        <v>4</v>
      </c>
      <c r="O413">
        <v>10</v>
      </c>
      <c r="P413">
        <v>6</v>
      </c>
      <c r="Q413">
        <v>0</v>
      </c>
      <c r="R413">
        <v>0</v>
      </c>
      <c r="S413">
        <v>0</v>
      </c>
      <c r="T413">
        <v>0</v>
      </c>
      <c r="U413">
        <v>0</v>
      </c>
      <c r="V413">
        <f>IF(SUM(ifood_data[[#This Row],[AcceptedCmp1]:[AcceptedCmp5]])&gt;0,1,0)</f>
        <v>0</v>
      </c>
      <c r="W413">
        <v>0</v>
      </c>
      <c r="X413">
        <v>3</v>
      </c>
      <c r="Y413">
        <v>11</v>
      </c>
      <c r="Z413">
        <v>0</v>
      </c>
      <c r="AA413">
        <v>52</v>
      </c>
      <c r="AB413">
        <v>2782</v>
      </c>
      <c r="AC413" s="28">
        <f>ifood_data[[#This Row],[Customer_Days]]/365</f>
        <v>7.6219178082191785</v>
      </c>
      <c r="AD413">
        <v>0</v>
      </c>
      <c r="AE413">
        <v>1</v>
      </c>
      <c r="AF413">
        <v>0</v>
      </c>
      <c r="AG413">
        <v>0</v>
      </c>
      <c r="AH413">
        <v>0</v>
      </c>
      <c r="AI413">
        <v>0</v>
      </c>
      <c r="AJ413">
        <v>0</v>
      </c>
      <c r="AK413">
        <v>1</v>
      </c>
      <c r="AL413">
        <v>0</v>
      </c>
      <c r="AM413">
        <v>0</v>
      </c>
      <c r="AN413">
        <v>1308</v>
      </c>
      <c r="AO413">
        <v>1278</v>
      </c>
      <c r="AP413">
        <f>ifood_data[[#This Row],[MntTotal]]-ifood_data[[#This Row],[MntRegularProds]]</f>
        <v>30</v>
      </c>
      <c r="AQ413">
        <v>0</v>
      </c>
      <c r="AR413">
        <f>IF(SUM(ifood_data[[#This Row],[Kidhome]:[Teenhome]])&gt;0,1,0)</f>
        <v>0</v>
      </c>
      <c r="AS413" t="str">
        <f>IF(SUM(ifood_data[[#This Row],[Kidhome]:[Teenhome]])&gt;0,"Has Family","No Family")</f>
        <v>No Family</v>
      </c>
      <c r="AT413" t="str">
        <f>IF(ifood_data[[#This Row],[marital_Married]]=1,"Married", (IF(ifood_data[[#This Row],[marital_Single]]=1,"Single",(IF(ifood_data[[#This Row],[marital_Divorced]]=1,"Divorced",(IF(ifood_data[[#This Row],[marital_Together]]=1,"Living Together",(IF(ifood_data[[#This Row],[marital_Widow]]=1,"Widow","Other")))))))))</f>
        <v>Married</v>
      </c>
      <c r="AU413" t="str">
        <f>IF(ifood_data[[#This Row],[education_Basic]]=1,"High School",(IF(ifood_data[[#This Row],[education_Graduation]]=1,"Undergraduate Degree",(IF(SUM(AM413,AL413,AI413)&gt;0,"Master's Degree or Higher","Other")))))</f>
        <v>Undergraduate Degree</v>
      </c>
      <c r="AV413" t="str">
        <f>IF(ifood_data[[#All],[Income]]&gt;75000,"75K+",(IF(ifood_data[[#All],[Income]]&gt;50000,"50K-75K",(IF(ifood_data[[#All],[Income]]&gt;35000,"35K-50K","&lt;35K")))))</f>
        <v>50K-75K</v>
      </c>
      <c r="AW413" t="str">
        <f>IF(ifood_data[[#All],[Age]]&gt;60,"60+",(IF(ifood_data[[#All],[Age]]&gt;50,"50-60",(IF(ifood_data[[#All],[Age]]&gt;40,"40-50",(IF(ifood_data[[#All],[Age]]&gt;30,"30-40","&lt;30")))))))</f>
        <v>50-60</v>
      </c>
      <c r="AX413">
        <f t="shared" si="24"/>
        <v>30</v>
      </c>
      <c r="AY413">
        <f t="shared" si="25"/>
        <v>0.99999999999999978</v>
      </c>
      <c r="AZ413">
        <f t="shared" si="26"/>
        <v>8</v>
      </c>
      <c r="BA413">
        <f t="shared" si="27"/>
        <v>8</v>
      </c>
      <c r="BB413">
        <f>SUM(ifood_data[[#This Row],[Recency Score]:[Monetary Score]])</f>
        <v>17</v>
      </c>
      <c r="BC413">
        <f>(_xlfn.PERCENTRANK.INC(ifood_data[[#All],[RFM]],ifood_data[[#This Row],[RFM]],1))*10</f>
        <v>6</v>
      </c>
      <c r="BD413" t="str">
        <f>VLOOKUP(ifood_data[[#This Row],[RFM Score]],'RFM Analysis'!$A$3:$B$14,2,FALSE)</f>
        <v>Promising</v>
      </c>
      <c r="BE413">
        <f>'Regression Models'!$B$101+'Regression Models'!$B$102*ifood_data[[#This Row],[Income]]+'Regression Models'!$B$103*ifood_data[[#This Row],[Age]]+'Regression Models'!$B$104*ifood_data[[#This Row],[Family]]</f>
        <v>1033.6004460374602</v>
      </c>
      <c r="BF413" t="str">
        <f>IF(ifood_data[[#This Row],[AcceptedCmpOverall]]=1,"Campaign Respondent","Non-respondent")</f>
        <v>Non-respondent</v>
      </c>
    </row>
    <row r="414" spans="1:58" x14ac:dyDescent="0.35">
      <c r="A414">
        <v>601</v>
      </c>
      <c r="B414">
        <v>65488</v>
      </c>
      <c r="C414">
        <v>0</v>
      </c>
      <c r="D414">
        <v>0</v>
      </c>
      <c r="E414">
        <v>46</v>
      </c>
      <c r="F414">
        <v>603</v>
      </c>
      <c r="G414">
        <v>45</v>
      </c>
      <c r="H414">
        <v>207</v>
      </c>
      <c r="I414">
        <v>36</v>
      </c>
      <c r="J414">
        <v>18</v>
      </c>
      <c r="K414">
        <v>54</v>
      </c>
      <c r="L414">
        <v>1</v>
      </c>
      <c r="M414">
        <v>3</v>
      </c>
      <c r="N414">
        <v>4</v>
      </c>
      <c r="O414">
        <v>6</v>
      </c>
      <c r="P414">
        <v>1</v>
      </c>
      <c r="Q414">
        <v>0</v>
      </c>
      <c r="R414">
        <v>0</v>
      </c>
      <c r="S414">
        <v>0</v>
      </c>
      <c r="T414">
        <v>0</v>
      </c>
      <c r="U414">
        <v>0</v>
      </c>
      <c r="V414">
        <f>IF(SUM(ifood_data[[#This Row],[AcceptedCmp1]:[AcceptedCmp5]])&gt;0,1,0)</f>
        <v>0</v>
      </c>
      <c r="W414">
        <v>0</v>
      </c>
      <c r="X414">
        <v>3</v>
      </c>
      <c r="Y414">
        <v>11</v>
      </c>
      <c r="Z414">
        <v>0</v>
      </c>
      <c r="AA414">
        <v>62</v>
      </c>
      <c r="AB414">
        <v>2175</v>
      </c>
      <c r="AC414" s="28">
        <f>ifood_data[[#This Row],[Customer_Days]]/365</f>
        <v>5.9589041095890414</v>
      </c>
      <c r="AD414">
        <v>0</v>
      </c>
      <c r="AE414">
        <v>0</v>
      </c>
      <c r="AF414">
        <v>0</v>
      </c>
      <c r="AG414">
        <v>1</v>
      </c>
      <c r="AH414">
        <v>0</v>
      </c>
      <c r="AI414">
        <v>0</v>
      </c>
      <c r="AJ414">
        <v>0</v>
      </c>
      <c r="AK414">
        <v>0</v>
      </c>
      <c r="AL414">
        <v>0</v>
      </c>
      <c r="AM414">
        <v>1</v>
      </c>
      <c r="AN414">
        <v>909</v>
      </c>
      <c r="AO414">
        <v>855</v>
      </c>
      <c r="AP414">
        <f>ifood_data[[#This Row],[MntTotal]]-ifood_data[[#This Row],[MntRegularProds]]</f>
        <v>54</v>
      </c>
      <c r="AQ414">
        <v>0</v>
      </c>
      <c r="AR414">
        <f>IF(SUM(ifood_data[[#This Row],[Kidhome]:[Teenhome]])&gt;0,1,0)</f>
        <v>0</v>
      </c>
      <c r="AS414" t="str">
        <f>IF(SUM(ifood_data[[#This Row],[Kidhome]:[Teenhome]])&gt;0,"Has Family","No Family")</f>
        <v>No Family</v>
      </c>
      <c r="AT414" t="str">
        <f>IF(ifood_data[[#This Row],[marital_Married]]=1,"Married", (IF(ifood_data[[#This Row],[marital_Single]]=1,"Single",(IF(ifood_data[[#This Row],[marital_Divorced]]=1,"Divorced",(IF(ifood_data[[#This Row],[marital_Together]]=1,"Living Together",(IF(ifood_data[[#This Row],[marital_Widow]]=1,"Widow","Other")))))))))</f>
        <v>Living Together</v>
      </c>
      <c r="AU414" t="str">
        <f>IF(ifood_data[[#This Row],[education_Basic]]=1,"High School",(IF(ifood_data[[#This Row],[education_Graduation]]=1,"Undergraduate Degree",(IF(SUM(AM414,AL414,AI414)&gt;0,"Master's Degree or Higher","Other")))))</f>
        <v>Master's Degree or Higher</v>
      </c>
      <c r="AV414" t="str">
        <f>IF(ifood_data[[#All],[Income]]&gt;75000,"75K+",(IF(ifood_data[[#All],[Income]]&gt;50000,"50K-75K",(IF(ifood_data[[#All],[Income]]&gt;35000,"35K-50K","&lt;35K")))))</f>
        <v>50K-75K</v>
      </c>
      <c r="AW414" t="str">
        <f>IF(ifood_data[[#All],[Age]]&gt;60,"60+",(IF(ifood_data[[#All],[Age]]&gt;50,"50-60",(IF(ifood_data[[#All],[Age]]&gt;40,"40-50",(IF(ifood_data[[#All],[Age]]&gt;30,"30-40","&lt;30")))))))</f>
        <v>60+</v>
      </c>
      <c r="AX414">
        <f t="shared" si="24"/>
        <v>15</v>
      </c>
      <c r="AY414">
        <f t="shared" si="25"/>
        <v>6</v>
      </c>
      <c r="AZ414">
        <f t="shared" si="26"/>
        <v>2</v>
      </c>
      <c r="BA414">
        <f t="shared" si="27"/>
        <v>7</v>
      </c>
      <c r="BB414">
        <f>SUM(ifood_data[[#This Row],[Recency Score]:[Monetary Score]])</f>
        <v>15</v>
      </c>
      <c r="BC414">
        <f>(_xlfn.PERCENTRANK.INC(ifood_data[[#All],[RFM]],ifood_data[[#This Row],[RFM]],1))*10</f>
        <v>4</v>
      </c>
      <c r="BD414" t="str">
        <f>VLOOKUP(ifood_data[[#This Row],[RFM Score]],'RFM Analysis'!$A$3:$B$14,2,FALSE)</f>
        <v>At Risk</v>
      </c>
      <c r="BE414">
        <f>'Regression Models'!$B$101+'Regression Models'!$B$102*ifood_data[[#This Row],[Income]]+'Regression Models'!$B$103*ifood_data[[#This Row],[Age]]+'Regression Models'!$B$104*ifood_data[[#This Row],[Family]]</f>
        <v>1033.5451690417387</v>
      </c>
      <c r="BF414" t="str">
        <f>IF(ifood_data[[#This Row],[AcceptedCmpOverall]]=1,"Campaign Respondent","Non-respondent")</f>
        <v>Non-respondent</v>
      </c>
    </row>
    <row r="415" spans="1:58" x14ac:dyDescent="0.35">
      <c r="A415">
        <v>1933</v>
      </c>
      <c r="B415">
        <v>65487</v>
      </c>
      <c r="C415">
        <v>0</v>
      </c>
      <c r="D415">
        <v>0</v>
      </c>
      <c r="E415">
        <v>48</v>
      </c>
      <c r="F415">
        <v>240</v>
      </c>
      <c r="G415">
        <v>67</v>
      </c>
      <c r="H415">
        <v>500</v>
      </c>
      <c r="I415">
        <v>199</v>
      </c>
      <c r="J415">
        <v>0</v>
      </c>
      <c r="K415">
        <v>163</v>
      </c>
      <c r="L415">
        <v>3</v>
      </c>
      <c r="M415">
        <v>3</v>
      </c>
      <c r="N415">
        <v>5</v>
      </c>
      <c r="O415">
        <v>6</v>
      </c>
      <c r="P415">
        <v>2</v>
      </c>
      <c r="Q415">
        <v>0</v>
      </c>
      <c r="R415">
        <v>0</v>
      </c>
      <c r="S415">
        <v>0</v>
      </c>
      <c r="T415">
        <v>0</v>
      </c>
      <c r="U415">
        <v>0</v>
      </c>
      <c r="V415">
        <f>IF(SUM(ifood_data[[#This Row],[AcceptedCmp1]:[AcceptedCmp5]])&gt;0,1,0)</f>
        <v>0</v>
      </c>
      <c r="W415">
        <v>0</v>
      </c>
      <c r="X415">
        <v>3</v>
      </c>
      <c r="Y415">
        <v>11</v>
      </c>
      <c r="Z415">
        <v>0</v>
      </c>
      <c r="AA415">
        <v>63</v>
      </c>
      <c r="AB415">
        <v>2329</v>
      </c>
      <c r="AC415" s="28">
        <f>ifood_data[[#This Row],[Customer_Days]]/365</f>
        <v>6.3808219178082188</v>
      </c>
      <c r="AD415">
        <v>0</v>
      </c>
      <c r="AE415">
        <v>0</v>
      </c>
      <c r="AF415">
        <v>1</v>
      </c>
      <c r="AG415">
        <v>0</v>
      </c>
      <c r="AH415">
        <v>0</v>
      </c>
      <c r="AI415">
        <v>0</v>
      </c>
      <c r="AJ415">
        <v>0</v>
      </c>
      <c r="AK415">
        <v>0</v>
      </c>
      <c r="AL415">
        <v>1</v>
      </c>
      <c r="AM415">
        <v>0</v>
      </c>
      <c r="AN415">
        <v>1006</v>
      </c>
      <c r="AO415">
        <v>843</v>
      </c>
      <c r="AP415">
        <f>ifood_data[[#This Row],[MntTotal]]-ifood_data[[#This Row],[MntRegularProds]]</f>
        <v>163</v>
      </c>
      <c r="AQ415">
        <v>0</v>
      </c>
      <c r="AR415">
        <f>IF(SUM(ifood_data[[#This Row],[Kidhome]:[Teenhome]])&gt;0,1,0)</f>
        <v>0</v>
      </c>
      <c r="AS415" t="str">
        <f>IF(SUM(ifood_data[[#This Row],[Kidhome]:[Teenhome]])&gt;0,"Has Family","No Family")</f>
        <v>No Family</v>
      </c>
      <c r="AT415" t="str">
        <f>IF(ifood_data[[#This Row],[marital_Married]]=1,"Married", (IF(ifood_data[[#This Row],[marital_Single]]=1,"Single",(IF(ifood_data[[#This Row],[marital_Divorced]]=1,"Divorced",(IF(ifood_data[[#This Row],[marital_Together]]=1,"Living Together",(IF(ifood_data[[#This Row],[marital_Widow]]=1,"Widow","Other")))))))))</f>
        <v>Single</v>
      </c>
      <c r="AU415" t="str">
        <f>IF(ifood_data[[#This Row],[education_Basic]]=1,"High School",(IF(ifood_data[[#This Row],[education_Graduation]]=1,"Undergraduate Degree",(IF(SUM(AM415,AL415,AI415)&gt;0,"Master's Degree or Higher","Other")))))</f>
        <v>Master's Degree or Higher</v>
      </c>
      <c r="AV415" t="str">
        <f>IF(ifood_data[[#All],[Income]]&gt;75000,"75K+",(IF(ifood_data[[#All],[Income]]&gt;50000,"50K-75K",(IF(ifood_data[[#All],[Income]]&gt;35000,"35K-50K","&lt;35K")))))</f>
        <v>50K-75K</v>
      </c>
      <c r="AW415" t="str">
        <f>IF(ifood_data[[#All],[Age]]&gt;60,"60+",(IF(ifood_data[[#All],[Age]]&gt;50,"50-60",(IF(ifood_data[[#All],[Age]]&gt;40,"40-50",(IF(ifood_data[[#All],[Age]]&gt;30,"30-40","&lt;30")))))))</f>
        <v>60+</v>
      </c>
      <c r="AX415">
        <f t="shared" si="24"/>
        <v>19</v>
      </c>
      <c r="AY415">
        <f t="shared" si="25"/>
        <v>6</v>
      </c>
      <c r="AZ415">
        <f t="shared" si="26"/>
        <v>4</v>
      </c>
      <c r="BA415">
        <f t="shared" si="27"/>
        <v>7</v>
      </c>
      <c r="BB415">
        <f>SUM(ifood_data[[#This Row],[Recency Score]:[Monetary Score]])</f>
        <v>17</v>
      </c>
      <c r="BC415">
        <f>(_xlfn.PERCENTRANK.INC(ifood_data[[#All],[RFM]],ifood_data[[#This Row],[RFM]],1))*10</f>
        <v>6</v>
      </c>
      <c r="BD415" t="str">
        <f>VLOOKUP(ifood_data[[#This Row],[RFM Score]],'RFM Analysis'!$A$3:$B$14,2,FALSE)</f>
        <v>Promising</v>
      </c>
      <c r="BE415">
        <f>'Regression Models'!$B$101+'Regression Models'!$B$102*ifood_data[[#This Row],[Income]]+'Regression Models'!$B$103*ifood_data[[#This Row],[Age]]+'Regression Models'!$B$104*ifood_data[[#This Row],[Family]]</f>
        <v>1031.6883411947003</v>
      </c>
      <c r="BF415" t="str">
        <f>IF(ifood_data[[#This Row],[AcceptedCmpOverall]]=1,"Campaign Respondent","Non-respondent")</f>
        <v>Non-respondent</v>
      </c>
    </row>
    <row r="416" spans="1:58" x14ac:dyDescent="0.35">
      <c r="A416">
        <v>1981</v>
      </c>
      <c r="B416">
        <v>65487</v>
      </c>
      <c r="C416">
        <v>0</v>
      </c>
      <c r="D416">
        <v>0</v>
      </c>
      <c r="E416">
        <v>48</v>
      </c>
      <c r="F416">
        <v>240</v>
      </c>
      <c r="G416">
        <v>67</v>
      </c>
      <c r="H416">
        <v>500</v>
      </c>
      <c r="I416">
        <v>199</v>
      </c>
      <c r="J416">
        <v>0</v>
      </c>
      <c r="K416">
        <v>163</v>
      </c>
      <c r="L416">
        <v>3</v>
      </c>
      <c r="M416">
        <v>3</v>
      </c>
      <c r="N416">
        <v>5</v>
      </c>
      <c r="O416">
        <v>6</v>
      </c>
      <c r="P416">
        <v>2</v>
      </c>
      <c r="Q416">
        <v>0</v>
      </c>
      <c r="R416">
        <v>0</v>
      </c>
      <c r="S416">
        <v>0</v>
      </c>
      <c r="T416">
        <v>0</v>
      </c>
      <c r="U416">
        <v>0</v>
      </c>
      <c r="V416">
        <f>IF(SUM(ifood_data[[#This Row],[AcceptedCmp1]:[AcceptedCmp5]])&gt;0,1,0)</f>
        <v>0</v>
      </c>
      <c r="W416">
        <v>0</v>
      </c>
      <c r="X416">
        <v>3</v>
      </c>
      <c r="Y416">
        <v>11</v>
      </c>
      <c r="Z416">
        <v>0</v>
      </c>
      <c r="AA416">
        <v>63</v>
      </c>
      <c r="AB416">
        <v>2329</v>
      </c>
      <c r="AC416" s="28">
        <f>ifood_data[[#This Row],[Customer_Days]]/365</f>
        <v>6.3808219178082188</v>
      </c>
      <c r="AD416">
        <v>0</v>
      </c>
      <c r="AE416">
        <v>0</v>
      </c>
      <c r="AF416">
        <v>0</v>
      </c>
      <c r="AG416">
        <v>1</v>
      </c>
      <c r="AH416">
        <v>0</v>
      </c>
      <c r="AI416">
        <v>0</v>
      </c>
      <c r="AJ416">
        <v>0</v>
      </c>
      <c r="AK416">
        <v>0</v>
      </c>
      <c r="AL416">
        <v>1</v>
      </c>
      <c r="AM416">
        <v>0</v>
      </c>
      <c r="AN416">
        <v>1006</v>
      </c>
      <c r="AO416">
        <v>843</v>
      </c>
      <c r="AP416">
        <f>ifood_data[[#This Row],[MntTotal]]-ifood_data[[#This Row],[MntRegularProds]]</f>
        <v>163</v>
      </c>
      <c r="AQ416">
        <v>0</v>
      </c>
      <c r="AR416">
        <f>IF(SUM(ifood_data[[#This Row],[Kidhome]:[Teenhome]])&gt;0,1,0)</f>
        <v>0</v>
      </c>
      <c r="AS416" t="str">
        <f>IF(SUM(ifood_data[[#This Row],[Kidhome]:[Teenhome]])&gt;0,"Has Family","No Family")</f>
        <v>No Family</v>
      </c>
      <c r="AT416" t="str">
        <f>IF(ifood_data[[#This Row],[marital_Married]]=1,"Married", (IF(ifood_data[[#This Row],[marital_Single]]=1,"Single",(IF(ifood_data[[#This Row],[marital_Divorced]]=1,"Divorced",(IF(ifood_data[[#This Row],[marital_Together]]=1,"Living Together",(IF(ifood_data[[#This Row],[marital_Widow]]=1,"Widow","Other")))))))))</f>
        <v>Living Together</v>
      </c>
      <c r="AU416" t="str">
        <f>IF(ifood_data[[#This Row],[education_Basic]]=1,"High School",(IF(ifood_data[[#This Row],[education_Graduation]]=1,"Undergraduate Degree",(IF(SUM(AM416,AL416,AI416)&gt;0,"Master's Degree or Higher","Other")))))</f>
        <v>Master's Degree or Higher</v>
      </c>
      <c r="AV416" t="str">
        <f>IF(ifood_data[[#All],[Income]]&gt;75000,"75K+",(IF(ifood_data[[#All],[Income]]&gt;50000,"50K-75K",(IF(ifood_data[[#All],[Income]]&gt;35000,"35K-50K","&lt;35K")))))</f>
        <v>50K-75K</v>
      </c>
      <c r="AW416" t="str">
        <f>IF(ifood_data[[#All],[Age]]&gt;60,"60+",(IF(ifood_data[[#All],[Age]]&gt;50,"50-60",(IF(ifood_data[[#All],[Age]]&gt;40,"40-50",(IF(ifood_data[[#All],[Age]]&gt;30,"30-40","&lt;30")))))))</f>
        <v>60+</v>
      </c>
      <c r="AX416">
        <f t="shared" si="24"/>
        <v>19</v>
      </c>
      <c r="AY416">
        <f t="shared" si="25"/>
        <v>6</v>
      </c>
      <c r="AZ416">
        <f t="shared" si="26"/>
        <v>4</v>
      </c>
      <c r="BA416">
        <f t="shared" si="27"/>
        <v>7</v>
      </c>
      <c r="BB416">
        <f>SUM(ifood_data[[#This Row],[Recency Score]:[Monetary Score]])</f>
        <v>17</v>
      </c>
      <c r="BC416">
        <f>(_xlfn.PERCENTRANK.INC(ifood_data[[#All],[RFM]],ifood_data[[#This Row],[RFM]],1))*10</f>
        <v>6</v>
      </c>
      <c r="BD416" t="str">
        <f>VLOOKUP(ifood_data[[#This Row],[RFM Score]],'RFM Analysis'!$A$3:$B$14,2,FALSE)</f>
        <v>Promising</v>
      </c>
      <c r="BE416">
        <f>'Regression Models'!$B$101+'Regression Models'!$B$102*ifood_data[[#This Row],[Income]]+'Regression Models'!$B$103*ifood_data[[#This Row],[Age]]+'Regression Models'!$B$104*ifood_data[[#This Row],[Family]]</f>
        <v>1031.6883411947003</v>
      </c>
      <c r="BF416" t="str">
        <f>IF(ifood_data[[#This Row],[AcceptedCmpOverall]]=1,"Campaign Respondent","Non-respondent")</f>
        <v>Non-respondent</v>
      </c>
    </row>
    <row r="417" spans="1:58" x14ac:dyDescent="0.35">
      <c r="A417">
        <v>1776</v>
      </c>
      <c r="B417">
        <v>63211</v>
      </c>
      <c r="C417">
        <v>0</v>
      </c>
      <c r="D417">
        <v>0</v>
      </c>
      <c r="E417">
        <v>3</v>
      </c>
      <c r="F417">
        <v>145</v>
      </c>
      <c r="G417">
        <v>193</v>
      </c>
      <c r="H417">
        <v>459</v>
      </c>
      <c r="I417">
        <v>205</v>
      </c>
      <c r="J417">
        <v>26</v>
      </c>
      <c r="K417">
        <v>145</v>
      </c>
      <c r="L417">
        <v>2</v>
      </c>
      <c r="M417">
        <v>3</v>
      </c>
      <c r="N417">
        <v>8</v>
      </c>
      <c r="O417">
        <v>7</v>
      </c>
      <c r="P417">
        <v>2</v>
      </c>
      <c r="Q417">
        <v>0</v>
      </c>
      <c r="R417">
        <v>0</v>
      </c>
      <c r="S417">
        <v>0</v>
      </c>
      <c r="T417">
        <v>0</v>
      </c>
      <c r="U417">
        <v>0</v>
      </c>
      <c r="V417">
        <f>IF(SUM(ifood_data[[#This Row],[AcceptedCmp1]:[AcceptedCmp5]])&gt;0,1,0)</f>
        <v>0</v>
      </c>
      <c r="W417">
        <v>0</v>
      </c>
      <c r="X417">
        <v>3</v>
      </c>
      <c r="Y417">
        <v>11</v>
      </c>
      <c r="Z417">
        <v>1</v>
      </c>
      <c r="AA417">
        <v>38</v>
      </c>
      <c r="AB417">
        <v>2763</v>
      </c>
      <c r="AC417" s="28">
        <f>ifood_data[[#This Row],[Customer_Days]]/365</f>
        <v>7.5698630136986305</v>
      </c>
      <c r="AD417">
        <v>0</v>
      </c>
      <c r="AE417">
        <v>1</v>
      </c>
      <c r="AF417">
        <v>0</v>
      </c>
      <c r="AG417">
        <v>0</v>
      </c>
      <c r="AH417">
        <v>0</v>
      </c>
      <c r="AI417">
        <v>0</v>
      </c>
      <c r="AJ417">
        <v>0</v>
      </c>
      <c r="AK417">
        <v>1</v>
      </c>
      <c r="AL417">
        <v>0</v>
      </c>
      <c r="AM417">
        <v>0</v>
      </c>
      <c r="AN417">
        <v>1028</v>
      </c>
      <c r="AO417">
        <v>883</v>
      </c>
      <c r="AP417">
        <f>ifood_data[[#This Row],[MntTotal]]-ifood_data[[#This Row],[MntRegularProds]]</f>
        <v>145</v>
      </c>
      <c r="AQ417">
        <v>0</v>
      </c>
      <c r="AR417">
        <f>IF(SUM(ifood_data[[#This Row],[Kidhome]:[Teenhome]])&gt;0,1,0)</f>
        <v>0</v>
      </c>
      <c r="AS417" t="str">
        <f>IF(SUM(ifood_data[[#This Row],[Kidhome]:[Teenhome]])&gt;0,"Has Family","No Family")</f>
        <v>No Family</v>
      </c>
      <c r="AT417" t="str">
        <f>IF(ifood_data[[#This Row],[marital_Married]]=1,"Married", (IF(ifood_data[[#This Row],[marital_Single]]=1,"Single",(IF(ifood_data[[#This Row],[marital_Divorced]]=1,"Divorced",(IF(ifood_data[[#This Row],[marital_Together]]=1,"Living Together",(IF(ifood_data[[#This Row],[marital_Widow]]=1,"Widow","Other")))))))))</f>
        <v>Married</v>
      </c>
      <c r="AU417" t="str">
        <f>IF(ifood_data[[#This Row],[education_Basic]]=1,"High School",(IF(ifood_data[[#This Row],[education_Graduation]]=1,"Undergraduate Degree",(IF(SUM(AM417,AL417,AI417)&gt;0,"Master's Degree or Higher","Other")))))</f>
        <v>Undergraduate Degree</v>
      </c>
      <c r="AV417" t="str">
        <f>IF(ifood_data[[#All],[Income]]&gt;75000,"75K+",(IF(ifood_data[[#All],[Income]]&gt;50000,"50K-75K",(IF(ifood_data[[#All],[Income]]&gt;35000,"35K-50K","&lt;35K")))))</f>
        <v>50K-75K</v>
      </c>
      <c r="AW417" t="str">
        <f>IF(ifood_data[[#All],[Age]]&gt;60,"60+",(IF(ifood_data[[#All],[Age]]&gt;50,"50-60",(IF(ifood_data[[#All],[Age]]&gt;40,"40-50",(IF(ifood_data[[#All],[Age]]&gt;30,"30-40","&lt;30")))))))</f>
        <v>30-40</v>
      </c>
      <c r="AX417">
        <f t="shared" si="24"/>
        <v>22</v>
      </c>
      <c r="AY417">
        <f t="shared" si="25"/>
        <v>10</v>
      </c>
      <c r="AZ417">
        <f t="shared" si="26"/>
        <v>5</v>
      </c>
      <c r="BA417">
        <f t="shared" si="27"/>
        <v>7</v>
      </c>
      <c r="BB417">
        <f>SUM(ifood_data[[#This Row],[Recency Score]:[Monetary Score]])</f>
        <v>22</v>
      </c>
      <c r="BC417">
        <f>(_xlfn.PERCENTRANK.INC(ifood_data[[#All],[RFM]],ifood_data[[#This Row],[RFM]],1))*10</f>
        <v>8</v>
      </c>
      <c r="BD417" t="str">
        <f>VLOOKUP(ifood_data[[#This Row],[RFM Score]],'RFM Analysis'!$A$3:$B$14,2,FALSE)</f>
        <v>Loyal Customer</v>
      </c>
      <c r="BE417">
        <f>'Regression Models'!$B$101+'Regression Models'!$B$102*ifood_data[[#This Row],[Income]]+'Regression Models'!$B$103*ifood_data[[#This Row],[Age]]+'Regression Models'!$B$104*ifood_data[[#This Row],[Family]]</f>
        <v>1031.1944818715438</v>
      </c>
      <c r="BF417" t="str">
        <f>IF(ifood_data[[#This Row],[AcceptedCmpOverall]]=1,"Campaign Respondent","Non-respondent")</f>
        <v>Non-respondent</v>
      </c>
    </row>
    <row r="418" spans="1:58" x14ac:dyDescent="0.35">
      <c r="A418">
        <v>1908</v>
      </c>
      <c r="B418">
        <v>78128</v>
      </c>
      <c r="C418">
        <v>0</v>
      </c>
      <c r="D418">
        <v>1</v>
      </c>
      <c r="E418">
        <v>89</v>
      </c>
      <c r="F418">
        <v>934</v>
      </c>
      <c r="G418">
        <v>24</v>
      </c>
      <c r="H418">
        <v>230</v>
      </c>
      <c r="I418">
        <v>16</v>
      </c>
      <c r="J418">
        <v>24</v>
      </c>
      <c r="K418">
        <v>36</v>
      </c>
      <c r="L418">
        <v>2</v>
      </c>
      <c r="M418">
        <v>8</v>
      </c>
      <c r="N418">
        <v>4</v>
      </c>
      <c r="O418">
        <v>6</v>
      </c>
      <c r="P418">
        <v>3</v>
      </c>
      <c r="Q418">
        <v>0</v>
      </c>
      <c r="R418">
        <v>0</v>
      </c>
      <c r="S418">
        <v>0</v>
      </c>
      <c r="T418">
        <v>1</v>
      </c>
      <c r="U418">
        <v>1</v>
      </c>
      <c r="V418">
        <f>IF(SUM(ifood_data[[#This Row],[AcceptedCmp1]:[AcceptedCmp5]])&gt;0,1,0)</f>
        <v>1</v>
      </c>
      <c r="W418">
        <v>0</v>
      </c>
      <c r="X418">
        <v>3</v>
      </c>
      <c r="Y418">
        <v>11</v>
      </c>
      <c r="Z418">
        <v>0</v>
      </c>
      <c r="AA418">
        <v>46</v>
      </c>
      <c r="AB418">
        <v>2289</v>
      </c>
      <c r="AC418" s="28">
        <f>ifood_data[[#This Row],[Customer_Days]]/365</f>
        <v>6.2712328767123289</v>
      </c>
      <c r="AD418">
        <v>0</v>
      </c>
      <c r="AE418">
        <v>1</v>
      </c>
      <c r="AF418">
        <v>0</v>
      </c>
      <c r="AG418">
        <v>0</v>
      </c>
      <c r="AH418">
        <v>0</v>
      </c>
      <c r="AI418">
        <v>0</v>
      </c>
      <c r="AJ418">
        <v>0</v>
      </c>
      <c r="AK418">
        <v>0</v>
      </c>
      <c r="AL418">
        <v>0</v>
      </c>
      <c r="AM418">
        <v>1</v>
      </c>
      <c r="AN418">
        <v>1228</v>
      </c>
      <c r="AO418">
        <v>1192</v>
      </c>
      <c r="AP418">
        <f>ifood_data[[#This Row],[MntTotal]]-ifood_data[[#This Row],[MntRegularProds]]</f>
        <v>36</v>
      </c>
      <c r="AQ418">
        <v>2</v>
      </c>
      <c r="AR418">
        <f>IF(SUM(ifood_data[[#This Row],[Kidhome]:[Teenhome]])&gt;0,1,0)</f>
        <v>1</v>
      </c>
      <c r="AS418" t="str">
        <f>IF(SUM(ifood_data[[#This Row],[Kidhome]:[Teenhome]])&gt;0,"Has Family","No Family")</f>
        <v>Has Family</v>
      </c>
      <c r="AT418" t="str">
        <f>IF(ifood_data[[#This Row],[marital_Married]]=1,"Married", (IF(ifood_data[[#This Row],[marital_Single]]=1,"Single",(IF(ifood_data[[#This Row],[marital_Divorced]]=1,"Divorced",(IF(ifood_data[[#This Row],[marital_Together]]=1,"Living Together",(IF(ifood_data[[#This Row],[marital_Widow]]=1,"Widow","Other")))))))))</f>
        <v>Married</v>
      </c>
      <c r="AU418" t="str">
        <f>IF(ifood_data[[#This Row],[education_Basic]]=1,"High School",(IF(ifood_data[[#This Row],[education_Graduation]]=1,"Undergraduate Degree",(IF(SUM(AM418,AL418,AI418)&gt;0,"Master's Degree or Higher","Other")))))</f>
        <v>Master's Degree or Higher</v>
      </c>
      <c r="AV418" t="str">
        <f>IF(ifood_data[[#All],[Income]]&gt;75000,"75K+",(IF(ifood_data[[#All],[Income]]&gt;50000,"50K-75K",(IF(ifood_data[[#All],[Income]]&gt;35000,"35K-50K","&lt;35K")))))</f>
        <v>75K+</v>
      </c>
      <c r="AW418" t="str">
        <f>IF(ifood_data[[#All],[Age]]&gt;60,"60+",(IF(ifood_data[[#All],[Age]]&gt;50,"50-60",(IF(ifood_data[[#All],[Age]]&gt;40,"40-50",(IF(ifood_data[[#All],[Age]]&gt;30,"30-40","&lt;30")))))))</f>
        <v>40-50</v>
      </c>
      <c r="AX418">
        <f t="shared" si="24"/>
        <v>23</v>
      </c>
      <c r="AY418">
        <f t="shared" si="25"/>
        <v>1.9999999999999996</v>
      </c>
      <c r="AZ418">
        <f t="shared" si="26"/>
        <v>6</v>
      </c>
      <c r="BA418">
        <f t="shared" si="27"/>
        <v>8</v>
      </c>
      <c r="BB418">
        <f>SUM(ifood_data[[#This Row],[Recency Score]:[Monetary Score]])</f>
        <v>16</v>
      </c>
      <c r="BC418">
        <f>(_xlfn.PERCENTRANK.INC(ifood_data[[#All],[RFM]],ifood_data[[#This Row],[RFM]],1))*10</f>
        <v>5</v>
      </c>
      <c r="BD418" t="str">
        <f>VLOOKUP(ifood_data[[#This Row],[RFM Score]],'RFM Analysis'!$A$3:$B$14,2,FALSE)</f>
        <v>Promising</v>
      </c>
      <c r="BE418">
        <f>'Regression Models'!$B$101+'Regression Models'!$B$102*ifood_data[[#This Row],[Income]]+'Regression Models'!$B$103*ifood_data[[#This Row],[Age]]+'Regression Models'!$B$104*ifood_data[[#This Row],[Family]]</f>
        <v>1031.0285925699136</v>
      </c>
      <c r="BF418" t="str">
        <f>IF(ifood_data[[#This Row],[AcceptedCmpOverall]]=1,"Campaign Respondent","Non-respondent")</f>
        <v>Campaign Respondent</v>
      </c>
    </row>
    <row r="419" spans="1:58" x14ac:dyDescent="0.35">
      <c r="A419">
        <v>1447</v>
      </c>
      <c r="B419">
        <v>79865</v>
      </c>
      <c r="C419">
        <v>0</v>
      </c>
      <c r="D419">
        <v>1</v>
      </c>
      <c r="E419">
        <v>12</v>
      </c>
      <c r="F419">
        <v>71</v>
      </c>
      <c r="G419">
        <v>99</v>
      </c>
      <c r="H419">
        <v>278</v>
      </c>
      <c r="I419">
        <v>185</v>
      </c>
      <c r="J419">
        <v>121</v>
      </c>
      <c r="K419">
        <v>38</v>
      </c>
      <c r="L419">
        <v>1</v>
      </c>
      <c r="M419">
        <v>5</v>
      </c>
      <c r="N419">
        <v>10</v>
      </c>
      <c r="O419">
        <v>5</v>
      </c>
      <c r="P419">
        <v>1</v>
      </c>
      <c r="Q419">
        <v>0</v>
      </c>
      <c r="R419">
        <v>0</v>
      </c>
      <c r="S419">
        <v>0</v>
      </c>
      <c r="T419">
        <v>0</v>
      </c>
      <c r="U419">
        <v>0</v>
      </c>
      <c r="V419">
        <f>IF(SUM(ifood_data[[#This Row],[AcceptedCmp1]:[AcceptedCmp5]])&gt;0,1,0)</f>
        <v>0</v>
      </c>
      <c r="W419">
        <v>0</v>
      </c>
      <c r="X419">
        <v>3</v>
      </c>
      <c r="Y419">
        <v>11</v>
      </c>
      <c r="Z419">
        <v>0</v>
      </c>
      <c r="AA419">
        <v>66</v>
      </c>
      <c r="AB419">
        <v>2170</v>
      </c>
      <c r="AC419" s="28">
        <f>ifood_data[[#This Row],[Customer_Days]]/365</f>
        <v>5.9452054794520546</v>
      </c>
      <c r="AD419">
        <v>1</v>
      </c>
      <c r="AE419">
        <v>0</v>
      </c>
      <c r="AF419">
        <v>0</v>
      </c>
      <c r="AG419">
        <v>0</v>
      </c>
      <c r="AH419">
        <v>0</v>
      </c>
      <c r="AI419">
        <v>0</v>
      </c>
      <c r="AJ419">
        <v>0</v>
      </c>
      <c r="AK419">
        <v>1</v>
      </c>
      <c r="AL419">
        <v>0</v>
      </c>
      <c r="AM419">
        <v>0</v>
      </c>
      <c r="AN419">
        <v>754</v>
      </c>
      <c r="AO419">
        <v>716</v>
      </c>
      <c r="AP419">
        <f>ifood_data[[#This Row],[MntTotal]]-ifood_data[[#This Row],[MntRegularProds]]</f>
        <v>38</v>
      </c>
      <c r="AQ419">
        <v>0</v>
      </c>
      <c r="AR419">
        <f>IF(SUM(ifood_data[[#This Row],[Kidhome]:[Teenhome]])&gt;0,1,0)</f>
        <v>1</v>
      </c>
      <c r="AS419" t="str">
        <f>IF(SUM(ifood_data[[#This Row],[Kidhome]:[Teenhome]])&gt;0,"Has Family","No Family")</f>
        <v>Has Family</v>
      </c>
      <c r="AT419" t="str">
        <f>IF(ifood_data[[#This Row],[marital_Married]]=1,"Married", (IF(ifood_data[[#This Row],[marital_Single]]=1,"Single",(IF(ifood_data[[#This Row],[marital_Divorced]]=1,"Divorced",(IF(ifood_data[[#This Row],[marital_Together]]=1,"Living Together",(IF(ifood_data[[#This Row],[marital_Widow]]=1,"Widow","Other")))))))))</f>
        <v>Divorced</v>
      </c>
      <c r="AU419" t="str">
        <f>IF(ifood_data[[#This Row],[education_Basic]]=1,"High School",(IF(ifood_data[[#This Row],[education_Graduation]]=1,"Undergraduate Degree",(IF(SUM(AM419,AL419,AI419)&gt;0,"Master's Degree or Higher","Other")))))</f>
        <v>Undergraduate Degree</v>
      </c>
      <c r="AV419" t="str">
        <f>IF(ifood_data[[#All],[Income]]&gt;75000,"75K+",(IF(ifood_data[[#All],[Income]]&gt;50000,"50K-75K",(IF(ifood_data[[#All],[Income]]&gt;35000,"35K-50K","&lt;35K")))))</f>
        <v>75K+</v>
      </c>
      <c r="AW419" t="str">
        <f>IF(ifood_data[[#All],[Age]]&gt;60,"60+",(IF(ifood_data[[#All],[Age]]&gt;50,"50-60",(IF(ifood_data[[#All],[Age]]&gt;40,"40-50",(IF(ifood_data[[#All],[Age]]&gt;30,"30-40","&lt;30")))))))</f>
        <v>60+</v>
      </c>
      <c r="AX419">
        <f t="shared" si="24"/>
        <v>22</v>
      </c>
      <c r="AY419">
        <f t="shared" si="25"/>
        <v>9</v>
      </c>
      <c r="AZ419">
        <f t="shared" si="26"/>
        <v>5</v>
      </c>
      <c r="BA419">
        <f t="shared" si="27"/>
        <v>6</v>
      </c>
      <c r="BB419">
        <f>SUM(ifood_data[[#This Row],[Recency Score]:[Monetary Score]])</f>
        <v>20</v>
      </c>
      <c r="BC419">
        <f>(_xlfn.PERCENTRANK.INC(ifood_data[[#All],[RFM]],ifood_data[[#This Row],[RFM]],1))*10</f>
        <v>7</v>
      </c>
      <c r="BD419" t="str">
        <f>VLOOKUP(ifood_data[[#This Row],[RFM Score]],'RFM Analysis'!$A$3:$B$14,2,FALSE)</f>
        <v>Loyal Customer</v>
      </c>
      <c r="BE419">
        <f>'Regression Models'!$B$101+'Regression Models'!$B$102*ifood_data[[#This Row],[Income]]+'Regression Models'!$B$103*ifood_data[[#This Row],[Age]]+'Regression Models'!$B$104*ifood_data[[#This Row],[Family]]</f>
        <v>1029.7151012579807</v>
      </c>
      <c r="BF419" t="str">
        <f>IF(ifood_data[[#This Row],[AcceptedCmpOverall]]=1,"Campaign Respondent","Non-respondent")</f>
        <v>Non-respondent</v>
      </c>
    </row>
    <row r="420" spans="1:58" x14ac:dyDescent="0.35">
      <c r="A420">
        <v>954</v>
      </c>
      <c r="B420">
        <v>77568</v>
      </c>
      <c r="C420">
        <v>0</v>
      </c>
      <c r="D420">
        <v>1</v>
      </c>
      <c r="E420">
        <v>30</v>
      </c>
      <c r="F420">
        <v>1230</v>
      </c>
      <c r="G420">
        <v>0</v>
      </c>
      <c r="H420">
        <v>396</v>
      </c>
      <c r="I420">
        <v>232</v>
      </c>
      <c r="J420">
        <v>178</v>
      </c>
      <c r="K420">
        <v>158</v>
      </c>
      <c r="L420">
        <v>1</v>
      </c>
      <c r="M420">
        <v>10</v>
      </c>
      <c r="N420">
        <v>2</v>
      </c>
      <c r="O420">
        <v>8</v>
      </c>
      <c r="P420">
        <v>5</v>
      </c>
      <c r="Q420">
        <v>1</v>
      </c>
      <c r="R420">
        <v>0</v>
      </c>
      <c r="S420">
        <v>0</v>
      </c>
      <c r="T420">
        <v>1</v>
      </c>
      <c r="U420">
        <v>1</v>
      </c>
      <c r="V420">
        <f>IF(SUM(ifood_data[[#This Row],[AcceptedCmp1]:[AcceptedCmp5]])&gt;0,1,0)</f>
        <v>1</v>
      </c>
      <c r="W420">
        <v>0</v>
      </c>
      <c r="X420">
        <v>3</v>
      </c>
      <c r="Y420">
        <v>11</v>
      </c>
      <c r="Z420">
        <v>0</v>
      </c>
      <c r="AA420">
        <v>41</v>
      </c>
      <c r="AB420">
        <v>2832</v>
      </c>
      <c r="AC420" s="28">
        <f>ifood_data[[#This Row],[Customer_Days]]/365</f>
        <v>7.7589041095890412</v>
      </c>
      <c r="AD420">
        <v>0</v>
      </c>
      <c r="AE420">
        <v>0</v>
      </c>
      <c r="AF420">
        <v>0</v>
      </c>
      <c r="AG420">
        <v>1</v>
      </c>
      <c r="AH420">
        <v>0</v>
      </c>
      <c r="AI420">
        <v>0</v>
      </c>
      <c r="AJ420">
        <v>0</v>
      </c>
      <c r="AK420">
        <v>1</v>
      </c>
      <c r="AL420">
        <v>0</v>
      </c>
      <c r="AM420">
        <v>0</v>
      </c>
      <c r="AN420">
        <v>2036</v>
      </c>
      <c r="AO420">
        <v>1878</v>
      </c>
      <c r="AP420">
        <f>ifood_data[[#This Row],[MntTotal]]-ifood_data[[#This Row],[MntRegularProds]]</f>
        <v>158</v>
      </c>
      <c r="AQ420">
        <v>3</v>
      </c>
      <c r="AR420">
        <f>IF(SUM(ifood_data[[#This Row],[Kidhome]:[Teenhome]])&gt;0,1,0)</f>
        <v>1</v>
      </c>
      <c r="AS420" t="str">
        <f>IF(SUM(ifood_data[[#This Row],[Kidhome]:[Teenhome]])&gt;0,"Has Family","No Family")</f>
        <v>Has Family</v>
      </c>
      <c r="AT420" t="str">
        <f>IF(ifood_data[[#This Row],[marital_Married]]=1,"Married", (IF(ifood_data[[#This Row],[marital_Single]]=1,"Single",(IF(ifood_data[[#This Row],[marital_Divorced]]=1,"Divorced",(IF(ifood_data[[#This Row],[marital_Together]]=1,"Living Together",(IF(ifood_data[[#This Row],[marital_Widow]]=1,"Widow","Other")))))))))</f>
        <v>Living Together</v>
      </c>
      <c r="AU420" t="str">
        <f>IF(ifood_data[[#This Row],[education_Basic]]=1,"High School",(IF(ifood_data[[#This Row],[education_Graduation]]=1,"Undergraduate Degree",(IF(SUM(AM420,AL420,AI420)&gt;0,"Master's Degree or Higher","Other")))))</f>
        <v>Undergraduate Degree</v>
      </c>
      <c r="AV420" t="str">
        <f>IF(ifood_data[[#All],[Income]]&gt;75000,"75K+",(IF(ifood_data[[#All],[Income]]&gt;50000,"50K-75K",(IF(ifood_data[[#All],[Income]]&gt;35000,"35K-50K","&lt;35K")))))</f>
        <v>75K+</v>
      </c>
      <c r="AW420" t="str">
        <f>IF(ifood_data[[#All],[Age]]&gt;60,"60+",(IF(ifood_data[[#All],[Age]]&gt;50,"50-60",(IF(ifood_data[[#All],[Age]]&gt;40,"40-50",(IF(ifood_data[[#All],[Age]]&gt;30,"30-40","&lt;30")))))))</f>
        <v>40-50</v>
      </c>
      <c r="AX420">
        <f t="shared" si="24"/>
        <v>26</v>
      </c>
      <c r="AY420">
        <f t="shared" si="25"/>
        <v>7</v>
      </c>
      <c r="AZ420">
        <f t="shared" si="26"/>
        <v>7</v>
      </c>
      <c r="BA420">
        <f t="shared" si="27"/>
        <v>9</v>
      </c>
      <c r="BB420">
        <f>SUM(ifood_data[[#This Row],[Recency Score]:[Monetary Score]])</f>
        <v>23</v>
      </c>
      <c r="BC420">
        <f>(_xlfn.PERCENTRANK.INC(ifood_data[[#All],[RFM]],ifood_data[[#This Row],[RFM]],1))*10</f>
        <v>8</v>
      </c>
      <c r="BD420" t="str">
        <f>VLOOKUP(ifood_data[[#This Row],[RFM Score]],'RFM Analysis'!$A$3:$B$14,2,FALSE)</f>
        <v>Loyal Customer</v>
      </c>
      <c r="BE420">
        <f>'Regression Models'!$B$101+'Regression Models'!$B$102*ifood_data[[#This Row],[Income]]+'Regression Models'!$B$103*ifood_data[[#This Row],[Age]]+'Regression Models'!$B$104*ifood_data[[#This Row],[Family]]</f>
        <v>1028.7930778038017</v>
      </c>
      <c r="BF420" t="str">
        <f>IF(ifood_data[[#This Row],[AcceptedCmpOverall]]=1,"Campaign Respondent","Non-respondent")</f>
        <v>Campaign Respondent</v>
      </c>
    </row>
    <row r="421" spans="1:58" x14ac:dyDescent="0.35">
      <c r="A421">
        <v>638</v>
      </c>
      <c r="B421">
        <v>77353</v>
      </c>
      <c r="C421">
        <v>0</v>
      </c>
      <c r="D421">
        <v>1</v>
      </c>
      <c r="E421">
        <v>38</v>
      </c>
      <c r="F421">
        <v>275</v>
      </c>
      <c r="G421">
        <v>59</v>
      </c>
      <c r="H421">
        <v>107</v>
      </c>
      <c r="I421">
        <v>69</v>
      </c>
      <c r="J421">
        <v>101</v>
      </c>
      <c r="K421">
        <v>59</v>
      </c>
      <c r="L421">
        <v>2</v>
      </c>
      <c r="M421">
        <v>6</v>
      </c>
      <c r="N421">
        <v>4</v>
      </c>
      <c r="O421">
        <v>8</v>
      </c>
      <c r="P421">
        <v>4</v>
      </c>
      <c r="Q421">
        <v>0</v>
      </c>
      <c r="R421">
        <v>0</v>
      </c>
      <c r="S421">
        <v>0</v>
      </c>
      <c r="T421">
        <v>0</v>
      </c>
      <c r="U421">
        <v>0</v>
      </c>
      <c r="V421">
        <f>IF(SUM(ifood_data[[#This Row],[AcceptedCmp1]:[AcceptedCmp5]])&gt;0,1,0)</f>
        <v>0</v>
      </c>
      <c r="W421">
        <v>0</v>
      </c>
      <c r="X421">
        <v>3</v>
      </c>
      <c r="Y421">
        <v>11</v>
      </c>
      <c r="Z421">
        <v>0</v>
      </c>
      <c r="AA421">
        <v>40</v>
      </c>
      <c r="AB421">
        <v>2354</v>
      </c>
      <c r="AC421" s="28">
        <f>ifood_data[[#This Row],[Customer_Days]]/365</f>
        <v>6.4493150684931511</v>
      </c>
      <c r="AD421">
        <v>0</v>
      </c>
      <c r="AE421">
        <v>1</v>
      </c>
      <c r="AF421">
        <v>0</v>
      </c>
      <c r="AG421">
        <v>0</v>
      </c>
      <c r="AH421">
        <v>0</v>
      </c>
      <c r="AI421">
        <v>0</v>
      </c>
      <c r="AJ421">
        <v>0</v>
      </c>
      <c r="AK421">
        <v>1</v>
      </c>
      <c r="AL421">
        <v>0</v>
      </c>
      <c r="AM421">
        <v>0</v>
      </c>
      <c r="AN421">
        <v>611</v>
      </c>
      <c r="AO421">
        <v>552</v>
      </c>
      <c r="AP421">
        <f>ifood_data[[#This Row],[MntTotal]]-ifood_data[[#This Row],[MntRegularProds]]</f>
        <v>59</v>
      </c>
      <c r="AQ421">
        <v>0</v>
      </c>
      <c r="AR421">
        <f>IF(SUM(ifood_data[[#This Row],[Kidhome]:[Teenhome]])&gt;0,1,0)</f>
        <v>1</v>
      </c>
      <c r="AS421" t="str">
        <f>IF(SUM(ifood_data[[#This Row],[Kidhome]:[Teenhome]])&gt;0,"Has Family","No Family")</f>
        <v>Has Family</v>
      </c>
      <c r="AT421" t="str">
        <f>IF(ifood_data[[#This Row],[marital_Married]]=1,"Married", (IF(ifood_data[[#This Row],[marital_Single]]=1,"Single",(IF(ifood_data[[#This Row],[marital_Divorced]]=1,"Divorced",(IF(ifood_data[[#This Row],[marital_Together]]=1,"Living Together",(IF(ifood_data[[#This Row],[marital_Widow]]=1,"Widow","Other")))))))))</f>
        <v>Married</v>
      </c>
      <c r="AU421" t="str">
        <f>IF(ifood_data[[#This Row],[education_Basic]]=1,"High School",(IF(ifood_data[[#This Row],[education_Graduation]]=1,"Undergraduate Degree",(IF(SUM(AM421,AL421,AI421)&gt;0,"Master's Degree or Higher","Other")))))</f>
        <v>Undergraduate Degree</v>
      </c>
      <c r="AV421" t="str">
        <f>IF(ifood_data[[#All],[Income]]&gt;75000,"75K+",(IF(ifood_data[[#All],[Income]]&gt;50000,"50K-75K",(IF(ifood_data[[#All],[Income]]&gt;35000,"35K-50K","&lt;35K")))))</f>
        <v>75K+</v>
      </c>
      <c r="AW421" t="str">
        <f>IF(ifood_data[[#All],[Age]]&gt;60,"60+",(IF(ifood_data[[#All],[Age]]&gt;50,"50-60",(IF(ifood_data[[#All],[Age]]&gt;40,"40-50",(IF(ifood_data[[#All],[Age]]&gt;30,"30-40","&lt;30")))))))</f>
        <v>30-40</v>
      </c>
      <c r="AX421">
        <f t="shared" si="24"/>
        <v>24</v>
      </c>
      <c r="AY421">
        <f t="shared" si="25"/>
        <v>7</v>
      </c>
      <c r="AZ421">
        <f t="shared" si="26"/>
        <v>6</v>
      </c>
      <c r="BA421">
        <f t="shared" si="27"/>
        <v>6</v>
      </c>
      <c r="BB421">
        <f>SUM(ifood_data[[#This Row],[Recency Score]:[Monetary Score]])</f>
        <v>19</v>
      </c>
      <c r="BC421">
        <f>(_xlfn.PERCENTRANK.INC(ifood_data[[#All],[RFM]],ifood_data[[#This Row],[RFM]],1))*10</f>
        <v>7</v>
      </c>
      <c r="BD421" t="str">
        <f>VLOOKUP(ifood_data[[#This Row],[RFM Score]],'RFM Analysis'!$A$3:$B$14,2,FALSE)</f>
        <v>Loyal Customer</v>
      </c>
      <c r="BE421">
        <f>'Regression Models'!$B$101+'Regression Models'!$B$102*ifood_data[[#This Row],[Income]]+'Regression Models'!$B$103*ifood_data[[#This Row],[Age]]+'Regression Models'!$B$104*ifood_data[[#This Row],[Family]]</f>
        <v>1026.2459317317575</v>
      </c>
      <c r="BF421" t="str">
        <f>IF(ifood_data[[#This Row],[AcceptedCmpOverall]]=1,"Campaign Respondent","Non-respondent")</f>
        <v>Non-respondent</v>
      </c>
    </row>
    <row r="422" spans="1:58" x14ac:dyDescent="0.35">
      <c r="A422">
        <v>1616</v>
      </c>
      <c r="B422">
        <v>77981</v>
      </c>
      <c r="C422">
        <v>1</v>
      </c>
      <c r="D422">
        <v>0</v>
      </c>
      <c r="E422">
        <v>78</v>
      </c>
      <c r="F422">
        <v>138</v>
      </c>
      <c r="G422">
        <v>120</v>
      </c>
      <c r="H422">
        <v>204</v>
      </c>
      <c r="I422">
        <v>16</v>
      </c>
      <c r="J422">
        <v>126</v>
      </c>
      <c r="K422">
        <v>60</v>
      </c>
      <c r="L422">
        <v>3</v>
      </c>
      <c r="M422">
        <v>7</v>
      </c>
      <c r="N422">
        <v>4</v>
      </c>
      <c r="O422">
        <v>7</v>
      </c>
      <c r="P422">
        <v>5</v>
      </c>
      <c r="Q422">
        <v>0</v>
      </c>
      <c r="R422">
        <v>0</v>
      </c>
      <c r="S422">
        <v>0</v>
      </c>
      <c r="T422">
        <v>0</v>
      </c>
      <c r="U422">
        <v>0</v>
      </c>
      <c r="V422">
        <f>IF(SUM(ifood_data[[#This Row],[AcceptedCmp1]:[AcceptedCmp5]])&gt;0,1,0)</f>
        <v>0</v>
      </c>
      <c r="W422">
        <v>0</v>
      </c>
      <c r="X422">
        <v>3</v>
      </c>
      <c r="Y422">
        <v>11</v>
      </c>
      <c r="Z422">
        <v>0</v>
      </c>
      <c r="AA422">
        <v>48</v>
      </c>
      <c r="AB422">
        <v>2558</v>
      </c>
      <c r="AC422" s="28">
        <f>ifood_data[[#This Row],[Customer_Days]]/365</f>
        <v>7.0082191780821921</v>
      </c>
      <c r="AD422">
        <v>0</v>
      </c>
      <c r="AE422">
        <v>1</v>
      </c>
      <c r="AF422">
        <v>0</v>
      </c>
      <c r="AG422">
        <v>0</v>
      </c>
      <c r="AH422">
        <v>0</v>
      </c>
      <c r="AI422">
        <v>0</v>
      </c>
      <c r="AJ422">
        <v>0</v>
      </c>
      <c r="AK422">
        <v>1</v>
      </c>
      <c r="AL422">
        <v>0</v>
      </c>
      <c r="AM422">
        <v>0</v>
      </c>
      <c r="AN422">
        <v>604</v>
      </c>
      <c r="AO422">
        <v>544</v>
      </c>
      <c r="AP422">
        <f>ifood_data[[#This Row],[MntTotal]]-ifood_data[[#This Row],[MntRegularProds]]</f>
        <v>60</v>
      </c>
      <c r="AQ422">
        <v>0</v>
      </c>
      <c r="AR422">
        <f>IF(SUM(ifood_data[[#This Row],[Kidhome]:[Teenhome]])&gt;0,1,0)</f>
        <v>1</v>
      </c>
      <c r="AS422" t="str">
        <f>IF(SUM(ifood_data[[#This Row],[Kidhome]:[Teenhome]])&gt;0,"Has Family","No Family")</f>
        <v>Has Family</v>
      </c>
      <c r="AT422" t="str">
        <f>IF(ifood_data[[#This Row],[marital_Married]]=1,"Married", (IF(ifood_data[[#This Row],[marital_Single]]=1,"Single",(IF(ifood_data[[#This Row],[marital_Divorced]]=1,"Divorced",(IF(ifood_data[[#This Row],[marital_Together]]=1,"Living Together",(IF(ifood_data[[#This Row],[marital_Widow]]=1,"Widow","Other")))))))))</f>
        <v>Married</v>
      </c>
      <c r="AU422" t="str">
        <f>IF(ifood_data[[#This Row],[education_Basic]]=1,"High School",(IF(ifood_data[[#This Row],[education_Graduation]]=1,"Undergraduate Degree",(IF(SUM(AM422,AL422,AI422)&gt;0,"Master's Degree or Higher","Other")))))</f>
        <v>Undergraduate Degree</v>
      </c>
      <c r="AV422" t="str">
        <f>IF(ifood_data[[#All],[Income]]&gt;75000,"75K+",(IF(ifood_data[[#All],[Income]]&gt;50000,"50K-75K",(IF(ifood_data[[#All],[Income]]&gt;35000,"35K-50K","&lt;35K")))))</f>
        <v>75K+</v>
      </c>
      <c r="AW422" t="str">
        <f>IF(ifood_data[[#All],[Age]]&gt;60,"60+",(IF(ifood_data[[#All],[Age]]&gt;50,"50-60",(IF(ifood_data[[#All],[Age]]&gt;40,"40-50",(IF(ifood_data[[#All],[Age]]&gt;30,"30-40","&lt;30")))))))</f>
        <v>40-50</v>
      </c>
      <c r="AX422">
        <f t="shared" si="24"/>
        <v>26</v>
      </c>
      <c r="AY422">
        <f t="shared" si="25"/>
        <v>3.0000000000000004</v>
      </c>
      <c r="AZ422">
        <f t="shared" si="26"/>
        <v>7</v>
      </c>
      <c r="BA422">
        <f t="shared" si="27"/>
        <v>6</v>
      </c>
      <c r="BB422">
        <f>SUM(ifood_data[[#This Row],[Recency Score]:[Monetary Score]])</f>
        <v>16</v>
      </c>
      <c r="BC422">
        <f>(_xlfn.PERCENTRANK.INC(ifood_data[[#All],[RFM]],ifood_data[[#This Row],[RFM]],1))*10</f>
        <v>5</v>
      </c>
      <c r="BD422" t="str">
        <f>VLOOKUP(ifood_data[[#This Row],[RFM Score]],'RFM Analysis'!$A$3:$B$14,2,FALSE)</f>
        <v>Promising</v>
      </c>
      <c r="BE422">
        <f>'Regression Models'!$B$101+'Regression Models'!$B$102*ifood_data[[#This Row],[Income]]+'Regression Models'!$B$103*ifood_data[[#This Row],[Age]]+'Regression Models'!$B$104*ifood_data[[#This Row],[Family]]</f>
        <v>1024.358565494972</v>
      </c>
      <c r="BF422" t="str">
        <f>IF(ifood_data[[#This Row],[AcceptedCmpOverall]]=1,"Campaign Respondent","Non-respondent")</f>
        <v>Non-respondent</v>
      </c>
    </row>
    <row r="423" spans="1:58" x14ac:dyDescent="0.35">
      <c r="A423">
        <v>1171</v>
      </c>
      <c r="B423">
        <v>66000</v>
      </c>
      <c r="C423">
        <v>0</v>
      </c>
      <c r="D423">
        <v>0</v>
      </c>
      <c r="E423">
        <v>36</v>
      </c>
      <c r="F423">
        <v>244</v>
      </c>
      <c r="G423">
        <v>51</v>
      </c>
      <c r="H423">
        <v>270</v>
      </c>
      <c r="I423">
        <v>101</v>
      </c>
      <c r="J423">
        <v>0</v>
      </c>
      <c r="K423">
        <v>45</v>
      </c>
      <c r="L423">
        <v>1</v>
      </c>
      <c r="M423">
        <v>1</v>
      </c>
      <c r="N423">
        <v>3</v>
      </c>
      <c r="O423">
        <v>5</v>
      </c>
      <c r="P423">
        <v>1</v>
      </c>
      <c r="Q423">
        <v>0</v>
      </c>
      <c r="R423">
        <v>0</v>
      </c>
      <c r="S423">
        <v>0</v>
      </c>
      <c r="T423">
        <v>0</v>
      </c>
      <c r="U423">
        <v>0</v>
      </c>
      <c r="V423">
        <f>IF(SUM(ifood_data[[#This Row],[AcceptedCmp1]:[AcceptedCmp5]])&gt;0,1,0)</f>
        <v>0</v>
      </c>
      <c r="W423">
        <v>0</v>
      </c>
      <c r="X423">
        <v>3</v>
      </c>
      <c r="Y423">
        <v>11</v>
      </c>
      <c r="Z423">
        <v>0</v>
      </c>
      <c r="AA423">
        <v>73</v>
      </c>
      <c r="AB423">
        <v>2229</v>
      </c>
      <c r="AC423" s="28">
        <f>ifood_data[[#This Row],[Customer_Days]]/365</f>
        <v>6.1068493150684935</v>
      </c>
      <c r="AD423">
        <v>0</v>
      </c>
      <c r="AE423">
        <v>0</v>
      </c>
      <c r="AF423">
        <v>0</v>
      </c>
      <c r="AG423">
        <v>1</v>
      </c>
      <c r="AH423">
        <v>0</v>
      </c>
      <c r="AI423">
        <v>0</v>
      </c>
      <c r="AJ423">
        <v>0</v>
      </c>
      <c r="AK423">
        <v>0</v>
      </c>
      <c r="AL423">
        <v>1</v>
      </c>
      <c r="AM423">
        <v>0</v>
      </c>
      <c r="AN423">
        <v>666</v>
      </c>
      <c r="AO423">
        <v>621</v>
      </c>
      <c r="AP423">
        <f>ifood_data[[#This Row],[MntTotal]]-ifood_data[[#This Row],[MntRegularProds]]</f>
        <v>45</v>
      </c>
      <c r="AQ423">
        <v>0</v>
      </c>
      <c r="AR423">
        <f>IF(SUM(ifood_data[[#This Row],[Kidhome]:[Teenhome]])&gt;0,1,0)</f>
        <v>0</v>
      </c>
      <c r="AS423" t="str">
        <f>IF(SUM(ifood_data[[#This Row],[Kidhome]:[Teenhome]])&gt;0,"Has Family","No Family")</f>
        <v>No Family</v>
      </c>
      <c r="AT423" t="str">
        <f>IF(ifood_data[[#This Row],[marital_Married]]=1,"Married", (IF(ifood_data[[#This Row],[marital_Single]]=1,"Single",(IF(ifood_data[[#This Row],[marital_Divorced]]=1,"Divorced",(IF(ifood_data[[#This Row],[marital_Together]]=1,"Living Together",(IF(ifood_data[[#This Row],[marital_Widow]]=1,"Widow","Other")))))))))</f>
        <v>Living Together</v>
      </c>
      <c r="AU423" t="str">
        <f>IF(ifood_data[[#This Row],[education_Basic]]=1,"High School",(IF(ifood_data[[#This Row],[education_Graduation]]=1,"Undergraduate Degree",(IF(SUM(AM423,AL423,AI423)&gt;0,"Master's Degree or Higher","Other")))))</f>
        <v>Master's Degree or Higher</v>
      </c>
      <c r="AV423" t="str">
        <f>IF(ifood_data[[#All],[Income]]&gt;75000,"75K+",(IF(ifood_data[[#All],[Income]]&gt;50000,"50K-75K",(IF(ifood_data[[#All],[Income]]&gt;35000,"35K-50K","&lt;35K")))))</f>
        <v>50K-75K</v>
      </c>
      <c r="AW423" t="str">
        <f>IF(ifood_data[[#All],[Age]]&gt;60,"60+",(IF(ifood_data[[#All],[Age]]&gt;50,"50-60",(IF(ifood_data[[#All],[Age]]&gt;40,"40-50",(IF(ifood_data[[#All],[Age]]&gt;30,"30-40","&lt;30")))))))</f>
        <v>60+</v>
      </c>
      <c r="AX423">
        <f t="shared" si="24"/>
        <v>11</v>
      </c>
      <c r="AY423">
        <f t="shared" si="25"/>
        <v>7</v>
      </c>
      <c r="AZ423">
        <f t="shared" si="26"/>
        <v>0</v>
      </c>
      <c r="BA423">
        <f t="shared" si="27"/>
        <v>6</v>
      </c>
      <c r="BB423">
        <f>SUM(ifood_data[[#This Row],[Recency Score]:[Monetary Score]])</f>
        <v>13</v>
      </c>
      <c r="BC423">
        <f>(_xlfn.PERCENTRANK.INC(ifood_data[[#All],[RFM]],ifood_data[[#This Row],[RFM]],1))*10</f>
        <v>3</v>
      </c>
      <c r="BD423" t="str">
        <f>VLOOKUP(ifood_data[[#This Row],[RFM Score]],'RFM Analysis'!$A$3:$B$14,2,FALSE)</f>
        <v>At Risk</v>
      </c>
      <c r="BE423">
        <f>'Regression Models'!$B$101+'Regression Models'!$B$102*ifood_data[[#This Row],[Income]]+'Regression Models'!$B$103*ifood_data[[#This Row],[Age]]+'Regression Models'!$B$104*ifood_data[[#This Row],[Family]]</f>
        <v>1023.7833884635778</v>
      </c>
      <c r="BF423" t="str">
        <f>IF(ifood_data[[#This Row],[AcceptedCmpOverall]]=1,"Campaign Respondent","Non-respondent")</f>
        <v>Non-respondent</v>
      </c>
    </row>
    <row r="424" spans="1:58" x14ac:dyDescent="0.35">
      <c r="A424">
        <v>101</v>
      </c>
      <c r="B424">
        <v>77298</v>
      </c>
      <c r="C424">
        <v>0</v>
      </c>
      <c r="D424">
        <v>1</v>
      </c>
      <c r="E424">
        <v>46</v>
      </c>
      <c r="F424">
        <v>425</v>
      </c>
      <c r="G424">
        <v>115</v>
      </c>
      <c r="H424">
        <v>292</v>
      </c>
      <c r="I424">
        <v>23</v>
      </c>
      <c r="J424">
        <v>35</v>
      </c>
      <c r="K424">
        <v>79</v>
      </c>
      <c r="L424">
        <v>1</v>
      </c>
      <c r="M424">
        <v>6</v>
      </c>
      <c r="N424">
        <v>6</v>
      </c>
      <c r="O424">
        <v>11</v>
      </c>
      <c r="P424">
        <v>3</v>
      </c>
      <c r="Q424">
        <v>0</v>
      </c>
      <c r="R424">
        <v>0</v>
      </c>
      <c r="S424">
        <v>0</v>
      </c>
      <c r="T424">
        <v>0</v>
      </c>
      <c r="U424">
        <v>0</v>
      </c>
      <c r="V424">
        <f>IF(SUM(ifood_data[[#This Row],[AcceptedCmp1]:[AcceptedCmp5]])&gt;0,1,0)</f>
        <v>0</v>
      </c>
      <c r="W424">
        <v>0</v>
      </c>
      <c r="X424">
        <v>3</v>
      </c>
      <c r="Y424">
        <v>11</v>
      </c>
      <c r="Z424">
        <v>0</v>
      </c>
      <c r="AA424">
        <v>41</v>
      </c>
      <c r="AB424">
        <v>2398</v>
      </c>
      <c r="AC424" s="28">
        <f>ifood_data[[#This Row],[Customer_Days]]/365</f>
        <v>6.5698630136986305</v>
      </c>
      <c r="AD424">
        <v>0</v>
      </c>
      <c r="AE424">
        <v>0</v>
      </c>
      <c r="AF424">
        <v>0</v>
      </c>
      <c r="AG424">
        <v>1</v>
      </c>
      <c r="AH424">
        <v>0</v>
      </c>
      <c r="AI424">
        <v>0</v>
      </c>
      <c r="AJ424">
        <v>0</v>
      </c>
      <c r="AK424">
        <v>1</v>
      </c>
      <c r="AL424">
        <v>0</v>
      </c>
      <c r="AM424">
        <v>0</v>
      </c>
      <c r="AN424">
        <v>890</v>
      </c>
      <c r="AO424">
        <v>811</v>
      </c>
      <c r="AP424">
        <f>ifood_data[[#This Row],[MntTotal]]-ifood_data[[#This Row],[MntRegularProds]]</f>
        <v>79</v>
      </c>
      <c r="AQ424">
        <v>0</v>
      </c>
      <c r="AR424">
        <f>IF(SUM(ifood_data[[#This Row],[Kidhome]:[Teenhome]])&gt;0,1,0)</f>
        <v>1</v>
      </c>
      <c r="AS424" t="str">
        <f>IF(SUM(ifood_data[[#This Row],[Kidhome]:[Teenhome]])&gt;0,"Has Family","No Family")</f>
        <v>Has Family</v>
      </c>
      <c r="AT424" t="str">
        <f>IF(ifood_data[[#This Row],[marital_Married]]=1,"Married", (IF(ifood_data[[#This Row],[marital_Single]]=1,"Single",(IF(ifood_data[[#This Row],[marital_Divorced]]=1,"Divorced",(IF(ifood_data[[#This Row],[marital_Together]]=1,"Living Together",(IF(ifood_data[[#This Row],[marital_Widow]]=1,"Widow","Other")))))))))</f>
        <v>Living Together</v>
      </c>
      <c r="AU424" t="str">
        <f>IF(ifood_data[[#This Row],[education_Basic]]=1,"High School",(IF(ifood_data[[#This Row],[education_Graduation]]=1,"Undergraduate Degree",(IF(SUM(AM424,AL424,AI424)&gt;0,"Master's Degree or Higher","Other")))))</f>
        <v>Undergraduate Degree</v>
      </c>
      <c r="AV424" t="str">
        <f>IF(ifood_data[[#All],[Income]]&gt;75000,"75K+",(IF(ifood_data[[#All],[Income]]&gt;50000,"50K-75K",(IF(ifood_data[[#All],[Income]]&gt;35000,"35K-50K","&lt;35K")))))</f>
        <v>75K+</v>
      </c>
      <c r="AW424" t="str">
        <f>IF(ifood_data[[#All],[Age]]&gt;60,"60+",(IF(ifood_data[[#All],[Age]]&gt;50,"50-60",(IF(ifood_data[[#All],[Age]]&gt;40,"40-50",(IF(ifood_data[[#All],[Age]]&gt;30,"30-40","&lt;30")))))))</f>
        <v>40-50</v>
      </c>
      <c r="AX424">
        <f t="shared" si="24"/>
        <v>27</v>
      </c>
      <c r="AY424">
        <f t="shared" si="25"/>
        <v>6</v>
      </c>
      <c r="AZ424">
        <f t="shared" si="26"/>
        <v>7</v>
      </c>
      <c r="BA424">
        <f t="shared" si="27"/>
        <v>7</v>
      </c>
      <c r="BB424">
        <f>SUM(ifood_data[[#This Row],[Recency Score]:[Monetary Score]])</f>
        <v>20</v>
      </c>
      <c r="BC424">
        <f>(_xlfn.PERCENTRANK.INC(ifood_data[[#All],[RFM]],ifood_data[[#This Row],[RFM]],1))*10</f>
        <v>7</v>
      </c>
      <c r="BD424" t="str">
        <f>VLOOKUP(ifood_data[[#This Row],[RFM Score]],'RFM Analysis'!$A$3:$B$14,2,FALSE)</f>
        <v>Loyal Customer</v>
      </c>
      <c r="BE424">
        <f>'Regression Models'!$B$101+'Regression Models'!$B$102*ifood_data[[#This Row],[Income]]+'Regression Models'!$B$103*ifood_data[[#This Row],[Age]]+'Regression Models'!$B$104*ifood_data[[#This Row],[Family]]</f>
        <v>1023.288110404949</v>
      </c>
      <c r="BF424" t="str">
        <f>IF(ifood_data[[#This Row],[AcceptedCmpOverall]]=1,"Campaign Respondent","Non-respondent")</f>
        <v>Non-respondent</v>
      </c>
    </row>
    <row r="425" spans="1:58" x14ac:dyDescent="0.35">
      <c r="A425">
        <v>1758</v>
      </c>
      <c r="B425">
        <v>64849</v>
      </c>
      <c r="C425">
        <v>0</v>
      </c>
      <c r="D425">
        <v>0</v>
      </c>
      <c r="E425">
        <v>42</v>
      </c>
      <c r="F425">
        <v>652</v>
      </c>
      <c r="G425">
        <v>48</v>
      </c>
      <c r="H425">
        <v>350</v>
      </c>
      <c r="I425">
        <v>94</v>
      </c>
      <c r="J425">
        <v>84</v>
      </c>
      <c r="K425">
        <v>108</v>
      </c>
      <c r="L425">
        <v>1</v>
      </c>
      <c r="M425">
        <v>9</v>
      </c>
      <c r="N425">
        <v>3</v>
      </c>
      <c r="O425">
        <v>6</v>
      </c>
      <c r="P425">
        <v>5</v>
      </c>
      <c r="Q425">
        <v>0</v>
      </c>
      <c r="R425">
        <v>0</v>
      </c>
      <c r="S425">
        <v>0</v>
      </c>
      <c r="T425">
        <v>0</v>
      </c>
      <c r="U425">
        <v>0</v>
      </c>
      <c r="V425">
        <f>IF(SUM(ifood_data[[#This Row],[AcceptedCmp1]:[AcceptedCmp5]])&gt;0,1,0)</f>
        <v>0</v>
      </c>
      <c r="W425">
        <v>0</v>
      </c>
      <c r="X425">
        <v>3</v>
      </c>
      <c r="Y425">
        <v>11</v>
      </c>
      <c r="Z425">
        <v>1</v>
      </c>
      <c r="AA425">
        <v>63</v>
      </c>
      <c r="AB425">
        <v>2752</v>
      </c>
      <c r="AC425" s="28">
        <f>ifood_data[[#This Row],[Customer_Days]]/365</f>
        <v>7.5397260273972604</v>
      </c>
      <c r="AD425">
        <v>0</v>
      </c>
      <c r="AE425">
        <v>0</v>
      </c>
      <c r="AF425">
        <v>1</v>
      </c>
      <c r="AG425">
        <v>0</v>
      </c>
      <c r="AH425">
        <v>0</v>
      </c>
      <c r="AI425">
        <v>0</v>
      </c>
      <c r="AJ425">
        <v>0</v>
      </c>
      <c r="AK425">
        <v>1</v>
      </c>
      <c r="AL425">
        <v>0</v>
      </c>
      <c r="AM425">
        <v>0</v>
      </c>
      <c r="AN425">
        <v>1228</v>
      </c>
      <c r="AO425">
        <v>1120</v>
      </c>
      <c r="AP425">
        <f>ifood_data[[#This Row],[MntTotal]]-ifood_data[[#This Row],[MntRegularProds]]</f>
        <v>108</v>
      </c>
      <c r="AQ425">
        <v>0</v>
      </c>
      <c r="AR425">
        <f>IF(SUM(ifood_data[[#This Row],[Kidhome]:[Teenhome]])&gt;0,1,0)</f>
        <v>0</v>
      </c>
      <c r="AS425" t="str">
        <f>IF(SUM(ifood_data[[#This Row],[Kidhome]:[Teenhome]])&gt;0,"Has Family","No Family")</f>
        <v>No Family</v>
      </c>
      <c r="AT425" t="str">
        <f>IF(ifood_data[[#This Row],[marital_Married]]=1,"Married", (IF(ifood_data[[#This Row],[marital_Single]]=1,"Single",(IF(ifood_data[[#This Row],[marital_Divorced]]=1,"Divorced",(IF(ifood_data[[#This Row],[marital_Together]]=1,"Living Together",(IF(ifood_data[[#This Row],[marital_Widow]]=1,"Widow","Other")))))))))</f>
        <v>Single</v>
      </c>
      <c r="AU425" t="str">
        <f>IF(ifood_data[[#This Row],[education_Basic]]=1,"High School",(IF(ifood_data[[#This Row],[education_Graduation]]=1,"Undergraduate Degree",(IF(SUM(AM425,AL425,AI425)&gt;0,"Master's Degree or Higher","Other")))))</f>
        <v>Undergraduate Degree</v>
      </c>
      <c r="AV425" t="str">
        <f>IF(ifood_data[[#All],[Income]]&gt;75000,"75K+",(IF(ifood_data[[#All],[Income]]&gt;50000,"50K-75K",(IF(ifood_data[[#All],[Income]]&gt;35000,"35K-50K","&lt;35K")))))</f>
        <v>50K-75K</v>
      </c>
      <c r="AW425" t="str">
        <f>IF(ifood_data[[#All],[Age]]&gt;60,"60+",(IF(ifood_data[[#All],[Age]]&gt;50,"50-60",(IF(ifood_data[[#All],[Age]]&gt;40,"40-50",(IF(ifood_data[[#All],[Age]]&gt;30,"30-40","&lt;30")))))))</f>
        <v>60+</v>
      </c>
      <c r="AX425">
        <f t="shared" si="24"/>
        <v>24</v>
      </c>
      <c r="AY425">
        <f t="shared" si="25"/>
        <v>6</v>
      </c>
      <c r="AZ425">
        <f t="shared" si="26"/>
        <v>6</v>
      </c>
      <c r="BA425">
        <f t="shared" si="27"/>
        <v>8</v>
      </c>
      <c r="BB425">
        <f>SUM(ifood_data[[#This Row],[Recency Score]:[Monetary Score]])</f>
        <v>20</v>
      </c>
      <c r="BC425">
        <f>(_xlfn.PERCENTRANK.INC(ifood_data[[#All],[RFM]],ifood_data[[#This Row],[RFM]],1))*10</f>
        <v>7</v>
      </c>
      <c r="BD425" t="str">
        <f>VLOOKUP(ifood_data[[#This Row],[RFM Score]],'RFM Analysis'!$A$3:$B$14,2,FALSE)</f>
        <v>Loyal Customer</v>
      </c>
      <c r="BE425">
        <f>'Regression Models'!$B$101+'Regression Models'!$B$102*ifood_data[[#This Row],[Income]]+'Regression Models'!$B$103*ifood_data[[#This Row],[Age]]+'Regression Models'!$B$104*ifood_data[[#This Row],[Family]]</f>
        <v>1018.6803071188932</v>
      </c>
      <c r="BF425" t="str">
        <f>IF(ifood_data[[#This Row],[AcceptedCmpOverall]]=1,"Campaign Respondent","Non-respondent")</f>
        <v>Non-respondent</v>
      </c>
    </row>
    <row r="426" spans="1:58" x14ac:dyDescent="0.35">
      <c r="A426">
        <v>465</v>
      </c>
      <c r="B426">
        <v>78952</v>
      </c>
      <c r="C426">
        <v>0</v>
      </c>
      <c r="D426">
        <v>1</v>
      </c>
      <c r="E426">
        <v>11</v>
      </c>
      <c r="F426">
        <v>1170</v>
      </c>
      <c r="G426">
        <v>19</v>
      </c>
      <c r="H426">
        <v>594</v>
      </c>
      <c r="I426">
        <v>99</v>
      </c>
      <c r="J426">
        <v>76</v>
      </c>
      <c r="K426">
        <v>134</v>
      </c>
      <c r="L426">
        <v>2</v>
      </c>
      <c r="M426">
        <v>2</v>
      </c>
      <c r="N426">
        <v>5</v>
      </c>
      <c r="O426">
        <v>12</v>
      </c>
      <c r="P426">
        <v>6</v>
      </c>
      <c r="Q426">
        <v>0</v>
      </c>
      <c r="R426">
        <v>0</v>
      </c>
      <c r="S426">
        <v>0</v>
      </c>
      <c r="T426">
        <v>0</v>
      </c>
      <c r="U426">
        <v>0</v>
      </c>
      <c r="V426">
        <f>IF(SUM(ifood_data[[#This Row],[AcceptedCmp1]:[AcceptedCmp5]])&gt;0,1,0)</f>
        <v>0</v>
      </c>
      <c r="W426">
        <v>0</v>
      </c>
      <c r="X426">
        <v>3</v>
      </c>
      <c r="Y426">
        <v>11</v>
      </c>
      <c r="Z426">
        <v>0</v>
      </c>
      <c r="AA426">
        <v>62</v>
      </c>
      <c r="AB426">
        <v>2802</v>
      </c>
      <c r="AC426" s="28">
        <f>ifood_data[[#This Row],[Customer_Days]]/365</f>
        <v>7.6767123287671231</v>
      </c>
      <c r="AD426">
        <v>0</v>
      </c>
      <c r="AE426">
        <v>0</v>
      </c>
      <c r="AF426">
        <v>0</v>
      </c>
      <c r="AG426">
        <v>1</v>
      </c>
      <c r="AH426">
        <v>0</v>
      </c>
      <c r="AI426">
        <v>0</v>
      </c>
      <c r="AJ426">
        <v>0</v>
      </c>
      <c r="AK426">
        <v>0</v>
      </c>
      <c r="AL426">
        <v>0</v>
      </c>
      <c r="AM426">
        <v>1</v>
      </c>
      <c r="AN426">
        <v>1958</v>
      </c>
      <c r="AO426">
        <v>1824</v>
      </c>
      <c r="AP426">
        <f>ifood_data[[#This Row],[MntTotal]]-ifood_data[[#This Row],[MntRegularProds]]</f>
        <v>134</v>
      </c>
      <c r="AQ426">
        <v>0</v>
      </c>
      <c r="AR426">
        <f>IF(SUM(ifood_data[[#This Row],[Kidhome]:[Teenhome]])&gt;0,1,0)</f>
        <v>1</v>
      </c>
      <c r="AS426" t="str">
        <f>IF(SUM(ifood_data[[#This Row],[Kidhome]:[Teenhome]])&gt;0,"Has Family","No Family")</f>
        <v>Has Family</v>
      </c>
      <c r="AT426" t="str">
        <f>IF(ifood_data[[#This Row],[marital_Married]]=1,"Married", (IF(ifood_data[[#This Row],[marital_Single]]=1,"Single",(IF(ifood_data[[#This Row],[marital_Divorced]]=1,"Divorced",(IF(ifood_data[[#This Row],[marital_Together]]=1,"Living Together",(IF(ifood_data[[#This Row],[marital_Widow]]=1,"Widow","Other")))))))))</f>
        <v>Living Together</v>
      </c>
      <c r="AU426" t="str">
        <f>IF(ifood_data[[#This Row],[education_Basic]]=1,"High School",(IF(ifood_data[[#This Row],[education_Graduation]]=1,"Undergraduate Degree",(IF(SUM(AM426,AL426,AI426)&gt;0,"Master's Degree or Higher","Other")))))</f>
        <v>Master's Degree or Higher</v>
      </c>
      <c r="AV426" t="str">
        <f>IF(ifood_data[[#All],[Income]]&gt;75000,"75K+",(IF(ifood_data[[#All],[Income]]&gt;50000,"50K-75K",(IF(ifood_data[[#All],[Income]]&gt;35000,"35K-50K","&lt;35K")))))</f>
        <v>75K+</v>
      </c>
      <c r="AW426" t="str">
        <f>IF(ifood_data[[#All],[Age]]&gt;60,"60+",(IF(ifood_data[[#All],[Age]]&gt;50,"50-60",(IF(ifood_data[[#All],[Age]]&gt;40,"40-50",(IF(ifood_data[[#All],[Age]]&gt;30,"30-40","&lt;30")))))))</f>
        <v>60+</v>
      </c>
      <c r="AX426">
        <f t="shared" si="24"/>
        <v>27</v>
      </c>
      <c r="AY426">
        <f t="shared" si="25"/>
        <v>9</v>
      </c>
      <c r="AZ426">
        <f t="shared" si="26"/>
        <v>7</v>
      </c>
      <c r="BA426">
        <f t="shared" si="27"/>
        <v>9</v>
      </c>
      <c r="BB426">
        <f>SUM(ifood_data[[#This Row],[Recency Score]:[Monetary Score]])</f>
        <v>25</v>
      </c>
      <c r="BC426">
        <f>(_xlfn.PERCENTRANK.INC(ifood_data[[#All],[RFM]],ifood_data[[#This Row],[RFM]],1))*10</f>
        <v>9</v>
      </c>
      <c r="BD426" t="str">
        <f>VLOOKUP(ifood_data[[#This Row],[RFM Score]],'RFM Analysis'!$A$3:$B$14,2,FALSE)</f>
        <v>Top Customer</v>
      </c>
      <c r="BE426">
        <f>'Regression Models'!$B$101+'Regression Models'!$B$102*ifood_data[[#This Row],[Income]]+'Regression Models'!$B$103*ifood_data[[#This Row],[Age]]+'Regression Models'!$B$104*ifood_data[[#This Row],[Family]]</f>
        <v>1018.4459122581778</v>
      </c>
      <c r="BF426" t="str">
        <f>IF(ifood_data[[#This Row],[AcceptedCmpOverall]]=1,"Campaign Respondent","Non-respondent")</f>
        <v>Non-respondent</v>
      </c>
    </row>
    <row r="427" spans="1:58" x14ac:dyDescent="0.35">
      <c r="A427">
        <v>1233</v>
      </c>
      <c r="B427">
        <v>64857</v>
      </c>
      <c r="C427">
        <v>0</v>
      </c>
      <c r="D427">
        <v>0</v>
      </c>
      <c r="E427">
        <v>78</v>
      </c>
      <c r="F427">
        <v>556</v>
      </c>
      <c r="G427">
        <v>14</v>
      </c>
      <c r="H427">
        <v>717</v>
      </c>
      <c r="I427">
        <v>210</v>
      </c>
      <c r="J427">
        <v>0</v>
      </c>
      <c r="K427">
        <v>43</v>
      </c>
      <c r="L427">
        <v>1</v>
      </c>
      <c r="M427">
        <v>7</v>
      </c>
      <c r="N427">
        <v>5</v>
      </c>
      <c r="O427">
        <v>10</v>
      </c>
      <c r="P427">
        <v>4</v>
      </c>
      <c r="Q427">
        <v>0</v>
      </c>
      <c r="R427">
        <v>0</v>
      </c>
      <c r="S427">
        <v>0</v>
      </c>
      <c r="T427">
        <v>0</v>
      </c>
      <c r="U427">
        <v>0</v>
      </c>
      <c r="V427">
        <f>IF(SUM(ifood_data[[#This Row],[AcceptedCmp1]:[AcceptedCmp5]])&gt;0,1,0)</f>
        <v>0</v>
      </c>
      <c r="W427">
        <v>0</v>
      </c>
      <c r="X427">
        <v>3</v>
      </c>
      <c r="Y427">
        <v>11</v>
      </c>
      <c r="Z427">
        <v>0</v>
      </c>
      <c r="AA427">
        <v>64</v>
      </c>
      <c r="AB427">
        <v>2742</v>
      </c>
      <c r="AC427" s="28">
        <f>ifood_data[[#This Row],[Customer_Days]]/365</f>
        <v>7.5123287671232877</v>
      </c>
      <c r="AD427">
        <v>0</v>
      </c>
      <c r="AE427">
        <v>0</v>
      </c>
      <c r="AF427">
        <v>1</v>
      </c>
      <c r="AG427">
        <v>0</v>
      </c>
      <c r="AH427">
        <v>0</v>
      </c>
      <c r="AI427">
        <v>0</v>
      </c>
      <c r="AJ427">
        <v>0</v>
      </c>
      <c r="AK427">
        <v>0</v>
      </c>
      <c r="AL427">
        <v>1</v>
      </c>
      <c r="AM427">
        <v>0</v>
      </c>
      <c r="AN427">
        <v>1497</v>
      </c>
      <c r="AO427">
        <v>1454</v>
      </c>
      <c r="AP427">
        <f>ifood_data[[#This Row],[MntTotal]]-ifood_data[[#This Row],[MntRegularProds]]</f>
        <v>43</v>
      </c>
      <c r="AQ427">
        <v>0</v>
      </c>
      <c r="AR427">
        <f>IF(SUM(ifood_data[[#This Row],[Kidhome]:[Teenhome]])&gt;0,1,0)</f>
        <v>0</v>
      </c>
      <c r="AS427" t="str">
        <f>IF(SUM(ifood_data[[#This Row],[Kidhome]:[Teenhome]])&gt;0,"Has Family","No Family")</f>
        <v>No Family</v>
      </c>
      <c r="AT427" t="str">
        <f>IF(ifood_data[[#This Row],[marital_Married]]=1,"Married", (IF(ifood_data[[#This Row],[marital_Single]]=1,"Single",(IF(ifood_data[[#This Row],[marital_Divorced]]=1,"Divorced",(IF(ifood_data[[#This Row],[marital_Together]]=1,"Living Together",(IF(ifood_data[[#This Row],[marital_Widow]]=1,"Widow","Other")))))))))</f>
        <v>Single</v>
      </c>
      <c r="AU427" t="str">
        <f>IF(ifood_data[[#This Row],[education_Basic]]=1,"High School",(IF(ifood_data[[#This Row],[education_Graduation]]=1,"Undergraduate Degree",(IF(SUM(AM427,AL427,AI427)&gt;0,"Master's Degree or Higher","Other")))))</f>
        <v>Master's Degree or Higher</v>
      </c>
      <c r="AV427" t="str">
        <f>IF(ifood_data[[#All],[Income]]&gt;75000,"75K+",(IF(ifood_data[[#All],[Income]]&gt;50000,"50K-75K",(IF(ifood_data[[#All],[Income]]&gt;35000,"35K-50K","&lt;35K")))))</f>
        <v>50K-75K</v>
      </c>
      <c r="AW427" t="str">
        <f>IF(ifood_data[[#All],[Age]]&gt;60,"60+",(IF(ifood_data[[#All],[Age]]&gt;50,"50-60",(IF(ifood_data[[#All],[Age]]&gt;40,"40-50",(IF(ifood_data[[#All],[Age]]&gt;30,"30-40","&lt;30")))))))</f>
        <v>60+</v>
      </c>
      <c r="AX427">
        <f t="shared" si="24"/>
        <v>27</v>
      </c>
      <c r="AY427">
        <f t="shared" si="25"/>
        <v>3.0000000000000004</v>
      </c>
      <c r="AZ427">
        <f t="shared" si="26"/>
        <v>7</v>
      </c>
      <c r="BA427">
        <f t="shared" si="27"/>
        <v>9</v>
      </c>
      <c r="BB427">
        <f>SUM(ifood_data[[#This Row],[Recency Score]:[Monetary Score]])</f>
        <v>19</v>
      </c>
      <c r="BC427">
        <f>(_xlfn.PERCENTRANK.INC(ifood_data[[#All],[RFM]],ifood_data[[#This Row],[RFM]],1))*10</f>
        <v>7</v>
      </c>
      <c r="BD427" t="str">
        <f>VLOOKUP(ifood_data[[#This Row],[RFM Score]],'RFM Analysis'!$A$3:$B$14,2,FALSE)</f>
        <v>Loyal Customer</v>
      </c>
      <c r="BE427">
        <f>'Regression Models'!$B$101+'Regression Models'!$B$102*ifood_data[[#This Row],[Income]]+'Regression Models'!$B$103*ifood_data[[#This Row],[Age]]+'Regression Models'!$B$104*ifood_data[[#This Row],[Family]]</f>
        <v>1017.0069781851502</v>
      </c>
      <c r="BF427" t="str">
        <f>IF(ifood_data[[#This Row],[AcceptedCmpOverall]]=1,"Campaign Respondent","Non-respondent")</f>
        <v>Non-respondent</v>
      </c>
    </row>
    <row r="428" spans="1:58" x14ac:dyDescent="0.35">
      <c r="A428">
        <v>94</v>
      </c>
      <c r="B428">
        <v>65846</v>
      </c>
      <c r="C428">
        <v>0</v>
      </c>
      <c r="D428">
        <v>0</v>
      </c>
      <c r="E428">
        <v>68</v>
      </c>
      <c r="F428">
        <v>562</v>
      </c>
      <c r="G428">
        <v>81</v>
      </c>
      <c r="H428">
        <v>276</v>
      </c>
      <c r="I428">
        <v>80</v>
      </c>
      <c r="J428">
        <v>40</v>
      </c>
      <c r="K428">
        <v>81</v>
      </c>
      <c r="L428">
        <v>1</v>
      </c>
      <c r="M428">
        <v>6</v>
      </c>
      <c r="N428">
        <v>3</v>
      </c>
      <c r="O428">
        <v>6</v>
      </c>
      <c r="P428">
        <v>4</v>
      </c>
      <c r="Q428">
        <v>0</v>
      </c>
      <c r="R428">
        <v>0</v>
      </c>
      <c r="S428">
        <v>0</v>
      </c>
      <c r="T428">
        <v>0</v>
      </c>
      <c r="U428">
        <v>0</v>
      </c>
      <c r="V428">
        <f>IF(SUM(ifood_data[[#This Row],[AcceptedCmp1]:[AcceptedCmp5]])&gt;0,1,0)</f>
        <v>0</v>
      </c>
      <c r="W428">
        <v>0</v>
      </c>
      <c r="X428">
        <v>3</v>
      </c>
      <c r="Y428">
        <v>11</v>
      </c>
      <c r="Z428">
        <v>0</v>
      </c>
      <c r="AA428">
        <v>75</v>
      </c>
      <c r="AB428">
        <v>2567</v>
      </c>
      <c r="AC428" s="28">
        <f>ifood_data[[#This Row],[Customer_Days]]/365</f>
        <v>7.0328767123287674</v>
      </c>
      <c r="AD428">
        <v>0</v>
      </c>
      <c r="AE428">
        <v>1</v>
      </c>
      <c r="AF428">
        <v>0</v>
      </c>
      <c r="AG428">
        <v>0</v>
      </c>
      <c r="AH428">
        <v>0</v>
      </c>
      <c r="AI428">
        <v>0</v>
      </c>
      <c r="AJ428">
        <v>0</v>
      </c>
      <c r="AK428">
        <v>0</v>
      </c>
      <c r="AL428">
        <v>0</v>
      </c>
      <c r="AM428">
        <v>1</v>
      </c>
      <c r="AN428">
        <v>1039</v>
      </c>
      <c r="AO428">
        <v>958</v>
      </c>
      <c r="AP428">
        <f>ifood_data[[#This Row],[MntTotal]]-ifood_data[[#This Row],[MntRegularProds]]</f>
        <v>81</v>
      </c>
      <c r="AQ428">
        <v>0</v>
      </c>
      <c r="AR428">
        <f>IF(SUM(ifood_data[[#This Row],[Kidhome]:[Teenhome]])&gt;0,1,0)</f>
        <v>0</v>
      </c>
      <c r="AS428" t="str">
        <f>IF(SUM(ifood_data[[#This Row],[Kidhome]:[Teenhome]])&gt;0,"Has Family","No Family")</f>
        <v>No Family</v>
      </c>
      <c r="AT428" t="str">
        <f>IF(ifood_data[[#This Row],[marital_Married]]=1,"Married", (IF(ifood_data[[#This Row],[marital_Single]]=1,"Single",(IF(ifood_data[[#This Row],[marital_Divorced]]=1,"Divorced",(IF(ifood_data[[#This Row],[marital_Together]]=1,"Living Together",(IF(ifood_data[[#This Row],[marital_Widow]]=1,"Widow","Other")))))))))</f>
        <v>Married</v>
      </c>
      <c r="AU428" t="str">
        <f>IF(ifood_data[[#This Row],[education_Basic]]=1,"High School",(IF(ifood_data[[#This Row],[education_Graduation]]=1,"Undergraduate Degree",(IF(SUM(AM428,AL428,AI428)&gt;0,"Master's Degree or Higher","Other")))))</f>
        <v>Master's Degree or Higher</v>
      </c>
      <c r="AV428" t="str">
        <f>IF(ifood_data[[#All],[Income]]&gt;75000,"75K+",(IF(ifood_data[[#All],[Income]]&gt;50000,"50K-75K",(IF(ifood_data[[#All],[Income]]&gt;35000,"35K-50K","&lt;35K")))))</f>
        <v>50K-75K</v>
      </c>
      <c r="AW428" t="str">
        <f>IF(ifood_data[[#All],[Age]]&gt;60,"60+",(IF(ifood_data[[#All],[Age]]&gt;50,"50-60",(IF(ifood_data[[#All],[Age]]&gt;40,"40-50",(IF(ifood_data[[#All],[Age]]&gt;30,"30-40","&lt;30")))))))</f>
        <v>60+</v>
      </c>
      <c r="AX428">
        <f t="shared" si="24"/>
        <v>20</v>
      </c>
      <c r="AY428">
        <f t="shared" si="25"/>
        <v>4</v>
      </c>
      <c r="AZ428">
        <f t="shared" si="26"/>
        <v>4</v>
      </c>
      <c r="BA428">
        <f t="shared" si="27"/>
        <v>7</v>
      </c>
      <c r="BB428">
        <f>SUM(ifood_data[[#This Row],[Recency Score]:[Monetary Score]])</f>
        <v>15</v>
      </c>
      <c r="BC428">
        <f>(_xlfn.PERCENTRANK.INC(ifood_data[[#All],[RFM]],ifood_data[[#This Row],[RFM]],1))*10</f>
        <v>4</v>
      </c>
      <c r="BD428" t="str">
        <f>VLOOKUP(ifood_data[[#This Row],[RFM Score]],'RFM Analysis'!$A$3:$B$14,2,FALSE)</f>
        <v>At Risk</v>
      </c>
      <c r="BE428">
        <f>'Regression Models'!$B$101+'Regression Models'!$B$102*ifood_data[[#This Row],[Income]]+'Regression Models'!$B$103*ifood_data[[#This Row],[Age]]+'Regression Models'!$B$104*ifood_data[[#This Row],[Family]]</f>
        <v>1016.9706400116291</v>
      </c>
      <c r="BF428" t="str">
        <f>IF(ifood_data[[#This Row],[AcceptedCmpOverall]]=1,"Campaign Respondent","Non-respondent")</f>
        <v>Non-respondent</v>
      </c>
    </row>
    <row r="429" spans="1:58" x14ac:dyDescent="0.35">
      <c r="A429">
        <v>1398</v>
      </c>
      <c r="B429">
        <v>63206</v>
      </c>
      <c r="C429">
        <v>0</v>
      </c>
      <c r="D429">
        <v>0</v>
      </c>
      <c r="E429">
        <v>65</v>
      </c>
      <c r="F429">
        <v>750</v>
      </c>
      <c r="G429">
        <v>8</v>
      </c>
      <c r="H429">
        <v>125</v>
      </c>
      <c r="I429">
        <v>11</v>
      </c>
      <c r="J429">
        <v>8</v>
      </c>
      <c r="K429">
        <v>26</v>
      </c>
      <c r="L429">
        <v>1</v>
      </c>
      <c r="M429">
        <v>4</v>
      </c>
      <c r="N429">
        <v>3</v>
      </c>
      <c r="O429">
        <v>6</v>
      </c>
      <c r="P429">
        <v>2</v>
      </c>
      <c r="Q429">
        <v>0</v>
      </c>
      <c r="R429">
        <v>0</v>
      </c>
      <c r="S429">
        <v>0</v>
      </c>
      <c r="T429">
        <v>0</v>
      </c>
      <c r="U429">
        <v>1</v>
      </c>
      <c r="V429">
        <f>IF(SUM(ifood_data[[#This Row],[AcceptedCmp1]:[AcceptedCmp5]])&gt;0,1,0)</f>
        <v>1</v>
      </c>
      <c r="W429">
        <v>0</v>
      </c>
      <c r="X429">
        <v>3</v>
      </c>
      <c r="Y429">
        <v>11</v>
      </c>
      <c r="Z429">
        <v>0</v>
      </c>
      <c r="AA429">
        <v>46</v>
      </c>
      <c r="AB429">
        <v>2260</v>
      </c>
      <c r="AC429" s="28">
        <f>ifood_data[[#This Row],[Customer_Days]]/365</f>
        <v>6.1917808219178081</v>
      </c>
      <c r="AD429">
        <v>0</v>
      </c>
      <c r="AE429">
        <v>1</v>
      </c>
      <c r="AF429">
        <v>0</v>
      </c>
      <c r="AG429">
        <v>0</v>
      </c>
      <c r="AH429">
        <v>0</v>
      </c>
      <c r="AI429">
        <v>0</v>
      </c>
      <c r="AJ429">
        <v>0</v>
      </c>
      <c r="AK429">
        <v>0</v>
      </c>
      <c r="AL429">
        <v>1</v>
      </c>
      <c r="AM429">
        <v>0</v>
      </c>
      <c r="AN429">
        <v>902</v>
      </c>
      <c r="AO429">
        <v>876</v>
      </c>
      <c r="AP429">
        <f>ifood_data[[#This Row],[MntTotal]]-ifood_data[[#This Row],[MntRegularProds]]</f>
        <v>26</v>
      </c>
      <c r="AQ429">
        <v>1</v>
      </c>
      <c r="AR429">
        <f>IF(SUM(ifood_data[[#This Row],[Kidhome]:[Teenhome]])&gt;0,1,0)</f>
        <v>0</v>
      </c>
      <c r="AS429" t="str">
        <f>IF(SUM(ifood_data[[#This Row],[Kidhome]:[Teenhome]])&gt;0,"Has Family","No Family")</f>
        <v>No Family</v>
      </c>
      <c r="AT429" t="str">
        <f>IF(ifood_data[[#This Row],[marital_Married]]=1,"Married", (IF(ifood_data[[#This Row],[marital_Single]]=1,"Single",(IF(ifood_data[[#This Row],[marital_Divorced]]=1,"Divorced",(IF(ifood_data[[#This Row],[marital_Together]]=1,"Living Together",(IF(ifood_data[[#This Row],[marital_Widow]]=1,"Widow","Other")))))))))</f>
        <v>Married</v>
      </c>
      <c r="AU429" t="str">
        <f>IF(ifood_data[[#This Row],[education_Basic]]=1,"High School",(IF(ifood_data[[#This Row],[education_Graduation]]=1,"Undergraduate Degree",(IF(SUM(AM429,AL429,AI429)&gt;0,"Master's Degree or Higher","Other")))))</f>
        <v>Master's Degree or Higher</v>
      </c>
      <c r="AV429" t="str">
        <f>IF(ifood_data[[#All],[Income]]&gt;75000,"75K+",(IF(ifood_data[[#All],[Income]]&gt;50000,"50K-75K",(IF(ifood_data[[#All],[Income]]&gt;35000,"35K-50K","&lt;35K")))))</f>
        <v>50K-75K</v>
      </c>
      <c r="AW429" t="str">
        <f>IF(ifood_data[[#All],[Age]]&gt;60,"60+",(IF(ifood_data[[#All],[Age]]&gt;50,"50-60",(IF(ifood_data[[#All],[Age]]&gt;40,"40-50",(IF(ifood_data[[#All],[Age]]&gt;30,"30-40","&lt;30")))))))</f>
        <v>40-50</v>
      </c>
      <c r="AX429">
        <f t="shared" si="24"/>
        <v>16</v>
      </c>
      <c r="AY429">
        <f t="shared" si="25"/>
        <v>4</v>
      </c>
      <c r="AZ429">
        <f t="shared" si="26"/>
        <v>3</v>
      </c>
      <c r="BA429">
        <f t="shared" si="27"/>
        <v>7</v>
      </c>
      <c r="BB429">
        <f>SUM(ifood_data[[#This Row],[Recency Score]:[Monetary Score]])</f>
        <v>14</v>
      </c>
      <c r="BC429">
        <f>(_xlfn.PERCENTRANK.INC(ifood_data[[#All],[RFM]],ifood_data[[#This Row],[RFM]],1))*10</f>
        <v>4</v>
      </c>
      <c r="BD429" t="str">
        <f>VLOOKUP(ifood_data[[#This Row],[RFM Score]],'RFM Analysis'!$A$3:$B$14,2,FALSE)</f>
        <v>At Risk</v>
      </c>
      <c r="BE429">
        <f>'Regression Models'!$B$101+'Regression Models'!$B$102*ifood_data[[#This Row],[Income]]+'Regression Models'!$B$103*ifood_data[[#This Row],[Age]]+'Regression Models'!$B$104*ifood_data[[#This Row],[Family]]</f>
        <v>1016.4010253996697</v>
      </c>
      <c r="BF429" t="str">
        <f>IF(ifood_data[[#This Row],[AcceptedCmpOverall]]=1,"Campaign Respondent","Non-respondent")</f>
        <v>Campaign Respondent</v>
      </c>
    </row>
    <row r="430" spans="1:58" x14ac:dyDescent="0.35">
      <c r="A430">
        <v>1652</v>
      </c>
      <c r="B430">
        <v>63159</v>
      </c>
      <c r="C430">
        <v>0</v>
      </c>
      <c r="D430">
        <v>0</v>
      </c>
      <c r="E430">
        <v>74</v>
      </c>
      <c r="F430">
        <v>965</v>
      </c>
      <c r="G430">
        <v>34</v>
      </c>
      <c r="H430">
        <v>586</v>
      </c>
      <c r="I430">
        <v>89</v>
      </c>
      <c r="J430">
        <v>86</v>
      </c>
      <c r="K430">
        <v>37</v>
      </c>
      <c r="L430">
        <v>1</v>
      </c>
      <c r="M430">
        <v>3</v>
      </c>
      <c r="N430">
        <v>5</v>
      </c>
      <c r="O430">
        <v>8</v>
      </c>
      <c r="P430">
        <v>3</v>
      </c>
      <c r="Q430">
        <v>0</v>
      </c>
      <c r="R430">
        <v>0</v>
      </c>
      <c r="S430">
        <v>1</v>
      </c>
      <c r="T430">
        <v>0</v>
      </c>
      <c r="U430">
        <v>0</v>
      </c>
      <c r="V430">
        <f>IF(SUM(ifood_data[[#This Row],[AcceptedCmp1]:[AcceptedCmp5]])&gt;0,1,0)</f>
        <v>1</v>
      </c>
      <c r="W430">
        <v>0</v>
      </c>
      <c r="X430">
        <v>3</v>
      </c>
      <c r="Y430">
        <v>11</v>
      </c>
      <c r="Z430">
        <v>0</v>
      </c>
      <c r="AA430">
        <v>46</v>
      </c>
      <c r="AB430">
        <v>2760</v>
      </c>
      <c r="AC430" s="28">
        <f>ifood_data[[#This Row],[Customer_Days]]/365</f>
        <v>7.5616438356164384</v>
      </c>
      <c r="AD430">
        <v>0</v>
      </c>
      <c r="AE430">
        <v>0</v>
      </c>
      <c r="AF430">
        <v>1</v>
      </c>
      <c r="AG430">
        <v>0</v>
      </c>
      <c r="AH430">
        <v>0</v>
      </c>
      <c r="AI430">
        <v>0</v>
      </c>
      <c r="AJ430">
        <v>0</v>
      </c>
      <c r="AK430">
        <v>0</v>
      </c>
      <c r="AL430">
        <v>0</v>
      </c>
      <c r="AM430">
        <v>1</v>
      </c>
      <c r="AN430">
        <v>1760</v>
      </c>
      <c r="AO430">
        <v>1723</v>
      </c>
      <c r="AP430">
        <f>ifood_data[[#This Row],[MntTotal]]-ifood_data[[#This Row],[MntRegularProds]]</f>
        <v>37</v>
      </c>
      <c r="AQ430">
        <v>1</v>
      </c>
      <c r="AR430">
        <f>IF(SUM(ifood_data[[#This Row],[Kidhome]:[Teenhome]])&gt;0,1,0)</f>
        <v>0</v>
      </c>
      <c r="AS430" t="str">
        <f>IF(SUM(ifood_data[[#This Row],[Kidhome]:[Teenhome]])&gt;0,"Has Family","No Family")</f>
        <v>No Family</v>
      </c>
      <c r="AT430" t="str">
        <f>IF(ifood_data[[#This Row],[marital_Married]]=1,"Married", (IF(ifood_data[[#This Row],[marital_Single]]=1,"Single",(IF(ifood_data[[#This Row],[marital_Divorced]]=1,"Divorced",(IF(ifood_data[[#This Row],[marital_Together]]=1,"Living Together",(IF(ifood_data[[#This Row],[marital_Widow]]=1,"Widow","Other")))))))))</f>
        <v>Single</v>
      </c>
      <c r="AU430" t="str">
        <f>IF(ifood_data[[#This Row],[education_Basic]]=1,"High School",(IF(ifood_data[[#This Row],[education_Graduation]]=1,"Undergraduate Degree",(IF(SUM(AM430,AL430,AI430)&gt;0,"Master's Degree or Higher","Other")))))</f>
        <v>Master's Degree or Higher</v>
      </c>
      <c r="AV430" t="str">
        <f>IF(ifood_data[[#All],[Income]]&gt;75000,"75K+",(IF(ifood_data[[#All],[Income]]&gt;50000,"50K-75K",(IF(ifood_data[[#All],[Income]]&gt;35000,"35K-50K","&lt;35K")))))</f>
        <v>50K-75K</v>
      </c>
      <c r="AW430" t="str">
        <f>IF(ifood_data[[#All],[Age]]&gt;60,"60+",(IF(ifood_data[[#All],[Age]]&gt;50,"50-60",(IF(ifood_data[[#All],[Age]]&gt;40,"40-50",(IF(ifood_data[[#All],[Age]]&gt;30,"30-40","&lt;30")))))))</f>
        <v>40-50</v>
      </c>
      <c r="AX430">
        <f t="shared" si="24"/>
        <v>20</v>
      </c>
      <c r="AY430">
        <f t="shared" si="25"/>
        <v>3.0000000000000004</v>
      </c>
      <c r="AZ430">
        <f t="shared" si="26"/>
        <v>4</v>
      </c>
      <c r="BA430">
        <f t="shared" si="27"/>
        <v>9</v>
      </c>
      <c r="BB430">
        <f>SUM(ifood_data[[#This Row],[Recency Score]:[Monetary Score]])</f>
        <v>16</v>
      </c>
      <c r="BC430">
        <f>(_xlfn.PERCENTRANK.INC(ifood_data[[#All],[RFM]],ifood_data[[#This Row],[RFM]],1))*10</f>
        <v>5</v>
      </c>
      <c r="BD430" t="str">
        <f>VLOOKUP(ifood_data[[#This Row],[RFM Score]],'RFM Analysis'!$A$3:$B$14,2,FALSE)</f>
        <v>Promising</v>
      </c>
      <c r="BE430">
        <f>'Regression Models'!$B$101+'Regression Models'!$B$102*ifood_data[[#This Row],[Income]]+'Regression Models'!$B$103*ifood_data[[#This Row],[Age]]+'Regression Models'!$B$104*ifood_data[[#This Row],[Family]]</f>
        <v>1015.4427532969065</v>
      </c>
      <c r="BF430" t="str">
        <f>IF(ifood_data[[#This Row],[AcceptedCmpOverall]]=1,"Campaign Respondent","Non-respondent")</f>
        <v>Campaign Respondent</v>
      </c>
    </row>
    <row r="431" spans="1:58" x14ac:dyDescent="0.35">
      <c r="A431">
        <v>801</v>
      </c>
      <c r="B431">
        <v>61618</v>
      </c>
      <c r="C431">
        <v>0</v>
      </c>
      <c r="D431">
        <v>0</v>
      </c>
      <c r="E431">
        <v>27</v>
      </c>
      <c r="F431">
        <v>605</v>
      </c>
      <c r="G431">
        <v>91</v>
      </c>
      <c r="H431">
        <v>399</v>
      </c>
      <c r="I431">
        <v>0</v>
      </c>
      <c r="J431">
        <v>45</v>
      </c>
      <c r="K431">
        <v>205</v>
      </c>
      <c r="L431">
        <v>2</v>
      </c>
      <c r="M431">
        <v>3</v>
      </c>
      <c r="N431">
        <v>6</v>
      </c>
      <c r="O431">
        <v>8</v>
      </c>
      <c r="P431">
        <v>3</v>
      </c>
      <c r="Q431">
        <v>0</v>
      </c>
      <c r="R431">
        <v>0</v>
      </c>
      <c r="S431">
        <v>0</v>
      </c>
      <c r="T431">
        <v>0</v>
      </c>
      <c r="U431">
        <v>0</v>
      </c>
      <c r="V431">
        <f>IF(SUM(ifood_data[[#This Row],[AcceptedCmp1]:[AcceptedCmp5]])&gt;0,1,0)</f>
        <v>0</v>
      </c>
      <c r="W431">
        <v>0</v>
      </c>
      <c r="X431">
        <v>3</v>
      </c>
      <c r="Y431">
        <v>11</v>
      </c>
      <c r="Z431">
        <v>0</v>
      </c>
      <c r="AA431">
        <v>29</v>
      </c>
      <c r="AB431">
        <v>2797</v>
      </c>
      <c r="AC431" s="28">
        <f>ifood_data[[#This Row],[Customer_Days]]/365</f>
        <v>7.6630136986301371</v>
      </c>
      <c r="AD431">
        <v>0</v>
      </c>
      <c r="AE431">
        <v>0</v>
      </c>
      <c r="AF431">
        <v>1</v>
      </c>
      <c r="AG431">
        <v>0</v>
      </c>
      <c r="AH431">
        <v>0</v>
      </c>
      <c r="AI431">
        <v>1</v>
      </c>
      <c r="AJ431">
        <v>0</v>
      </c>
      <c r="AK431">
        <v>0</v>
      </c>
      <c r="AL431">
        <v>0</v>
      </c>
      <c r="AM431">
        <v>0</v>
      </c>
      <c r="AN431">
        <v>1140</v>
      </c>
      <c r="AO431">
        <v>935</v>
      </c>
      <c r="AP431">
        <f>ifood_data[[#This Row],[MntTotal]]-ifood_data[[#This Row],[MntRegularProds]]</f>
        <v>205</v>
      </c>
      <c r="AQ431">
        <v>0</v>
      </c>
      <c r="AR431">
        <f>IF(SUM(ifood_data[[#This Row],[Kidhome]:[Teenhome]])&gt;0,1,0)</f>
        <v>0</v>
      </c>
      <c r="AS431" t="str">
        <f>IF(SUM(ifood_data[[#This Row],[Kidhome]:[Teenhome]])&gt;0,"Has Family","No Family")</f>
        <v>No Family</v>
      </c>
      <c r="AT431" t="str">
        <f>IF(ifood_data[[#This Row],[marital_Married]]=1,"Married", (IF(ifood_data[[#This Row],[marital_Single]]=1,"Single",(IF(ifood_data[[#This Row],[marital_Divorced]]=1,"Divorced",(IF(ifood_data[[#This Row],[marital_Together]]=1,"Living Together",(IF(ifood_data[[#This Row],[marital_Widow]]=1,"Widow","Other")))))))))</f>
        <v>Single</v>
      </c>
      <c r="AU431" t="str">
        <f>IF(ifood_data[[#This Row],[education_Basic]]=1,"High School",(IF(ifood_data[[#This Row],[education_Graduation]]=1,"Undergraduate Degree",(IF(SUM(AM431,AL431,AI431)&gt;0,"Master's Degree or Higher","Other")))))</f>
        <v>Master's Degree or Higher</v>
      </c>
      <c r="AV431" t="str">
        <f>IF(ifood_data[[#All],[Income]]&gt;75000,"75K+",(IF(ifood_data[[#All],[Income]]&gt;50000,"50K-75K",(IF(ifood_data[[#All],[Income]]&gt;35000,"35K-50K","&lt;35K")))))</f>
        <v>50K-75K</v>
      </c>
      <c r="AW431" t="str">
        <f>IF(ifood_data[[#All],[Age]]&gt;60,"60+",(IF(ifood_data[[#All],[Age]]&gt;50,"50-60",(IF(ifood_data[[#All],[Age]]&gt;40,"40-50",(IF(ifood_data[[#All],[Age]]&gt;30,"30-40","&lt;30")))))))</f>
        <v>&lt;30</v>
      </c>
      <c r="AX431">
        <f t="shared" si="24"/>
        <v>22</v>
      </c>
      <c r="AY431">
        <f t="shared" si="25"/>
        <v>8</v>
      </c>
      <c r="AZ431">
        <f t="shared" si="26"/>
        <v>5</v>
      </c>
      <c r="BA431">
        <f t="shared" si="27"/>
        <v>8</v>
      </c>
      <c r="BB431">
        <f>SUM(ifood_data[[#This Row],[Recency Score]:[Monetary Score]])</f>
        <v>21</v>
      </c>
      <c r="BC431">
        <f>(_xlfn.PERCENTRANK.INC(ifood_data[[#All],[RFM]],ifood_data[[#This Row],[RFM]],1))*10</f>
        <v>8</v>
      </c>
      <c r="BD431" t="str">
        <f>VLOOKUP(ifood_data[[#This Row],[RFM Score]],'RFM Analysis'!$A$3:$B$14,2,FALSE)</f>
        <v>Loyal Customer</v>
      </c>
      <c r="BE431">
        <f>'Regression Models'!$B$101+'Regression Models'!$B$102*ifood_data[[#This Row],[Income]]+'Regression Models'!$B$103*ifood_data[[#This Row],[Age]]+'Regression Models'!$B$104*ifood_data[[#This Row],[Family]]</f>
        <v>1015.2431259283612</v>
      </c>
      <c r="BF431" t="str">
        <f>IF(ifood_data[[#This Row],[AcceptedCmpOverall]]=1,"Campaign Respondent","Non-respondent")</f>
        <v>Non-respondent</v>
      </c>
    </row>
    <row r="432" spans="1:58" x14ac:dyDescent="0.35">
      <c r="A432">
        <v>1694</v>
      </c>
      <c r="B432">
        <v>64260</v>
      </c>
      <c r="C432">
        <v>0</v>
      </c>
      <c r="D432">
        <v>0</v>
      </c>
      <c r="E432">
        <v>1</v>
      </c>
      <c r="F432">
        <v>539</v>
      </c>
      <c r="G432">
        <v>169</v>
      </c>
      <c r="H432">
        <v>816</v>
      </c>
      <c r="I432">
        <v>20</v>
      </c>
      <c r="J432">
        <v>0</v>
      </c>
      <c r="K432">
        <v>30</v>
      </c>
      <c r="L432">
        <v>1</v>
      </c>
      <c r="M432">
        <v>4</v>
      </c>
      <c r="N432">
        <v>5</v>
      </c>
      <c r="O432">
        <v>4</v>
      </c>
      <c r="P432">
        <v>3</v>
      </c>
      <c r="Q432">
        <v>0</v>
      </c>
      <c r="R432">
        <v>0</v>
      </c>
      <c r="S432">
        <v>0</v>
      </c>
      <c r="T432">
        <v>0</v>
      </c>
      <c r="U432">
        <v>0</v>
      </c>
      <c r="V432">
        <f>IF(SUM(ifood_data[[#This Row],[AcceptedCmp1]:[AcceptedCmp5]])&gt;0,1,0)</f>
        <v>0</v>
      </c>
      <c r="W432">
        <v>0</v>
      </c>
      <c r="X432">
        <v>3</v>
      </c>
      <c r="Y432">
        <v>11</v>
      </c>
      <c r="Z432">
        <v>1</v>
      </c>
      <c r="AA432">
        <v>59</v>
      </c>
      <c r="AB432">
        <v>2693</v>
      </c>
      <c r="AC432" s="28">
        <f>ifood_data[[#This Row],[Customer_Days]]/365</f>
        <v>7.3780821917808215</v>
      </c>
      <c r="AD432">
        <v>0</v>
      </c>
      <c r="AE432">
        <v>0</v>
      </c>
      <c r="AF432">
        <v>0</v>
      </c>
      <c r="AG432">
        <v>1</v>
      </c>
      <c r="AH432">
        <v>0</v>
      </c>
      <c r="AI432">
        <v>0</v>
      </c>
      <c r="AJ432">
        <v>0</v>
      </c>
      <c r="AK432">
        <v>1</v>
      </c>
      <c r="AL432">
        <v>0</v>
      </c>
      <c r="AM432">
        <v>0</v>
      </c>
      <c r="AN432">
        <v>1544</v>
      </c>
      <c r="AO432">
        <v>1514</v>
      </c>
      <c r="AP432">
        <f>ifood_data[[#This Row],[MntTotal]]-ifood_data[[#This Row],[MntRegularProds]]</f>
        <v>30</v>
      </c>
      <c r="AQ432">
        <v>0</v>
      </c>
      <c r="AR432">
        <f>IF(SUM(ifood_data[[#This Row],[Kidhome]:[Teenhome]])&gt;0,1,0)</f>
        <v>0</v>
      </c>
      <c r="AS432" t="str">
        <f>IF(SUM(ifood_data[[#This Row],[Kidhome]:[Teenhome]])&gt;0,"Has Family","No Family")</f>
        <v>No Family</v>
      </c>
      <c r="AT432" t="str">
        <f>IF(ifood_data[[#This Row],[marital_Married]]=1,"Married", (IF(ifood_data[[#This Row],[marital_Single]]=1,"Single",(IF(ifood_data[[#This Row],[marital_Divorced]]=1,"Divorced",(IF(ifood_data[[#This Row],[marital_Together]]=1,"Living Together",(IF(ifood_data[[#This Row],[marital_Widow]]=1,"Widow","Other")))))))))</f>
        <v>Living Together</v>
      </c>
      <c r="AU432" t="str">
        <f>IF(ifood_data[[#This Row],[education_Basic]]=1,"High School",(IF(ifood_data[[#This Row],[education_Graduation]]=1,"Undergraduate Degree",(IF(SUM(AM432,AL432,AI432)&gt;0,"Master's Degree or Higher","Other")))))</f>
        <v>Undergraduate Degree</v>
      </c>
      <c r="AV432" t="str">
        <f>IF(ifood_data[[#All],[Income]]&gt;75000,"75K+",(IF(ifood_data[[#All],[Income]]&gt;50000,"50K-75K",(IF(ifood_data[[#All],[Income]]&gt;35000,"35K-50K","&lt;35K")))))</f>
        <v>50K-75K</v>
      </c>
      <c r="AW432" t="str">
        <f>IF(ifood_data[[#All],[Age]]&gt;60,"60+",(IF(ifood_data[[#All],[Age]]&gt;50,"50-60",(IF(ifood_data[[#All],[Age]]&gt;40,"40-50",(IF(ifood_data[[#All],[Age]]&gt;30,"30-40","&lt;30")))))))</f>
        <v>50-60</v>
      </c>
      <c r="AX432">
        <f t="shared" si="24"/>
        <v>17</v>
      </c>
      <c r="AY432">
        <f t="shared" si="25"/>
        <v>10</v>
      </c>
      <c r="AZ432">
        <f t="shared" si="26"/>
        <v>3</v>
      </c>
      <c r="BA432">
        <f t="shared" si="27"/>
        <v>9</v>
      </c>
      <c r="BB432">
        <f>SUM(ifood_data[[#This Row],[Recency Score]:[Monetary Score]])</f>
        <v>22</v>
      </c>
      <c r="BC432">
        <f>(_xlfn.PERCENTRANK.INC(ifood_data[[#All],[RFM]],ifood_data[[#This Row],[RFM]],1))*10</f>
        <v>8</v>
      </c>
      <c r="BD432" t="str">
        <f>VLOOKUP(ifood_data[[#This Row],[RFM Score]],'RFM Analysis'!$A$3:$B$14,2,FALSE)</f>
        <v>Loyal Customer</v>
      </c>
      <c r="BE432">
        <f>'Regression Models'!$B$101+'Regression Models'!$B$102*ifood_data[[#This Row],[Income]]+'Regression Models'!$B$103*ifood_data[[#This Row],[Age]]+'Regression Models'!$B$104*ifood_data[[#This Row],[Family]]</f>
        <v>1014.0170789977136</v>
      </c>
      <c r="BF432" t="str">
        <f>IF(ifood_data[[#This Row],[AcceptedCmpOverall]]=1,"Campaign Respondent","Non-respondent")</f>
        <v>Non-respondent</v>
      </c>
    </row>
    <row r="433" spans="1:58" x14ac:dyDescent="0.35">
      <c r="A433">
        <v>208</v>
      </c>
      <c r="B433">
        <v>77622</v>
      </c>
      <c r="C433">
        <v>0</v>
      </c>
      <c r="D433">
        <v>2</v>
      </c>
      <c r="E433">
        <v>3</v>
      </c>
      <c r="F433">
        <v>520</v>
      </c>
      <c r="G433">
        <v>7</v>
      </c>
      <c r="H433">
        <v>154</v>
      </c>
      <c r="I433">
        <v>19</v>
      </c>
      <c r="J433">
        <v>0</v>
      </c>
      <c r="K433">
        <v>14</v>
      </c>
      <c r="L433">
        <v>2</v>
      </c>
      <c r="M433">
        <v>6</v>
      </c>
      <c r="N433">
        <v>3</v>
      </c>
      <c r="O433">
        <v>11</v>
      </c>
      <c r="P433">
        <v>3</v>
      </c>
      <c r="Q433">
        <v>0</v>
      </c>
      <c r="R433">
        <v>0</v>
      </c>
      <c r="S433">
        <v>0</v>
      </c>
      <c r="T433">
        <v>0</v>
      </c>
      <c r="U433">
        <v>0</v>
      </c>
      <c r="V433">
        <f>IF(SUM(ifood_data[[#This Row],[AcceptedCmp1]:[AcceptedCmp5]])&gt;0,1,0)</f>
        <v>0</v>
      </c>
      <c r="W433">
        <v>0</v>
      </c>
      <c r="X433">
        <v>3</v>
      </c>
      <c r="Y433">
        <v>11</v>
      </c>
      <c r="Z433">
        <v>0</v>
      </c>
      <c r="AA433">
        <v>50</v>
      </c>
      <c r="AB433">
        <v>2235</v>
      </c>
      <c r="AC433" s="28">
        <f>ifood_data[[#This Row],[Customer_Days]]/365</f>
        <v>6.1232876712328768</v>
      </c>
      <c r="AD433">
        <v>0</v>
      </c>
      <c r="AE433">
        <v>0</v>
      </c>
      <c r="AF433">
        <v>0</v>
      </c>
      <c r="AG433">
        <v>1</v>
      </c>
      <c r="AH433">
        <v>0</v>
      </c>
      <c r="AI433">
        <v>0</v>
      </c>
      <c r="AJ433">
        <v>0</v>
      </c>
      <c r="AK433">
        <v>0</v>
      </c>
      <c r="AL433">
        <v>0</v>
      </c>
      <c r="AM433">
        <v>1</v>
      </c>
      <c r="AN433">
        <v>700</v>
      </c>
      <c r="AO433">
        <v>686</v>
      </c>
      <c r="AP433">
        <f>ifood_data[[#This Row],[MntTotal]]-ifood_data[[#This Row],[MntRegularProds]]</f>
        <v>14</v>
      </c>
      <c r="AQ433">
        <v>0</v>
      </c>
      <c r="AR433">
        <f>IF(SUM(ifood_data[[#This Row],[Kidhome]:[Teenhome]])&gt;0,1,0)</f>
        <v>1</v>
      </c>
      <c r="AS433" t="str">
        <f>IF(SUM(ifood_data[[#This Row],[Kidhome]:[Teenhome]])&gt;0,"Has Family","No Family")</f>
        <v>Has Family</v>
      </c>
      <c r="AT433" t="str">
        <f>IF(ifood_data[[#This Row],[marital_Married]]=1,"Married", (IF(ifood_data[[#This Row],[marital_Single]]=1,"Single",(IF(ifood_data[[#This Row],[marital_Divorced]]=1,"Divorced",(IF(ifood_data[[#This Row],[marital_Together]]=1,"Living Together",(IF(ifood_data[[#This Row],[marital_Widow]]=1,"Widow","Other")))))))))</f>
        <v>Living Together</v>
      </c>
      <c r="AU433" t="str">
        <f>IF(ifood_data[[#This Row],[education_Basic]]=1,"High School",(IF(ifood_data[[#This Row],[education_Graduation]]=1,"Undergraduate Degree",(IF(SUM(AM433,AL433,AI433)&gt;0,"Master's Degree or Higher","Other")))))</f>
        <v>Master's Degree or Higher</v>
      </c>
      <c r="AV433" t="str">
        <f>IF(ifood_data[[#All],[Income]]&gt;75000,"75K+",(IF(ifood_data[[#All],[Income]]&gt;50000,"50K-75K",(IF(ifood_data[[#All],[Income]]&gt;35000,"35K-50K","&lt;35K")))))</f>
        <v>75K+</v>
      </c>
      <c r="AW433" t="str">
        <f>IF(ifood_data[[#All],[Age]]&gt;60,"60+",(IF(ifood_data[[#All],[Age]]&gt;50,"50-60",(IF(ifood_data[[#All],[Age]]&gt;40,"40-50",(IF(ifood_data[[#All],[Age]]&gt;30,"30-40","&lt;30")))))))</f>
        <v>40-50</v>
      </c>
      <c r="AX433">
        <f t="shared" si="24"/>
        <v>25</v>
      </c>
      <c r="AY433">
        <f t="shared" si="25"/>
        <v>10</v>
      </c>
      <c r="AZ433">
        <f t="shared" si="26"/>
        <v>7</v>
      </c>
      <c r="BA433">
        <f t="shared" si="27"/>
        <v>6</v>
      </c>
      <c r="BB433">
        <f>SUM(ifood_data[[#This Row],[Recency Score]:[Monetary Score]])</f>
        <v>23</v>
      </c>
      <c r="BC433">
        <f>(_xlfn.PERCENTRANK.INC(ifood_data[[#All],[RFM]],ifood_data[[#This Row],[RFM]],1))*10</f>
        <v>8</v>
      </c>
      <c r="BD433" t="str">
        <f>VLOOKUP(ifood_data[[#This Row],[RFM Score]],'RFM Analysis'!$A$3:$B$14,2,FALSE)</f>
        <v>Loyal Customer</v>
      </c>
      <c r="BE433">
        <f>'Regression Models'!$B$101+'Regression Models'!$B$102*ifood_data[[#This Row],[Income]]+'Regression Models'!$B$103*ifood_data[[#This Row],[Age]]+'Regression Models'!$B$104*ifood_data[[#This Row],[Family]]</f>
        <v>1013.3661195735241</v>
      </c>
      <c r="BF433" t="str">
        <f>IF(ifood_data[[#This Row],[AcceptedCmpOverall]]=1,"Campaign Respondent","Non-respondent")</f>
        <v>Non-respondent</v>
      </c>
    </row>
    <row r="434" spans="1:58" x14ac:dyDescent="0.35">
      <c r="A434">
        <v>1746</v>
      </c>
      <c r="B434">
        <v>77870</v>
      </c>
      <c r="C434">
        <v>0</v>
      </c>
      <c r="D434">
        <v>1</v>
      </c>
      <c r="E434">
        <v>93</v>
      </c>
      <c r="F434">
        <v>1017</v>
      </c>
      <c r="G434">
        <v>50</v>
      </c>
      <c r="H434">
        <v>500</v>
      </c>
      <c r="I434">
        <v>65</v>
      </c>
      <c r="J434">
        <v>50</v>
      </c>
      <c r="K434">
        <v>133</v>
      </c>
      <c r="L434">
        <v>3</v>
      </c>
      <c r="M434">
        <v>5</v>
      </c>
      <c r="N434">
        <v>5</v>
      </c>
      <c r="O434">
        <v>5</v>
      </c>
      <c r="P434">
        <v>8</v>
      </c>
      <c r="Q434">
        <v>1</v>
      </c>
      <c r="R434">
        <v>0</v>
      </c>
      <c r="S434">
        <v>0</v>
      </c>
      <c r="T434">
        <v>1</v>
      </c>
      <c r="U434">
        <v>0</v>
      </c>
      <c r="V434">
        <f>IF(SUM(ifood_data[[#This Row],[AcceptedCmp1]:[AcceptedCmp5]])&gt;0,1,0)</f>
        <v>1</v>
      </c>
      <c r="W434">
        <v>0</v>
      </c>
      <c r="X434">
        <v>3</v>
      </c>
      <c r="Y434">
        <v>11</v>
      </c>
      <c r="Z434">
        <v>1</v>
      </c>
      <c r="AA434">
        <v>53</v>
      </c>
      <c r="AB434">
        <v>2835</v>
      </c>
      <c r="AC434" s="28">
        <f>ifood_data[[#This Row],[Customer_Days]]/365</f>
        <v>7.7671232876712333</v>
      </c>
      <c r="AD434">
        <v>0</v>
      </c>
      <c r="AE434">
        <v>1</v>
      </c>
      <c r="AF434">
        <v>0</v>
      </c>
      <c r="AG434">
        <v>0</v>
      </c>
      <c r="AH434">
        <v>0</v>
      </c>
      <c r="AI434">
        <v>0</v>
      </c>
      <c r="AJ434">
        <v>0</v>
      </c>
      <c r="AK434">
        <v>1</v>
      </c>
      <c r="AL434">
        <v>0</v>
      </c>
      <c r="AM434">
        <v>0</v>
      </c>
      <c r="AN434">
        <v>1682</v>
      </c>
      <c r="AO434">
        <v>1549</v>
      </c>
      <c r="AP434">
        <f>ifood_data[[#This Row],[MntTotal]]-ifood_data[[#This Row],[MntRegularProds]]</f>
        <v>133</v>
      </c>
      <c r="AQ434">
        <v>2</v>
      </c>
      <c r="AR434">
        <f>IF(SUM(ifood_data[[#This Row],[Kidhome]:[Teenhome]])&gt;0,1,0)</f>
        <v>1</v>
      </c>
      <c r="AS434" t="str">
        <f>IF(SUM(ifood_data[[#This Row],[Kidhome]:[Teenhome]])&gt;0,"Has Family","No Family")</f>
        <v>Has Family</v>
      </c>
      <c r="AT434" t="str">
        <f>IF(ifood_data[[#This Row],[marital_Married]]=1,"Married", (IF(ifood_data[[#This Row],[marital_Single]]=1,"Single",(IF(ifood_data[[#This Row],[marital_Divorced]]=1,"Divorced",(IF(ifood_data[[#This Row],[marital_Together]]=1,"Living Together",(IF(ifood_data[[#This Row],[marital_Widow]]=1,"Widow","Other")))))))))</f>
        <v>Married</v>
      </c>
      <c r="AU434" t="str">
        <f>IF(ifood_data[[#This Row],[education_Basic]]=1,"High School",(IF(ifood_data[[#This Row],[education_Graduation]]=1,"Undergraduate Degree",(IF(SUM(AM434,AL434,AI434)&gt;0,"Master's Degree or Higher","Other")))))</f>
        <v>Undergraduate Degree</v>
      </c>
      <c r="AV434" t="str">
        <f>IF(ifood_data[[#All],[Income]]&gt;75000,"75K+",(IF(ifood_data[[#All],[Income]]&gt;50000,"50K-75K",(IF(ifood_data[[#All],[Income]]&gt;35000,"35K-50K","&lt;35K")))))</f>
        <v>75K+</v>
      </c>
      <c r="AW434" t="str">
        <f>IF(ifood_data[[#All],[Age]]&gt;60,"60+",(IF(ifood_data[[#All],[Age]]&gt;50,"50-60",(IF(ifood_data[[#All],[Age]]&gt;40,"40-50",(IF(ifood_data[[#All],[Age]]&gt;30,"30-40","&lt;30")))))))</f>
        <v>50-60</v>
      </c>
      <c r="AX434">
        <f t="shared" si="24"/>
        <v>26</v>
      </c>
      <c r="AY434">
        <f t="shared" si="25"/>
        <v>0.99999999999999978</v>
      </c>
      <c r="AZ434">
        <f t="shared" si="26"/>
        <v>7</v>
      </c>
      <c r="BA434">
        <f t="shared" si="27"/>
        <v>9</v>
      </c>
      <c r="BB434">
        <f>SUM(ifood_data[[#This Row],[Recency Score]:[Monetary Score]])</f>
        <v>17</v>
      </c>
      <c r="BC434">
        <f>(_xlfn.PERCENTRANK.INC(ifood_data[[#All],[RFM]],ifood_data[[#This Row],[RFM]],1))*10</f>
        <v>6</v>
      </c>
      <c r="BD434" t="str">
        <f>VLOOKUP(ifood_data[[#This Row],[RFM Score]],'RFM Analysis'!$A$3:$B$14,2,FALSE)</f>
        <v>Promising</v>
      </c>
      <c r="BE434">
        <f>'Regression Models'!$B$101+'Regression Models'!$B$102*ifood_data[[#This Row],[Income]]+'Regression Models'!$B$103*ifood_data[[#This Row],[Age]]+'Regression Models'!$B$104*ifood_data[[#This Row],[Family]]</f>
        <v>1012.9132168365278</v>
      </c>
      <c r="BF434" t="str">
        <f>IF(ifood_data[[#This Row],[AcceptedCmpOverall]]=1,"Campaign Respondent","Non-respondent")</f>
        <v>Campaign Respondent</v>
      </c>
    </row>
    <row r="435" spans="1:58" x14ac:dyDescent="0.35">
      <c r="A435">
        <v>1555</v>
      </c>
      <c r="B435">
        <v>61787</v>
      </c>
      <c r="C435">
        <v>0</v>
      </c>
      <c r="D435">
        <v>0</v>
      </c>
      <c r="E435">
        <v>71</v>
      </c>
      <c r="F435">
        <v>621</v>
      </c>
      <c r="G435">
        <v>73</v>
      </c>
      <c r="H435">
        <v>414</v>
      </c>
      <c r="I435">
        <v>78</v>
      </c>
      <c r="J435">
        <v>48</v>
      </c>
      <c r="K435">
        <v>85</v>
      </c>
      <c r="L435">
        <v>1</v>
      </c>
      <c r="M435">
        <v>8</v>
      </c>
      <c r="N435">
        <v>4</v>
      </c>
      <c r="O435">
        <v>6</v>
      </c>
      <c r="P435">
        <v>5</v>
      </c>
      <c r="Q435">
        <v>0</v>
      </c>
      <c r="R435">
        <v>0</v>
      </c>
      <c r="S435">
        <v>0</v>
      </c>
      <c r="T435">
        <v>0</v>
      </c>
      <c r="U435">
        <v>0</v>
      </c>
      <c r="V435">
        <f>IF(SUM(ifood_data[[#This Row],[AcceptedCmp1]:[AcceptedCmp5]])&gt;0,1,0)</f>
        <v>0</v>
      </c>
      <c r="W435">
        <v>0</v>
      </c>
      <c r="X435">
        <v>3</v>
      </c>
      <c r="Y435">
        <v>11</v>
      </c>
      <c r="Z435">
        <v>0</v>
      </c>
      <c r="AA435">
        <v>33</v>
      </c>
      <c r="AB435">
        <v>2517</v>
      </c>
      <c r="AC435" s="28">
        <f>ifood_data[[#This Row],[Customer_Days]]/365</f>
        <v>6.8958904109589039</v>
      </c>
      <c r="AD435">
        <v>1</v>
      </c>
      <c r="AE435">
        <v>0</v>
      </c>
      <c r="AF435">
        <v>0</v>
      </c>
      <c r="AG435">
        <v>0</v>
      </c>
      <c r="AH435">
        <v>0</v>
      </c>
      <c r="AI435">
        <v>0</v>
      </c>
      <c r="AJ435">
        <v>0</v>
      </c>
      <c r="AK435">
        <v>0</v>
      </c>
      <c r="AL435">
        <v>1</v>
      </c>
      <c r="AM435">
        <v>0</v>
      </c>
      <c r="AN435">
        <v>1234</v>
      </c>
      <c r="AO435">
        <v>1149</v>
      </c>
      <c r="AP435">
        <f>ifood_data[[#This Row],[MntTotal]]-ifood_data[[#This Row],[MntRegularProds]]</f>
        <v>85</v>
      </c>
      <c r="AQ435">
        <v>0</v>
      </c>
      <c r="AR435">
        <f>IF(SUM(ifood_data[[#This Row],[Kidhome]:[Teenhome]])&gt;0,1,0)</f>
        <v>0</v>
      </c>
      <c r="AS435" t="str">
        <f>IF(SUM(ifood_data[[#This Row],[Kidhome]:[Teenhome]])&gt;0,"Has Family","No Family")</f>
        <v>No Family</v>
      </c>
      <c r="AT435" t="str">
        <f>IF(ifood_data[[#This Row],[marital_Married]]=1,"Married", (IF(ifood_data[[#This Row],[marital_Single]]=1,"Single",(IF(ifood_data[[#This Row],[marital_Divorced]]=1,"Divorced",(IF(ifood_data[[#This Row],[marital_Together]]=1,"Living Together",(IF(ifood_data[[#This Row],[marital_Widow]]=1,"Widow","Other")))))))))</f>
        <v>Divorced</v>
      </c>
      <c r="AU435" t="str">
        <f>IF(ifood_data[[#This Row],[education_Basic]]=1,"High School",(IF(ifood_data[[#This Row],[education_Graduation]]=1,"Undergraduate Degree",(IF(SUM(AM435,AL435,AI435)&gt;0,"Master's Degree or Higher","Other")))))</f>
        <v>Master's Degree or Higher</v>
      </c>
      <c r="AV435" t="str">
        <f>IF(ifood_data[[#All],[Income]]&gt;75000,"75K+",(IF(ifood_data[[#All],[Income]]&gt;50000,"50K-75K",(IF(ifood_data[[#All],[Income]]&gt;35000,"35K-50K","&lt;35K")))))</f>
        <v>50K-75K</v>
      </c>
      <c r="AW435" t="str">
        <f>IF(ifood_data[[#All],[Age]]&gt;60,"60+",(IF(ifood_data[[#All],[Age]]&gt;50,"50-60",(IF(ifood_data[[#All],[Age]]&gt;40,"40-50",(IF(ifood_data[[#All],[Age]]&gt;30,"30-40","&lt;30")))))))</f>
        <v>30-40</v>
      </c>
      <c r="AX435">
        <f t="shared" si="24"/>
        <v>24</v>
      </c>
      <c r="AY435">
        <f t="shared" si="25"/>
        <v>3.0000000000000004</v>
      </c>
      <c r="AZ435">
        <f t="shared" si="26"/>
        <v>6</v>
      </c>
      <c r="BA435">
        <f t="shared" si="27"/>
        <v>8</v>
      </c>
      <c r="BB435">
        <f>SUM(ifood_data[[#This Row],[Recency Score]:[Monetary Score]])</f>
        <v>17</v>
      </c>
      <c r="BC435">
        <f>(_xlfn.PERCENTRANK.INC(ifood_data[[#All],[RFM]],ifood_data[[#This Row],[RFM]],1))*10</f>
        <v>6</v>
      </c>
      <c r="BD435" t="str">
        <f>VLOOKUP(ifood_data[[#This Row],[RFM Score]],'RFM Analysis'!$A$3:$B$14,2,FALSE)</f>
        <v>Promising</v>
      </c>
      <c r="BE435">
        <f>'Regression Models'!$B$101+'Regression Models'!$B$102*ifood_data[[#This Row],[Income]]+'Regression Models'!$B$103*ifood_data[[#This Row],[Age]]+'Regression Models'!$B$104*ifood_data[[#This Row],[Family]]</f>
        <v>1011.3430714291029</v>
      </c>
      <c r="BF435" t="str">
        <f>IF(ifood_data[[#This Row],[AcceptedCmpOverall]]=1,"Campaign Respondent","Non-respondent")</f>
        <v>Non-respondent</v>
      </c>
    </row>
    <row r="436" spans="1:58" x14ac:dyDescent="0.35">
      <c r="A436">
        <v>1180</v>
      </c>
      <c r="B436">
        <v>77766</v>
      </c>
      <c r="C436">
        <v>0</v>
      </c>
      <c r="D436">
        <v>1</v>
      </c>
      <c r="E436">
        <v>97</v>
      </c>
      <c r="F436">
        <v>1004</v>
      </c>
      <c r="G436">
        <v>59</v>
      </c>
      <c r="H436">
        <v>265</v>
      </c>
      <c r="I436">
        <v>115</v>
      </c>
      <c r="J436">
        <v>59</v>
      </c>
      <c r="K436">
        <v>27</v>
      </c>
      <c r="L436">
        <v>2</v>
      </c>
      <c r="M436">
        <v>11</v>
      </c>
      <c r="N436">
        <v>10</v>
      </c>
      <c r="O436">
        <v>11</v>
      </c>
      <c r="P436">
        <v>6</v>
      </c>
      <c r="Q436">
        <v>0</v>
      </c>
      <c r="R436">
        <v>0</v>
      </c>
      <c r="S436">
        <v>1</v>
      </c>
      <c r="T436">
        <v>0</v>
      </c>
      <c r="U436">
        <v>0</v>
      </c>
      <c r="V436">
        <f>IF(SUM(ifood_data[[#This Row],[AcceptedCmp1]:[AcceptedCmp5]])&gt;0,1,0)</f>
        <v>1</v>
      </c>
      <c r="W436">
        <v>0</v>
      </c>
      <c r="X436">
        <v>3</v>
      </c>
      <c r="Y436">
        <v>11</v>
      </c>
      <c r="Z436">
        <v>1</v>
      </c>
      <c r="AA436">
        <v>53</v>
      </c>
      <c r="AB436">
        <v>2651</v>
      </c>
      <c r="AC436" s="28">
        <f>ifood_data[[#This Row],[Customer_Days]]/365</f>
        <v>7.2630136986301368</v>
      </c>
      <c r="AD436">
        <v>0</v>
      </c>
      <c r="AE436">
        <v>1</v>
      </c>
      <c r="AF436">
        <v>0</v>
      </c>
      <c r="AG436">
        <v>0</v>
      </c>
      <c r="AH436">
        <v>0</v>
      </c>
      <c r="AI436">
        <v>0</v>
      </c>
      <c r="AJ436">
        <v>0</v>
      </c>
      <c r="AK436">
        <v>0</v>
      </c>
      <c r="AL436">
        <v>0</v>
      </c>
      <c r="AM436">
        <v>1</v>
      </c>
      <c r="AN436">
        <v>1502</v>
      </c>
      <c r="AO436">
        <v>1475</v>
      </c>
      <c r="AP436">
        <f>ifood_data[[#This Row],[MntTotal]]-ifood_data[[#This Row],[MntRegularProds]]</f>
        <v>27</v>
      </c>
      <c r="AQ436">
        <v>1</v>
      </c>
      <c r="AR436">
        <f>IF(SUM(ifood_data[[#This Row],[Kidhome]:[Teenhome]])&gt;0,1,0)</f>
        <v>1</v>
      </c>
      <c r="AS436" t="str">
        <f>IF(SUM(ifood_data[[#This Row],[Kidhome]:[Teenhome]])&gt;0,"Has Family","No Family")</f>
        <v>Has Family</v>
      </c>
      <c r="AT436" t="str">
        <f>IF(ifood_data[[#This Row],[marital_Married]]=1,"Married", (IF(ifood_data[[#This Row],[marital_Single]]=1,"Single",(IF(ifood_data[[#This Row],[marital_Divorced]]=1,"Divorced",(IF(ifood_data[[#This Row],[marital_Together]]=1,"Living Together",(IF(ifood_data[[#This Row],[marital_Widow]]=1,"Widow","Other")))))))))</f>
        <v>Married</v>
      </c>
      <c r="AU436" t="str">
        <f>IF(ifood_data[[#This Row],[education_Basic]]=1,"High School",(IF(ifood_data[[#This Row],[education_Graduation]]=1,"Undergraduate Degree",(IF(SUM(AM436,AL436,AI436)&gt;0,"Master's Degree or Higher","Other")))))</f>
        <v>Master's Degree or Higher</v>
      </c>
      <c r="AV436" t="str">
        <f>IF(ifood_data[[#All],[Income]]&gt;75000,"75K+",(IF(ifood_data[[#All],[Income]]&gt;50000,"50K-75K",(IF(ifood_data[[#All],[Income]]&gt;35000,"35K-50K","&lt;35K")))))</f>
        <v>75K+</v>
      </c>
      <c r="AW436" t="str">
        <f>IF(ifood_data[[#All],[Age]]&gt;60,"60+",(IF(ifood_data[[#All],[Age]]&gt;50,"50-60",(IF(ifood_data[[#All],[Age]]&gt;40,"40-50",(IF(ifood_data[[#All],[Age]]&gt;30,"30-40","&lt;30")))))))</f>
        <v>50-60</v>
      </c>
      <c r="AX436">
        <f t="shared" si="24"/>
        <v>40</v>
      </c>
      <c r="AY436">
        <f t="shared" si="25"/>
        <v>0.99999999999999978</v>
      </c>
      <c r="AZ436">
        <f t="shared" si="26"/>
        <v>9</v>
      </c>
      <c r="BA436">
        <f t="shared" si="27"/>
        <v>9</v>
      </c>
      <c r="BB436">
        <f>SUM(ifood_data[[#This Row],[Recency Score]:[Monetary Score]])</f>
        <v>19</v>
      </c>
      <c r="BC436">
        <f>(_xlfn.PERCENTRANK.INC(ifood_data[[#All],[RFM]],ifood_data[[#This Row],[RFM]],1))*10</f>
        <v>7</v>
      </c>
      <c r="BD436" t="str">
        <f>VLOOKUP(ifood_data[[#This Row],[RFM Score]],'RFM Analysis'!$A$3:$B$14,2,FALSE)</f>
        <v>Loyal Customer</v>
      </c>
      <c r="BE436">
        <f>'Regression Models'!$B$101+'Regression Models'!$B$102*ifood_data[[#This Row],[Income]]+'Regression Models'!$B$103*ifood_data[[#This Row],[Age]]+'Regression Models'!$B$104*ifood_data[[#This Row],[Family]]</f>
        <v>1010.7927849495624</v>
      </c>
      <c r="BF436" t="str">
        <f>IF(ifood_data[[#This Row],[AcceptedCmpOverall]]=1,"Campaign Respondent","Non-respondent")</f>
        <v>Campaign Respondent</v>
      </c>
    </row>
    <row r="437" spans="1:58" x14ac:dyDescent="0.35">
      <c r="A437">
        <v>781</v>
      </c>
      <c r="B437">
        <v>78353</v>
      </c>
      <c r="C437">
        <v>0</v>
      </c>
      <c r="D437">
        <v>1</v>
      </c>
      <c r="E437">
        <v>51</v>
      </c>
      <c r="F437">
        <v>752</v>
      </c>
      <c r="G437">
        <v>122</v>
      </c>
      <c r="H437">
        <v>476</v>
      </c>
      <c r="I437">
        <v>39</v>
      </c>
      <c r="J437">
        <v>153</v>
      </c>
      <c r="K437">
        <v>34</v>
      </c>
      <c r="L437">
        <v>1</v>
      </c>
      <c r="M437">
        <v>10</v>
      </c>
      <c r="N437">
        <v>2</v>
      </c>
      <c r="O437">
        <v>11</v>
      </c>
      <c r="P437">
        <v>8</v>
      </c>
      <c r="Q437">
        <v>0</v>
      </c>
      <c r="R437">
        <v>0</v>
      </c>
      <c r="S437">
        <v>0</v>
      </c>
      <c r="T437">
        <v>0</v>
      </c>
      <c r="U437">
        <v>0</v>
      </c>
      <c r="V437">
        <f>IF(SUM(ifood_data[[#This Row],[AcceptedCmp1]:[AcceptedCmp5]])&gt;0,1,0)</f>
        <v>0</v>
      </c>
      <c r="W437">
        <v>0</v>
      </c>
      <c r="X437">
        <v>3</v>
      </c>
      <c r="Y437">
        <v>11</v>
      </c>
      <c r="Z437">
        <v>0</v>
      </c>
      <c r="AA437">
        <v>61</v>
      </c>
      <c r="AB437">
        <v>2598</v>
      </c>
      <c r="AC437" s="28">
        <f>ifood_data[[#This Row],[Customer_Days]]/365</f>
        <v>7.117808219178082</v>
      </c>
      <c r="AD437">
        <v>1</v>
      </c>
      <c r="AE437">
        <v>0</v>
      </c>
      <c r="AF437">
        <v>0</v>
      </c>
      <c r="AG437">
        <v>0</v>
      </c>
      <c r="AH437">
        <v>0</v>
      </c>
      <c r="AI437">
        <v>1</v>
      </c>
      <c r="AJ437">
        <v>0</v>
      </c>
      <c r="AK437">
        <v>0</v>
      </c>
      <c r="AL437">
        <v>0</v>
      </c>
      <c r="AM437">
        <v>0</v>
      </c>
      <c r="AN437">
        <v>1542</v>
      </c>
      <c r="AO437">
        <v>1508</v>
      </c>
      <c r="AP437">
        <f>ifood_data[[#This Row],[MntTotal]]-ifood_data[[#This Row],[MntRegularProds]]</f>
        <v>34</v>
      </c>
      <c r="AQ437">
        <v>0</v>
      </c>
      <c r="AR437">
        <f>IF(SUM(ifood_data[[#This Row],[Kidhome]:[Teenhome]])&gt;0,1,0)</f>
        <v>1</v>
      </c>
      <c r="AS437" t="str">
        <f>IF(SUM(ifood_data[[#This Row],[Kidhome]:[Teenhome]])&gt;0,"Has Family","No Family")</f>
        <v>Has Family</v>
      </c>
      <c r="AT437" t="str">
        <f>IF(ifood_data[[#This Row],[marital_Married]]=1,"Married", (IF(ifood_data[[#This Row],[marital_Single]]=1,"Single",(IF(ifood_data[[#This Row],[marital_Divorced]]=1,"Divorced",(IF(ifood_data[[#This Row],[marital_Together]]=1,"Living Together",(IF(ifood_data[[#This Row],[marital_Widow]]=1,"Widow","Other")))))))))</f>
        <v>Divorced</v>
      </c>
      <c r="AU437" t="str">
        <f>IF(ifood_data[[#This Row],[education_Basic]]=1,"High School",(IF(ifood_data[[#This Row],[education_Graduation]]=1,"Undergraduate Degree",(IF(SUM(AM437,AL437,AI437)&gt;0,"Master's Degree or Higher","Other")))))</f>
        <v>Master's Degree or Higher</v>
      </c>
      <c r="AV437" t="str">
        <f>IF(ifood_data[[#All],[Income]]&gt;75000,"75K+",(IF(ifood_data[[#All],[Income]]&gt;50000,"50K-75K",(IF(ifood_data[[#All],[Income]]&gt;35000,"35K-50K","&lt;35K")))))</f>
        <v>75K+</v>
      </c>
      <c r="AW437" t="str">
        <f>IF(ifood_data[[#All],[Age]]&gt;60,"60+",(IF(ifood_data[[#All],[Age]]&gt;50,"50-60",(IF(ifood_data[[#All],[Age]]&gt;40,"40-50",(IF(ifood_data[[#All],[Age]]&gt;30,"30-40","&lt;30")))))))</f>
        <v>60+</v>
      </c>
      <c r="AX437">
        <f t="shared" si="24"/>
        <v>32</v>
      </c>
      <c r="AY437">
        <f t="shared" si="25"/>
        <v>5</v>
      </c>
      <c r="AZ437">
        <f t="shared" si="26"/>
        <v>9</v>
      </c>
      <c r="BA437">
        <f t="shared" si="27"/>
        <v>9</v>
      </c>
      <c r="BB437">
        <f>SUM(ifood_data[[#This Row],[Recency Score]:[Monetary Score]])</f>
        <v>23</v>
      </c>
      <c r="BC437">
        <f>(_xlfn.PERCENTRANK.INC(ifood_data[[#All],[RFM]],ifood_data[[#This Row],[RFM]],1))*10</f>
        <v>8</v>
      </c>
      <c r="BD437" t="str">
        <f>VLOOKUP(ifood_data[[#This Row],[RFM Score]],'RFM Analysis'!$A$3:$B$14,2,FALSE)</f>
        <v>Loyal Customer</v>
      </c>
      <c r="BE437">
        <f>'Regression Models'!$B$101+'Regression Models'!$B$102*ifood_data[[#This Row],[Income]]+'Regression Models'!$B$103*ifood_data[[#This Row],[Age]]+'Regression Models'!$B$104*ifood_data[[#This Row],[Family]]</f>
        <v>1008.0694792188768</v>
      </c>
      <c r="BF437" t="str">
        <f>IF(ifood_data[[#This Row],[AcceptedCmpOverall]]=1,"Campaign Respondent","Non-respondent")</f>
        <v>Non-respondent</v>
      </c>
    </row>
    <row r="438" spans="1:58" x14ac:dyDescent="0.35">
      <c r="A438">
        <v>849</v>
      </c>
      <c r="B438">
        <v>78331</v>
      </c>
      <c r="C438">
        <v>0</v>
      </c>
      <c r="D438">
        <v>1</v>
      </c>
      <c r="E438">
        <v>97</v>
      </c>
      <c r="F438">
        <v>756</v>
      </c>
      <c r="G438">
        <v>138</v>
      </c>
      <c r="H438">
        <v>354</v>
      </c>
      <c r="I438">
        <v>160</v>
      </c>
      <c r="J438">
        <v>169</v>
      </c>
      <c r="K438">
        <v>61</v>
      </c>
      <c r="L438">
        <v>2</v>
      </c>
      <c r="M438">
        <v>10</v>
      </c>
      <c r="N438">
        <v>6</v>
      </c>
      <c r="O438">
        <v>7</v>
      </c>
      <c r="P438">
        <v>4</v>
      </c>
      <c r="Q438">
        <v>0</v>
      </c>
      <c r="R438">
        <v>0</v>
      </c>
      <c r="S438">
        <v>0</v>
      </c>
      <c r="T438">
        <v>0</v>
      </c>
      <c r="U438">
        <v>0</v>
      </c>
      <c r="V438">
        <f>IF(SUM(ifood_data[[#This Row],[AcceptedCmp1]:[AcceptedCmp5]])&gt;0,1,0)</f>
        <v>0</v>
      </c>
      <c r="W438">
        <v>0</v>
      </c>
      <c r="X438">
        <v>3</v>
      </c>
      <c r="Y438">
        <v>11</v>
      </c>
      <c r="Z438">
        <v>0</v>
      </c>
      <c r="AA438">
        <v>62</v>
      </c>
      <c r="AB438">
        <v>2316</v>
      </c>
      <c r="AC438" s="28">
        <f>ifood_data[[#This Row],[Customer_Days]]/365</f>
        <v>6.3452054794520549</v>
      </c>
      <c r="AD438">
        <v>1</v>
      </c>
      <c r="AE438">
        <v>0</v>
      </c>
      <c r="AF438">
        <v>0</v>
      </c>
      <c r="AG438">
        <v>0</v>
      </c>
      <c r="AH438">
        <v>0</v>
      </c>
      <c r="AI438">
        <v>0</v>
      </c>
      <c r="AJ438">
        <v>0</v>
      </c>
      <c r="AK438">
        <v>1</v>
      </c>
      <c r="AL438">
        <v>0</v>
      </c>
      <c r="AM438">
        <v>0</v>
      </c>
      <c r="AN438">
        <v>1577</v>
      </c>
      <c r="AO438">
        <v>1516</v>
      </c>
      <c r="AP438">
        <f>ifood_data[[#This Row],[MntTotal]]-ifood_data[[#This Row],[MntRegularProds]]</f>
        <v>61</v>
      </c>
      <c r="AQ438">
        <v>0</v>
      </c>
      <c r="AR438">
        <f>IF(SUM(ifood_data[[#This Row],[Kidhome]:[Teenhome]])&gt;0,1,0)</f>
        <v>1</v>
      </c>
      <c r="AS438" t="str">
        <f>IF(SUM(ifood_data[[#This Row],[Kidhome]:[Teenhome]])&gt;0,"Has Family","No Family")</f>
        <v>Has Family</v>
      </c>
      <c r="AT438" t="str">
        <f>IF(ifood_data[[#This Row],[marital_Married]]=1,"Married", (IF(ifood_data[[#This Row],[marital_Single]]=1,"Single",(IF(ifood_data[[#This Row],[marital_Divorced]]=1,"Divorced",(IF(ifood_data[[#This Row],[marital_Together]]=1,"Living Together",(IF(ifood_data[[#This Row],[marital_Widow]]=1,"Widow","Other")))))))))</f>
        <v>Divorced</v>
      </c>
      <c r="AU438" t="str">
        <f>IF(ifood_data[[#This Row],[education_Basic]]=1,"High School",(IF(ifood_data[[#This Row],[education_Graduation]]=1,"Undergraduate Degree",(IF(SUM(AM438,AL438,AI438)&gt;0,"Master's Degree or Higher","Other")))))</f>
        <v>Undergraduate Degree</v>
      </c>
      <c r="AV438" t="str">
        <f>IF(ifood_data[[#All],[Income]]&gt;75000,"75K+",(IF(ifood_data[[#All],[Income]]&gt;50000,"50K-75K",(IF(ifood_data[[#All],[Income]]&gt;35000,"35K-50K","&lt;35K")))))</f>
        <v>75K+</v>
      </c>
      <c r="AW438" t="str">
        <f>IF(ifood_data[[#All],[Age]]&gt;60,"60+",(IF(ifood_data[[#All],[Age]]&gt;50,"50-60",(IF(ifood_data[[#All],[Age]]&gt;40,"40-50",(IF(ifood_data[[#All],[Age]]&gt;30,"30-40","&lt;30")))))))</f>
        <v>60+</v>
      </c>
      <c r="AX438">
        <f t="shared" si="24"/>
        <v>29</v>
      </c>
      <c r="AY438">
        <f t="shared" si="25"/>
        <v>0.99999999999999978</v>
      </c>
      <c r="AZ438">
        <f t="shared" si="26"/>
        <v>8</v>
      </c>
      <c r="BA438">
        <f t="shared" si="27"/>
        <v>9</v>
      </c>
      <c r="BB438">
        <f>SUM(ifood_data[[#This Row],[Recency Score]:[Monetary Score]])</f>
        <v>18</v>
      </c>
      <c r="BC438">
        <f>(_xlfn.PERCENTRANK.INC(ifood_data[[#All],[RFM]],ifood_data[[#This Row],[RFM]],1))*10</f>
        <v>6</v>
      </c>
      <c r="BD438" t="str">
        <f>VLOOKUP(ifood_data[[#This Row],[RFM Score]],'RFM Analysis'!$A$3:$B$14,2,FALSE)</f>
        <v>Promising</v>
      </c>
      <c r="BE438">
        <f>'Regression Models'!$B$101+'Regression Models'!$B$102*ifood_data[[#This Row],[Income]]+'Regression Models'!$B$103*ifood_data[[#This Row],[Age]]+'Regression Models'!$B$104*ifood_data[[#This Row],[Family]]</f>
        <v>1005.7844872408167</v>
      </c>
      <c r="BF438" t="str">
        <f>IF(ifood_data[[#This Row],[AcceptedCmpOverall]]=1,"Campaign Respondent","Non-respondent")</f>
        <v>Non-respondent</v>
      </c>
    </row>
    <row r="439" spans="1:58" x14ac:dyDescent="0.35">
      <c r="A439">
        <v>1142</v>
      </c>
      <c r="B439">
        <v>77044</v>
      </c>
      <c r="C439">
        <v>0</v>
      </c>
      <c r="D439">
        <v>1</v>
      </c>
      <c r="E439">
        <v>12</v>
      </c>
      <c r="F439">
        <v>625</v>
      </c>
      <c r="G439">
        <v>38</v>
      </c>
      <c r="H439">
        <v>242</v>
      </c>
      <c r="I439">
        <v>50</v>
      </c>
      <c r="J439">
        <v>34</v>
      </c>
      <c r="K439">
        <v>76</v>
      </c>
      <c r="L439">
        <v>2</v>
      </c>
      <c r="M439">
        <v>7</v>
      </c>
      <c r="N439">
        <v>11</v>
      </c>
      <c r="O439">
        <v>11</v>
      </c>
      <c r="P439">
        <v>4</v>
      </c>
      <c r="Q439">
        <v>0</v>
      </c>
      <c r="R439">
        <v>0</v>
      </c>
      <c r="S439">
        <v>1</v>
      </c>
      <c r="T439">
        <v>0</v>
      </c>
      <c r="U439">
        <v>0</v>
      </c>
      <c r="V439">
        <f>IF(SUM(ifood_data[[#This Row],[AcceptedCmp1]:[AcceptedCmp5]])&gt;0,1,0)</f>
        <v>1</v>
      </c>
      <c r="W439">
        <v>0</v>
      </c>
      <c r="X439">
        <v>3</v>
      </c>
      <c r="Y439">
        <v>11</v>
      </c>
      <c r="Z439">
        <v>0</v>
      </c>
      <c r="AA439">
        <v>48</v>
      </c>
      <c r="AB439">
        <v>2404</v>
      </c>
      <c r="AC439" s="28">
        <f>ifood_data[[#This Row],[Customer_Days]]/365</f>
        <v>6.5863013698630137</v>
      </c>
      <c r="AD439">
        <v>0</v>
      </c>
      <c r="AE439">
        <v>0</v>
      </c>
      <c r="AF439">
        <v>0</v>
      </c>
      <c r="AG439">
        <v>1</v>
      </c>
      <c r="AH439">
        <v>0</v>
      </c>
      <c r="AI439">
        <v>0</v>
      </c>
      <c r="AJ439">
        <v>0</v>
      </c>
      <c r="AK439">
        <v>1</v>
      </c>
      <c r="AL439">
        <v>0</v>
      </c>
      <c r="AM439">
        <v>0</v>
      </c>
      <c r="AN439">
        <v>989</v>
      </c>
      <c r="AO439">
        <v>913</v>
      </c>
      <c r="AP439">
        <f>ifood_data[[#This Row],[MntTotal]]-ifood_data[[#This Row],[MntRegularProds]]</f>
        <v>76</v>
      </c>
      <c r="AQ439">
        <v>1</v>
      </c>
      <c r="AR439">
        <f>IF(SUM(ifood_data[[#This Row],[Kidhome]:[Teenhome]])&gt;0,1,0)</f>
        <v>1</v>
      </c>
      <c r="AS439" t="str">
        <f>IF(SUM(ifood_data[[#This Row],[Kidhome]:[Teenhome]])&gt;0,"Has Family","No Family")</f>
        <v>Has Family</v>
      </c>
      <c r="AT439" t="str">
        <f>IF(ifood_data[[#This Row],[marital_Married]]=1,"Married", (IF(ifood_data[[#This Row],[marital_Single]]=1,"Single",(IF(ifood_data[[#This Row],[marital_Divorced]]=1,"Divorced",(IF(ifood_data[[#This Row],[marital_Together]]=1,"Living Together",(IF(ifood_data[[#This Row],[marital_Widow]]=1,"Widow","Other")))))))))</f>
        <v>Living Together</v>
      </c>
      <c r="AU439" t="str">
        <f>IF(ifood_data[[#This Row],[education_Basic]]=1,"High School",(IF(ifood_data[[#This Row],[education_Graduation]]=1,"Undergraduate Degree",(IF(SUM(AM439,AL439,AI439)&gt;0,"Master's Degree or Higher","Other")))))</f>
        <v>Undergraduate Degree</v>
      </c>
      <c r="AV439" t="str">
        <f>IF(ifood_data[[#All],[Income]]&gt;75000,"75K+",(IF(ifood_data[[#All],[Income]]&gt;50000,"50K-75K",(IF(ifood_data[[#All],[Income]]&gt;35000,"35K-50K","&lt;35K")))))</f>
        <v>75K+</v>
      </c>
      <c r="AW439" t="str">
        <f>IF(ifood_data[[#All],[Age]]&gt;60,"60+",(IF(ifood_data[[#All],[Age]]&gt;50,"50-60",(IF(ifood_data[[#All],[Age]]&gt;40,"40-50",(IF(ifood_data[[#All],[Age]]&gt;30,"30-40","&lt;30")))))))</f>
        <v>40-50</v>
      </c>
      <c r="AX439">
        <f t="shared" si="24"/>
        <v>35</v>
      </c>
      <c r="AY439">
        <f t="shared" si="25"/>
        <v>9</v>
      </c>
      <c r="AZ439">
        <f t="shared" si="26"/>
        <v>9</v>
      </c>
      <c r="BA439">
        <f t="shared" si="27"/>
        <v>7</v>
      </c>
      <c r="BB439">
        <f>SUM(ifood_data[[#This Row],[Recency Score]:[Monetary Score]])</f>
        <v>25</v>
      </c>
      <c r="BC439">
        <f>(_xlfn.PERCENTRANK.INC(ifood_data[[#All],[RFM]],ifood_data[[#This Row],[RFM]],1))*10</f>
        <v>9</v>
      </c>
      <c r="BD439" t="str">
        <f>VLOOKUP(ifood_data[[#This Row],[RFM Score]],'RFM Analysis'!$A$3:$B$14,2,FALSE)</f>
        <v>Top Customer</v>
      </c>
      <c r="BE439">
        <f>'Regression Models'!$B$101+'Regression Models'!$B$102*ifood_data[[#This Row],[Income]]+'Regression Models'!$B$103*ifood_data[[#This Row],[Age]]+'Regression Models'!$B$104*ifood_data[[#This Row],[Family]]</f>
        <v>1005.2542897441386</v>
      </c>
      <c r="BF439" t="str">
        <f>IF(ifood_data[[#This Row],[AcceptedCmpOverall]]=1,"Campaign Respondent","Non-respondent")</f>
        <v>Campaign Respondent</v>
      </c>
    </row>
    <row r="440" spans="1:58" x14ac:dyDescent="0.35">
      <c r="A440">
        <v>1243</v>
      </c>
      <c r="B440">
        <v>77382</v>
      </c>
      <c r="C440">
        <v>0</v>
      </c>
      <c r="D440">
        <v>1</v>
      </c>
      <c r="E440">
        <v>36</v>
      </c>
      <c r="F440">
        <v>491</v>
      </c>
      <c r="G440">
        <v>48</v>
      </c>
      <c r="H440">
        <v>231</v>
      </c>
      <c r="I440">
        <v>112</v>
      </c>
      <c r="J440">
        <v>105</v>
      </c>
      <c r="K440">
        <v>134</v>
      </c>
      <c r="L440">
        <v>2</v>
      </c>
      <c r="M440">
        <v>5</v>
      </c>
      <c r="N440">
        <v>7</v>
      </c>
      <c r="O440">
        <v>12</v>
      </c>
      <c r="P440">
        <v>1</v>
      </c>
      <c r="Q440">
        <v>0</v>
      </c>
      <c r="R440">
        <v>0</v>
      </c>
      <c r="S440">
        <v>0</v>
      </c>
      <c r="T440">
        <v>0</v>
      </c>
      <c r="U440">
        <v>1</v>
      </c>
      <c r="V440">
        <f>IF(SUM(ifood_data[[#This Row],[AcceptedCmp1]:[AcceptedCmp5]])&gt;0,1,0)</f>
        <v>1</v>
      </c>
      <c r="W440">
        <v>0</v>
      </c>
      <c r="X440">
        <v>3</v>
      </c>
      <c r="Y440">
        <v>11</v>
      </c>
      <c r="Z440">
        <v>0</v>
      </c>
      <c r="AA440">
        <v>52</v>
      </c>
      <c r="AB440">
        <v>2332</v>
      </c>
      <c r="AC440" s="28">
        <f>ifood_data[[#This Row],[Customer_Days]]/365</f>
        <v>6.3890410958904109</v>
      </c>
      <c r="AD440">
        <v>0</v>
      </c>
      <c r="AE440">
        <v>0</v>
      </c>
      <c r="AF440">
        <v>0</v>
      </c>
      <c r="AG440">
        <v>1</v>
      </c>
      <c r="AH440">
        <v>0</v>
      </c>
      <c r="AI440">
        <v>0</v>
      </c>
      <c r="AJ440">
        <v>0</v>
      </c>
      <c r="AK440">
        <v>1</v>
      </c>
      <c r="AL440">
        <v>0</v>
      </c>
      <c r="AM440">
        <v>0</v>
      </c>
      <c r="AN440">
        <v>987</v>
      </c>
      <c r="AO440">
        <v>853</v>
      </c>
      <c r="AP440">
        <f>ifood_data[[#This Row],[MntTotal]]-ifood_data[[#This Row],[MntRegularProds]]</f>
        <v>134</v>
      </c>
      <c r="AQ440">
        <v>1</v>
      </c>
      <c r="AR440">
        <f>IF(SUM(ifood_data[[#This Row],[Kidhome]:[Teenhome]])&gt;0,1,0)</f>
        <v>1</v>
      </c>
      <c r="AS440" t="str">
        <f>IF(SUM(ifood_data[[#This Row],[Kidhome]:[Teenhome]])&gt;0,"Has Family","No Family")</f>
        <v>Has Family</v>
      </c>
      <c r="AT440" t="str">
        <f>IF(ifood_data[[#This Row],[marital_Married]]=1,"Married", (IF(ifood_data[[#This Row],[marital_Single]]=1,"Single",(IF(ifood_data[[#This Row],[marital_Divorced]]=1,"Divorced",(IF(ifood_data[[#This Row],[marital_Together]]=1,"Living Together",(IF(ifood_data[[#This Row],[marital_Widow]]=1,"Widow","Other")))))))))</f>
        <v>Living Together</v>
      </c>
      <c r="AU440" t="str">
        <f>IF(ifood_data[[#This Row],[education_Basic]]=1,"High School",(IF(ifood_data[[#This Row],[education_Graduation]]=1,"Undergraduate Degree",(IF(SUM(AM440,AL440,AI440)&gt;0,"Master's Degree or Higher","Other")))))</f>
        <v>Undergraduate Degree</v>
      </c>
      <c r="AV440" t="str">
        <f>IF(ifood_data[[#All],[Income]]&gt;75000,"75K+",(IF(ifood_data[[#All],[Income]]&gt;50000,"50K-75K",(IF(ifood_data[[#All],[Income]]&gt;35000,"35K-50K","&lt;35K")))))</f>
        <v>75K+</v>
      </c>
      <c r="AW440" t="str">
        <f>IF(ifood_data[[#All],[Age]]&gt;60,"60+",(IF(ifood_data[[#All],[Age]]&gt;50,"50-60",(IF(ifood_data[[#All],[Age]]&gt;40,"40-50",(IF(ifood_data[[#All],[Age]]&gt;30,"30-40","&lt;30")))))))</f>
        <v>50-60</v>
      </c>
      <c r="AX440">
        <f t="shared" si="24"/>
        <v>27</v>
      </c>
      <c r="AY440">
        <f t="shared" si="25"/>
        <v>7</v>
      </c>
      <c r="AZ440">
        <f t="shared" si="26"/>
        <v>7</v>
      </c>
      <c r="BA440">
        <f t="shared" si="27"/>
        <v>7</v>
      </c>
      <c r="BB440">
        <f>SUM(ifood_data[[#This Row],[Recency Score]:[Monetary Score]])</f>
        <v>21</v>
      </c>
      <c r="BC440">
        <f>(_xlfn.PERCENTRANK.INC(ifood_data[[#All],[RFM]],ifood_data[[#This Row],[RFM]],1))*10</f>
        <v>8</v>
      </c>
      <c r="BD440" t="str">
        <f>VLOOKUP(ifood_data[[#This Row],[RFM Score]],'RFM Analysis'!$A$3:$B$14,2,FALSE)</f>
        <v>Loyal Customer</v>
      </c>
      <c r="BE440">
        <f>'Regression Models'!$B$101+'Regression Models'!$B$102*ifood_data[[#This Row],[Income]]+'Regression Models'!$B$103*ifood_data[[#This Row],[Age]]+'Regression Models'!$B$104*ifood_data[[#This Row],[Family]]</f>
        <v>1004.7999370611998</v>
      </c>
      <c r="BF440" t="str">
        <f>IF(ifood_data[[#This Row],[AcceptedCmpOverall]]=1,"Campaign Respondent","Non-respondent")</f>
        <v>Campaign Respondent</v>
      </c>
    </row>
    <row r="441" spans="1:58" x14ac:dyDescent="0.35">
      <c r="A441">
        <v>404</v>
      </c>
      <c r="B441">
        <v>75433</v>
      </c>
      <c r="C441">
        <v>1</v>
      </c>
      <c r="D441">
        <v>0</v>
      </c>
      <c r="E441">
        <v>28</v>
      </c>
      <c r="F441">
        <v>800</v>
      </c>
      <c r="G441">
        <v>0</v>
      </c>
      <c r="H441">
        <v>297</v>
      </c>
      <c r="I441">
        <v>0</v>
      </c>
      <c r="J441">
        <v>34</v>
      </c>
      <c r="K441">
        <v>57</v>
      </c>
      <c r="L441">
        <v>2</v>
      </c>
      <c r="M441">
        <v>2</v>
      </c>
      <c r="N441">
        <v>5</v>
      </c>
      <c r="O441">
        <v>10</v>
      </c>
      <c r="P441">
        <v>6</v>
      </c>
      <c r="Q441">
        <v>1</v>
      </c>
      <c r="R441">
        <v>0</v>
      </c>
      <c r="S441">
        <v>0</v>
      </c>
      <c r="T441">
        <v>1</v>
      </c>
      <c r="U441">
        <v>0</v>
      </c>
      <c r="V441">
        <f>IF(SUM(ifood_data[[#This Row],[AcceptedCmp1]:[AcceptedCmp5]])&gt;0,1,0)</f>
        <v>1</v>
      </c>
      <c r="W441">
        <v>0</v>
      </c>
      <c r="X441">
        <v>3</v>
      </c>
      <c r="Y441">
        <v>11</v>
      </c>
      <c r="Z441">
        <v>0</v>
      </c>
      <c r="AA441">
        <v>31</v>
      </c>
      <c r="AB441">
        <v>2244</v>
      </c>
      <c r="AC441" s="28">
        <f>ifood_data[[#This Row],[Customer_Days]]/365</f>
        <v>6.1479452054794521</v>
      </c>
      <c r="AD441">
        <v>0</v>
      </c>
      <c r="AE441">
        <v>1</v>
      </c>
      <c r="AF441">
        <v>0</v>
      </c>
      <c r="AG441">
        <v>0</v>
      </c>
      <c r="AH441">
        <v>0</v>
      </c>
      <c r="AI441">
        <v>0</v>
      </c>
      <c r="AJ441">
        <v>0</v>
      </c>
      <c r="AK441">
        <v>1</v>
      </c>
      <c r="AL441">
        <v>0</v>
      </c>
      <c r="AM441">
        <v>0</v>
      </c>
      <c r="AN441">
        <v>1131</v>
      </c>
      <c r="AO441">
        <v>1074</v>
      </c>
      <c r="AP441">
        <f>ifood_data[[#This Row],[MntTotal]]-ifood_data[[#This Row],[MntRegularProds]]</f>
        <v>57</v>
      </c>
      <c r="AQ441">
        <v>2</v>
      </c>
      <c r="AR441">
        <f>IF(SUM(ifood_data[[#This Row],[Kidhome]:[Teenhome]])&gt;0,1,0)</f>
        <v>1</v>
      </c>
      <c r="AS441" t="str">
        <f>IF(SUM(ifood_data[[#This Row],[Kidhome]:[Teenhome]])&gt;0,"Has Family","No Family")</f>
        <v>Has Family</v>
      </c>
      <c r="AT441" t="str">
        <f>IF(ifood_data[[#This Row],[marital_Married]]=1,"Married", (IF(ifood_data[[#This Row],[marital_Single]]=1,"Single",(IF(ifood_data[[#This Row],[marital_Divorced]]=1,"Divorced",(IF(ifood_data[[#This Row],[marital_Together]]=1,"Living Together",(IF(ifood_data[[#This Row],[marital_Widow]]=1,"Widow","Other")))))))))</f>
        <v>Married</v>
      </c>
      <c r="AU441" t="str">
        <f>IF(ifood_data[[#This Row],[education_Basic]]=1,"High School",(IF(ifood_data[[#This Row],[education_Graduation]]=1,"Undergraduate Degree",(IF(SUM(AM441,AL441,AI441)&gt;0,"Master's Degree or Higher","Other")))))</f>
        <v>Undergraduate Degree</v>
      </c>
      <c r="AV441" t="str">
        <f>IF(ifood_data[[#All],[Income]]&gt;75000,"75K+",(IF(ifood_data[[#All],[Income]]&gt;50000,"50K-75K",(IF(ifood_data[[#All],[Income]]&gt;35000,"35K-50K","&lt;35K")))))</f>
        <v>75K+</v>
      </c>
      <c r="AW441" t="str">
        <f>IF(ifood_data[[#All],[Age]]&gt;60,"60+",(IF(ifood_data[[#All],[Age]]&gt;50,"50-60",(IF(ifood_data[[#All],[Age]]&gt;40,"40-50",(IF(ifood_data[[#All],[Age]]&gt;30,"30-40","&lt;30")))))))</f>
        <v>30-40</v>
      </c>
      <c r="AX441">
        <f t="shared" si="24"/>
        <v>25</v>
      </c>
      <c r="AY441">
        <f t="shared" si="25"/>
        <v>8</v>
      </c>
      <c r="AZ441">
        <f t="shared" si="26"/>
        <v>7</v>
      </c>
      <c r="BA441">
        <f t="shared" si="27"/>
        <v>8</v>
      </c>
      <c r="BB441">
        <f>SUM(ifood_data[[#This Row],[Recency Score]:[Monetary Score]])</f>
        <v>23</v>
      </c>
      <c r="BC441">
        <f>(_xlfn.PERCENTRANK.INC(ifood_data[[#All],[RFM]],ifood_data[[#This Row],[RFM]],1))*10</f>
        <v>8</v>
      </c>
      <c r="BD441" t="str">
        <f>VLOOKUP(ifood_data[[#This Row],[RFM Score]],'RFM Analysis'!$A$3:$B$14,2,FALSE)</f>
        <v>Loyal Customer</v>
      </c>
      <c r="BE441">
        <f>'Regression Models'!$B$101+'Regression Models'!$B$102*ifood_data[[#This Row],[Income]]+'Regression Models'!$B$103*ifood_data[[#This Row],[Age]]+'Regression Models'!$B$104*ifood_data[[#This Row],[Family]]</f>
        <v>1003.6274486055205</v>
      </c>
      <c r="BF441" t="str">
        <f>IF(ifood_data[[#This Row],[AcceptedCmpOverall]]=1,"Campaign Respondent","Non-respondent")</f>
        <v>Campaign Respondent</v>
      </c>
    </row>
    <row r="442" spans="1:58" x14ac:dyDescent="0.35">
      <c r="A442">
        <v>474</v>
      </c>
      <c r="B442">
        <v>65275</v>
      </c>
      <c r="C442">
        <v>0</v>
      </c>
      <c r="D442">
        <v>0</v>
      </c>
      <c r="E442">
        <v>9</v>
      </c>
      <c r="F442">
        <v>388</v>
      </c>
      <c r="G442">
        <v>14</v>
      </c>
      <c r="H442">
        <v>218</v>
      </c>
      <c r="I442">
        <v>91</v>
      </c>
      <c r="J442">
        <v>14</v>
      </c>
      <c r="K442">
        <v>21</v>
      </c>
      <c r="L442">
        <v>1</v>
      </c>
      <c r="M442">
        <v>4</v>
      </c>
      <c r="N442">
        <v>3</v>
      </c>
      <c r="O442">
        <v>13</v>
      </c>
      <c r="P442">
        <v>2</v>
      </c>
      <c r="Q442">
        <v>0</v>
      </c>
      <c r="R442">
        <v>0</v>
      </c>
      <c r="S442">
        <v>0</v>
      </c>
      <c r="T442">
        <v>0</v>
      </c>
      <c r="U442">
        <v>0</v>
      </c>
      <c r="V442">
        <f>IF(SUM(ifood_data[[#This Row],[AcceptedCmp1]:[AcceptedCmp5]])&gt;0,1,0)</f>
        <v>0</v>
      </c>
      <c r="W442">
        <v>0</v>
      </c>
      <c r="X442">
        <v>3</v>
      </c>
      <c r="Y442">
        <v>11</v>
      </c>
      <c r="Z442">
        <v>0</v>
      </c>
      <c r="AA442">
        <v>76</v>
      </c>
      <c r="AB442">
        <v>2611</v>
      </c>
      <c r="AC442" s="28">
        <f>ifood_data[[#This Row],[Customer_Days]]/365</f>
        <v>7.1534246575342468</v>
      </c>
      <c r="AD442">
        <v>0</v>
      </c>
      <c r="AE442">
        <v>1</v>
      </c>
      <c r="AF442">
        <v>0</v>
      </c>
      <c r="AG442">
        <v>0</v>
      </c>
      <c r="AH442">
        <v>0</v>
      </c>
      <c r="AI442">
        <v>0</v>
      </c>
      <c r="AJ442">
        <v>0</v>
      </c>
      <c r="AK442">
        <v>1</v>
      </c>
      <c r="AL442">
        <v>0</v>
      </c>
      <c r="AM442">
        <v>0</v>
      </c>
      <c r="AN442">
        <v>725</v>
      </c>
      <c r="AO442">
        <v>704</v>
      </c>
      <c r="AP442">
        <f>ifood_data[[#This Row],[MntTotal]]-ifood_data[[#This Row],[MntRegularProds]]</f>
        <v>21</v>
      </c>
      <c r="AQ442">
        <v>0</v>
      </c>
      <c r="AR442">
        <f>IF(SUM(ifood_data[[#This Row],[Kidhome]:[Teenhome]])&gt;0,1,0)</f>
        <v>0</v>
      </c>
      <c r="AS442" t="str">
        <f>IF(SUM(ifood_data[[#This Row],[Kidhome]:[Teenhome]])&gt;0,"Has Family","No Family")</f>
        <v>No Family</v>
      </c>
      <c r="AT442" t="str">
        <f>IF(ifood_data[[#This Row],[marital_Married]]=1,"Married", (IF(ifood_data[[#This Row],[marital_Single]]=1,"Single",(IF(ifood_data[[#This Row],[marital_Divorced]]=1,"Divorced",(IF(ifood_data[[#This Row],[marital_Together]]=1,"Living Together",(IF(ifood_data[[#This Row],[marital_Widow]]=1,"Widow","Other")))))))))</f>
        <v>Married</v>
      </c>
      <c r="AU442" t="str">
        <f>IF(ifood_data[[#This Row],[education_Basic]]=1,"High School",(IF(ifood_data[[#This Row],[education_Graduation]]=1,"Undergraduate Degree",(IF(SUM(AM442,AL442,AI442)&gt;0,"Master's Degree or Higher","Other")))))</f>
        <v>Undergraduate Degree</v>
      </c>
      <c r="AV442" t="str">
        <f>IF(ifood_data[[#All],[Income]]&gt;75000,"75K+",(IF(ifood_data[[#All],[Income]]&gt;50000,"50K-75K",(IF(ifood_data[[#All],[Income]]&gt;35000,"35K-50K","&lt;35K")))))</f>
        <v>50K-75K</v>
      </c>
      <c r="AW442" t="str">
        <f>IF(ifood_data[[#All],[Age]]&gt;60,"60+",(IF(ifood_data[[#All],[Age]]&gt;50,"50-60",(IF(ifood_data[[#All],[Age]]&gt;40,"40-50",(IF(ifood_data[[#All],[Age]]&gt;30,"30-40","&lt;30")))))))</f>
        <v>60+</v>
      </c>
      <c r="AX442">
        <f t="shared" si="24"/>
        <v>23</v>
      </c>
      <c r="AY442">
        <f t="shared" si="25"/>
        <v>10</v>
      </c>
      <c r="AZ442">
        <f t="shared" si="26"/>
        <v>6</v>
      </c>
      <c r="BA442">
        <f t="shared" si="27"/>
        <v>6</v>
      </c>
      <c r="BB442">
        <f>SUM(ifood_data[[#This Row],[Recency Score]:[Monetary Score]])</f>
        <v>22</v>
      </c>
      <c r="BC442">
        <f>(_xlfn.PERCENTRANK.INC(ifood_data[[#All],[RFM]],ifood_data[[#This Row],[RFM]],1))*10</f>
        <v>8</v>
      </c>
      <c r="BD442" t="str">
        <f>VLOOKUP(ifood_data[[#This Row],[RFM Score]],'RFM Analysis'!$A$3:$B$14,2,FALSE)</f>
        <v>Loyal Customer</v>
      </c>
      <c r="BE442">
        <f>'Regression Models'!$B$101+'Regression Models'!$B$102*ifood_data[[#This Row],[Income]]+'Regression Models'!$B$103*ifood_data[[#This Row],[Age]]+'Regression Models'!$B$104*ifood_data[[#This Row],[Family]]</f>
        <v>1003.4922143225684</v>
      </c>
      <c r="BF442" t="str">
        <f>IF(ifood_data[[#This Row],[AcceptedCmpOverall]]=1,"Campaign Respondent","Non-respondent")</f>
        <v>Non-respondent</v>
      </c>
    </row>
    <row r="443" spans="1:58" x14ac:dyDescent="0.35">
      <c r="A443">
        <v>1727</v>
      </c>
      <c r="B443">
        <v>76532</v>
      </c>
      <c r="C443">
        <v>1</v>
      </c>
      <c r="D443">
        <v>1</v>
      </c>
      <c r="E443">
        <v>38</v>
      </c>
      <c r="F443">
        <v>355</v>
      </c>
      <c r="G443">
        <v>30</v>
      </c>
      <c r="H443">
        <v>177</v>
      </c>
      <c r="I443">
        <v>90</v>
      </c>
      <c r="J443">
        <v>138</v>
      </c>
      <c r="K443">
        <v>30</v>
      </c>
      <c r="L443">
        <v>4</v>
      </c>
      <c r="M443">
        <v>9</v>
      </c>
      <c r="N443">
        <v>5</v>
      </c>
      <c r="O443">
        <v>7</v>
      </c>
      <c r="P443">
        <v>5</v>
      </c>
      <c r="Q443">
        <v>0</v>
      </c>
      <c r="R443">
        <v>0</v>
      </c>
      <c r="S443">
        <v>0</v>
      </c>
      <c r="T443">
        <v>0</v>
      </c>
      <c r="U443">
        <v>0</v>
      </c>
      <c r="V443">
        <f>IF(SUM(ifood_data[[#This Row],[AcceptedCmp1]:[AcceptedCmp5]])&gt;0,1,0)</f>
        <v>0</v>
      </c>
      <c r="W443">
        <v>0</v>
      </c>
      <c r="X443">
        <v>3</v>
      </c>
      <c r="Y443">
        <v>11</v>
      </c>
      <c r="Z443">
        <v>0</v>
      </c>
      <c r="AA443">
        <v>45</v>
      </c>
      <c r="AB443">
        <v>2452</v>
      </c>
      <c r="AC443" s="28">
        <f>ifood_data[[#This Row],[Customer_Days]]/365</f>
        <v>6.7178082191780826</v>
      </c>
      <c r="AD443">
        <v>0</v>
      </c>
      <c r="AE443">
        <v>0</v>
      </c>
      <c r="AF443">
        <v>0</v>
      </c>
      <c r="AG443">
        <v>1</v>
      </c>
      <c r="AH443">
        <v>0</v>
      </c>
      <c r="AI443">
        <v>0</v>
      </c>
      <c r="AJ443">
        <v>0</v>
      </c>
      <c r="AK443">
        <v>1</v>
      </c>
      <c r="AL443">
        <v>0</v>
      </c>
      <c r="AM443">
        <v>0</v>
      </c>
      <c r="AN443">
        <v>790</v>
      </c>
      <c r="AO443">
        <v>760</v>
      </c>
      <c r="AP443">
        <f>ifood_data[[#This Row],[MntTotal]]-ifood_data[[#This Row],[MntRegularProds]]</f>
        <v>30</v>
      </c>
      <c r="AQ443">
        <v>0</v>
      </c>
      <c r="AR443">
        <f>IF(SUM(ifood_data[[#This Row],[Kidhome]:[Teenhome]])&gt;0,1,0)</f>
        <v>1</v>
      </c>
      <c r="AS443" t="str">
        <f>IF(SUM(ifood_data[[#This Row],[Kidhome]:[Teenhome]])&gt;0,"Has Family","No Family")</f>
        <v>Has Family</v>
      </c>
      <c r="AT443" t="str">
        <f>IF(ifood_data[[#This Row],[marital_Married]]=1,"Married", (IF(ifood_data[[#This Row],[marital_Single]]=1,"Single",(IF(ifood_data[[#This Row],[marital_Divorced]]=1,"Divorced",(IF(ifood_data[[#This Row],[marital_Together]]=1,"Living Together",(IF(ifood_data[[#This Row],[marital_Widow]]=1,"Widow","Other")))))))))</f>
        <v>Living Together</v>
      </c>
      <c r="AU443" t="str">
        <f>IF(ifood_data[[#This Row],[education_Basic]]=1,"High School",(IF(ifood_data[[#This Row],[education_Graduation]]=1,"Undergraduate Degree",(IF(SUM(AM443,AL443,AI443)&gt;0,"Master's Degree or Higher","Other")))))</f>
        <v>Undergraduate Degree</v>
      </c>
      <c r="AV443" t="str">
        <f>IF(ifood_data[[#All],[Income]]&gt;75000,"75K+",(IF(ifood_data[[#All],[Income]]&gt;50000,"50K-75K",(IF(ifood_data[[#All],[Income]]&gt;35000,"35K-50K","&lt;35K")))))</f>
        <v>75K+</v>
      </c>
      <c r="AW443" t="str">
        <f>IF(ifood_data[[#All],[Age]]&gt;60,"60+",(IF(ifood_data[[#All],[Age]]&gt;50,"50-60",(IF(ifood_data[[#All],[Age]]&gt;40,"40-50",(IF(ifood_data[[#All],[Age]]&gt;30,"30-40","&lt;30")))))))</f>
        <v>40-50</v>
      </c>
      <c r="AX443">
        <f t="shared" si="24"/>
        <v>30</v>
      </c>
      <c r="AY443">
        <f t="shared" si="25"/>
        <v>7</v>
      </c>
      <c r="AZ443">
        <f t="shared" si="26"/>
        <v>8</v>
      </c>
      <c r="BA443">
        <f t="shared" si="27"/>
        <v>6</v>
      </c>
      <c r="BB443">
        <f>SUM(ifood_data[[#This Row],[Recency Score]:[Monetary Score]])</f>
        <v>21</v>
      </c>
      <c r="BC443">
        <f>(_xlfn.PERCENTRANK.INC(ifood_data[[#All],[RFM]],ifood_data[[#This Row],[RFM]],1))*10</f>
        <v>8</v>
      </c>
      <c r="BD443" t="str">
        <f>VLOOKUP(ifood_data[[#This Row],[RFM Score]],'RFM Analysis'!$A$3:$B$14,2,FALSE)</f>
        <v>Loyal Customer</v>
      </c>
      <c r="BE443">
        <f>'Regression Models'!$B$101+'Regression Models'!$B$102*ifood_data[[#This Row],[Income]]+'Regression Models'!$B$103*ifood_data[[#This Row],[Age]]+'Regression Models'!$B$104*ifood_data[[#This Row],[Family]]</f>
        <v>1000.3245576911455</v>
      </c>
      <c r="BF443" t="str">
        <f>IF(ifood_data[[#This Row],[AcceptedCmpOverall]]=1,"Campaign Respondent","Non-respondent")</f>
        <v>Non-respondent</v>
      </c>
    </row>
    <row r="444" spans="1:58" x14ac:dyDescent="0.35">
      <c r="A444">
        <v>124</v>
      </c>
      <c r="B444">
        <v>62981</v>
      </c>
      <c r="C444">
        <v>0</v>
      </c>
      <c r="D444">
        <v>0</v>
      </c>
      <c r="E444">
        <v>21</v>
      </c>
      <c r="F444">
        <v>796</v>
      </c>
      <c r="G444">
        <v>14</v>
      </c>
      <c r="H444">
        <v>590</v>
      </c>
      <c r="I444">
        <v>38</v>
      </c>
      <c r="J444">
        <v>44</v>
      </c>
      <c r="K444">
        <v>0</v>
      </c>
      <c r="L444">
        <v>1</v>
      </c>
      <c r="M444">
        <v>4</v>
      </c>
      <c r="N444">
        <v>5</v>
      </c>
      <c r="O444">
        <v>13</v>
      </c>
      <c r="P444">
        <v>3</v>
      </c>
      <c r="Q444">
        <v>0</v>
      </c>
      <c r="R444">
        <v>0</v>
      </c>
      <c r="S444">
        <v>0</v>
      </c>
      <c r="T444">
        <v>1</v>
      </c>
      <c r="U444">
        <v>0</v>
      </c>
      <c r="V444">
        <f>IF(SUM(ifood_data[[#This Row],[AcceptedCmp1]:[AcceptedCmp5]])&gt;0,1,0)</f>
        <v>1</v>
      </c>
      <c r="W444">
        <v>0</v>
      </c>
      <c r="X444">
        <v>3</v>
      </c>
      <c r="Y444">
        <v>11</v>
      </c>
      <c r="Z444">
        <v>0</v>
      </c>
      <c r="AA444">
        <v>53</v>
      </c>
      <c r="AB444">
        <v>2628</v>
      </c>
      <c r="AC444" s="28">
        <f>ifood_data[[#This Row],[Customer_Days]]/365</f>
        <v>7.2</v>
      </c>
      <c r="AD444">
        <v>0</v>
      </c>
      <c r="AE444">
        <v>0</v>
      </c>
      <c r="AF444">
        <v>0</v>
      </c>
      <c r="AG444">
        <v>1</v>
      </c>
      <c r="AH444">
        <v>0</v>
      </c>
      <c r="AI444">
        <v>0</v>
      </c>
      <c r="AJ444">
        <v>0</v>
      </c>
      <c r="AK444">
        <v>0</v>
      </c>
      <c r="AL444">
        <v>0</v>
      </c>
      <c r="AM444">
        <v>1</v>
      </c>
      <c r="AN444">
        <v>1482</v>
      </c>
      <c r="AO444">
        <v>1482</v>
      </c>
      <c r="AP444">
        <f>ifood_data[[#This Row],[MntTotal]]-ifood_data[[#This Row],[MntRegularProds]]</f>
        <v>0</v>
      </c>
      <c r="AQ444">
        <v>1</v>
      </c>
      <c r="AR444">
        <f>IF(SUM(ifood_data[[#This Row],[Kidhome]:[Teenhome]])&gt;0,1,0)</f>
        <v>0</v>
      </c>
      <c r="AS444" t="str">
        <f>IF(SUM(ifood_data[[#This Row],[Kidhome]:[Teenhome]])&gt;0,"Has Family","No Family")</f>
        <v>No Family</v>
      </c>
      <c r="AT444" t="str">
        <f>IF(ifood_data[[#This Row],[marital_Married]]=1,"Married", (IF(ifood_data[[#This Row],[marital_Single]]=1,"Single",(IF(ifood_data[[#This Row],[marital_Divorced]]=1,"Divorced",(IF(ifood_data[[#This Row],[marital_Together]]=1,"Living Together",(IF(ifood_data[[#This Row],[marital_Widow]]=1,"Widow","Other")))))))))</f>
        <v>Living Together</v>
      </c>
      <c r="AU444" t="str">
        <f>IF(ifood_data[[#This Row],[education_Basic]]=1,"High School",(IF(ifood_data[[#This Row],[education_Graduation]]=1,"Undergraduate Degree",(IF(SUM(AM444,AL444,AI444)&gt;0,"Master's Degree or Higher","Other")))))</f>
        <v>Master's Degree or Higher</v>
      </c>
      <c r="AV444" t="str">
        <f>IF(ifood_data[[#All],[Income]]&gt;75000,"75K+",(IF(ifood_data[[#All],[Income]]&gt;50000,"50K-75K",(IF(ifood_data[[#All],[Income]]&gt;35000,"35K-50K","&lt;35K")))))</f>
        <v>50K-75K</v>
      </c>
      <c r="AW444" t="str">
        <f>IF(ifood_data[[#All],[Age]]&gt;60,"60+",(IF(ifood_data[[#All],[Age]]&gt;50,"50-60",(IF(ifood_data[[#All],[Age]]&gt;40,"40-50",(IF(ifood_data[[#All],[Age]]&gt;30,"30-40","&lt;30")))))))</f>
        <v>50-60</v>
      </c>
      <c r="AX444">
        <f t="shared" si="24"/>
        <v>26</v>
      </c>
      <c r="AY444">
        <f t="shared" si="25"/>
        <v>8</v>
      </c>
      <c r="AZ444">
        <f t="shared" si="26"/>
        <v>7</v>
      </c>
      <c r="BA444">
        <f t="shared" si="27"/>
        <v>9</v>
      </c>
      <c r="BB444">
        <f>SUM(ifood_data[[#This Row],[Recency Score]:[Monetary Score]])</f>
        <v>24</v>
      </c>
      <c r="BC444">
        <f>(_xlfn.PERCENTRANK.INC(ifood_data[[#All],[RFM]],ifood_data[[#This Row],[RFM]],1))*10</f>
        <v>9</v>
      </c>
      <c r="BD444" t="str">
        <f>VLOOKUP(ifood_data[[#This Row],[RFM Score]],'RFM Analysis'!$A$3:$B$14,2,FALSE)</f>
        <v>Top Customer</v>
      </c>
      <c r="BE444">
        <f>'Regression Models'!$B$101+'Regression Models'!$B$102*ifood_data[[#This Row],[Income]]+'Regression Models'!$B$103*ifood_data[[#This Row],[Age]]+'Regression Models'!$B$104*ifood_data[[#This Row],[Family]]</f>
        <v>998.95847901503282</v>
      </c>
      <c r="BF444" t="str">
        <f>IF(ifood_data[[#This Row],[AcceptedCmpOverall]]=1,"Campaign Respondent","Non-respondent")</f>
        <v>Campaign Respondent</v>
      </c>
    </row>
    <row r="445" spans="1:58" x14ac:dyDescent="0.35">
      <c r="A445">
        <v>338</v>
      </c>
      <c r="B445">
        <v>65073</v>
      </c>
      <c r="C445">
        <v>0</v>
      </c>
      <c r="D445">
        <v>0</v>
      </c>
      <c r="E445">
        <v>65</v>
      </c>
      <c r="F445">
        <v>629</v>
      </c>
      <c r="G445">
        <v>17</v>
      </c>
      <c r="H445">
        <v>177</v>
      </c>
      <c r="I445">
        <v>69</v>
      </c>
      <c r="J445">
        <v>0</v>
      </c>
      <c r="K445">
        <v>8</v>
      </c>
      <c r="L445">
        <v>1</v>
      </c>
      <c r="M445">
        <v>5</v>
      </c>
      <c r="N445">
        <v>3</v>
      </c>
      <c r="O445">
        <v>5</v>
      </c>
      <c r="P445">
        <v>2</v>
      </c>
      <c r="Q445">
        <v>0</v>
      </c>
      <c r="R445">
        <v>0</v>
      </c>
      <c r="S445">
        <v>0</v>
      </c>
      <c r="T445">
        <v>0</v>
      </c>
      <c r="U445">
        <v>0</v>
      </c>
      <c r="V445">
        <f>IF(SUM(ifood_data[[#This Row],[AcceptedCmp1]:[AcceptedCmp5]])&gt;0,1,0)</f>
        <v>0</v>
      </c>
      <c r="W445">
        <v>1</v>
      </c>
      <c r="X445">
        <v>3</v>
      </c>
      <c r="Y445">
        <v>11</v>
      </c>
      <c r="Z445">
        <v>0</v>
      </c>
      <c r="AA445">
        <v>77</v>
      </c>
      <c r="AB445">
        <v>2472</v>
      </c>
      <c r="AC445" s="28">
        <f>ifood_data[[#This Row],[Customer_Days]]/365</f>
        <v>6.7726027397260271</v>
      </c>
      <c r="AD445">
        <v>0</v>
      </c>
      <c r="AE445">
        <v>1</v>
      </c>
      <c r="AF445">
        <v>0</v>
      </c>
      <c r="AG445">
        <v>0</v>
      </c>
      <c r="AH445">
        <v>0</v>
      </c>
      <c r="AI445">
        <v>0</v>
      </c>
      <c r="AJ445">
        <v>0</v>
      </c>
      <c r="AK445">
        <v>0</v>
      </c>
      <c r="AL445">
        <v>1</v>
      </c>
      <c r="AM445">
        <v>0</v>
      </c>
      <c r="AN445">
        <v>892</v>
      </c>
      <c r="AO445">
        <v>884</v>
      </c>
      <c r="AP445">
        <f>ifood_data[[#This Row],[MntTotal]]-ifood_data[[#This Row],[MntRegularProds]]</f>
        <v>8</v>
      </c>
      <c r="AQ445">
        <v>0</v>
      </c>
      <c r="AR445">
        <f>IF(SUM(ifood_data[[#This Row],[Kidhome]:[Teenhome]])&gt;0,1,0)</f>
        <v>0</v>
      </c>
      <c r="AS445" t="str">
        <f>IF(SUM(ifood_data[[#This Row],[Kidhome]:[Teenhome]])&gt;0,"Has Family","No Family")</f>
        <v>No Family</v>
      </c>
      <c r="AT445" t="str">
        <f>IF(ifood_data[[#This Row],[marital_Married]]=1,"Married", (IF(ifood_data[[#This Row],[marital_Single]]=1,"Single",(IF(ifood_data[[#This Row],[marital_Divorced]]=1,"Divorced",(IF(ifood_data[[#This Row],[marital_Together]]=1,"Living Together",(IF(ifood_data[[#This Row],[marital_Widow]]=1,"Widow","Other")))))))))</f>
        <v>Married</v>
      </c>
      <c r="AU445" t="str">
        <f>IF(ifood_data[[#This Row],[education_Basic]]=1,"High School",(IF(ifood_data[[#This Row],[education_Graduation]]=1,"Undergraduate Degree",(IF(SUM(AM445,AL445,AI445)&gt;0,"Master's Degree or Higher","Other")))))</f>
        <v>Master's Degree or Higher</v>
      </c>
      <c r="AV445" t="str">
        <f>IF(ifood_data[[#All],[Income]]&gt;75000,"75K+",(IF(ifood_data[[#All],[Income]]&gt;50000,"50K-75K",(IF(ifood_data[[#All],[Income]]&gt;35000,"35K-50K","&lt;35K")))))</f>
        <v>50K-75K</v>
      </c>
      <c r="AW445" t="str">
        <f>IF(ifood_data[[#All],[Age]]&gt;60,"60+",(IF(ifood_data[[#All],[Age]]&gt;50,"50-60",(IF(ifood_data[[#All],[Age]]&gt;40,"40-50",(IF(ifood_data[[#All],[Age]]&gt;30,"30-40","&lt;30")))))))</f>
        <v>60+</v>
      </c>
      <c r="AX445">
        <f t="shared" si="24"/>
        <v>16</v>
      </c>
      <c r="AY445">
        <f t="shared" si="25"/>
        <v>4</v>
      </c>
      <c r="AZ445">
        <f t="shared" si="26"/>
        <v>3</v>
      </c>
      <c r="BA445">
        <f t="shared" si="27"/>
        <v>7</v>
      </c>
      <c r="BB445">
        <f>SUM(ifood_data[[#This Row],[Recency Score]:[Monetary Score]])</f>
        <v>14</v>
      </c>
      <c r="BC445">
        <f>(_xlfn.PERCENTRANK.INC(ifood_data[[#All],[RFM]],ifood_data[[#This Row],[RFM]],1))*10</f>
        <v>4</v>
      </c>
      <c r="BD445" t="str">
        <f>VLOOKUP(ifood_data[[#This Row],[RFM Score]],'RFM Analysis'!$A$3:$B$14,2,FALSE)</f>
        <v>At Risk</v>
      </c>
      <c r="BE445">
        <f>'Regression Models'!$B$101+'Regression Models'!$B$102*ifood_data[[#This Row],[Income]]+'Regression Models'!$B$103*ifood_data[[#This Row],[Age]]+'Regression Models'!$B$104*ifood_data[[#This Row],[Family]]</f>
        <v>997.5372440786067</v>
      </c>
      <c r="BF445" t="str">
        <f>IF(ifood_data[[#This Row],[AcceptedCmpOverall]]=1,"Campaign Respondent","Non-respondent")</f>
        <v>Non-respondent</v>
      </c>
    </row>
    <row r="446" spans="1:58" x14ac:dyDescent="0.35">
      <c r="A446">
        <v>945</v>
      </c>
      <c r="B446">
        <v>78028</v>
      </c>
      <c r="C446">
        <v>0</v>
      </c>
      <c r="D446">
        <v>1</v>
      </c>
      <c r="E446">
        <v>38</v>
      </c>
      <c r="F446">
        <v>158</v>
      </c>
      <c r="G446">
        <v>19</v>
      </c>
      <c r="H446">
        <v>288</v>
      </c>
      <c r="I446">
        <v>25</v>
      </c>
      <c r="J446">
        <v>0</v>
      </c>
      <c r="K446">
        <v>38</v>
      </c>
      <c r="L446">
        <v>1</v>
      </c>
      <c r="M446">
        <v>6</v>
      </c>
      <c r="N446">
        <v>4</v>
      </c>
      <c r="O446">
        <v>9</v>
      </c>
      <c r="P446">
        <v>7</v>
      </c>
      <c r="Q446">
        <v>0</v>
      </c>
      <c r="R446">
        <v>0</v>
      </c>
      <c r="S446">
        <v>0</v>
      </c>
      <c r="T446">
        <v>1</v>
      </c>
      <c r="U446">
        <v>1</v>
      </c>
      <c r="V446">
        <f>IF(SUM(ifood_data[[#This Row],[AcceptedCmp1]:[AcceptedCmp5]])&gt;0,1,0)</f>
        <v>1</v>
      </c>
      <c r="W446">
        <v>0</v>
      </c>
      <c r="X446">
        <v>3</v>
      </c>
      <c r="Y446">
        <v>11</v>
      </c>
      <c r="Z446">
        <v>1</v>
      </c>
      <c r="AA446">
        <v>64</v>
      </c>
      <c r="AB446">
        <v>2816</v>
      </c>
      <c r="AC446" s="28">
        <f>ifood_data[[#This Row],[Customer_Days]]/365</f>
        <v>7.7150684931506852</v>
      </c>
      <c r="AD446">
        <v>0</v>
      </c>
      <c r="AE446">
        <v>0</v>
      </c>
      <c r="AF446">
        <v>0</v>
      </c>
      <c r="AG446">
        <v>0</v>
      </c>
      <c r="AH446">
        <v>1</v>
      </c>
      <c r="AI446">
        <v>0</v>
      </c>
      <c r="AJ446">
        <v>0</v>
      </c>
      <c r="AK446">
        <v>0</v>
      </c>
      <c r="AL446">
        <v>0</v>
      </c>
      <c r="AM446">
        <v>1</v>
      </c>
      <c r="AN446">
        <v>490</v>
      </c>
      <c r="AO446">
        <v>452</v>
      </c>
      <c r="AP446">
        <f>ifood_data[[#This Row],[MntTotal]]-ifood_data[[#This Row],[MntRegularProds]]</f>
        <v>38</v>
      </c>
      <c r="AQ446">
        <v>2</v>
      </c>
      <c r="AR446">
        <f>IF(SUM(ifood_data[[#This Row],[Kidhome]:[Teenhome]])&gt;0,1,0)</f>
        <v>1</v>
      </c>
      <c r="AS446" t="str">
        <f>IF(SUM(ifood_data[[#This Row],[Kidhome]:[Teenhome]])&gt;0,"Has Family","No Family")</f>
        <v>Has Family</v>
      </c>
      <c r="AT446" t="str">
        <f>IF(ifood_data[[#This Row],[marital_Married]]=1,"Married", (IF(ifood_data[[#This Row],[marital_Single]]=1,"Single",(IF(ifood_data[[#This Row],[marital_Divorced]]=1,"Divorced",(IF(ifood_data[[#This Row],[marital_Together]]=1,"Living Together",(IF(ifood_data[[#This Row],[marital_Widow]]=1,"Widow","Other")))))))))</f>
        <v>Widow</v>
      </c>
      <c r="AU446" t="str">
        <f>IF(ifood_data[[#This Row],[education_Basic]]=1,"High School",(IF(ifood_data[[#This Row],[education_Graduation]]=1,"Undergraduate Degree",(IF(SUM(AM446,AL446,AI446)&gt;0,"Master's Degree or Higher","Other")))))</f>
        <v>Master's Degree or Higher</v>
      </c>
      <c r="AV446" t="str">
        <f>IF(ifood_data[[#All],[Income]]&gt;75000,"75K+",(IF(ifood_data[[#All],[Income]]&gt;50000,"50K-75K",(IF(ifood_data[[#All],[Income]]&gt;35000,"35K-50K","&lt;35K")))))</f>
        <v>75K+</v>
      </c>
      <c r="AW446" t="str">
        <f>IF(ifood_data[[#All],[Age]]&gt;60,"60+",(IF(ifood_data[[#All],[Age]]&gt;50,"50-60",(IF(ifood_data[[#All],[Age]]&gt;40,"40-50",(IF(ifood_data[[#All],[Age]]&gt;30,"30-40","&lt;30")))))))</f>
        <v>60+</v>
      </c>
      <c r="AX446">
        <f t="shared" si="24"/>
        <v>27</v>
      </c>
      <c r="AY446">
        <f t="shared" si="25"/>
        <v>7</v>
      </c>
      <c r="AZ446">
        <f t="shared" si="26"/>
        <v>7</v>
      </c>
      <c r="BA446">
        <f t="shared" si="27"/>
        <v>5</v>
      </c>
      <c r="BB446">
        <f>SUM(ifood_data[[#This Row],[Recency Score]:[Monetary Score]])</f>
        <v>19</v>
      </c>
      <c r="BC446">
        <f>(_xlfn.PERCENTRANK.INC(ifood_data[[#All],[RFM]],ifood_data[[#This Row],[RFM]],1))*10</f>
        <v>7</v>
      </c>
      <c r="BD446" t="str">
        <f>VLOOKUP(ifood_data[[#This Row],[RFM Score]],'RFM Analysis'!$A$3:$B$14,2,FALSE)</f>
        <v>Loyal Customer</v>
      </c>
      <c r="BE446">
        <f>'Regression Models'!$B$101+'Regression Models'!$B$102*ifood_data[[#This Row],[Income]]+'Regression Models'!$B$103*ifood_data[[#This Row],[Age]]+'Regression Models'!$B$104*ifood_data[[#This Row],[Family]]</f>
        <v>995.93381233542675</v>
      </c>
      <c r="BF446" t="str">
        <f>IF(ifood_data[[#This Row],[AcceptedCmpOverall]]=1,"Campaign Respondent","Non-respondent")</f>
        <v>Campaign Respondent</v>
      </c>
    </row>
    <row r="447" spans="1:58" x14ac:dyDescent="0.35">
      <c r="A447">
        <v>1514</v>
      </c>
      <c r="B447">
        <v>75774</v>
      </c>
      <c r="C447">
        <v>1</v>
      </c>
      <c r="D447">
        <v>0</v>
      </c>
      <c r="E447">
        <v>27</v>
      </c>
      <c r="F447">
        <v>340</v>
      </c>
      <c r="G447">
        <v>21</v>
      </c>
      <c r="H447">
        <v>134</v>
      </c>
      <c r="I447">
        <v>258</v>
      </c>
      <c r="J447">
        <v>14</v>
      </c>
      <c r="K447">
        <v>56</v>
      </c>
      <c r="L447">
        <v>1</v>
      </c>
      <c r="M447">
        <v>7</v>
      </c>
      <c r="N447">
        <v>5</v>
      </c>
      <c r="O447">
        <v>8</v>
      </c>
      <c r="P447">
        <v>4</v>
      </c>
      <c r="Q447">
        <v>0</v>
      </c>
      <c r="R447">
        <v>0</v>
      </c>
      <c r="S447">
        <v>0</v>
      </c>
      <c r="T447">
        <v>0</v>
      </c>
      <c r="U447">
        <v>0</v>
      </c>
      <c r="V447">
        <f>IF(SUM(ifood_data[[#This Row],[AcceptedCmp1]:[AcceptedCmp5]])&gt;0,1,0)</f>
        <v>0</v>
      </c>
      <c r="W447">
        <v>0</v>
      </c>
      <c r="X447">
        <v>3</v>
      </c>
      <c r="Y447">
        <v>11</v>
      </c>
      <c r="Z447">
        <v>0</v>
      </c>
      <c r="AA447">
        <v>39</v>
      </c>
      <c r="AB447">
        <v>2217</v>
      </c>
      <c r="AC447" s="28">
        <f>ifood_data[[#This Row],[Customer_Days]]/365</f>
        <v>6.0739726027397261</v>
      </c>
      <c r="AD447">
        <v>0</v>
      </c>
      <c r="AE447">
        <v>0</v>
      </c>
      <c r="AF447">
        <v>0</v>
      </c>
      <c r="AG447">
        <v>1</v>
      </c>
      <c r="AH447">
        <v>0</v>
      </c>
      <c r="AI447">
        <v>1</v>
      </c>
      <c r="AJ447">
        <v>0</v>
      </c>
      <c r="AK447">
        <v>0</v>
      </c>
      <c r="AL447">
        <v>0</v>
      </c>
      <c r="AM447">
        <v>0</v>
      </c>
      <c r="AN447">
        <v>767</v>
      </c>
      <c r="AO447">
        <v>711</v>
      </c>
      <c r="AP447">
        <f>ifood_data[[#This Row],[MntTotal]]-ifood_data[[#This Row],[MntRegularProds]]</f>
        <v>56</v>
      </c>
      <c r="AQ447">
        <v>0</v>
      </c>
      <c r="AR447">
        <f>IF(SUM(ifood_data[[#This Row],[Kidhome]:[Teenhome]])&gt;0,1,0)</f>
        <v>1</v>
      </c>
      <c r="AS447" t="str">
        <f>IF(SUM(ifood_data[[#This Row],[Kidhome]:[Teenhome]])&gt;0,"Has Family","No Family")</f>
        <v>Has Family</v>
      </c>
      <c r="AT447" t="str">
        <f>IF(ifood_data[[#This Row],[marital_Married]]=1,"Married", (IF(ifood_data[[#This Row],[marital_Single]]=1,"Single",(IF(ifood_data[[#This Row],[marital_Divorced]]=1,"Divorced",(IF(ifood_data[[#This Row],[marital_Together]]=1,"Living Together",(IF(ifood_data[[#This Row],[marital_Widow]]=1,"Widow","Other")))))))))</f>
        <v>Living Together</v>
      </c>
      <c r="AU447" t="str">
        <f>IF(ifood_data[[#This Row],[education_Basic]]=1,"High School",(IF(ifood_data[[#This Row],[education_Graduation]]=1,"Undergraduate Degree",(IF(SUM(AM447,AL447,AI447)&gt;0,"Master's Degree or Higher","Other")))))</f>
        <v>Master's Degree or Higher</v>
      </c>
      <c r="AV447" t="str">
        <f>IF(ifood_data[[#All],[Income]]&gt;75000,"75K+",(IF(ifood_data[[#All],[Income]]&gt;50000,"50K-75K",(IF(ifood_data[[#All],[Income]]&gt;35000,"35K-50K","&lt;35K")))))</f>
        <v>75K+</v>
      </c>
      <c r="AW447" t="str">
        <f>IF(ifood_data[[#All],[Age]]&gt;60,"60+",(IF(ifood_data[[#All],[Age]]&gt;50,"50-60",(IF(ifood_data[[#All],[Age]]&gt;40,"40-50",(IF(ifood_data[[#All],[Age]]&gt;30,"30-40","&lt;30")))))))</f>
        <v>30-40</v>
      </c>
      <c r="AX447">
        <f t="shared" si="24"/>
        <v>25</v>
      </c>
      <c r="AY447">
        <f t="shared" si="25"/>
        <v>8</v>
      </c>
      <c r="AZ447">
        <f t="shared" si="26"/>
        <v>7</v>
      </c>
      <c r="BA447">
        <f t="shared" si="27"/>
        <v>6</v>
      </c>
      <c r="BB447">
        <f>SUM(ifood_data[[#This Row],[Recency Score]:[Monetary Score]])</f>
        <v>21</v>
      </c>
      <c r="BC447">
        <f>(_xlfn.PERCENTRANK.INC(ifood_data[[#All],[RFM]],ifood_data[[#This Row],[RFM]],1))*10</f>
        <v>8</v>
      </c>
      <c r="BD447" t="str">
        <f>VLOOKUP(ifood_data[[#This Row],[RFM Score]],'RFM Analysis'!$A$3:$B$14,2,FALSE)</f>
        <v>Loyal Customer</v>
      </c>
      <c r="BE447">
        <f>'Regression Models'!$B$101+'Regression Models'!$B$102*ifood_data[[#This Row],[Income]]+'Regression Models'!$B$103*ifood_data[[#This Row],[Age]]+'Regression Models'!$B$104*ifood_data[[#This Row],[Family]]</f>
        <v>995.88850591143557</v>
      </c>
      <c r="BF447" t="str">
        <f>IF(ifood_data[[#This Row],[AcceptedCmpOverall]]=1,"Campaign Respondent","Non-respondent")</f>
        <v>Non-respondent</v>
      </c>
    </row>
    <row r="448" spans="1:58" x14ac:dyDescent="0.35">
      <c r="A448">
        <v>1860</v>
      </c>
      <c r="B448">
        <v>61416</v>
      </c>
      <c r="C448">
        <v>0</v>
      </c>
      <c r="D448">
        <v>0</v>
      </c>
      <c r="E448">
        <v>25</v>
      </c>
      <c r="F448">
        <v>848</v>
      </c>
      <c r="G448">
        <v>154</v>
      </c>
      <c r="H448">
        <v>323</v>
      </c>
      <c r="I448">
        <v>201</v>
      </c>
      <c r="J448">
        <v>61</v>
      </c>
      <c r="K448">
        <v>78</v>
      </c>
      <c r="L448">
        <v>1</v>
      </c>
      <c r="M448">
        <v>10</v>
      </c>
      <c r="N448">
        <v>3</v>
      </c>
      <c r="O448">
        <v>10</v>
      </c>
      <c r="P448">
        <v>6</v>
      </c>
      <c r="Q448">
        <v>0</v>
      </c>
      <c r="R448">
        <v>0</v>
      </c>
      <c r="S448">
        <v>1</v>
      </c>
      <c r="T448">
        <v>0</v>
      </c>
      <c r="U448">
        <v>0</v>
      </c>
      <c r="V448">
        <f>IF(SUM(ifood_data[[#This Row],[AcceptedCmp1]:[AcceptedCmp5]])&gt;0,1,0)</f>
        <v>1</v>
      </c>
      <c r="W448">
        <v>0</v>
      </c>
      <c r="X448">
        <v>3</v>
      </c>
      <c r="Y448">
        <v>11</v>
      </c>
      <c r="Z448">
        <v>0</v>
      </c>
      <c r="AA448">
        <v>38</v>
      </c>
      <c r="AB448">
        <v>2665</v>
      </c>
      <c r="AC448" s="28">
        <f>ifood_data[[#This Row],[Customer_Days]]/365</f>
        <v>7.3013698630136989</v>
      </c>
      <c r="AD448">
        <v>0</v>
      </c>
      <c r="AE448">
        <v>0</v>
      </c>
      <c r="AF448">
        <v>0</v>
      </c>
      <c r="AG448">
        <v>1</v>
      </c>
      <c r="AH448">
        <v>0</v>
      </c>
      <c r="AI448">
        <v>0</v>
      </c>
      <c r="AJ448">
        <v>0</v>
      </c>
      <c r="AK448">
        <v>1</v>
      </c>
      <c r="AL448">
        <v>0</v>
      </c>
      <c r="AM448">
        <v>0</v>
      </c>
      <c r="AN448">
        <v>1587</v>
      </c>
      <c r="AO448">
        <v>1509</v>
      </c>
      <c r="AP448">
        <f>ifood_data[[#This Row],[MntTotal]]-ifood_data[[#This Row],[MntRegularProds]]</f>
        <v>78</v>
      </c>
      <c r="AQ448">
        <v>1</v>
      </c>
      <c r="AR448">
        <f>IF(SUM(ifood_data[[#This Row],[Kidhome]:[Teenhome]])&gt;0,1,0)</f>
        <v>0</v>
      </c>
      <c r="AS448" t="str">
        <f>IF(SUM(ifood_data[[#This Row],[Kidhome]:[Teenhome]])&gt;0,"Has Family","No Family")</f>
        <v>No Family</v>
      </c>
      <c r="AT448" t="str">
        <f>IF(ifood_data[[#This Row],[marital_Married]]=1,"Married", (IF(ifood_data[[#This Row],[marital_Single]]=1,"Single",(IF(ifood_data[[#This Row],[marital_Divorced]]=1,"Divorced",(IF(ifood_data[[#This Row],[marital_Together]]=1,"Living Together",(IF(ifood_data[[#This Row],[marital_Widow]]=1,"Widow","Other")))))))))</f>
        <v>Living Together</v>
      </c>
      <c r="AU448" t="str">
        <f>IF(ifood_data[[#This Row],[education_Basic]]=1,"High School",(IF(ifood_data[[#This Row],[education_Graduation]]=1,"Undergraduate Degree",(IF(SUM(AM448,AL448,AI448)&gt;0,"Master's Degree or Higher","Other")))))</f>
        <v>Undergraduate Degree</v>
      </c>
      <c r="AV448" t="str">
        <f>IF(ifood_data[[#All],[Income]]&gt;75000,"75K+",(IF(ifood_data[[#All],[Income]]&gt;50000,"50K-75K",(IF(ifood_data[[#All],[Income]]&gt;35000,"35K-50K","&lt;35K")))))</f>
        <v>50K-75K</v>
      </c>
      <c r="AW448" t="str">
        <f>IF(ifood_data[[#All],[Age]]&gt;60,"60+",(IF(ifood_data[[#All],[Age]]&gt;50,"50-60",(IF(ifood_data[[#All],[Age]]&gt;40,"40-50",(IF(ifood_data[[#All],[Age]]&gt;30,"30-40","&lt;30")))))))</f>
        <v>30-40</v>
      </c>
      <c r="AX448">
        <f t="shared" si="24"/>
        <v>30</v>
      </c>
      <c r="AY448">
        <f t="shared" si="25"/>
        <v>8</v>
      </c>
      <c r="AZ448">
        <f t="shared" si="26"/>
        <v>8</v>
      </c>
      <c r="BA448">
        <f t="shared" si="27"/>
        <v>9</v>
      </c>
      <c r="BB448">
        <f>SUM(ifood_data[[#This Row],[Recency Score]:[Monetary Score]])</f>
        <v>25</v>
      </c>
      <c r="BC448">
        <f>(_xlfn.PERCENTRANK.INC(ifood_data[[#All],[RFM]],ifood_data[[#This Row],[RFM]],1))*10</f>
        <v>9</v>
      </c>
      <c r="BD448" t="str">
        <f>VLOOKUP(ifood_data[[#This Row],[RFM Score]],'RFM Analysis'!$A$3:$B$14,2,FALSE)</f>
        <v>Top Customer</v>
      </c>
      <c r="BE448">
        <f>'Regression Models'!$B$101+'Regression Models'!$B$102*ifood_data[[#This Row],[Income]]+'Regression Models'!$B$103*ifood_data[[#This Row],[Age]]+'Regression Models'!$B$104*ifood_data[[#This Row],[Family]]</f>
        <v>994.5966430532452</v>
      </c>
      <c r="BF448" t="str">
        <f>IF(ifood_data[[#This Row],[AcceptedCmpOverall]]=1,"Campaign Respondent","Non-respondent")</f>
        <v>Campaign Respondent</v>
      </c>
    </row>
    <row r="449" spans="1:58" x14ac:dyDescent="0.35">
      <c r="A449">
        <v>1795</v>
      </c>
      <c r="B449">
        <v>77226</v>
      </c>
      <c r="C449">
        <v>0</v>
      </c>
      <c r="D449">
        <v>1</v>
      </c>
      <c r="E449">
        <v>29</v>
      </c>
      <c r="F449">
        <v>631</v>
      </c>
      <c r="G449">
        <v>43</v>
      </c>
      <c r="H449">
        <v>239</v>
      </c>
      <c r="I449">
        <v>128</v>
      </c>
      <c r="J449">
        <v>76</v>
      </c>
      <c r="K449">
        <v>21</v>
      </c>
      <c r="L449">
        <v>2</v>
      </c>
      <c r="M449">
        <v>6</v>
      </c>
      <c r="N449">
        <v>8</v>
      </c>
      <c r="O449">
        <v>12</v>
      </c>
      <c r="P449">
        <v>3</v>
      </c>
      <c r="Q449">
        <v>0</v>
      </c>
      <c r="R449">
        <v>0</v>
      </c>
      <c r="S449">
        <v>0</v>
      </c>
      <c r="T449">
        <v>0</v>
      </c>
      <c r="U449">
        <v>0</v>
      </c>
      <c r="V449">
        <f>IF(SUM(ifood_data[[#This Row],[AcceptedCmp1]:[AcceptedCmp5]])&gt;0,1,0)</f>
        <v>0</v>
      </c>
      <c r="W449">
        <v>0</v>
      </c>
      <c r="X449">
        <v>3</v>
      </c>
      <c r="Y449">
        <v>11</v>
      </c>
      <c r="Z449">
        <v>0</v>
      </c>
      <c r="AA449">
        <v>57</v>
      </c>
      <c r="AB449">
        <v>2280</v>
      </c>
      <c r="AC449" s="28">
        <f>ifood_data[[#This Row],[Customer_Days]]/365</f>
        <v>6.2465753424657535</v>
      </c>
      <c r="AD449">
        <v>0</v>
      </c>
      <c r="AE449">
        <v>0</v>
      </c>
      <c r="AF449">
        <v>0</v>
      </c>
      <c r="AG449">
        <v>1</v>
      </c>
      <c r="AH449">
        <v>0</v>
      </c>
      <c r="AI449">
        <v>0</v>
      </c>
      <c r="AJ449">
        <v>0</v>
      </c>
      <c r="AK449">
        <v>1</v>
      </c>
      <c r="AL449">
        <v>0</v>
      </c>
      <c r="AM449">
        <v>0</v>
      </c>
      <c r="AN449">
        <v>1117</v>
      </c>
      <c r="AO449">
        <v>1096</v>
      </c>
      <c r="AP449">
        <f>ifood_data[[#This Row],[MntTotal]]-ifood_data[[#This Row],[MntRegularProds]]</f>
        <v>21</v>
      </c>
      <c r="AQ449">
        <v>0</v>
      </c>
      <c r="AR449">
        <f>IF(SUM(ifood_data[[#This Row],[Kidhome]:[Teenhome]])&gt;0,1,0)</f>
        <v>1</v>
      </c>
      <c r="AS449" t="str">
        <f>IF(SUM(ifood_data[[#This Row],[Kidhome]:[Teenhome]])&gt;0,"Has Family","No Family")</f>
        <v>Has Family</v>
      </c>
      <c r="AT449" t="str">
        <f>IF(ifood_data[[#This Row],[marital_Married]]=1,"Married", (IF(ifood_data[[#This Row],[marital_Single]]=1,"Single",(IF(ifood_data[[#This Row],[marital_Divorced]]=1,"Divorced",(IF(ifood_data[[#This Row],[marital_Together]]=1,"Living Together",(IF(ifood_data[[#This Row],[marital_Widow]]=1,"Widow","Other")))))))))</f>
        <v>Living Together</v>
      </c>
      <c r="AU449" t="str">
        <f>IF(ifood_data[[#This Row],[education_Basic]]=1,"High School",(IF(ifood_data[[#This Row],[education_Graduation]]=1,"Undergraduate Degree",(IF(SUM(AM449,AL449,AI449)&gt;0,"Master's Degree or Higher","Other")))))</f>
        <v>Undergraduate Degree</v>
      </c>
      <c r="AV449" t="str">
        <f>IF(ifood_data[[#All],[Income]]&gt;75000,"75K+",(IF(ifood_data[[#All],[Income]]&gt;50000,"50K-75K",(IF(ifood_data[[#All],[Income]]&gt;35000,"35K-50K","&lt;35K")))))</f>
        <v>75K+</v>
      </c>
      <c r="AW449" t="str">
        <f>IF(ifood_data[[#All],[Age]]&gt;60,"60+",(IF(ifood_data[[#All],[Age]]&gt;50,"50-60",(IF(ifood_data[[#All],[Age]]&gt;40,"40-50",(IF(ifood_data[[#All],[Age]]&gt;30,"30-40","&lt;30")))))))</f>
        <v>50-60</v>
      </c>
      <c r="AX449">
        <f t="shared" si="24"/>
        <v>31</v>
      </c>
      <c r="AY449">
        <f t="shared" si="25"/>
        <v>8</v>
      </c>
      <c r="AZ449">
        <f t="shared" si="26"/>
        <v>9</v>
      </c>
      <c r="BA449">
        <f t="shared" si="27"/>
        <v>8</v>
      </c>
      <c r="BB449">
        <f>SUM(ifood_data[[#This Row],[Recency Score]:[Monetary Score]])</f>
        <v>25</v>
      </c>
      <c r="BC449">
        <f>(_xlfn.PERCENTRANK.INC(ifood_data[[#All],[RFM]],ifood_data[[#This Row],[RFM]],1))*10</f>
        <v>9</v>
      </c>
      <c r="BD449" t="str">
        <f>VLOOKUP(ifood_data[[#This Row],[RFM Score]],'RFM Analysis'!$A$3:$B$14,2,FALSE)</f>
        <v>Top Customer</v>
      </c>
      <c r="BE449">
        <f>'Regression Models'!$B$101+'Regression Models'!$B$102*ifood_data[[#This Row],[Income]]+'Regression Models'!$B$103*ifood_data[[#This Row],[Age]]+'Regression Models'!$B$104*ifood_data[[#This Row],[Family]]</f>
        <v>992.43709383628004</v>
      </c>
      <c r="BF449" t="str">
        <f>IF(ifood_data[[#This Row],[AcceptedCmpOverall]]=1,"Campaign Respondent","Non-respondent")</f>
        <v>Non-respondent</v>
      </c>
    </row>
    <row r="450" spans="1:58" x14ac:dyDescent="0.35">
      <c r="A450">
        <v>1067</v>
      </c>
      <c r="B450">
        <v>63998</v>
      </c>
      <c r="C450">
        <v>0</v>
      </c>
      <c r="D450">
        <v>0</v>
      </c>
      <c r="E450">
        <v>42</v>
      </c>
      <c r="F450">
        <v>176</v>
      </c>
      <c r="G450">
        <v>29</v>
      </c>
      <c r="H450">
        <v>818</v>
      </c>
      <c r="I450">
        <v>0</v>
      </c>
      <c r="J450">
        <v>33</v>
      </c>
      <c r="K450">
        <v>112</v>
      </c>
      <c r="L450">
        <v>1</v>
      </c>
      <c r="M450">
        <v>7</v>
      </c>
      <c r="N450">
        <v>6</v>
      </c>
      <c r="O450">
        <v>11</v>
      </c>
      <c r="P450">
        <v>4</v>
      </c>
      <c r="Q450">
        <v>0</v>
      </c>
      <c r="R450">
        <v>0</v>
      </c>
      <c r="S450">
        <v>0</v>
      </c>
      <c r="T450">
        <v>0</v>
      </c>
      <c r="U450">
        <v>0</v>
      </c>
      <c r="V450">
        <f>IF(SUM(ifood_data[[#This Row],[AcceptedCmp1]:[AcceptedCmp5]])&gt;0,1,0)</f>
        <v>0</v>
      </c>
      <c r="W450">
        <v>0</v>
      </c>
      <c r="X450">
        <v>3</v>
      </c>
      <c r="Y450">
        <v>11</v>
      </c>
      <c r="Z450">
        <v>1</v>
      </c>
      <c r="AA450">
        <v>68</v>
      </c>
      <c r="AB450">
        <v>2350</v>
      </c>
      <c r="AC450" s="28">
        <f>ifood_data[[#This Row],[Customer_Days]]/365</f>
        <v>6.4383561643835616</v>
      </c>
      <c r="AD450">
        <v>1</v>
      </c>
      <c r="AE450">
        <v>0</v>
      </c>
      <c r="AF450">
        <v>0</v>
      </c>
      <c r="AG450">
        <v>0</v>
      </c>
      <c r="AH450">
        <v>0</v>
      </c>
      <c r="AI450">
        <v>1</v>
      </c>
      <c r="AJ450">
        <v>0</v>
      </c>
      <c r="AK450">
        <v>0</v>
      </c>
      <c r="AL450">
        <v>0</v>
      </c>
      <c r="AM450">
        <v>0</v>
      </c>
      <c r="AN450">
        <v>1056</v>
      </c>
      <c r="AO450">
        <v>944</v>
      </c>
      <c r="AP450">
        <f>ifood_data[[#This Row],[MntTotal]]-ifood_data[[#This Row],[MntRegularProds]]</f>
        <v>112</v>
      </c>
      <c r="AQ450">
        <v>0</v>
      </c>
      <c r="AR450">
        <f>IF(SUM(ifood_data[[#This Row],[Kidhome]:[Teenhome]])&gt;0,1,0)</f>
        <v>0</v>
      </c>
      <c r="AS450" t="str">
        <f>IF(SUM(ifood_data[[#This Row],[Kidhome]:[Teenhome]])&gt;0,"Has Family","No Family")</f>
        <v>No Family</v>
      </c>
      <c r="AT450" t="str">
        <f>IF(ifood_data[[#This Row],[marital_Married]]=1,"Married", (IF(ifood_data[[#This Row],[marital_Single]]=1,"Single",(IF(ifood_data[[#This Row],[marital_Divorced]]=1,"Divorced",(IF(ifood_data[[#This Row],[marital_Together]]=1,"Living Together",(IF(ifood_data[[#This Row],[marital_Widow]]=1,"Widow","Other")))))))))</f>
        <v>Divorced</v>
      </c>
      <c r="AU450" t="str">
        <f>IF(ifood_data[[#This Row],[education_Basic]]=1,"High School",(IF(ifood_data[[#This Row],[education_Graduation]]=1,"Undergraduate Degree",(IF(SUM(AM450,AL450,AI450)&gt;0,"Master's Degree or Higher","Other")))))</f>
        <v>Master's Degree or Higher</v>
      </c>
      <c r="AV450" t="str">
        <f>IF(ifood_data[[#All],[Income]]&gt;75000,"75K+",(IF(ifood_data[[#All],[Income]]&gt;50000,"50K-75K",(IF(ifood_data[[#All],[Income]]&gt;35000,"35K-50K","&lt;35K")))))</f>
        <v>50K-75K</v>
      </c>
      <c r="AW450" t="str">
        <f>IF(ifood_data[[#All],[Age]]&gt;60,"60+",(IF(ifood_data[[#All],[Age]]&gt;50,"50-60",(IF(ifood_data[[#All],[Age]]&gt;40,"40-50",(IF(ifood_data[[#All],[Age]]&gt;30,"30-40","&lt;30")))))))</f>
        <v>60+</v>
      </c>
      <c r="AX450">
        <f t="shared" ref="AX450:AX513" si="28">SUM(L450:P450)</f>
        <v>29</v>
      </c>
      <c r="AY450">
        <f t="shared" ref="AY450:AY513" si="29">(1-_xlfn.PERCENTRANK.INC($E$2:$E$2022,E450,1))*10</f>
        <v>6</v>
      </c>
      <c r="AZ450">
        <f t="shared" ref="AZ450:AZ513" si="30">_xlfn.PERCENTRANK.INC($AX$2:$AX$2022,AX450,1)*10</f>
        <v>8</v>
      </c>
      <c r="BA450">
        <f t="shared" ref="BA450:BA513" si="31">_xlfn.PERCENTRANK.INC($AN$2:$AN$2022,AN450,1)*10</f>
        <v>7</v>
      </c>
      <c r="BB450">
        <f>SUM(ifood_data[[#This Row],[Recency Score]:[Monetary Score]])</f>
        <v>21</v>
      </c>
      <c r="BC450">
        <f>(_xlfn.PERCENTRANK.INC(ifood_data[[#All],[RFM]],ifood_data[[#This Row],[RFM]],1))*10</f>
        <v>8</v>
      </c>
      <c r="BD450" t="str">
        <f>VLOOKUP(ifood_data[[#This Row],[RFM Score]],'RFM Analysis'!$A$3:$B$14,2,FALSE)</f>
        <v>Loyal Customer</v>
      </c>
      <c r="BE450">
        <f>'Regression Models'!$B$101+'Regression Models'!$B$102*ifood_data[[#This Row],[Income]]+'Regression Models'!$B$103*ifood_data[[#This Row],[Age]]+'Regression Models'!$B$104*ifood_data[[#This Row],[Family]]</f>
        <v>992.14727003396354</v>
      </c>
      <c r="BF450" t="str">
        <f>IF(ifood_data[[#This Row],[AcceptedCmpOverall]]=1,"Campaign Respondent","Non-respondent")</f>
        <v>Non-respondent</v>
      </c>
    </row>
    <row r="451" spans="1:58" x14ac:dyDescent="0.35">
      <c r="A451">
        <v>1475</v>
      </c>
      <c r="B451">
        <v>76445</v>
      </c>
      <c r="C451">
        <v>1</v>
      </c>
      <c r="D451">
        <v>0</v>
      </c>
      <c r="E451">
        <v>2</v>
      </c>
      <c r="F451">
        <v>739</v>
      </c>
      <c r="G451">
        <v>107</v>
      </c>
      <c r="H451">
        <v>309</v>
      </c>
      <c r="I451">
        <v>140</v>
      </c>
      <c r="J451">
        <v>80</v>
      </c>
      <c r="K451">
        <v>35</v>
      </c>
      <c r="L451">
        <v>1</v>
      </c>
      <c r="M451">
        <v>2</v>
      </c>
      <c r="N451">
        <v>5</v>
      </c>
      <c r="O451">
        <v>13</v>
      </c>
      <c r="P451">
        <v>6</v>
      </c>
      <c r="Q451">
        <v>0</v>
      </c>
      <c r="R451">
        <v>0</v>
      </c>
      <c r="S451">
        <v>0</v>
      </c>
      <c r="T451">
        <v>0</v>
      </c>
      <c r="U451">
        <v>0</v>
      </c>
      <c r="V451">
        <f>IF(SUM(ifood_data[[#This Row],[AcceptedCmp1]:[AcceptedCmp5]])&gt;0,1,0)</f>
        <v>0</v>
      </c>
      <c r="W451">
        <v>0</v>
      </c>
      <c r="X451">
        <v>3</v>
      </c>
      <c r="Y451">
        <v>11</v>
      </c>
      <c r="Z451">
        <v>0</v>
      </c>
      <c r="AA451">
        <v>49</v>
      </c>
      <c r="AB451">
        <v>2798</v>
      </c>
      <c r="AC451" s="28">
        <f>ifood_data[[#This Row],[Customer_Days]]/365</f>
        <v>7.6657534246575345</v>
      </c>
      <c r="AD451">
        <v>0</v>
      </c>
      <c r="AE451">
        <v>1</v>
      </c>
      <c r="AF451">
        <v>0</v>
      </c>
      <c r="AG451">
        <v>0</v>
      </c>
      <c r="AH451">
        <v>0</v>
      </c>
      <c r="AI451">
        <v>0</v>
      </c>
      <c r="AJ451">
        <v>0</v>
      </c>
      <c r="AK451">
        <v>1</v>
      </c>
      <c r="AL451">
        <v>0</v>
      </c>
      <c r="AM451">
        <v>0</v>
      </c>
      <c r="AN451">
        <v>1375</v>
      </c>
      <c r="AO451">
        <v>1340</v>
      </c>
      <c r="AP451">
        <f>ifood_data[[#This Row],[MntTotal]]-ifood_data[[#This Row],[MntRegularProds]]</f>
        <v>35</v>
      </c>
      <c r="AQ451">
        <v>0</v>
      </c>
      <c r="AR451">
        <f>IF(SUM(ifood_data[[#This Row],[Kidhome]:[Teenhome]])&gt;0,1,0)</f>
        <v>1</v>
      </c>
      <c r="AS451" t="str">
        <f>IF(SUM(ifood_data[[#This Row],[Kidhome]:[Teenhome]])&gt;0,"Has Family","No Family")</f>
        <v>Has Family</v>
      </c>
      <c r="AT451" t="str">
        <f>IF(ifood_data[[#This Row],[marital_Married]]=1,"Married", (IF(ifood_data[[#This Row],[marital_Single]]=1,"Single",(IF(ifood_data[[#This Row],[marital_Divorced]]=1,"Divorced",(IF(ifood_data[[#This Row],[marital_Together]]=1,"Living Together",(IF(ifood_data[[#This Row],[marital_Widow]]=1,"Widow","Other")))))))))</f>
        <v>Married</v>
      </c>
      <c r="AU451" t="str">
        <f>IF(ifood_data[[#This Row],[education_Basic]]=1,"High School",(IF(ifood_data[[#This Row],[education_Graduation]]=1,"Undergraduate Degree",(IF(SUM(AM451,AL451,AI451)&gt;0,"Master's Degree or Higher","Other")))))</f>
        <v>Undergraduate Degree</v>
      </c>
      <c r="AV451" t="str">
        <f>IF(ifood_data[[#All],[Income]]&gt;75000,"75K+",(IF(ifood_data[[#All],[Income]]&gt;50000,"50K-75K",(IF(ifood_data[[#All],[Income]]&gt;35000,"35K-50K","&lt;35K")))))</f>
        <v>75K+</v>
      </c>
      <c r="AW451" t="str">
        <f>IF(ifood_data[[#All],[Age]]&gt;60,"60+",(IF(ifood_data[[#All],[Age]]&gt;50,"50-60",(IF(ifood_data[[#All],[Age]]&gt;40,"40-50",(IF(ifood_data[[#All],[Age]]&gt;30,"30-40","&lt;30")))))))</f>
        <v>40-50</v>
      </c>
      <c r="AX451">
        <f t="shared" si="28"/>
        <v>27</v>
      </c>
      <c r="AY451">
        <f t="shared" si="29"/>
        <v>10</v>
      </c>
      <c r="AZ451">
        <f t="shared" si="30"/>
        <v>7</v>
      </c>
      <c r="BA451">
        <f t="shared" si="31"/>
        <v>8</v>
      </c>
      <c r="BB451">
        <f>SUM(ifood_data[[#This Row],[Recency Score]:[Monetary Score]])</f>
        <v>25</v>
      </c>
      <c r="BC451">
        <f>(_xlfn.PERCENTRANK.INC(ifood_data[[#All],[RFM]],ifood_data[[#This Row],[RFM]],1))*10</f>
        <v>9</v>
      </c>
      <c r="BD451" t="str">
        <f>VLOOKUP(ifood_data[[#This Row],[RFM Score]],'RFM Analysis'!$A$3:$B$14,2,FALSE)</f>
        <v>Top Customer</v>
      </c>
      <c r="BE451">
        <f>'Regression Models'!$B$101+'Regression Models'!$B$102*ifood_data[[#This Row],[Income]]+'Regression Models'!$B$103*ifood_data[[#This Row],[Age]]+'Regression Models'!$B$104*ifood_data[[#This Row],[Family]]</f>
        <v>991.20497854704911</v>
      </c>
      <c r="BF451" t="str">
        <f>IF(ifood_data[[#This Row],[AcceptedCmpOverall]]=1,"Campaign Respondent","Non-respondent")</f>
        <v>Non-respondent</v>
      </c>
    </row>
    <row r="452" spans="1:58" x14ac:dyDescent="0.35">
      <c r="A452">
        <v>1574</v>
      </c>
      <c r="B452">
        <v>77520</v>
      </c>
      <c r="C452">
        <v>0</v>
      </c>
      <c r="D452">
        <v>1</v>
      </c>
      <c r="E452">
        <v>30</v>
      </c>
      <c r="F452">
        <v>940</v>
      </c>
      <c r="G452">
        <v>44</v>
      </c>
      <c r="H452">
        <v>396</v>
      </c>
      <c r="I452">
        <v>0</v>
      </c>
      <c r="J452">
        <v>88</v>
      </c>
      <c r="K452">
        <v>58</v>
      </c>
      <c r="L452">
        <v>1</v>
      </c>
      <c r="M452">
        <v>8</v>
      </c>
      <c r="N452">
        <v>7</v>
      </c>
      <c r="O452">
        <v>7</v>
      </c>
      <c r="P452">
        <v>4</v>
      </c>
      <c r="Q452">
        <v>1</v>
      </c>
      <c r="R452">
        <v>0</v>
      </c>
      <c r="S452">
        <v>1</v>
      </c>
      <c r="T452">
        <v>0</v>
      </c>
      <c r="U452">
        <v>1</v>
      </c>
      <c r="V452">
        <f>IF(SUM(ifood_data[[#This Row],[AcceptedCmp1]:[AcceptedCmp5]])&gt;0,1,0)</f>
        <v>1</v>
      </c>
      <c r="W452">
        <v>0</v>
      </c>
      <c r="X452">
        <v>3</v>
      </c>
      <c r="Y452">
        <v>11</v>
      </c>
      <c r="Z452">
        <v>1</v>
      </c>
      <c r="AA452">
        <v>61</v>
      </c>
      <c r="AB452">
        <v>2464</v>
      </c>
      <c r="AC452" s="28">
        <f>ifood_data[[#This Row],[Customer_Days]]/365</f>
        <v>6.7506849315068491</v>
      </c>
      <c r="AD452">
        <v>0</v>
      </c>
      <c r="AE452">
        <v>1</v>
      </c>
      <c r="AF452">
        <v>0</v>
      </c>
      <c r="AG452">
        <v>0</v>
      </c>
      <c r="AH452">
        <v>0</v>
      </c>
      <c r="AI452">
        <v>0</v>
      </c>
      <c r="AJ452">
        <v>0</v>
      </c>
      <c r="AK452">
        <v>0</v>
      </c>
      <c r="AL452">
        <v>1</v>
      </c>
      <c r="AM452">
        <v>0</v>
      </c>
      <c r="AN452">
        <v>1468</v>
      </c>
      <c r="AO452">
        <v>1410</v>
      </c>
      <c r="AP452">
        <f>ifood_data[[#This Row],[MntTotal]]-ifood_data[[#This Row],[MntRegularProds]]</f>
        <v>58</v>
      </c>
      <c r="AQ452">
        <v>3</v>
      </c>
      <c r="AR452">
        <f>IF(SUM(ifood_data[[#This Row],[Kidhome]:[Teenhome]])&gt;0,1,0)</f>
        <v>1</v>
      </c>
      <c r="AS452" t="str">
        <f>IF(SUM(ifood_data[[#This Row],[Kidhome]:[Teenhome]])&gt;0,"Has Family","No Family")</f>
        <v>Has Family</v>
      </c>
      <c r="AT452" t="str">
        <f>IF(ifood_data[[#This Row],[marital_Married]]=1,"Married", (IF(ifood_data[[#This Row],[marital_Single]]=1,"Single",(IF(ifood_data[[#This Row],[marital_Divorced]]=1,"Divorced",(IF(ifood_data[[#This Row],[marital_Together]]=1,"Living Together",(IF(ifood_data[[#This Row],[marital_Widow]]=1,"Widow","Other")))))))))</f>
        <v>Married</v>
      </c>
      <c r="AU452" t="str">
        <f>IF(ifood_data[[#This Row],[education_Basic]]=1,"High School",(IF(ifood_data[[#This Row],[education_Graduation]]=1,"Undergraduate Degree",(IF(SUM(AM452,AL452,AI452)&gt;0,"Master's Degree or Higher","Other")))))</f>
        <v>Master's Degree or Higher</v>
      </c>
      <c r="AV452" t="str">
        <f>IF(ifood_data[[#All],[Income]]&gt;75000,"75K+",(IF(ifood_data[[#All],[Income]]&gt;50000,"50K-75K",(IF(ifood_data[[#All],[Income]]&gt;35000,"35K-50K","&lt;35K")))))</f>
        <v>75K+</v>
      </c>
      <c r="AW452" t="str">
        <f>IF(ifood_data[[#All],[Age]]&gt;60,"60+",(IF(ifood_data[[#All],[Age]]&gt;50,"50-60",(IF(ifood_data[[#All],[Age]]&gt;40,"40-50",(IF(ifood_data[[#All],[Age]]&gt;30,"30-40","&lt;30")))))))</f>
        <v>60+</v>
      </c>
      <c r="AX452">
        <f t="shared" si="28"/>
        <v>27</v>
      </c>
      <c r="AY452">
        <f t="shared" si="29"/>
        <v>7</v>
      </c>
      <c r="AZ452">
        <f t="shared" si="30"/>
        <v>7</v>
      </c>
      <c r="BA452">
        <f t="shared" si="31"/>
        <v>8</v>
      </c>
      <c r="BB452">
        <f>SUM(ifood_data[[#This Row],[Recency Score]:[Monetary Score]])</f>
        <v>22</v>
      </c>
      <c r="BC452">
        <f>(_xlfn.PERCENTRANK.INC(ifood_data[[#All],[RFM]],ifood_data[[#This Row],[RFM]],1))*10</f>
        <v>8</v>
      </c>
      <c r="BD452" t="str">
        <f>VLOOKUP(ifood_data[[#This Row],[RFM Score]],'RFM Analysis'!$A$3:$B$14,2,FALSE)</f>
        <v>Loyal Customer</v>
      </c>
      <c r="BE452">
        <f>'Regression Models'!$B$101+'Regression Models'!$B$102*ifood_data[[#This Row],[Income]]+'Regression Models'!$B$103*ifood_data[[#This Row],[Age]]+'Regression Models'!$B$104*ifood_data[[#This Row],[Family]]</f>
        <v>991.08563535500878</v>
      </c>
      <c r="BF452" t="str">
        <f>IF(ifood_data[[#This Row],[AcceptedCmpOverall]]=1,"Campaign Respondent","Non-respondent")</f>
        <v>Campaign Respondent</v>
      </c>
    </row>
    <row r="453" spans="1:58" x14ac:dyDescent="0.35">
      <c r="A453">
        <v>1905</v>
      </c>
      <c r="B453">
        <v>76068</v>
      </c>
      <c r="C453">
        <v>0</v>
      </c>
      <c r="D453">
        <v>1</v>
      </c>
      <c r="E453">
        <v>67</v>
      </c>
      <c r="F453">
        <v>1115</v>
      </c>
      <c r="G453">
        <v>12</v>
      </c>
      <c r="H453">
        <v>128</v>
      </c>
      <c r="I453">
        <v>33</v>
      </c>
      <c r="J453">
        <v>12</v>
      </c>
      <c r="K453">
        <v>76</v>
      </c>
      <c r="L453">
        <v>1</v>
      </c>
      <c r="M453">
        <v>2</v>
      </c>
      <c r="N453">
        <v>3</v>
      </c>
      <c r="O453">
        <v>4</v>
      </c>
      <c r="P453">
        <v>6</v>
      </c>
      <c r="Q453">
        <v>0</v>
      </c>
      <c r="R453">
        <v>1</v>
      </c>
      <c r="S453">
        <v>0</v>
      </c>
      <c r="T453">
        <v>1</v>
      </c>
      <c r="U453">
        <v>0</v>
      </c>
      <c r="V453">
        <f>IF(SUM(ifood_data[[#This Row],[AcceptedCmp1]:[AcceptedCmp5]])&gt;0,1,0)</f>
        <v>1</v>
      </c>
      <c r="W453">
        <v>0</v>
      </c>
      <c r="X453">
        <v>3</v>
      </c>
      <c r="Y453">
        <v>11</v>
      </c>
      <c r="Z453">
        <v>0</v>
      </c>
      <c r="AA453">
        <v>45</v>
      </c>
      <c r="AB453">
        <v>2736</v>
      </c>
      <c r="AC453" s="28">
        <f>ifood_data[[#This Row],[Customer_Days]]/365</f>
        <v>7.4958904109589044</v>
      </c>
      <c r="AD453">
        <v>0</v>
      </c>
      <c r="AE453">
        <v>1</v>
      </c>
      <c r="AF453">
        <v>0</v>
      </c>
      <c r="AG453">
        <v>0</v>
      </c>
      <c r="AH453">
        <v>0</v>
      </c>
      <c r="AI453">
        <v>0</v>
      </c>
      <c r="AJ453">
        <v>0</v>
      </c>
      <c r="AK453">
        <v>1</v>
      </c>
      <c r="AL453">
        <v>0</v>
      </c>
      <c r="AM453">
        <v>0</v>
      </c>
      <c r="AN453">
        <v>1300</v>
      </c>
      <c r="AO453">
        <v>1224</v>
      </c>
      <c r="AP453">
        <f>ifood_data[[#This Row],[MntTotal]]-ifood_data[[#This Row],[MntRegularProds]]</f>
        <v>76</v>
      </c>
      <c r="AQ453">
        <v>2</v>
      </c>
      <c r="AR453">
        <f>IF(SUM(ifood_data[[#This Row],[Kidhome]:[Teenhome]])&gt;0,1,0)</f>
        <v>1</v>
      </c>
      <c r="AS453" t="str">
        <f>IF(SUM(ifood_data[[#This Row],[Kidhome]:[Teenhome]])&gt;0,"Has Family","No Family")</f>
        <v>Has Family</v>
      </c>
      <c r="AT453" t="str">
        <f>IF(ifood_data[[#This Row],[marital_Married]]=1,"Married", (IF(ifood_data[[#This Row],[marital_Single]]=1,"Single",(IF(ifood_data[[#This Row],[marital_Divorced]]=1,"Divorced",(IF(ifood_data[[#This Row],[marital_Together]]=1,"Living Together",(IF(ifood_data[[#This Row],[marital_Widow]]=1,"Widow","Other")))))))))</f>
        <v>Married</v>
      </c>
      <c r="AU453" t="str">
        <f>IF(ifood_data[[#This Row],[education_Basic]]=1,"High School",(IF(ifood_data[[#This Row],[education_Graduation]]=1,"Undergraduate Degree",(IF(SUM(AM453,AL453,AI453)&gt;0,"Master's Degree or Higher","Other")))))</f>
        <v>Undergraduate Degree</v>
      </c>
      <c r="AV453" t="str">
        <f>IF(ifood_data[[#All],[Income]]&gt;75000,"75K+",(IF(ifood_data[[#All],[Income]]&gt;50000,"50K-75K",(IF(ifood_data[[#All],[Income]]&gt;35000,"35K-50K","&lt;35K")))))</f>
        <v>75K+</v>
      </c>
      <c r="AW453" t="str">
        <f>IF(ifood_data[[#All],[Age]]&gt;60,"60+",(IF(ifood_data[[#All],[Age]]&gt;50,"50-60",(IF(ifood_data[[#All],[Age]]&gt;40,"40-50",(IF(ifood_data[[#All],[Age]]&gt;30,"30-40","&lt;30")))))))</f>
        <v>40-50</v>
      </c>
      <c r="AX453">
        <f t="shared" si="28"/>
        <v>16</v>
      </c>
      <c r="AY453">
        <f t="shared" si="29"/>
        <v>4</v>
      </c>
      <c r="AZ453">
        <f t="shared" si="30"/>
        <v>3</v>
      </c>
      <c r="BA453">
        <f t="shared" si="31"/>
        <v>8</v>
      </c>
      <c r="BB453">
        <f>SUM(ifood_data[[#This Row],[Recency Score]:[Monetary Score]])</f>
        <v>15</v>
      </c>
      <c r="BC453">
        <f>(_xlfn.PERCENTRANK.INC(ifood_data[[#All],[RFM]],ifood_data[[#This Row],[RFM]],1))*10</f>
        <v>4</v>
      </c>
      <c r="BD453" t="str">
        <f>VLOOKUP(ifood_data[[#This Row],[RFM Score]],'RFM Analysis'!$A$3:$B$14,2,FALSE)</f>
        <v>At Risk</v>
      </c>
      <c r="BE453">
        <f>'Regression Models'!$B$101+'Regression Models'!$B$102*ifood_data[[#This Row],[Income]]+'Regression Models'!$B$103*ifood_data[[#This Row],[Age]]+'Regression Models'!$B$104*ifood_data[[#This Row],[Family]]</f>
        <v>990.86416927237644</v>
      </c>
      <c r="BF453" t="str">
        <f>IF(ifood_data[[#This Row],[AcceptedCmpOverall]]=1,"Campaign Respondent","Non-respondent")</f>
        <v>Campaign Respondent</v>
      </c>
    </row>
    <row r="454" spans="1:58" x14ac:dyDescent="0.35">
      <c r="A454">
        <v>1869</v>
      </c>
      <c r="B454">
        <v>76467</v>
      </c>
      <c r="C454">
        <v>1</v>
      </c>
      <c r="D454">
        <v>0</v>
      </c>
      <c r="E454">
        <v>44</v>
      </c>
      <c r="F454">
        <v>676</v>
      </c>
      <c r="G454">
        <v>161</v>
      </c>
      <c r="H454">
        <v>426</v>
      </c>
      <c r="I454">
        <v>210</v>
      </c>
      <c r="J454">
        <v>44</v>
      </c>
      <c r="K454">
        <v>58</v>
      </c>
      <c r="L454">
        <v>2</v>
      </c>
      <c r="M454">
        <v>2</v>
      </c>
      <c r="N454">
        <v>5</v>
      </c>
      <c r="O454">
        <v>5</v>
      </c>
      <c r="P454">
        <v>6</v>
      </c>
      <c r="Q454">
        <v>0</v>
      </c>
      <c r="R454">
        <v>0</v>
      </c>
      <c r="S454">
        <v>0</v>
      </c>
      <c r="T454">
        <v>0</v>
      </c>
      <c r="U454">
        <v>0</v>
      </c>
      <c r="V454">
        <f>IF(SUM(ifood_data[[#This Row],[AcceptedCmp1]:[AcceptedCmp5]])&gt;0,1,0)</f>
        <v>0</v>
      </c>
      <c r="W454">
        <v>0</v>
      </c>
      <c r="X454">
        <v>3</v>
      </c>
      <c r="Y454">
        <v>11</v>
      </c>
      <c r="Z454">
        <v>1</v>
      </c>
      <c r="AA454">
        <v>50</v>
      </c>
      <c r="AB454">
        <v>2840</v>
      </c>
      <c r="AC454" s="28">
        <f>ifood_data[[#This Row],[Customer_Days]]/365</f>
        <v>7.7808219178082192</v>
      </c>
      <c r="AD454">
        <v>0</v>
      </c>
      <c r="AE454">
        <v>0</v>
      </c>
      <c r="AF454">
        <v>1</v>
      </c>
      <c r="AG454">
        <v>0</v>
      </c>
      <c r="AH454">
        <v>0</v>
      </c>
      <c r="AI454">
        <v>0</v>
      </c>
      <c r="AJ454">
        <v>0</v>
      </c>
      <c r="AK454">
        <v>1</v>
      </c>
      <c r="AL454">
        <v>0</v>
      </c>
      <c r="AM454">
        <v>0</v>
      </c>
      <c r="AN454">
        <v>1517</v>
      </c>
      <c r="AO454">
        <v>1459</v>
      </c>
      <c r="AP454">
        <f>ifood_data[[#This Row],[MntTotal]]-ifood_data[[#This Row],[MntRegularProds]]</f>
        <v>58</v>
      </c>
      <c r="AQ454">
        <v>0</v>
      </c>
      <c r="AR454">
        <f>IF(SUM(ifood_data[[#This Row],[Kidhome]:[Teenhome]])&gt;0,1,0)</f>
        <v>1</v>
      </c>
      <c r="AS454" t="str">
        <f>IF(SUM(ifood_data[[#This Row],[Kidhome]:[Teenhome]])&gt;0,"Has Family","No Family")</f>
        <v>Has Family</v>
      </c>
      <c r="AT454" t="str">
        <f>IF(ifood_data[[#This Row],[marital_Married]]=1,"Married", (IF(ifood_data[[#This Row],[marital_Single]]=1,"Single",(IF(ifood_data[[#This Row],[marital_Divorced]]=1,"Divorced",(IF(ifood_data[[#This Row],[marital_Together]]=1,"Living Together",(IF(ifood_data[[#This Row],[marital_Widow]]=1,"Widow","Other")))))))))</f>
        <v>Single</v>
      </c>
      <c r="AU454" t="str">
        <f>IF(ifood_data[[#This Row],[education_Basic]]=1,"High School",(IF(ifood_data[[#This Row],[education_Graduation]]=1,"Undergraduate Degree",(IF(SUM(AM454,AL454,AI454)&gt;0,"Master's Degree or Higher","Other")))))</f>
        <v>Undergraduate Degree</v>
      </c>
      <c r="AV454" t="str">
        <f>IF(ifood_data[[#All],[Income]]&gt;75000,"75K+",(IF(ifood_data[[#All],[Income]]&gt;50000,"50K-75K",(IF(ifood_data[[#All],[Income]]&gt;35000,"35K-50K","&lt;35K")))))</f>
        <v>75K+</v>
      </c>
      <c r="AW454" t="str">
        <f>IF(ifood_data[[#All],[Age]]&gt;60,"60+",(IF(ifood_data[[#All],[Age]]&gt;50,"50-60",(IF(ifood_data[[#All],[Age]]&gt;40,"40-50",(IF(ifood_data[[#All],[Age]]&gt;30,"30-40","&lt;30")))))))</f>
        <v>40-50</v>
      </c>
      <c r="AX454">
        <f t="shared" si="28"/>
        <v>20</v>
      </c>
      <c r="AY454">
        <f t="shared" si="29"/>
        <v>6</v>
      </c>
      <c r="AZ454">
        <f t="shared" si="30"/>
        <v>4</v>
      </c>
      <c r="BA454">
        <f t="shared" si="31"/>
        <v>9</v>
      </c>
      <c r="BB454">
        <f>SUM(ifood_data[[#This Row],[Recency Score]:[Monetary Score]])</f>
        <v>19</v>
      </c>
      <c r="BC454">
        <f>(_xlfn.PERCENTRANK.INC(ifood_data[[#All],[RFM]],ifood_data[[#This Row],[RFM]],1))*10</f>
        <v>7</v>
      </c>
      <c r="BD454" t="str">
        <f>VLOOKUP(ifood_data[[#This Row],[RFM Score]],'RFM Analysis'!$A$3:$B$14,2,FALSE)</f>
        <v>Loyal Customer</v>
      </c>
      <c r="BE454">
        <f>'Regression Models'!$B$101+'Regression Models'!$B$102*ifood_data[[#This Row],[Income]]+'Regression Models'!$B$103*ifood_data[[#This Row],[Age]]+'Regression Models'!$B$104*ifood_data[[#This Row],[Family]]</f>
        <v>989.8170923673207</v>
      </c>
      <c r="BF454" t="str">
        <f>IF(ifood_data[[#This Row],[AcceptedCmpOverall]]=1,"Campaign Respondent","Non-respondent")</f>
        <v>Non-respondent</v>
      </c>
    </row>
    <row r="455" spans="1:58" x14ac:dyDescent="0.35">
      <c r="A455">
        <v>1979</v>
      </c>
      <c r="B455">
        <v>76234</v>
      </c>
      <c r="C455">
        <v>0</v>
      </c>
      <c r="D455">
        <v>1</v>
      </c>
      <c r="E455">
        <v>21</v>
      </c>
      <c r="F455">
        <v>519</v>
      </c>
      <c r="G455">
        <v>50</v>
      </c>
      <c r="H455">
        <v>167</v>
      </c>
      <c r="I455">
        <v>130</v>
      </c>
      <c r="J455">
        <v>0</v>
      </c>
      <c r="K455">
        <v>41</v>
      </c>
      <c r="L455">
        <v>1</v>
      </c>
      <c r="M455">
        <v>8</v>
      </c>
      <c r="N455">
        <v>3</v>
      </c>
      <c r="O455">
        <v>11</v>
      </c>
      <c r="P455">
        <v>3</v>
      </c>
      <c r="Q455">
        <v>0</v>
      </c>
      <c r="R455">
        <v>0</v>
      </c>
      <c r="S455">
        <v>0</v>
      </c>
      <c r="T455">
        <v>1</v>
      </c>
      <c r="U455">
        <v>0</v>
      </c>
      <c r="V455">
        <f>IF(SUM(ifood_data[[#This Row],[AcceptedCmp1]:[AcceptedCmp5]])&gt;0,1,0)</f>
        <v>1</v>
      </c>
      <c r="W455">
        <v>0</v>
      </c>
      <c r="X455">
        <v>3</v>
      </c>
      <c r="Y455">
        <v>11</v>
      </c>
      <c r="Z455">
        <v>0</v>
      </c>
      <c r="AA455">
        <v>48</v>
      </c>
      <c r="AB455">
        <v>2302</v>
      </c>
      <c r="AC455" s="28">
        <f>ifood_data[[#This Row],[Customer_Days]]/365</f>
        <v>6.3068493150684928</v>
      </c>
      <c r="AD455">
        <v>0</v>
      </c>
      <c r="AE455">
        <v>1</v>
      </c>
      <c r="AF455">
        <v>0</v>
      </c>
      <c r="AG455">
        <v>0</v>
      </c>
      <c r="AH455">
        <v>0</v>
      </c>
      <c r="AI455">
        <v>0</v>
      </c>
      <c r="AJ455">
        <v>0</v>
      </c>
      <c r="AK455">
        <v>0</v>
      </c>
      <c r="AL455">
        <v>1</v>
      </c>
      <c r="AM455">
        <v>0</v>
      </c>
      <c r="AN455">
        <v>866</v>
      </c>
      <c r="AO455">
        <v>825</v>
      </c>
      <c r="AP455">
        <f>ifood_data[[#This Row],[MntTotal]]-ifood_data[[#This Row],[MntRegularProds]]</f>
        <v>41</v>
      </c>
      <c r="AQ455">
        <v>1</v>
      </c>
      <c r="AR455">
        <f>IF(SUM(ifood_data[[#This Row],[Kidhome]:[Teenhome]])&gt;0,1,0)</f>
        <v>1</v>
      </c>
      <c r="AS455" t="str">
        <f>IF(SUM(ifood_data[[#This Row],[Kidhome]:[Teenhome]])&gt;0,"Has Family","No Family")</f>
        <v>Has Family</v>
      </c>
      <c r="AT455" t="str">
        <f>IF(ifood_data[[#This Row],[marital_Married]]=1,"Married", (IF(ifood_data[[#This Row],[marital_Single]]=1,"Single",(IF(ifood_data[[#This Row],[marital_Divorced]]=1,"Divorced",(IF(ifood_data[[#This Row],[marital_Together]]=1,"Living Together",(IF(ifood_data[[#This Row],[marital_Widow]]=1,"Widow","Other")))))))))</f>
        <v>Married</v>
      </c>
      <c r="AU455" t="str">
        <f>IF(ifood_data[[#This Row],[education_Basic]]=1,"High School",(IF(ifood_data[[#This Row],[education_Graduation]]=1,"Undergraduate Degree",(IF(SUM(AM455,AL455,AI455)&gt;0,"Master's Degree or Higher","Other")))))</f>
        <v>Master's Degree or Higher</v>
      </c>
      <c r="AV455" t="str">
        <f>IF(ifood_data[[#All],[Income]]&gt;75000,"75K+",(IF(ifood_data[[#All],[Income]]&gt;50000,"50K-75K",(IF(ifood_data[[#All],[Income]]&gt;35000,"35K-50K","&lt;35K")))))</f>
        <v>75K+</v>
      </c>
      <c r="AW455" t="str">
        <f>IF(ifood_data[[#All],[Age]]&gt;60,"60+",(IF(ifood_data[[#All],[Age]]&gt;50,"50-60",(IF(ifood_data[[#All],[Age]]&gt;40,"40-50",(IF(ifood_data[[#All],[Age]]&gt;30,"30-40","&lt;30")))))))</f>
        <v>40-50</v>
      </c>
      <c r="AX455">
        <f t="shared" si="28"/>
        <v>26</v>
      </c>
      <c r="AY455">
        <f t="shared" si="29"/>
        <v>8</v>
      </c>
      <c r="AZ455">
        <f t="shared" si="30"/>
        <v>7</v>
      </c>
      <c r="BA455">
        <f t="shared" si="31"/>
        <v>7</v>
      </c>
      <c r="BB455">
        <f>SUM(ifood_data[[#This Row],[Recency Score]:[Monetary Score]])</f>
        <v>22</v>
      </c>
      <c r="BC455">
        <f>(_xlfn.PERCENTRANK.INC(ifood_data[[#All],[RFM]],ifood_data[[#This Row],[RFM]],1))*10</f>
        <v>8</v>
      </c>
      <c r="BD455" t="str">
        <f>VLOOKUP(ifood_data[[#This Row],[RFM Score]],'RFM Analysis'!$A$3:$B$14,2,FALSE)</f>
        <v>Loyal Customer</v>
      </c>
      <c r="BE455">
        <f>'Regression Models'!$B$101+'Regression Models'!$B$102*ifood_data[[#This Row],[Income]]+'Regression Models'!$B$103*ifood_data[[#This Row],[Age]]+'Regression Models'!$B$104*ifood_data[[#This Row],[Family]]</f>
        <v>988.73938754758058</v>
      </c>
      <c r="BF455" t="str">
        <f>IF(ifood_data[[#This Row],[AcceptedCmpOverall]]=1,"Campaign Respondent","Non-respondent")</f>
        <v>Campaign Respondent</v>
      </c>
    </row>
    <row r="456" spans="1:58" x14ac:dyDescent="0.35">
      <c r="A456">
        <v>708</v>
      </c>
      <c r="B456">
        <v>63564</v>
      </c>
      <c r="C456">
        <v>0</v>
      </c>
      <c r="D456">
        <v>0</v>
      </c>
      <c r="E456">
        <v>0</v>
      </c>
      <c r="F456">
        <v>769</v>
      </c>
      <c r="G456">
        <v>80</v>
      </c>
      <c r="H456">
        <v>252</v>
      </c>
      <c r="I456">
        <v>15</v>
      </c>
      <c r="J456">
        <v>34</v>
      </c>
      <c r="K456">
        <v>65</v>
      </c>
      <c r="L456">
        <v>1</v>
      </c>
      <c r="M456">
        <v>10</v>
      </c>
      <c r="N456">
        <v>10</v>
      </c>
      <c r="O456">
        <v>7</v>
      </c>
      <c r="P456">
        <v>6</v>
      </c>
      <c r="Q456">
        <v>0</v>
      </c>
      <c r="R456">
        <v>0</v>
      </c>
      <c r="S456">
        <v>1</v>
      </c>
      <c r="T456">
        <v>0</v>
      </c>
      <c r="U456">
        <v>0</v>
      </c>
      <c r="V456">
        <f>IF(SUM(ifood_data[[#This Row],[AcceptedCmp1]:[AcceptedCmp5]])&gt;0,1,0)</f>
        <v>1</v>
      </c>
      <c r="W456">
        <v>0</v>
      </c>
      <c r="X456">
        <v>3</v>
      </c>
      <c r="Y456">
        <v>11</v>
      </c>
      <c r="Z456">
        <v>1</v>
      </c>
      <c r="AA456">
        <v>66</v>
      </c>
      <c r="AB456">
        <v>2310</v>
      </c>
      <c r="AC456" s="28">
        <f>ifood_data[[#This Row],[Customer_Days]]/365</f>
        <v>6.3287671232876717</v>
      </c>
      <c r="AD456">
        <v>0</v>
      </c>
      <c r="AE456">
        <v>1</v>
      </c>
      <c r="AF456">
        <v>0</v>
      </c>
      <c r="AG456">
        <v>0</v>
      </c>
      <c r="AH456">
        <v>0</v>
      </c>
      <c r="AI456">
        <v>1</v>
      </c>
      <c r="AJ456">
        <v>0</v>
      </c>
      <c r="AK456">
        <v>0</v>
      </c>
      <c r="AL456">
        <v>0</v>
      </c>
      <c r="AM456">
        <v>0</v>
      </c>
      <c r="AN456">
        <v>1150</v>
      </c>
      <c r="AO456">
        <v>1085</v>
      </c>
      <c r="AP456">
        <f>ifood_data[[#This Row],[MntTotal]]-ifood_data[[#This Row],[MntRegularProds]]</f>
        <v>65</v>
      </c>
      <c r="AQ456">
        <v>1</v>
      </c>
      <c r="AR456">
        <f>IF(SUM(ifood_data[[#This Row],[Kidhome]:[Teenhome]])&gt;0,1,0)</f>
        <v>0</v>
      </c>
      <c r="AS456" t="str">
        <f>IF(SUM(ifood_data[[#This Row],[Kidhome]:[Teenhome]])&gt;0,"Has Family","No Family")</f>
        <v>No Family</v>
      </c>
      <c r="AT456" t="str">
        <f>IF(ifood_data[[#This Row],[marital_Married]]=1,"Married", (IF(ifood_data[[#This Row],[marital_Single]]=1,"Single",(IF(ifood_data[[#This Row],[marital_Divorced]]=1,"Divorced",(IF(ifood_data[[#This Row],[marital_Together]]=1,"Living Together",(IF(ifood_data[[#This Row],[marital_Widow]]=1,"Widow","Other")))))))))</f>
        <v>Married</v>
      </c>
      <c r="AU456" t="str">
        <f>IF(ifood_data[[#This Row],[education_Basic]]=1,"High School",(IF(ifood_data[[#This Row],[education_Graduation]]=1,"Undergraduate Degree",(IF(SUM(AM456,AL456,AI456)&gt;0,"Master's Degree or Higher","Other")))))</f>
        <v>Master's Degree or Higher</v>
      </c>
      <c r="AV456" t="str">
        <f>IF(ifood_data[[#All],[Income]]&gt;75000,"75K+",(IF(ifood_data[[#All],[Income]]&gt;50000,"50K-75K",(IF(ifood_data[[#All],[Income]]&gt;35000,"35K-50K","&lt;35K")))))</f>
        <v>50K-75K</v>
      </c>
      <c r="AW456" t="str">
        <f>IF(ifood_data[[#All],[Age]]&gt;60,"60+",(IF(ifood_data[[#All],[Age]]&gt;50,"50-60",(IF(ifood_data[[#All],[Age]]&gt;40,"40-50",(IF(ifood_data[[#All],[Age]]&gt;30,"30-40","&lt;30")))))))</f>
        <v>60+</v>
      </c>
      <c r="AX456">
        <f t="shared" si="28"/>
        <v>34</v>
      </c>
      <c r="AY456">
        <f t="shared" si="29"/>
        <v>10</v>
      </c>
      <c r="AZ456">
        <f t="shared" si="30"/>
        <v>9</v>
      </c>
      <c r="BA456">
        <f t="shared" si="31"/>
        <v>8</v>
      </c>
      <c r="BB456">
        <f>SUM(ifood_data[[#This Row],[Recency Score]:[Monetary Score]])</f>
        <v>27</v>
      </c>
      <c r="BC456">
        <f>(_xlfn.PERCENTRANK.INC(ifood_data[[#All],[RFM]],ifood_data[[#This Row],[RFM]],1))*10</f>
        <v>9</v>
      </c>
      <c r="BD456" t="str">
        <f>VLOOKUP(ifood_data[[#This Row],[RFM Score]],'RFM Analysis'!$A$3:$B$14,2,FALSE)</f>
        <v>Top Customer</v>
      </c>
      <c r="BE456">
        <f>'Regression Models'!$B$101+'Regression Models'!$B$102*ifood_data[[#This Row],[Income]]+'Regression Models'!$B$103*ifood_data[[#This Row],[Age]]+'Regression Models'!$B$104*ifood_data[[#This Row],[Family]]</f>
        <v>986.97142281730009</v>
      </c>
      <c r="BF456" t="str">
        <f>IF(ifood_data[[#This Row],[AcceptedCmpOverall]]=1,"Campaign Respondent","Non-respondent")</f>
        <v>Campaign Respondent</v>
      </c>
    </row>
    <row r="457" spans="1:58" x14ac:dyDescent="0.35">
      <c r="A457">
        <v>12</v>
      </c>
      <c r="B457">
        <v>63033</v>
      </c>
      <c r="C457">
        <v>0</v>
      </c>
      <c r="D457">
        <v>0</v>
      </c>
      <c r="E457">
        <v>82</v>
      </c>
      <c r="F457">
        <v>194</v>
      </c>
      <c r="G457">
        <v>61</v>
      </c>
      <c r="H457">
        <v>480</v>
      </c>
      <c r="I457">
        <v>225</v>
      </c>
      <c r="J457">
        <v>112</v>
      </c>
      <c r="K457">
        <v>30</v>
      </c>
      <c r="L457">
        <v>1</v>
      </c>
      <c r="M457">
        <v>3</v>
      </c>
      <c r="N457">
        <v>4</v>
      </c>
      <c r="O457">
        <v>8</v>
      </c>
      <c r="P457">
        <v>2</v>
      </c>
      <c r="Q457">
        <v>0</v>
      </c>
      <c r="R457">
        <v>0</v>
      </c>
      <c r="S457">
        <v>0</v>
      </c>
      <c r="T457">
        <v>0</v>
      </c>
      <c r="U457">
        <v>0</v>
      </c>
      <c r="V457">
        <f>IF(SUM(ifood_data[[#This Row],[AcceptedCmp1]:[AcceptedCmp5]])&gt;0,1,0)</f>
        <v>0</v>
      </c>
      <c r="W457">
        <v>0</v>
      </c>
      <c r="X457">
        <v>3</v>
      </c>
      <c r="Y457">
        <v>11</v>
      </c>
      <c r="Z457">
        <v>0</v>
      </c>
      <c r="AA457">
        <v>61</v>
      </c>
      <c r="AB457">
        <v>2385</v>
      </c>
      <c r="AC457" s="28">
        <f>ifood_data[[#This Row],[Customer_Days]]/365</f>
        <v>6.5342465753424657</v>
      </c>
      <c r="AD457">
        <v>1</v>
      </c>
      <c r="AE457">
        <v>0</v>
      </c>
      <c r="AF457">
        <v>0</v>
      </c>
      <c r="AG457">
        <v>0</v>
      </c>
      <c r="AH457">
        <v>0</v>
      </c>
      <c r="AI457">
        <v>0</v>
      </c>
      <c r="AJ457">
        <v>0</v>
      </c>
      <c r="AK457">
        <v>1</v>
      </c>
      <c r="AL457">
        <v>0</v>
      </c>
      <c r="AM457">
        <v>0</v>
      </c>
      <c r="AN457">
        <v>1072</v>
      </c>
      <c r="AO457">
        <v>1042</v>
      </c>
      <c r="AP457">
        <f>ifood_data[[#This Row],[MntTotal]]-ifood_data[[#This Row],[MntRegularProds]]</f>
        <v>30</v>
      </c>
      <c r="AQ457">
        <v>0</v>
      </c>
      <c r="AR457">
        <f>IF(SUM(ifood_data[[#This Row],[Kidhome]:[Teenhome]])&gt;0,1,0)</f>
        <v>0</v>
      </c>
      <c r="AS457" t="str">
        <f>IF(SUM(ifood_data[[#This Row],[Kidhome]:[Teenhome]])&gt;0,"Has Family","No Family")</f>
        <v>No Family</v>
      </c>
      <c r="AT457" t="str">
        <f>IF(ifood_data[[#This Row],[marital_Married]]=1,"Married", (IF(ifood_data[[#This Row],[marital_Single]]=1,"Single",(IF(ifood_data[[#This Row],[marital_Divorced]]=1,"Divorced",(IF(ifood_data[[#This Row],[marital_Together]]=1,"Living Together",(IF(ifood_data[[#This Row],[marital_Widow]]=1,"Widow","Other")))))))))</f>
        <v>Divorced</v>
      </c>
      <c r="AU457" t="str">
        <f>IF(ifood_data[[#This Row],[education_Basic]]=1,"High School",(IF(ifood_data[[#This Row],[education_Graduation]]=1,"Undergraduate Degree",(IF(SUM(AM457,AL457,AI457)&gt;0,"Master's Degree or Higher","Other")))))</f>
        <v>Undergraduate Degree</v>
      </c>
      <c r="AV457" t="str">
        <f>IF(ifood_data[[#All],[Income]]&gt;75000,"75K+",(IF(ifood_data[[#All],[Income]]&gt;50000,"50K-75K",(IF(ifood_data[[#All],[Income]]&gt;35000,"35K-50K","&lt;35K")))))</f>
        <v>50K-75K</v>
      </c>
      <c r="AW457" t="str">
        <f>IF(ifood_data[[#All],[Age]]&gt;60,"60+",(IF(ifood_data[[#All],[Age]]&gt;50,"50-60",(IF(ifood_data[[#All],[Age]]&gt;40,"40-50",(IF(ifood_data[[#All],[Age]]&gt;30,"30-40","&lt;30")))))))</f>
        <v>60+</v>
      </c>
      <c r="AX457">
        <f t="shared" si="28"/>
        <v>18</v>
      </c>
      <c r="AY457">
        <f t="shared" si="29"/>
        <v>1.9999999999999996</v>
      </c>
      <c r="AZ457">
        <f t="shared" si="30"/>
        <v>4</v>
      </c>
      <c r="BA457">
        <f t="shared" si="31"/>
        <v>7</v>
      </c>
      <c r="BB457">
        <f>SUM(ifood_data[[#This Row],[Recency Score]:[Monetary Score]])</f>
        <v>13</v>
      </c>
      <c r="BC457">
        <f>(_xlfn.PERCENTRANK.INC(ifood_data[[#All],[RFM]],ifood_data[[#This Row],[RFM]],1))*10</f>
        <v>3</v>
      </c>
      <c r="BD457" t="str">
        <f>VLOOKUP(ifood_data[[#This Row],[RFM Score]],'RFM Analysis'!$A$3:$B$14,2,FALSE)</f>
        <v>At Risk</v>
      </c>
      <c r="BE457">
        <f>'Regression Models'!$B$101+'Regression Models'!$B$102*ifood_data[[#This Row],[Income]]+'Regression Models'!$B$103*ifood_data[[#This Row],[Age]]+'Regression Models'!$B$104*ifood_data[[#This Row],[Family]]</f>
        <v>985.32718232736113</v>
      </c>
      <c r="BF457" t="str">
        <f>IF(ifood_data[[#This Row],[AcceptedCmpOverall]]=1,"Campaign Respondent","Non-respondent")</f>
        <v>Non-respondent</v>
      </c>
    </row>
    <row r="458" spans="1:58" x14ac:dyDescent="0.35">
      <c r="A458">
        <v>990</v>
      </c>
      <c r="B458">
        <v>77037</v>
      </c>
      <c r="C458">
        <v>0</v>
      </c>
      <c r="D458">
        <v>1</v>
      </c>
      <c r="E458">
        <v>3</v>
      </c>
      <c r="F458">
        <v>463</v>
      </c>
      <c r="G458">
        <v>96</v>
      </c>
      <c r="H458">
        <v>333</v>
      </c>
      <c r="I458">
        <v>168</v>
      </c>
      <c r="J458">
        <v>53</v>
      </c>
      <c r="K458">
        <v>10</v>
      </c>
      <c r="L458">
        <v>1</v>
      </c>
      <c r="M458">
        <v>7</v>
      </c>
      <c r="N458">
        <v>7</v>
      </c>
      <c r="O458">
        <v>12</v>
      </c>
      <c r="P458">
        <v>3</v>
      </c>
      <c r="Q458">
        <v>0</v>
      </c>
      <c r="R458">
        <v>0</v>
      </c>
      <c r="S458">
        <v>0</v>
      </c>
      <c r="T458">
        <v>0</v>
      </c>
      <c r="U458">
        <v>0</v>
      </c>
      <c r="V458">
        <f>IF(SUM(ifood_data[[#This Row],[AcceptedCmp1]:[AcceptedCmp5]])&gt;0,1,0)</f>
        <v>0</v>
      </c>
      <c r="W458">
        <v>0</v>
      </c>
      <c r="X458">
        <v>3</v>
      </c>
      <c r="Y458">
        <v>11</v>
      </c>
      <c r="Z458">
        <v>0</v>
      </c>
      <c r="AA458">
        <v>60</v>
      </c>
      <c r="AB458">
        <v>2418</v>
      </c>
      <c r="AC458" s="28">
        <f>ifood_data[[#This Row],[Customer_Days]]/365</f>
        <v>6.624657534246575</v>
      </c>
      <c r="AD458">
        <v>0</v>
      </c>
      <c r="AE458">
        <v>1</v>
      </c>
      <c r="AF458">
        <v>0</v>
      </c>
      <c r="AG458">
        <v>0</v>
      </c>
      <c r="AH458">
        <v>0</v>
      </c>
      <c r="AI458">
        <v>0</v>
      </c>
      <c r="AJ458">
        <v>0</v>
      </c>
      <c r="AK458">
        <v>0</v>
      </c>
      <c r="AL458">
        <v>0</v>
      </c>
      <c r="AM458">
        <v>1</v>
      </c>
      <c r="AN458">
        <v>1113</v>
      </c>
      <c r="AO458">
        <v>1103</v>
      </c>
      <c r="AP458">
        <f>ifood_data[[#This Row],[MntTotal]]-ifood_data[[#This Row],[MntRegularProds]]</f>
        <v>10</v>
      </c>
      <c r="AQ458">
        <v>0</v>
      </c>
      <c r="AR458">
        <f>IF(SUM(ifood_data[[#This Row],[Kidhome]:[Teenhome]])&gt;0,1,0)</f>
        <v>1</v>
      </c>
      <c r="AS458" t="str">
        <f>IF(SUM(ifood_data[[#This Row],[Kidhome]:[Teenhome]])&gt;0,"Has Family","No Family")</f>
        <v>Has Family</v>
      </c>
      <c r="AT458" t="str">
        <f>IF(ifood_data[[#This Row],[marital_Married]]=1,"Married", (IF(ifood_data[[#This Row],[marital_Single]]=1,"Single",(IF(ifood_data[[#This Row],[marital_Divorced]]=1,"Divorced",(IF(ifood_data[[#This Row],[marital_Together]]=1,"Living Together",(IF(ifood_data[[#This Row],[marital_Widow]]=1,"Widow","Other")))))))))</f>
        <v>Married</v>
      </c>
      <c r="AU458" t="str">
        <f>IF(ifood_data[[#This Row],[education_Basic]]=1,"High School",(IF(ifood_data[[#This Row],[education_Graduation]]=1,"Undergraduate Degree",(IF(SUM(AM458,AL458,AI458)&gt;0,"Master's Degree or Higher","Other")))))</f>
        <v>Master's Degree or Higher</v>
      </c>
      <c r="AV458" t="str">
        <f>IF(ifood_data[[#All],[Income]]&gt;75000,"75K+",(IF(ifood_data[[#All],[Income]]&gt;50000,"50K-75K",(IF(ifood_data[[#All],[Income]]&gt;35000,"35K-50K","&lt;35K")))))</f>
        <v>75K+</v>
      </c>
      <c r="AW458" t="str">
        <f>IF(ifood_data[[#All],[Age]]&gt;60,"60+",(IF(ifood_data[[#All],[Age]]&gt;50,"50-60",(IF(ifood_data[[#All],[Age]]&gt;40,"40-50",(IF(ifood_data[[#All],[Age]]&gt;30,"30-40","&lt;30")))))))</f>
        <v>50-60</v>
      </c>
      <c r="AX458">
        <f t="shared" si="28"/>
        <v>30</v>
      </c>
      <c r="AY458">
        <f t="shared" si="29"/>
        <v>10</v>
      </c>
      <c r="AZ458">
        <f t="shared" si="30"/>
        <v>8</v>
      </c>
      <c r="BA458">
        <f t="shared" si="31"/>
        <v>8</v>
      </c>
      <c r="BB458">
        <f>SUM(ifood_data[[#This Row],[Recency Score]:[Monetary Score]])</f>
        <v>26</v>
      </c>
      <c r="BC458">
        <f>(_xlfn.PERCENTRANK.INC(ifood_data[[#All],[RFM]],ifood_data[[#This Row],[RFM]],1))*10</f>
        <v>9</v>
      </c>
      <c r="BD458" t="str">
        <f>VLOOKUP(ifood_data[[#This Row],[RFM Score]],'RFM Analysis'!$A$3:$B$14,2,FALSE)</f>
        <v>Top Customer</v>
      </c>
      <c r="BE458">
        <f>'Regression Models'!$B$101+'Regression Models'!$B$102*ifood_data[[#This Row],[Income]]+'Regression Models'!$B$103*ifood_data[[#This Row],[Age]]+'Regression Models'!$B$104*ifood_data[[#This Row],[Family]]</f>
        <v>983.07429942040028</v>
      </c>
      <c r="BF458" t="str">
        <f>IF(ifood_data[[#This Row],[AcceptedCmpOverall]]=1,"Campaign Respondent","Non-respondent")</f>
        <v>Non-respondent</v>
      </c>
    </row>
    <row r="459" spans="1:58" x14ac:dyDescent="0.35">
      <c r="A459">
        <v>119</v>
      </c>
      <c r="B459">
        <v>77376</v>
      </c>
      <c r="C459">
        <v>1</v>
      </c>
      <c r="D459">
        <v>1</v>
      </c>
      <c r="E459">
        <v>72</v>
      </c>
      <c r="F459">
        <v>492</v>
      </c>
      <c r="G459">
        <v>19</v>
      </c>
      <c r="H459">
        <v>110</v>
      </c>
      <c r="I459">
        <v>16</v>
      </c>
      <c r="J459">
        <v>12</v>
      </c>
      <c r="K459">
        <v>12</v>
      </c>
      <c r="L459">
        <v>4</v>
      </c>
      <c r="M459">
        <v>6</v>
      </c>
      <c r="N459">
        <v>3</v>
      </c>
      <c r="O459">
        <v>10</v>
      </c>
      <c r="P459">
        <v>4</v>
      </c>
      <c r="Q459">
        <v>0</v>
      </c>
      <c r="R459">
        <v>0</v>
      </c>
      <c r="S459">
        <v>0</v>
      </c>
      <c r="T459">
        <v>0</v>
      </c>
      <c r="U459">
        <v>0</v>
      </c>
      <c r="V459">
        <f>IF(SUM(ifood_data[[#This Row],[AcceptedCmp1]:[AcceptedCmp5]])&gt;0,1,0)</f>
        <v>0</v>
      </c>
      <c r="W459">
        <v>0</v>
      </c>
      <c r="X459">
        <v>3</v>
      </c>
      <c r="Y459">
        <v>11</v>
      </c>
      <c r="Z459">
        <v>0</v>
      </c>
      <c r="AA459">
        <v>64</v>
      </c>
      <c r="AB459">
        <v>2209</v>
      </c>
      <c r="AC459" s="28">
        <f>ifood_data[[#This Row],[Customer_Days]]/365</f>
        <v>6.0520547945205481</v>
      </c>
      <c r="AD459">
        <v>0</v>
      </c>
      <c r="AE459">
        <v>0</v>
      </c>
      <c r="AF459">
        <v>0</v>
      </c>
      <c r="AG459">
        <v>1</v>
      </c>
      <c r="AH459">
        <v>0</v>
      </c>
      <c r="AI459">
        <v>0</v>
      </c>
      <c r="AJ459">
        <v>0</v>
      </c>
      <c r="AK459">
        <v>0</v>
      </c>
      <c r="AL459">
        <v>0</v>
      </c>
      <c r="AM459">
        <v>1</v>
      </c>
      <c r="AN459">
        <v>649</v>
      </c>
      <c r="AO459">
        <v>637</v>
      </c>
      <c r="AP459">
        <f>ifood_data[[#This Row],[MntTotal]]-ifood_data[[#This Row],[MntRegularProds]]</f>
        <v>12</v>
      </c>
      <c r="AQ459">
        <v>0</v>
      </c>
      <c r="AR459">
        <f>IF(SUM(ifood_data[[#This Row],[Kidhome]:[Teenhome]])&gt;0,1,0)</f>
        <v>1</v>
      </c>
      <c r="AS459" t="str">
        <f>IF(SUM(ifood_data[[#This Row],[Kidhome]:[Teenhome]])&gt;0,"Has Family","No Family")</f>
        <v>Has Family</v>
      </c>
      <c r="AT459" t="str">
        <f>IF(ifood_data[[#This Row],[marital_Married]]=1,"Married", (IF(ifood_data[[#This Row],[marital_Single]]=1,"Single",(IF(ifood_data[[#This Row],[marital_Divorced]]=1,"Divorced",(IF(ifood_data[[#This Row],[marital_Together]]=1,"Living Together",(IF(ifood_data[[#This Row],[marital_Widow]]=1,"Widow","Other")))))))))</f>
        <v>Living Together</v>
      </c>
      <c r="AU459" t="str">
        <f>IF(ifood_data[[#This Row],[education_Basic]]=1,"High School",(IF(ifood_data[[#This Row],[education_Graduation]]=1,"Undergraduate Degree",(IF(SUM(AM459,AL459,AI459)&gt;0,"Master's Degree or Higher","Other")))))</f>
        <v>Master's Degree or Higher</v>
      </c>
      <c r="AV459" t="str">
        <f>IF(ifood_data[[#All],[Income]]&gt;75000,"75K+",(IF(ifood_data[[#All],[Income]]&gt;50000,"50K-75K",(IF(ifood_data[[#All],[Income]]&gt;35000,"35K-50K","&lt;35K")))))</f>
        <v>75K+</v>
      </c>
      <c r="AW459" t="str">
        <f>IF(ifood_data[[#All],[Age]]&gt;60,"60+",(IF(ifood_data[[#All],[Age]]&gt;50,"50-60",(IF(ifood_data[[#All],[Age]]&gt;40,"40-50",(IF(ifood_data[[#All],[Age]]&gt;30,"30-40","&lt;30")))))))</f>
        <v>60+</v>
      </c>
      <c r="AX459">
        <f t="shared" si="28"/>
        <v>27</v>
      </c>
      <c r="AY459">
        <f t="shared" si="29"/>
        <v>3.0000000000000004</v>
      </c>
      <c r="AZ459">
        <f t="shared" si="30"/>
        <v>7</v>
      </c>
      <c r="BA459">
        <f t="shared" si="31"/>
        <v>6</v>
      </c>
      <c r="BB459">
        <f>SUM(ifood_data[[#This Row],[Recency Score]:[Monetary Score]])</f>
        <v>16</v>
      </c>
      <c r="BC459">
        <f>(_xlfn.PERCENTRANK.INC(ifood_data[[#All],[RFM]],ifood_data[[#This Row],[RFM]],1))*10</f>
        <v>5</v>
      </c>
      <c r="BD459" t="str">
        <f>VLOOKUP(ifood_data[[#This Row],[RFM Score]],'RFM Analysis'!$A$3:$B$14,2,FALSE)</f>
        <v>Promising</v>
      </c>
      <c r="BE459">
        <f>'Regression Models'!$B$101+'Regression Models'!$B$102*ifood_data[[#This Row],[Income]]+'Regression Models'!$B$103*ifood_data[[#This Row],[Age]]+'Regression Models'!$B$104*ifood_data[[#This Row],[Family]]</f>
        <v>982.64033550560487</v>
      </c>
      <c r="BF459" t="str">
        <f>IF(ifood_data[[#This Row],[AcceptedCmpOverall]]=1,"Campaign Respondent","Non-respondent")</f>
        <v>Non-respondent</v>
      </c>
    </row>
    <row r="460" spans="1:58" x14ac:dyDescent="0.35">
      <c r="A460">
        <v>1647</v>
      </c>
      <c r="B460">
        <v>75702</v>
      </c>
      <c r="C460">
        <v>0</v>
      </c>
      <c r="D460">
        <v>1</v>
      </c>
      <c r="E460">
        <v>87</v>
      </c>
      <c r="F460">
        <v>1073</v>
      </c>
      <c r="G460">
        <v>0</v>
      </c>
      <c r="H460">
        <v>629</v>
      </c>
      <c r="I460">
        <v>145</v>
      </c>
      <c r="J460">
        <v>37</v>
      </c>
      <c r="K460">
        <v>37</v>
      </c>
      <c r="L460">
        <v>1</v>
      </c>
      <c r="M460">
        <v>10</v>
      </c>
      <c r="N460">
        <v>5</v>
      </c>
      <c r="O460">
        <v>13</v>
      </c>
      <c r="P460">
        <v>6</v>
      </c>
      <c r="Q460">
        <v>0</v>
      </c>
      <c r="R460">
        <v>0</v>
      </c>
      <c r="S460">
        <v>0</v>
      </c>
      <c r="T460">
        <v>0</v>
      </c>
      <c r="U460">
        <v>1</v>
      </c>
      <c r="V460">
        <f>IF(SUM(ifood_data[[#This Row],[AcceptedCmp1]:[AcceptedCmp5]])&gt;0,1,0)</f>
        <v>1</v>
      </c>
      <c r="W460">
        <v>0</v>
      </c>
      <c r="X460">
        <v>3</v>
      </c>
      <c r="Y460">
        <v>11</v>
      </c>
      <c r="Z460">
        <v>0</v>
      </c>
      <c r="AA460">
        <v>46</v>
      </c>
      <c r="AB460">
        <v>2782</v>
      </c>
      <c r="AC460" s="28">
        <f>ifood_data[[#This Row],[Customer_Days]]/365</f>
        <v>7.6219178082191785</v>
      </c>
      <c r="AD460">
        <v>0</v>
      </c>
      <c r="AE460">
        <v>0</v>
      </c>
      <c r="AF460">
        <v>0</v>
      </c>
      <c r="AG460">
        <v>1</v>
      </c>
      <c r="AH460">
        <v>0</v>
      </c>
      <c r="AI460">
        <v>0</v>
      </c>
      <c r="AJ460">
        <v>0</v>
      </c>
      <c r="AK460">
        <v>1</v>
      </c>
      <c r="AL460">
        <v>0</v>
      </c>
      <c r="AM460">
        <v>0</v>
      </c>
      <c r="AN460">
        <v>1884</v>
      </c>
      <c r="AO460">
        <v>1847</v>
      </c>
      <c r="AP460">
        <f>ifood_data[[#This Row],[MntTotal]]-ifood_data[[#This Row],[MntRegularProds]]</f>
        <v>37</v>
      </c>
      <c r="AQ460">
        <v>1</v>
      </c>
      <c r="AR460">
        <f>IF(SUM(ifood_data[[#This Row],[Kidhome]:[Teenhome]])&gt;0,1,0)</f>
        <v>1</v>
      </c>
      <c r="AS460" t="str">
        <f>IF(SUM(ifood_data[[#This Row],[Kidhome]:[Teenhome]])&gt;0,"Has Family","No Family")</f>
        <v>Has Family</v>
      </c>
      <c r="AT460" t="str">
        <f>IF(ifood_data[[#This Row],[marital_Married]]=1,"Married", (IF(ifood_data[[#This Row],[marital_Single]]=1,"Single",(IF(ifood_data[[#This Row],[marital_Divorced]]=1,"Divorced",(IF(ifood_data[[#This Row],[marital_Together]]=1,"Living Together",(IF(ifood_data[[#This Row],[marital_Widow]]=1,"Widow","Other")))))))))</f>
        <v>Living Together</v>
      </c>
      <c r="AU460" t="str">
        <f>IF(ifood_data[[#This Row],[education_Basic]]=1,"High School",(IF(ifood_data[[#This Row],[education_Graduation]]=1,"Undergraduate Degree",(IF(SUM(AM460,AL460,AI460)&gt;0,"Master's Degree or Higher","Other")))))</f>
        <v>Undergraduate Degree</v>
      </c>
      <c r="AV460" t="str">
        <f>IF(ifood_data[[#All],[Income]]&gt;75000,"75K+",(IF(ifood_data[[#All],[Income]]&gt;50000,"50K-75K",(IF(ifood_data[[#All],[Income]]&gt;35000,"35K-50K","&lt;35K")))))</f>
        <v>75K+</v>
      </c>
      <c r="AW460" t="str">
        <f>IF(ifood_data[[#All],[Age]]&gt;60,"60+",(IF(ifood_data[[#All],[Age]]&gt;50,"50-60",(IF(ifood_data[[#All],[Age]]&gt;40,"40-50",(IF(ifood_data[[#All],[Age]]&gt;30,"30-40","&lt;30")))))))</f>
        <v>40-50</v>
      </c>
      <c r="AX460">
        <f t="shared" si="28"/>
        <v>35</v>
      </c>
      <c r="AY460">
        <f t="shared" si="29"/>
        <v>1.9999999999999996</v>
      </c>
      <c r="AZ460">
        <f t="shared" si="30"/>
        <v>9</v>
      </c>
      <c r="BA460">
        <f t="shared" si="31"/>
        <v>9</v>
      </c>
      <c r="BB460">
        <f>SUM(ifood_data[[#This Row],[Recency Score]:[Monetary Score]])</f>
        <v>20</v>
      </c>
      <c r="BC460">
        <f>(_xlfn.PERCENTRANK.INC(ifood_data[[#All],[RFM]],ifood_data[[#This Row],[RFM]],1))*10</f>
        <v>7</v>
      </c>
      <c r="BD460" t="str">
        <f>VLOOKUP(ifood_data[[#This Row],[RFM Score]],'RFM Analysis'!$A$3:$B$14,2,FALSE)</f>
        <v>Loyal Customer</v>
      </c>
      <c r="BE460">
        <f>'Regression Models'!$B$101+'Regression Models'!$B$102*ifood_data[[#This Row],[Income]]+'Regression Models'!$B$103*ifood_data[[#This Row],[Age]]+'Regression Models'!$B$104*ifood_data[[#This Row],[Family]]</f>
        <v>981.56544105281512</v>
      </c>
      <c r="BF460" t="str">
        <f>IF(ifood_data[[#This Row],[AcceptedCmpOverall]]=1,"Campaign Respondent","Non-respondent")</f>
        <v>Campaign Respondent</v>
      </c>
    </row>
    <row r="461" spans="1:58" x14ac:dyDescent="0.35">
      <c r="A461">
        <v>1378</v>
      </c>
      <c r="B461">
        <v>75484</v>
      </c>
      <c r="C461">
        <v>0</v>
      </c>
      <c r="D461">
        <v>1</v>
      </c>
      <c r="E461">
        <v>50</v>
      </c>
      <c r="F461">
        <v>378</v>
      </c>
      <c r="G461">
        <v>97</v>
      </c>
      <c r="H461">
        <v>259</v>
      </c>
      <c r="I461">
        <v>197</v>
      </c>
      <c r="J461">
        <v>194</v>
      </c>
      <c r="K461">
        <v>34</v>
      </c>
      <c r="L461">
        <v>2</v>
      </c>
      <c r="M461">
        <v>7</v>
      </c>
      <c r="N461">
        <v>3</v>
      </c>
      <c r="O461">
        <v>6</v>
      </c>
      <c r="P461">
        <v>4</v>
      </c>
      <c r="Q461">
        <v>0</v>
      </c>
      <c r="R461">
        <v>0</v>
      </c>
      <c r="S461">
        <v>0</v>
      </c>
      <c r="T461">
        <v>0</v>
      </c>
      <c r="U461">
        <v>0</v>
      </c>
      <c r="V461">
        <f>IF(SUM(ifood_data[[#This Row],[AcceptedCmp1]:[AcceptedCmp5]])&gt;0,1,0)</f>
        <v>0</v>
      </c>
      <c r="W461">
        <v>0</v>
      </c>
      <c r="X461">
        <v>3</v>
      </c>
      <c r="Y461">
        <v>11</v>
      </c>
      <c r="Z461">
        <v>0</v>
      </c>
      <c r="AA461">
        <v>44</v>
      </c>
      <c r="AB461">
        <v>2855</v>
      </c>
      <c r="AC461" s="28">
        <f>ifood_data[[#This Row],[Customer_Days]]/365</f>
        <v>7.8219178082191778</v>
      </c>
      <c r="AD461">
        <v>0</v>
      </c>
      <c r="AE461">
        <v>0</v>
      </c>
      <c r="AF461">
        <v>0</v>
      </c>
      <c r="AG461">
        <v>1</v>
      </c>
      <c r="AH461">
        <v>0</v>
      </c>
      <c r="AI461">
        <v>1</v>
      </c>
      <c r="AJ461">
        <v>0</v>
      </c>
      <c r="AK461">
        <v>0</v>
      </c>
      <c r="AL461">
        <v>0</v>
      </c>
      <c r="AM461">
        <v>0</v>
      </c>
      <c r="AN461">
        <v>1125</v>
      </c>
      <c r="AO461">
        <v>1091</v>
      </c>
      <c r="AP461">
        <f>ifood_data[[#This Row],[MntTotal]]-ifood_data[[#This Row],[MntRegularProds]]</f>
        <v>34</v>
      </c>
      <c r="AQ461">
        <v>0</v>
      </c>
      <c r="AR461">
        <f>IF(SUM(ifood_data[[#This Row],[Kidhome]:[Teenhome]])&gt;0,1,0)</f>
        <v>1</v>
      </c>
      <c r="AS461" t="str">
        <f>IF(SUM(ifood_data[[#This Row],[Kidhome]:[Teenhome]])&gt;0,"Has Family","No Family")</f>
        <v>Has Family</v>
      </c>
      <c r="AT461" t="str">
        <f>IF(ifood_data[[#This Row],[marital_Married]]=1,"Married", (IF(ifood_data[[#This Row],[marital_Single]]=1,"Single",(IF(ifood_data[[#This Row],[marital_Divorced]]=1,"Divorced",(IF(ifood_data[[#This Row],[marital_Together]]=1,"Living Together",(IF(ifood_data[[#This Row],[marital_Widow]]=1,"Widow","Other")))))))))</f>
        <v>Living Together</v>
      </c>
      <c r="AU461" t="str">
        <f>IF(ifood_data[[#This Row],[education_Basic]]=1,"High School",(IF(ifood_data[[#This Row],[education_Graduation]]=1,"Undergraduate Degree",(IF(SUM(AM461,AL461,AI461)&gt;0,"Master's Degree or Higher","Other")))))</f>
        <v>Master's Degree or Higher</v>
      </c>
      <c r="AV461" t="str">
        <f>IF(ifood_data[[#All],[Income]]&gt;75000,"75K+",(IF(ifood_data[[#All],[Income]]&gt;50000,"50K-75K",(IF(ifood_data[[#All],[Income]]&gt;35000,"35K-50K","&lt;35K")))))</f>
        <v>75K+</v>
      </c>
      <c r="AW461" t="str">
        <f>IF(ifood_data[[#All],[Age]]&gt;60,"60+",(IF(ifood_data[[#All],[Age]]&gt;50,"50-60",(IF(ifood_data[[#All],[Age]]&gt;40,"40-50",(IF(ifood_data[[#All],[Age]]&gt;30,"30-40","&lt;30")))))))</f>
        <v>40-50</v>
      </c>
      <c r="AX461">
        <f t="shared" si="28"/>
        <v>22</v>
      </c>
      <c r="AY461">
        <f t="shared" si="29"/>
        <v>5</v>
      </c>
      <c r="AZ461">
        <f t="shared" si="30"/>
        <v>5</v>
      </c>
      <c r="BA461">
        <f t="shared" si="31"/>
        <v>8</v>
      </c>
      <c r="BB461">
        <f>SUM(ifood_data[[#This Row],[Recency Score]:[Monetary Score]])</f>
        <v>18</v>
      </c>
      <c r="BC461">
        <f>(_xlfn.PERCENTRANK.INC(ifood_data[[#All],[RFM]],ifood_data[[#This Row],[RFM]],1))*10</f>
        <v>6</v>
      </c>
      <c r="BD461" t="str">
        <f>VLOOKUP(ifood_data[[#This Row],[RFM Score]],'RFM Analysis'!$A$3:$B$14,2,FALSE)</f>
        <v>Promising</v>
      </c>
      <c r="BE461">
        <f>'Regression Models'!$B$101+'Regression Models'!$B$102*ifood_data[[#This Row],[Income]]+'Regression Models'!$B$103*ifood_data[[#This Row],[Age]]+'Regression Models'!$B$104*ifood_data[[#This Row],[Family]]</f>
        <v>980.79356775523377</v>
      </c>
      <c r="BF461" t="str">
        <f>IF(ifood_data[[#This Row],[AcceptedCmpOverall]]=1,"Campaign Respondent","Non-respondent")</f>
        <v>Non-respondent</v>
      </c>
    </row>
    <row r="462" spans="1:58" x14ac:dyDescent="0.35">
      <c r="A462">
        <v>1882</v>
      </c>
      <c r="B462">
        <v>77610</v>
      </c>
      <c r="C462">
        <v>0</v>
      </c>
      <c r="D462">
        <v>1</v>
      </c>
      <c r="E462">
        <v>70</v>
      </c>
      <c r="F462">
        <v>1245</v>
      </c>
      <c r="G462">
        <v>33</v>
      </c>
      <c r="H462">
        <v>332</v>
      </c>
      <c r="I462">
        <v>21</v>
      </c>
      <c r="J462">
        <v>33</v>
      </c>
      <c r="K462">
        <v>16</v>
      </c>
      <c r="L462">
        <v>2</v>
      </c>
      <c r="M462">
        <v>4</v>
      </c>
      <c r="N462">
        <v>7</v>
      </c>
      <c r="O462">
        <v>4</v>
      </c>
      <c r="P462">
        <v>7</v>
      </c>
      <c r="Q462">
        <v>0</v>
      </c>
      <c r="R462">
        <v>0</v>
      </c>
      <c r="S462">
        <v>0</v>
      </c>
      <c r="T462">
        <v>0</v>
      </c>
      <c r="U462">
        <v>0</v>
      </c>
      <c r="V462">
        <f>IF(SUM(ifood_data[[#This Row],[AcceptedCmp1]:[AcceptedCmp5]])&gt;0,1,0)</f>
        <v>0</v>
      </c>
      <c r="W462">
        <v>0</v>
      </c>
      <c r="X462">
        <v>3</v>
      </c>
      <c r="Y462">
        <v>11</v>
      </c>
      <c r="Z462">
        <v>0</v>
      </c>
      <c r="AA462">
        <v>68</v>
      </c>
      <c r="AB462">
        <v>2767</v>
      </c>
      <c r="AC462" s="28">
        <f>ifood_data[[#This Row],[Customer_Days]]/365</f>
        <v>7.580821917808219</v>
      </c>
      <c r="AD462">
        <v>0</v>
      </c>
      <c r="AE462">
        <v>1</v>
      </c>
      <c r="AF462">
        <v>0</v>
      </c>
      <c r="AG462">
        <v>0</v>
      </c>
      <c r="AH462">
        <v>0</v>
      </c>
      <c r="AI462">
        <v>0</v>
      </c>
      <c r="AJ462">
        <v>0</v>
      </c>
      <c r="AK462">
        <v>0</v>
      </c>
      <c r="AL462">
        <v>0</v>
      </c>
      <c r="AM462">
        <v>1</v>
      </c>
      <c r="AN462">
        <v>1664</v>
      </c>
      <c r="AO462">
        <v>1648</v>
      </c>
      <c r="AP462">
        <f>ifood_data[[#This Row],[MntTotal]]-ifood_data[[#This Row],[MntRegularProds]]</f>
        <v>16</v>
      </c>
      <c r="AQ462">
        <v>0</v>
      </c>
      <c r="AR462">
        <f>IF(SUM(ifood_data[[#This Row],[Kidhome]:[Teenhome]])&gt;0,1,0)</f>
        <v>1</v>
      </c>
      <c r="AS462" t="str">
        <f>IF(SUM(ifood_data[[#This Row],[Kidhome]:[Teenhome]])&gt;0,"Has Family","No Family")</f>
        <v>Has Family</v>
      </c>
      <c r="AT462" t="str">
        <f>IF(ifood_data[[#This Row],[marital_Married]]=1,"Married", (IF(ifood_data[[#This Row],[marital_Single]]=1,"Single",(IF(ifood_data[[#This Row],[marital_Divorced]]=1,"Divorced",(IF(ifood_data[[#This Row],[marital_Together]]=1,"Living Together",(IF(ifood_data[[#This Row],[marital_Widow]]=1,"Widow","Other")))))))))</f>
        <v>Married</v>
      </c>
      <c r="AU462" t="str">
        <f>IF(ifood_data[[#This Row],[education_Basic]]=1,"High School",(IF(ifood_data[[#This Row],[education_Graduation]]=1,"Undergraduate Degree",(IF(SUM(AM462,AL462,AI462)&gt;0,"Master's Degree or Higher","Other")))))</f>
        <v>Master's Degree or Higher</v>
      </c>
      <c r="AV462" t="str">
        <f>IF(ifood_data[[#All],[Income]]&gt;75000,"75K+",(IF(ifood_data[[#All],[Income]]&gt;50000,"50K-75K",(IF(ifood_data[[#All],[Income]]&gt;35000,"35K-50K","&lt;35K")))))</f>
        <v>75K+</v>
      </c>
      <c r="AW462" t="str">
        <f>IF(ifood_data[[#All],[Age]]&gt;60,"60+",(IF(ifood_data[[#All],[Age]]&gt;50,"50-60",(IF(ifood_data[[#All],[Age]]&gt;40,"40-50",(IF(ifood_data[[#All],[Age]]&gt;30,"30-40","&lt;30")))))))</f>
        <v>60+</v>
      </c>
      <c r="AX462">
        <f t="shared" si="28"/>
        <v>24</v>
      </c>
      <c r="AY462">
        <f t="shared" si="29"/>
        <v>3.0000000000000004</v>
      </c>
      <c r="AZ462">
        <f t="shared" si="30"/>
        <v>6</v>
      </c>
      <c r="BA462">
        <f t="shared" si="31"/>
        <v>9</v>
      </c>
      <c r="BB462">
        <f>SUM(ifood_data[[#This Row],[Recency Score]:[Monetary Score]])</f>
        <v>18</v>
      </c>
      <c r="BC462">
        <f>(_xlfn.PERCENTRANK.INC(ifood_data[[#All],[RFM]],ifood_data[[#This Row],[RFM]],1))*10</f>
        <v>6</v>
      </c>
      <c r="BD462" t="str">
        <f>VLOOKUP(ifood_data[[#This Row],[RFM Score]],'RFM Analysis'!$A$3:$B$14,2,FALSE)</f>
        <v>Promising</v>
      </c>
      <c r="BE462">
        <f>'Regression Models'!$B$101+'Regression Models'!$B$102*ifood_data[[#This Row],[Income]]+'Regression Models'!$B$103*ifood_data[[#This Row],[Age]]+'Regression Models'!$B$104*ifood_data[[#This Row],[Family]]</f>
        <v>980.06555093570012</v>
      </c>
      <c r="BF462" t="str">
        <f>IF(ifood_data[[#This Row],[AcceptedCmpOverall]]=1,"Campaign Respondent","Non-respondent")</f>
        <v>Non-respondent</v>
      </c>
    </row>
    <row r="463" spans="1:58" x14ac:dyDescent="0.35">
      <c r="A463">
        <v>1857</v>
      </c>
      <c r="B463">
        <v>75330</v>
      </c>
      <c r="C463">
        <v>1</v>
      </c>
      <c r="D463">
        <v>1</v>
      </c>
      <c r="E463">
        <v>94</v>
      </c>
      <c r="F463">
        <v>555</v>
      </c>
      <c r="G463">
        <v>82</v>
      </c>
      <c r="H463">
        <v>257</v>
      </c>
      <c r="I463">
        <v>93</v>
      </c>
      <c r="J463">
        <v>61</v>
      </c>
      <c r="K463">
        <v>61</v>
      </c>
      <c r="L463">
        <v>4</v>
      </c>
      <c r="M463">
        <v>10</v>
      </c>
      <c r="N463">
        <v>3</v>
      </c>
      <c r="O463">
        <v>12</v>
      </c>
      <c r="P463">
        <v>6</v>
      </c>
      <c r="Q463">
        <v>0</v>
      </c>
      <c r="R463">
        <v>0</v>
      </c>
      <c r="S463">
        <v>0</v>
      </c>
      <c r="T463">
        <v>0</v>
      </c>
      <c r="U463">
        <v>0</v>
      </c>
      <c r="V463">
        <f>IF(SUM(ifood_data[[#This Row],[AcceptedCmp1]:[AcceptedCmp5]])&gt;0,1,0)</f>
        <v>0</v>
      </c>
      <c r="W463">
        <v>0</v>
      </c>
      <c r="X463">
        <v>3</v>
      </c>
      <c r="Y463">
        <v>11</v>
      </c>
      <c r="Z463">
        <v>0</v>
      </c>
      <c r="AA463">
        <v>43</v>
      </c>
      <c r="AB463">
        <v>2792</v>
      </c>
      <c r="AC463" s="28">
        <f>ifood_data[[#This Row],[Customer_Days]]/365</f>
        <v>7.6493150684931503</v>
      </c>
      <c r="AD463">
        <v>0</v>
      </c>
      <c r="AE463">
        <v>1</v>
      </c>
      <c r="AF463">
        <v>0</v>
      </c>
      <c r="AG463">
        <v>0</v>
      </c>
      <c r="AH463">
        <v>0</v>
      </c>
      <c r="AI463">
        <v>0</v>
      </c>
      <c r="AJ463">
        <v>0</v>
      </c>
      <c r="AK463">
        <v>1</v>
      </c>
      <c r="AL463">
        <v>0</v>
      </c>
      <c r="AM463">
        <v>0</v>
      </c>
      <c r="AN463">
        <v>1048</v>
      </c>
      <c r="AO463">
        <v>987</v>
      </c>
      <c r="AP463">
        <f>ifood_data[[#This Row],[MntTotal]]-ifood_data[[#This Row],[MntRegularProds]]</f>
        <v>61</v>
      </c>
      <c r="AQ463">
        <v>0</v>
      </c>
      <c r="AR463">
        <f>IF(SUM(ifood_data[[#This Row],[Kidhome]:[Teenhome]])&gt;0,1,0)</f>
        <v>1</v>
      </c>
      <c r="AS463" t="str">
        <f>IF(SUM(ifood_data[[#This Row],[Kidhome]:[Teenhome]])&gt;0,"Has Family","No Family")</f>
        <v>Has Family</v>
      </c>
      <c r="AT463" t="str">
        <f>IF(ifood_data[[#This Row],[marital_Married]]=1,"Married", (IF(ifood_data[[#This Row],[marital_Single]]=1,"Single",(IF(ifood_data[[#This Row],[marital_Divorced]]=1,"Divorced",(IF(ifood_data[[#This Row],[marital_Together]]=1,"Living Together",(IF(ifood_data[[#This Row],[marital_Widow]]=1,"Widow","Other")))))))))</f>
        <v>Married</v>
      </c>
      <c r="AU463" t="str">
        <f>IF(ifood_data[[#This Row],[education_Basic]]=1,"High School",(IF(ifood_data[[#This Row],[education_Graduation]]=1,"Undergraduate Degree",(IF(SUM(AM463,AL463,AI463)&gt;0,"Master's Degree or Higher","Other")))))</f>
        <v>Undergraduate Degree</v>
      </c>
      <c r="AV463" t="str">
        <f>IF(ifood_data[[#All],[Income]]&gt;75000,"75K+",(IF(ifood_data[[#All],[Income]]&gt;50000,"50K-75K",(IF(ifood_data[[#All],[Income]]&gt;35000,"35K-50K","&lt;35K")))))</f>
        <v>75K+</v>
      </c>
      <c r="AW463" t="str">
        <f>IF(ifood_data[[#All],[Age]]&gt;60,"60+",(IF(ifood_data[[#All],[Age]]&gt;50,"50-60",(IF(ifood_data[[#All],[Age]]&gt;40,"40-50",(IF(ifood_data[[#All],[Age]]&gt;30,"30-40","&lt;30")))))))</f>
        <v>40-50</v>
      </c>
      <c r="AX463">
        <f t="shared" si="28"/>
        <v>35</v>
      </c>
      <c r="AY463">
        <f t="shared" si="29"/>
        <v>0.99999999999999978</v>
      </c>
      <c r="AZ463">
        <f t="shared" si="30"/>
        <v>9</v>
      </c>
      <c r="BA463">
        <f t="shared" si="31"/>
        <v>7</v>
      </c>
      <c r="BB463">
        <f>SUM(ifood_data[[#This Row],[Recency Score]:[Monetary Score]])</f>
        <v>17</v>
      </c>
      <c r="BC463">
        <f>(_xlfn.PERCENTRANK.INC(ifood_data[[#All],[RFM]],ifood_data[[#This Row],[RFM]],1))*10</f>
        <v>6</v>
      </c>
      <c r="BD463" t="str">
        <f>VLOOKUP(ifood_data[[#This Row],[RFM Score]],'RFM Analysis'!$A$3:$B$14,2,FALSE)</f>
        <v>Promising</v>
      </c>
      <c r="BE463">
        <f>'Regression Models'!$B$101+'Regression Models'!$B$102*ifood_data[[#This Row],[Income]]+'Regression Models'!$B$103*ifood_data[[#This Row],[Age]]+'Regression Models'!$B$104*ifood_data[[#This Row],[Family]]</f>
        <v>979.49013653996747</v>
      </c>
      <c r="BF463" t="str">
        <f>IF(ifood_data[[#This Row],[AcceptedCmpOverall]]=1,"Campaign Respondent","Non-respondent")</f>
        <v>Non-respondent</v>
      </c>
    </row>
    <row r="464" spans="1:58" x14ac:dyDescent="0.35">
      <c r="A464">
        <v>1170</v>
      </c>
      <c r="B464">
        <v>76624</v>
      </c>
      <c r="C464">
        <v>0</v>
      </c>
      <c r="D464">
        <v>1</v>
      </c>
      <c r="E464">
        <v>68</v>
      </c>
      <c r="F464">
        <v>411</v>
      </c>
      <c r="G464">
        <v>106</v>
      </c>
      <c r="H464">
        <v>147</v>
      </c>
      <c r="I464">
        <v>54</v>
      </c>
      <c r="J464">
        <v>115</v>
      </c>
      <c r="K464">
        <v>66</v>
      </c>
      <c r="L464">
        <v>1</v>
      </c>
      <c r="M464">
        <v>5</v>
      </c>
      <c r="N464">
        <v>10</v>
      </c>
      <c r="O464">
        <v>7</v>
      </c>
      <c r="P464">
        <v>1</v>
      </c>
      <c r="Q464">
        <v>0</v>
      </c>
      <c r="R464">
        <v>0</v>
      </c>
      <c r="S464">
        <v>1</v>
      </c>
      <c r="T464">
        <v>0</v>
      </c>
      <c r="U464">
        <v>0</v>
      </c>
      <c r="V464">
        <f>IF(SUM(ifood_data[[#This Row],[AcceptedCmp1]:[AcceptedCmp5]])&gt;0,1,0)</f>
        <v>1</v>
      </c>
      <c r="W464">
        <v>0</v>
      </c>
      <c r="X464">
        <v>3</v>
      </c>
      <c r="Y464">
        <v>11</v>
      </c>
      <c r="Z464">
        <v>0</v>
      </c>
      <c r="AA464">
        <v>58</v>
      </c>
      <c r="AB464">
        <v>2195</v>
      </c>
      <c r="AC464" s="28">
        <f>ifood_data[[#This Row],[Customer_Days]]/365</f>
        <v>6.0136986301369859</v>
      </c>
      <c r="AD464">
        <v>0</v>
      </c>
      <c r="AE464">
        <v>0</v>
      </c>
      <c r="AF464">
        <v>1</v>
      </c>
      <c r="AG464">
        <v>0</v>
      </c>
      <c r="AH464">
        <v>0</v>
      </c>
      <c r="AI464">
        <v>0</v>
      </c>
      <c r="AJ464">
        <v>0</v>
      </c>
      <c r="AK464">
        <v>1</v>
      </c>
      <c r="AL464">
        <v>0</v>
      </c>
      <c r="AM464">
        <v>0</v>
      </c>
      <c r="AN464">
        <v>833</v>
      </c>
      <c r="AO464">
        <v>767</v>
      </c>
      <c r="AP464">
        <f>ifood_data[[#This Row],[MntTotal]]-ifood_data[[#This Row],[MntRegularProds]]</f>
        <v>66</v>
      </c>
      <c r="AQ464">
        <v>1</v>
      </c>
      <c r="AR464">
        <f>IF(SUM(ifood_data[[#This Row],[Kidhome]:[Teenhome]])&gt;0,1,0)</f>
        <v>1</v>
      </c>
      <c r="AS464" t="str">
        <f>IF(SUM(ifood_data[[#This Row],[Kidhome]:[Teenhome]])&gt;0,"Has Family","No Family")</f>
        <v>Has Family</v>
      </c>
      <c r="AT464" t="str">
        <f>IF(ifood_data[[#This Row],[marital_Married]]=1,"Married", (IF(ifood_data[[#This Row],[marital_Single]]=1,"Single",(IF(ifood_data[[#This Row],[marital_Divorced]]=1,"Divorced",(IF(ifood_data[[#This Row],[marital_Together]]=1,"Living Together",(IF(ifood_data[[#This Row],[marital_Widow]]=1,"Widow","Other")))))))))</f>
        <v>Single</v>
      </c>
      <c r="AU464" t="str">
        <f>IF(ifood_data[[#This Row],[education_Basic]]=1,"High School",(IF(ifood_data[[#This Row],[education_Graduation]]=1,"Undergraduate Degree",(IF(SUM(AM464,AL464,AI464)&gt;0,"Master's Degree or Higher","Other")))))</f>
        <v>Undergraduate Degree</v>
      </c>
      <c r="AV464" t="str">
        <f>IF(ifood_data[[#All],[Income]]&gt;75000,"75K+",(IF(ifood_data[[#All],[Income]]&gt;50000,"50K-75K",(IF(ifood_data[[#All],[Income]]&gt;35000,"35K-50K","&lt;35K")))))</f>
        <v>75K+</v>
      </c>
      <c r="AW464" t="str">
        <f>IF(ifood_data[[#All],[Age]]&gt;60,"60+",(IF(ifood_data[[#All],[Age]]&gt;50,"50-60",(IF(ifood_data[[#All],[Age]]&gt;40,"40-50",(IF(ifood_data[[#All],[Age]]&gt;30,"30-40","&lt;30")))))))</f>
        <v>50-60</v>
      </c>
      <c r="AX464">
        <f t="shared" si="28"/>
        <v>24</v>
      </c>
      <c r="AY464">
        <f t="shared" si="29"/>
        <v>4</v>
      </c>
      <c r="AZ464">
        <f t="shared" si="30"/>
        <v>6</v>
      </c>
      <c r="BA464">
        <f t="shared" si="31"/>
        <v>6</v>
      </c>
      <c r="BB464">
        <f>SUM(ifood_data[[#This Row],[Recency Score]:[Monetary Score]])</f>
        <v>16</v>
      </c>
      <c r="BC464">
        <f>(_xlfn.PERCENTRANK.INC(ifood_data[[#All],[RFM]],ifood_data[[#This Row],[RFM]],1))*10</f>
        <v>5</v>
      </c>
      <c r="BD464" t="str">
        <f>VLOOKUP(ifood_data[[#This Row],[RFM Score]],'RFM Analysis'!$A$3:$B$14,2,FALSE)</f>
        <v>Promising</v>
      </c>
      <c r="BE464">
        <f>'Regression Models'!$B$101+'Regression Models'!$B$102*ifood_data[[#This Row],[Income]]+'Regression Models'!$B$103*ifood_data[[#This Row],[Age]]+'Regression Models'!$B$104*ifood_data[[#This Row],[Family]]</f>
        <v>978.32661633475857</v>
      </c>
      <c r="BF464" t="str">
        <f>IF(ifood_data[[#This Row],[AcceptedCmpOverall]]=1,"Campaign Respondent","Non-respondent")</f>
        <v>Campaign Respondent</v>
      </c>
    </row>
    <row r="465" spans="1:58" x14ac:dyDescent="0.35">
      <c r="A465">
        <v>1382</v>
      </c>
      <c r="B465">
        <v>76998</v>
      </c>
      <c r="C465">
        <v>0</v>
      </c>
      <c r="D465">
        <v>1</v>
      </c>
      <c r="E465">
        <v>85</v>
      </c>
      <c r="F465">
        <v>1449</v>
      </c>
      <c r="G465">
        <v>89</v>
      </c>
      <c r="H465">
        <v>161</v>
      </c>
      <c r="I465">
        <v>69</v>
      </c>
      <c r="J465">
        <v>35</v>
      </c>
      <c r="K465">
        <v>107</v>
      </c>
      <c r="L465">
        <v>2</v>
      </c>
      <c r="M465">
        <v>11</v>
      </c>
      <c r="N465">
        <v>8</v>
      </c>
      <c r="O465">
        <v>8</v>
      </c>
      <c r="P465">
        <v>6</v>
      </c>
      <c r="Q465">
        <v>0</v>
      </c>
      <c r="R465">
        <v>0</v>
      </c>
      <c r="S465">
        <v>0</v>
      </c>
      <c r="T465">
        <v>0</v>
      </c>
      <c r="U465">
        <v>1</v>
      </c>
      <c r="V465">
        <f>IF(SUM(ifood_data[[#This Row],[AcceptedCmp1]:[AcceptedCmp5]])&gt;0,1,0)</f>
        <v>1</v>
      </c>
      <c r="W465">
        <v>0</v>
      </c>
      <c r="X465">
        <v>3</v>
      </c>
      <c r="Y465">
        <v>11</v>
      </c>
      <c r="Z465">
        <v>0</v>
      </c>
      <c r="AA465">
        <v>65</v>
      </c>
      <c r="AB465">
        <v>2693</v>
      </c>
      <c r="AC465" s="28">
        <f>ifood_data[[#This Row],[Customer_Days]]/365</f>
        <v>7.3780821917808215</v>
      </c>
      <c r="AD465">
        <v>0</v>
      </c>
      <c r="AE465">
        <v>1</v>
      </c>
      <c r="AF465">
        <v>0</v>
      </c>
      <c r="AG465">
        <v>0</v>
      </c>
      <c r="AH465">
        <v>0</v>
      </c>
      <c r="AI465">
        <v>0</v>
      </c>
      <c r="AJ465">
        <v>0</v>
      </c>
      <c r="AK465">
        <v>1</v>
      </c>
      <c r="AL465">
        <v>0</v>
      </c>
      <c r="AM465">
        <v>0</v>
      </c>
      <c r="AN465">
        <v>1803</v>
      </c>
      <c r="AO465">
        <v>1696</v>
      </c>
      <c r="AP465">
        <f>ifood_data[[#This Row],[MntTotal]]-ifood_data[[#This Row],[MntRegularProds]]</f>
        <v>107</v>
      </c>
      <c r="AQ465">
        <v>1</v>
      </c>
      <c r="AR465">
        <f>IF(SUM(ifood_data[[#This Row],[Kidhome]:[Teenhome]])&gt;0,1,0)</f>
        <v>1</v>
      </c>
      <c r="AS465" t="str">
        <f>IF(SUM(ifood_data[[#This Row],[Kidhome]:[Teenhome]])&gt;0,"Has Family","No Family")</f>
        <v>Has Family</v>
      </c>
      <c r="AT465" t="str">
        <f>IF(ifood_data[[#This Row],[marital_Married]]=1,"Married", (IF(ifood_data[[#This Row],[marital_Single]]=1,"Single",(IF(ifood_data[[#This Row],[marital_Divorced]]=1,"Divorced",(IF(ifood_data[[#This Row],[marital_Together]]=1,"Living Together",(IF(ifood_data[[#This Row],[marital_Widow]]=1,"Widow","Other")))))))))</f>
        <v>Married</v>
      </c>
      <c r="AU465" t="str">
        <f>IF(ifood_data[[#This Row],[education_Basic]]=1,"High School",(IF(ifood_data[[#This Row],[education_Graduation]]=1,"Undergraduate Degree",(IF(SUM(AM465,AL465,AI465)&gt;0,"Master's Degree or Higher","Other")))))</f>
        <v>Undergraduate Degree</v>
      </c>
      <c r="AV465" t="str">
        <f>IF(ifood_data[[#All],[Income]]&gt;75000,"75K+",(IF(ifood_data[[#All],[Income]]&gt;50000,"50K-75K",(IF(ifood_data[[#All],[Income]]&gt;35000,"35K-50K","&lt;35K")))))</f>
        <v>75K+</v>
      </c>
      <c r="AW465" t="str">
        <f>IF(ifood_data[[#All],[Age]]&gt;60,"60+",(IF(ifood_data[[#All],[Age]]&gt;50,"50-60",(IF(ifood_data[[#All],[Age]]&gt;40,"40-50",(IF(ifood_data[[#All],[Age]]&gt;30,"30-40","&lt;30")))))))</f>
        <v>60+</v>
      </c>
      <c r="AX465">
        <f t="shared" si="28"/>
        <v>35</v>
      </c>
      <c r="AY465">
        <f t="shared" si="29"/>
        <v>1.9999999999999996</v>
      </c>
      <c r="AZ465">
        <f t="shared" si="30"/>
        <v>9</v>
      </c>
      <c r="BA465">
        <f t="shared" si="31"/>
        <v>9</v>
      </c>
      <c r="BB465">
        <f>SUM(ifood_data[[#This Row],[Recency Score]:[Monetary Score]])</f>
        <v>20</v>
      </c>
      <c r="BC465">
        <f>(_xlfn.PERCENTRANK.INC(ifood_data[[#All],[RFM]],ifood_data[[#This Row],[RFM]],1))*10</f>
        <v>7</v>
      </c>
      <c r="BD465" t="str">
        <f>VLOOKUP(ifood_data[[#This Row],[RFM Score]],'RFM Analysis'!$A$3:$B$14,2,FALSE)</f>
        <v>Loyal Customer</v>
      </c>
      <c r="BE465">
        <f>'Regression Models'!$B$101+'Regression Models'!$B$102*ifood_data[[#This Row],[Income]]+'Regression Models'!$B$103*ifood_data[[#This Row],[Age]]+'Regression Models'!$B$104*ifood_data[[#This Row],[Family]]</f>
        <v>973.09694206831671</v>
      </c>
      <c r="BF465" t="str">
        <f>IF(ifood_data[[#This Row],[AcceptedCmpOverall]]=1,"Campaign Respondent","Non-respondent")</f>
        <v>Campaign Respondent</v>
      </c>
    </row>
    <row r="466" spans="1:58" x14ac:dyDescent="0.35">
      <c r="A466">
        <v>867</v>
      </c>
      <c r="B466">
        <v>62820</v>
      </c>
      <c r="C466">
        <v>0</v>
      </c>
      <c r="D466">
        <v>0</v>
      </c>
      <c r="E466">
        <v>51</v>
      </c>
      <c r="F466">
        <v>398</v>
      </c>
      <c r="G466">
        <v>61</v>
      </c>
      <c r="H466">
        <v>265</v>
      </c>
      <c r="I466">
        <v>138</v>
      </c>
      <c r="J466">
        <v>61</v>
      </c>
      <c r="K466">
        <v>53</v>
      </c>
      <c r="L466">
        <v>1</v>
      </c>
      <c r="M466">
        <v>3</v>
      </c>
      <c r="N466">
        <v>4</v>
      </c>
      <c r="O466">
        <v>6</v>
      </c>
      <c r="P466">
        <v>1</v>
      </c>
      <c r="Q466">
        <v>0</v>
      </c>
      <c r="R466">
        <v>0</v>
      </c>
      <c r="S466">
        <v>0</v>
      </c>
      <c r="T466">
        <v>0</v>
      </c>
      <c r="U466">
        <v>0</v>
      </c>
      <c r="V466">
        <f>IF(SUM(ifood_data[[#This Row],[AcceptedCmp1]:[AcceptedCmp5]])&gt;0,1,0)</f>
        <v>0</v>
      </c>
      <c r="W466">
        <v>0</v>
      </c>
      <c r="X466">
        <v>3</v>
      </c>
      <c r="Y466">
        <v>11</v>
      </c>
      <c r="Z466">
        <v>0</v>
      </c>
      <c r="AA466">
        <v>66</v>
      </c>
      <c r="AB466">
        <v>2573</v>
      </c>
      <c r="AC466" s="28">
        <f>ifood_data[[#This Row],[Customer_Days]]/365</f>
        <v>7.0493150684931507</v>
      </c>
      <c r="AD466">
        <v>0</v>
      </c>
      <c r="AE466">
        <v>1</v>
      </c>
      <c r="AF466">
        <v>0</v>
      </c>
      <c r="AG466">
        <v>0</v>
      </c>
      <c r="AH466">
        <v>0</v>
      </c>
      <c r="AI466">
        <v>0</v>
      </c>
      <c r="AJ466">
        <v>0</v>
      </c>
      <c r="AK466">
        <v>1</v>
      </c>
      <c r="AL466">
        <v>0</v>
      </c>
      <c r="AM466">
        <v>0</v>
      </c>
      <c r="AN466">
        <v>923</v>
      </c>
      <c r="AO466">
        <v>870</v>
      </c>
      <c r="AP466">
        <f>ifood_data[[#This Row],[MntTotal]]-ifood_data[[#This Row],[MntRegularProds]]</f>
        <v>53</v>
      </c>
      <c r="AQ466">
        <v>0</v>
      </c>
      <c r="AR466">
        <f>IF(SUM(ifood_data[[#This Row],[Kidhome]:[Teenhome]])&gt;0,1,0)</f>
        <v>0</v>
      </c>
      <c r="AS466" t="str">
        <f>IF(SUM(ifood_data[[#This Row],[Kidhome]:[Teenhome]])&gt;0,"Has Family","No Family")</f>
        <v>No Family</v>
      </c>
      <c r="AT466" t="str">
        <f>IF(ifood_data[[#This Row],[marital_Married]]=1,"Married", (IF(ifood_data[[#This Row],[marital_Single]]=1,"Single",(IF(ifood_data[[#This Row],[marital_Divorced]]=1,"Divorced",(IF(ifood_data[[#This Row],[marital_Together]]=1,"Living Together",(IF(ifood_data[[#This Row],[marital_Widow]]=1,"Widow","Other")))))))))</f>
        <v>Married</v>
      </c>
      <c r="AU466" t="str">
        <f>IF(ifood_data[[#This Row],[education_Basic]]=1,"High School",(IF(ifood_data[[#This Row],[education_Graduation]]=1,"Undergraduate Degree",(IF(SUM(AM466,AL466,AI466)&gt;0,"Master's Degree or Higher","Other")))))</f>
        <v>Undergraduate Degree</v>
      </c>
      <c r="AV466" t="str">
        <f>IF(ifood_data[[#All],[Income]]&gt;75000,"75K+",(IF(ifood_data[[#All],[Income]]&gt;50000,"50K-75K",(IF(ifood_data[[#All],[Income]]&gt;35000,"35K-50K","&lt;35K")))))</f>
        <v>50K-75K</v>
      </c>
      <c r="AW466" t="str">
        <f>IF(ifood_data[[#All],[Age]]&gt;60,"60+",(IF(ifood_data[[#All],[Age]]&gt;50,"50-60",(IF(ifood_data[[#All],[Age]]&gt;40,"40-50",(IF(ifood_data[[#All],[Age]]&gt;30,"30-40","&lt;30")))))))</f>
        <v>60+</v>
      </c>
      <c r="AX466">
        <f t="shared" si="28"/>
        <v>15</v>
      </c>
      <c r="AY466">
        <f t="shared" si="29"/>
        <v>5</v>
      </c>
      <c r="AZ466">
        <f t="shared" si="30"/>
        <v>2</v>
      </c>
      <c r="BA466">
        <f t="shared" si="31"/>
        <v>7</v>
      </c>
      <c r="BB466">
        <f>SUM(ifood_data[[#This Row],[Recency Score]:[Monetary Score]])</f>
        <v>14</v>
      </c>
      <c r="BC466">
        <f>(_xlfn.PERCENTRANK.INC(ifood_data[[#All],[RFM]],ifood_data[[#This Row],[RFM]],1))*10</f>
        <v>4</v>
      </c>
      <c r="BD466" t="str">
        <f>VLOOKUP(ifood_data[[#This Row],[RFM Score]],'RFM Analysis'!$A$3:$B$14,2,FALSE)</f>
        <v>At Risk</v>
      </c>
      <c r="BE466">
        <f>'Regression Models'!$B$101+'Regression Models'!$B$102*ifood_data[[#This Row],[Income]]+'Regression Models'!$B$103*ifood_data[[#This Row],[Age]]+'Regression Models'!$B$104*ifood_data[[#This Row],[Family]]</f>
        <v>971.80217931823961</v>
      </c>
      <c r="BF466" t="str">
        <f>IF(ifood_data[[#This Row],[AcceptedCmpOverall]]=1,"Campaign Respondent","Non-respondent")</f>
        <v>Non-respondent</v>
      </c>
    </row>
    <row r="467" spans="1:58" x14ac:dyDescent="0.35">
      <c r="A467">
        <v>502</v>
      </c>
      <c r="B467">
        <v>61839</v>
      </c>
      <c r="C467">
        <v>0</v>
      </c>
      <c r="D467">
        <v>0</v>
      </c>
      <c r="E467">
        <v>20</v>
      </c>
      <c r="F467">
        <v>1000</v>
      </c>
      <c r="G467">
        <v>155</v>
      </c>
      <c r="H467">
        <v>379</v>
      </c>
      <c r="I467">
        <v>224</v>
      </c>
      <c r="J467">
        <v>17</v>
      </c>
      <c r="K467">
        <v>120</v>
      </c>
      <c r="L467">
        <v>1</v>
      </c>
      <c r="M467">
        <v>4</v>
      </c>
      <c r="N467">
        <v>8</v>
      </c>
      <c r="O467">
        <v>4</v>
      </c>
      <c r="P467">
        <v>8</v>
      </c>
      <c r="Q467">
        <v>0</v>
      </c>
      <c r="R467">
        <v>0</v>
      </c>
      <c r="S467">
        <v>0</v>
      </c>
      <c r="T467">
        <v>0</v>
      </c>
      <c r="U467">
        <v>0</v>
      </c>
      <c r="V467">
        <f>IF(SUM(ifood_data[[#This Row],[AcceptedCmp1]:[AcceptedCmp5]])&gt;0,1,0)</f>
        <v>0</v>
      </c>
      <c r="W467">
        <v>0</v>
      </c>
      <c r="X467">
        <v>3</v>
      </c>
      <c r="Y467">
        <v>11</v>
      </c>
      <c r="Z467">
        <v>0</v>
      </c>
      <c r="AA467">
        <v>56</v>
      </c>
      <c r="AB467">
        <v>2845</v>
      </c>
      <c r="AC467" s="28">
        <f>ifood_data[[#This Row],[Customer_Days]]/365</f>
        <v>7.7945205479452051</v>
      </c>
      <c r="AD467">
        <v>0</v>
      </c>
      <c r="AE467">
        <v>0</v>
      </c>
      <c r="AF467">
        <v>1</v>
      </c>
      <c r="AG467">
        <v>0</v>
      </c>
      <c r="AH467">
        <v>0</v>
      </c>
      <c r="AI467">
        <v>0</v>
      </c>
      <c r="AJ467">
        <v>0</v>
      </c>
      <c r="AK467">
        <v>1</v>
      </c>
      <c r="AL467">
        <v>0</v>
      </c>
      <c r="AM467">
        <v>0</v>
      </c>
      <c r="AN467">
        <v>1775</v>
      </c>
      <c r="AO467">
        <v>1655</v>
      </c>
      <c r="AP467">
        <f>ifood_data[[#This Row],[MntTotal]]-ifood_data[[#This Row],[MntRegularProds]]</f>
        <v>120</v>
      </c>
      <c r="AQ467">
        <v>0</v>
      </c>
      <c r="AR467">
        <f>IF(SUM(ifood_data[[#This Row],[Kidhome]:[Teenhome]])&gt;0,1,0)</f>
        <v>0</v>
      </c>
      <c r="AS467" t="str">
        <f>IF(SUM(ifood_data[[#This Row],[Kidhome]:[Teenhome]])&gt;0,"Has Family","No Family")</f>
        <v>No Family</v>
      </c>
      <c r="AT467" t="str">
        <f>IF(ifood_data[[#This Row],[marital_Married]]=1,"Married", (IF(ifood_data[[#This Row],[marital_Single]]=1,"Single",(IF(ifood_data[[#This Row],[marital_Divorced]]=1,"Divorced",(IF(ifood_data[[#This Row],[marital_Together]]=1,"Living Together",(IF(ifood_data[[#This Row],[marital_Widow]]=1,"Widow","Other")))))))))</f>
        <v>Single</v>
      </c>
      <c r="AU467" t="str">
        <f>IF(ifood_data[[#This Row],[education_Basic]]=1,"High School",(IF(ifood_data[[#This Row],[education_Graduation]]=1,"Undergraduate Degree",(IF(SUM(AM467,AL467,AI467)&gt;0,"Master's Degree or Higher","Other")))))</f>
        <v>Undergraduate Degree</v>
      </c>
      <c r="AV467" t="str">
        <f>IF(ifood_data[[#All],[Income]]&gt;75000,"75K+",(IF(ifood_data[[#All],[Income]]&gt;50000,"50K-75K",(IF(ifood_data[[#All],[Income]]&gt;35000,"35K-50K","&lt;35K")))))</f>
        <v>50K-75K</v>
      </c>
      <c r="AW467" t="str">
        <f>IF(ifood_data[[#All],[Age]]&gt;60,"60+",(IF(ifood_data[[#All],[Age]]&gt;50,"50-60",(IF(ifood_data[[#All],[Age]]&gt;40,"40-50",(IF(ifood_data[[#All],[Age]]&gt;30,"30-40","&lt;30")))))))</f>
        <v>50-60</v>
      </c>
      <c r="AX467">
        <f t="shared" si="28"/>
        <v>25</v>
      </c>
      <c r="AY467">
        <f t="shared" si="29"/>
        <v>8</v>
      </c>
      <c r="AZ467">
        <f t="shared" si="30"/>
        <v>7</v>
      </c>
      <c r="BA467">
        <f t="shared" si="31"/>
        <v>9</v>
      </c>
      <c r="BB467">
        <f>SUM(ifood_data[[#This Row],[Recency Score]:[Monetary Score]])</f>
        <v>24</v>
      </c>
      <c r="BC467">
        <f>(_xlfn.PERCENTRANK.INC(ifood_data[[#All],[RFM]],ifood_data[[#This Row],[RFM]],1))*10</f>
        <v>9</v>
      </c>
      <c r="BD467" t="str">
        <f>VLOOKUP(ifood_data[[#This Row],[RFM Score]],'RFM Analysis'!$A$3:$B$14,2,FALSE)</f>
        <v>Top Customer</v>
      </c>
      <c r="BE467">
        <f>'Regression Models'!$B$101+'Regression Models'!$B$102*ifood_data[[#This Row],[Income]]+'Regression Models'!$B$103*ifood_data[[#This Row],[Age]]+'Regression Models'!$B$104*ifood_data[[#This Row],[Family]]</f>
        <v>970.16518855801712</v>
      </c>
      <c r="BF467" t="str">
        <f>IF(ifood_data[[#This Row],[AcceptedCmpOverall]]=1,"Campaign Respondent","Non-respondent")</f>
        <v>Non-respondent</v>
      </c>
    </row>
    <row r="468" spans="1:58" x14ac:dyDescent="0.35">
      <c r="A468">
        <v>1783</v>
      </c>
      <c r="B468">
        <v>61798</v>
      </c>
      <c r="C468">
        <v>0</v>
      </c>
      <c r="D468">
        <v>0</v>
      </c>
      <c r="E468">
        <v>13</v>
      </c>
      <c r="F468">
        <v>338</v>
      </c>
      <c r="G468">
        <v>4</v>
      </c>
      <c r="H468">
        <v>89</v>
      </c>
      <c r="I468">
        <v>11</v>
      </c>
      <c r="J468">
        <v>8</v>
      </c>
      <c r="K468">
        <v>13</v>
      </c>
      <c r="L468">
        <v>1</v>
      </c>
      <c r="M468">
        <v>4</v>
      </c>
      <c r="N468">
        <v>2</v>
      </c>
      <c r="O468">
        <v>9</v>
      </c>
      <c r="P468">
        <v>4</v>
      </c>
      <c r="Q468">
        <v>0</v>
      </c>
      <c r="R468">
        <v>0</v>
      </c>
      <c r="S468">
        <v>0</v>
      </c>
      <c r="T468">
        <v>0</v>
      </c>
      <c r="U468">
        <v>0</v>
      </c>
      <c r="V468">
        <f>IF(SUM(ifood_data[[#This Row],[AcceptedCmp1]:[AcceptedCmp5]])&gt;0,1,0)</f>
        <v>0</v>
      </c>
      <c r="W468">
        <v>0</v>
      </c>
      <c r="X468">
        <v>3</v>
      </c>
      <c r="Y468">
        <v>11</v>
      </c>
      <c r="Z468">
        <v>0</v>
      </c>
      <c r="AA468">
        <v>56</v>
      </c>
      <c r="AB468">
        <v>2377</v>
      </c>
      <c r="AC468" s="28">
        <f>ifood_data[[#This Row],[Customer_Days]]/365</f>
        <v>6.5123287671232877</v>
      </c>
      <c r="AD468">
        <v>0</v>
      </c>
      <c r="AE468">
        <v>0</v>
      </c>
      <c r="AF468">
        <v>1</v>
      </c>
      <c r="AG468">
        <v>0</v>
      </c>
      <c r="AH468">
        <v>0</v>
      </c>
      <c r="AI468">
        <v>0</v>
      </c>
      <c r="AJ468">
        <v>0</v>
      </c>
      <c r="AK468">
        <v>0</v>
      </c>
      <c r="AL468">
        <v>0</v>
      </c>
      <c r="AM468">
        <v>1</v>
      </c>
      <c r="AN468">
        <v>450</v>
      </c>
      <c r="AO468">
        <v>437</v>
      </c>
      <c r="AP468">
        <f>ifood_data[[#This Row],[MntTotal]]-ifood_data[[#This Row],[MntRegularProds]]</f>
        <v>13</v>
      </c>
      <c r="AQ468">
        <v>0</v>
      </c>
      <c r="AR468">
        <f>IF(SUM(ifood_data[[#This Row],[Kidhome]:[Teenhome]])&gt;0,1,0)</f>
        <v>0</v>
      </c>
      <c r="AS468" t="str">
        <f>IF(SUM(ifood_data[[#This Row],[Kidhome]:[Teenhome]])&gt;0,"Has Family","No Family")</f>
        <v>No Family</v>
      </c>
      <c r="AT468" t="str">
        <f>IF(ifood_data[[#This Row],[marital_Married]]=1,"Married", (IF(ifood_data[[#This Row],[marital_Single]]=1,"Single",(IF(ifood_data[[#This Row],[marital_Divorced]]=1,"Divorced",(IF(ifood_data[[#This Row],[marital_Together]]=1,"Living Together",(IF(ifood_data[[#This Row],[marital_Widow]]=1,"Widow","Other")))))))))</f>
        <v>Single</v>
      </c>
      <c r="AU468" t="str">
        <f>IF(ifood_data[[#This Row],[education_Basic]]=1,"High School",(IF(ifood_data[[#This Row],[education_Graduation]]=1,"Undergraduate Degree",(IF(SUM(AM468,AL468,AI468)&gt;0,"Master's Degree or Higher","Other")))))</f>
        <v>Master's Degree or Higher</v>
      </c>
      <c r="AV468" t="str">
        <f>IF(ifood_data[[#All],[Income]]&gt;75000,"75K+",(IF(ifood_data[[#All],[Income]]&gt;50000,"50K-75K",(IF(ifood_data[[#All],[Income]]&gt;35000,"35K-50K","&lt;35K")))))</f>
        <v>50K-75K</v>
      </c>
      <c r="AW468" t="str">
        <f>IF(ifood_data[[#All],[Age]]&gt;60,"60+",(IF(ifood_data[[#All],[Age]]&gt;50,"50-60",(IF(ifood_data[[#All],[Age]]&gt;40,"40-50",(IF(ifood_data[[#All],[Age]]&gt;30,"30-40","&lt;30")))))))</f>
        <v>50-60</v>
      </c>
      <c r="AX468">
        <f t="shared" si="28"/>
        <v>20</v>
      </c>
      <c r="AY468">
        <f t="shared" si="29"/>
        <v>9</v>
      </c>
      <c r="AZ468">
        <f t="shared" si="30"/>
        <v>4</v>
      </c>
      <c r="BA468">
        <f t="shared" si="31"/>
        <v>5</v>
      </c>
      <c r="BB468">
        <f>SUM(ifood_data[[#This Row],[Recency Score]:[Monetary Score]])</f>
        <v>18</v>
      </c>
      <c r="BC468">
        <f>(_xlfn.PERCENTRANK.INC(ifood_data[[#All],[RFM]],ifood_data[[#This Row],[RFM]],1))*10</f>
        <v>6</v>
      </c>
      <c r="BD468" t="str">
        <f>VLOOKUP(ifood_data[[#This Row],[RFM Score]],'RFM Analysis'!$A$3:$B$14,2,FALSE)</f>
        <v>Promising</v>
      </c>
      <c r="BE468">
        <f>'Regression Models'!$B$101+'Regression Models'!$B$102*ifood_data[[#This Row],[Income]]+'Regression Models'!$B$103*ifood_data[[#This Row],[Age]]+'Regression Models'!$B$104*ifood_data[[#This Row],[Family]]</f>
        <v>969.32924906411733</v>
      </c>
      <c r="BF468" t="str">
        <f>IF(ifood_data[[#This Row],[AcceptedCmpOverall]]=1,"Campaign Respondent","Non-respondent")</f>
        <v>Non-respondent</v>
      </c>
    </row>
    <row r="469" spans="1:58" x14ac:dyDescent="0.35">
      <c r="A469">
        <v>239</v>
      </c>
      <c r="B469">
        <v>75702</v>
      </c>
      <c r="C469">
        <v>1</v>
      </c>
      <c r="D469">
        <v>1</v>
      </c>
      <c r="E469">
        <v>77</v>
      </c>
      <c r="F469">
        <v>650</v>
      </c>
      <c r="G469">
        <v>28</v>
      </c>
      <c r="H469">
        <v>353</v>
      </c>
      <c r="I469">
        <v>45</v>
      </c>
      <c r="J469">
        <v>42</v>
      </c>
      <c r="K469">
        <v>30</v>
      </c>
      <c r="L469">
        <v>5</v>
      </c>
      <c r="M469">
        <v>4</v>
      </c>
      <c r="N469">
        <v>6</v>
      </c>
      <c r="O469">
        <v>11</v>
      </c>
      <c r="P469">
        <v>8</v>
      </c>
      <c r="Q469">
        <v>0</v>
      </c>
      <c r="R469">
        <v>0</v>
      </c>
      <c r="S469">
        <v>0</v>
      </c>
      <c r="T469">
        <v>0</v>
      </c>
      <c r="U469">
        <v>0</v>
      </c>
      <c r="V469">
        <f>IF(SUM(ifood_data[[#This Row],[AcceptedCmp1]:[AcceptedCmp5]])&gt;0,1,0)</f>
        <v>0</v>
      </c>
      <c r="W469">
        <v>0</v>
      </c>
      <c r="X469">
        <v>3</v>
      </c>
      <c r="Y469">
        <v>11</v>
      </c>
      <c r="Z469">
        <v>0</v>
      </c>
      <c r="AA469">
        <v>53</v>
      </c>
      <c r="AB469">
        <v>2828</v>
      </c>
      <c r="AC469" s="28">
        <f>ifood_data[[#This Row],[Customer_Days]]/365</f>
        <v>7.7479452054794518</v>
      </c>
      <c r="AD469">
        <v>0</v>
      </c>
      <c r="AE469">
        <v>0</v>
      </c>
      <c r="AF469">
        <v>0</v>
      </c>
      <c r="AG469">
        <v>1</v>
      </c>
      <c r="AH469">
        <v>0</v>
      </c>
      <c r="AI469">
        <v>0</v>
      </c>
      <c r="AJ469">
        <v>0</v>
      </c>
      <c r="AK469">
        <v>1</v>
      </c>
      <c r="AL469">
        <v>0</v>
      </c>
      <c r="AM469">
        <v>0</v>
      </c>
      <c r="AN469">
        <v>1118</v>
      </c>
      <c r="AO469">
        <v>1088</v>
      </c>
      <c r="AP469">
        <f>ifood_data[[#This Row],[MntTotal]]-ifood_data[[#This Row],[MntRegularProds]]</f>
        <v>30</v>
      </c>
      <c r="AQ469">
        <v>0</v>
      </c>
      <c r="AR469">
        <f>IF(SUM(ifood_data[[#This Row],[Kidhome]:[Teenhome]])&gt;0,1,0)</f>
        <v>1</v>
      </c>
      <c r="AS469" t="str">
        <f>IF(SUM(ifood_data[[#This Row],[Kidhome]:[Teenhome]])&gt;0,"Has Family","No Family")</f>
        <v>Has Family</v>
      </c>
      <c r="AT469" t="str">
        <f>IF(ifood_data[[#This Row],[marital_Married]]=1,"Married", (IF(ifood_data[[#This Row],[marital_Single]]=1,"Single",(IF(ifood_data[[#This Row],[marital_Divorced]]=1,"Divorced",(IF(ifood_data[[#This Row],[marital_Together]]=1,"Living Together",(IF(ifood_data[[#This Row],[marital_Widow]]=1,"Widow","Other")))))))))</f>
        <v>Living Together</v>
      </c>
      <c r="AU469" t="str">
        <f>IF(ifood_data[[#This Row],[education_Basic]]=1,"High School",(IF(ifood_data[[#This Row],[education_Graduation]]=1,"Undergraduate Degree",(IF(SUM(AM469,AL469,AI469)&gt;0,"Master's Degree or Higher","Other")))))</f>
        <v>Undergraduate Degree</v>
      </c>
      <c r="AV469" t="str">
        <f>IF(ifood_data[[#All],[Income]]&gt;75000,"75K+",(IF(ifood_data[[#All],[Income]]&gt;50000,"50K-75K",(IF(ifood_data[[#All],[Income]]&gt;35000,"35K-50K","&lt;35K")))))</f>
        <v>75K+</v>
      </c>
      <c r="AW469" t="str">
        <f>IF(ifood_data[[#All],[Age]]&gt;60,"60+",(IF(ifood_data[[#All],[Age]]&gt;50,"50-60",(IF(ifood_data[[#All],[Age]]&gt;40,"40-50",(IF(ifood_data[[#All],[Age]]&gt;30,"30-40","&lt;30")))))))</f>
        <v>50-60</v>
      </c>
      <c r="AX469">
        <f t="shared" si="28"/>
        <v>34</v>
      </c>
      <c r="AY469">
        <f t="shared" si="29"/>
        <v>3.0000000000000004</v>
      </c>
      <c r="AZ469">
        <f t="shared" si="30"/>
        <v>9</v>
      </c>
      <c r="BA469">
        <f t="shared" si="31"/>
        <v>8</v>
      </c>
      <c r="BB469">
        <f>SUM(ifood_data[[#This Row],[Recency Score]:[Monetary Score]])</f>
        <v>20</v>
      </c>
      <c r="BC469">
        <f>(_xlfn.PERCENTRANK.INC(ifood_data[[#All],[RFM]],ifood_data[[#This Row],[RFM]],1))*10</f>
        <v>7</v>
      </c>
      <c r="BD469" t="str">
        <f>VLOOKUP(ifood_data[[#This Row],[RFM Score]],'RFM Analysis'!$A$3:$B$14,2,FALSE)</f>
        <v>Loyal Customer</v>
      </c>
      <c r="BE469">
        <f>'Regression Models'!$B$101+'Regression Models'!$B$102*ifood_data[[#This Row],[Income]]+'Regression Models'!$B$103*ifood_data[[#This Row],[Age]]+'Regression Models'!$B$104*ifood_data[[#This Row],[Family]]</f>
        <v>968.71036750055521</v>
      </c>
      <c r="BF469" t="str">
        <f>IF(ifood_data[[#This Row],[AcceptedCmpOverall]]=1,"Campaign Respondent","Non-respondent")</f>
        <v>Non-respondent</v>
      </c>
    </row>
    <row r="470" spans="1:58" x14ac:dyDescent="0.35">
      <c r="A470">
        <v>654</v>
      </c>
      <c r="B470">
        <v>61209</v>
      </c>
      <c r="C470">
        <v>0</v>
      </c>
      <c r="D470">
        <v>0</v>
      </c>
      <c r="E470">
        <v>73</v>
      </c>
      <c r="F470">
        <v>466</v>
      </c>
      <c r="G470">
        <v>0</v>
      </c>
      <c r="H470">
        <v>224</v>
      </c>
      <c r="I470">
        <v>119</v>
      </c>
      <c r="J470">
        <v>49</v>
      </c>
      <c r="K470">
        <v>99</v>
      </c>
      <c r="L470">
        <v>1</v>
      </c>
      <c r="M470">
        <v>5</v>
      </c>
      <c r="N470">
        <v>3</v>
      </c>
      <c r="O470">
        <v>4</v>
      </c>
      <c r="P470">
        <v>2</v>
      </c>
      <c r="Q470">
        <v>0</v>
      </c>
      <c r="R470">
        <v>0</v>
      </c>
      <c r="S470">
        <v>0</v>
      </c>
      <c r="T470">
        <v>0</v>
      </c>
      <c r="U470">
        <v>0</v>
      </c>
      <c r="V470">
        <f>IF(SUM(ifood_data[[#This Row],[AcceptedCmp1]:[AcceptedCmp5]])&gt;0,1,0)</f>
        <v>0</v>
      </c>
      <c r="W470">
        <v>0</v>
      </c>
      <c r="X470">
        <v>3</v>
      </c>
      <c r="Y470">
        <v>11</v>
      </c>
      <c r="Z470">
        <v>0</v>
      </c>
      <c r="AA470">
        <v>50</v>
      </c>
      <c r="AB470">
        <v>2467</v>
      </c>
      <c r="AC470" s="28">
        <f>ifood_data[[#This Row],[Customer_Days]]/365</f>
        <v>6.7589041095890412</v>
      </c>
      <c r="AD470">
        <v>0</v>
      </c>
      <c r="AE470">
        <v>0</v>
      </c>
      <c r="AF470">
        <v>1</v>
      </c>
      <c r="AG470">
        <v>0</v>
      </c>
      <c r="AH470">
        <v>0</v>
      </c>
      <c r="AI470">
        <v>0</v>
      </c>
      <c r="AJ470">
        <v>0</v>
      </c>
      <c r="AK470">
        <v>1</v>
      </c>
      <c r="AL470">
        <v>0</v>
      </c>
      <c r="AM470">
        <v>0</v>
      </c>
      <c r="AN470">
        <v>858</v>
      </c>
      <c r="AO470">
        <v>759</v>
      </c>
      <c r="AP470">
        <f>ifood_data[[#This Row],[MntTotal]]-ifood_data[[#This Row],[MntRegularProds]]</f>
        <v>99</v>
      </c>
      <c r="AQ470">
        <v>0</v>
      </c>
      <c r="AR470">
        <f>IF(SUM(ifood_data[[#This Row],[Kidhome]:[Teenhome]])&gt;0,1,0)</f>
        <v>0</v>
      </c>
      <c r="AS470" t="str">
        <f>IF(SUM(ifood_data[[#This Row],[Kidhome]:[Teenhome]])&gt;0,"Has Family","No Family")</f>
        <v>No Family</v>
      </c>
      <c r="AT470" t="str">
        <f>IF(ifood_data[[#This Row],[marital_Married]]=1,"Married", (IF(ifood_data[[#This Row],[marital_Single]]=1,"Single",(IF(ifood_data[[#This Row],[marital_Divorced]]=1,"Divorced",(IF(ifood_data[[#This Row],[marital_Together]]=1,"Living Together",(IF(ifood_data[[#This Row],[marital_Widow]]=1,"Widow","Other")))))))))</f>
        <v>Single</v>
      </c>
      <c r="AU470" t="str">
        <f>IF(ifood_data[[#This Row],[education_Basic]]=1,"High School",(IF(ifood_data[[#This Row],[education_Graduation]]=1,"Undergraduate Degree",(IF(SUM(AM470,AL470,AI470)&gt;0,"Master's Degree or Higher","Other")))))</f>
        <v>Undergraduate Degree</v>
      </c>
      <c r="AV470" t="str">
        <f>IF(ifood_data[[#All],[Income]]&gt;75000,"75K+",(IF(ifood_data[[#All],[Income]]&gt;50000,"50K-75K",(IF(ifood_data[[#All],[Income]]&gt;35000,"35K-50K","&lt;35K")))))</f>
        <v>50K-75K</v>
      </c>
      <c r="AW470" t="str">
        <f>IF(ifood_data[[#All],[Age]]&gt;60,"60+",(IF(ifood_data[[#All],[Age]]&gt;50,"50-60",(IF(ifood_data[[#All],[Age]]&gt;40,"40-50",(IF(ifood_data[[#All],[Age]]&gt;30,"30-40","&lt;30")))))))</f>
        <v>40-50</v>
      </c>
      <c r="AX470">
        <f t="shared" si="28"/>
        <v>15</v>
      </c>
      <c r="AY470">
        <f t="shared" si="29"/>
        <v>3.0000000000000004</v>
      </c>
      <c r="AZ470">
        <f t="shared" si="30"/>
        <v>2</v>
      </c>
      <c r="BA470">
        <f t="shared" si="31"/>
        <v>7</v>
      </c>
      <c r="BB470">
        <f>SUM(ifood_data[[#This Row],[Recency Score]:[Monetary Score]])</f>
        <v>12</v>
      </c>
      <c r="BC470">
        <f>(_xlfn.PERCENTRANK.INC(ifood_data[[#All],[RFM]],ifood_data[[#This Row],[RFM]],1))*10</f>
        <v>3</v>
      </c>
      <c r="BD470" t="str">
        <f>VLOOKUP(ifood_data[[#This Row],[RFM Score]],'RFM Analysis'!$A$3:$B$14,2,FALSE)</f>
        <v>At Risk</v>
      </c>
      <c r="BE470">
        <f>'Regression Models'!$B$101+'Regression Models'!$B$102*ifood_data[[#This Row],[Income]]+'Regression Models'!$B$103*ifood_data[[#This Row],[Age]]+'Regression Models'!$B$104*ifood_data[[#This Row],[Family]]</f>
        <v>968.33889910072674</v>
      </c>
      <c r="BF470" t="str">
        <f>IF(ifood_data[[#This Row],[AcceptedCmpOverall]]=1,"Campaign Respondent","Non-respondent")</f>
        <v>Non-respondent</v>
      </c>
    </row>
    <row r="471" spans="1:58" x14ac:dyDescent="0.35">
      <c r="A471">
        <v>1845</v>
      </c>
      <c r="B471">
        <v>77027</v>
      </c>
      <c r="C471">
        <v>0</v>
      </c>
      <c r="D471">
        <v>1</v>
      </c>
      <c r="E471">
        <v>23</v>
      </c>
      <c r="F471">
        <v>820</v>
      </c>
      <c r="G471">
        <v>57</v>
      </c>
      <c r="H471">
        <v>242</v>
      </c>
      <c r="I471">
        <v>45</v>
      </c>
      <c r="J471">
        <v>0</v>
      </c>
      <c r="K471">
        <v>11</v>
      </c>
      <c r="L471">
        <v>2</v>
      </c>
      <c r="M471">
        <v>8</v>
      </c>
      <c r="N471">
        <v>3</v>
      </c>
      <c r="O471">
        <v>6</v>
      </c>
      <c r="P471">
        <v>4</v>
      </c>
      <c r="Q471">
        <v>0</v>
      </c>
      <c r="R471">
        <v>0</v>
      </c>
      <c r="S471">
        <v>0</v>
      </c>
      <c r="T471">
        <v>0</v>
      </c>
      <c r="U471">
        <v>0</v>
      </c>
      <c r="V471">
        <f>IF(SUM(ifood_data[[#This Row],[AcceptedCmp1]:[AcceptedCmp5]])&gt;0,1,0)</f>
        <v>0</v>
      </c>
      <c r="W471">
        <v>0</v>
      </c>
      <c r="X471">
        <v>3</v>
      </c>
      <c r="Y471">
        <v>11</v>
      </c>
      <c r="Z471">
        <v>0</v>
      </c>
      <c r="AA471">
        <v>68</v>
      </c>
      <c r="AB471">
        <v>2303</v>
      </c>
      <c r="AC471" s="28">
        <f>ifood_data[[#This Row],[Customer_Days]]/365</f>
        <v>6.3095890410958901</v>
      </c>
      <c r="AD471">
        <v>0</v>
      </c>
      <c r="AE471">
        <v>1</v>
      </c>
      <c r="AF471">
        <v>0</v>
      </c>
      <c r="AG471">
        <v>0</v>
      </c>
      <c r="AH471">
        <v>0</v>
      </c>
      <c r="AI471">
        <v>0</v>
      </c>
      <c r="AJ471">
        <v>0</v>
      </c>
      <c r="AK471">
        <v>0</v>
      </c>
      <c r="AL471">
        <v>1</v>
      </c>
      <c r="AM471">
        <v>0</v>
      </c>
      <c r="AN471">
        <v>1164</v>
      </c>
      <c r="AO471">
        <v>1153</v>
      </c>
      <c r="AP471">
        <f>ifood_data[[#This Row],[MntTotal]]-ifood_data[[#This Row],[MntRegularProds]]</f>
        <v>11</v>
      </c>
      <c r="AQ471">
        <v>0</v>
      </c>
      <c r="AR471">
        <f>IF(SUM(ifood_data[[#This Row],[Kidhome]:[Teenhome]])&gt;0,1,0)</f>
        <v>1</v>
      </c>
      <c r="AS471" t="str">
        <f>IF(SUM(ifood_data[[#This Row],[Kidhome]:[Teenhome]])&gt;0,"Has Family","No Family")</f>
        <v>Has Family</v>
      </c>
      <c r="AT471" t="str">
        <f>IF(ifood_data[[#This Row],[marital_Married]]=1,"Married", (IF(ifood_data[[#This Row],[marital_Single]]=1,"Single",(IF(ifood_data[[#This Row],[marital_Divorced]]=1,"Divorced",(IF(ifood_data[[#This Row],[marital_Together]]=1,"Living Together",(IF(ifood_data[[#This Row],[marital_Widow]]=1,"Widow","Other")))))))))</f>
        <v>Married</v>
      </c>
      <c r="AU471" t="str">
        <f>IF(ifood_data[[#This Row],[education_Basic]]=1,"High School",(IF(ifood_data[[#This Row],[education_Graduation]]=1,"Undergraduate Degree",(IF(SUM(AM471,AL471,AI471)&gt;0,"Master's Degree or Higher","Other")))))</f>
        <v>Master's Degree or Higher</v>
      </c>
      <c r="AV471" t="str">
        <f>IF(ifood_data[[#All],[Income]]&gt;75000,"75K+",(IF(ifood_data[[#All],[Income]]&gt;50000,"50K-75K",(IF(ifood_data[[#All],[Income]]&gt;35000,"35K-50K","&lt;35K")))))</f>
        <v>75K+</v>
      </c>
      <c r="AW471" t="str">
        <f>IF(ifood_data[[#All],[Age]]&gt;60,"60+",(IF(ifood_data[[#All],[Age]]&gt;50,"50-60",(IF(ifood_data[[#All],[Age]]&gt;40,"40-50",(IF(ifood_data[[#All],[Age]]&gt;30,"30-40","&lt;30")))))))</f>
        <v>60+</v>
      </c>
      <c r="AX471">
        <f t="shared" si="28"/>
        <v>23</v>
      </c>
      <c r="AY471">
        <f t="shared" si="29"/>
        <v>8</v>
      </c>
      <c r="AZ471">
        <f t="shared" si="30"/>
        <v>6</v>
      </c>
      <c r="BA471">
        <f t="shared" si="31"/>
        <v>8</v>
      </c>
      <c r="BB471">
        <f>SUM(ifood_data[[#This Row],[Recency Score]:[Monetary Score]])</f>
        <v>22</v>
      </c>
      <c r="BC471">
        <f>(_xlfn.PERCENTRANK.INC(ifood_data[[#All],[RFM]],ifood_data[[#This Row],[RFM]],1))*10</f>
        <v>8</v>
      </c>
      <c r="BD471" t="str">
        <f>VLOOKUP(ifood_data[[#This Row],[RFM Score]],'RFM Analysis'!$A$3:$B$14,2,FALSE)</f>
        <v>Loyal Customer</v>
      </c>
      <c r="BE471">
        <f>'Regression Models'!$B$101+'Regression Models'!$B$102*ifood_data[[#This Row],[Income]]+'Regression Models'!$B$103*ifood_data[[#This Row],[Age]]+'Regression Models'!$B$104*ifood_data[[#This Row],[Family]]</f>
        <v>968.17889910780684</v>
      </c>
      <c r="BF471" t="str">
        <f>IF(ifood_data[[#This Row],[AcceptedCmpOverall]]=1,"Campaign Respondent","Non-respondent")</f>
        <v>Non-respondent</v>
      </c>
    </row>
    <row r="472" spans="1:58" x14ac:dyDescent="0.35">
      <c r="A472">
        <v>1873</v>
      </c>
      <c r="B472">
        <v>76320</v>
      </c>
      <c r="C472">
        <v>0</v>
      </c>
      <c r="D472">
        <v>1</v>
      </c>
      <c r="E472">
        <v>49</v>
      </c>
      <c r="F472">
        <v>526</v>
      </c>
      <c r="G472">
        <v>35</v>
      </c>
      <c r="H472">
        <v>214</v>
      </c>
      <c r="I472">
        <v>69</v>
      </c>
      <c r="J472">
        <v>53</v>
      </c>
      <c r="K472">
        <v>35</v>
      </c>
      <c r="L472">
        <v>2</v>
      </c>
      <c r="M472">
        <v>6</v>
      </c>
      <c r="N472">
        <v>3</v>
      </c>
      <c r="O472">
        <v>4</v>
      </c>
      <c r="P472">
        <v>2</v>
      </c>
      <c r="Q472">
        <v>0</v>
      </c>
      <c r="R472">
        <v>0</v>
      </c>
      <c r="S472">
        <v>0</v>
      </c>
      <c r="T472">
        <v>0</v>
      </c>
      <c r="U472">
        <v>0</v>
      </c>
      <c r="V472">
        <f>IF(SUM(ifood_data[[#This Row],[AcceptedCmp1]:[AcceptedCmp5]])&gt;0,1,0)</f>
        <v>0</v>
      </c>
      <c r="W472">
        <v>0</v>
      </c>
      <c r="X472">
        <v>3</v>
      </c>
      <c r="Y472">
        <v>11</v>
      </c>
      <c r="Z472">
        <v>0</v>
      </c>
      <c r="AA472">
        <v>61</v>
      </c>
      <c r="AB472">
        <v>2166</v>
      </c>
      <c r="AC472" s="28">
        <f>ifood_data[[#This Row],[Customer_Days]]/365</f>
        <v>5.934246575342466</v>
      </c>
      <c r="AD472">
        <v>0</v>
      </c>
      <c r="AE472">
        <v>0</v>
      </c>
      <c r="AF472">
        <v>0</v>
      </c>
      <c r="AG472">
        <v>0</v>
      </c>
      <c r="AH472">
        <v>1</v>
      </c>
      <c r="AI472">
        <v>0</v>
      </c>
      <c r="AJ472">
        <v>0</v>
      </c>
      <c r="AK472">
        <v>1</v>
      </c>
      <c r="AL472">
        <v>0</v>
      </c>
      <c r="AM472">
        <v>0</v>
      </c>
      <c r="AN472">
        <v>897</v>
      </c>
      <c r="AO472">
        <v>862</v>
      </c>
      <c r="AP472">
        <f>ifood_data[[#This Row],[MntTotal]]-ifood_data[[#This Row],[MntRegularProds]]</f>
        <v>35</v>
      </c>
      <c r="AQ472">
        <v>0</v>
      </c>
      <c r="AR472">
        <f>IF(SUM(ifood_data[[#This Row],[Kidhome]:[Teenhome]])&gt;0,1,0)</f>
        <v>1</v>
      </c>
      <c r="AS472" t="str">
        <f>IF(SUM(ifood_data[[#This Row],[Kidhome]:[Teenhome]])&gt;0,"Has Family","No Family")</f>
        <v>Has Family</v>
      </c>
      <c r="AT472" t="str">
        <f>IF(ifood_data[[#This Row],[marital_Married]]=1,"Married", (IF(ifood_data[[#This Row],[marital_Single]]=1,"Single",(IF(ifood_data[[#This Row],[marital_Divorced]]=1,"Divorced",(IF(ifood_data[[#This Row],[marital_Together]]=1,"Living Together",(IF(ifood_data[[#This Row],[marital_Widow]]=1,"Widow","Other")))))))))</f>
        <v>Widow</v>
      </c>
      <c r="AU472" t="str">
        <f>IF(ifood_data[[#This Row],[education_Basic]]=1,"High School",(IF(ifood_data[[#This Row],[education_Graduation]]=1,"Undergraduate Degree",(IF(SUM(AM472,AL472,AI472)&gt;0,"Master's Degree or Higher","Other")))))</f>
        <v>Undergraduate Degree</v>
      </c>
      <c r="AV472" t="str">
        <f>IF(ifood_data[[#All],[Income]]&gt;75000,"75K+",(IF(ifood_data[[#All],[Income]]&gt;50000,"50K-75K",(IF(ifood_data[[#All],[Income]]&gt;35000,"35K-50K","&lt;35K")))))</f>
        <v>75K+</v>
      </c>
      <c r="AW472" t="str">
        <f>IF(ifood_data[[#All],[Age]]&gt;60,"60+",(IF(ifood_data[[#All],[Age]]&gt;50,"50-60",(IF(ifood_data[[#All],[Age]]&gt;40,"40-50",(IF(ifood_data[[#All],[Age]]&gt;30,"30-40","&lt;30")))))))</f>
        <v>60+</v>
      </c>
      <c r="AX472">
        <f t="shared" si="28"/>
        <v>17</v>
      </c>
      <c r="AY472">
        <f t="shared" si="29"/>
        <v>6</v>
      </c>
      <c r="AZ472">
        <f t="shared" si="30"/>
        <v>3</v>
      </c>
      <c r="BA472">
        <f t="shared" si="31"/>
        <v>7</v>
      </c>
      <c r="BB472">
        <f>SUM(ifood_data[[#This Row],[Recency Score]:[Monetary Score]])</f>
        <v>16</v>
      </c>
      <c r="BC472">
        <f>(_xlfn.PERCENTRANK.INC(ifood_data[[#All],[RFM]],ifood_data[[#This Row],[RFM]],1))*10</f>
        <v>5</v>
      </c>
      <c r="BD472" t="str">
        <f>VLOOKUP(ifood_data[[#This Row],[RFM Score]],'RFM Analysis'!$A$3:$B$14,2,FALSE)</f>
        <v>Promising</v>
      </c>
      <c r="BE472">
        <f>'Regression Models'!$B$101+'Regression Models'!$B$102*ifood_data[[#This Row],[Income]]+'Regression Models'!$B$103*ifood_data[[#This Row],[Age]]+'Regression Models'!$B$104*ifood_data[[#This Row],[Family]]</f>
        <v>966.61911358233044</v>
      </c>
      <c r="BF472" t="str">
        <f>IF(ifood_data[[#This Row],[AcceptedCmpOverall]]=1,"Campaign Respondent","Non-respondent")</f>
        <v>Non-respondent</v>
      </c>
    </row>
    <row r="473" spans="1:58" x14ac:dyDescent="0.35">
      <c r="A473">
        <v>1080</v>
      </c>
      <c r="B473">
        <v>63285</v>
      </c>
      <c r="C473">
        <v>0</v>
      </c>
      <c r="D473">
        <v>0</v>
      </c>
      <c r="E473">
        <v>84</v>
      </c>
      <c r="F473">
        <v>508</v>
      </c>
      <c r="G473">
        <v>124</v>
      </c>
      <c r="H473">
        <v>249</v>
      </c>
      <c r="I473">
        <v>50</v>
      </c>
      <c r="J473">
        <v>38</v>
      </c>
      <c r="K473">
        <v>134</v>
      </c>
      <c r="L473">
        <v>1</v>
      </c>
      <c r="M473">
        <v>6</v>
      </c>
      <c r="N473">
        <v>5</v>
      </c>
      <c r="O473">
        <v>13</v>
      </c>
      <c r="P473">
        <v>3</v>
      </c>
      <c r="Q473">
        <v>0</v>
      </c>
      <c r="R473">
        <v>0</v>
      </c>
      <c r="S473">
        <v>0</v>
      </c>
      <c r="T473">
        <v>0</v>
      </c>
      <c r="U473">
        <v>0</v>
      </c>
      <c r="V473">
        <f>IF(SUM(ifood_data[[#This Row],[AcceptedCmp1]:[AcceptedCmp5]])&gt;0,1,0)</f>
        <v>0</v>
      </c>
      <c r="W473">
        <v>0</v>
      </c>
      <c r="X473">
        <v>3</v>
      </c>
      <c r="Y473">
        <v>11</v>
      </c>
      <c r="Z473">
        <v>0</v>
      </c>
      <c r="AA473">
        <v>75</v>
      </c>
      <c r="AB473">
        <v>2395</v>
      </c>
      <c r="AC473" s="28">
        <f>ifood_data[[#This Row],[Customer_Days]]/365</f>
        <v>6.5616438356164384</v>
      </c>
      <c r="AD473">
        <v>0</v>
      </c>
      <c r="AE473">
        <v>0</v>
      </c>
      <c r="AF473">
        <v>0</v>
      </c>
      <c r="AG473">
        <v>0</v>
      </c>
      <c r="AH473">
        <v>1</v>
      </c>
      <c r="AI473">
        <v>0</v>
      </c>
      <c r="AJ473">
        <v>0</v>
      </c>
      <c r="AK473">
        <v>1</v>
      </c>
      <c r="AL473">
        <v>0</v>
      </c>
      <c r="AM473">
        <v>0</v>
      </c>
      <c r="AN473">
        <v>969</v>
      </c>
      <c r="AO473">
        <v>835</v>
      </c>
      <c r="AP473">
        <f>ifood_data[[#This Row],[MntTotal]]-ifood_data[[#This Row],[MntRegularProds]]</f>
        <v>134</v>
      </c>
      <c r="AQ473">
        <v>0</v>
      </c>
      <c r="AR473">
        <f>IF(SUM(ifood_data[[#This Row],[Kidhome]:[Teenhome]])&gt;0,1,0)</f>
        <v>0</v>
      </c>
      <c r="AS473" t="str">
        <f>IF(SUM(ifood_data[[#This Row],[Kidhome]:[Teenhome]])&gt;0,"Has Family","No Family")</f>
        <v>No Family</v>
      </c>
      <c r="AT473" t="str">
        <f>IF(ifood_data[[#This Row],[marital_Married]]=1,"Married", (IF(ifood_data[[#This Row],[marital_Single]]=1,"Single",(IF(ifood_data[[#This Row],[marital_Divorced]]=1,"Divorced",(IF(ifood_data[[#This Row],[marital_Together]]=1,"Living Together",(IF(ifood_data[[#This Row],[marital_Widow]]=1,"Widow","Other")))))))))</f>
        <v>Widow</v>
      </c>
      <c r="AU473" t="str">
        <f>IF(ifood_data[[#This Row],[education_Basic]]=1,"High School",(IF(ifood_data[[#This Row],[education_Graduation]]=1,"Undergraduate Degree",(IF(SUM(AM473,AL473,AI473)&gt;0,"Master's Degree or Higher","Other")))))</f>
        <v>Undergraduate Degree</v>
      </c>
      <c r="AV473" t="str">
        <f>IF(ifood_data[[#All],[Income]]&gt;75000,"75K+",(IF(ifood_data[[#All],[Income]]&gt;50000,"50K-75K",(IF(ifood_data[[#All],[Income]]&gt;35000,"35K-50K","&lt;35K")))))</f>
        <v>50K-75K</v>
      </c>
      <c r="AW473" t="str">
        <f>IF(ifood_data[[#All],[Age]]&gt;60,"60+",(IF(ifood_data[[#All],[Age]]&gt;50,"50-60",(IF(ifood_data[[#All],[Age]]&gt;40,"40-50",(IF(ifood_data[[#All],[Age]]&gt;30,"30-40","&lt;30")))))))</f>
        <v>60+</v>
      </c>
      <c r="AX473">
        <f t="shared" si="28"/>
        <v>28</v>
      </c>
      <c r="AY473">
        <f t="shared" si="29"/>
        <v>1.9999999999999996</v>
      </c>
      <c r="AZ473">
        <f t="shared" si="30"/>
        <v>8</v>
      </c>
      <c r="BA473">
        <f t="shared" si="31"/>
        <v>7</v>
      </c>
      <c r="BB473">
        <f>SUM(ifood_data[[#This Row],[Recency Score]:[Monetary Score]])</f>
        <v>17</v>
      </c>
      <c r="BC473">
        <f>(_xlfn.PERCENTRANK.INC(ifood_data[[#All],[RFM]],ifood_data[[#This Row],[RFM]],1))*10</f>
        <v>6</v>
      </c>
      <c r="BD473" t="str">
        <f>VLOOKUP(ifood_data[[#This Row],[RFM Score]],'RFM Analysis'!$A$3:$B$14,2,FALSE)</f>
        <v>Promising</v>
      </c>
      <c r="BE473">
        <f>'Regression Models'!$B$101+'Regression Models'!$B$102*ifood_data[[#This Row],[Income]]+'Regression Models'!$B$103*ifood_data[[#This Row],[Age]]+'Regression Models'!$B$104*ifood_data[[#This Row],[Family]]</f>
        <v>964.7550047951039</v>
      </c>
      <c r="BF473" t="str">
        <f>IF(ifood_data[[#This Row],[AcceptedCmpOverall]]=1,"Campaign Respondent","Non-respondent")</f>
        <v>Non-respondent</v>
      </c>
    </row>
    <row r="474" spans="1:58" x14ac:dyDescent="0.35">
      <c r="A474">
        <v>1467</v>
      </c>
      <c r="B474">
        <v>61482</v>
      </c>
      <c r="C474">
        <v>0</v>
      </c>
      <c r="D474">
        <v>0</v>
      </c>
      <c r="E474">
        <v>39</v>
      </c>
      <c r="F474">
        <v>48</v>
      </c>
      <c r="G474">
        <v>58</v>
      </c>
      <c r="H474">
        <v>68</v>
      </c>
      <c r="I474">
        <v>16</v>
      </c>
      <c r="J474">
        <v>66</v>
      </c>
      <c r="K474">
        <v>43</v>
      </c>
      <c r="L474">
        <v>1</v>
      </c>
      <c r="M474">
        <v>3</v>
      </c>
      <c r="N474">
        <v>2</v>
      </c>
      <c r="O474">
        <v>6</v>
      </c>
      <c r="P474">
        <v>2</v>
      </c>
      <c r="Q474">
        <v>0</v>
      </c>
      <c r="R474">
        <v>0</v>
      </c>
      <c r="S474">
        <v>0</v>
      </c>
      <c r="T474">
        <v>0</v>
      </c>
      <c r="U474">
        <v>0</v>
      </c>
      <c r="V474">
        <f>IF(SUM(ifood_data[[#This Row],[AcceptedCmp1]:[AcceptedCmp5]])&gt;0,1,0)</f>
        <v>0</v>
      </c>
      <c r="W474">
        <v>0</v>
      </c>
      <c r="X474">
        <v>3</v>
      </c>
      <c r="Y474">
        <v>11</v>
      </c>
      <c r="Z474">
        <v>0</v>
      </c>
      <c r="AA474">
        <v>55</v>
      </c>
      <c r="AB474">
        <v>2161</v>
      </c>
      <c r="AC474" s="28">
        <f>ifood_data[[#This Row],[Customer_Days]]/365</f>
        <v>5.9205479452054792</v>
      </c>
      <c r="AD474">
        <v>0</v>
      </c>
      <c r="AE474">
        <v>1</v>
      </c>
      <c r="AF474">
        <v>0</v>
      </c>
      <c r="AG474">
        <v>0</v>
      </c>
      <c r="AH474">
        <v>0</v>
      </c>
      <c r="AI474">
        <v>0</v>
      </c>
      <c r="AJ474">
        <v>0</v>
      </c>
      <c r="AK474">
        <v>1</v>
      </c>
      <c r="AL474">
        <v>0</v>
      </c>
      <c r="AM474">
        <v>0</v>
      </c>
      <c r="AN474">
        <v>256</v>
      </c>
      <c r="AO474">
        <v>213</v>
      </c>
      <c r="AP474">
        <f>ifood_data[[#This Row],[MntTotal]]-ifood_data[[#This Row],[MntRegularProds]]</f>
        <v>43</v>
      </c>
      <c r="AQ474">
        <v>0</v>
      </c>
      <c r="AR474">
        <f>IF(SUM(ifood_data[[#This Row],[Kidhome]:[Teenhome]])&gt;0,1,0)</f>
        <v>0</v>
      </c>
      <c r="AS474" t="str">
        <f>IF(SUM(ifood_data[[#This Row],[Kidhome]:[Teenhome]])&gt;0,"Has Family","No Family")</f>
        <v>No Family</v>
      </c>
      <c r="AT474" t="str">
        <f>IF(ifood_data[[#This Row],[marital_Married]]=1,"Married", (IF(ifood_data[[#This Row],[marital_Single]]=1,"Single",(IF(ifood_data[[#This Row],[marital_Divorced]]=1,"Divorced",(IF(ifood_data[[#This Row],[marital_Together]]=1,"Living Together",(IF(ifood_data[[#This Row],[marital_Widow]]=1,"Widow","Other")))))))))</f>
        <v>Married</v>
      </c>
      <c r="AU474" t="str">
        <f>IF(ifood_data[[#This Row],[education_Basic]]=1,"High School",(IF(ifood_data[[#This Row],[education_Graduation]]=1,"Undergraduate Degree",(IF(SUM(AM474,AL474,AI474)&gt;0,"Master's Degree or Higher","Other")))))</f>
        <v>Undergraduate Degree</v>
      </c>
      <c r="AV474" t="str">
        <f>IF(ifood_data[[#All],[Income]]&gt;75000,"75K+",(IF(ifood_data[[#All],[Income]]&gt;50000,"50K-75K",(IF(ifood_data[[#All],[Income]]&gt;35000,"35K-50K","&lt;35K")))))</f>
        <v>50K-75K</v>
      </c>
      <c r="AW474" t="str">
        <f>IF(ifood_data[[#All],[Age]]&gt;60,"60+",(IF(ifood_data[[#All],[Age]]&gt;50,"50-60",(IF(ifood_data[[#All],[Age]]&gt;40,"40-50",(IF(ifood_data[[#All],[Age]]&gt;30,"30-40","&lt;30")))))))</f>
        <v>50-60</v>
      </c>
      <c r="AX474">
        <f t="shared" si="28"/>
        <v>14</v>
      </c>
      <c r="AY474">
        <f t="shared" si="29"/>
        <v>7</v>
      </c>
      <c r="AZ474">
        <f t="shared" si="30"/>
        <v>2</v>
      </c>
      <c r="BA474">
        <f t="shared" si="31"/>
        <v>4</v>
      </c>
      <c r="BB474">
        <f>SUM(ifood_data[[#This Row],[Recency Score]:[Monetary Score]])</f>
        <v>13</v>
      </c>
      <c r="BC474">
        <f>(_xlfn.PERCENTRANK.INC(ifood_data[[#All],[RFM]],ifood_data[[#This Row],[RFM]],1))*10</f>
        <v>3</v>
      </c>
      <c r="BD474" t="str">
        <f>VLOOKUP(ifood_data[[#This Row],[RFM Score]],'RFM Analysis'!$A$3:$B$14,2,FALSE)</f>
        <v>At Risk</v>
      </c>
      <c r="BE474">
        <f>'Regression Models'!$B$101+'Regression Models'!$B$102*ifood_data[[#This Row],[Income]]+'Regression Models'!$B$103*ifood_data[[#This Row],[Age]]+'Regression Models'!$B$104*ifood_data[[#This Row],[Family]]</f>
        <v>964.72283740953969</v>
      </c>
      <c r="BF474" t="str">
        <f>IF(ifood_data[[#This Row],[AcceptedCmpOverall]]=1,"Campaign Respondent","Non-respondent")</f>
        <v>Non-respondent</v>
      </c>
    </row>
    <row r="475" spans="1:58" x14ac:dyDescent="0.35">
      <c r="A475">
        <v>154</v>
      </c>
      <c r="B475">
        <v>62551</v>
      </c>
      <c r="C475">
        <v>0</v>
      </c>
      <c r="D475">
        <v>0</v>
      </c>
      <c r="E475">
        <v>27</v>
      </c>
      <c r="F475">
        <v>125</v>
      </c>
      <c r="G475">
        <v>16</v>
      </c>
      <c r="H475">
        <v>98</v>
      </c>
      <c r="I475">
        <v>134</v>
      </c>
      <c r="J475">
        <v>21</v>
      </c>
      <c r="K475">
        <v>27</v>
      </c>
      <c r="L475">
        <v>1</v>
      </c>
      <c r="M475">
        <v>6</v>
      </c>
      <c r="N475">
        <v>7</v>
      </c>
      <c r="O475">
        <v>4</v>
      </c>
      <c r="P475">
        <v>3</v>
      </c>
      <c r="Q475">
        <v>0</v>
      </c>
      <c r="R475">
        <v>0</v>
      </c>
      <c r="S475">
        <v>1</v>
      </c>
      <c r="T475">
        <v>0</v>
      </c>
      <c r="U475">
        <v>0</v>
      </c>
      <c r="V475">
        <f>IF(SUM(ifood_data[[#This Row],[AcceptedCmp1]:[AcceptedCmp5]])&gt;0,1,0)</f>
        <v>1</v>
      </c>
      <c r="W475">
        <v>0</v>
      </c>
      <c r="X475">
        <v>3</v>
      </c>
      <c r="Y475">
        <v>11</v>
      </c>
      <c r="Z475">
        <v>0</v>
      </c>
      <c r="AA475">
        <v>67</v>
      </c>
      <c r="AB475">
        <v>2382</v>
      </c>
      <c r="AC475" s="28">
        <f>ifood_data[[#This Row],[Customer_Days]]/365</f>
        <v>6.5260273972602736</v>
      </c>
      <c r="AD475">
        <v>1</v>
      </c>
      <c r="AE475">
        <v>0</v>
      </c>
      <c r="AF475">
        <v>0</v>
      </c>
      <c r="AG475">
        <v>0</v>
      </c>
      <c r="AH475">
        <v>0</v>
      </c>
      <c r="AI475">
        <v>0</v>
      </c>
      <c r="AJ475">
        <v>0</v>
      </c>
      <c r="AK475">
        <v>1</v>
      </c>
      <c r="AL475">
        <v>0</v>
      </c>
      <c r="AM475">
        <v>0</v>
      </c>
      <c r="AN475">
        <v>394</v>
      </c>
      <c r="AO475">
        <v>367</v>
      </c>
      <c r="AP475">
        <f>ifood_data[[#This Row],[MntTotal]]-ifood_data[[#This Row],[MntRegularProds]]</f>
        <v>27</v>
      </c>
      <c r="AQ475">
        <v>1</v>
      </c>
      <c r="AR475">
        <f>IF(SUM(ifood_data[[#This Row],[Kidhome]:[Teenhome]])&gt;0,1,0)</f>
        <v>0</v>
      </c>
      <c r="AS475" t="str">
        <f>IF(SUM(ifood_data[[#This Row],[Kidhome]:[Teenhome]])&gt;0,"Has Family","No Family")</f>
        <v>No Family</v>
      </c>
      <c r="AT475" t="str">
        <f>IF(ifood_data[[#This Row],[marital_Married]]=1,"Married", (IF(ifood_data[[#This Row],[marital_Single]]=1,"Single",(IF(ifood_data[[#This Row],[marital_Divorced]]=1,"Divorced",(IF(ifood_data[[#This Row],[marital_Together]]=1,"Living Together",(IF(ifood_data[[#This Row],[marital_Widow]]=1,"Widow","Other")))))))))</f>
        <v>Divorced</v>
      </c>
      <c r="AU475" t="str">
        <f>IF(ifood_data[[#This Row],[education_Basic]]=1,"High School",(IF(ifood_data[[#This Row],[education_Graduation]]=1,"Undergraduate Degree",(IF(SUM(AM475,AL475,AI475)&gt;0,"Master's Degree or Higher","Other")))))</f>
        <v>Undergraduate Degree</v>
      </c>
      <c r="AV475" t="str">
        <f>IF(ifood_data[[#All],[Income]]&gt;75000,"75K+",(IF(ifood_data[[#All],[Income]]&gt;50000,"50K-75K",(IF(ifood_data[[#All],[Income]]&gt;35000,"35K-50K","&lt;35K")))))</f>
        <v>50K-75K</v>
      </c>
      <c r="AW475" t="str">
        <f>IF(ifood_data[[#All],[Age]]&gt;60,"60+",(IF(ifood_data[[#All],[Age]]&gt;50,"50-60",(IF(ifood_data[[#All],[Age]]&gt;40,"40-50",(IF(ifood_data[[#All],[Age]]&gt;30,"30-40","&lt;30")))))))</f>
        <v>60+</v>
      </c>
      <c r="AX475">
        <f t="shared" si="28"/>
        <v>21</v>
      </c>
      <c r="AY475">
        <f t="shared" si="29"/>
        <v>8</v>
      </c>
      <c r="AZ475">
        <f t="shared" si="30"/>
        <v>5</v>
      </c>
      <c r="BA475">
        <f t="shared" si="31"/>
        <v>5</v>
      </c>
      <c r="BB475">
        <f>SUM(ifood_data[[#This Row],[Recency Score]:[Monetary Score]])</f>
        <v>18</v>
      </c>
      <c r="BC475">
        <f>(_xlfn.PERCENTRANK.INC(ifood_data[[#All],[RFM]],ifood_data[[#This Row],[RFM]],1))*10</f>
        <v>6</v>
      </c>
      <c r="BD475" t="str">
        <f>VLOOKUP(ifood_data[[#This Row],[RFM Score]],'RFM Analysis'!$A$3:$B$14,2,FALSE)</f>
        <v>Promising</v>
      </c>
      <c r="BE475">
        <f>'Regression Models'!$B$101+'Regression Models'!$B$102*ifood_data[[#This Row],[Income]]+'Regression Models'!$B$103*ifood_data[[#This Row],[Age]]+'Regression Models'!$B$104*ifood_data[[#This Row],[Family]]</f>
        <v>964.48116160863617</v>
      </c>
      <c r="BF475" t="str">
        <f>IF(ifood_data[[#This Row],[AcceptedCmpOverall]]=1,"Campaign Respondent","Non-respondent")</f>
        <v>Campaign Respondent</v>
      </c>
    </row>
    <row r="476" spans="1:58" x14ac:dyDescent="0.35">
      <c r="A476">
        <v>306</v>
      </c>
      <c r="B476">
        <v>62187</v>
      </c>
      <c r="C476">
        <v>0</v>
      </c>
      <c r="D476">
        <v>0</v>
      </c>
      <c r="E476">
        <v>49</v>
      </c>
      <c r="F476">
        <v>792</v>
      </c>
      <c r="G476">
        <v>0</v>
      </c>
      <c r="H476">
        <v>275</v>
      </c>
      <c r="I476">
        <v>45</v>
      </c>
      <c r="J476">
        <v>45</v>
      </c>
      <c r="K476">
        <v>126</v>
      </c>
      <c r="L476">
        <v>1</v>
      </c>
      <c r="M476">
        <v>4</v>
      </c>
      <c r="N476">
        <v>8</v>
      </c>
      <c r="O476">
        <v>5</v>
      </c>
      <c r="P476">
        <v>3</v>
      </c>
      <c r="Q476">
        <v>0</v>
      </c>
      <c r="R476">
        <v>0</v>
      </c>
      <c r="S476">
        <v>0</v>
      </c>
      <c r="T476">
        <v>0</v>
      </c>
      <c r="U476">
        <v>0</v>
      </c>
      <c r="V476">
        <f>IF(SUM(ifood_data[[#This Row],[AcceptedCmp1]:[AcceptedCmp5]])&gt;0,1,0)</f>
        <v>0</v>
      </c>
      <c r="W476">
        <v>0</v>
      </c>
      <c r="X476">
        <v>3</v>
      </c>
      <c r="Y476">
        <v>11</v>
      </c>
      <c r="Z476">
        <v>0</v>
      </c>
      <c r="AA476">
        <v>63</v>
      </c>
      <c r="AB476">
        <v>2518</v>
      </c>
      <c r="AC476" s="28">
        <f>ifood_data[[#This Row],[Customer_Days]]/365</f>
        <v>6.8986301369863012</v>
      </c>
      <c r="AD476">
        <v>0</v>
      </c>
      <c r="AE476">
        <v>1</v>
      </c>
      <c r="AF476">
        <v>0</v>
      </c>
      <c r="AG476">
        <v>0</v>
      </c>
      <c r="AH476">
        <v>0</v>
      </c>
      <c r="AI476">
        <v>0</v>
      </c>
      <c r="AJ476">
        <v>0</v>
      </c>
      <c r="AK476">
        <v>1</v>
      </c>
      <c r="AL476">
        <v>0</v>
      </c>
      <c r="AM476">
        <v>0</v>
      </c>
      <c r="AN476">
        <v>1157</v>
      </c>
      <c r="AO476">
        <v>1031</v>
      </c>
      <c r="AP476">
        <f>ifood_data[[#This Row],[MntTotal]]-ifood_data[[#This Row],[MntRegularProds]]</f>
        <v>126</v>
      </c>
      <c r="AQ476">
        <v>0</v>
      </c>
      <c r="AR476">
        <f>IF(SUM(ifood_data[[#This Row],[Kidhome]:[Teenhome]])&gt;0,1,0)</f>
        <v>0</v>
      </c>
      <c r="AS476" t="str">
        <f>IF(SUM(ifood_data[[#This Row],[Kidhome]:[Teenhome]])&gt;0,"Has Family","No Family")</f>
        <v>No Family</v>
      </c>
      <c r="AT476" t="str">
        <f>IF(ifood_data[[#This Row],[marital_Married]]=1,"Married", (IF(ifood_data[[#This Row],[marital_Single]]=1,"Single",(IF(ifood_data[[#This Row],[marital_Divorced]]=1,"Divorced",(IF(ifood_data[[#This Row],[marital_Together]]=1,"Living Together",(IF(ifood_data[[#This Row],[marital_Widow]]=1,"Widow","Other")))))))))</f>
        <v>Married</v>
      </c>
      <c r="AU476" t="str">
        <f>IF(ifood_data[[#This Row],[education_Basic]]=1,"High School",(IF(ifood_data[[#This Row],[education_Graduation]]=1,"Undergraduate Degree",(IF(SUM(AM476,AL476,AI476)&gt;0,"Master's Degree or Higher","Other")))))</f>
        <v>Undergraduate Degree</v>
      </c>
      <c r="AV476" t="str">
        <f>IF(ifood_data[[#All],[Income]]&gt;75000,"75K+",(IF(ifood_data[[#All],[Income]]&gt;50000,"50K-75K",(IF(ifood_data[[#All],[Income]]&gt;35000,"35K-50K","&lt;35K")))))</f>
        <v>50K-75K</v>
      </c>
      <c r="AW476" t="str">
        <f>IF(ifood_data[[#All],[Age]]&gt;60,"60+",(IF(ifood_data[[#All],[Age]]&gt;50,"50-60",(IF(ifood_data[[#All],[Age]]&gt;40,"40-50",(IF(ifood_data[[#All],[Age]]&gt;30,"30-40","&lt;30")))))))</f>
        <v>60+</v>
      </c>
      <c r="AX476">
        <f t="shared" si="28"/>
        <v>21</v>
      </c>
      <c r="AY476">
        <f t="shared" si="29"/>
        <v>6</v>
      </c>
      <c r="AZ476">
        <f t="shared" si="30"/>
        <v>5</v>
      </c>
      <c r="BA476">
        <f t="shared" si="31"/>
        <v>8</v>
      </c>
      <c r="BB476">
        <f>SUM(ifood_data[[#This Row],[Recency Score]:[Monetary Score]])</f>
        <v>19</v>
      </c>
      <c r="BC476">
        <f>(_xlfn.PERCENTRANK.INC(ifood_data[[#All],[RFM]],ifood_data[[#This Row],[RFM]],1))*10</f>
        <v>7</v>
      </c>
      <c r="BD476" t="str">
        <f>VLOOKUP(ifood_data[[#This Row],[RFM Score]],'RFM Analysis'!$A$3:$B$14,2,FALSE)</f>
        <v>Loyal Customer</v>
      </c>
      <c r="BE476">
        <f>'Regression Models'!$B$101+'Regression Models'!$B$102*ifood_data[[#This Row],[Income]]+'Regression Models'!$B$103*ifood_data[[#This Row],[Age]]+'Regression Models'!$B$104*ifood_data[[#This Row],[Family]]</f>
        <v>964.40540631983401</v>
      </c>
      <c r="BF476" t="str">
        <f>IF(ifood_data[[#This Row],[AcceptedCmpOverall]]=1,"Campaign Respondent","Non-respondent")</f>
        <v>Non-respondent</v>
      </c>
    </row>
    <row r="477" spans="1:58" x14ac:dyDescent="0.35">
      <c r="A477">
        <v>18</v>
      </c>
      <c r="B477">
        <v>76995</v>
      </c>
      <c r="C477">
        <v>0</v>
      </c>
      <c r="D477">
        <v>1</v>
      </c>
      <c r="E477">
        <v>91</v>
      </c>
      <c r="F477">
        <v>1012</v>
      </c>
      <c r="G477">
        <v>80</v>
      </c>
      <c r="H477">
        <v>498</v>
      </c>
      <c r="I477">
        <v>0</v>
      </c>
      <c r="J477">
        <v>16</v>
      </c>
      <c r="K477">
        <v>176</v>
      </c>
      <c r="L477">
        <v>2</v>
      </c>
      <c r="M477">
        <v>11</v>
      </c>
      <c r="N477">
        <v>4</v>
      </c>
      <c r="O477">
        <v>9</v>
      </c>
      <c r="P477">
        <v>5</v>
      </c>
      <c r="Q477">
        <v>1</v>
      </c>
      <c r="R477">
        <v>0</v>
      </c>
      <c r="S477">
        <v>0</v>
      </c>
      <c r="T477">
        <v>0</v>
      </c>
      <c r="U477">
        <v>0</v>
      </c>
      <c r="V477">
        <f>IF(SUM(ifood_data[[#This Row],[AcceptedCmp1]:[AcceptedCmp5]])&gt;0,1,0)</f>
        <v>1</v>
      </c>
      <c r="W477">
        <v>0</v>
      </c>
      <c r="X477">
        <v>3</v>
      </c>
      <c r="Y477">
        <v>11</v>
      </c>
      <c r="Z477">
        <v>0</v>
      </c>
      <c r="AA477">
        <v>71</v>
      </c>
      <c r="AB477">
        <v>2617</v>
      </c>
      <c r="AC477" s="28">
        <f>ifood_data[[#This Row],[Customer_Days]]/365</f>
        <v>7.1698630136986301</v>
      </c>
      <c r="AD477">
        <v>0</v>
      </c>
      <c r="AE477">
        <v>1</v>
      </c>
      <c r="AF477">
        <v>0</v>
      </c>
      <c r="AG477">
        <v>0</v>
      </c>
      <c r="AH477">
        <v>0</v>
      </c>
      <c r="AI477">
        <v>0</v>
      </c>
      <c r="AJ477">
        <v>0</v>
      </c>
      <c r="AK477">
        <v>0</v>
      </c>
      <c r="AL477">
        <v>1</v>
      </c>
      <c r="AM477">
        <v>0</v>
      </c>
      <c r="AN477">
        <v>1606</v>
      </c>
      <c r="AO477">
        <v>1430</v>
      </c>
      <c r="AP477">
        <f>ifood_data[[#This Row],[MntTotal]]-ifood_data[[#This Row],[MntRegularProds]]</f>
        <v>176</v>
      </c>
      <c r="AQ477">
        <v>1</v>
      </c>
      <c r="AR477">
        <f>IF(SUM(ifood_data[[#This Row],[Kidhome]:[Teenhome]])&gt;0,1,0)</f>
        <v>1</v>
      </c>
      <c r="AS477" t="str">
        <f>IF(SUM(ifood_data[[#This Row],[Kidhome]:[Teenhome]])&gt;0,"Has Family","No Family")</f>
        <v>Has Family</v>
      </c>
      <c r="AT477" t="str">
        <f>IF(ifood_data[[#This Row],[marital_Married]]=1,"Married", (IF(ifood_data[[#This Row],[marital_Single]]=1,"Single",(IF(ifood_data[[#This Row],[marital_Divorced]]=1,"Divorced",(IF(ifood_data[[#This Row],[marital_Together]]=1,"Living Together",(IF(ifood_data[[#This Row],[marital_Widow]]=1,"Widow","Other")))))))))</f>
        <v>Married</v>
      </c>
      <c r="AU477" t="str">
        <f>IF(ifood_data[[#This Row],[education_Basic]]=1,"High School",(IF(ifood_data[[#This Row],[education_Graduation]]=1,"Undergraduate Degree",(IF(SUM(AM477,AL477,AI477)&gt;0,"Master's Degree or Higher","Other")))))</f>
        <v>Master's Degree or Higher</v>
      </c>
      <c r="AV477" t="str">
        <f>IF(ifood_data[[#All],[Income]]&gt;75000,"75K+",(IF(ifood_data[[#All],[Income]]&gt;50000,"50K-75K",(IF(ifood_data[[#All],[Income]]&gt;35000,"35K-50K","&lt;35K")))))</f>
        <v>75K+</v>
      </c>
      <c r="AW477" t="str">
        <f>IF(ifood_data[[#All],[Age]]&gt;60,"60+",(IF(ifood_data[[#All],[Age]]&gt;50,"50-60",(IF(ifood_data[[#All],[Age]]&gt;40,"40-50",(IF(ifood_data[[#All],[Age]]&gt;30,"30-40","&lt;30")))))))</f>
        <v>60+</v>
      </c>
      <c r="AX477">
        <f t="shared" si="28"/>
        <v>31</v>
      </c>
      <c r="AY477">
        <f t="shared" si="29"/>
        <v>0.99999999999999978</v>
      </c>
      <c r="AZ477">
        <f t="shared" si="30"/>
        <v>9</v>
      </c>
      <c r="BA477">
        <f t="shared" si="31"/>
        <v>9</v>
      </c>
      <c r="BB477">
        <f>SUM(ifood_data[[#This Row],[Recency Score]:[Monetary Score]])</f>
        <v>19</v>
      </c>
      <c r="BC477">
        <f>(_xlfn.PERCENTRANK.INC(ifood_data[[#All],[RFM]],ifood_data[[#This Row],[RFM]],1))*10</f>
        <v>7</v>
      </c>
      <c r="BD477" t="str">
        <f>VLOOKUP(ifood_data[[#This Row],[RFM Score]],'RFM Analysis'!$A$3:$B$14,2,FALSE)</f>
        <v>Loyal Customer</v>
      </c>
      <c r="BE477">
        <f>'Regression Models'!$B$101+'Regression Models'!$B$102*ifood_data[[#This Row],[Income]]+'Regression Models'!$B$103*ifood_data[[#This Row],[Age]]+'Regression Models'!$B$104*ifood_data[[#This Row],[Family]]</f>
        <v>962.01714129051913</v>
      </c>
      <c r="BF477" t="str">
        <f>IF(ifood_data[[#This Row],[AcceptedCmpOverall]]=1,"Campaign Respondent","Non-respondent")</f>
        <v>Campaign Respondent</v>
      </c>
    </row>
    <row r="478" spans="1:58" x14ac:dyDescent="0.35">
      <c r="A478">
        <v>1181</v>
      </c>
      <c r="B478">
        <v>74716</v>
      </c>
      <c r="C478">
        <v>0</v>
      </c>
      <c r="D478">
        <v>1</v>
      </c>
      <c r="E478">
        <v>92</v>
      </c>
      <c r="F478">
        <v>133</v>
      </c>
      <c r="G478">
        <v>27</v>
      </c>
      <c r="H478">
        <v>421</v>
      </c>
      <c r="I478">
        <v>13</v>
      </c>
      <c r="J478">
        <v>195</v>
      </c>
      <c r="K478">
        <v>71</v>
      </c>
      <c r="L478">
        <v>2</v>
      </c>
      <c r="M478">
        <v>7</v>
      </c>
      <c r="N478">
        <v>3</v>
      </c>
      <c r="O478">
        <v>5</v>
      </c>
      <c r="P478">
        <v>4</v>
      </c>
      <c r="Q478">
        <v>0</v>
      </c>
      <c r="R478">
        <v>0</v>
      </c>
      <c r="S478">
        <v>0</v>
      </c>
      <c r="T478">
        <v>0</v>
      </c>
      <c r="U478">
        <v>0</v>
      </c>
      <c r="V478">
        <f>IF(SUM(ifood_data[[#This Row],[AcceptedCmp1]:[AcceptedCmp5]])&gt;0,1,0)</f>
        <v>0</v>
      </c>
      <c r="W478">
        <v>0</v>
      </c>
      <c r="X478">
        <v>3</v>
      </c>
      <c r="Y478">
        <v>11</v>
      </c>
      <c r="Z478">
        <v>0</v>
      </c>
      <c r="AA478">
        <v>48</v>
      </c>
      <c r="AB478">
        <v>2449</v>
      </c>
      <c r="AC478" s="28">
        <f>ifood_data[[#This Row],[Customer_Days]]/365</f>
        <v>6.7095890410958905</v>
      </c>
      <c r="AD478">
        <v>0</v>
      </c>
      <c r="AE478">
        <v>1</v>
      </c>
      <c r="AF478">
        <v>0</v>
      </c>
      <c r="AG478">
        <v>0</v>
      </c>
      <c r="AH478">
        <v>0</v>
      </c>
      <c r="AI478">
        <v>0</v>
      </c>
      <c r="AJ478">
        <v>0</v>
      </c>
      <c r="AK478">
        <v>1</v>
      </c>
      <c r="AL478">
        <v>0</v>
      </c>
      <c r="AM478">
        <v>0</v>
      </c>
      <c r="AN478">
        <v>789</v>
      </c>
      <c r="AO478">
        <v>718</v>
      </c>
      <c r="AP478">
        <f>ifood_data[[#This Row],[MntTotal]]-ifood_data[[#This Row],[MntRegularProds]]</f>
        <v>71</v>
      </c>
      <c r="AQ478">
        <v>0</v>
      </c>
      <c r="AR478">
        <f>IF(SUM(ifood_data[[#This Row],[Kidhome]:[Teenhome]])&gt;0,1,0)</f>
        <v>1</v>
      </c>
      <c r="AS478" t="str">
        <f>IF(SUM(ifood_data[[#This Row],[Kidhome]:[Teenhome]])&gt;0,"Has Family","No Family")</f>
        <v>Has Family</v>
      </c>
      <c r="AT478" t="str">
        <f>IF(ifood_data[[#This Row],[marital_Married]]=1,"Married", (IF(ifood_data[[#This Row],[marital_Single]]=1,"Single",(IF(ifood_data[[#This Row],[marital_Divorced]]=1,"Divorced",(IF(ifood_data[[#This Row],[marital_Together]]=1,"Living Together",(IF(ifood_data[[#This Row],[marital_Widow]]=1,"Widow","Other")))))))))</f>
        <v>Married</v>
      </c>
      <c r="AU478" t="str">
        <f>IF(ifood_data[[#This Row],[education_Basic]]=1,"High School",(IF(ifood_data[[#This Row],[education_Graduation]]=1,"Undergraduate Degree",(IF(SUM(AM478,AL478,AI478)&gt;0,"Master's Degree or Higher","Other")))))</f>
        <v>Undergraduate Degree</v>
      </c>
      <c r="AV478" t="str">
        <f>IF(ifood_data[[#All],[Income]]&gt;75000,"75K+",(IF(ifood_data[[#All],[Income]]&gt;50000,"50K-75K",(IF(ifood_data[[#All],[Income]]&gt;35000,"35K-50K","&lt;35K")))))</f>
        <v>50K-75K</v>
      </c>
      <c r="AW478" t="str">
        <f>IF(ifood_data[[#All],[Age]]&gt;60,"60+",(IF(ifood_data[[#All],[Age]]&gt;50,"50-60",(IF(ifood_data[[#All],[Age]]&gt;40,"40-50",(IF(ifood_data[[#All],[Age]]&gt;30,"30-40","&lt;30")))))))</f>
        <v>40-50</v>
      </c>
      <c r="AX478">
        <f t="shared" si="28"/>
        <v>21</v>
      </c>
      <c r="AY478">
        <f t="shared" si="29"/>
        <v>0.99999999999999978</v>
      </c>
      <c r="AZ478">
        <f t="shared" si="30"/>
        <v>5</v>
      </c>
      <c r="BA478">
        <f t="shared" si="31"/>
        <v>6</v>
      </c>
      <c r="BB478">
        <f>SUM(ifood_data[[#This Row],[Recency Score]:[Monetary Score]])</f>
        <v>12</v>
      </c>
      <c r="BC478">
        <f>(_xlfn.PERCENTRANK.INC(ifood_data[[#All],[RFM]],ifood_data[[#This Row],[RFM]],1))*10</f>
        <v>3</v>
      </c>
      <c r="BD478" t="str">
        <f>VLOOKUP(ifood_data[[#This Row],[RFM Score]],'RFM Analysis'!$A$3:$B$14,2,FALSE)</f>
        <v>At Risk</v>
      </c>
      <c r="BE478">
        <f>'Regression Models'!$B$101+'Regression Models'!$B$102*ifood_data[[#This Row],[Income]]+'Regression Models'!$B$103*ifood_data[[#This Row],[Age]]+'Regression Models'!$B$104*ifood_data[[#This Row],[Family]]</f>
        <v>957.78923750514207</v>
      </c>
      <c r="BF478" t="str">
        <f>IF(ifood_data[[#This Row],[AcceptedCmpOverall]]=1,"Campaign Respondent","Non-respondent")</f>
        <v>Non-respondent</v>
      </c>
    </row>
    <row r="479" spans="1:58" x14ac:dyDescent="0.35">
      <c r="A479">
        <v>65</v>
      </c>
      <c r="B479">
        <v>74854</v>
      </c>
      <c r="C479">
        <v>1</v>
      </c>
      <c r="D479">
        <v>2</v>
      </c>
      <c r="E479">
        <v>90</v>
      </c>
      <c r="F479">
        <v>856</v>
      </c>
      <c r="G479">
        <v>59</v>
      </c>
      <c r="H479">
        <v>487</v>
      </c>
      <c r="I479">
        <v>58</v>
      </c>
      <c r="J479">
        <v>29</v>
      </c>
      <c r="K479">
        <v>73</v>
      </c>
      <c r="L479">
        <v>7</v>
      </c>
      <c r="M479">
        <v>2</v>
      </c>
      <c r="N479">
        <v>5</v>
      </c>
      <c r="O479">
        <v>5</v>
      </c>
      <c r="P479">
        <v>5</v>
      </c>
      <c r="Q479">
        <v>0</v>
      </c>
      <c r="R479">
        <v>0</v>
      </c>
      <c r="S479">
        <v>0</v>
      </c>
      <c r="T479">
        <v>0</v>
      </c>
      <c r="U479">
        <v>0</v>
      </c>
      <c r="V479">
        <f>IF(SUM(ifood_data[[#This Row],[AcceptedCmp1]:[AcceptedCmp5]])&gt;0,1,0)</f>
        <v>0</v>
      </c>
      <c r="W479">
        <v>0</v>
      </c>
      <c r="X479">
        <v>3</v>
      </c>
      <c r="Y479">
        <v>11</v>
      </c>
      <c r="Z479">
        <v>0</v>
      </c>
      <c r="AA479">
        <v>50</v>
      </c>
      <c r="AB479">
        <v>2606</v>
      </c>
      <c r="AC479" s="28">
        <f>ifood_data[[#This Row],[Customer_Days]]/365</f>
        <v>7.13972602739726</v>
      </c>
      <c r="AD479">
        <v>0</v>
      </c>
      <c r="AE479">
        <v>0</v>
      </c>
      <c r="AF479">
        <v>0</v>
      </c>
      <c r="AG479">
        <v>1</v>
      </c>
      <c r="AH479">
        <v>0</v>
      </c>
      <c r="AI479">
        <v>0</v>
      </c>
      <c r="AJ479">
        <v>0</v>
      </c>
      <c r="AK479">
        <v>1</v>
      </c>
      <c r="AL479">
        <v>0</v>
      </c>
      <c r="AM479">
        <v>0</v>
      </c>
      <c r="AN479">
        <v>1489</v>
      </c>
      <c r="AO479">
        <v>1416</v>
      </c>
      <c r="AP479">
        <f>ifood_data[[#This Row],[MntTotal]]-ifood_data[[#This Row],[MntRegularProds]]</f>
        <v>73</v>
      </c>
      <c r="AQ479">
        <v>0</v>
      </c>
      <c r="AR479">
        <f>IF(SUM(ifood_data[[#This Row],[Kidhome]:[Teenhome]])&gt;0,1,0)</f>
        <v>1</v>
      </c>
      <c r="AS479" t="str">
        <f>IF(SUM(ifood_data[[#This Row],[Kidhome]:[Teenhome]])&gt;0,"Has Family","No Family")</f>
        <v>Has Family</v>
      </c>
      <c r="AT479" t="str">
        <f>IF(ifood_data[[#This Row],[marital_Married]]=1,"Married", (IF(ifood_data[[#This Row],[marital_Single]]=1,"Single",(IF(ifood_data[[#This Row],[marital_Divorced]]=1,"Divorced",(IF(ifood_data[[#This Row],[marital_Together]]=1,"Living Together",(IF(ifood_data[[#This Row],[marital_Widow]]=1,"Widow","Other")))))))))</f>
        <v>Living Together</v>
      </c>
      <c r="AU479" t="str">
        <f>IF(ifood_data[[#This Row],[education_Basic]]=1,"High School",(IF(ifood_data[[#This Row],[education_Graduation]]=1,"Undergraduate Degree",(IF(SUM(AM479,AL479,AI479)&gt;0,"Master's Degree or Higher","Other")))))</f>
        <v>Undergraduate Degree</v>
      </c>
      <c r="AV479" t="str">
        <f>IF(ifood_data[[#All],[Income]]&gt;75000,"75K+",(IF(ifood_data[[#All],[Income]]&gt;50000,"50K-75K",(IF(ifood_data[[#All],[Income]]&gt;35000,"35K-50K","&lt;35K")))))</f>
        <v>50K-75K</v>
      </c>
      <c r="AW479" t="str">
        <f>IF(ifood_data[[#All],[Age]]&gt;60,"60+",(IF(ifood_data[[#All],[Age]]&gt;50,"50-60",(IF(ifood_data[[#All],[Age]]&gt;40,"40-50",(IF(ifood_data[[#All],[Age]]&gt;30,"30-40","&lt;30")))))))</f>
        <v>40-50</v>
      </c>
      <c r="AX479">
        <f t="shared" si="28"/>
        <v>24</v>
      </c>
      <c r="AY479">
        <f t="shared" si="29"/>
        <v>0.99999999999999978</v>
      </c>
      <c r="AZ479">
        <f t="shared" si="30"/>
        <v>6</v>
      </c>
      <c r="BA479">
        <f t="shared" si="31"/>
        <v>9</v>
      </c>
      <c r="BB479">
        <f>SUM(ifood_data[[#This Row],[Recency Score]:[Monetary Score]])</f>
        <v>16</v>
      </c>
      <c r="BC479">
        <f>(_xlfn.PERCENTRANK.INC(ifood_data[[#All],[RFM]],ifood_data[[#This Row],[RFM]],1))*10</f>
        <v>5</v>
      </c>
      <c r="BD479" t="str">
        <f>VLOOKUP(ifood_data[[#This Row],[RFM Score]],'RFM Analysis'!$A$3:$B$14,2,FALSE)</f>
        <v>Promising</v>
      </c>
      <c r="BE479">
        <f>'Regression Models'!$B$101+'Regression Models'!$B$102*ifood_data[[#This Row],[Income]]+'Regression Models'!$B$103*ifood_data[[#This Row],[Age]]+'Regression Models'!$B$104*ifood_data[[#This Row],[Family]]</f>
        <v>956.93000935121165</v>
      </c>
      <c r="BF479" t="str">
        <f>IF(ifood_data[[#This Row],[AcceptedCmpOverall]]=1,"Campaign Respondent","Non-respondent")</f>
        <v>Non-respondent</v>
      </c>
    </row>
    <row r="480" spans="1:58" x14ac:dyDescent="0.35">
      <c r="A480">
        <v>748</v>
      </c>
      <c r="B480">
        <v>62847</v>
      </c>
      <c r="C480">
        <v>0</v>
      </c>
      <c r="D480">
        <v>0</v>
      </c>
      <c r="E480">
        <v>45</v>
      </c>
      <c r="F480">
        <v>521</v>
      </c>
      <c r="G480">
        <v>168</v>
      </c>
      <c r="H480">
        <v>706</v>
      </c>
      <c r="I480">
        <v>80</v>
      </c>
      <c r="J480">
        <v>76</v>
      </c>
      <c r="K480">
        <v>61</v>
      </c>
      <c r="L480">
        <v>1</v>
      </c>
      <c r="M480">
        <v>3</v>
      </c>
      <c r="N480">
        <v>6</v>
      </c>
      <c r="O480">
        <v>4</v>
      </c>
      <c r="P480">
        <v>2</v>
      </c>
      <c r="Q480">
        <v>0</v>
      </c>
      <c r="R480">
        <v>0</v>
      </c>
      <c r="S480">
        <v>0</v>
      </c>
      <c r="T480">
        <v>0</v>
      </c>
      <c r="U480">
        <v>0</v>
      </c>
      <c r="V480">
        <f>IF(SUM(ifood_data[[#This Row],[AcceptedCmp1]:[AcceptedCmp5]])&gt;0,1,0)</f>
        <v>0</v>
      </c>
      <c r="W480">
        <v>0</v>
      </c>
      <c r="X480">
        <v>3</v>
      </c>
      <c r="Y480">
        <v>11</v>
      </c>
      <c r="Z480">
        <v>0</v>
      </c>
      <c r="AA480">
        <v>75</v>
      </c>
      <c r="AB480">
        <v>2689</v>
      </c>
      <c r="AC480" s="28">
        <f>ifood_data[[#This Row],[Customer_Days]]/365</f>
        <v>7.3671232876712329</v>
      </c>
      <c r="AD480">
        <v>0</v>
      </c>
      <c r="AE480">
        <v>0</v>
      </c>
      <c r="AF480">
        <v>0</v>
      </c>
      <c r="AG480">
        <v>1</v>
      </c>
      <c r="AH480">
        <v>0</v>
      </c>
      <c r="AI480">
        <v>0</v>
      </c>
      <c r="AJ480">
        <v>0</v>
      </c>
      <c r="AK480">
        <v>0</v>
      </c>
      <c r="AL480">
        <v>1</v>
      </c>
      <c r="AM480">
        <v>0</v>
      </c>
      <c r="AN480">
        <v>1551</v>
      </c>
      <c r="AO480">
        <v>1490</v>
      </c>
      <c r="AP480">
        <f>ifood_data[[#This Row],[MntTotal]]-ifood_data[[#This Row],[MntRegularProds]]</f>
        <v>61</v>
      </c>
      <c r="AQ480">
        <v>0</v>
      </c>
      <c r="AR480">
        <f>IF(SUM(ifood_data[[#This Row],[Kidhome]:[Teenhome]])&gt;0,1,0)</f>
        <v>0</v>
      </c>
      <c r="AS480" t="str">
        <f>IF(SUM(ifood_data[[#This Row],[Kidhome]:[Teenhome]])&gt;0,"Has Family","No Family")</f>
        <v>No Family</v>
      </c>
      <c r="AT480" t="str">
        <f>IF(ifood_data[[#This Row],[marital_Married]]=1,"Married", (IF(ifood_data[[#This Row],[marital_Single]]=1,"Single",(IF(ifood_data[[#This Row],[marital_Divorced]]=1,"Divorced",(IF(ifood_data[[#This Row],[marital_Together]]=1,"Living Together",(IF(ifood_data[[#This Row],[marital_Widow]]=1,"Widow","Other")))))))))</f>
        <v>Living Together</v>
      </c>
      <c r="AU480" t="str">
        <f>IF(ifood_data[[#This Row],[education_Basic]]=1,"High School",(IF(ifood_data[[#This Row],[education_Graduation]]=1,"Undergraduate Degree",(IF(SUM(AM480,AL480,AI480)&gt;0,"Master's Degree or Higher","Other")))))</f>
        <v>Master's Degree or Higher</v>
      </c>
      <c r="AV480" t="str">
        <f>IF(ifood_data[[#All],[Income]]&gt;75000,"75K+",(IF(ifood_data[[#All],[Income]]&gt;50000,"50K-75K",(IF(ifood_data[[#All],[Income]]&gt;35000,"35K-50K","&lt;35K")))))</f>
        <v>50K-75K</v>
      </c>
      <c r="AW480" t="str">
        <f>IF(ifood_data[[#All],[Age]]&gt;60,"60+",(IF(ifood_data[[#All],[Age]]&gt;50,"50-60",(IF(ifood_data[[#All],[Age]]&gt;40,"40-50",(IF(ifood_data[[#All],[Age]]&gt;30,"30-40","&lt;30")))))))</f>
        <v>60+</v>
      </c>
      <c r="AX480">
        <f t="shared" si="28"/>
        <v>16</v>
      </c>
      <c r="AY480">
        <f t="shared" si="29"/>
        <v>6</v>
      </c>
      <c r="AZ480">
        <f t="shared" si="30"/>
        <v>3</v>
      </c>
      <c r="BA480">
        <f t="shared" si="31"/>
        <v>9</v>
      </c>
      <c r="BB480">
        <f>SUM(ifood_data[[#This Row],[Recency Score]:[Monetary Score]])</f>
        <v>18</v>
      </c>
      <c r="BC480">
        <f>(_xlfn.PERCENTRANK.INC(ifood_data[[#All],[RFM]],ifood_data[[#This Row],[RFM]],1))*10</f>
        <v>6</v>
      </c>
      <c r="BD480" t="str">
        <f>VLOOKUP(ifood_data[[#This Row],[RFM Score]],'RFM Analysis'!$A$3:$B$14,2,FALSE)</f>
        <v>Promising</v>
      </c>
      <c r="BE480">
        <f>'Regression Models'!$B$101+'Regression Models'!$B$102*ifood_data[[#This Row],[Income]]+'Regression Models'!$B$103*ifood_data[[#This Row],[Age]]+'Regression Models'!$B$104*ifood_data[[#This Row],[Family]]</f>
        <v>955.8247243480763</v>
      </c>
      <c r="BF480" t="str">
        <f>IF(ifood_data[[#This Row],[AcceptedCmpOverall]]=1,"Campaign Respondent","Non-respondent")</f>
        <v>Non-respondent</v>
      </c>
    </row>
    <row r="481" spans="1:58" x14ac:dyDescent="0.35">
      <c r="A481">
        <v>410</v>
      </c>
      <c r="B481">
        <v>75236</v>
      </c>
      <c r="C481">
        <v>0</v>
      </c>
      <c r="D481">
        <v>1</v>
      </c>
      <c r="E481">
        <v>27</v>
      </c>
      <c r="F481">
        <v>438</v>
      </c>
      <c r="G481">
        <v>66</v>
      </c>
      <c r="H481">
        <v>400</v>
      </c>
      <c r="I481">
        <v>12</v>
      </c>
      <c r="J481">
        <v>38</v>
      </c>
      <c r="K481">
        <v>114</v>
      </c>
      <c r="L481">
        <v>1</v>
      </c>
      <c r="M481">
        <v>8</v>
      </c>
      <c r="N481">
        <v>3</v>
      </c>
      <c r="O481">
        <v>13</v>
      </c>
      <c r="P481">
        <v>4</v>
      </c>
      <c r="Q481">
        <v>0</v>
      </c>
      <c r="R481">
        <v>0</v>
      </c>
      <c r="S481">
        <v>0</v>
      </c>
      <c r="T481">
        <v>0</v>
      </c>
      <c r="U481">
        <v>0</v>
      </c>
      <c r="V481">
        <f>IF(SUM(ifood_data[[#This Row],[AcceptedCmp1]:[AcceptedCmp5]])&gt;0,1,0)</f>
        <v>0</v>
      </c>
      <c r="W481">
        <v>0</v>
      </c>
      <c r="X481">
        <v>3</v>
      </c>
      <c r="Y481">
        <v>11</v>
      </c>
      <c r="Z481">
        <v>0</v>
      </c>
      <c r="AA481">
        <v>56</v>
      </c>
      <c r="AB481">
        <v>2375</v>
      </c>
      <c r="AC481" s="28">
        <f>ifood_data[[#This Row],[Customer_Days]]/365</f>
        <v>6.506849315068493</v>
      </c>
      <c r="AD481">
        <v>0</v>
      </c>
      <c r="AE481">
        <v>1</v>
      </c>
      <c r="AF481">
        <v>0</v>
      </c>
      <c r="AG481">
        <v>0</v>
      </c>
      <c r="AH481">
        <v>0</v>
      </c>
      <c r="AI481">
        <v>0</v>
      </c>
      <c r="AJ481">
        <v>0</v>
      </c>
      <c r="AK481">
        <v>1</v>
      </c>
      <c r="AL481">
        <v>0</v>
      </c>
      <c r="AM481">
        <v>0</v>
      </c>
      <c r="AN481">
        <v>954</v>
      </c>
      <c r="AO481">
        <v>840</v>
      </c>
      <c r="AP481">
        <f>ifood_data[[#This Row],[MntTotal]]-ifood_data[[#This Row],[MntRegularProds]]</f>
        <v>114</v>
      </c>
      <c r="AQ481">
        <v>0</v>
      </c>
      <c r="AR481">
        <f>IF(SUM(ifood_data[[#This Row],[Kidhome]:[Teenhome]])&gt;0,1,0)</f>
        <v>1</v>
      </c>
      <c r="AS481" t="str">
        <f>IF(SUM(ifood_data[[#This Row],[Kidhome]:[Teenhome]])&gt;0,"Has Family","No Family")</f>
        <v>Has Family</v>
      </c>
      <c r="AT481" t="str">
        <f>IF(ifood_data[[#This Row],[marital_Married]]=1,"Married", (IF(ifood_data[[#This Row],[marital_Single]]=1,"Single",(IF(ifood_data[[#This Row],[marital_Divorced]]=1,"Divorced",(IF(ifood_data[[#This Row],[marital_Together]]=1,"Living Together",(IF(ifood_data[[#This Row],[marital_Widow]]=1,"Widow","Other")))))))))</f>
        <v>Married</v>
      </c>
      <c r="AU481" t="str">
        <f>IF(ifood_data[[#This Row],[education_Basic]]=1,"High School",(IF(ifood_data[[#This Row],[education_Graduation]]=1,"Undergraduate Degree",(IF(SUM(AM481,AL481,AI481)&gt;0,"Master's Degree or Higher","Other")))))</f>
        <v>Undergraduate Degree</v>
      </c>
      <c r="AV481" t="str">
        <f>IF(ifood_data[[#All],[Income]]&gt;75000,"75K+",(IF(ifood_data[[#All],[Income]]&gt;50000,"50K-75K",(IF(ifood_data[[#All],[Income]]&gt;35000,"35K-50K","&lt;35K")))))</f>
        <v>75K+</v>
      </c>
      <c r="AW481" t="str">
        <f>IF(ifood_data[[#All],[Age]]&gt;60,"60+",(IF(ifood_data[[#All],[Age]]&gt;50,"50-60",(IF(ifood_data[[#All],[Age]]&gt;40,"40-50",(IF(ifood_data[[#All],[Age]]&gt;30,"30-40","&lt;30")))))))</f>
        <v>50-60</v>
      </c>
      <c r="AX481">
        <f t="shared" si="28"/>
        <v>29</v>
      </c>
      <c r="AY481">
        <f t="shared" si="29"/>
        <v>8</v>
      </c>
      <c r="AZ481">
        <f t="shared" si="30"/>
        <v>8</v>
      </c>
      <c r="BA481">
        <f t="shared" si="31"/>
        <v>7</v>
      </c>
      <c r="BB481">
        <f>SUM(ifood_data[[#This Row],[Recency Score]:[Monetary Score]])</f>
        <v>23</v>
      </c>
      <c r="BC481">
        <f>(_xlfn.PERCENTRANK.INC(ifood_data[[#All],[RFM]],ifood_data[[#This Row],[RFM]],1))*10</f>
        <v>8</v>
      </c>
      <c r="BD481" t="str">
        <f>VLOOKUP(ifood_data[[#This Row],[RFM Score]],'RFM Analysis'!$A$3:$B$14,2,FALSE)</f>
        <v>Loyal Customer</v>
      </c>
      <c r="BE481">
        <f>'Regression Models'!$B$101+'Regression Models'!$B$102*ifood_data[[#This Row],[Income]]+'Regression Models'!$B$103*ifood_data[[#This Row],[Age]]+'Regression Models'!$B$104*ifood_data[[#This Row],[Family]]</f>
        <v>953.69988430881551</v>
      </c>
      <c r="BF481" t="str">
        <f>IF(ifood_data[[#This Row],[AcceptedCmpOverall]]=1,"Campaign Respondent","Non-respondent")</f>
        <v>Non-respondent</v>
      </c>
    </row>
    <row r="482" spans="1:58" x14ac:dyDescent="0.35">
      <c r="A482">
        <v>1184</v>
      </c>
      <c r="B482">
        <v>74190</v>
      </c>
      <c r="C482">
        <v>0</v>
      </c>
      <c r="D482">
        <v>1</v>
      </c>
      <c r="E482">
        <v>49</v>
      </c>
      <c r="F482">
        <v>151</v>
      </c>
      <c r="G482">
        <v>81</v>
      </c>
      <c r="H482">
        <v>86</v>
      </c>
      <c r="I482">
        <v>168</v>
      </c>
      <c r="J482">
        <v>91</v>
      </c>
      <c r="K482">
        <v>64</v>
      </c>
      <c r="L482">
        <v>2</v>
      </c>
      <c r="M482">
        <v>4</v>
      </c>
      <c r="N482">
        <v>2</v>
      </c>
      <c r="O482">
        <v>11</v>
      </c>
      <c r="P482">
        <v>2</v>
      </c>
      <c r="Q482">
        <v>0</v>
      </c>
      <c r="R482">
        <v>0</v>
      </c>
      <c r="S482">
        <v>0</v>
      </c>
      <c r="T482">
        <v>0</v>
      </c>
      <c r="U482">
        <v>0</v>
      </c>
      <c r="V482">
        <f>IF(SUM(ifood_data[[#This Row],[AcceptedCmp1]:[AcceptedCmp5]])&gt;0,1,0)</f>
        <v>0</v>
      </c>
      <c r="W482">
        <v>0</v>
      </c>
      <c r="X482">
        <v>3</v>
      </c>
      <c r="Y482">
        <v>11</v>
      </c>
      <c r="Z482">
        <v>0</v>
      </c>
      <c r="AA482">
        <v>45</v>
      </c>
      <c r="AB482">
        <v>2207</v>
      </c>
      <c r="AC482" s="28">
        <f>ifood_data[[#This Row],[Customer_Days]]/365</f>
        <v>6.0465753424657533</v>
      </c>
      <c r="AD482">
        <v>0</v>
      </c>
      <c r="AE482">
        <v>1</v>
      </c>
      <c r="AF482">
        <v>0</v>
      </c>
      <c r="AG482">
        <v>0</v>
      </c>
      <c r="AH482">
        <v>0</v>
      </c>
      <c r="AI482">
        <v>0</v>
      </c>
      <c r="AJ482">
        <v>0</v>
      </c>
      <c r="AK482">
        <v>1</v>
      </c>
      <c r="AL482">
        <v>0</v>
      </c>
      <c r="AM482">
        <v>0</v>
      </c>
      <c r="AN482">
        <v>577</v>
      </c>
      <c r="AO482">
        <v>513</v>
      </c>
      <c r="AP482">
        <f>ifood_data[[#This Row],[MntTotal]]-ifood_data[[#This Row],[MntRegularProds]]</f>
        <v>64</v>
      </c>
      <c r="AQ482">
        <v>0</v>
      </c>
      <c r="AR482">
        <f>IF(SUM(ifood_data[[#This Row],[Kidhome]:[Teenhome]])&gt;0,1,0)</f>
        <v>1</v>
      </c>
      <c r="AS482" t="str">
        <f>IF(SUM(ifood_data[[#This Row],[Kidhome]:[Teenhome]])&gt;0,"Has Family","No Family")</f>
        <v>Has Family</v>
      </c>
      <c r="AT482" t="str">
        <f>IF(ifood_data[[#This Row],[marital_Married]]=1,"Married", (IF(ifood_data[[#This Row],[marital_Single]]=1,"Single",(IF(ifood_data[[#This Row],[marital_Divorced]]=1,"Divorced",(IF(ifood_data[[#This Row],[marital_Together]]=1,"Living Together",(IF(ifood_data[[#This Row],[marital_Widow]]=1,"Widow","Other")))))))))</f>
        <v>Married</v>
      </c>
      <c r="AU482" t="str">
        <f>IF(ifood_data[[#This Row],[education_Basic]]=1,"High School",(IF(ifood_data[[#This Row],[education_Graduation]]=1,"Undergraduate Degree",(IF(SUM(AM482,AL482,AI482)&gt;0,"Master's Degree or Higher","Other")))))</f>
        <v>Undergraduate Degree</v>
      </c>
      <c r="AV482" t="str">
        <f>IF(ifood_data[[#All],[Income]]&gt;75000,"75K+",(IF(ifood_data[[#All],[Income]]&gt;50000,"50K-75K",(IF(ifood_data[[#All],[Income]]&gt;35000,"35K-50K","&lt;35K")))))</f>
        <v>50K-75K</v>
      </c>
      <c r="AW482" t="str">
        <f>IF(ifood_data[[#All],[Age]]&gt;60,"60+",(IF(ifood_data[[#All],[Age]]&gt;50,"50-60",(IF(ifood_data[[#All],[Age]]&gt;40,"40-50",(IF(ifood_data[[#All],[Age]]&gt;30,"30-40","&lt;30")))))))</f>
        <v>40-50</v>
      </c>
      <c r="AX482">
        <f t="shared" si="28"/>
        <v>21</v>
      </c>
      <c r="AY482">
        <f t="shared" si="29"/>
        <v>6</v>
      </c>
      <c r="AZ482">
        <f t="shared" si="30"/>
        <v>5</v>
      </c>
      <c r="BA482">
        <f t="shared" si="31"/>
        <v>6</v>
      </c>
      <c r="BB482">
        <f>SUM(ifood_data[[#This Row],[Recency Score]:[Monetary Score]])</f>
        <v>17</v>
      </c>
      <c r="BC482">
        <f>(_xlfn.PERCENTRANK.INC(ifood_data[[#All],[RFM]],ifood_data[[#This Row],[RFM]],1))*10</f>
        <v>6</v>
      </c>
      <c r="BD482" t="str">
        <f>VLOOKUP(ifood_data[[#This Row],[RFM Score]],'RFM Analysis'!$A$3:$B$14,2,FALSE)</f>
        <v>Promising</v>
      </c>
      <c r="BE482">
        <f>'Regression Models'!$B$101+'Regression Models'!$B$102*ifood_data[[#This Row],[Income]]+'Regression Models'!$B$103*ifood_data[[#This Row],[Age]]+'Regression Models'!$B$104*ifood_data[[#This Row],[Family]]</f>
        <v>952.5740626981343</v>
      </c>
      <c r="BF482" t="str">
        <f>IF(ifood_data[[#This Row],[AcceptedCmpOverall]]=1,"Campaign Respondent","Non-respondent")</f>
        <v>Non-respondent</v>
      </c>
    </row>
    <row r="483" spans="1:58" x14ac:dyDescent="0.35">
      <c r="A483">
        <v>1995</v>
      </c>
      <c r="B483">
        <v>73807</v>
      </c>
      <c r="C483">
        <v>0</v>
      </c>
      <c r="D483">
        <v>1</v>
      </c>
      <c r="E483">
        <v>88</v>
      </c>
      <c r="F483">
        <v>366</v>
      </c>
      <c r="G483">
        <v>124</v>
      </c>
      <c r="H483">
        <v>156</v>
      </c>
      <c r="I483">
        <v>71</v>
      </c>
      <c r="J483">
        <v>78</v>
      </c>
      <c r="K483">
        <v>54</v>
      </c>
      <c r="L483">
        <v>2</v>
      </c>
      <c r="M483">
        <v>5</v>
      </c>
      <c r="N483">
        <v>5</v>
      </c>
      <c r="O483">
        <v>11</v>
      </c>
      <c r="P483">
        <v>2</v>
      </c>
      <c r="Q483">
        <v>0</v>
      </c>
      <c r="R483">
        <v>0</v>
      </c>
      <c r="S483">
        <v>0</v>
      </c>
      <c r="T483">
        <v>0</v>
      </c>
      <c r="U483">
        <v>0</v>
      </c>
      <c r="V483">
        <f>IF(SUM(ifood_data[[#This Row],[AcceptedCmp1]:[AcceptedCmp5]])&gt;0,1,0)</f>
        <v>0</v>
      </c>
      <c r="W483">
        <v>0</v>
      </c>
      <c r="X483">
        <v>3</v>
      </c>
      <c r="Y483">
        <v>11</v>
      </c>
      <c r="Z483">
        <v>0</v>
      </c>
      <c r="AA483">
        <v>42</v>
      </c>
      <c r="AB483">
        <v>2702</v>
      </c>
      <c r="AC483" s="28">
        <f>ifood_data[[#This Row],[Customer_Days]]/365</f>
        <v>7.4027397260273968</v>
      </c>
      <c r="AD483">
        <v>0</v>
      </c>
      <c r="AE483">
        <v>1</v>
      </c>
      <c r="AF483">
        <v>0</v>
      </c>
      <c r="AG483">
        <v>0</v>
      </c>
      <c r="AH483">
        <v>0</v>
      </c>
      <c r="AI483">
        <v>0</v>
      </c>
      <c r="AJ483">
        <v>0</v>
      </c>
      <c r="AK483">
        <v>1</v>
      </c>
      <c r="AL483">
        <v>0</v>
      </c>
      <c r="AM483">
        <v>0</v>
      </c>
      <c r="AN483">
        <v>795</v>
      </c>
      <c r="AO483">
        <v>741</v>
      </c>
      <c r="AP483">
        <f>ifood_data[[#This Row],[MntTotal]]-ifood_data[[#This Row],[MntRegularProds]]</f>
        <v>54</v>
      </c>
      <c r="AQ483">
        <v>0</v>
      </c>
      <c r="AR483">
        <f>IF(SUM(ifood_data[[#This Row],[Kidhome]:[Teenhome]])&gt;0,1,0)</f>
        <v>1</v>
      </c>
      <c r="AS483" t="str">
        <f>IF(SUM(ifood_data[[#This Row],[Kidhome]:[Teenhome]])&gt;0,"Has Family","No Family")</f>
        <v>Has Family</v>
      </c>
      <c r="AT483" t="str">
        <f>IF(ifood_data[[#This Row],[marital_Married]]=1,"Married", (IF(ifood_data[[#This Row],[marital_Single]]=1,"Single",(IF(ifood_data[[#This Row],[marital_Divorced]]=1,"Divorced",(IF(ifood_data[[#This Row],[marital_Together]]=1,"Living Together",(IF(ifood_data[[#This Row],[marital_Widow]]=1,"Widow","Other")))))))))</f>
        <v>Married</v>
      </c>
      <c r="AU483" t="str">
        <f>IF(ifood_data[[#This Row],[education_Basic]]=1,"High School",(IF(ifood_data[[#This Row],[education_Graduation]]=1,"Undergraduate Degree",(IF(SUM(AM483,AL483,AI483)&gt;0,"Master's Degree or Higher","Other")))))</f>
        <v>Undergraduate Degree</v>
      </c>
      <c r="AV483" t="str">
        <f>IF(ifood_data[[#All],[Income]]&gt;75000,"75K+",(IF(ifood_data[[#All],[Income]]&gt;50000,"50K-75K",(IF(ifood_data[[#All],[Income]]&gt;35000,"35K-50K","&lt;35K")))))</f>
        <v>50K-75K</v>
      </c>
      <c r="AW483" t="str">
        <f>IF(ifood_data[[#All],[Age]]&gt;60,"60+",(IF(ifood_data[[#All],[Age]]&gt;50,"50-60",(IF(ifood_data[[#All],[Age]]&gt;40,"40-50",(IF(ifood_data[[#All],[Age]]&gt;30,"30-40","&lt;30")))))))</f>
        <v>40-50</v>
      </c>
      <c r="AX483">
        <f t="shared" si="28"/>
        <v>25</v>
      </c>
      <c r="AY483">
        <f t="shared" si="29"/>
        <v>1.9999999999999996</v>
      </c>
      <c r="AZ483">
        <f t="shared" si="30"/>
        <v>7</v>
      </c>
      <c r="BA483">
        <f t="shared" si="31"/>
        <v>6</v>
      </c>
      <c r="BB483">
        <f>SUM(ifood_data[[#This Row],[Recency Score]:[Monetary Score]])</f>
        <v>15</v>
      </c>
      <c r="BC483">
        <f>(_xlfn.PERCENTRANK.INC(ifood_data[[#All],[RFM]],ifood_data[[#This Row],[RFM]],1))*10</f>
        <v>4</v>
      </c>
      <c r="BD483" t="str">
        <f>VLOOKUP(ifood_data[[#This Row],[RFM Score]],'RFM Analysis'!$A$3:$B$14,2,FALSE)</f>
        <v>At Risk</v>
      </c>
      <c r="BE483">
        <f>'Regression Models'!$B$101+'Regression Models'!$B$102*ifood_data[[#This Row],[Income]]+'Regression Models'!$B$103*ifood_data[[#This Row],[Age]]+'Regression Models'!$B$104*ifood_data[[#This Row],[Family]]</f>
        <v>950.27448173570394</v>
      </c>
      <c r="BF483" t="str">
        <f>IF(ifood_data[[#This Row],[AcceptedCmpOverall]]=1,"Campaign Respondent","Non-respondent")</f>
        <v>Non-respondent</v>
      </c>
    </row>
    <row r="484" spans="1:58" x14ac:dyDescent="0.35">
      <c r="A484">
        <v>1696</v>
      </c>
      <c r="B484">
        <v>74290</v>
      </c>
      <c r="C484">
        <v>0</v>
      </c>
      <c r="D484">
        <v>1</v>
      </c>
      <c r="E484">
        <v>70</v>
      </c>
      <c r="F484">
        <v>1121</v>
      </c>
      <c r="G484">
        <v>0</v>
      </c>
      <c r="H484">
        <v>72</v>
      </c>
      <c r="I484">
        <v>0</v>
      </c>
      <c r="J484">
        <v>12</v>
      </c>
      <c r="K484">
        <v>12</v>
      </c>
      <c r="L484">
        <v>4</v>
      </c>
      <c r="M484">
        <v>10</v>
      </c>
      <c r="N484">
        <v>8</v>
      </c>
      <c r="O484">
        <v>10</v>
      </c>
      <c r="P484">
        <v>6</v>
      </c>
      <c r="Q484">
        <v>1</v>
      </c>
      <c r="R484">
        <v>0</v>
      </c>
      <c r="S484">
        <v>0</v>
      </c>
      <c r="T484">
        <v>1</v>
      </c>
      <c r="U484">
        <v>0</v>
      </c>
      <c r="V484">
        <f>IF(SUM(ifood_data[[#This Row],[AcceptedCmp1]:[AcceptedCmp5]])&gt;0,1,0)</f>
        <v>1</v>
      </c>
      <c r="W484">
        <v>0</v>
      </c>
      <c r="X484">
        <v>3</v>
      </c>
      <c r="Y484">
        <v>11</v>
      </c>
      <c r="Z484">
        <v>0</v>
      </c>
      <c r="AA484">
        <v>49</v>
      </c>
      <c r="AB484">
        <v>2480</v>
      </c>
      <c r="AC484" s="28">
        <f>ifood_data[[#This Row],[Customer_Days]]/365</f>
        <v>6.7945205479452051</v>
      </c>
      <c r="AD484">
        <v>1</v>
      </c>
      <c r="AE484">
        <v>0</v>
      </c>
      <c r="AF484">
        <v>0</v>
      </c>
      <c r="AG484">
        <v>0</v>
      </c>
      <c r="AH484">
        <v>0</v>
      </c>
      <c r="AI484">
        <v>0</v>
      </c>
      <c r="AJ484">
        <v>0</v>
      </c>
      <c r="AK484">
        <v>0</v>
      </c>
      <c r="AL484">
        <v>1</v>
      </c>
      <c r="AM484">
        <v>0</v>
      </c>
      <c r="AN484">
        <v>1205</v>
      </c>
      <c r="AO484">
        <v>1193</v>
      </c>
      <c r="AP484">
        <f>ifood_data[[#This Row],[MntTotal]]-ifood_data[[#This Row],[MntRegularProds]]</f>
        <v>12</v>
      </c>
      <c r="AQ484">
        <v>2</v>
      </c>
      <c r="AR484">
        <f>IF(SUM(ifood_data[[#This Row],[Kidhome]:[Teenhome]])&gt;0,1,0)</f>
        <v>1</v>
      </c>
      <c r="AS484" t="str">
        <f>IF(SUM(ifood_data[[#This Row],[Kidhome]:[Teenhome]])&gt;0,"Has Family","No Family")</f>
        <v>Has Family</v>
      </c>
      <c r="AT484" t="str">
        <f>IF(ifood_data[[#This Row],[marital_Married]]=1,"Married", (IF(ifood_data[[#This Row],[marital_Single]]=1,"Single",(IF(ifood_data[[#This Row],[marital_Divorced]]=1,"Divorced",(IF(ifood_data[[#This Row],[marital_Together]]=1,"Living Together",(IF(ifood_data[[#This Row],[marital_Widow]]=1,"Widow","Other")))))))))</f>
        <v>Divorced</v>
      </c>
      <c r="AU484" t="str">
        <f>IF(ifood_data[[#This Row],[education_Basic]]=1,"High School",(IF(ifood_data[[#This Row],[education_Graduation]]=1,"Undergraduate Degree",(IF(SUM(AM484,AL484,AI484)&gt;0,"Master's Degree or Higher","Other")))))</f>
        <v>Master's Degree or Higher</v>
      </c>
      <c r="AV484" t="str">
        <f>IF(ifood_data[[#All],[Income]]&gt;75000,"75K+",(IF(ifood_data[[#All],[Income]]&gt;50000,"50K-75K",(IF(ifood_data[[#All],[Income]]&gt;35000,"35K-50K","&lt;35K")))))</f>
        <v>50K-75K</v>
      </c>
      <c r="AW484" t="str">
        <f>IF(ifood_data[[#All],[Age]]&gt;60,"60+",(IF(ifood_data[[#All],[Age]]&gt;50,"50-60",(IF(ifood_data[[#All],[Age]]&gt;40,"40-50",(IF(ifood_data[[#All],[Age]]&gt;30,"30-40","&lt;30")))))))</f>
        <v>40-50</v>
      </c>
      <c r="AX484">
        <f t="shared" si="28"/>
        <v>38</v>
      </c>
      <c r="AY484">
        <f t="shared" si="29"/>
        <v>3.0000000000000004</v>
      </c>
      <c r="AZ484">
        <f t="shared" si="30"/>
        <v>9</v>
      </c>
      <c r="BA484">
        <f t="shared" si="31"/>
        <v>8</v>
      </c>
      <c r="BB484">
        <f>SUM(ifood_data[[#This Row],[Recency Score]:[Monetary Score]])</f>
        <v>20</v>
      </c>
      <c r="BC484">
        <f>(_xlfn.PERCENTRANK.INC(ifood_data[[#All],[RFM]],ifood_data[[#This Row],[RFM]],1))*10</f>
        <v>7</v>
      </c>
      <c r="BD484" t="str">
        <f>VLOOKUP(ifood_data[[#This Row],[RFM Score]],'RFM Analysis'!$A$3:$B$14,2,FALSE)</f>
        <v>Loyal Customer</v>
      </c>
      <c r="BE484">
        <f>'Regression Models'!$B$101+'Regression Models'!$B$102*ifood_data[[#This Row],[Income]]+'Regression Models'!$B$103*ifood_data[[#This Row],[Age]]+'Regression Models'!$B$104*ifood_data[[#This Row],[Family]]</f>
        <v>947.26718319694703</v>
      </c>
      <c r="BF484" t="str">
        <f>IF(ifood_data[[#This Row],[AcceptedCmpOverall]]=1,"Campaign Respondent","Non-respondent")</f>
        <v>Campaign Respondent</v>
      </c>
    </row>
    <row r="485" spans="1:58" x14ac:dyDescent="0.35">
      <c r="A485">
        <v>567</v>
      </c>
      <c r="B485">
        <v>59973</v>
      </c>
      <c r="C485">
        <v>0</v>
      </c>
      <c r="D485">
        <v>0</v>
      </c>
      <c r="E485">
        <v>47</v>
      </c>
      <c r="F485">
        <v>130</v>
      </c>
      <c r="G485">
        <v>30</v>
      </c>
      <c r="H485">
        <v>168</v>
      </c>
      <c r="I485">
        <v>20</v>
      </c>
      <c r="J485">
        <v>34</v>
      </c>
      <c r="K485">
        <v>0</v>
      </c>
      <c r="L485">
        <v>1</v>
      </c>
      <c r="M485">
        <v>3</v>
      </c>
      <c r="N485">
        <v>4</v>
      </c>
      <c r="O485">
        <v>7</v>
      </c>
      <c r="P485">
        <v>1</v>
      </c>
      <c r="Q485">
        <v>0</v>
      </c>
      <c r="R485">
        <v>0</v>
      </c>
      <c r="S485">
        <v>0</v>
      </c>
      <c r="T485">
        <v>0</v>
      </c>
      <c r="U485">
        <v>0</v>
      </c>
      <c r="V485">
        <f>IF(SUM(ifood_data[[#This Row],[AcceptedCmp1]:[AcceptedCmp5]])&gt;0,1,0)</f>
        <v>0</v>
      </c>
      <c r="W485">
        <v>0</v>
      </c>
      <c r="X485">
        <v>3</v>
      </c>
      <c r="Y485">
        <v>11</v>
      </c>
      <c r="Z485">
        <v>0</v>
      </c>
      <c r="AA485">
        <v>48</v>
      </c>
      <c r="AB485">
        <v>2450</v>
      </c>
      <c r="AC485" s="28">
        <f>ifood_data[[#This Row],[Customer_Days]]/365</f>
        <v>6.7123287671232879</v>
      </c>
      <c r="AD485">
        <v>0</v>
      </c>
      <c r="AE485">
        <v>1</v>
      </c>
      <c r="AF485">
        <v>0</v>
      </c>
      <c r="AG485">
        <v>0</v>
      </c>
      <c r="AH485">
        <v>0</v>
      </c>
      <c r="AI485">
        <v>0</v>
      </c>
      <c r="AJ485">
        <v>0</v>
      </c>
      <c r="AK485">
        <v>0</v>
      </c>
      <c r="AL485">
        <v>0</v>
      </c>
      <c r="AM485">
        <v>1</v>
      </c>
      <c r="AN485">
        <v>382</v>
      </c>
      <c r="AO485">
        <v>382</v>
      </c>
      <c r="AP485">
        <f>ifood_data[[#This Row],[MntTotal]]-ifood_data[[#This Row],[MntRegularProds]]</f>
        <v>0</v>
      </c>
      <c r="AQ485">
        <v>0</v>
      </c>
      <c r="AR485">
        <f>IF(SUM(ifood_data[[#This Row],[Kidhome]:[Teenhome]])&gt;0,1,0)</f>
        <v>0</v>
      </c>
      <c r="AS485" t="str">
        <f>IF(SUM(ifood_data[[#This Row],[Kidhome]:[Teenhome]])&gt;0,"Has Family","No Family")</f>
        <v>No Family</v>
      </c>
      <c r="AT485" t="str">
        <f>IF(ifood_data[[#This Row],[marital_Married]]=1,"Married", (IF(ifood_data[[#This Row],[marital_Single]]=1,"Single",(IF(ifood_data[[#This Row],[marital_Divorced]]=1,"Divorced",(IF(ifood_data[[#This Row],[marital_Together]]=1,"Living Together",(IF(ifood_data[[#This Row],[marital_Widow]]=1,"Widow","Other")))))))))</f>
        <v>Married</v>
      </c>
      <c r="AU485" t="str">
        <f>IF(ifood_data[[#This Row],[education_Basic]]=1,"High School",(IF(ifood_data[[#This Row],[education_Graduation]]=1,"Undergraduate Degree",(IF(SUM(AM485,AL485,AI485)&gt;0,"Master's Degree or Higher","Other")))))</f>
        <v>Master's Degree or Higher</v>
      </c>
      <c r="AV485" t="str">
        <f>IF(ifood_data[[#All],[Income]]&gt;75000,"75K+",(IF(ifood_data[[#All],[Income]]&gt;50000,"50K-75K",(IF(ifood_data[[#All],[Income]]&gt;35000,"35K-50K","&lt;35K")))))</f>
        <v>50K-75K</v>
      </c>
      <c r="AW485" t="str">
        <f>IF(ifood_data[[#All],[Age]]&gt;60,"60+",(IF(ifood_data[[#All],[Age]]&gt;50,"50-60",(IF(ifood_data[[#All],[Age]]&gt;40,"40-50",(IF(ifood_data[[#All],[Age]]&gt;30,"30-40","&lt;30")))))))</f>
        <v>40-50</v>
      </c>
      <c r="AX485">
        <f t="shared" si="28"/>
        <v>16</v>
      </c>
      <c r="AY485">
        <f t="shared" si="29"/>
        <v>6</v>
      </c>
      <c r="AZ485">
        <f t="shared" si="30"/>
        <v>3</v>
      </c>
      <c r="BA485">
        <f t="shared" si="31"/>
        <v>5</v>
      </c>
      <c r="BB485">
        <f>SUM(ifood_data[[#This Row],[Recency Score]:[Monetary Score]])</f>
        <v>14</v>
      </c>
      <c r="BC485">
        <f>(_xlfn.PERCENTRANK.INC(ifood_data[[#All],[RFM]],ifood_data[[#This Row],[RFM]],1))*10</f>
        <v>4</v>
      </c>
      <c r="BD485" t="str">
        <f>VLOOKUP(ifood_data[[#This Row],[RFM Score]],'RFM Analysis'!$A$3:$B$14,2,FALSE)</f>
        <v>At Risk</v>
      </c>
      <c r="BE485">
        <f>'Regression Models'!$B$101+'Regression Models'!$B$102*ifood_data[[#This Row],[Income]]+'Regression Models'!$B$103*ifood_data[[#This Row],[Age]]+'Regression Models'!$B$104*ifood_data[[#This Row],[Family]]</f>
        <v>946.81125983265599</v>
      </c>
      <c r="BF485" t="str">
        <f>IF(ifood_data[[#This Row],[AcceptedCmpOverall]]=1,"Campaign Respondent","Non-respondent")</f>
        <v>Non-respondent</v>
      </c>
    </row>
    <row r="486" spans="1:58" x14ac:dyDescent="0.35">
      <c r="A486">
        <v>681</v>
      </c>
      <c r="B486">
        <v>74806</v>
      </c>
      <c r="C486">
        <v>0</v>
      </c>
      <c r="D486">
        <v>1</v>
      </c>
      <c r="E486">
        <v>1</v>
      </c>
      <c r="F486">
        <v>670</v>
      </c>
      <c r="G486">
        <v>9</v>
      </c>
      <c r="H486">
        <v>249</v>
      </c>
      <c r="I486">
        <v>0</v>
      </c>
      <c r="J486">
        <v>28</v>
      </c>
      <c r="K486">
        <v>9</v>
      </c>
      <c r="L486">
        <v>2</v>
      </c>
      <c r="M486">
        <v>5</v>
      </c>
      <c r="N486">
        <v>4</v>
      </c>
      <c r="O486">
        <v>5</v>
      </c>
      <c r="P486">
        <v>4</v>
      </c>
      <c r="Q486">
        <v>0</v>
      </c>
      <c r="R486">
        <v>0</v>
      </c>
      <c r="S486">
        <v>0</v>
      </c>
      <c r="T486">
        <v>0</v>
      </c>
      <c r="U486">
        <v>0</v>
      </c>
      <c r="V486">
        <f>IF(SUM(ifood_data[[#This Row],[AcceptedCmp1]:[AcceptedCmp5]])&gt;0,1,0)</f>
        <v>0</v>
      </c>
      <c r="W486">
        <v>0</v>
      </c>
      <c r="X486">
        <v>3</v>
      </c>
      <c r="Y486">
        <v>11</v>
      </c>
      <c r="Z486">
        <v>0</v>
      </c>
      <c r="AA486">
        <v>55</v>
      </c>
      <c r="AB486">
        <v>2716</v>
      </c>
      <c r="AC486" s="28">
        <f>ifood_data[[#This Row],[Customer_Days]]/365</f>
        <v>7.441095890410959</v>
      </c>
      <c r="AD486">
        <v>0</v>
      </c>
      <c r="AE486">
        <v>1</v>
      </c>
      <c r="AF486">
        <v>0</v>
      </c>
      <c r="AG486">
        <v>0</v>
      </c>
      <c r="AH486">
        <v>0</v>
      </c>
      <c r="AI486">
        <v>0</v>
      </c>
      <c r="AJ486">
        <v>0</v>
      </c>
      <c r="AK486">
        <v>0</v>
      </c>
      <c r="AL486">
        <v>1</v>
      </c>
      <c r="AM486">
        <v>0</v>
      </c>
      <c r="AN486">
        <v>956</v>
      </c>
      <c r="AO486">
        <v>947</v>
      </c>
      <c r="AP486">
        <f>ifood_data[[#This Row],[MntTotal]]-ifood_data[[#This Row],[MntRegularProds]]</f>
        <v>9</v>
      </c>
      <c r="AQ486">
        <v>0</v>
      </c>
      <c r="AR486">
        <f>IF(SUM(ifood_data[[#This Row],[Kidhome]:[Teenhome]])&gt;0,1,0)</f>
        <v>1</v>
      </c>
      <c r="AS486" t="str">
        <f>IF(SUM(ifood_data[[#This Row],[Kidhome]:[Teenhome]])&gt;0,"Has Family","No Family")</f>
        <v>Has Family</v>
      </c>
      <c r="AT486" t="str">
        <f>IF(ifood_data[[#This Row],[marital_Married]]=1,"Married", (IF(ifood_data[[#This Row],[marital_Single]]=1,"Single",(IF(ifood_data[[#This Row],[marital_Divorced]]=1,"Divorced",(IF(ifood_data[[#This Row],[marital_Together]]=1,"Living Together",(IF(ifood_data[[#This Row],[marital_Widow]]=1,"Widow","Other")))))))))</f>
        <v>Married</v>
      </c>
      <c r="AU486" t="str">
        <f>IF(ifood_data[[#This Row],[education_Basic]]=1,"High School",(IF(ifood_data[[#This Row],[education_Graduation]]=1,"Undergraduate Degree",(IF(SUM(AM486,AL486,AI486)&gt;0,"Master's Degree or Higher","Other")))))</f>
        <v>Master's Degree or Higher</v>
      </c>
      <c r="AV486" t="str">
        <f>IF(ifood_data[[#All],[Income]]&gt;75000,"75K+",(IF(ifood_data[[#All],[Income]]&gt;50000,"50K-75K",(IF(ifood_data[[#All],[Income]]&gt;35000,"35K-50K","&lt;35K")))))</f>
        <v>50K-75K</v>
      </c>
      <c r="AW486" t="str">
        <f>IF(ifood_data[[#All],[Age]]&gt;60,"60+",(IF(ifood_data[[#All],[Age]]&gt;50,"50-60",(IF(ifood_data[[#All],[Age]]&gt;40,"40-50",(IF(ifood_data[[#All],[Age]]&gt;30,"30-40","&lt;30")))))))</f>
        <v>50-60</v>
      </c>
      <c r="AX486">
        <f t="shared" si="28"/>
        <v>20</v>
      </c>
      <c r="AY486">
        <f t="shared" si="29"/>
        <v>10</v>
      </c>
      <c r="AZ486">
        <f t="shared" si="30"/>
        <v>4</v>
      </c>
      <c r="BA486">
        <f t="shared" si="31"/>
        <v>7</v>
      </c>
      <c r="BB486">
        <f>SUM(ifood_data[[#This Row],[Recency Score]:[Monetary Score]])</f>
        <v>21</v>
      </c>
      <c r="BC486">
        <f>(_xlfn.PERCENTRANK.INC(ifood_data[[#All],[RFM]],ifood_data[[#This Row],[RFM]],1))*10</f>
        <v>8</v>
      </c>
      <c r="BD486" t="str">
        <f>VLOOKUP(ifood_data[[#This Row],[RFM Score]],'RFM Analysis'!$A$3:$B$14,2,FALSE)</f>
        <v>Loyal Customer</v>
      </c>
      <c r="BE486">
        <f>'Regression Models'!$B$101+'Regression Models'!$B$102*ifood_data[[#This Row],[Income]]+'Regression Models'!$B$103*ifood_data[[#This Row],[Age]]+'Regression Models'!$B$104*ifood_data[[#This Row],[Family]]</f>
        <v>946.76915308583341</v>
      </c>
      <c r="BF486" t="str">
        <f>IF(ifood_data[[#This Row],[AcceptedCmpOverall]]=1,"Campaign Respondent","Non-respondent")</f>
        <v>Non-respondent</v>
      </c>
    </row>
    <row r="487" spans="1:58" x14ac:dyDescent="0.35">
      <c r="A487">
        <v>392</v>
      </c>
      <c r="B487">
        <v>75072</v>
      </c>
      <c r="C487">
        <v>0</v>
      </c>
      <c r="D487">
        <v>1</v>
      </c>
      <c r="E487">
        <v>83</v>
      </c>
      <c r="F487">
        <v>583</v>
      </c>
      <c r="G487">
        <v>34</v>
      </c>
      <c r="H487">
        <v>309</v>
      </c>
      <c r="I487">
        <v>0</v>
      </c>
      <c r="J487">
        <v>22</v>
      </c>
      <c r="K487">
        <v>125</v>
      </c>
      <c r="L487">
        <v>2</v>
      </c>
      <c r="M487">
        <v>5</v>
      </c>
      <c r="N487">
        <v>4</v>
      </c>
      <c r="O487">
        <v>8</v>
      </c>
      <c r="P487">
        <v>3</v>
      </c>
      <c r="Q487">
        <v>0</v>
      </c>
      <c r="R487">
        <v>0</v>
      </c>
      <c r="S487">
        <v>0</v>
      </c>
      <c r="T487">
        <v>0</v>
      </c>
      <c r="U487">
        <v>0</v>
      </c>
      <c r="V487">
        <f>IF(SUM(ifood_data[[#This Row],[AcceptedCmp1]:[AcceptedCmp5]])&gt;0,1,0)</f>
        <v>0</v>
      </c>
      <c r="W487">
        <v>0</v>
      </c>
      <c r="X487">
        <v>3</v>
      </c>
      <c r="Y487">
        <v>11</v>
      </c>
      <c r="Z487">
        <v>0</v>
      </c>
      <c r="AA487">
        <v>58</v>
      </c>
      <c r="AB487">
        <v>2681</v>
      </c>
      <c r="AC487" s="28">
        <f>ifood_data[[#This Row],[Customer_Days]]/365</f>
        <v>7.3452054794520549</v>
      </c>
      <c r="AD487">
        <v>0</v>
      </c>
      <c r="AE487">
        <v>0</v>
      </c>
      <c r="AF487">
        <v>0</v>
      </c>
      <c r="AG487">
        <v>1</v>
      </c>
      <c r="AH487">
        <v>0</v>
      </c>
      <c r="AI487">
        <v>0</v>
      </c>
      <c r="AJ487">
        <v>0</v>
      </c>
      <c r="AK487">
        <v>1</v>
      </c>
      <c r="AL487">
        <v>0</v>
      </c>
      <c r="AM487">
        <v>0</v>
      </c>
      <c r="AN487">
        <v>948</v>
      </c>
      <c r="AO487">
        <v>823</v>
      </c>
      <c r="AP487">
        <f>ifood_data[[#This Row],[MntTotal]]-ifood_data[[#This Row],[MntRegularProds]]</f>
        <v>125</v>
      </c>
      <c r="AQ487">
        <v>0</v>
      </c>
      <c r="AR487">
        <f>IF(SUM(ifood_data[[#This Row],[Kidhome]:[Teenhome]])&gt;0,1,0)</f>
        <v>1</v>
      </c>
      <c r="AS487" t="str">
        <f>IF(SUM(ifood_data[[#This Row],[Kidhome]:[Teenhome]])&gt;0,"Has Family","No Family")</f>
        <v>Has Family</v>
      </c>
      <c r="AT487" t="str">
        <f>IF(ifood_data[[#This Row],[marital_Married]]=1,"Married", (IF(ifood_data[[#This Row],[marital_Single]]=1,"Single",(IF(ifood_data[[#This Row],[marital_Divorced]]=1,"Divorced",(IF(ifood_data[[#This Row],[marital_Together]]=1,"Living Together",(IF(ifood_data[[#This Row],[marital_Widow]]=1,"Widow","Other")))))))))</f>
        <v>Living Together</v>
      </c>
      <c r="AU487" t="str">
        <f>IF(ifood_data[[#This Row],[education_Basic]]=1,"High School",(IF(ifood_data[[#This Row],[education_Graduation]]=1,"Undergraduate Degree",(IF(SUM(AM487,AL487,AI487)&gt;0,"Master's Degree or Higher","Other")))))</f>
        <v>Undergraduate Degree</v>
      </c>
      <c r="AV487" t="str">
        <f>IF(ifood_data[[#All],[Income]]&gt;75000,"75K+",(IF(ifood_data[[#All],[Income]]&gt;50000,"50K-75K",(IF(ifood_data[[#All],[Income]]&gt;35000,"35K-50K","&lt;35K")))))</f>
        <v>75K+</v>
      </c>
      <c r="AW487" t="str">
        <f>IF(ifood_data[[#All],[Age]]&gt;60,"60+",(IF(ifood_data[[#All],[Age]]&gt;50,"50-60",(IF(ifood_data[[#All],[Age]]&gt;40,"40-50",(IF(ifood_data[[#All],[Age]]&gt;30,"30-40","&lt;30")))))))</f>
        <v>50-60</v>
      </c>
      <c r="AX487">
        <f t="shared" si="28"/>
        <v>22</v>
      </c>
      <c r="AY487">
        <f t="shared" si="29"/>
        <v>1.9999999999999996</v>
      </c>
      <c r="AZ487">
        <f t="shared" si="30"/>
        <v>5</v>
      </c>
      <c r="BA487">
        <f t="shared" si="31"/>
        <v>7</v>
      </c>
      <c r="BB487">
        <f>SUM(ifood_data[[#This Row],[Recency Score]:[Monetary Score]])</f>
        <v>14</v>
      </c>
      <c r="BC487">
        <f>(_xlfn.PERCENTRANK.INC(ifood_data[[#All],[RFM]],ifood_data[[#This Row],[RFM]],1))*10</f>
        <v>4</v>
      </c>
      <c r="BD487" t="str">
        <f>VLOOKUP(ifood_data[[#This Row],[RFM Score]],'RFM Analysis'!$A$3:$B$14,2,FALSE)</f>
        <v>At Risk</v>
      </c>
      <c r="BE487">
        <f>'Regression Models'!$B$101+'Regression Models'!$B$102*ifood_data[[#This Row],[Income]]+'Regression Models'!$B$103*ifood_data[[#This Row],[Age]]+'Regression Models'!$B$104*ifood_data[[#This Row],[Family]]</f>
        <v>946.68324817542737</v>
      </c>
      <c r="BF487" t="str">
        <f>IF(ifood_data[[#This Row],[AcceptedCmpOverall]]=1,"Campaign Respondent","Non-respondent")</f>
        <v>Non-respondent</v>
      </c>
    </row>
    <row r="488" spans="1:58" x14ac:dyDescent="0.35">
      <c r="A488">
        <v>1595</v>
      </c>
      <c r="B488">
        <v>75342</v>
      </c>
      <c r="C488">
        <v>0</v>
      </c>
      <c r="D488">
        <v>1</v>
      </c>
      <c r="E488">
        <v>38</v>
      </c>
      <c r="F488">
        <v>204</v>
      </c>
      <c r="G488">
        <v>97</v>
      </c>
      <c r="H488">
        <v>97</v>
      </c>
      <c r="I488">
        <v>21</v>
      </c>
      <c r="J488">
        <v>118</v>
      </c>
      <c r="K488">
        <v>26</v>
      </c>
      <c r="L488">
        <v>1</v>
      </c>
      <c r="M488">
        <v>5</v>
      </c>
      <c r="N488">
        <v>2</v>
      </c>
      <c r="O488">
        <v>10</v>
      </c>
      <c r="P488">
        <v>4</v>
      </c>
      <c r="Q488">
        <v>0</v>
      </c>
      <c r="R488">
        <v>0</v>
      </c>
      <c r="S488">
        <v>0</v>
      </c>
      <c r="T488">
        <v>0</v>
      </c>
      <c r="U488">
        <v>0</v>
      </c>
      <c r="V488">
        <f>IF(SUM(ifood_data[[#This Row],[AcceptedCmp1]:[AcceptedCmp5]])&gt;0,1,0)</f>
        <v>0</v>
      </c>
      <c r="W488">
        <v>0</v>
      </c>
      <c r="X488">
        <v>3</v>
      </c>
      <c r="Y488">
        <v>11</v>
      </c>
      <c r="Z488">
        <v>0</v>
      </c>
      <c r="AA488">
        <v>62</v>
      </c>
      <c r="AB488">
        <v>2578</v>
      </c>
      <c r="AC488" s="28">
        <f>ifood_data[[#This Row],[Customer_Days]]/365</f>
        <v>7.0630136986301366</v>
      </c>
      <c r="AD488">
        <v>0</v>
      </c>
      <c r="AE488">
        <v>0</v>
      </c>
      <c r="AF488">
        <v>1</v>
      </c>
      <c r="AG488">
        <v>0</v>
      </c>
      <c r="AH488">
        <v>0</v>
      </c>
      <c r="AI488">
        <v>1</v>
      </c>
      <c r="AJ488">
        <v>0</v>
      </c>
      <c r="AK488">
        <v>0</v>
      </c>
      <c r="AL488">
        <v>0</v>
      </c>
      <c r="AM488">
        <v>0</v>
      </c>
      <c r="AN488">
        <v>537</v>
      </c>
      <c r="AO488">
        <v>511</v>
      </c>
      <c r="AP488">
        <f>ifood_data[[#This Row],[MntTotal]]-ifood_data[[#This Row],[MntRegularProds]]</f>
        <v>26</v>
      </c>
      <c r="AQ488">
        <v>0</v>
      </c>
      <c r="AR488">
        <f>IF(SUM(ifood_data[[#This Row],[Kidhome]:[Teenhome]])&gt;0,1,0)</f>
        <v>1</v>
      </c>
      <c r="AS488" t="str">
        <f>IF(SUM(ifood_data[[#This Row],[Kidhome]:[Teenhome]])&gt;0,"Has Family","No Family")</f>
        <v>Has Family</v>
      </c>
      <c r="AT488" t="str">
        <f>IF(ifood_data[[#This Row],[marital_Married]]=1,"Married", (IF(ifood_data[[#This Row],[marital_Single]]=1,"Single",(IF(ifood_data[[#This Row],[marital_Divorced]]=1,"Divorced",(IF(ifood_data[[#This Row],[marital_Together]]=1,"Living Together",(IF(ifood_data[[#This Row],[marital_Widow]]=1,"Widow","Other")))))))))</f>
        <v>Single</v>
      </c>
      <c r="AU488" t="str">
        <f>IF(ifood_data[[#This Row],[education_Basic]]=1,"High School",(IF(ifood_data[[#This Row],[education_Graduation]]=1,"Undergraduate Degree",(IF(SUM(AM488,AL488,AI488)&gt;0,"Master's Degree or Higher","Other")))))</f>
        <v>Master's Degree or Higher</v>
      </c>
      <c r="AV488" t="str">
        <f>IF(ifood_data[[#All],[Income]]&gt;75000,"75K+",(IF(ifood_data[[#All],[Income]]&gt;50000,"50K-75K",(IF(ifood_data[[#All],[Income]]&gt;35000,"35K-50K","&lt;35K")))))</f>
        <v>75K+</v>
      </c>
      <c r="AW488" t="str">
        <f>IF(ifood_data[[#All],[Age]]&gt;60,"60+",(IF(ifood_data[[#All],[Age]]&gt;50,"50-60",(IF(ifood_data[[#All],[Age]]&gt;40,"40-50",(IF(ifood_data[[#All],[Age]]&gt;30,"30-40","&lt;30")))))))</f>
        <v>60+</v>
      </c>
      <c r="AX488">
        <f t="shared" si="28"/>
        <v>22</v>
      </c>
      <c r="AY488">
        <f t="shared" si="29"/>
        <v>7</v>
      </c>
      <c r="AZ488">
        <f t="shared" si="30"/>
        <v>5</v>
      </c>
      <c r="BA488">
        <f t="shared" si="31"/>
        <v>5</v>
      </c>
      <c r="BB488">
        <f>SUM(ifood_data[[#This Row],[Recency Score]:[Monetary Score]])</f>
        <v>17</v>
      </c>
      <c r="BC488">
        <f>(_xlfn.PERCENTRANK.INC(ifood_data[[#All],[RFM]],ifood_data[[#This Row],[RFM]],1))*10</f>
        <v>6</v>
      </c>
      <c r="BD488" t="str">
        <f>VLOOKUP(ifood_data[[#This Row],[RFM Score]],'RFM Analysis'!$A$3:$B$14,2,FALSE)</f>
        <v>Promising</v>
      </c>
      <c r="BE488">
        <f>'Regression Models'!$B$101+'Regression Models'!$B$102*ifood_data[[#This Row],[Income]]+'Regression Models'!$B$103*ifood_data[[#This Row],[Age]]+'Regression Models'!$B$104*ifood_data[[#This Row],[Family]]</f>
        <v>944.84245925870289</v>
      </c>
      <c r="BF488" t="str">
        <f>IF(ifood_data[[#This Row],[AcceptedCmpOverall]]=1,"Campaign Respondent","Non-respondent")</f>
        <v>Non-respondent</v>
      </c>
    </row>
    <row r="489" spans="1:58" x14ac:dyDescent="0.35">
      <c r="A489">
        <v>1275</v>
      </c>
      <c r="B489">
        <v>62159</v>
      </c>
      <c r="C489">
        <v>0</v>
      </c>
      <c r="D489">
        <v>0</v>
      </c>
      <c r="E489">
        <v>68</v>
      </c>
      <c r="F489">
        <v>182</v>
      </c>
      <c r="G489">
        <v>17</v>
      </c>
      <c r="H489">
        <v>259</v>
      </c>
      <c r="I489">
        <v>77</v>
      </c>
      <c r="J489">
        <v>70</v>
      </c>
      <c r="K489">
        <v>29</v>
      </c>
      <c r="L489">
        <v>1</v>
      </c>
      <c r="M489">
        <v>6</v>
      </c>
      <c r="N489">
        <v>2</v>
      </c>
      <c r="O489">
        <v>10</v>
      </c>
      <c r="P489">
        <v>4</v>
      </c>
      <c r="Q489">
        <v>0</v>
      </c>
      <c r="R489">
        <v>0</v>
      </c>
      <c r="S489">
        <v>0</v>
      </c>
      <c r="T489">
        <v>0</v>
      </c>
      <c r="U489">
        <v>0</v>
      </c>
      <c r="V489">
        <f>IF(SUM(ifood_data[[#This Row],[AcceptedCmp1]:[AcceptedCmp5]])&gt;0,1,0)</f>
        <v>0</v>
      </c>
      <c r="W489">
        <v>0</v>
      </c>
      <c r="X489">
        <v>3</v>
      </c>
      <c r="Y489">
        <v>11</v>
      </c>
      <c r="Z489">
        <v>0</v>
      </c>
      <c r="AA489">
        <v>74</v>
      </c>
      <c r="AB489">
        <v>2221</v>
      </c>
      <c r="AC489" s="28">
        <f>ifood_data[[#This Row],[Customer_Days]]/365</f>
        <v>6.0849315068493155</v>
      </c>
      <c r="AD489">
        <v>0</v>
      </c>
      <c r="AE489">
        <v>0</v>
      </c>
      <c r="AF489">
        <v>1</v>
      </c>
      <c r="AG489">
        <v>0</v>
      </c>
      <c r="AH489">
        <v>0</v>
      </c>
      <c r="AI489">
        <v>0</v>
      </c>
      <c r="AJ489">
        <v>0</v>
      </c>
      <c r="AK489">
        <v>0</v>
      </c>
      <c r="AL489">
        <v>0</v>
      </c>
      <c r="AM489">
        <v>1</v>
      </c>
      <c r="AN489">
        <v>605</v>
      </c>
      <c r="AO489">
        <v>576</v>
      </c>
      <c r="AP489">
        <f>ifood_data[[#This Row],[MntTotal]]-ifood_data[[#This Row],[MntRegularProds]]</f>
        <v>29</v>
      </c>
      <c r="AQ489">
        <v>0</v>
      </c>
      <c r="AR489">
        <f>IF(SUM(ifood_data[[#This Row],[Kidhome]:[Teenhome]])&gt;0,1,0)</f>
        <v>0</v>
      </c>
      <c r="AS489" t="str">
        <f>IF(SUM(ifood_data[[#This Row],[Kidhome]:[Teenhome]])&gt;0,"Has Family","No Family")</f>
        <v>No Family</v>
      </c>
      <c r="AT489" t="str">
        <f>IF(ifood_data[[#This Row],[marital_Married]]=1,"Married", (IF(ifood_data[[#This Row],[marital_Single]]=1,"Single",(IF(ifood_data[[#This Row],[marital_Divorced]]=1,"Divorced",(IF(ifood_data[[#This Row],[marital_Together]]=1,"Living Together",(IF(ifood_data[[#This Row],[marital_Widow]]=1,"Widow","Other")))))))))</f>
        <v>Single</v>
      </c>
      <c r="AU489" t="str">
        <f>IF(ifood_data[[#This Row],[education_Basic]]=1,"High School",(IF(ifood_data[[#This Row],[education_Graduation]]=1,"Undergraduate Degree",(IF(SUM(AM489,AL489,AI489)&gt;0,"Master's Degree or Higher","Other")))))</f>
        <v>Master's Degree or Higher</v>
      </c>
      <c r="AV489" t="str">
        <f>IF(ifood_data[[#All],[Income]]&gt;75000,"75K+",(IF(ifood_data[[#All],[Income]]&gt;50000,"50K-75K",(IF(ifood_data[[#All],[Income]]&gt;35000,"35K-50K","&lt;35K")))))</f>
        <v>50K-75K</v>
      </c>
      <c r="AW489" t="str">
        <f>IF(ifood_data[[#All],[Age]]&gt;60,"60+",(IF(ifood_data[[#All],[Age]]&gt;50,"50-60",(IF(ifood_data[[#All],[Age]]&gt;40,"40-50",(IF(ifood_data[[#All],[Age]]&gt;30,"30-40","&lt;30")))))))</f>
        <v>60+</v>
      </c>
      <c r="AX489">
        <f t="shared" si="28"/>
        <v>23</v>
      </c>
      <c r="AY489">
        <f t="shared" si="29"/>
        <v>4</v>
      </c>
      <c r="AZ489">
        <f t="shared" si="30"/>
        <v>6</v>
      </c>
      <c r="BA489">
        <f t="shared" si="31"/>
        <v>6</v>
      </c>
      <c r="BB489">
        <f>SUM(ifood_data[[#This Row],[Recency Score]:[Monetary Score]])</f>
        <v>16</v>
      </c>
      <c r="BC489">
        <f>(_xlfn.PERCENTRANK.INC(ifood_data[[#All],[RFM]],ifood_data[[#This Row],[RFM]],1))*10</f>
        <v>5</v>
      </c>
      <c r="BD489" t="str">
        <f>VLOOKUP(ifood_data[[#This Row],[RFM Score]],'RFM Analysis'!$A$3:$B$14,2,FALSE)</f>
        <v>Promising</v>
      </c>
      <c r="BE489">
        <f>'Regression Models'!$B$101+'Regression Models'!$B$102*ifood_data[[#This Row],[Income]]+'Regression Models'!$B$103*ifood_data[[#This Row],[Age]]+'Regression Models'!$B$104*ifood_data[[#This Row],[Family]]</f>
        <v>943.63369094396819</v>
      </c>
      <c r="BF489" t="str">
        <f>IF(ifood_data[[#This Row],[AcceptedCmpOverall]]=1,"Campaign Respondent","Non-respondent")</f>
        <v>Non-respondent</v>
      </c>
    </row>
    <row r="490" spans="1:58" x14ac:dyDescent="0.35">
      <c r="A490">
        <v>1764</v>
      </c>
      <c r="B490">
        <v>75903</v>
      </c>
      <c r="C490">
        <v>0</v>
      </c>
      <c r="D490">
        <v>1</v>
      </c>
      <c r="E490">
        <v>50</v>
      </c>
      <c r="F490">
        <v>340</v>
      </c>
      <c r="G490">
        <v>108</v>
      </c>
      <c r="H490">
        <v>185</v>
      </c>
      <c r="I490">
        <v>130</v>
      </c>
      <c r="J490">
        <v>38</v>
      </c>
      <c r="K490">
        <v>100</v>
      </c>
      <c r="L490">
        <v>2</v>
      </c>
      <c r="M490">
        <v>6</v>
      </c>
      <c r="N490">
        <v>6</v>
      </c>
      <c r="O490">
        <v>9</v>
      </c>
      <c r="P490">
        <v>3</v>
      </c>
      <c r="Q490">
        <v>0</v>
      </c>
      <c r="R490">
        <v>0</v>
      </c>
      <c r="S490">
        <v>0</v>
      </c>
      <c r="T490">
        <v>0</v>
      </c>
      <c r="U490">
        <v>0</v>
      </c>
      <c r="V490">
        <f>IF(SUM(ifood_data[[#This Row],[AcceptedCmp1]:[AcceptedCmp5]])&gt;0,1,0)</f>
        <v>0</v>
      </c>
      <c r="W490">
        <v>0</v>
      </c>
      <c r="X490">
        <v>3</v>
      </c>
      <c r="Y490">
        <v>11</v>
      </c>
      <c r="Z490">
        <v>0</v>
      </c>
      <c r="AA490">
        <v>69</v>
      </c>
      <c r="AB490">
        <v>2606</v>
      </c>
      <c r="AC490" s="28">
        <f>ifood_data[[#This Row],[Customer_Days]]/365</f>
        <v>7.13972602739726</v>
      </c>
      <c r="AD490">
        <v>0</v>
      </c>
      <c r="AE490">
        <v>1</v>
      </c>
      <c r="AF490">
        <v>0</v>
      </c>
      <c r="AG490">
        <v>0</v>
      </c>
      <c r="AH490">
        <v>0</v>
      </c>
      <c r="AI490">
        <v>0</v>
      </c>
      <c r="AJ490">
        <v>0</v>
      </c>
      <c r="AK490">
        <v>1</v>
      </c>
      <c r="AL490">
        <v>0</v>
      </c>
      <c r="AM490">
        <v>0</v>
      </c>
      <c r="AN490">
        <v>801</v>
      </c>
      <c r="AO490">
        <v>701</v>
      </c>
      <c r="AP490">
        <f>ifood_data[[#This Row],[MntTotal]]-ifood_data[[#This Row],[MntRegularProds]]</f>
        <v>100</v>
      </c>
      <c r="AQ490">
        <v>0</v>
      </c>
      <c r="AR490">
        <f>IF(SUM(ifood_data[[#This Row],[Kidhome]:[Teenhome]])&gt;0,1,0)</f>
        <v>1</v>
      </c>
      <c r="AS490" t="str">
        <f>IF(SUM(ifood_data[[#This Row],[Kidhome]:[Teenhome]])&gt;0,"Has Family","No Family")</f>
        <v>Has Family</v>
      </c>
      <c r="AT490" t="str">
        <f>IF(ifood_data[[#This Row],[marital_Married]]=1,"Married", (IF(ifood_data[[#This Row],[marital_Single]]=1,"Single",(IF(ifood_data[[#This Row],[marital_Divorced]]=1,"Divorced",(IF(ifood_data[[#This Row],[marital_Together]]=1,"Living Together",(IF(ifood_data[[#This Row],[marital_Widow]]=1,"Widow","Other")))))))))</f>
        <v>Married</v>
      </c>
      <c r="AU490" t="str">
        <f>IF(ifood_data[[#This Row],[education_Basic]]=1,"High School",(IF(ifood_data[[#This Row],[education_Graduation]]=1,"Undergraduate Degree",(IF(SUM(AM490,AL490,AI490)&gt;0,"Master's Degree or Higher","Other")))))</f>
        <v>Undergraduate Degree</v>
      </c>
      <c r="AV490" t="str">
        <f>IF(ifood_data[[#All],[Income]]&gt;75000,"75K+",(IF(ifood_data[[#All],[Income]]&gt;50000,"50K-75K",(IF(ifood_data[[#All],[Income]]&gt;35000,"35K-50K","&lt;35K")))))</f>
        <v>75K+</v>
      </c>
      <c r="AW490" t="str">
        <f>IF(ifood_data[[#All],[Age]]&gt;60,"60+",(IF(ifood_data[[#All],[Age]]&gt;50,"50-60",(IF(ifood_data[[#All],[Age]]&gt;40,"40-50",(IF(ifood_data[[#All],[Age]]&gt;30,"30-40","&lt;30")))))))</f>
        <v>60+</v>
      </c>
      <c r="AX490">
        <f t="shared" si="28"/>
        <v>26</v>
      </c>
      <c r="AY490">
        <f t="shared" si="29"/>
        <v>5</v>
      </c>
      <c r="AZ490">
        <f t="shared" si="30"/>
        <v>7</v>
      </c>
      <c r="BA490">
        <f t="shared" si="31"/>
        <v>6</v>
      </c>
      <c r="BB490">
        <f>SUM(ifood_data[[#This Row],[Recency Score]:[Monetary Score]])</f>
        <v>18</v>
      </c>
      <c r="BC490">
        <f>(_xlfn.PERCENTRANK.INC(ifood_data[[#All],[RFM]],ifood_data[[#This Row],[RFM]],1))*10</f>
        <v>6</v>
      </c>
      <c r="BD490" t="str">
        <f>VLOOKUP(ifood_data[[#This Row],[RFM Score]],'RFM Analysis'!$A$3:$B$14,2,FALSE)</f>
        <v>Promising</v>
      </c>
      <c r="BE490">
        <f>'Regression Models'!$B$101+'Regression Models'!$B$102*ifood_data[[#This Row],[Income]]+'Regression Models'!$B$103*ifood_data[[#This Row],[Age]]+'Regression Models'!$B$104*ifood_data[[#This Row],[Family]]</f>
        <v>943.42548463517039</v>
      </c>
      <c r="BF490" t="str">
        <f>IF(ifood_data[[#This Row],[AcceptedCmpOverall]]=1,"Campaign Respondent","Non-respondent")</f>
        <v>Non-respondent</v>
      </c>
    </row>
    <row r="491" spans="1:58" x14ac:dyDescent="0.35">
      <c r="A491">
        <v>1155</v>
      </c>
      <c r="B491">
        <v>61284</v>
      </c>
      <c r="C491">
        <v>0</v>
      </c>
      <c r="D491">
        <v>0</v>
      </c>
      <c r="E491">
        <v>76</v>
      </c>
      <c r="F491">
        <v>618</v>
      </c>
      <c r="G491">
        <v>15</v>
      </c>
      <c r="H491">
        <v>106</v>
      </c>
      <c r="I491">
        <v>20</v>
      </c>
      <c r="J491">
        <v>7</v>
      </c>
      <c r="K491">
        <v>45</v>
      </c>
      <c r="L491">
        <v>1</v>
      </c>
      <c r="M491">
        <v>11</v>
      </c>
      <c r="N491">
        <v>2</v>
      </c>
      <c r="O491">
        <v>8</v>
      </c>
      <c r="P491">
        <v>6</v>
      </c>
      <c r="Q491">
        <v>0</v>
      </c>
      <c r="R491">
        <v>0</v>
      </c>
      <c r="S491">
        <v>0</v>
      </c>
      <c r="T491">
        <v>1</v>
      </c>
      <c r="U491">
        <v>0</v>
      </c>
      <c r="V491">
        <f>IF(SUM(ifood_data[[#This Row],[AcceptedCmp1]:[AcceptedCmp5]])&gt;0,1,0)</f>
        <v>1</v>
      </c>
      <c r="W491">
        <v>0</v>
      </c>
      <c r="X491">
        <v>3</v>
      </c>
      <c r="Y491">
        <v>11</v>
      </c>
      <c r="Z491">
        <v>0</v>
      </c>
      <c r="AA491">
        <v>65</v>
      </c>
      <c r="AB491">
        <v>2419</v>
      </c>
      <c r="AC491" s="28">
        <f>ifood_data[[#This Row],[Customer_Days]]/365</f>
        <v>6.6273972602739724</v>
      </c>
      <c r="AD491">
        <v>0</v>
      </c>
      <c r="AE491">
        <v>0</v>
      </c>
      <c r="AF491">
        <v>1</v>
      </c>
      <c r="AG491">
        <v>0</v>
      </c>
      <c r="AH491">
        <v>0</v>
      </c>
      <c r="AI491">
        <v>0</v>
      </c>
      <c r="AJ491">
        <v>0</v>
      </c>
      <c r="AK491">
        <v>0</v>
      </c>
      <c r="AL491">
        <v>0</v>
      </c>
      <c r="AM491">
        <v>1</v>
      </c>
      <c r="AN491">
        <v>766</v>
      </c>
      <c r="AO491">
        <v>721</v>
      </c>
      <c r="AP491">
        <f>ifood_data[[#This Row],[MntTotal]]-ifood_data[[#This Row],[MntRegularProds]]</f>
        <v>45</v>
      </c>
      <c r="AQ491">
        <v>1</v>
      </c>
      <c r="AR491">
        <f>IF(SUM(ifood_data[[#This Row],[Kidhome]:[Teenhome]])&gt;0,1,0)</f>
        <v>0</v>
      </c>
      <c r="AS491" t="str">
        <f>IF(SUM(ifood_data[[#This Row],[Kidhome]:[Teenhome]])&gt;0,"Has Family","No Family")</f>
        <v>No Family</v>
      </c>
      <c r="AT491" t="str">
        <f>IF(ifood_data[[#This Row],[marital_Married]]=1,"Married", (IF(ifood_data[[#This Row],[marital_Single]]=1,"Single",(IF(ifood_data[[#This Row],[marital_Divorced]]=1,"Divorced",(IF(ifood_data[[#This Row],[marital_Together]]=1,"Living Together",(IF(ifood_data[[#This Row],[marital_Widow]]=1,"Widow","Other")))))))))</f>
        <v>Single</v>
      </c>
      <c r="AU491" t="str">
        <f>IF(ifood_data[[#This Row],[education_Basic]]=1,"High School",(IF(ifood_data[[#This Row],[education_Graduation]]=1,"Undergraduate Degree",(IF(SUM(AM491,AL491,AI491)&gt;0,"Master's Degree or Higher","Other")))))</f>
        <v>Master's Degree or Higher</v>
      </c>
      <c r="AV491" t="str">
        <f>IF(ifood_data[[#All],[Income]]&gt;75000,"75K+",(IF(ifood_data[[#All],[Income]]&gt;50000,"50K-75K",(IF(ifood_data[[#All],[Income]]&gt;35000,"35K-50K","&lt;35K")))))</f>
        <v>50K-75K</v>
      </c>
      <c r="AW491" t="str">
        <f>IF(ifood_data[[#All],[Age]]&gt;60,"60+",(IF(ifood_data[[#All],[Age]]&gt;50,"50-60",(IF(ifood_data[[#All],[Age]]&gt;40,"40-50",(IF(ifood_data[[#All],[Age]]&gt;30,"30-40","&lt;30")))))))</f>
        <v>60+</v>
      </c>
      <c r="AX491">
        <f t="shared" si="28"/>
        <v>28</v>
      </c>
      <c r="AY491">
        <f t="shared" si="29"/>
        <v>3.0000000000000004</v>
      </c>
      <c r="AZ491">
        <f t="shared" si="30"/>
        <v>8</v>
      </c>
      <c r="BA491">
        <f t="shared" si="31"/>
        <v>6</v>
      </c>
      <c r="BB491">
        <f>SUM(ifood_data[[#This Row],[Recency Score]:[Monetary Score]])</f>
        <v>17</v>
      </c>
      <c r="BC491">
        <f>(_xlfn.PERCENTRANK.INC(ifood_data[[#All],[RFM]],ifood_data[[#This Row],[RFM]],1))*10</f>
        <v>6</v>
      </c>
      <c r="BD491" t="str">
        <f>VLOOKUP(ifood_data[[#This Row],[RFM Score]],'RFM Analysis'!$A$3:$B$14,2,FALSE)</f>
        <v>Promising</v>
      </c>
      <c r="BE491">
        <f>'Regression Models'!$B$101+'Regression Models'!$B$102*ifood_data[[#This Row],[Income]]+'Regression Models'!$B$103*ifood_data[[#This Row],[Age]]+'Regression Models'!$B$104*ifood_data[[#This Row],[Family]]</f>
        <v>942.32147052810512</v>
      </c>
      <c r="BF491" t="str">
        <f>IF(ifood_data[[#This Row],[AcceptedCmpOverall]]=1,"Campaign Respondent","Non-respondent")</f>
        <v>Campaign Respondent</v>
      </c>
    </row>
    <row r="492" spans="1:58" x14ac:dyDescent="0.35">
      <c r="A492">
        <v>1453</v>
      </c>
      <c r="B492">
        <v>75283</v>
      </c>
      <c r="C492">
        <v>1</v>
      </c>
      <c r="D492">
        <v>2</v>
      </c>
      <c r="E492">
        <v>26</v>
      </c>
      <c r="F492">
        <v>733</v>
      </c>
      <c r="G492">
        <v>9</v>
      </c>
      <c r="H492">
        <v>180</v>
      </c>
      <c r="I492">
        <v>12</v>
      </c>
      <c r="J492">
        <v>19</v>
      </c>
      <c r="K492">
        <v>66</v>
      </c>
      <c r="L492">
        <v>11</v>
      </c>
      <c r="M492">
        <v>6</v>
      </c>
      <c r="N492">
        <v>3</v>
      </c>
      <c r="O492">
        <v>5</v>
      </c>
      <c r="P492">
        <v>4</v>
      </c>
      <c r="Q492">
        <v>0</v>
      </c>
      <c r="R492">
        <v>0</v>
      </c>
      <c r="S492">
        <v>0</v>
      </c>
      <c r="T492">
        <v>0</v>
      </c>
      <c r="U492">
        <v>0</v>
      </c>
      <c r="V492">
        <f>IF(SUM(ifood_data[[#This Row],[AcceptedCmp1]:[AcceptedCmp5]])&gt;0,1,0)</f>
        <v>0</v>
      </c>
      <c r="W492">
        <v>0</v>
      </c>
      <c r="X492">
        <v>3</v>
      </c>
      <c r="Y492">
        <v>11</v>
      </c>
      <c r="Z492">
        <v>0</v>
      </c>
      <c r="AA492">
        <v>63</v>
      </c>
      <c r="AB492">
        <v>2618</v>
      </c>
      <c r="AC492" s="28">
        <f>ifood_data[[#This Row],[Customer_Days]]/365</f>
        <v>7.1726027397260275</v>
      </c>
      <c r="AD492">
        <v>0</v>
      </c>
      <c r="AE492">
        <v>1</v>
      </c>
      <c r="AF492">
        <v>0</v>
      </c>
      <c r="AG492">
        <v>0</v>
      </c>
      <c r="AH492">
        <v>0</v>
      </c>
      <c r="AI492">
        <v>0</v>
      </c>
      <c r="AJ492">
        <v>0</v>
      </c>
      <c r="AK492">
        <v>0</v>
      </c>
      <c r="AL492">
        <v>0</v>
      </c>
      <c r="AM492">
        <v>1</v>
      </c>
      <c r="AN492">
        <v>953</v>
      </c>
      <c r="AO492">
        <v>887</v>
      </c>
      <c r="AP492">
        <f>ifood_data[[#This Row],[MntTotal]]-ifood_data[[#This Row],[MntRegularProds]]</f>
        <v>66</v>
      </c>
      <c r="AQ492">
        <v>0</v>
      </c>
      <c r="AR492">
        <f>IF(SUM(ifood_data[[#This Row],[Kidhome]:[Teenhome]])&gt;0,1,0)</f>
        <v>1</v>
      </c>
      <c r="AS492" t="str">
        <f>IF(SUM(ifood_data[[#This Row],[Kidhome]:[Teenhome]])&gt;0,"Has Family","No Family")</f>
        <v>Has Family</v>
      </c>
      <c r="AT492" t="str">
        <f>IF(ifood_data[[#This Row],[marital_Married]]=1,"Married", (IF(ifood_data[[#This Row],[marital_Single]]=1,"Single",(IF(ifood_data[[#This Row],[marital_Divorced]]=1,"Divorced",(IF(ifood_data[[#This Row],[marital_Together]]=1,"Living Together",(IF(ifood_data[[#This Row],[marital_Widow]]=1,"Widow","Other")))))))))</f>
        <v>Married</v>
      </c>
      <c r="AU492" t="str">
        <f>IF(ifood_data[[#This Row],[education_Basic]]=1,"High School",(IF(ifood_data[[#This Row],[education_Graduation]]=1,"Undergraduate Degree",(IF(SUM(AM492,AL492,AI492)&gt;0,"Master's Degree or Higher","Other")))))</f>
        <v>Master's Degree or Higher</v>
      </c>
      <c r="AV492" t="str">
        <f>IF(ifood_data[[#All],[Income]]&gt;75000,"75K+",(IF(ifood_data[[#All],[Income]]&gt;50000,"50K-75K",(IF(ifood_data[[#All],[Income]]&gt;35000,"35K-50K","&lt;35K")))))</f>
        <v>75K+</v>
      </c>
      <c r="AW492" t="str">
        <f>IF(ifood_data[[#All],[Age]]&gt;60,"60+",(IF(ifood_data[[#All],[Age]]&gt;50,"50-60",(IF(ifood_data[[#All],[Age]]&gt;40,"40-50",(IF(ifood_data[[#All],[Age]]&gt;30,"30-40","&lt;30")))))))</f>
        <v>60+</v>
      </c>
      <c r="AX492">
        <f t="shared" si="28"/>
        <v>29</v>
      </c>
      <c r="AY492">
        <f t="shared" si="29"/>
        <v>8</v>
      </c>
      <c r="AZ492">
        <f t="shared" si="30"/>
        <v>8</v>
      </c>
      <c r="BA492">
        <f t="shared" si="31"/>
        <v>7</v>
      </c>
      <c r="BB492">
        <f>SUM(ifood_data[[#This Row],[Recency Score]:[Monetary Score]])</f>
        <v>23</v>
      </c>
      <c r="BC492">
        <f>(_xlfn.PERCENTRANK.INC(ifood_data[[#All],[RFM]],ifood_data[[#This Row],[RFM]],1))*10</f>
        <v>8</v>
      </c>
      <c r="BD492" t="str">
        <f>VLOOKUP(ifood_data[[#This Row],[RFM Score]],'RFM Analysis'!$A$3:$B$14,2,FALSE)</f>
        <v>Loyal Customer</v>
      </c>
      <c r="BE492">
        <f>'Regression Models'!$B$101+'Regression Models'!$B$102*ifood_data[[#This Row],[Income]]+'Regression Models'!$B$103*ifood_data[[#This Row],[Age]]+'Regression Models'!$B$104*ifood_data[[#This Row],[Family]]</f>
        <v>941.80308285931858</v>
      </c>
      <c r="BF492" t="str">
        <f>IF(ifood_data[[#This Row],[AcceptedCmpOverall]]=1,"Campaign Respondent","Non-respondent")</f>
        <v>Non-respondent</v>
      </c>
    </row>
    <row r="493" spans="1:58" x14ac:dyDescent="0.35">
      <c r="A493">
        <v>1283</v>
      </c>
      <c r="B493">
        <v>75154</v>
      </c>
      <c r="C493">
        <v>0</v>
      </c>
      <c r="D493">
        <v>1</v>
      </c>
      <c r="E493">
        <v>79</v>
      </c>
      <c r="F493">
        <v>543</v>
      </c>
      <c r="G493">
        <v>10</v>
      </c>
      <c r="H493">
        <v>205</v>
      </c>
      <c r="I493">
        <v>160</v>
      </c>
      <c r="J493">
        <v>143</v>
      </c>
      <c r="K493">
        <v>82</v>
      </c>
      <c r="L493">
        <v>1</v>
      </c>
      <c r="M493">
        <v>6</v>
      </c>
      <c r="N493">
        <v>3</v>
      </c>
      <c r="O493">
        <v>6</v>
      </c>
      <c r="P493">
        <v>3</v>
      </c>
      <c r="Q493">
        <v>0</v>
      </c>
      <c r="R493">
        <v>0</v>
      </c>
      <c r="S493">
        <v>0</v>
      </c>
      <c r="T493">
        <v>0</v>
      </c>
      <c r="U493">
        <v>0</v>
      </c>
      <c r="V493">
        <f>IF(SUM(ifood_data[[#This Row],[AcceptedCmp1]:[AcceptedCmp5]])&gt;0,1,0)</f>
        <v>0</v>
      </c>
      <c r="W493">
        <v>0</v>
      </c>
      <c r="X493">
        <v>3</v>
      </c>
      <c r="Y493">
        <v>11</v>
      </c>
      <c r="Z493">
        <v>1</v>
      </c>
      <c r="AA493">
        <v>62</v>
      </c>
      <c r="AB493">
        <v>2822</v>
      </c>
      <c r="AC493" s="28">
        <f>ifood_data[[#This Row],[Customer_Days]]/365</f>
        <v>7.7315068493150685</v>
      </c>
      <c r="AD493">
        <v>0</v>
      </c>
      <c r="AE493">
        <v>0</v>
      </c>
      <c r="AF493">
        <v>1</v>
      </c>
      <c r="AG493">
        <v>0</v>
      </c>
      <c r="AH493">
        <v>0</v>
      </c>
      <c r="AI493">
        <v>0</v>
      </c>
      <c r="AJ493">
        <v>0</v>
      </c>
      <c r="AK493">
        <v>0</v>
      </c>
      <c r="AL493">
        <v>1</v>
      </c>
      <c r="AM493">
        <v>0</v>
      </c>
      <c r="AN493">
        <v>1061</v>
      </c>
      <c r="AO493">
        <v>979</v>
      </c>
      <c r="AP493">
        <f>ifood_data[[#This Row],[MntTotal]]-ifood_data[[#This Row],[MntRegularProds]]</f>
        <v>82</v>
      </c>
      <c r="AQ493">
        <v>0</v>
      </c>
      <c r="AR493">
        <f>IF(SUM(ifood_data[[#This Row],[Kidhome]:[Teenhome]])&gt;0,1,0)</f>
        <v>1</v>
      </c>
      <c r="AS493" t="str">
        <f>IF(SUM(ifood_data[[#This Row],[Kidhome]:[Teenhome]])&gt;0,"Has Family","No Family")</f>
        <v>Has Family</v>
      </c>
      <c r="AT493" t="str">
        <f>IF(ifood_data[[#This Row],[marital_Married]]=1,"Married", (IF(ifood_data[[#This Row],[marital_Single]]=1,"Single",(IF(ifood_data[[#This Row],[marital_Divorced]]=1,"Divorced",(IF(ifood_data[[#This Row],[marital_Together]]=1,"Living Together",(IF(ifood_data[[#This Row],[marital_Widow]]=1,"Widow","Other")))))))))</f>
        <v>Single</v>
      </c>
      <c r="AU493" t="str">
        <f>IF(ifood_data[[#This Row],[education_Basic]]=1,"High School",(IF(ifood_data[[#This Row],[education_Graduation]]=1,"Undergraduate Degree",(IF(SUM(AM493,AL493,AI493)&gt;0,"Master's Degree or Higher","Other")))))</f>
        <v>Master's Degree or Higher</v>
      </c>
      <c r="AV493" t="str">
        <f>IF(ifood_data[[#All],[Income]]&gt;75000,"75K+",(IF(ifood_data[[#All],[Income]]&gt;50000,"50K-75K",(IF(ifood_data[[#All],[Income]]&gt;35000,"35K-50K","&lt;35K")))))</f>
        <v>75K+</v>
      </c>
      <c r="AW493" t="str">
        <f>IF(ifood_data[[#All],[Age]]&gt;60,"60+",(IF(ifood_data[[#All],[Age]]&gt;50,"50-60",(IF(ifood_data[[#All],[Age]]&gt;40,"40-50",(IF(ifood_data[[#All],[Age]]&gt;30,"30-40","&lt;30")))))))</f>
        <v>60+</v>
      </c>
      <c r="AX493">
        <f t="shared" si="28"/>
        <v>19</v>
      </c>
      <c r="AY493">
        <f t="shared" si="29"/>
        <v>3.0000000000000004</v>
      </c>
      <c r="AZ493">
        <f t="shared" si="30"/>
        <v>4</v>
      </c>
      <c r="BA493">
        <f t="shared" si="31"/>
        <v>7</v>
      </c>
      <c r="BB493">
        <f>SUM(ifood_data[[#This Row],[Recency Score]:[Monetary Score]])</f>
        <v>14</v>
      </c>
      <c r="BC493">
        <f>(_xlfn.PERCENTRANK.INC(ifood_data[[#All],[RFM]],ifood_data[[#This Row],[RFM]],1))*10</f>
        <v>4</v>
      </c>
      <c r="BD493" t="str">
        <f>VLOOKUP(ifood_data[[#This Row],[RFM Score]],'RFM Analysis'!$A$3:$B$14,2,FALSE)</f>
        <v>At Risk</v>
      </c>
      <c r="BE493">
        <f>'Regression Models'!$B$101+'Regression Models'!$B$102*ifood_data[[#This Row],[Income]]+'Regression Models'!$B$103*ifood_data[[#This Row],[Age]]+'Regression Models'!$B$104*ifood_data[[#This Row],[Family]]</f>
        <v>941.00937084765008</v>
      </c>
      <c r="BF493" t="str">
        <f>IF(ifood_data[[#This Row],[AcceptedCmpOverall]]=1,"Campaign Respondent","Non-respondent")</f>
        <v>Non-respondent</v>
      </c>
    </row>
    <row r="494" spans="1:58" x14ac:dyDescent="0.35">
      <c r="A494">
        <v>1430</v>
      </c>
      <c r="B494">
        <v>74881</v>
      </c>
      <c r="C494">
        <v>1</v>
      </c>
      <c r="D494">
        <v>1</v>
      </c>
      <c r="E494">
        <v>48</v>
      </c>
      <c r="F494">
        <v>505</v>
      </c>
      <c r="G494">
        <v>72</v>
      </c>
      <c r="H494">
        <v>270</v>
      </c>
      <c r="I494">
        <v>36</v>
      </c>
      <c r="J494">
        <v>27</v>
      </c>
      <c r="K494">
        <v>54</v>
      </c>
      <c r="L494">
        <v>4</v>
      </c>
      <c r="M494">
        <v>9</v>
      </c>
      <c r="N494">
        <v>2</v>
      </c>
      <c r="O494">
        <v>12</v>
      </c>
      <c r="P494">
        <v>5</v>
      </c>
      <c r="Q494">
        <v>0</v>
      </c>
      <c r="R494">
        <v>0</v>
      </c>
      <c r="S494">
        <v>0</v>
      </c>
      <c r="T494">
        <v>0</v>
      </c>
      <c r="U494">
        <v>0</v>
      </c>
      <c r="V494">
        <f>IF(SUM(ifood_data[[#This Row],[AcceptedCmp1]:[AcceptedCmp5]])&gt;0,1,0)</f>
        <v>0</v>
      </c>
      <c r="W494">
        <v>0</v>
      </c>
      <c r="X494">
        <v>3</v>
      </c>
      <c r="Y494">
        <v>11</v>
      </c>
      <c r="Z494">
        <v>0</v>
      </c>
      <c r="AA494">
        <v>59</v>
      </c>
      <c r="AB494">
        <v>2637</v>
      </c>
      <c r="AC494" s="28">
        <f>ifood_data[[#This Row],[Customer_Days]]/365</f>
        <v>7.2246575342465755</v>
      </c>
      <c r="AD494">
        <v>0</v>
      </c>
      <c r="AE494">
        <v>0</v>
      </c>
      <c r="AF494">
        <v>0</v>
      </c>
      <c r="AG494">
        <v>1</v>
      </c>
      <c r="AH494">
        <v>0</v>
      </c>
      <c r="AI494">
        <v>0</v>
      </c>
      <c r="AJ494">
        <v>0</v>
      </c>
      <c r="AK494">
        <v>0</v>
      </c>
      <c r="AL494">
        <v>1</v>
      </c>
      <c r="AM494">
        <v>0</v>
      </c>
      <c r="AN494">
        <v>910</v>
      </c>
      <c r="AO494">
        <v>856</v>
      </c>
      <c r="AP494">
        <f>ifood_data[[#This Row],[MntTotal]]-ifood_data[[#This Row],[MntRegularProds]]</f>
        <v>54</v>
      </c>
      <c r="AQ494">
        <v>0</v>
      </c>
      <c r="AR494">
        <f>IF(SUM(ifood_data[[#This Row],[Kidhome]:[Teenhome]])&gt;0,1,0)</f>
        <v>1</v>
      </c>
      <c r="AS494" t="str">
        <f>IF(SUM(ifood_data[[#This Row],[Kidhome]:[Teenhome]])&gt;0,"Has Family","No Family")</f>
        <v>Has Family</v>
      </c>
      <c r="AT494" t="str">
        <f>IF(ifood_data[[#This Row],[marital_Married]]=1,"Married", (IF(ifood_data[[#This Row],[marital_Single]]=1,"Single",(IF(ifood_data[[#This Row],[marital_Divorced]]=1,"Divorced",(IF(ifood_data[[#This Row],[marital_Together]]=1,"Living Together",(IF(ifood_data[[#This Row],[marital_Widow]]=1,"Widow","Other")))))))))</f>
        <v>Living Together</v>
      </c>
      <c r="AU494" t="str">
        <f>IF(ifood_data[[#This Row],[education_Basic]]=1,"High School",(IF(ifood_data[[#This Row],[education_Graduation]]=1,"Undergraduate Degree",(IF(SUM(AM494,AL494,AI494)&gt;0,"Master's Degree or Higher","Other")))))</f>
        <v>Master's Degree or Higher</v>
      </c>
      <c r="AV494" t="str">
        <f>IF(ifood_data[[#All],[Income]]&gt;75000,"75K+",(IF(ifood_data[[#All],[Income]]&gt;50000,"50K-75K",(IF(ifood_data[[#All],[Income]]&gt;35000,"35K-50K","&lt;35K")))))</f>
        <v>50K-75K</v>
      </c>
      <c r="AW494" t="str">
        <f>IF(ifood_data[[#All],[Age]]&gt;60,"60+",(IF(ifood_data[[#All],[Age]]&gt;50,"50-60",(IF(ifood_data[[#All],[Age]]&gt;40,"40-50",(IF(ifood_data[[#All],[Age]]&gt;30,"30-40","&lt;30")))))))</f>
        <v>50-60</v>
      </c>
      <c r="AX494">
        <f t="shared" si="28"/>
        <v>32</v>
      </c>
      <c r="AY494">
        <f t="shared" si="29"/>
        <v>6</v>
      </c>
      <c r="AZ494">
        <f t="shared" si="30"/>
        <v>9</v>
      </c>
      <c r="BA494">
        <f t="shared" si="31"/>
        <v>7</v>
      </c>
      <c r="BB494">
        <f>SUM(ifood_data[[#This Row],[Recency Score]:[Monetary Score]])</f>
        <v>22</v>
      </c>
      <c r="BC494">
        <f>(_xlfn.PERCENTRANK.INC(ifood_data[[#All],[RFM]],ifood_data[[#This Row],[RFM]],1))*10</f>
        <v>8</v>
      </c>
      <c r="BD494" t="str">
        <f>VLOOKUP(ifood_data[[#This Row],[RFM Score]],'RFM Analysis'!$A$3:$B$14,2,FALSE)</f>
        <v>Loyal Customer</v>
      </c>
      <c r="BE494">
        <f>'Regression Models'!$B$101+'Regression Models'!$B$102*ifood_data[[#This Row],[Income]]+'Regression Models'!$B$103*ifood_data[[#This Row],[Age]]+'Regression Models'!$B$104*ifood_data[[#This Row],[Family]]</f>
        <v>940.9525543810488</v>
      </c>
      <c r="BF494" t="str">
        <f>IF(ifood_data[[#This Row],[AcceptedCmpOverall]]=1,"Campaign Respondent","Non-respondent")</f>
        <v>Non-respondent</v>
      </c>
    </row>
    <row r="495" spans="1:58" x14ac:dyDescent="0.35">
      <c r="A495">
        <v>1154</v>
      </c>
      <c r="B495">
        <v>75032</v>
      </c>
      <c r="C495">
        <v>0</v>
      </c>
      <c r="D495">
        <v>1</v>
      </c>
      <c r="E495">
        <v>74</v>
      </c>
      <c r="F495">
        <v>952</v>
      </c>
      <c r="G495">
        <v>12</v>
      </c>
      <c r="H495">
        <v>180</v>
      </c>
      <c r="I495">
        <v>47</v>
      </c>
      <c r="J495">
        <v>12</v>
      </c>
      <c r="K495">
        <v>12</v>
      </c>
      <c r="L495">
        <v>2</v>
      </c>
      <c r="M495">
        <v>5</v>
      </c>
      <c r="N495">
        <v>4</v>
      </c>
      <c r="O495">
        <v>9</v>
      </c>
      <c r="P495">
        <v>3</v>
      </c>
      <c r="Q495">
        <v>0</v>
      </c>
      <c r="R495">
        <v>0</v>
      </c>
      <c r="S495">
        <v>0</v>
      </c>
      <c r="T495">
        <v>0</v>
      </c>
      <c r="U495">
        <v>0</v>
      </c>
      <c r="V495">
        <f>IF(SUM(ifood_data[[#This Row],[AcceptedCmp1]:[AcceptedCmp5]])&gt;0,1,0)</f>
        <v>0</v>
      </c>
      <c r="W495">
        <v>0</v>
      </c>
      <c r="X495">
        <v>3</v>
      </c>
      <c r="Y495">
        <v>11</v>
      </c>
      <c r="Z495">
        <v>0</v>
      </c>
      <c r="AA495">
        <v>61</v>
      </c>
      <c r="AB495">
        <v>2586</v>
      </c>
      <c r="AC495" s="28">
        <f>ifood_data[[#This Row],[Customer_Days]]/365</f>
        <v>7.0849315068493155</v>
      </c>
      <c r="AD495">
        <v>0</v>
      </c>
      <c r="AE495">
        <v>1</v>
      </c>
      <c r="AF495">
        <v>0</v>
      </c>
      <c r="AG495">
        <v>0</v>
      </c>
      <c r="AH495">
        <v>0</v>
      </c>
      <c r="AI495">
        <v>0</v>
      </c>
      <c r="AJ495">
        <v>0</v>
      </c>
      <c r="AK495">
        <v>0</v>
      </c>
      <c r="AL495">
        <v>0</v>
      </c>
      <c r="AM495">
        <v>1</v>
      </c>
      <c r="AN495">
        <v>1203</v>
      </c>
      <c r="AO495">
        <v>1191</v>
      </c>
      <c r="AP495">
        <f>ifood_data[[#This Row],[MntTotal]]-ifood_data[[#This Row],[MntRegularProds]]</f>
        <v>12</v>
      </c>
      <c r="AQ495">
        <v>0</v>
      </c>
      <c r="AR495">
        <f>IF(SUM(ifood_data[[#This Row],[Kidhome]:[Teenhome]])&gt;0,1,0)</f>
        <v>1</v>
      </c>
      <c r="AS495" t="str">
        <f>IF(SUM(ifood_data[[#This Row],[Kidhome]:[Teenhome]])&gt;0,"Has Family","No Family")</f>
        <v>Has Family</v>
      </c>
      <c r="AT495" t="str">
        <f>IF(ifood_data[[#This Row],[marital_Married]]=1,"Married", (IF(ifood_data[[#This Row],[marital_Single]]=1,"Single",(IF(ifood_data[[#This Row],[marital_Divorced]]=1,"Divorced",(IF(ifood_data[[#This Row],[marital_Together]]=1,"Living Together",(IF(ifood_data[[#This Row],[marital_Widow]]=1,"Widow","Other")))))))))</f>
        <v>Married</v>
      </c>
      <c r="AU495" t="str">
        <f>IF(ifood_data[[#This Row],[education_Basic]]=1,"High School",(IF(ifood_data[[#This Row],[education_Graduation]]=1,"Undergraduate Degree",(IF(SUM(AM495,AL495,AI495)&gt;0,"Master's Degree or Higher","Other")))))</f>
        <v>Master's Degree or Higher</v>
      </c>
      <c r="AV495" t="str">
        <f>IF(ifood_data[[#All],[Income]]&gt;75000,"75K+",(IF(ifood_data[[#All],[Income]]&gt;50000,"50K-75K",(IF(ifood_data[[#All],[Income]]&gt;35000,"35K-50K","&lt;35K")))))</f>
        <v>75K+</v>
      </c>
      <c r="AW495" t="str">
        <f>IF(ifood_data[[#All],[Age]]&gt;60,"60+",(IF(ifood_data[[#All],[Age]]&gt;50,"50-60",(IF(ifood_data[[#All],[Age]]&gt;40,"40-50",(IF(ifood_data[[#All],[Age]]&gt;30,"30-40","&lt;30")))))))</f>
        <v>60+</v>
      </c>
      <c r="AX495">
        <f t="shared" si="28"/>
        <v>23</v>
      </c>
      <c r="AY495">
        <f t="shared" si="29"/>
        <v>3.0000000000000004</v>
      </c>
      <c r="AZ495">
        <f t="shared" si="30"/>
        <v>6</v>
      </c>
      <c r="BA495">
        <f t="shared" si="31"/>
        <v>8</v>
      </c>
      <c r="BB495">
        <f>SUM(ifood_data[[#This Row],[Recency Score]:[Monetary Score]])</f>
        <v>17</v>
      </c>
      <c r="BC495">
        <f>(_xlfn.PERCENTRANK.INC(ifood_data[[#All],[RFM]],ifood_data[[#This Row],[RFM]],1))*10</f>
        <v>6</v>
      </c>
      <c r="BD495" t="str">
        <f>VLOOKUP(ifood_data[[#This Row],[RFM Score]],'RFM Analysis'!$A$3:$B$14,2,FALSE)</f>
        <v>Promising</v>
      </c>
      <c r="BE495">
        <f>'Regression Models'!$B$101+'Regression Models'!$B$102*ifood_data[[#This Row],[Income]]+'Regression Models'!$B$103*ifood_data[[#This Row],[Age]]+'Regression Models'!$B$104*ifood_data[[#This Row],[Family]]</f>
        <v>940.35838021298866</v>
      </c>
      <c r="BF495" t="str">
        <f>IF(ifood_data[[#This Row],[AcceptedCmpOverall]]=1,"Campaign Respondent","Non-respondent")</f>
        <v>Non-respondent</v>
      </c>
    </row>
    <row r="496" spans="1:58" x14ac:dyDescent="0.35">
      <c r="A496">
        <v>1517</v>
      </c>
      <c r="B496">
        <v>58684</v>
      </c>
      <c r="C496">
        <v>0</v>
      </c>
      <c r="D496">
        <v>0</v>
      </c>
      <c r="E496">
        <v>71</v>
      </c>
      <c r="F496">
        <v>479</v>
      </c>
      <c r="G496">
        <v>35</v>
      </c>
      <c r="H496">
        <v>179</v>
      </c>
      <c r="I496">
        <v>28</v>
      </c>
      <c r="J496">
        <v>7</v>
      </c>
      <c r="K496">
        <v>85</v>
      </c>
      <c r="L496">
        <v>1</v>
      </c>
      <c r="M496">
        <v>5</v>
      </c>
      <c r="N496">
        <v>3</v>
      </c>
      <c r="O496">
        <v>12</v>
      </c>
      <c r="P496">
        <v>2</v>
      </c>
      <c r="Q496">
        <v>0</v>
      </c>
      <c r="R496">
        <v>0</v>
      </c>
      <c r="S496">
        <v>0</v>
      </c>
      <c r="T496">
        <v>1</v>
      </c>
      <c r="U496">
        <v>0</v>
      </c>
      <c r="V496">
        <f>IF(SUM(ifood_data[[#This Row],[AcceptedCmp1]:[AcceptedCmp5]])&gt;0,1,0)</f>
        <v>1</v>
      </c>
      <c r="W496">
        <v>0</v>
      </c>
      <c r="X496">
        <v>3</v>
      </c>
      <c r="Y496">
        <v>11</v>
      </c>
      <c r="Z496">
        <v>0</v>
      </c>
      <c r="AA496">
        <v>39</v>
      </c>
      <c r="AB496">
        <v>2172</v>
      </c>
      <c r="AC496" s="28">
        <f>ifood_data[[#This Row],[Customer_Days]]/365</f>
        <v>5.9506849315068493</v>
      </c>
      <c r="AD496">
        <v>0</v>
      </c>
      <c r="AE496">
        <v>0</v>
      </c>
      <c r="AF496">
        <v>1</v>
      </c>
      <c r="AG496">
        <v>0</v>
      </c>
      <c r="AH496">
        <v>0</v>
      </c>
      <c r="AI496">
        <v>0</v>
      </c>
      <c r="AJ496">
        <v>0</v>
      </c>
      <c r="AK496">
        <v>1</v>
      </c>
      <c r="AL496">
        <v>0</v>
      </c>
      <c r="AM496">
        <v>0</v>
      </c>
      <c r="AN496">
        <v>728</v>
      </c>
      <c r="AO496">
        <v>643</v>
      </c>
      <c r="AP496">
        <f>ifood_data[[#This Row],[MntTotal]]-ifood_data[[#This Row],[MntRegularProds]]</f>
        <v>85</v>
      </c>
      <c r="AQ496">
        <v>1</v>
      </c>
      <c r="AR496">
        <f>IF(SUM(ifood_data[[#This Row],[Kidhome]:[Teenhome]])&gt;0,1,0)</f>
        <v>0</v>
      </c>
      <c r="AS496" t="str">
        <f>IF(SUM(ifood_data[[#This Row],[Kidhome]:[Teenhome]])&gt;0,"Has Family","No Family")</f>
        <v>No Family</v>
      </c>
      <c r="AT496" t="str">
        <f>IF(ifood_data[[#This Row],[marital_Married]]=1,"Married", (IF(ifood_data[[#This Row],[marital_Single]]=1,"Single",(IF(ifood_data[[#This Row],[marital_Divorced]]=1,"Divorced",(IF(ifood_data[[#This Row],[marital_Together]]=1,"Living Together",(IF(ifood_data[[#This Row],[marital_Widow]]=1,"Widow","Other")))))))))</f>
        <v>Single</v>
      </c>
      <c r="AU496" t="str">
        <f>IF(ifood_data[[#This Row],[education_Basic]]=1,"High School",(IF(ifood_data[[#This Row],[education_Graduation]]=1,"Undergraduate Degree",(IF(SUM(AM496,AL496,AI496)&gt;0,"Master's Degree or Higher","Other")))))</f>
        <v>Undergraduate Degree</v>
      </c>
      <c r="AV496" t="str">
        <f>IF(ifood_data[[#All],[Income]]&gt;75000,"75K+",(IF(ifood_data[[#All],[Income]]&gt;50000,"50K-75K",(IF(ifood_data[[#All],[Income]]&gt;35000,"35K-50K","&lt;35K")))))</f>
        <v>50K-75K</v>
      </c>
      <c r="AW496" t="str">
        <f>IF(ifood_data[[#All],[Age]]&gt;60,"60+",(IF(ifood_data[[#All],[Age]]&gt;50,"50-60",(IF(ifood_data[[#All],[Age]]&gt;40,"40-50",(IF(ifood_data[[#All],[Age]]&gt;30,"30-40","&lt;30")))))))</f>
        <v>30-40</v>
      </c>
      <c r="AX496">
        <f t="shared" si="28"/>
        <v>23</v>
      </c>
      <c r="AY496">
        <f t="shared" si="29"/>
        <v>3.0000000000000004</v>
      </c>
      <c r="AZ496">
        <f t="shared" si="30"/>
        <v>6</v>
      </c>
      <c r="BA496">
        <f t="shared" si="31"/>
        <v>6</v>
      </c>
      <c r="BB496">
        <f>SUM(ifood_data[[#This Row],[Recency Score]:[Monetary Score]])</f>
        <v>15</v>
      </c>
      <c r="BC496">
        <f>(_xlfn.PERCENTRANK.INC(ifood_data[[#All],[RFM]],ifood_data[[#This Row],[RFM]],1))*10</f>
        <v>4</v>
      </c>
      <c r="BD496" t="str">
        <f>VLOOKUP(ifood_data[[#This Row],[RFM Score]],'RFM Analysis'!$A$3:$B$14,2,FALSE)</f>
        <v>At Risk</v>
      </c>
      <c r="BE496">
        <f>'Regression Models'!$B$101+'Regression Models'!$B$102*ifood_data[[#This Row],[Income]]+'Regression Models'!$B$103*ifood_data[[#This Row],[Age]]+'Regression Models'!$B$104*ifood_data[[#This Row],[Family]]</f>
        <v>937.05808940521911</v>
      </c>
      <c r="BF496" t="str">
        <f>IF(ifood_data[[#This Row],[AcceptedCmpOverall]]=1,"Campaign Respondent","Non-respondent")</f>
        <v>Campaign Respondent</v>
      </c>
    </row>
    <row r="497" spans="1:58" x14ac:dyDescent="0.35">
      <c r="A497">
        <v>1451</v>
      </c>
      <c r="B497">
        <v>75315</v>
      </c>
      <c r="C497">
        <v>0</v>
      </c>
      <c r="D497">
        <v>1</v>
      </c>
      <c r="E497">
        <v>14</v>
      </c>
      <c r="F497">
        <v>459</v>
      </c>
      <c r="G497">
        <v>15</v>
      </c>
      <c r="H497">
        <v>171</v>
      </c>
      <c r="I497">
        <v>142</v>
      </c>
      <c r="J497">
        <v>23</v>
      </c>
      <c r="K497">
        <v>31</v>
      </c>
      <c r="L497">
        <v>2</v>
      </c>
      <c r="M497">
        <v>5</v>
      </c>
      <c r="N497">
        <v>4</v>
      </c>
      <c r="O497">
        <v>12</v>
      </c>
      <c r="P497">
        <v>2</v>
      </c>
      <c r="Q497">
        <v>0</v>
      </c>
      <c r="R497">
        <v>0</v>
      </c>
      <c r="S497">
        <v>0</v>
      </c>
      <c r="T497">
        <v>0</v>
      </c>
      <c r="U497">
        <v>0</v>
      </c>
      <c r="V497">
        <f>IF(SUM(ifood_data[[#This Row],[AcceptedCmp1]:[AcceptedCmp5]])&gt;0,1,0)</f>
        <v>0</v>
      </c>
      <c r="W497">
        <v>0</v>
      </c>
      <c r="X497">
        <v>3</v>
      </c>
      <c r="Y497">
        <v>11</v>
      </c>
      <c r="Z497">
        <v>0</v>
      </c>
      <c r="AA497">
        <v>66</v>
      </c>
      <c r="AB497">
        <v>2234</v>
      </c>
      <c r="AC497" s="28">
        <f>ifood_data[[#This Row],[Customer_Days]]/365</f>
        <v>6.1205479452054794</v>
      </c>
      <c r="AD497">
        <v>0</v>
      </c>
      <c r="AE497">
        <v>0</v>
      </c>
      <c r="AF497">
        <v>0</v>
      </c>
      <c r="AG497">
        <v>1</v>
      </c>
      <c r="AH497">
        <v>0</v>
      </c>
      <c r="AI497">
        <v>0</v>
      </c>
      <c r="AJ497">
        <v>0</v>
      </c>
      <c r="AK497">
        <v>1</v>
      </c>
      <c r="AL497">
        <v>0</v>
      </c>
      <c r="AM497">
        <v>0</v>
      </c>
      <c r="AN497">
        <v>810</v>
      </c>
      <c r="AO497">
        <v>779</v>
      </c>
      <c r="AP497">
        <f>ifood_data[[#This Row],[MntTotal]]-ifood_data[[#This Row],[MntRegularProds]]</f>
        <v>31</v>
      </c>
      <c r="AQ497">
        <v>0</v>
      </c>
      <c r="AR497">
        <f>IF(SUM(ifood_data[[#This Row],[Kidhome]:[Teenhome]])&gt;0,1,0)</f>
        <v>1</v>
      </c>
      <c r="AS497" t="str">
        <f>IF(SUM(ifood_data[[#This Row],[Kidhome]:[Teenhome]])&gt;0,"Has Family","No Family")</f>
        <v>Has Family</v>
      </c>
      <c r="AT497" t="str">
        <f>IF(ifood_data[[#This Row],[marital_Married]]=1,"Married", (IF(ifood_data[[#This Row],[marital_Single]]=1,"Single",(IF(ifood_data[[#This Row],[marital_Divorced]]=1,"Divorced",(IF(ifood_data[[#This Row],[marital_Together]]=1,"Living Together",(IF(ifood_data[[#This Row],[marital_Widow]]=1,"Widow","Other")))))))))</f>
        <v>Living Together</v>
      </c>
      <c r="AU497" t="str">
        <f>IF(ifood_data[[#This Row],[education_Basic]]=1,"High School",(IF(ifood_data[[#This Row],[education_Graduation]]=1,"Undergraduate Degree",(IF(SUM(AM497,AL497,AI497)&gt;0,"Master's Degree or Higher","Other")))))</f>
        <v>Undergraduate Degree</v>
      </c>
      <c r="AV497" t="str">
        <f>IF(ifood_data[[#All],[Income]]&gt;75000,"75K+",(IF(ifood_data[[#All],[Income]]&gt;50000,"50K-75K",(IF(ifood_data[[#All],[Income]]&gt;35000,"35K-50K","&lt;35K")))))</f>
        <v>75K+</v>
      </c>
      <c r="AW497" t="str">
        <f>IF(ifood_data[[#All],[Age]]&gt;60,"60+",(IF(ifood_data[[#All],[Age]]&gt;50,"50-60",(IF(ifood_data[[#All],[Age]]&gt;40,"40-50",(IF(ifood_data[[#All],[Age]]&gt;30,"30-40","&lt;30")))))))</f>
        <v>60+</v>
      </c>
      <c r="AX497">
        <f t="shared" si="28"/>
        <v>25</v>
      </c>
      <c r="AY497">
        <f t="shared" si="29"/>
        <v>9</v>
      </c>
      <c r="AZ497">
        <f t="shared" si="30"/>
        <v>7</v>
      </c>
      <c r="BA497">
        <f t="shared" si="31"/>
        <v>6</v>
      </c>
      <c r="BB497">
        <f>SUM(ifood_data[[#This Row],[Recency Score]:[Monetary Score]])</f>
        <v>22</v>
      </c>
      <c r="BC497">
        <f>(_xlfn.PERCENTRANK.INC(ifood_data[[#All],[RFM]],ifood_data[[#This Row],[RFM]],1))*10</f>
        <v>8</v>
      </c>
      <c r="BD497" t="str">
        <f>VLOOKUP(ifood_data[[#This Row],[RFM Score]],'RFM Analysis'!$A$3:$B$14,2,FALSE)</f>
        <v>Loyal Customer</v>
      </c>
      <c r="BE497">
        <f>'Regression Models'!$B$101+'Regression Models'!$B$102*ifood_data[[#This Row],[Income]]+'Regression Models'!$B$103*ifood_data[[#This Row],[Age]]+'Regression Models'!$B$104*ifood_data[[#This Row],[Family]]</f>
        <v>936.94620620324065</v>
      </c>
      <c r="BF497" t="str">
        <f>IF(ifood_data[[#This Row],[AcceptedCmpOverall]]=1,"Campaign Respondent","Non-respondent")</f>
        <v>Non-respondent</v>
      </c>
    </row>
    <row r="498" spans="1:58" x14ac:dyDescent="0.35">
      <c r="A498">
        <v>608</v>
      </c>
      <c r="B498">
        <v>73691</v>
      </c>
      <c r="C498">
        <v>0</v>
      </c>
      <c r="D498">
        <v>1</v>
      </c>
      <c r="E498">
        <v>58</v>
      </c>
      <c r="F498">
        <v>707</v>
      </c>
      <c r="G498">
        <v>21</v>
      </c>
      <c r="H498">
        <v>250</v>
      </c>
      <c r="I498">
        <v>85</v>
      </c>
      <c r="J498">
        <v>43</v>
      </c>
      <c r="K498">
        <v>73</v>
      </c>
      <c r="L498">
        <v>2</v>
      </c>
      <c r="M498">
        <v>6</v>
      </c>
      <c r="N498">
        <v>2</v>
      </c>
      <c r="O498">
        <v>8</v>
      </c>
      <c r="P498">
        <v>2</v>
      </c>
      <c r="Q498">
        <v>0</v>
      </c>
      <c r="R498">
        <v>0</v>
      </c>
      <c r="S498">
        <v>1</v>
      </c>
      <c r="T498">
        <v>0</v>
      </c>
      <c r="U498">
        <v>0</v>
      </c>
      <c r="V498">
        <f>IF(SUM(ifood_data[[#This Row],[AcceptedCmp1]:[AcceptedCmp5]])&gt;0,1,0)</f>
        <v>1</v>
      </c>
      <c r="W498">
        <v>0</v>
      </c>
      <c r="X498">
        <v>3</v>
      </c>
      <c r="Y498">
        <v>11</v>
      </c>
      <c r="Z498">
        <v>0</v>
      </c>
      <c r="AA498">
        <v>49</v>
      </c>
      <c r="AB498">
        <v>2394</v>
      </c>
      <c r="AC498" s="28">
        <f>ifood_data[[#This Row],[Customer_Days]]/365</f>
        <v>6.558904109589041</v>
      </c>
      <c r="AD498">
        <v>0</v>
      </c>
      <c r="AE498">
        <v>1</v>
      </c>
      <c r="AF498">
        <v>0</v>
      </c>
      <c r="AG498">
        <v>0</v>
      </c>
      <c r="AH498">
        <v>0</v>
      </c>
      <c r="AI498">
        <v>0</v>
      </c>
      <c r="AJ498">
        <v>0</v>
      </c>
      <c r="AK498">
        <v>1</v>
      </c>
      <c r="AL498">
        <v>0</v>
      </c>
      <c r="AM498">
        <v>0</v>
      </c>
      <c r="AN498">
        <v>1106</v>
      </c>
      <c r="AO498">
        <v>1033</v>
      </c>
      <c r="AP498">
        <f>ifood_data[[#This Row],[MntTotal]]-ifood_data[[#This Row],[MntRegularProds]]</f>
        <v>73</v>
      </c>
      <c r="AQ498">
        <v>1</v>
      </c>
      <c r="AR498">
        <f>IF(SUM(ifood_data[[#This Row],[Kidhome]:[Teenhome]])&gt;0,1,0)</f>
        <v>1</v>
      </c>
      <c r="AS498" t="str">
        <f>IF(SUM(ifood_data[[#This Row],[Kidhome]:[Teenhome]])&gt;0,"Has Family","No Family")</f>
        <v>Has Family</v>
      </c>
      <c r="AT498" t="str">
        <f>IF(ifood_data[[#This Row],[marital_Married]]=1,"Married", (IF(ifood_data[[#This Row],[marital_Single]]=1,"Single",(IF(ifood_data[[#This Row],[marital_Divorced]]=1,"Divorced",(IF(ifood_data[[#This Row],[marital_Together]]=1,"Living Together",(IF(ifood_data[[#This Row],[marital_Widow]]=1,"Widow","Other")))))))))</f>
        <v>Married</v>
      </c>
      <c r="AU498" t="str">
        <f>IF(ifood_data[[#This Row],[education_Basic]]=1,"High School",(IF(ifood_data[[#This Row],[education_Graduation]]=1,"Undergraduate Degree",(IF(SUM(AM498,AL498,AI498)&gt;0,"Master's Degree or Higher","Other")))))</f>
        <v>Undergraduate Degree</v>
      </c>
      <c r="AV498" t="str">
        <f>IF(ifood_data[[#All],[Income]]&gt;75000,"75K+",(IF(ifood_data[[#All],[Income]]&gt;50000,"50K-75K",(IF(ifood_data[[#All],[Income]]&gt;35000,"35K-50K","&lt;35K")))))</f>
        <v>50K-75K</v>
      </c>
      <c r="AW498" t="str">
        <f>IF(ifood_data[[#All],[Age]]&gt;60,"60+",(IF(ifood_data[[#All],[Age]]&gt;50,"50-60",(IF(ifood_data[[#All],[Age]]&gt;40,"40-50",(IF(ifood_data[[#All],[Age]]&gt;30,"30-40","&lt;30")))))))</f>
        <v>40-50</v>
      </c>
      <c r="AX498">
        <f t="shared" si="28"/>
        <v>20</v>
      </c>
      <c r="AY498">
        <f t="shared" si="29"/>
        <v>5</v>
      </c>
      <c r="AZ498">
        <f t="shared" si="30"/>
        <v>4</v>
      </c>
      <c r="BA498">
        <f t="shared" si="31"/>
        <v>8</v>
      </c>
      <c r="BB498">
        <f>SUM(ifood_data[[#This Row],[Recency Score]:[Monetary Score]])</f>
        <v>17</v>
      </c>
      <c r="BC498">
        <f>(_xlfn.PERCENTRANK.INC(ifood_data[[#All],[RFM]],ifood_data[[#This Row],[RFM]],1))*10</f>
        <v>6</v>
      </c>
      <c r="BD498" t="str">
        <f>VLOOKUP(ifood_data[[#This Row],[RFM Score]],'RFM Analysis'!$A$3:$B$14,2,FALSE)</f>
        <v>Promising</v>
      </c>
      <c r="BE498">
        <f>'Regression Models'!$B$101+'Regression Models'!$B$102*ifood_data[[#This Row],[Income]]+'Regression Models'!$B$103*ifood_data[[#This Row],[Age]]+'Regression Models'!$B$104*ifood_data[[#This Row],[Family]]</f>
        <v>935.05431107875177</v>
      </c>
      <c r="BF498" t="str">
        <f>IF(ifood_data[[#This Row],[AcceptedCmpOverall]]=1,"Campaign Respondent","Non-respondent")</f>
        <v>Campaign Respondent</v>
      </c>
    </row>
    <row r="499" spans="1:58" x14ac:dyDescent="0.35">
      <c r="A499">
        <v>261</v>
      </c>
      <c r="B499">
        <v>60714</v>
      </c>
      <c r="C499">
        <v>0</v>
      </c>
      <c r="D499">
        <v>0</v>
      </c>
      <c r="E499">
        <v>56</v>
      </c>
      <c r="F499">
        <v>216</v>
      </c>
      <c r="G499">
        <v>162</v>
      </c>
      <c r="H499">
        <v>224</v>
      </c>
      <c r="I499">
        <v>101</v>
      </c>
      <c r="J499">
        <v>92</v>
      </c>
      <c r="K499">
        <v>162</v>
      </c>
      <c r="L499">
        <v>2</v>
      </c>
      <c r="M499">
        <v>7</v>
      </c>
      <c r="N499">
        <v>4</v>
      </c>
      <c r="O499">
        <v>10</v>
      </c>
      <c r="P499">
        <v>5</v>
      </c>
      <c r="Q499">
        <v>0</v>
      </c>
      <c r="R499">
        <v>0</v>
      </c>
      <c r="S499">
        <v>0</v>
      </c>
      <c r="T499">
        <v>0</v>
      </c>
      <c r="U499">
        <v>0</v>
      </c>
      <c r="V499">
        <f>IF(SUM(ifood_data[[#This Row],[AcceptedCmp1]:[AcceptedCmp5]])&gt;0,1,0)</f>
        <v>0</v>
      </c>
      <c r="W499">
        <v>0</v>
      </c>
      <c r="X499">
        <v>3</v>
      </c>
      <c r="Y499">
        <v>11</v>
      </c>
      <c r="Z499">
        <v>1</v>
      </c>
      <c r="AA499">
        <v>64</v>
      </c>
      <c r="AB499">
        <v>2687</v>
      </c>
      <c r="AC499" s="28">
        <f>ifood_data[[#This Row],[Customer_Days]]/365</f>
        <v>7.3616438356164382</v>
      </c>
      <c r="AD499">
        <v>0</v>
      </c>
      <c r="AE499">
        <v>0</v>
      </c>
      <c r="AF499">
        <v>1</v>
      </c>
      <c r="AG499">
        <v>0</v>
      </c>
      <c r="AH499">
        <v>0</v>
      </c>
      <c r="AI499">
        <v>0</v>
      </c>
      <c r="AJ499">
        <v>0</v>
      </c>
      <c r="AK499">
        <v>1</v>
      </c>
      <c r="AL499">
        <v>0</v>
      </c>
      <c r="AM499">
        <v>0</v>
      </c>
      <c r="AN499">
        <v>795</v>
      </c>
      <c r="AO499">
        <v>633</v>
      </c>
      <c r="AP499">
        <f>ifood_data[[#This Row],[MntTotal]]-ifood_data[[#This Row],[MntRegularProds]]</f>
        <v>162</v>
      </c>
      <c r="AQ499">
        <v>0</v>
      </c>
      <c r="AR499">
        <f>IF(SUM(ifood_data[[#This Row],[Kidhome]:[Teenhome]])&gt;0,1,0)</f>
        <v>0</v>
      </c>
      <c r="AS499" t="str">
        <f>IF(SUM(ifood_data[[#This Row],[Kidhome]:[Teenhome]])&gt;0,"Has Family","No Family")</f>
        <v>No Family</v>
      </c>
      <c r="AT499" t="str">
        <f>IF(ifood_data[[#This Row],[marital_Married]]=1,"Married", (IF(ifood_data[[#This Row],[marital_Single]]=1,"Single",(IF(ifood_data[[#This Row],[marital_Divorced]]=1,"Divorced",(IF(ifood_data[[#This Row],[marital_Together]]=1,"Living Together",(IF(ifood_data[[#This Row],[marital_Widow]]=1,"Widow","Other")))))))))</f>
        <v>Single</v>
      </c>
      <c r="AU499" t="str">
        <f>IF(ifood_data[[#This Row],[education_Basic]]=1,"High School",(IF(ifood_data[[#This Row],[education_Graduation]]=1,"Undergraduate Degree",(IF(SUM(AM499,AL499,AI499)&gt;0,"Master's Degree or Higher","Other")))))</f>
        <v>Undergraduate Degree</v>
      </c>
      <c r="AV499" t="str">
        <f>IF(ifood_data[[#All],[Income]]&gt;75000,"75K+",(IF(ifood_data[[#All],[Income]]&gt;50000,"50K-75K",(IF(ifood_data[[#All],[Income]]&gt;35000,"35K-50K","&lt;35K")))))</f>
        <v>50K-75K</v>
      </c>
      <c r="AW499" t="str">
        <f>IF(ifood_data[[#All],[Age]]&gt;60,"60+",(IF(ifood_data[[#All],[Age]]&gt;50,"50-60",(IF(ifood_data[[#All],[Age]]&gt;40,"40-50",(IF(ifood_data[[#All],[Age]]&gt;30,"30-40","&lt;30")))))))</f>
        <v>60+</v>
      </c>
      <c r="AX499">
        <f t="shared" si="28"/>
        <v>28</v>
      </c>
      <c r="AY499">
        <f t="shared" si="29"/>
        <v>5</v>
      </c>
      <c r="AZ499">
        <f t="shared" si="30"/>
        <v>8</v>
      </c>
      <c r="BA499">
        <f t="shared" si="31"/>
        <v>6</v>
      </c>
      <c r="BB499">
        <f>SUM(ifood_data[[#This Row],[Recency Score]:[Monetary Score]])</f>
        <v>19</v>
      </c>
      <c r="BC499">
        <f>(_xlfn.PERCENTRANK.INC(ifood_data[[#All],[RFM]],ifood_data[[#This Row],[RFM]],1))*10</f>
        <v>7</v>
      </c>
      <c r="BD499" t="str">
        <f>VLOOKUP(ifood_data[[#This Row],[RFM Score]],'RFM Analysis'!$A$3:$B$14,2,FALSE)</f>
        <v>Loyal Customer</v>
      </c>
      <c r="BE499">
        <f>'Regression Models'!$B$101+'Regression Models'!$B$102*ifood_data[[#This Row],[Income]]+'Regression Models'!$B$103*ifood_data[[#This Row],[Age]]+'Regression Models'!$B$104*ifood_data[[#This Row],[Family]]</f>
        <v>932.53631176497709</v>
      </c>
      <c r="BF499" t="str">
        <f>IF(ifood_data[[#This Row],[AcceptedCmpOverall]]=1,"Campaign Respondent","Non-respondent")</f>
        <v>Non-respondent</v>
      </c>
    </row>
    <row r="500" spans="1:58" x14ac:dyDescent="0.35">
      <c r="A500">
        <v>232</v>
      </c>
      <c r="B500">
        <v>75027</v>
      </c>
      <c r="C500">
        <v>0</v>
      </c>
      <c r="D500">
        <v>1</v>
      </c>
      <c r="E500">
        <v>74</v>
      </c>
      <c r="F500">
        <v>925</v>
      </c>
      <c r="G500">
        <v>64</v>
      </c>
      <c r="H500">
        <v>179</v>
      </c>
      <c r="I500">
        <v>133</v>
      </c>
      <c r="J500">
        <v>12</v>
      </c>
      <c r="K500">
        <v>77</v>
      </c>
      <c r="L500">
        <v>2</v>
      </c>
      <c r="M500">
        <v>9</v>
      </c>
      <c r="N500">
        <v>4</v>
      </c>
      <c r="O500">
        <v>6</v>
      </c>
      <c r="P500">
        <v>5</v>
      </c>
      <c r="Q500">
        <v>0</v>
      </c>
      <c r="R500">
        <v>0</v>
      </c>
      <c r="S500">
        <v>0</v>
      </c>
      <c r="T500">
        <v>0</v>
      </c>
      <c r="U500">
        <v>0</v>
      </c>
      <c r="V500">
        <f>IF(SUM(ifood_data[[#This Row],[AcceptedCmp1]:[AcceptedCmp5]])&gt;0,1,0)</f>
        <v>0</v>
      </c>
      <c r="W500">
        <v>0</v>
      </c>
      <c r="X500">
        <v>3</v>
      </c>
      <c r="Y500">
        <v>11</v>
      </c>
      <c r="Z500">
        <v>0</v>
      </c>
      <c r="AA500">
        <v>67</v>
      </c>
      <c r="AB500">
        <v>2695</v>
      </c>
      <c r="AC500" s="28">
        <f>ifood_data[[#This Row],[Customer_Days]]/365</f>
        <v>7.3835616438356162</v>
      </c>
      <c r="AD500">
        <v>0</v>
      </c>
      <c r="AE500">
        <v>1</v>
      </c>
      <c r="AF500">
        <v>0</v>
      </c>
      <c r="AG500">
        <v>0</v>
      </c>
      <c r="AH500">
        <v>0</v>
      </c>
      <c r="AI500">
        <v>0</v>
      </c>
      <c r="AJ500">
        <v>0</v>
      </c>
      <c r="AK500">
        <v>1</v>
      </c>
      <c r="AL500">
        <v>0</v>
      </c>
      <c r="AM500">
        <v>0</v>
      </c>
      <c r="AN500">
        <v>1313</v>
      </c>
      <c r="AO500">
        <v>1236</v>
      </c>
      <c r="AP500">
        <f>ifood_data[[#This Row],[MntTotal]]-ifood_data[[#This Row],[MntRegularProds]]</f>
        <v>77</v>
      </c>
      <c r="AQ500">
        <v>0</v>
      </c>
      <c r="AR500">
        <f>IF(SUM(ifood_data[[#This Row],[Kidhome]:[Teenhome]])&gt;0,1,0)</f>
        <v>1</v>
      </c>
      <c r="AS500" t="str">
        <f>IF(SUM(ifood_data[[#This Row],[Kidhome]:[Teenhome]])&gt;0,"Has Family","No Family")</f>
        <v>Has Family</v>
      </c>
      <c r="AT500" t="str">
        <f>IF(ifood_data[[#This Row],[marital_Married]]=1,"Married", (IF(ifood_data[[#This Row],[marital_Single]]=1,"Single",(IF(ifood_data[[#This Row],[marital_Divorced]]=1,"Divorced",(IF(ifood_data[[#This Row],[marital_Together]]=1,"Living Together",(IF(ifood_data[[#This Row],[marital_Widow]]=1,"Widow","Other")))))))))</f>
        <v>Married</v>
      </c>
      <c r="AU500" t="str">
        <f>IF(ifood_data[[#This Row],[education_Basic]]=1,"High School",(IF(ifood_data[[#This Row],[education_Graduation]]=1,"Undergraduate Degree",(IF(SUM(AM500,AL500,AI500)&gt;0,"Master's Degree or Higher","Other")))))</f>
        <v>Undergraduate Degree</v>
      </c>
      <c r="AV500" t="str">
        <f>IF(ifood_data[[#All],[Income]]&gt;75000,"75K+",(IF(ifood_data[[#All],[Income]]&gt;50000,"50K-75K",(IF(ifood_data[[#All],[Income]]&gt;35000,"35K-50K","&lt;35K")))))</f>
        <v>75K+</v>
      </c>
      <c r="AW500" t="str">
        <f>IF(ifood_data[[#All],[Age]]&gt;60,"60+",(IF(ifood_data[[#All],[Age]]&gt;50,"50-60",(IF(ifood_data[[#All],[Age]]&gt;40,"40-50",(IF(ifood_data[[#All],[Age]]&gt;30,"30-40","&lt;30")))))))</f>
        <v>60+</v>
      </c>
      <c r="AX500">
        <f t="shared" si="28"/>
        <v>26</v>
      </c>
      <c r="AY500">
        <f t="shared" si="29"/>
        <v>3.0000000000000004</v>
      </c>
      <c r="AZ500">
        <f t="shared" si="30"/>
        <v>7</v>
      </c>
      <c r="BA500">
        <f t="shared" si="31"/>
        <v>8</v>
      </c>
      <c r="BB500">
        <f>SUM(ifood_data[[#This Row],[Recency Score]:[Monetary Score]])</f>
        <v>18</v>
      </c>
      <c r="BC500">
        <f>(_xlfn.PERCENTRANK.INC(ifood_data[[#All],[RFM]],ifood_data[[#This Row],[RFM]],1))*10</f>
        <v>6</v>
      </c>
      <c r="BD500" t="str">
        <f>VLOOKUP(ifood_data[[#This Row],[RFM Score]],'RFM Analysis'!$A$3:$B$14,2,FALSE)</f>
        <v>Promising</v>
      </c>
      <c r="BE500">
        <f>'Regression Models'!$B$101+'Regression Models'!$B$102*ifood_data[[#This Row],[Income]]+'Regression Models'!$B$103*ifood_data[[#This Row],[Age]]+'Regression Models'!$B$104*ifood_data[[#This Row],[Family]]</f>
        <v>929.23780189890329</v>
      </c>
      <c r="BF500" t="str">
        <f>IF(ifood_data[[#This Row],[AcceptedCmpOverall]]=1,"Campaign Respondent","Non-respondent")</f>
        <v>Non-respondent</v>
      </c>
    </row>
    <row r="501" spans="1:58" x14ac:dyDescent="0.35">
      <c r="A501">
        <v>1235</v>
      </c>
      <c r="B501">
        <v>74805</v>
      </c>
      <c r="C501">
        <v>0</v>
      </c>
      <c r="D501">
        <v>1</v>
      </c>
      <c r="E501">
        <v>14</v>
      </c>
      <c r="F501">
        <v>209</v>
      </c>
      <c r="G501">
        <v>162</v>
      </c>
      <c r="H501">
        <v>209</v>
      </c>
      <c r="I501">
        <v>41</v>
      </c>
      <c r="J501">
        <v>162</v>
      </c>
      <c r="K501">
        <v>37</v>
      </c>
      <c r="L501">
        <v>5</v>
      </c>
      <c r="M501">
        <v>4</v>
      </c>
      <c r="N501">
        <v>7</v>
      </c>
      <c r="O501">
        <v>10</v>
      </c>
      <c r="P501">
        <v>2</v>
      </c>
      <c r="Q501">
        <v>0</v>
      </c>
      <c r="R501">
        <v>0</v>
      </c>
      <c r="S501">
        <v>0</v>
      </c>
      <c r="T501">
        <v>0</v>
      </c>
      <c r="U501">
        <v>0</v>
      </c>
      <c r="V501">
        <f>IF(SUM(ifood_data[[#This Row],[AcceptedCmp1]:[AcceptedCmp5]])&gt;0,1,0)</f>
        <v>0</v>
      </c>
      <c r="W501">
        <v>0</v>
      </c>
      <c r="X501">
        <v>3</v>
      </c>
      <c r="Y501">
        <v>11</v>
      </c>
      <c r="Z501">
        <v>0</v>
      </c>
      <c r="AA501">
        <v>65</v>
      </c>
      <c r="AB501">
        <v>2394</v>
      </c>
      <c r="AC501" s="28">
        <f>ifood_data[[#This Row],[Customer_Days]]/365</f>
        <v>6.558904109589041</v>
      </c>
      <c r="AD501">
        <v>0</v>
      </c>
      <c r="AE501">
        <v>0</v>
      </c>
      <c r="AF501">
        <v>0</v>
      </c>
      <c r="AG501">
        <v>1</v>
      </c>
      <c r="AH501">
        <v>0</v>
      </c>
      <c r="AI501">
        <v>1</v>
      </c>
      <c r="AJ501">
        <v>0</v>
      </c>
      <c r="AK501">
        <v>0</v>
      </c>
      <c r="AL501">
        <v>0</v>
      </c>
      <c r="AM501">
        <v>0</v>
      </c>
      <c r="AN501">
        <v>783</v>
      </c>
      <c r="AO501">
        <v>746</v>
      </c>
      <c r="AP501">
        <f>ifood_data[[#This Row],[MntTotal]]-ifood_data[[#This Row],[MntRegularProds]]</f>
        <v>37</v>
      </c>
      <c r="AQ501">
        <v>0</v>
      </c>
      <c r="AR501">
        <f>IF(SUM(ifood_data[[#This Row],[Kidhome]:[Teenhome]])&gt;0,1,0)</f>
        <v>1</v>
      </c>
      <c r="AS501" t="str">
        <f>IF(SUM(ifood_data[[#This Row],[Kidhome]:[Teenhome]])&gt;0,"Has Family","No Family")</f>
        <v>Has Family</v>
      </c>
      <c r="AT501" t="str">
        <f>IF(ifood_data[[#This Row],[marital_Married]]=1,"Married", (IF(ifood_data[[#This Row],[marital_Single]]=1,"Single",(IF(ifood_data[[#This Row],[marital_Divorced]]=1,"Divorced",(IF(ifood_data[[#This Row],[marital_Together]]=1,"Living Together",(IF(ifood_data[[#This Row],[marital_Widow]]=1,"Widow","Other")))))))))</f>
        <v>Living Together</v>
      </c>
      <c r="AU501" t="str">
        <f>IF(ifood_data[[#This Row],[education_Basic]]=1,"High School",(IF(ifood_data[[#This Row],[education_Graduation]]=1,"Undergraduate Degree",(IF(SUM(AM501,AL501,AI501)&gt;0,"Master's Degree or Higher","Other")))))</f>
        <v>Master's Degree or Higher</v>
      </c>
      <c r="AV501" t="str">
        <f>IF(ifood_data[[#All],[Income]]&gt;75000,"75K+",(IF(ifood_data[[#All],[Income]]&gt;50000,"50K-75K",(IF(ifood_data[[#All],[Income]]&gt;35000,"35K-50K","&lt;35K")))))</f>
        <v>50K-75K</v>
      </c>
      <c r="AW501" t="str">
        <f>IF(ifood_data[[#All],[Age]]&gt;60,"60+",(IF(ifood_data[[#All],[Age]]&gt;50,"50-60",(IF(ifood_data[[#All],[Age]]&gt;40,"40-50",(IF(ifood_data[[#All],[Age]]&gt;30,"30-40","&lt;30")))))))</f>
        <v>60+</v>
      </c>
      <c r="AX501">
        <f t="shared" si="28"/>
        <v>28</v>
      </c>
      <c r="AY501">
        <f t="shared" si="29"/>
        <v>9</v>
      </c>
      <c r="AZ501">
        <f t="shared" si="30"/>
        <v>8</v>
      </c>
      <c r="BA501">
        <f t="shared" si="31"/>
        <v>6</v>
      </c>
      <c r="BB501">
        <f>SUM(ifood_data[[#This Row],[Recency Score]:[Monetary Score]])</f>
        <v>23</v>
      </c>
      <c r="BC501">
        <f>(_xlfn.PERCENTRANK.INC(ifood_data[[#All],[RFM]],ifood_data[[#This Row],[RFM]],1))*10</f>
        <v>8</v>
      </c>
      <c r="BD501" t="str">
        <f>VLOOKUP(ifood_data[[#This Row],[RFM Score]],'RFM Analysis'!$A$3:$B$14,2,FALSE)</f>
        <v>Loyal Customer</v>
      </c>
      <c r="BE501">
        <f>'Regression Models'!$B$101+'Regression Models'!$B$102*ifood_data[[#This Row],[Income]]+'Regression Models'!$B$103*ifood_data[[#This Row],[Age]]+'Regression Models'!$B$104*ifood_data[[#This Row],[Family]]</f>
        <v>928.38437352874632</v>
      </c>
      <c r="BF501" t="str">
        <f>IF(ifood_data[[#This Row],[AcceptedCmpOverall]]=1,"Campaign Respondent","Non-respondent")</f>
        <v>Non-respondent</v>
      </c>
    </row>
    <row r="502" spans="1:58" x14ac:dyDescent="0.35">
      <c r="A502">
        <v>331</v>
      </c>
      <c r="B502">
        <v>71952</v>
      </c>
      <c r="C502">
        <v>1</v>
      </c>
      <c r="D502">
        <v>0</v>
      </c>
      <c r="E502">
        <v>93</v>
      </c>
      <c r="F502">
        <v>656</v>
      </c>
      <c r="G502">
        <v>80</v>
      </c>
      <c r="H502">
        <v>455</v>
      </c>
      <c r="I502">
        <v>52</v>
      </c>
      <c r="J502">
        <v>107</v>
      </c>
      <c r="K502">
        <v>93</v>
      </c>
      <c r="L502">
        <v>2</v>
      </c>
      <c r="M502">
        <v>8</v>
      </c>
      <c r="N502">
        <v>4</v>
      </c>
      <c r="O502">
        <v>8</v>
      </c>
      <c r="P502">
        <v>4</v>
      </c>
      <c r="Q502">
        <v>0</v>
      </c>
      <c r="R502">
        <v>0</v>
      </c>
      <c r="S502">
        <v>1</v>
      </c>
      <c r="T502">
        <v>0</v>
      </c>
      <c r="U502">
        <v>1</v>
      </c>
      <c r="V502">
        <f>IF(SUM(ifood_data[[#This Row],[AcceptedCmp1]:[AcceptedCmp5]])&gt;0,1,0)</f>
        <v>1</v>
      </c>
      <c r="W502">
        <v>0</v>
      </c>
      <c r="X502">
        <v>3</v>
      </c>
      <c r="Y502">
        <v>11</v>
      </c>
      <c r="Z502">
        <v>0</v>
      </c>
      <c r="AA502">
        <v>34</v>
      </c>
      <c r="AB502">
        <v>2694</v>
      </c>
      <c r="AC502" s="28">
        <f>ifood_data[[#This Row],[Customer_Days]]/365</f>
        <v>7.3808219178082188</v>
      </c>
      <c r="AD502">
        <v>0</v>
      </c>
      <c r="AE502">
        <v>1</v>
      </c>
      <c r="AF502">
        <v>0</v>
      </c>
      <c r="AG502">
        <v>0</v>
      </c>
      <c r="AH502">
        <v>0</v>
      </c>
      <c r="AI502">
        <v>0</v>
      </c>
      <c r="AJ502">
        <v>0</v>
      </c>
      <c r="AK502">
        <v>1</v>
      </c>
      <c r="AL502">
        <v>0</v>
      </c>
      <c r="AM502">
        <v>0</v>
      </c>
      <c r="AN502">
        <v>1350</v>
      </c>
      <c r="AO502">
        <v>1257</v>
      </c>
      <c r="AP502">
        <f>ifood_data[[#This Row],[MntTotal]]-ifood_data[[#This Row],[MntRegularProds]]</f>
        <v>93</v>
      </c>
      <c r="AQ502">
        <v>2</v>
      </c>
      <c r="AR502">
        <f>IF(SUM(ifood_data[[#This Row],[Kidhome]:[Teenhome]])&gt;0,1,0)</f>
        <v>1</v>
      </c>
      <c r="AS502" t="str">
        <f>IF(SUM(ifood_data[[#This Row],[Kidhome]:[Teenhome]])&gt;0,"Has Family","No Family")</f>
        <v>Has Family</v>
      </c>
      <c r="AT502" t="str">
        <f>IF(ifood_data[[#This Row],[marital_Married]]=1,"Married", (IF(ifood_data[[#This Row],[marital_Single]]=1,"Single",(IF(ifood_data[[#This Row],[marital_Divorced]]=1,"Divorced",(IF(ifood_data[[#This Row],[marital_Together]]=1,"Living Together",(IF(ifood_data[[#This Row],[marital_Widow]]=1,"Widow","Other")))))))))</f>
        <v>Married</v>
      </c>
      <c r="AU502" t="str">
        <f>IF(ifood_data[[#This Row],[education_Basic]]=1,"High School",(IF(ifood_data[[#This Row],[education_Graduation]]=1,"Undergraduate Degree",(IF(SUM(AM502,AL502,AI502)&gt;0,"Master's Degree or Higher","Other")))))</f>
        <v>Undergraduate Degree</v>
      </c>
      <c r="AV502" t="str">
        <f>IF(ifood_data[[#All],[Income]]&gt;75000,"75K+",(IF(ifood_data[[#All],[Income]]&gt;50000,"50K-75K",(IF(ifood_data[[#All],[Income]]&gt;35000,"35K-50K","&lt;35K")))))</f>
        <v>50K-75K</v>
      </c>
      <c r="AW502" t="str">
        <f>IF(ifood_data[[#All],[Age]]&gt;60,"60+",(IF(ifood_data[[#All],[Age]]&gt;50,"50-60",(IF(ifood_data[[#All],[Age]]&gt;40,"40-50",(IF(ifood_data[[#All],[Age]]&gt;30,"30-40","&lt;30")))))))</f>
        <v>30-40</v>
      </c>
      <c r="AX502">
        <f t="shared" si="28"/>
        <v>26</v>
      </c>
      <c r="AY502">
        <f t="shared" si="29"/>
        <v>0.99999999999999978</v>
      </c>
      <c r="AZ502">
        <f t="shared" si="30"/>
        <v>7</v>
      </c>
      <c r="BA502">
        <f t="shared" si="31"/>
        <v>8</v>
      </c>
      <c r="BB502">
        <f>SUM(ifood_data[[#This Row],[Recency Score]:[Monetary Score]])</f>
        <v>16</v>
      </c>
      <c r="BC502">
        <f>(_xlfn.PERCENTRANK.INC(ifood_data[[#All],[RFM]],ifood_data[[#This Row],[RFM]],1))*10</f>
        <v>5</v>
      </c>
      <c r="BD502" t="str">
        <f>VLOOKUP(ifood_data[[#This Row],[RFM Score]],'RFM Analysis'!$A$3:$B$14,2,FALSE)</f>
        <v>Promising</v>
      </c>
      <c r="BE502">
        <f>'Regression Models'!$B$101+'Regression Models'!$B$102*ifood_data[[#This Row],[Income]]+'Regression Models'!$B$103*ifood_data[[#This Row],[Age]]+'Regression Models'!$B$104*ifood_data[[#This Row],[Family]]</f>
        <v>927.14482945992552</v>
      </c>
      <c r="BF502" t="str">
        <f>IF(ifood_data[[#This Row],[AcceptedCmpOverall]]=1,"Campaign Respondent","Non-respondent")</f>
        <v>Campaign Respondent</v>
      </c>
    </row>
    <row r="503" spans="1:58" x14ac:dyDescent="0.35">
      <c r="A503">
        <v>1403</v>
      </c>
      <c r="B503">
        <v>73538</v>
      </c>
      <c r="C503">
        <v>0</v>
      </c>
      <c r="D503">
        <v>1</v>
      </c>
      <c r="E503">
        <v>92</v>
      </c>
      <c r="F503">
        <v>811</v>
      </c>
      <c r="G503">
        <v>76</v>
      </c>
      <c r="H503">
        <v>428</v>
      </c>
      <c r="I503">
        <v>99</v>
      </c>
      <c r="J503">
        <v>137</v>
      </c>
      <c r="K503">
        <v>107</v>
      </c>
      <c r="L503">
        <v>3</v>
      </c>
      <c r="M503">
        <v>10</v>
      </c>
      <c r="N503">
        <v>4</v>
      </c>
      <c r="O503">
        <v>9</v>
      </c>
      <c r="P503">
        <v>7</v>
      </c>
      <c r="Q503">
        <v>0</v>
      </c>
      <c r="R503">
        <v>0</v>
      </c>
      <c r="S503">
        <v>0</v>
      </c>
      <c r="T503">
        <v>0</v>
      </c>
      <c r="U503">
        <v>0</v>
      </c>
      <c r="V503">
        <f>IF(SUM(ifood_data[[#This Row],[AcceptedCmp1]:[AcceptedCmp5]])&gt;0,1,0)</f>
        <v>0</v>
      </c>
      <c r="W503">
        <v>0</v>
      </c>
      <c r="X503">
        <v>3</v>
      </c>
      <c r="Y503">
        <v>11</v>
      </c>
      <c r="Z503">
        <v>0</v>
      </c>
      <c r="AA503">
        <v>55</v>
      </c>
      <c r="AB503">
        <v>2740</v>
      </c>
      <c r="AC503" s="28">
        <f>ifood_data[[#This Row],[Customer_Days]]/365</f>
        <v>7.506849315068493</v>
      </c>
      <c r="AD503">
        <v>0</v>
      </c>
      <c r="AE503">
        <v>1</v>
      </c>
      <c r="AF503">
        <v>0</v>
      </c>
      <c r="AG503">
        <v>0</v>
      </c>
      <c r="AH503">
        <v>0</v>
      </c>
      <c r="AI503">
        <v>0</v>
      </c>
      <c r="AJ503">
        <v>0</v>
      </c>
      <c r="AK503">
        <v>1</v>
      </c>
      <c r="AL503">
        <v>0</v>
      </c>
      <c r="AM503">
        <v>0</v>
      </c>
      <c r="AN503">
        <v>1551</v>
      </c>
      <c r="AO503">
        <v>1444</v>
      </c>
      <c r="AP503">
        <f>ifood_data[[#This Row],[MntTotal]]-ifood_data[[#This Row],[MntRegularProds]]</f>
        <v>107</v>
      </c>
      <c r="AQ503">
        <v>0</v>
      </c>
      <c r="AR503">
        <f>IF(SUM(ifood_data[[#This Row],[Kidhome]:[Teenhome]])&gt;0,1,0)</f>
        <v>1</v>
      </c>
      <c r="AS503" t="str">
        <f>IF(SUM(ifood_data[[#This Row],[Kidhome]:[Teenhome]])&gt;0,"Has Family","No Family")</f>
        <v>Has Family</v>
      </c>
      <c r="AT503" t="str">
        <f>IF(ifood_data[[#This Row],[marital_Married]]=1,"Married", (IF(ifood_data[[#This Row],[marital_Single]]=1,"Single",(IF(ifood_data[[#This Row],[marital_Divorced]]=1,"Divorced",(IF(ifood_data[[#This Row],[marital_Together]]=1,"Living Together",(IF(ifood_data[[#This Row],[marital_Widow]]=1,"Widow","Other")))))))))</f>
        <v>Married</v>
      </c>
      <c r="AU503" t="str">
        <f>IF(ifood_data[[#This Row],[education_Basic]]=1,"High School",(IF(ifood_data[[#This Row],[education_Graduation]]=1,"Undergraduate Degree",(IF(SUM(AM503,AL503,AI503)&gt;0,"Master's Degree or Higher","Other")))))</f>
        <v>Undergraduate Degree</v>
      </c>
      <c r="AV503" t="str">
        <f>IF(ifood_data[[#All],[Income]]&gt;75000,"75K+",(IF(ifood_data[[#All],[Income]]&gt;50000,"50K-75K",(IF(ifood_data[[#All],[Income]]&gt;35000,"35K-50K","&lt;35K")))))</f>
        <v>50K-75K</v>
      </c>
      <c r="AW503" t="str">
        <f>IF(ifood_data[[#All],[Age]]&gt;60,"60+",(IF(ifood_data[[#All],[Age]]&gt;50,"50-60",(IF(ifood_data[[#All],[Age]]&gt;40,"40-50",(IF(ifood_data[[#All],[Age]]&gt;30,"30-40","&lt;30")))))))</f>
        <v>50-60</v>
      </c>
      <c r="AX503">
        <f t="shared" si="28"/>
        <v>33</v>
      </c>
      <c r="AY503">
        <f t="shared" si="29"/>
        <v>0.99999999999999978</v>
      </c>
      <c r="AZ503">
        <f t="shared" si="30"/>
        <v>9</v>
      </c>
      <c r="BA503">
        <f t="shared" si="31"/>
        <v>9</v>
      </c>
      <c r="BB503">
        <f>SUM(ifood_data[[#This Row],[Recency Score]:[Monetary Score]])</f>
        <v>19</v>
      </c>
      <c r="BC503">
        <f>(_xlfn.PERCENTRANK.INC(ifood_data[[#All],[RFM]],ifood_data[[#This Row],[RFM]],1))*10</f>
        <v>7</v>
      </c>
      <c r="BD503" t="str">
        <f>VLOOKUP(ifood_data[[#This Row],[RFM Score]],'RFM Analysis'!$A$3:$B$14,2,FALSE)</f>
        <v>Loyal Customer</v>
      </c>
      <c r="BE503">
        <f>'Regression Models'!$B$101+'Regression Models'!$B$102*ifood_data[[#This Row],[Income]]+'Regression Models'!$B$103*ifood_data[[#This Row],[Age]]+'Regression Models'!$B$104*ifood_data[[#This Row],[Family]]</f>
        <v>920.91619507936969</v>
      </c>
      <c r="BF503" t="str">
        <f>IF(ifood_data[[#This Row],[AcceptedCmpOverall]]=1,"Campaign Respondent","Non-respondent")</f>
        <v>Non-respondent</v>
      </c>
    </row>
    <row r="504" spans="1:58" x14ac:dyDescent="0.35">
      <c r="A504">
        <v>1910</v>
      </c>
      <c r="B504">
        <v>72967</v>
      </c>
      <c r="C504">
        <v>0</v>
      </c>
      <c r="D504">
        <v>1</v>
      </c>
      <c r="E504">
        <v>1</v>
      </c>
      <c r="F504">
        <v>158</v>
      </c>
      <c r="G504">
        <v>35</v>
      </c>
      <c r="H504">
        <v>179</v>
      </c>
      <c r="I504">
        <v>0</v>
      </c>
      <c r="J504">
        <v>0</v>
      </c>
      <c r="K504">
        <v>125</v>
      </c>
      <c r="L504">
        <v>2</v>
      </c>
      <c r="M504">
        <v>7</v>
      </c>
      <c r="N504">
        <v>2</v>
      </c>
      <c r="O504">
        <v>8</v>
      </c>
      <c r="P504">
        <v>5</v>
      </c>
      <c r="Q504">
        <v>0</v>
      </c>
      <c r="R504">
        <v>0</v>
      </c>
      <c r="S504">
        <v>1</v>
      </c>
      <c r="T504">
        <v>0</v>
      </c>
      <c r="U504">
        <v>0</v>
      </c>
      <c r="V504">
        <f>IF(SUM(ifood_data[[#This Row],[AcceptedCmp1]:[AcceptedCmp5]])&gt;0,1,0)</f>
        <v>1</v>
      </c>
      <c r="W504">
        <v>0</v>
      </c>
      <c r="X504">
        <v>3</v>
      </c>
      <c r="Y504">
        <v>11</v>
      </c>
      <c r="Z504">
        <v>1</v>
      </c>
      <c r="AA504">
        <v>50</v>
      </c>
      <c r="AB504">
        <v>2720</v>
      </c>
      <c r="AC504" s="28">
        <f>ifood_data[[#This Row],[Customer_Days]]/365</f>
        <v>7.4520547945205475</v>
      </c>
      <c r="AD504">
        <v>1</v>
      </c>
      <c r="AE504">
        <v>0</v>
      </c>
      <c r="AF504">
        <v>0</v>
      </c>
      <c r="AG504">
        <v>0</v>
      </c>
      <c r="AH504">
        <v>0</v>
      </c>
      <c r="AI504">
        <v>0</v>
      </c>
      <c r="AJ504">
        <v>0</v>
      </c>
      <c r="AK504">
        <v>1</v>
      </c>
      <c r="AL504">
        <v>0</v>
      </c>
      <c r="AM504">
        <v>0</v>
      </c>
      <c r="AN504">
        <v>372</v>
      </c>
      <c r="AO504">
        <v>247</v>
      </c>
      <c r="AP504">
        <f>ifood_data[[#This Row],[MntTotal]]-ifood_data[[#This Row],[MntRegularProds]]</f>
        <v>125</v>
      </c>
      <c r="AQ504">
        <v>1</v>
      </c>
      <c r="AR504">
        <f>IF(SUM(ifood_data[[#This Row],[Kidhome]:[Teenhome]])&gt;0,1,0)</f>
        <v>1</v>
      </c>
      <c r="AS504" t="str">
        <f>IF(SUM(ifood_data[[#This Row],[Kidhome]:[Teenhome]])&gt;0,"Has Family","No Family")</f>
        <v>Has Family</v>
      </c>
      <c r="AT504" t="str">
        <f>IF(ifood_data[[#This Row],[marital_Married]]=1,"Married", (IF(ifood_data[[#This Row],[marital_Single]]=1,"Single",(IF(ifood_data[[#This Row],[marital_Divorced]]=1,"Divorced",(IF(ifood_data[[#This Row],[marital_Together]]=1,"Living Together",(IF(ifood_data[[#This Row],[marital_Widow]]=1,"Widow","Other")))))))))</f>
        <v>Divorced</v>
      </c>
      <c r="AU504" t="str">
        <f>IF(ifood_data[[#This Row],[education_Basic]]=1,"High School",(IF(ifood_data[[#This Row],[education_Graduation]]=1,"Undergraduate Degree",(IF(SUM(AM504,AL504,AI504)&gt;0,"Master's Degree or Higher","Other")))))</f>
        <v>Undergraduate Degree</v>
      </c>
      <c r="AV504" t="str">
        <f>IF(ifood_data[[#All],[Income]]&gt;75000,"75K+",(IF(ifood_data[[#All],[Income]]&gt;50000,"50K-75K",(IF(ifood_data[[#All],[Income]]&gt;35000,"35K-50K","&lt;35K")))))</f>
        <v>50K-75K</v>
      </c>
      <c r="AW504" t="str">
        <f>IF(ifood_data[[#All],[Age]]&gt;60,"60+",(IF(ifood_data[[#All],[Age]]&gt;50,"50-60",(IF(ifood_data[[#All],[Age]]&gt;40,"40-50",(IF(ifood_data[[#All],[Age]]&gt;30,"30-40","&lt;30")))))))</f>
        <v>40-50</v>
      </c>
      <c r="AX504">
        <f t="shared" si="28"/>
        <v>24</v>
      </c>
      <c r="AY504">
        <f t="shared" si="29"/>
        <v>10</v>
      </c>
      <c r="AZ504">
        <f t="shared" si="30"/>
        <v>6</v>
      </c>
      <c r="BA504">
        <f t="shared" si="31"/>
        <v>5</v>
      </c>
      <c r="BB504">
        <f>SUM(ifood_data[[#This Row],[Recency Score]:[Monetary Score]])</f>
        <v>21</v>
      </c>
      <c r="BC504">
        <f>(_xlfn.PERCENTRANK.INC(ifood_data[[#All],[RFM]],ifood_data[[#This Row],[RFM]],1))*10</f>
        <v>8</v>
      </c>
      <c r="BD504" t="str">
        <f>VLOOKUP(ifood_data[[#This Row],[RFM Score]],'RFM Analysis'!$A$3:$B$14,2,FALSE)</f>
        <v>Loyal Customer</v>
      </c>
      <c r="BE504">
        <f>'Regression Models'!$B$101+'Regression Models'!$B$102*ifood_data[[#This Row],[Income]]+'Regression Models'!$B$103*ifood_data[[#This Row],[Age]]+'Regression Models'!$B$104*ifood_data[[#This Row],[Family]]</f>
        <v>918.45640386367461</v>
      </c>
      <c r="BF504" t="str">
        <f>IF(ifood_data[[#This Row],[AcceptedCmpOverall]]=1,"Campaign Respondent","Non-respondent")</f>
        <v>Campaign Respondent</v>
      </c>
    </row>
    <row r="505" spans="1:58" x14ac:dyDescent="0.35">
      <c r="A505">
        <v>728</v>
      </c>
      <c r="B505">
        <v>72063</v>
      </c>
      <c r="C505">
        <v>0</v>
      </c>
      <c r="D505">
        <v>1</v>
      </c>
      <c r="E505">
        <v>3</v>
      </c>
      <c r="F505">
        <v>180</v>
      </c>
      <c r="G505">
        <v>32</v>
      </c>
      <c r="H505">
        <v>348</v>
      </c>
      <c r="I505">
        <v>76</v>
      </c>
      <c r="J505">
        <v>32</v>
      </c>
      <c r="K505">
        <v>90</v>
      </c>
      <c r="L505">
        <v>2</v>
      </c>
      <c r="M505">
        <v>5</v>
      </c>
      <c r="N505">
        <v>2</v>
      </c>
      <c r="O505">
        <v>12</v>
      </c>
      <c r="P505">
        <v>2</v>
      </c>
      <c r="Q505">
        <v>0</v>
      </c>
      <c r="R505">
        <v>0</v>
      </c>
      <c r="S505">
        <v>0</v>
      </c>
      <c r="T505">
        <v>0</v>
      </c>
      <c r="U505">
        <v>0</v>
      </c>
      <c r="V505">
        <f>IF(SUM(ifood_data[[#This Row],[AcceptedCmp1]:[AcceptedCmp5]])&gt;0,1,0)</f>
        <v>0</v>
      </c>
      <c r="W505">
        <v>0</v>
      </c>
      <c r="X505">
        <v>3</v>
      </c>
      <c r="Y505">
        <v>11</v>
      </c>
      <c r="Z505">
        <v>0</v>
      </c>
      <c r="AA505">
        <v>41</v>
      </c>
      <c r="AB505">
        <v>2520</v>
      </c>
      <c r="AC505" s="28">
        <f>ifood_data[[#This Row],[Customer_Days]]/365</f>
        <v>6.904109589041096</v>
      </c>
      <c r="AD505">
        <v>0</v>
      </c>
      <c r="AE505">
        <v>1</v>
      </c>
      <c r="AF505">
        <v>0</v>
      </c>
      <c r="AG505">
        <v>0</v>
      </c>
      <c r="AH505">
        <v>0</v>
      </c>
      <c r="AI505">
        <v>0</v>
      </c>
      <c r="AJ505">
        <v>0</v>
      </c>
      <c r="AK505">
        <v>1</v>
      </c>
      <c r="AL505">
        <v>0</v>
      </c>
      <c r="AM505">
        <v>0</v>
      </c>
      <c r="AN505">
        <v>668</v>
      </c>
      <c r="AO505">
        <v>578</v>
      </c>
      <c r="AP505">
        <f>ifood_data[[#This Row],[MntTotal]]-ifood_data[[#This Row],[MntRegularProds]]</f>
        <v>90</v>
      </c>
      <c r="AQ505">
        <v>0</v>
      </c>
      <c r="AR505">
        <f>IF(SUM(ifood_data[[#This Row],[Kidhome]:[Teenhome]])&gt;0,1,0)</f>
        <v>1</v>
      </c>
      <c r="AS505" t="str">
        <f>IF(SUM(ifood_data[[#This Row],[Kidhome]:[Teenhome]])&gt;0,"Has Family","No Family")</f>
        <v>Has Family</v>
      </c>
      <c r="AT505" t="str">
        <f>IF(ifood_data[[#This Row],[marital_Married]]=1,"Married", (IF(ifood_data[[#This Row],[marital_Single]]=1,"Single",(IF(ifood_data[[#This Row],[marital_Divorced]]=1,"Divorced",(IF(ifood_data[[#This Row],[marital_Together]]=1,"Living Together",(IF(ifood_data[[#This Row],[marital_Widow]]=1,"Widow","Other")))))))))</f>
        <v>Married</v>
      </c>
      <c r="AU505" t="str">
        <f>IF(ifood_data[[#This Row],[education_Basic]]=1,"High School",(IF(ifood_data[[#This Row],[education_Graduation]]=1,"Undergraduate Degree",(IF(SUM(AM505,AL505,AI505)&gt;0,"Master's Degree or Higher","Other")))))</f>
        <v>Undergraduate Degree</v>
      </c>
      <c r="AV505" t="str">
        <f>IF(ifood_data[[#All],[Income]]&gt;75000,"75K+",(IF(ifood_data[[#All],[Income]]&gt;50000,"50K-75K",(IF(ifood_data[[#All],[Income]]&gt;35000,"35K-50K","&lt;35K")))))</f>
        <v>50K-75K</v>
      </c>
      <c r="AW505" t="str">
        <f>IF(ifood_data[[#All],[Age]]&gt;60,"60+",(IF(ifood_data[[#All],[Age]]&gt;50,"50-60",(IF(ifood_data[[#All],[Age]]&gt;40,"40-50",(IF(ifood_data[[#All],[Age]]&gt;30,"30-40","&lt;30")))))))</f>
        <v>40-50</v>
      </c>
      <c r="AX505">
        <f t="shared" si="28"/>
        <v>23</v>
      </c>
      <c r="AY505">
        <f t="shared" si="29"/>
        <v>10</v>
      </c>
      <c r="AZ505">
        <f t="shared" si="30"/>
        <v>6</v>
      </c>
      <c r="BA505">
        <f t="shared" si="31"/>
        <v>6</v>
      </c>
      <c r="BB505">
        <f>SUM(ifood_data[[#This Row],[Recency Score]:[Monetary Score]])</f>
        <v>22</v>
      </c>
      <c r="BC505">
        <f>(_xlfn.PERCENTRANK.INC(ifood_data[[#All],[RFM]],ifood_data[[#This Row],[RFM]],1))*10</f>
        <v>8</v>
      </c>
      <c r="BD505" t="str">
        <f>VLOOKUP(ifood_data[[#This Row],[RFM Score]],'RFM Analysis'!$A$3:$B$14,2,FALSE)</f>
        <v>Loyal Customer</v>
      </c>
      <c r="BE505">
        <f>'Regression Models'!$B$101+'Regression Models'!$B$102*ifood_data[[#This Row],[Income]]+'Regression Models'!$B$103*ifood_data[[#This Row],[Age]]+'Regression Models'!$B$104*ifood_data[[#This Row],[Family]]</f>
        <v>916.55290917163859</v>
      </c>
      <c r="BF505" t="str">
        <f>IF(ifood_data[[#This Row],[AcceptedCmpOverall]]=1,"Campaign Respondent","Non-respondent")</f>
        <v>Non-respondent</v>
      </c>
    </row>
    <row r="506" spans="1:58" x14ac:dyDescent="0.35">
      <c r="A506">
        <v>1620</v>
      </c>
      <c r="B506">
        <v>72117</v>
      </c>
      <c r="C506">
        <v>0</v>
      </c>
      <c r="D506">
        <v>1</v>
      </c>
      <c r="E506">
        <v>34</v>
      </c>
      <c r="F506">
        <v>707</v>
      </c>
      <c r="G506">
        <v>20</v>
      </c>
      <c r="H506">
        <v>171</v>
      </c>
      <c r="I506">
        <v>65</v>
      </c>
      <c r="J506">
        <v>60</v>
      </c>
      <c r="K506">
        <v>50</v>
      </c>
      <c r="L506">
        <v>1</v>
      </c>
      <c r="M506">
        <v>9</v>
      </c>
      <c r="N506">
        <v>7</v>
      </c>
      <c r="O506">
        <v>9</v>
      </c>
      <c r="P506">
        <v>5</v>
      </c>
      <c r="Q506">
        <v>0</v>
      </c>
      <c r="R506">
        <v>0</v>
      </c>
      <c r="S506">
        <v>0</v>
      </c>
      <c r="T506">
        <v>0</v>
      </c>
      <c r="U506">
        <v>0</v>
      </c>
      <c r="V506">
        <f>IF(SUM(ifood_data[[#This Row],[AcceptedCmp1]:[AcceptedCmp5]])&gt;0,1,0)</f>
        <v>0</v>
      </c>
      <c r="W506">
        <v>0</v>
      </c>
      <c r="X506">
        <v>3</v>
      </c>
      <c r="Y506">
        <v>11</v>
      </c>
      <c r="Z506">
        <v>0</v>
      </c>
      <c r="AA506">
        <v>43</v>
      </c>
      <c r="AB506">
        <v>2472</v>
      </c>
      <c r="AC506" s="28">
        <f>ifood_data[[#This Row],[Customer_Days]]/365</f>
        <v>6.7726027397260271</v>
      </c>
      <c r="AD506">
        <v>0</v>
      </c>
      <c r="AE506">
        <v>1</v>
      </c>
      <c r="AF506">
        <v>0</v>
      </c>
      <c r="AG506">
        <v>0</v>
      </c>
      <c r="AH506">
        <v>0</v>
      </c>
      <c r="AI506">
        <v>0</v>
      </c>
      <c r="AJ506">
        <v>0</v>
      </c>
      <c r="AK506">
        <v>1</v>
      </c>
      <c r="AL506">
        <v>0</v>
      </c>
      <c r="AM506">
        <v>0</v>
      </c>
      <c r="AN506">
        <v>1023</v>
      </c>
      <c r="AO506">
        <v>973</v>
      </c>
      <c r="AP506">
        <f>ifood_data[[#This Row],[MntTotal]]-ifood_data[[#This Row],[MntRegularProds]]</f>
        <v>50</v>
      </c>
      <c r="AQ506">
        <v>0</v>
      </c>
      <c r="AR506">
        <f>IF(SUM(ifood_data[[#This Row],[Kidhome]:[Teenhome]])&gt;0,1,0)</f>
        <v>1</v>
      </c>
      <c r="AS506" t="str">
        <f>IF(SUM(ifood_data[[#This Row],[Kidhome]:[Teenhome]])&gt;0,"Has Family","No Family")</f>
        <v>Has Family</v>
      </c>
      <c r="AT506" t="str">
        <f>IF(ifood_data[[#This Row],[marital_Married]]=1,"Married", (IF(ifood_data[[#This Row],[marital_Single]]=1,"Single",(IF(ifood_data[[#This Row],[marital_Divorced]]=1,"Divorced",(IF(ifood_data[[#This Row],[marital_Together]]=1,"Living Together",(IF(ifood_data[[#This Row],[marital_Widow]]=1,"Widow","Other")))))))))</f>
        <v>Married</v>
      </c>
      <c r="AU506" t="str">
        <f>IF(ifood_data[[#This Row],[education_Basic]]=1,"High School",(IF(ifood_data[[#This Row],[education_Graduation]]=1,"Undergraduate Degree",(IF(SUM(AM506,AL506,AI506)&gt;0,"Master's Degree or Higher","Other")))))</f>
        <v>Undergraduate Degree</v>
      </c>
      <c r="AV506" t="str">
        <f>IF(ifood_data[[#All],[Income]]&gt;75000,"75K+",(IF(ifood_data[[#All],[Income]]&gt;50000,"50K-75K",(IF(ifood_data[[#All],[Income]]&gt;35000,"35K-50K","&lt;35K")))))</f>
        <v>50K-75K</v>
      </c>
      <c r="AW506" t="str">
        <f>IF(ifood_data[[#All],[Age]]&gt;60,"60+",(IF(ifood_data[[#All],[Age]]&gt;50,"50-60",(IF(ifood_data[[#All],[Age]]&gt;40,"40-50",(IF(ifood_data[[#All],[Age]]&gt;30,"30-40","&lt;30")))))))</f>
        <v>40-50</v>
      </c>
      <c r="AX506">
        <f t="shared" si="28"/>
        <v>31</v>
      </c>
      <c r="AY506">
        <f t="shared" si="29"/>
        <v>7</v>
      </c>
      <c r="AZ506">
        <f t="shared" si="30"/>
        <v>9</v>
      </c>
      <c r="BA506">
        <f t="shared" si="31"/>
        <v>7</v>
      </c>
      <c r="BB506">
        <f>SUM(ifood_data[[#This Row],[Recency Score]:[Monetary Score]])</f>
        <v>23</v>
      </c>
      <c r="BC506">
        <f>(_xlfn.PERCENTRANK.INC(ifood_data[[#All],[RFM]],ifood_data[[#This Row],[RFM]],1))*10</f>
        <v>8</v>
      </c>
      <c r="BD506" t="str">
        <f>VLOOKUP(ifood_data[[#This Row],[RFM Score]],'RFM Analysis'!$A$3:$B$14,2,FALSE)</f>
        <v>Loyal Customer</v>
      </c>
      <c r="BE506">
        <f>'Regression Models'!$B$101+'Regression Models'!$B$102*ifood_data[[#This Row],[Income]]+'Regression Models'!$B$103*ifood_data[[#This Row],[Age]]+'Regression Models'!$B$104*ifood_data[[#This Row],[Family]]</f>
        <v>913.98102449362034</v>
      </c>
      <c r="BF506" t="str">
        <f>IF(ifood_data[[#This Row],[AcceptedCmpOverall]]=1,"Campaign Respondent","Non-respondent")</f>
        <v>Non-respondent</v>
      </c>
    </row>
    <row r="507" spans="1:58" x14ac:dyDescent="0.35">
      <c r="A507">
        <v>767</v>
      </c>
      <c r="B507">
        <v>72504</v>
      </c>
      <c r="C507">
        <v>0</v>
      </c>
      <c r="D507">
        <v>1</v>
      </c>
      <c r="E507">
        <v>43</v>
      </c>
      <c r="F507">
        <v>604</v>
      </c>
      <c r="G507">
        <v>26</v>
      </c>
      <c r="H507">
        <v>470</v>
      </c>
      <c r="I507">
        <v>123</v>
      </c>
      <c r="J507">
        <v>161</v>
      </c>
      <c r="K507">
        <v>94</v>
      </c>
      <c r="L507">
        <v>2</v>
      </c>
      <c r="M507">
        <v>5</v>
      </c>
      <c r="N507">
        <v>9</v>
      </c>
      <c r="O507">
        <v>6</v>
      </c>
      <c r="P507">
        <v>2</v>
      </c>
      <c r="Q507">
        <v>0</v>
      </c>
      <c r="R507">
        <v>0</v>
      </c>
      <c r="S507">
        <v>0</v>
      </c>
      <c r="T507">
        <v>0</v>
      </c>
      <c r="U507">
        <v>0</v>
      </c>
      <c r="V507">
        <f>IF(SUM(ifood_data[[#This Row],[AcceptedCmp1]:[AcceptedCmp5]])&gt;0,1,0)</f>
        <v>0</v>
      </c>
      <c r="W507">
        <v>0</v>
      </c>
      <c r="X507">
        <v>3</v>
      </c>
      <c r="Y507">
        <v>11</v>
      </c>
      <c r="Z507">
        <v>0</v>
      </c>
      <c r="AA507">
        <v>48</v>
      </c>
      <c r="AB507">
        <v>2608</v>
      </c>
      <c r="AC507" s="28">
        <f>ifood_data[[#This Row],[Customer_Days]]/365</f>
        <v>7.1452054794520548</v>
      </c>
      <c r="AD507">
        <v>0</v>
      </c>
      <c r="AE507">
        <v>0</v>
      </c>
      <c r="AF507">
        <v>1</v>
      </c>
      <c r="AG507">
        <v>0</v>
      </c>
      <c r="AH507">
        <v>0</v>
      </c>
      <c r="AI507">
        <v>0</v>
      </c>
      <c r="AJ507">
        <v>0</v>
      </c>
      <c r="AK507">
        <v>1</v>
      </c>
      <c r="AL507">
        <v>0</v>
      </c>
      <c r="AM507">
        <v>0</v>
      </c>
      <c r="AN507">
        <v>1384</v>
      </c>
      <c r="AO507">
        <v>1290</v>
      </c>
      <c r="AP507">
        <f>ifood_data[[#This Row],[MntTotal]]-ifood_data[[#This Row],[MntRegularProds]]</f>
        <v>94</v>
      </c>
      <c r="AQ507">
        <v>0</v>
      </c>
      <c r="AR507">
        <f>IF(SUM(ifood_data[[#This Row],[Kidhome]:[Teenhome]])&gt;0,1,0)</f>
        <v>1</v>
      </c>
      <c r="AS507" t="str">
        <f>IF(SUM(ifood_data[[#This Row],[Kidhome]:[Teenhome]])&gt;0,"Has Family","No Family")</f>
        <v>Has Family</v>
      </c>
      <c r="AT507" t="str">
        <f>IF(ifood_data[[#This Row],[marital_Married]]=1,"Married", (IF(ifood_data[[#This Row],[marital_Single]]=1,"Single",(IF(ifood_data[[#This Row],[marital_Divorced]]=1,"Divorced",(IF(ifood_data[[#This Row],[marital_Together]]=1,"Living Together",(IF(ifood_data[[#This Row],[marital_Widow]]=1,"Widow","Other")))))))))</f>
        <v>Single</v>
      </c>
      <c r="AU507" t="str">
        <f>IF(ifood_data[[#This Row],[education_Basic]]=1,"High School",(IF(ifood_data[[#This Row],[education_Graduation]]=1,"Undergraduate Degree",(IF(SUM(AM507,AL507,AI507)&gt;0,"Master's Degree or Higher","Other")))))</f>
        <v>Undergraduate Degree</v>
      </c>
      <c r="AV507" t="str">
        <f>IF(ifood_data[[#All],[Income]]&gt;75000,"75K+",(IF(ifood_data[[#All],[Income]]&gt;50000,"50K-75K",(IF(ifood_data[[#All],[Income]]&gt;35000,"35K-50K","&lt;35K")))))</f>
        <v>50K-75K</v>
      </c>
      <c r="AW507" t="str">
        <f>IF(ifood_data[[#All],[Age]]&gt;60,"60+",(IF(ifood_data[[#All],[Age]]&gt;50,"50-60",(IF(ifood_data[[#All],[Age]]&gt;40,"40-50",(IF(ifood_data[[#All],[Age]]&gt;30,"30-40","&lt;30")))))))</f>
        <v>40-50</v>
      </c>
      <c r="AX507">
        <f t="shared" si="28"/>
        <v>24</v>
      </c>
      <c r="AY507">
        <f t="shared" si="29"/>
        <v>6</v>
      </c>
      <c r="AZ507">
        <f t="shared" si="30"/>
        <v>6</v>
      </c>
      <c r="BA507">
        <f t="shared" si="31"/>
        <v>8</v>
      </c>
      <c r="BB507">
        <f>SUM(ifood_data[[#This Row],[Recency Score]:[Monetary Score]])</f>
        <v>20</v>
      </c>
      <c r="BC507">
        <f>(_xlfn.PERCENTRANK.INC(ifood_data[[#All],[RFM]],ifood_data[[#This Row],[RFM]],1))*10</f>
        <v>7</v>
      </c>
      <c r="BD507" t="str">
        <f>VLOOKUP(ifood_data[[#This Row],[RFM Score]],'RFM Analysis'!$A$3:$B$14,2,FALSE)</f>
        <v>Loyal Customer</v>
      </c>
      <c r="BE507">
        <f>'Regression Models'!$B$101+'Regression Models'!$B$102*ifood_data[[#This Row],[Income]]+'Regression Models'!$B$103*ifood_data[[#This Row],[Age]]+'Regression Models'!$B$104*ifood_data[[#This Row],[Family]]</f>
        <v>912.68928237083776</v>
      </c>
      <c r="BF507" t="str">
        <f>IF(ifood_data[[#This Row],[AcceptedCmpOverall]]=1,"Campaign Respondent","Non-respondent")</f>
        <v>Non-respondent</v>
      </c>
    </row>
    <row r="508" spans="1:58" x14ac:dyDescent="0.35">
      <c r="A508">
        <v>1987</v>
      </c>
      <c r="B508">
        <v>73803</v>
      </c>
      <c r="C508">
        <v>0</v>
      </c>
      <c r="D508">
        <v>1</v>
      </c>
      <c r="E508">
        <v>61</v>
      </c>
      <c r="F508">
        <v>833</v>
      </c>
      <c r="G508">
        <v>80</v>
      </c>
      <c r="H508">
        <v>363</v>
      </c>
      <c r="I508">
        <v>52</v>
      </c>
      <c r="J508">
        <v>26</v>
      </c>
      <c r="K508">
        <v>174</v>
      </c>
      <c r="L508">
        <v>2</v>
      </c>
      <c r="M508">
        <v>9</v>
      </c>
      <c r="N508">
        <v>5</v>
      </c>
      <c r="O508">
        <v>6</v>
      </c>
      <c r="P508">
        <v>6</v>
      </c>
      <c r="Q508">
        <v>0</v>
      </c>
      <c r="R508">
        <v>0</v>
      </c>
      <c r="S508">
        <v>1</v>
      </c>
      <c r="T508">
        <v>0</v>
      </c>
      <c r="U508">
        <v>0</v>
      </c>
      <c r="V508">
        <f>IF(SUM(ifood_data[[#This Row],[AcceptedCmp1]:[AcceptedCmp5]])&gt;0,1,0)</f>
        <v>1</v>
      </c>
      <c r="W508">
        <v>0</v>
      </c>
      <c r="X508">
        <v>3</v>
      </c>
      <c r="Y508">
        <v>11</v>
      </c>
      <c r="Z508">
        <v>1</v>
      </c>
      <c r="AA508">
        <v>63</v>
      </c>
      <c r="AB508">
        <v>2856</v>
      </c>
      <c r="AC508" s="28">
        <f>ifood_data[[#This Row],[Customer_Days]]/365</f>
        <v>7.8246575342465752</v>
      </c>
      <c r="AD508">
        <v>0</v>
      </c>
      <c r="AE508">
        <v>1</v>
      </c>
      <c r="AF508">
        <v>0</v>
      </c>
      <c r="AG508">
        <v>0</v>
      </c>
      <c r="AH508">
        <v>0</v>
      </c>
      <c r="AI508">
        <v>0</v>
      </c>
      <c r="AJ508">
        <v>0</v>
      </c>
      <c r="AK508">
        <v>1</v>
      </c>
      <c r="AL508">
        <v>0</v>
      </c>
      <c r="AM508">
        <v>0</v>
      </c>
      <c r="AN508">
        <v>1354</v>
      </c>
      <c r="AO508">
        <v>1180</v>
      </c>
      <c r="AP508">
        <f>ifood_data[[#This Row],[MntTotal]]-ifood_data[[#This Row],[MntRegularProds]]</f>
        <v>174</v>
      </c>
      <c r="AQ508">
        <v>1</v>
      </c>
      <c r="AR508">
        <f>IF(SUM(ifood_data[[#This Row],[Kidhome]:[Teenhome]])&gt;0,1,0)</f>
        <v>1</v>
      </c>
      <c r="AS508" t="str">
        <f>IF(SUM(ifood_data[[#This Row],[Kidhome]:[Teenhome]])&gt;0,"Has Family","No Family")</f>
        <v>Has Family</v>
      </c>
      <c r="AT508" t="str">
        <f>IF(ifood_data[[#This Row],[marital_Married]]=1,"Married", (IF(ifood_data[[#This Row],[marital_Single]]=1,"Single",(IF(ifood_data[[#This Row],[marital_Divorced]]=1,"Divorced",(IF(ifood_data[[#This Row],[marital_Together]]=1,"Living Together",(IF(ifood_data[[#This Row],[marital_Widow]]=1,"Widow","Other")))))))))</f>
        <v>Married</v>
      </c>
      <c r="AU508" t="str">
        <f>IF(ifood_data[[#This Row],[education_Basic]]=1,"High School",(IF(ifood_data[[#This Row],[education_Graduation]]=1,"Undergraduate Degree",(IF(SUM(AM508,AL508,AI508)&gt;0,"Master's Degree or Higher","Other")))))</f>
        <v>Undergraduate Degree</v>
      </c>
      <c r="AV508" t="str">
        <f>IF(ifood_data[[#All],[Income]]&gt;75000,"75K+",(IF(ifood_data[[#All],[Income]]&gt;50000,"50K-75K",(IF(ifood_data[[#All],[Income]]&gt;35000,"35K-50K","&lt;35K")))))</f>
        <v>50K-75K</v>
      </c>
      <c r="AW508" t="str">
        <f>IF(ifood_data[[#All],[Age]]&gt;60,"60+",(IF(ifood_data[[#All],[Age]]&gt;50,"50-60",(IF(ifood_data[[#All],[Age]]&gt;40,"40-50",(IF(ifood_data[[#All],[Age]]&gt;30,"30-40","&lt;30")))))))</f>
        <v>60+</v>
      </c>
      <c r="AX508">
        <f t="shared" si="28"/>
        <v>28</v>
      </c>
      <c r="AY508">
        <f t="shared" si="29"/>
        <v>4</v>
      </c>
      <c r="AZ508">
        <f t="shared" si="30"/>
        <v>8</v>
      </c>
      <c r="BA508">
        <f t="shared" si="31"/>
        <v>8</v>
      </c>
      <c r="BB508">
        <f>SUM(ifood_data[[#This Row],[Recency Score]:[Monetary Score]])</f>
        <v>20</v>
      </c>
      <c r="BC508">
        <f>(_xlfn.PERCENTRANK.INC(ifood_data[[#All],[RFM]],ifood_data[[#This Row],[RFM]],1))*10</f>
        <v>7</v>
      </c>
      <c r="BD508" t="str">
        <f>VLOOKUP(ifood_data[[#This Row],[RFM Score]],'RFM Analysis'!$A$3:$B$14,2,FALSE)</f>
        <v>Loyal Customer</v>
      </c>
      <c r="BE508">
        <f>'Regression Models'!$B$101+'Regression Models'!$B$102*ifood_data[[#This Row],[Income]]+'Regression Models'!$B$103*ifood_data[[#This Row],[Age]]+'Regression Models'!$B$104*ifood_data[[#This Row],[Family]]</f>
        <v>911.62770600634838</v>
      </c>
      <c r="BF508" t="str">
        <f>IF(ifood_data[[#This Row],[AcceptedCmpOverall]]=1,"Campaign Respondent","Non-respondent")</f>
        <v>Campaign Respondent</v>
      </c>
    </row>
    <row r="509" spans="1:58" x14ac:dyDescent="0.35">
      <c r="A509">
        <v>505</v>
      </c>
      <c r="B509">
        <v>72679</v>
      </c>
      <c r="C509">
        <v>0</v>
      </c>
      <c r="D509">
        <v>1</v>
      </c>
      <c r="E509">
        <v>65</v>
      </c>
      <c r="F509">
        <v>619</v>
      </c>
      <c r="G509">
        <v>54</v>
      </c>
      <c r="H509">
        <v>260</v>
      </c>
      <c r="I509">
        <v>127</v>
      </c>
      <c r="J509">
        <v>54</v>
      </c>
      <c r="K509">
        <v>54</v>
      </c>
      <c r="L509">
        <v>1</v>
      </c>
      <c r="M509">
        <v>4</v>
      </c>
      <c r="N509">
        <v>7</v>
      </c>
      <c r="O509">
        <v>5</v>
      </c>
      <c r="P509">
        <v>1</v>
      </c>
      <c r="Q509">
        <v>0</v>
      </c>
      <c r="R509">
        <v>0</v>
      </c>
      <c r="S509">
        <v>0</v>
      </c>
      <c r="T509">
        <v>0</v>
      </c>
      <c r="U509">
        <v>0</v>
      </c>
      <c r="V509">
        <f>IF(SUM(ifood_data[[#This Row],[AcceptedCmp1]:[AcceptedCmp5]])&gt;0,1,0)</f>
        <v>0</v>
      </c>
      <c r="W509">
        <v>0</v>
      </c>
      <c r="X509">
        <v>3</v>
      </c>
      <c r="Y509">
        <v>11</v>
      </c>
      <c r="Z509">
        <v>0</v>
      </c>
      <c r="AA509">
        <v>51</v>
      </c>
      <c r="AB509">
        <v>2443</v>
      </c>
      <c r="AC509" s="28">
        <f>ifood_data[[#This Row],[Customer_Days]]/365</f>
        <v>6.6931506849315072</v>
      </c>
      <c r="AD509">
        <v>0</v>
      </c>
      <c r="AE509">
        <v>0</v>
      </c>
      <c r="AF509">
        <v>1</v>
      </c>
      <c r="AG509">
        <v>0</v>
      </c>
      <c r="AH509">
        <v>0</v>
      </c>
      <c r="AI509">
        <v>0</v>
      </c>
      <c r="AJ509">
        <v>0</v>
      </c>
      <c r="AK509">
        <v>1</v>
      </c>
      <c r="AL509">
        <v>0</v>
      </c>
      <c r="AM509">
        <v>0</v>
      </c>
      <c r="AN509">
        <v>1114</v>
      </c>
      <c r="AO509">
        <v>1060</v>
      </c>
      <c r="AP509">
        <f>ifood_data[[#This Row],[MntTotal]]-ifood_data[[#This Row],[MntRegularProds]]</f>
        <v>54</v>
      </c>
      <c r="AQ509">
        <v>0</v>
      </c>
      <c r="AR509">
        <f>IF(SUM(ifood_data[[#This Row],[Kidhome]:[Teenhome]])&gt;0,1,0)</f>
        <v>1</v>
      </c>
      <c r="AS509" t="str">
        <f>IF(SUM(ifood_data[[#This Row],[Kidhome]:[Teenhome]])&gt;0,"Has Family","No Family")</f>
        <v>Has Family</v>
      </c>
      <c r="AT509" t="str">
        <f>IF(ifood_data[[#This Row],[marital_Married]]=1,"Married", (IF(ifood_data[[#This Row],[marital_Single]]=1,"Single",(IF(ifood_data[[#This Row],[marital_Divorced]]=1,"Divorced",(IF(ifood_data[[#This Row],[marital_Together]]=1,"Living Together",(IF(ifood_data[[#This Row],[marital_Widow]]=1,"Widow","Other")))))))))</f>
        <v>Single</v>
      </c>
      <c r="AU509" t="str">
        <f>IF(ifood_data[[#This Row],[education_Basic]]=1,"High School",(IF(ifood_data[[#This Row],[education_Graduation]]=1,"Undergraduate Degree",(IF(SUM(AM509,AL509,AI509)&gt;0,"Master's Degree or Higher","Other")))))</f>
        <v>Undergraduate Degree</v>
      </c>
      <c r="AV509" t="str">
        <f>IF(ifood_data[[#All],[Income]]&gt;75000,"75K+",(IF(ifood_data[[#All],[Income]]&gt;50000,"50K-75K",(IF(ifood_data[[#All],[Income]]&gt;35000,"35K-50K","&lt;35K")))))</f>
        <v>50K-75K</v>
      </c>
      <c r="AW509" t="str">
        <f>IF(ifood_data[[#All],[Age]]&gt;60,"60+",(IF(ifood_data[[#All],[Age]]&gt;50,"50-60",(IF(ifood_data[[#All],[Age]]&gt;40,"40-50",(IF(ifood_data[[#All],[Age]]&gt;30,"30-40","&lt;30")))))))</f>
        <v>50-60</v>
      </c>
      <c r="AX509">
        <f t="shared" si="28"/>
        <v>18</v>
      </c>
      <c r="AY509">
        <f t="shared" si="29"/>
        <v>4</v>
      </c>
      <c r="AZ509">
        <f t="shared" si="30"/>
        <v>4</v>
      </c>
      <c r="BA509">
        <f t="shared" si="31"/>
        <v>8</v>
      </c>
      <c r="BB509">
        <f>SUM(ifood_data[[#This Row],[Recency Score]:[Monetary Score]])</f>
        <v>16</v>
      </c>
      <c r="BC509">
        <f>(_xlfn.PERCENTRANK.INC(ifood_data[[#All],[RFM]],ifood_data[[#This Row],[RFM]],1))*10</f>
        <v>5</v>
      </c>
      <c r="BD509" t="str">
        <f>VLOOKUP(ifood_data[[#This Row],[RFM Score]],'RFM Analysis'!$A$3:$B$14,2,FALSE)</f>
        <v>Promising</v>
      </c>
      <c r="BE509">
        <f>'Regression Models'!$B$101+'Regression Models'!$B$102*ifood_data[[#This Row],[Income]]+'Regression Models'!$B$103*ifood_data[[#This Row],[Age]]+'Regression Models'!$B$104*ifood_data[[#This Row],[Family]]</f>
        <v>910.74799955933725</v>
      </c>
      <c r="BF509" t="str">
        <f>IF(ifood_data[[#This Row],[AcceptedCmpOverall]]=1,"Campaign Respondent","Non-respondent")</f>
        <v>Non-respondent</v>
      </c>
    </row>
    <row r="510" spans="1:58" x14ac:dyDescent="0.35">
      <c r="A510">
        <v>1483</v>
      </c>
      <c r="B510">
        <v>71855</v>
      </c>
      <c r="C510">
        <v>0</v>
      </c>
      <c r="D510">
        <v>1</v>
      </c>
      <c r="E510">
        <v>59</v>
      </c>
      <c r="F510">
        <v>548</v>
      </c>
      <c r="G510">
        <v>31</v>
      </c>
      <c r="H510">
        <v>422</v>
      </c>
      <c r="I510">
        <v>0</v>
      </c>
      <c r="J510">
        <v>112</v>
      </c>
      <c r="K510">
        <v>28</v>
      </c>
      <c r="L510">
        <v>4</v>
      </c>
      <c r="M510">
        <v>5</v>
      </c>
      <c r="N510">
        <v>5</v>
      </c>
      <c r="O510">
        <v>11</v>
      </c>
      <c r="P510">
        <v>3</v>
      </c>
      <c r="Q510">
        <v>0</v>
      </c>
      <c r="R510">
        <v>0</v>
      </c>
      <c r="S510">
        <v>0</v>
      </c>
      <c r="T510">
        <v>0</v>
      </c>
      <c r="U510">
        <v>0</v>
      </c>
      <c r="V510">
        <f>IF(SUM(ifood_data[[#This Row],[AcceptedCmp1]:[AcceptedCmp5]])&gt;0,1,0)</f>
        <v>0</v>
      </c>
      <c r="W510">
        <v>0</v>
      </c>
      <c r="X510">
        <v>3</v>
      </c>
      <c r="Y510">
        <v>11</v>
      </c>
      <c r="Z510">
        <v>0</v>
      </c>
      <c r="AA510">
        <v>43</v>
      </c>
      <c r="AB510">
        <v>2688</v>
      </c>
      <c r="AC510" s="28">
        <f>ifood_data[[#This Row],[Customer_Days]]/365</f>
        <v>7.3643835616438356</v>
      </c>
      <c r="AD510">
        <v>0</v>
      </c>
      <c r="AE510">
        <v>1</v>
      </c>
      <c r="AF510">
        <v>0</v>
      </c>
      <c r="AG510">
        <v>0</v>
      </c>
      <c r="AH510">
        <v>0</v>
      </c>
      <c r="AI510">
        <v>0</v>
      </c>
      <c r="AJ510">
        <v>0</v>
      </c>
      <c r="AK510">
        <v>1</v>
      </c>
      <c r="AL510">
        <v>0</v>
      </c>
      <c r="AM510">
        <v>0</v>
      </c>
      <c r="AN510">
        <v>1113</v>
      </c>
      <c r="AO510">
        <v>1085</v>
      </c>
      <c r="AP510">
        <f>ifood_data[[#This Row],[MntTotal]]-ifood_data[[#This Row],[MntRegularProds]]</f>
        <v>28</v>
      </c>
      <c r="AQ510">
        <v>0</v>
      </c>
      <c r="AR510">
        <f>IF(SUM(ifood_data[[#This Row],[Kidhome]:[Teenhome]])&gt;0,1,0)</f>
        <v>1</v>
      </c>
      <c r="AS510" t="str">
        <f>IF(SUM(ifood_data[[#This Row],[Kidhome]:[Teenhome]])&gt;0,"Has Family","No Family")</f>
        <v>Has Family</v>
      </c>
      <c r="AT510" t="str">
        <f>IF(ifood_data[[#This Row],[marital_Married]]=1,"Married", (IF(ifood_data[[#This Row],[marital_Single]]=1,"Single",(IF(ifood_data[[#This Row],[marital_Divorced]]=1,"Divorced",(IF(ifood_data[[#This Row],[marital_Together]]=1,"Living Together",(IF(ifood_data[[#This Row],[marital_Widow]]=1,"Widow","Other")))))))))</f>
        <v>Married</v>
      </c>
      <c r="AU510" t="str">
        <f>IF(ifood_data[[#This Row],[education_Basic]]=1,"High School",(IF(ifood_data[[#This Row],[education_Graduation]]=1,"Undergraduate Degree",(IF(SUM(AM510,AL510,AI510)&gt;0,"Master's Degree or Higher","Other")))))</f>
        <v>Undergraduate Degree</v>
      </c>
      <c r="AV510" t="str">
        <f>IF(ifood_data[[#All],[Income]]&gt;75000,"75K+",(IF(ifood_data[[#All],[Income]]&gt;50000,"50K-75K",(IF(ifood_data[[#All],[Income]]&gt;35000,"35K-50K","&lt;35K")))))</f>
        <v>50K-75K</v>
      </c>
      <c r="AW510" t="str">
        <f>IF(ifood_data[[#All],[Age]]&gt;60,"60+",(IF(ifood_data[[#All],[Age]]&gt;50,"50-60",(IF(ifood_data[[#All],[Age]]&gt;40,"40-50",(IF(ifood_data[[#All],[Age]]&gt;30,"30-40","&lt;30")))))))</f>
        <v>40-50</v>
      </c>
      <c r="AX510">
        <f t="shared" si="28"/>
        <v>28</v>
      </c>
      <c r="AY510">
        <f t="shared" si="29"/>
        <v>4</v>
      </c>
      <c r="AZ510">
        <f t="shared" si="30"/>
        <v>8</v>
      </c>
      <c r="BA510">
        <f t="shared" si="31"/>
        <v>8</v>
      </c>
      <c r="BB510">
        <f>SUM(ifood_data[[#This Row],[Recency Score]:[Monetary Score]])</f>
        <v>20</v>
      </c>
      <c r="BC510">
        <f>(_xlfn.PERCENTRANK.INC(ifood_data[[#All],[RFM]],ifood_data[[#This Row],[RFM]],1))*10</f>
        <v>7</v>
      </c>
      <c r="BD510" t="str">
        <f>VLOOKUP(ifood_data[[#This Row],[RFM Score]],'RFM Analysis'!$A$3:$B$14,2,FALSE)</f>
        <v>Loyal Customer</v>
      </c>
      <c r="BE510">
        <f>'Regression Models'!$B$101+'Regression Models'!$B$102*ifood_data[[#This Row],[Income]]+'Regression Models'!$B$103*ifood_data[[#This Row],[Age]]+'Regression Models'!$B$104*ifood_data[[#This Row],[Family]]</f>
        <v>908.63916723991917</v>
      </c>
      <c r="BF510" t="str">
        <f>IF(ifood_data[[#This Row],[AcceptedCmpOverall]]=1,"Campaign Respondent","Non-respondent")</f>
        <v>Non-respondent</v>
      </c>
    </row>
    <row r="511" spans="1:58" x14ac:dyDescent="0.35">
      <c r="A511">
        <v>737</v>
      </c>
      <c r="B511">
        <v>72258</v>
      </c>
      <c r="C511">
        <v>0</v>
      </c>
      <c r="D511">
        <v>1</v>
      </c>
      <c r="E511">
        <v>28</v>
      </c>
      <c r="F511">
        <v>522</v>
      </c>
      <c r="G511">
        <v>0</v>
      </c>
      <c r="H511">
        <v>522</v>
      </c>
      <c r="I511">
        <v>227</v>
      </c>
      <c r="J511">
        <v>120</v>
      </c>
      <c r="K511">
        <v>134</v>
      </c>
      <c r="L511">
        <v>2</v>
      </c>
      <c r="M511">
        <v>6</v>
      </c>
      <c r="N511">
        <v>9</v>
      </c>
      <c r="O511">
        <v>5</v>
      </c>
      <c r="P511">
        <v>2</v>
      </c>
      <c r="Q511">
        <v>0</v>
      </c>
      <c r="R511">
        <v>0</v>
      </c>
      <c r="S511">
        <v>0</v>
      </c>
      <c r="T511">
        <v>0</v>
      </c>
      <c r="U511">
        <v>0</v>
      </c>
      <c r="V511">
        <f>IF(SUM(ifood_data[[#This Row],[AcceptedCmp1]:[AcceptedCmp5]])&gt;0,1,0)</f>
        <v>0</v>
      </c>
      <c r="W511">
        <v>0</v>
      </c>
      <c r="X511">
        <v>3</v>
      </c>
      <c r="Y511">
        <v>11</v>
      </c>
      <c r="Z511">
        <v>0</v>
      </c>
      <c r="AA511">
        <v>49</v>
      </c>
      <c r="AB511">
        <v>2449</v>
      </c>
      <c r="AC511" s="28">
        <f>ifood_data[[#This Row],[Customer_Days]]/365</f>
        <v>6.7095890410958905</v>
      </c>
      <c r="AD511">
        <v>0</v>
      </c>
      <c r="AE511">
        <v>0</v>
      </c>
      <c r="AF511">
        <v>1</v>
      </c>
      <c r="AG511">
        <v>0</v>
      </c>
      <c r="AH511">
        <v>0</v>
      </c>
      <c r="AI511">
        <v>0</v>
      </c>
      <c r="AJ511">
        <v>0</v>
      </c>
      <c r="AK511">
        <v>1</v>
      </c>
      <c r="AL511">
        <v>0</v>
      </c>
      <c r="AM511">
        <v>0</v>
      </c>
      <c r="AN511">
        <v>1391</v>
      </c>
      <c r="AO511">
        <v>1257</v>
      </c>
      <c r="AP511">
        <f>ifood_data[[#This Row],[MntTotal]]-ifood_data[[#This Row],[MntRegularProds]]</f>
        <v>134</v>
      </c>
      <c r="AQ511">
        <v>0</v>
      </c>
      <c r="AR511">
        <f>IF(SUM(ifood_data[[#This Row],[Kidhome]:[Teenhome]])&gt;0,1,0)</f>
        <v>1</v>
      </c>
      <c r="AS511" t="str">
        <f>IF(SUM(ifood_data[[#This Row],[Kidhome]:[Teenhome]])&gt;0,"Has Family","No Family")</f>
        <v>Has Family</v>
      </c>
      <c r="AT511" t="str">
        <f>IF(ifood_data[[#This Row],[marital_Married]]=1,"Married", (IF(ifood_data[[#This Row],[marital_Single]]=1,"Single",(IF(ifood_data[[#This Row],[marital_Divorced]]=1,"Divorced",(IF(ifood_data[[#This Row],[marital_Together]]=1,"Living Together",(IF(ifood_data[[#This Row],[marital_Widow]]=1,"Widow","Other")))))))))</f>
        <v>Single</v>
      </c>
      <c r="AU511" t="str">
        <f>IF(ifood_data[[#This Row],[education_Basic]]=1,"High School",(IF(ifood_data[[#This Row],[education_Graduation]]=1,"Undergraduate Degree",(IF(SUM(AM511,AL511,AI511)&gt;0,"Master's Degree or Higher","Other")))))</f>
        <v>Undergraduate Degree</v>
      </c>
      <c r="AV511" t="str">
        <f>IF(ifood_data[[#All],[Income]]&gt;75000,"75K+",(IF(ifood_data[[#All],[Income]]&gt;50000,"50K-75K",(IF(ifood_data[[#All],[Income]]&gt;35000,"35K-50K","&lt;35K")))))</f>
        <v>50K-75K</v>
      </c>
      <c r="AW511" t="str">
        <f>IF(ifood_data[[#All],[Age]]&gt;60,"60+",(IF(ifood_data[[#All],[Age]]&gt;50,"50-60",(IF(ifood_data[[#All],[Age]]&gt;40,"40-50",(IF(ifood_data[[#All],[Age]]&gt;30,"30-40","&lt;30")))))))</f>
        <v>40-50</v>
      </c>
      <c r="AX511">
        <f t="shared" si="28"/>
        <v>24</v>
      </c>
      <c r="AY511">
        <f t="shared" si="29"/>
        <v>8</v>
      </c>
      <c r="AZ511">
        <f t="shared" si="30"/>
        <v>6</v>
      </c>
      <c r="BA511">
        <f t="shared" si="31"/>
        <v>8</v>
      </c>
      <c r="BB511">
        <f>SUM(ifood_data[[#This Row],[Recency Score]:[Monetary Score]])</f>
        <v>22</v>
      </c>
      <c r="BC511">
        <f>(_xlfn.PERCENTRANK.INC(ifood_data[[#All],[RFM]],ifood_data[[#This Row],[RFM]],1))*10</f>
        <v>8</v>
      </c>
      <c r="BD511" t="str">
        <f>VLOOKUP(ifood_data[[#This Row],[RFM Score]],'RFM Analysis'!$A$3:$B$14,2,FALSE)</f>
        <v>Loyal Customer</v>
      </c>
      <c r="BE511">
        <f>'Regression Models'!$B$101+'Regression Models'!$B$102*ifood_data[[#This Row],[Income]]+'Regression Models'!$B$103*ifood_data[[#This Row],[Age]]+'Regression Models'!$B$104*ifood_data[[#This Row],[Family]]</f>
        <v>905.83720632854477</v>
      </c>
      <c r="BF511" t="str">
        <f>IF(ifood_data[[#This Row],[AcceptedCmpOverall]]=1,"Campaign Respondent","Non-respondent")</f>
        <v>Non-respondent</v>
      </c>
    </row>
    <row r="512" spans="1:58" x14ac:dyDescent="0.35">
      <c r="A512">
        <v>2019</v>
      </c>
      <c r="B512">
        <v>56981</v>
      </c>
      <c r="C512">
        <v>0</v>
      </c>
      <c r="D512">
        <v>0</v>
      </c>
      <c r="E512">
        <v>91</v>
      </c>
      <c r="F512">
        <v>908</v>
      </c>
      <c r="G512">
        <v>48</v>
      </c>
      <c r="H512">
        <v>217</v>
      </c>
      <c r="I512">
        <v>32</v>
      </c>
      <c r="J512">
        <v>12</v>
      </c>
      <c r="K512">
        <v>24</v>
      </c>
      <c r="L512">
        <v>1</v>
      </c>
      <c r="M512">
        <v>2</v>
      </c>
      <c r="N512">
        <v>3</v>
      </c>
      <c r="O512">
        <v>13</v>
      </c>
      <c r="P512">
        <v>6</v>
      </c>
      <c r="Q512">
        <v>0</v>
      </c>
      <c r="R512">
        <v>0</v>
      </c>
      <c r="S512">
        <v>0</v>
      </c>
      <c r="T512">
        <v>1</v>
      </c>
      <c r="U512">
        <v>0</v>
      </c>
      <c r="V512">
        <f>IF(SUM(ifood_data[[#This Row],[AcceptedCmp1]:[AcceptedCmp5]])&gt;0,1,0)</f>
        <v>1</v>
      </c>
      <c r="W512">
        <v>0</v>
      </c>
      <c r="X512">
        <v>3</v>
      </c>
      <c r="Y512">
        <v>11</v>
      </c>
      <c r="Z512">
        <v>0</v>
      </c>
      <c r="AA512">
        <v>39</v>
      </c>
      <c r="AB512">
        <v>2314</v>
      </c>
      <c r="AC512" s="28">
        <f>ifood_data[[#This Row],[Customer_Days]]/365</f>
        <v>6.3397260273972602</v>
      </c>
      <c r="AD512">
        <v>1</v>
      </c>
      <c r="AE512">
        <v>0</v>
      </c>
      <c r="AF512">
        <v>0</v>
      </c>
      <c r="AG512">
        <v>0</v>
      </c>
      <c r="AH512">
        <v>0</v>
      </c>
      <c r="AI512">
        <v>0</v>
      </c>
      <c r="AJ512">
        <v>0</v>
      </c>
      <c r="AK512">
        <v>1</v>
      </c>
      <c r="AL512">
        <v>0</v>
      </c>
      <c r="AM512">
        <v>0</v>
      </c>
      <c r="AN512">
        <v>1217</v>
      </c>
      <c r="AO512">
        <v>1193</v>
      </c>
      <c r="AP512">
        <f>ifood_data[[#This Row],[MntTotal]]-ifood_data[[#This Row],[MntRegularProds]]</f>
        <v>24</v>
      </c>
      <c r="AQ512">
        <v>1</v>
      </c>
      <c r="AR512">
        <f>IF(SUM(ifood_data[[#This Row],[Kidhome]:[Teenhome]])&gt;0,1,0)</f>
        <v>0</v>
      </c>
      <c r="AS512" t="str">
        <f>IF(SUM(ifood_data[[#This Row],[Kidhome]:[Teenhome]])&gt;0,"Has Family","No Family")</f>
        <v>No Family</v>
      </c>
      <c r="AT512" t="str">
        <f>IF(ifood_data[[#This Row],[marital_Married]]=1,"Married", (IF(ifood_data[[#This Row],[marital_Single]]=1,"Single",(IF(ifood_data[[#This Row],[marital_Divorced]]=1,"Divorced",(IF(ifood_data[[#This Row],[marital_Together]]=1,"Living Together",(IF(ifood_data[[#This Row],[marital_Widow]]=1,"Widow","Other")))))))))</f>
        <v>Divorced</v>
      </c>
      <c r="AU512" t="str">
        <f>IF(ifood_data[[#This Row],[education_Basic]]=1,"High School",(IF(ifood_data[[#This Row],[education_Graduation]]=1,"Undergraduate Degree",(IF(SUM(AM512,AL512,AI512)&gt;0,"Master's Degree or Higher","Other")))))</f>
        <v>Undergraduate Degree</v>
      </c>
      <c r="AV512" t="str">
        <f>IF(ifood_data[[#All],[Income]]&gt;75000,"75K+",(IF(ifood_data[[#All],[Income]]&gt;50000,"50K-75K",(IF(ifood_data[[#All],[Income]]&gt;35000,"35K-50K","&lt;35K")))))</f>
        <v>50K-75K</v>
      </c>
      <c r="AW512" t="str">
        <f>IF(ifood_data[[#All],[Age]]&gt;60,"60+",(IF(ifood_data[[#All],[Age]]&gt;50,"50-60",(IF(ifood_data[[#All],[Age]]&gt;40,"40-50",(IF(ifood_data[[#All],[Age]]&gt;30,"30-40","&lt;30")))))))</f>
        <v>30-40</v>
      </c>
      <c r="AX512">
        <f t="shared" si="28"/>
        <v>25</v>
      </c>
      <c r="AY512">
        <f t="shared" si="29"/>
        <v>0.99999999999999978</v>
      </c>
      <c r="AZ512">
        <f t="shared" si="30"/>
        <v>7</v>
      </c>
      <c r="BA512">
        <f t="shared" si="31"/>
        <v>8</v>
      </c>
      <c r="BB512">
        <f>SUM(ifood_data[[#This Row],[Recency Score]:[Monetary Score]])</f>
        <v>16</v>
      </c>
      <c r="BC512">
        <f>(_xlfn.PERCENTRANK.INC(ifood_data[[#All],[RFM]],ifood_data[[#This Row],[RFM]],1))*10</f>
        <v>5</v>
      </c>
      <c r="BD512" t="str">
        <f>VLOOKUP(ifood_data[[#This Row],[RFM Score]],'RFM Analysis'!$A$3:$B$14,2,FALSE)</f>
        <v>Promising</v>
      </c>
      <c r="BE512">
        <f>'Regression Models'!$B$101+'Regression Models'!$B$102*ifood_data[[#This Row],[Income]]+'Regression Models'!$B$103*ifood_data[[#This Row],[Age]]+'Regression Models'!$B$104*ifood_data[[#This Row],[Family]]</f>
        <v>902.33601725615927</v>
      </c>
      <c r="BF512" t="str">
        <f>IF(ifood_data[[#This Row],[AcceptedCmpOverall]]=1,"Campaign Respondent","Non-respondent")</f>
        <v>Campaign Respondent</v>
      </c>
    </row>
    <row r="513" spans="1:58" x14ac:dyDescent="0.35">
      <c r="A513">
        <v>664</v>
      </c>
      <c r="B513">
        <v>71427</v>
      </c>
      <c r="C513">
        <v>2</v>
      </c>
      <c r="D513">
        <v>0</v>
      </c>
      <c r="E513">
        <v>26</v>
      </c>
      <c r="F513">
        <v>212</v>
      </c>
      <c r="G513">
        <v>123</v>
      </c>
      <c r="H513">
        <v>177</v>
      </c>
      <c r="I513">
        <v>15</v>
      </c>
      <c r="J513">
        <v>64</v>
      </c>
      <c r="K513">
        <v>23</v>
      </c>
      <c r="L513">
        <v>2</v>
      </c>
      <c r="M513">
        <v>8</v>
      </c>
      <c r="N513">
        <v>2</v>
      </c>
      <c r="O513">
        <v>8</v>
      </c>
      <c r="P513">
        <v>4</v>
      </c>
      <c r="Q513">
        <v>0</v>
      </c>
      <c r="R513">
        <v>0</v>
      </c>
      <c r="S513">
        <v>0</v>
      </c>
      <c r="T513">
        <v>0</v>
      </c>
      <c r="U513">
        <v>0</v>
      </c>
      <c r="V513">
        <f>IF(SUM(ifood_data[[#This Row],[AcceptedCmp1]:[AcceptedCmp5]])&gt;0,1,0)</f>
        <v>0</v>
      </c>
      <c r="W513">
        <v>0</v>
      </c>
      <c r="X513">
        <v>3</v>
      </c>
      <c r="Y513">
        <v>11</v>
      </c>
      <c r="Z513">
        <v>0</v>
      </c>
      <c r="AA513">
        <v>42</v>
      </c>
      <c r="AB513">
        <v>2268</v>
      </c>
      <c r="AC513" s="28">
        <f>ifood_data[[#This Row],[Customer_Days]]/365</f>
        <v>6.2136986301369861</v>
      </c>
      <c r="AD513">
        <v>0</v>
      </c>
      <c r="AE513">
        <v>1</v>
      </c>
      <c r="AF513">
        <v>0</v>
      </c>
      <c r="AG513">
        <v>0</v>
      </c>
      <c r="AH513">
        <v>0</v>
      </c>
      <c r="AI513">
        <v>0</v>
      </c>
      <c r="AJ513">
        <v>0</v>
      </c>
      <c r="AK513">
        <v>1</v>
      </c>
      <c r="AL513">
        <v>0</v>
      </c>
      <c r="AM513">
        <v>0</v>
      </c>
      <c r="AN513">
        <v>591</v>
      </c>
      <c r="AO513">
        <v>568</v>
      </c>
      <c r="AP513">
        <f>ifood_data[[#This Row],[MntTotal]]-ifood_data[[#This Row],[MntRegularProds]]</f>
        <v>23</v>
      </c>
      <c r="AQ513">
        <v>0</v>
      </c>
      <c r="AR513">
        <f>IF(SUM(ifood_data[[#This Row],[Kidhome]:[Teenhome]])&gt;0,1,0)</f>
        <v>1</v>
      </c>
      <c r="AS513" t="str">
        <f>IF(SUM(ifood_data[[#This Row],[Kidhome]:[Teenhome]])&gt;0,"Has Family","No Family")</f>
        <v>Has Family</v>
      </c>
      <c r="AT513" t="str">
        <f>IF(ifood_data[[#This Row],[marital_Married]]=1,"Married", (IF(ifood_data[[#This Row],[marital_Single]]=1,"Single",(IF(ifood_data[[#This Row],[marital_Divorced]]=1,"Divorced",(IF(ifood_data[[#This Row],[marital_Together]]=1,"Living Together",(IF(ifood_data[[#This Row],[marital_Widow]]=1,"Widow","Other")))))))))</f>
        <v>Married</v>
      </c>
      <c r="AU513" t="str">
        <f>IF(ifood_data[[#This Row],[education_Basic]]=1,"High School",(IF(ifood_data[[#This Row],[education_Graduation]]=1,"Undergraduate Degree",(IF(SUM(AM513,AL513,AI513)&gt;0,"Master's Degree or Higher","Other")))))</f>
        <v>Undergraduate Degree</v>
      </c>
      <c r="AV513" t="str">
        <f>IF(ifood_data[[#All],[Income]]&gt;75000,"75K+",(IF(ifood_data[[#All],[Income]]&gt;50000,"50K-75K",(IF(ifood_data[[#All],[Income]]&gt;35000,"35K-50K","&lt;35K")))))</f>
        <v>50K-75K</v>
      </c>
      <c r="AW513" t="str">
        <f>IF(ifood_data[[#All],[Age]]&gt;60,"60+",(IF(ifood_data[[#All],[Age]]&gt;50,"50-60",(IF(ifood_data[[#All],[Age]]&gt;40,"40-50",(IF(ifood_data[[#All],[Age]]&gt;30,"30-40","&lt;30")))))))</f>
        <v>40-50</v>
      </c>
      <c r="AX513">
        <f t="shared" si="28"/>
        <v>24</v>
      </c>
      <c r="AY513">
        <f t="shared" si="29"/>
        <v>8</v>
      </c>
      <c r="AZ513">
        <f t="shared" si="30"/>
        <v>6</v>
      </c>
      <c r="BA513">
        <f t="shared" si="31"/>
        <v>6</v>
      </c>
      <c r="BB513">
        <f>SUM(ifood_data[[#This Row],[Recency Score]:[Monetary Score]])</f>
        <v>20</v>
      </c>
      <c r="BC513">
        <f>(_xlfn.PERCENTRANK.INC(ifood_data[[#All],[RFM]],ifood_data[[#This Row],[RFM]],1))*10</f>
        <v>7</v>
      </c>
      <c r="BD513" t="str">
        <f>VLOOKUP(ifood_data[[#This Row],[RFM Score]],'RFM Analysis'!$A$3:$B$14,2,FALSE)</f>
        <v>Loyal Customer</v>
      </c>
      <c r="BE513">
        <f>'Regression Models'!$B$101+'Regression Models'!$B$102*ifood_data[[#This Row],[Income]]+'Regression Models'!$B$103*ifood_data[[#This Row],[Age]]+'Regression Models'!$B$104*ifood_data[[#This Row],[Family]]</f>
        <v>901.74921355322442</v>
      </c>
      <c r="BF513" t="str">
        <f>IF(ifood_data[[#This Row],[AcceptedCmpOverall]]=1,"Campaign Respondent","Non-respondent")</f>
        <v>Non-respondent</v>
      </c>
    </row>
    <row r="514" spans="1:58" x14ac:dyDescent="0.35">
      <c r="A514">
        <v>1246</v>
      </c>
      <c r="B514">
        <v>72828</v>
      </c>
      <c r="C514">
        <v>0</v>
      </c>
      <c r="D514">
        <v>1</v>
      </c>
      <c r="E514">
        <v>17</v>
      </c>
      <c r="F514">
        <v>1205</v>
      </c>
      <c r="G514">
        <v>0</v>
      </c>
      <c r="H514">
        <v>235</v>
      </c>
      <c r="I514">
        <v>19</v>
      </c>
      <c r="J514">
        <v>14</v>
      </c>
      <c r="K514">
        <v>205</v>
      </c>
      <c r="L514">
        <v>6</v>
      </c>
      <c r="M514">
        <v>6</v>
      </c>
      <c r="N514">
        <v>3</v>
      </c>
      <c r="O514">
        <v>13</v>
      </c>
      <c r="P514">
        <v>7</v>
      </c>
      <c r="Q514">
        <v>0</v>
      </c>
      <c r="R514">
        <v>0</v>
      </c>
      <c r="S514">
        <v>0</v>
      </c>
      <c r="T514">
        <v>0</v>
      </c>
      <c r="U514">
        <v>0</v>
      </c>
      <c r="V514">
        <f>IF(SUM(ifood_data[[#This Row],[AcceptedCmp1]:[AcceptedCmp5]])&gt;0,1,0)</f>
        <v>0</v>
      </c>
      <c r="W514">
        <v>0</v>
      </c>
      <c r="X514">
        <v>3</v>
      </c>
      <c r="Y514">
        <v>11</v>
      </c>
      <c r="Z514">
        <v>0</v>
      </c>
      <c r="AA514">
        <v>58</v>
      </c>
      <c r="AB514">
        <v>2659</v>
      </c>
      <c r="AC514" s="28">
        <f>ifood_data[[#This Row],[Customer_Days]]/365</f>
        <v>7.2849315068493148</v>
      </c>
      <c r="AD514">
        <v>0</v>
      </c>
      <c r="AE514">
        <v>1</v>
      </c>
      <c r="AF514">
        <v>0</v>
      </c>
      <c r="AG514">
        <v>0</v>
      </c>
      <c r="AH514">
        <v>0</v>
      </c>
      <c r="AI514">
        <v>0</v>
      </c>
      <c r="AJ514">
        <v>0</v>
      </c>
      <c r="AK514">
        <v>0</v>
      </c>
      <c r="AL514">
        <v>1</v>
      </c>
      <c r="AM514">
        <v>0</v>
      </c>
      <c r="AN514">
        <v>1473</v>
      </c>
      <c r="AO514">
        <v>1268</v>
      </c>
      <c r="AP514">
        <f>ifood_data[[#This Row],[MntTotal]]-ifood_data[[#This Row],[MntRegularProds]]</f>
        <v>205</v>
      </c>
      <c r="AQ514">
        <v>0</v>
      </c>
      <c r="AR514">
        <f>IF(SUM(ifood_data[[#This Row],[Kidhome]:[Teenhome]])&gt;0,1,0)</f>
        <v>1</v>
      </c>
      <c r="AS514" t="str">
        <f>IF(SUM(ifood_data[[#This Row],[Kidhome]:[Teenhome]])&gt;0,"Has Family","No Family")</f>
        <v>Has Family</v>
      </c>
      <c r="AT514" t="str">
        <f>IF(ifood_data[[#This Row],[marital_Married]]=1,"Married", (IF(ifood_data[[#This Row],[marital_Single]]=1,"Single",(IF(ifood_data[[#This Row],[marital_Divorced]]=1,"Divorced",(IF(ifood_data[[#This Row],[marital_Together]]=1,"Living Together",(IF(ifood_data[[#This Row],[marital_Widow]]=1,"Widow","Other")))))))))</f>
        <v>Married</v>
      </c>
      <c r="AU514" t="str">
        <f>IF(ifood_data[[#This Row],[education_Basic]]=1,"High School",(IF(ifood_data[[#This Row],[education_Graduation]]=1,"Undergraduate Degree",(IF(SUM(AM514,AL514,AI514)&gt;0,"Master's Degree or Higher","Other")))))</f>
        <v>Master's Degree or Higher</v>
      </c>
      <c r="AV514" t="str">
        <f>IF(ifood_data[[#All],[Income]]&gt;75000,"75K+",(IF(ifood_data[[#All],[Income]]&gt;50000,"50K-75K",(IF(ifood_data[[#All],[Income]]&gt;35000,"35K-50K","&lt;35K")))))</f>
        <v>50K-75K</v>
      </c>
      <c r="AW514" t="str">
        <f>IF(ifood_data[[#All],[Age]]&gt;60,"60+",(IF(ifood_data[[#All],[Age]]&gt;50,"50-60",(IF(ifood_data[[#All],[Age]]&gt;40,"40-50",(IF(ifood_data[[#All],[Age]]&gt;30,"30-40","&lt;30")))))))</f>
        <v>50-60</v>
      </c>
      <c r="AX514">
        <f t="shared" ref="AX514:AX577" si="32">SUM(L514:P514)</f>
        <v>35</v>
      </c>
      <c r="AY514">
        <f t="shared" ref="AY514:AY577" si="33">(1-_xlfn.PERCENTRANK.INC($E$2:$E$2022,E514,1))*10</f>
        <v>9</v>
      </c>
      <c r="AZ514">
        <f t="shared" ref="AZ514:AZ577" si="34">_xlfn.PERCENTRANK.INC($AX$2:$AX$2022,AX514,1)*10</f>
        <v>9</v>
      </c>
      <c r="BA514">
        <f t="shared" ref="BA514:BA577" si="35">_xlfn.PERCENTRANK.INC($AN$2:$AN$2022,AN514,1)*10</f>
        <v>9</v>
      </c>
      <c r="BB514">
        <f>SUM(ifood_data[[#This Row],[Recency Score]:[Monetary Score]])</f>
        <v>27</v>
      </c>
      <c r="BC514">
        <f>(_xlfn.PERCENTRANK.INC(ifood_data[[#All],[RFM]],ifood_data[[#This Row],[RFM]],1))*10</f>
        <v>9</v>
      </c>
      <c r="BD514" t="str">
        <f>VLOOKUP(ifood_data[[#This Row],[RFM Score]],'RFM Analysis'!$A$3:$B$14,2,FALSE)</f>
        <v>Top Customer</v>
      </c>
      <c r="BE514">
        <f>'Regression Models'!$B$101+'Regression Models'!$B$102*ifood_data[[#This Row],[Income]]+'Regression Models'!$B$103*ifood_data[[#This Row],[Age]]+'Regression Models'!$B$104*ifood_data[[#This Row],[Family]]</f>
        <v>900.93085246051862</v>
      </c>
      <c r="BF514" t="str">
        <f>IF(ifood_data[[#This Row],[AcceptedCmpOverall]]=1,"Campaign Respondent","Non-respondent")</f>
        <v>Non-respondent</v>
      </c>
    </row>
    <row r="515" spans="1:58" x14ac:dyDescent="0.35">
      <c r="A515">
        <v>1427</v>
      </c>
      <c r="B515">
        <v>71969</v>
      </c>
      <c r="C515">
        <v>0</v>
      </c>
      <c r="D515">
        <v>1</v>
      </c>
      <c r="E515">
        <v>59</v>
      </c>
      <c r="F515">
        <v>1000</v>
      </c>
      <c r="G515">
        <v>0</v>
      </c>
      <c r="H515">
        <v>76</v>
      </c>
      <c r="I515">
        <v>0</v>
      </c>
      <c r="J515">
        <v>0</v>
      </c>
      <c r="K515">
        <v>10</v>
      </c>
      <c r="L515">
        <v>3</v>
      </c>
      <c r="M515">
        <v>3</v>
      </c>
      <c r="N515">
        <v>4</v>
      </c>
      <c r="O515">
        <v>9</v>
      </c>
      <c r="P515">
        <v>8</v>
      </c>
      <c r="Q515">
        <v>0</v>
      </c>
      <c r="R515">
        <v>0</v>
      </c>
      <c r="S515">
        <v>0</v>
      </c>
      <c r="T515">
        <v>1</v>
      </c>
      <c r="U515">
        <v>0</v>
      </c>
      <c r="V515">
        <f>IF(SUM(ifood_data[[#This Row],[AcceptedCmp1]:[AcceptedCmp5]])&gt;0,1,0)</f>
        <v>1</v>
      </c>
      <c r="W515">
        <v>0</v>
      </c>
      <c r="X515">
        <v>3</v>
      </c>
      <c r="Y515">
        <v>11</v>
      </c>
      <c r="Z515">
        <v>0</v>
      </c>
      <c r="AA515">
        <v>49</v>
      </c>
      <c r="AB515">
        <v>2780</v>
      </c>
      <c r="AC515" s="28">
        <f>ifood_data[[#This Row],[Customer_Days]]/365</f>
        <v>7.6164383561643838</v>
      </c>
      <c r="AD515">
        <v>0</v>
      </c>
      <c r="AE515">
        <v>1</v>
      </c>
      <c r="AF515">
        <v>0</v>
      </c>
      <c r="AG515">
        <v>0</v>
      </c>
      <c r="AH515">
        <v>0</v>
      </c>
      <c r="AI515">
        <v>0</v>
      </c>
      <c r="AJ515">
        <v>0</v>
      </c>
      <c r="AK515">
        <v>0</v>
      </c>
      <c r="AL515">
        <v>0</v>
      </c>
      <c r="AM515">
        <v>1</v>
      </c>
      <c r="AN515">
        <v>1076</v>
      </c>
      <c r="AO515">
        <v>1066</v>
      </c>
      <c r="AP515">
        <f>ifood_data[[#This Row],[MntTotal]]-ifood_data[[#This Row],[MntRegularProds]]</f>
        <v>10</v>
      </c>
      <c r="AQ515">
        <v>1</v>
      </c>
      <c r="AR515">
        <f>IF(SUM(ifood_data[[#This Row],[Kidhome]:[Teenhome]])&gt;0,1,0)</f>
        <v>1</v>
      </c>
      <c r="AS515" t="str">
        <f>IF(SUM(ifood_data[[#This Row],[Kidhome]:[Teenhome]])&gt;0,"Has Family","No Family")</f>
        <v>Has Family</v>
      </c>
      <c r="AT515" t="str">
        <f>IF(ifood_data[[#This Row],[marital_Married]]=1,"Married", (IF(ifood_data[[#This Row],[marital_Single]]=1,"Single",(IF(ifood_data[[#This Row],[marital_Divorced]]=1,"Divorced",(IF(ifood_data[[#This Row],[marital_Together]]=1,"Living Together",(IF(ifood_data[[#This Row],[marital_Widow]]=1,"Widow","Other")))))))))</f>
        <v>Married</v>
      </c>
      <c r="AU515" t="str">
        <f>IF(ifood_data[[#This Row],[education_Basic]]=1,"High School",(IF(ifood_data[[#This Row],[education_Graduation]]=1,"Undergraduate Degree",(IF(SUM(AM515,AL515,AI515)&gt;0,"Master's Degree or Higher","Other")))))</f>
        <v>Master's Degree or Higher</v>
      </c>
      <c r="AV515" t="str">
        <f>IF(ifood_data[[#All],[Income]]&gt;75000,"75K+",(IF(ifood_data[[#All],[Income]]&gt;50000,"50K-75K",(IF(ifood_data[[#All],[Income]]&gt;35000,"35K-50K","&lt;35K")))))</f>
        <v>50K-75K</v>
      </c>
      <c r="AW515" t="str">
        <f>IF(ifood_data[[#All],[Age]]&gt;60,"60+",(IF(ifood_data[[#All],[Age]]&gt;50,"50-60",(IF(ifood_data[[#All],[Age]]&gt;40,"40-50",(IF(ifood_data[[#All],[Age]]&gt;30,"30-40","&lt;30")))))))</f>
        <v>40-50</v>
      </c>
      <c r="AX515">
        <f t="shared" si="32"/>
        <v>27</v>
      </c>
      <c r="AY515">
        <f t="shared" si="33"/>
        <v>4</v>
      </c>
      <c r="AZ515">
        <f t="shared" si="34"/>
        <v>7</v>
      </c>
      <c r="BA515">
        <f t="shared" si="35"/>
        <v>7</v>
      </c>
      <c r="BB515">
        <f>SUM(ifood_data[[#This Row],[Recency Score]:[Monetary Score]])</f>
        <v>18</v>
      </c>
      <c r="BC515">
        <f>(_xlfn.PERCENTRANK.INC(ifood_data[[#All],[RFM]],ifood_data[[#This Row],[RFM]],1))*10</f>
        <v>6</v>
      </c>
      <c r="BD515" t="str">
        <f>VLOOKUP(ifood_data[[#This Row],[RFM Score]],'RFM Analysis'!$A$3:$B$14,2,FALSE)</f>
        <v>Promising</v>
      </c>
      <c r="BE515">
        <f>'Regression Models'!$B$101+'Regression Models'!$B$102*ifood_data[[#This Row],[Income]]+'Regression Models'!$B$103*ifood_data[[#This Row],[Age]]+'Regression Models'!$B$104*ifood_data[[#This Row],[Family]]</f>
        <v>899.944852334958</v>
      </c>
      <c r="BF515" t="str">
        <f>IF(ifood_data[[#This Row],[AcceptedCmpOverall]]=1,"Campaign Respondent","Non-respondent")</f>
        <v>Campaign Respondent</v>
      </c>
    </row>
    <row r="516" spans="1:58" x14ac:dyDescent="0.35">
      <c r="A516">
        <v>1563</v>
      </c>
      <c r="B516">
        <v>73705</v>
      </c>
      <c r="C516">
        <v>0</v>
      </c>
      <c r="D516">
        <v>2</v>
      </c>
      <c r="E516">
        <v>86</v>
      </c>
      <c r="F516">
        <v>612</v>
      </c>
      <c r="G516">
        <v>91</v>
      </c>
      <c r="H516">
        <v>520</v>
      </c>
      <c r="I516">
        <v>258</v>
      </c>
      <c r="J516">
        <v>107</v>
      </c>
      <c r="K516">
        <v>107</v>
      </c>
      <c r="L516">
        <v>2</v>
      </c>
      <c r="M516">
        <v>9</v>
      </c>
      <c r="N516">
        <v>6</v>
      </c>
      <c r="O516">
        <v>8</v>
      </c>
      <c r="P516">
        <v>5</v>
      </c>
      <c r="Q516">
        <v>0</v>
      </c>
      <c r="R516">
        <v>0</v>
      </c>
      <c r="S516">
        <v>0</v>
      </c>
      <c r="T516">
        <v>0</v>
      </c>
      <c r="U516">
        <v>0</v>
      </c>
      <c r="V516">
        <f>IF(SUM(ifood_data[[#This Row],[AcceptedCmp1]:[AcceptedCmp5]])&gt;0,1,0)</f>
        <v>0</v>
      </c>
      <c r="W516">
        <v>0</v>
      </c>
      <c r="X516">
        <v>3</v>
      </c>
      <c r="Y516">
        <v>11</v>
      </c>
      <c r="Z516">
        <v>0</v>
      </c>
      <c r="AA516">
        <v>69</v>
      </c>
      <c r="AB516">
        <v>2275</v>
      </c>
      <c r="AC516" s="28">
        <f>ifood_data[[#This Row],[Customer_Days]]/365</f>
        <v>6.2328767123287667</v>
      </c>
      <c r="AD516">
        <v>0</v>
      </c>
      <c r="AE516">
        <v>0</v>
      </c>
      <c r="AF516">
        <v>0</v>
      </c>
      <c r="AG516">
        <v>0</v>
      </c>
      <c r="AH516">
        <v>1</v>
      </c>
      <c r="AI516">
        <v>0</v>
      </c>
      <c r="AJ516">
        <v>0</v>
      </c>
      <c r="AK516">
        <v>0</v>
      </c>
      <c r="AL516">
        <v>1</v>
      </c>
      <c r="AM516">
        <v>0</v>
      </c>
      <c r="AN516">
        <v>1588</v>
      </c>
      <c r="AO516">
        <v>1481</v>
      </c>
      <c r="AP516">
        <f>ifood_data[[#This Row],[MntTotal]]-ifood_data[[#This Row],[MntRegularProds]]</f>
        <v>107</v>
      </c>
      <c r="AQ516">
        <v>0</v>
      </c>
      <c r="AR516">
        <f>IF(SUM(ifood_data[[#This Row],[Kidhome]:[Teenhome]])&gt;0,1,0)</f>
        <v>1</v>
      </c>
      <c r="AS516" t="str">
        <f>IF(SUM(ifood_data[[#This Row],[Kidhome]:[Teenhome]])&gt;0,"Has Family","No Family")</f>
        <v>Has Family</v>
      </c>
      <c r="AT516" t="str">
        <f>IF(ifood_data[[#This Row],[marital_Married]]=1,"Married", (IF(ifood_data[[#This Row],[marital_Single]]=1,"Single",(IF(ifood_data[[#This Row],[marital_Divorced]]=1,"Divorced",(IF(ifood_data[[#This Row],[marital_Together]]=1,"Living Together",(IF(ifood_data[[#This Row],[marital_Widow]]=1,"Widow","Other")))))))))</f>
        <v>Widow</v>
      </c>
      <c r="AU516" t="str">
        <f>IF(ifood_data[[#This Row],[education_Basic]]=1,"High School",(IF(ifood_data[[#This Row],[education_Graduation]]=1,"Undergraduate Degree",(IF(SUM(AM516,AL516,AI516)&gt;0,"Master's Degree or Higher","Other")))))</f>
        <v>Master's Degree or Higher</v>
      </c>
      <c r="AV516" t="str">
        <f>IF(ifood_data[[#All],[Income]]&gt;75000,"75K+",(IF(ifood_data[[#All],[Income]]&gt;50000,"50K-75K",(IF(ifood_data[[#All],[Income]]&gt;35000,"35K-50K","&lt;35K")))))</f>
        <v>50K-75K</v>
      </c>
      <c r="AW516" t="str">
        <f>IF(ifood_data[[#All],[Age]]&gt;60,"60+",(IF(ifood_data[[#All],[Age]]&gt;50,"50-60",(IF(ifood_data[[#All],[Age]]&gt;40,"40-50",(IF(ifood_data[[#All],[Age]]&gt;30,"30-40","&lt;30")))))))</f>
        <v>60+</v>
      </c>
      <c r="AX516">
        <f t="shared" si="32"/>
        <v>30</v>
      </c>
      <c r="AY516">
        <f t="shared" si="33"/>
        <v>1.9999999999999996</v>
      </c>
      <c r="AZ516">
        <f t="shared" si="34"/>
        <v>8</v>
      </c>
      <c r="BA516">
        <f t="shared" si="35"/>
        <v>9</v>
      </c>
      <c r="BB516">
        <f>SUM(ifood_data[[#This Row],[Recency Score]:[Monetary Score]])</f>
        <v>19</v>
      </c>
      <c r="BC516">
        <f>(_xlfn.PERCENTRANK.INC(ifood_data[[#All],[RFM]],ifood_data[[#This Row],[RFM]],1))*10</f>
        <v>7</v>
      </c>
      <c r="BD516" t="str">
        <f>VLOOKUP(ifood_data[[#This Row],[RFM Score]],'RFM Analysis'!$A$3:$B$14,2,FALSE)</f>
        <v>Loyal Customer</v>
      </c>
      <c r="BE516">
        <f>'Regression Models'!$B$101+'Regression Models'!$B$102*ifood_data[[#This Row],[Income]]+'Regression Models'!$B$103*ifood_data[[#This Row],[Age]]+'Regression Models'!$B$104*ifood_data[[#This Row],[Family]]</f>
        <v>898.61097225488072</v>
      </c>
      <c r="BF516" t="str">
        <f>IF(ifood_data[[#This Row],[AcceptedCmpOverall]]=1,"Campaign Respondent","Non-respondent")</f>
        <v>Non-respondent</v>
      </c>
    </row>
    <row r="517" spans="1:58" x14ac:dyDescent="0.35">
      <c r="A517">
        <v>1053</v>
      </c>
      <c r="B517">
        <v>71819</v>
      </c>
      <c r="C517">
        <v>0</v>
      </c>
      <c r="D517">
        <v>1</v>
      </c>
      <c r="E517">
        <v>70</v>
      </c>
      <c r="F517">
        <v>1224</v>
      </c>
      <c r="G517">
        <v>28</v>
      </c>
      <c r="H517">
        <v>140</v>
      </c>
      <c r="I517">
        <v>0</v>
      </c>
      <c r="J517">
        <v>14</v>
      </c>
      <c r="K517">
        <v>168</v>
      </c>
      <c r="L517">
        <v>3</v>
      </c>
      <c r="M517">
        <v>3</v>
      </c>
      <c r="N517">
        <v>3</v>
      </c>
      <c r="O517">
        <v>5</v>
      </c>
      <c r="P517">
        <v>6</v>
      </c>
      <c r="Q517">
        <v>0</v>
      </c>
      <c r="R517">
        <v>0</v>
      </c>
      <c r="S517">
        <v>0</v>
      </c>
      <c r="T517">
        <v>1</v>
      </c>
      <c r="U517">
        <v>1</v>
      </c>
      <c r="V517">
        <f>IF(SUM(ifood_data[[#This Row],[AcceptedCmp1]:[AcceptedCmp5]])&gt;0,1,0)</f>
        <v>1</v>
      </c>
      <c r="W517">
        <v>0</v>
      </c>
      <c r="X517">
        <v>3</v>
      </c>
      <c r="Y517">
        <v>11</v>
      </c>
      <c r="Z517">
        <v>0</v>
      </c>
      <c r="AA517">
        <v>49</v>
      </c>
      <c r="AB517">
        <v>2464</v>
      </c>
      <c r="AC517" s="28">
        <f>ifood_data[[#This Row],[Customer_Days]]/365</f>
        <v>6.7506849315068491</v>
      </c>
      <c r="AD517">
        <v>0</v>
      </c>
      <c r="AE517">
        <v>0</v>
      </c>
      <c r="AF517">
        <v>0</v>
      </c>
      <c r="AG517">
        <v>1</v>
      </c>
      <c r="AH517">
        <v>0</v>
      </c>
      <c r="AI517">
        <v>0</v>
      </c>
      <c r="AJ517">
        <v>0</v>
      </c>
      <c r="AK517">
        <v>1</v>
      </c>
      <c r="AL517">
        <v>0</v>
      </c>
      <c r="AM517">
        <v>0</v>
      </c>
      <c r="AN517">
        <v>1406</v>
      </c>
      <c r="AO517">
        <v>1238</v>
      </c>
      <c r="AP517">
        <f>ifood_data[[#This Row],[MntTotal]]-ifood_data[[#This Row],[MntRegularProds]]</f>
        <v>168</v>
      </c>
      <c r="AQ517">
        <v>2</v>
      </c>
      <c r="AR517">
        <f>IF(SUM(ifood_data[[#This Row],[Kidhome]:[Teenhome]])&gt;0,1,0)</f>
        <v>1</v>
      </c>
      <c r="AS517" t="str">
        <f>IF(SUM(ifood_data[[#This Row],[Kidhome]:[Teenhome]])&gt;0,"Has Family","No Family")</f>
        <v>Has Family</v>
      </c>
      <c r="AT517" t="str">
        <f>IF(ifood_data[[#This Row],[marital_Married]]=1,"Married", (IF(ifood_data[[#This Row],[marital_Single]]=1,"Single",(IF(ifood_data[[#This Row],[marital_Divorced]]=1,"Divorced",(IF(ifood_data[[#This Row],[marital_Together]]=1,"Living Together",(IF(ifood_data[[#This Row],[marital_Widow]]=1,"Widow","Other")))))))))</f>
        <v>Living Together</v>
      </c>
      <c r="AU517" t="str">
        <f>IF(ifood_data[[#This Row],[education_Basic]]=1,"High School",(IF(ifood_data[[#This Row],[education_Graduation]]=1,"Undergraduate Degree",(IF(SUM(AM517,AL517,AI517)&gt;0,"Master's Degree or Higher","Other")))))</f>
        <v>Undergraduate Degree</v>
      </c>
      <c r="AV517" t="str">
        <f>IF(ifood_data[[#All],[Income]]&gt;75000,"75K+",(IF(ifood_data[[#All],[Income]]&gt;50000,"50K-75K",(IF(ifood_data[[#All],[Income]]&gt;35000,"35K-50K","&lt;35K")))))</f>
        <v>50K-75K</v>
      </c>
      <c r="AW517" t="str">
        <f>IF(ifood_data[[#All],[Age]]&gt;60,"60+",(IF(ifood_data[[#All],[Age]]&gt;50,"50-60",(IF(ifood_data[[#All],[Age]]&gt;40,"40-50",(IF(ifood_data[[#All],[Age]]&gt;30,"30-40","&lt;30")))))))</f>
        <v>40-50</v>
      </c>
      <c r="AX517">
        <f t="shared" si="32"/>
        <v>20</v>
      </c>
      <c r="AY517">
        <f t="shared" si="33"/>
        <v>3.0000000000000004</v>
      </c>
      <c r="AZ517">
        <f t="shared" si="34"/>
        <v>4</v>
      </c>
      <c r="BA517">
        <f t="shared" si="35"/>
        <v>8</v>
      </c>
      <c r="BB517">
        <f>SUM(ifood_data[[#This Row],[Recency Score]:[Monetary Score]])</f>
        <v>15</v>
      </c>
      <c r="BC517">
        <f>(_xlfn.PERCENTRANK.INC(ifood_data[[#All],[RFM]],ifood_data[[#This Row],[RFM]],1))*10</f>
        <v>4</v>
      </c>
      <c r="BD517" t="str">
        <f>VLOOKUP(ifood_data[[#This Row],[RFM Score]],'RFM Analysis'!$A$3:$B$14,2,FALSE)</f>
        <v>At Risk</v>
      </c>
      <c r="BE517">
        <f>'Regression Models'!$B$101+'Regression Models'!$B$102*ifood_data[[#This Row],[Income]]+'Regression Models'!$B$103*ifood_data[[#This Row],[Age]]+'Regression Models'!$B$104*ifood_data[[#This Row],[Family]]</f>
        <v>896.88653711337304</v>
      </c>
      <c r="BF517" t="str">
        <f>IF(ifood_data[[#This Row],[AcceptedCmpOverall]]=1,"Campaign Respondent","Non-respondent")</f>
        <v>Campaign Respondent</v>
      </c>
    </row>
    <row r="518" spans="1:58" x14ac:dyDescent="0.35">
      <c r="A518">
        <v>959</v>
      </c>
      <c r="B518">
        <v>59412</v>
      </c>
      <c r="C518">
        <v>0</v>
      </c>
      <c r="D518">
        <v>0</v>
      </c>
      <c r="E518">
        <v>56</v>
      </c>
      <c r="F518">
        <v>90</v>
      </c>
      <c r="G518">
        <v>67</v>
      </c>
      <c r="H518">
        <v>165</v>
      </c>
      <c r="I518">
        <v>30</v>
      </c>
      <c r="J518">
        <v>43</v>
      </c>
      <c r="K518">
        <v>11</v>
      </c>
      <c r="L518">
        <v>1</v>
      </c>
      <c r="M518">
        <v>4</v>
      </c>
      <c r="N518">
        <v>2</v>
      </c>
      <c r="O518">
        <v>8</v>
      </c>
      <c r="P518">
        <v>3</v>
      </c>
      <c r="Q518">
        <v>0</v>
      </c>
      <c r="R518">
        <v>0</v>
      </c>
      <c r="S518">
        <v>0</v>
      </c>
      <c r="T518">
        <v>0</v>
      </c>
      <c r="U518">
        <v>0</v>
      </c>
      <c r="V518">
        <f>IF(SUM(ifood_data[[#This Row],[AcceptedCmp1]:[AcceptedCmp5]])&gt;0,1,0)</f>
        <v>0</v>
      </c>
      <c r="W518">
        <v>0</v>
      </c>
      <c r="X518">
        <v>3</v>
      </c>
      <c r="Y518">
        <v>11</v>
      </c>
      <c r="Z518">
        <v>0</v>
      </c>
      <c r="AA518">
        <v>69</v>
      </c>
      <c r="AB518">
        <v>2230</v>
      </c>
      <c r="AC518" s="28">
        <f>ifood_data[[#This Row],[Customer_Days]]/365</f>
        <v>6.1095890410958908</v>
      </c>
      <c r="AD518">
        <v>0</v>
      </c>
      <c r="AE518">
        <v>1</v>
      </c>
      <c r="AF518">
        <v>0</v>
      </c>
      <c r="AG518">
        <v>0</v>
      </c>
      <c r="AH518">
        <v>0</v>
      </c>
      <c r="AI518">
        <v>0</v>
      </c>
      <c r="AJ518">
        <v>0</v>
      </c>
      <c r="AK518">
        <v>0</v>
      </c>
      <c r="AL518">
        <v>1</v>
      </c>
      <c r="AM518">
        <v>0</v>
      </c>
      <c r="AN518">
        <v>395</v>
      </c>
      <c r="AO518">
        <v>384</v>
      </c>
      <c r="AP518">
        <f>ifood_data[[#This Row],[MntTotal]]-ifood_data[[#This Row],[MntRegularProds]]</f>
        <v>11</v>
      </c>
      <c r="AQ518">
        <v>0</v>
      </c>
      <c r="AR518">
        <f>IF(SUM(ifood_data[[#This Row],[Kidhome]:[Teenhome]])&gt;0,1,0)</f>
        <v>0</v>
      </c>
      <c r="AS518" t="str">
        <f>IF(SUM(ifood_data[[#This Row],[Kidhome]:[Teenhome]])&gt;0,"Has Family","No Family")</f>
        <v>No Family</v>
      </c>
      <c r="AT518" t="str">
        <f>IF(ifood_data[[#This Row],[marital_Married]]=1,"Married", (IF(ifood_data[[#This Row],[marital_Single]]=1,"Single",(IF(ifood_data[[#This Row],[marital_Divorced]]=1,"Divorced",(IF(ifood_data[[#This Row],[marital_Together]]=1,"Living Together",(IF(ifood_data[[#This Row],[marital_Widow]]=1,"Widow","Other")))))))))</f>
        <v>Married</v>
      </c>
      <c r="AU518" t="str">
        <f>IF(ifood_data[[#This Row],[education_Basic]]=1,"High School",(IF(ifood_data[[#This Row],[education_Graduation]]=1,"Undergraduate Degree",(IF(SUM(AM518,AL518,AI518)&gt;0,"Master's Degree or Higher","Other")))))</f>
        <v>Master's Degree or Higher</v>
      </c>
      <c r="AV518" t="str">
        <f>IF(ifood_data[[#All],[Income]]&gt;75000,"75K+",(IF(ifood_data[[#All],[Income]]&gt;50000,"50K-75K",(IF(ifood_data[[#All],[Income]]&gt;35000,"35K-50K","&lt;35K")))))</f>
        <v>50K-75K</v>
      </c>
      <c r="AW518" t="str">
        <f>IF(ifood_data[[#All],[Age]]&gt;60,"60+",(IF(ifood_data[[#All],[Age]]&gt;50,"50-60",(IF(ifood_data[[#All],[Age]]&gt;40,"40-50",(IF(ifood_data[[#All],[Age]]&gt;30,"30-40","&lt;30")))))))</f>
        <v>60+</v>
      </c>
      <c r="AX518">
        <f t="shared" si="32"/>
        <v>18</v>
      </c>
      <c r="AY518">
        <f t="shared" si="33"/>
        <v>5</v>
      </c>
      <c r="AZ518">
        <f t="shared" si="34"/>
        <v>4</v>
      </c>
      <c r="BA518">
        <f t="shared" si="35"/>
        <v>5</v>
      </c>
      <c r="BB518">
        <f>SUM(ifood_data[[#This Row],[Recency Score]:[Monetary Score]])</f>
        <v>14</v>
      </c>
      <c r="BC518">
        <f>(_xlfn.PERCENTRANK.INC(ifood_data[[#All],[RFM]],ifood_data[[#This Row],[RFM]],1))*10</f>
        <v>4</v>
      </c>
      <c r="BD518" t="str">
        <f>VLOOKUP(ifood_data[[#This Row],[RFM Score]],'RFM Analysis'!$A$3:$B$14,2,FALSE)</f>
        <v>At Risk</v>
      </c>
      <c r="BE518">
        <f>'Regression Models'!$B$101+'Regression Models'!$B$102*ifood_data[[#This Row],[Income]]+'Regression Models'!$B$103*ifood_data[[#This Row],[Age]]+'Regression Models'!$B$104*ifood_data[[#This Row],[Family]]</f>
        <v>896.80794024714919</v>
      </c>
      <c r="BF518" t="str">
        <f>IF(ifood_data[[#This Row],[AcceptedCmpOverall]]=1,"Campaign Respondent","Non-respondent")</f>
        <v>Non-respondent</v>
      </c>
    </row>
    <row r="519" spans="1:58" x14ac:dyDescent="0.35">
      <c r="A519">
        <v>682</v>
      </c>
      <c r="B519">
        <v>59111</v>
      </c>
      <c r="C519">
        <v>0</v>
      </c>
      <c r="D519">
        <v>0</v>
      </c>
      <c r="E519">
        <v>90</v>
      </c>
      <c r="F519">
        <v>524</v>
      </c>
      <c r="G519">
        <v>0</v>
      </c>
      <c r="H519">
        <v>134</v>
      </c>
      <c r="I519">
        <v>28</v>
      </c>
      <c r="J519">
        <v>28</v>
      </c>
      <c r="K519">
        <v>155</v>
      </c>
      <c r="L519">
        <v>1</v>
      </c>
      <c r="M519">
        <v>11</v>
      </c>
      <c r="N519">
        <v>1</v>
      </c>
      <c r="O519">
        <v>8</v>
      </c>
      <c r="P519">
        <v>7</v>
      </c>
      <c r="Q519">
        <v>0</v>
      </c>
      <c r="R519">
        <v>0</v>
      </c>
      <c r="S519">
        <v>0</v>
      </c>
      <c r="T519">
        <v>0</v>
      </c>
      <c r="U519">
        <v>0</v>
      </c>
      <c r="V519">
        <f>IF(SUM(ifood_data[[#This Row],[AcceptedCmp1]:[AcceptedCmp5]])&gt;0,1,0)</f>
        <v>0</v>
      </c>
      <c r="W519">
        <v>0</v>
      </c>
      <c r="X519">
        <v>3</v>
      </c>
      <c r="Y519">
        <v>11</v>
      </c>
      <c r="Z519">
        <v>0</v>
      </c>
      <c r="AA519">
        <v>66</v>
      </c>
      <c r="AB519">
        <v>2582</v>
      </c>
      <c r="AC519" s="28">
        <f>ifood_data[[#This Row],[Customer_Days]]/365</f>
        <v>7.0739726027397261</v>
      </c>
      <c r="AD519">
        <v>0</v>
      </c>
      <c r="AE519">
        <v>1</v>
      </c>
      <c r="AF519">
        <v>0</v>
      </c>
      <c r="AG519">
        <v>0</v>
      </c>
      <c r="AH519">
        <v>0</v>
      </c>
      <c r="AI519">
        <v>0</v>
      </c>
      <c r="AJ519">
        <v>0</v>
      </c>
      <c r="AK519">
        <v>1</v>
      </c>
      <c r="AL519">
        <v>0</v>
      </c>
      <c r="AM519">
        <v>0</v>
      </c>
      <c r="AN519">
        <v>714</v>
      </c>
      <c r="AO519">
        <v>559</v>
      </c>
      <c r="AP519">
        <f>ifood_data[[#This Row],[MntTotal]]-ifood_data[[#This Row],[MntRegularProds]]</f>
        <v>155</v>
      </c>
      <c r="AQ519">
        <v>0</v>
      </c>
      <c r="AR519">
        <f>IF(SUM(ifood_data[[#This Row],[Kidhome]:[Teenhome]])&gt;0,1,0)</f>
        <v>0</v>
      </c>
      <c r="AS519" t="str">
        <f>IF(SUM(ifood_data[[#This Row],[Kidhome]:[Teenhome]])&gt;0,"Has Family","No Family")</f>
        <v>No Family</v>
      </c>
      <c r="AT519" t="str">
        <f>IF(ifood_data[[#This Row],[marital_Married]]=1,"Married", (IF(ifood_data[[#This Row],[marital_Single]]=1,"Single",(IF(ifood_data[[#This Row],[marital_Divorced]]=1,"Divorced",(IF(ifood_data[[#This Row],[marital_Together]]=1,"Living Together",(IF(ifood_data[[#This Row],[marital_Widow]]=1,"Widow","Other")))))))))</f>
        <v>Married</v>
      </c>
      <c r="AU519" t="str">
        <f>IF(ifood_data[[#This Row],[education_Basic]]=1,"High School",(IF(ifood_data[[#This Row],[education_Graduation]]=1,"Undergraduate Degree",(IF(SUM(AM519,AL519,AI519)&gt;0,"Master's Degree or Higher","Other")))))</f>
        <v>Undergraduate Degree</v>
      </c>
      <c r="AV519" t="str">
        <f>IF(ifood_data[[#All],[Income]]&gt;75000,"75K+",(IF(ifood_data[[#All],[Income]]&gt;50000,"50K-75K",(IF(ifood_data[[#All],[Income]]&gt;35000,"35K-50K","&lt;35K")))))</f>
        <v>50K-75K</v>
      </c>
      <c r="AW519" t="str">
        <f>IF(ifood_data[[#All],[Age]]&gt;60,"60+",(IF(ifood_data[[#All],[Age]]&gt;50,"50-60",(IF(ifood_data[[#All],[Age]]&gt;40,"40-50",(IF(ifood_data[[#All],[Age]]&gt;30,"30-40","&lt;30")))))))</f>
        <v>60+</v>
      </c>
      <c r="AX519">
        <f t="shared" si="32"/>
        <v>28</v>
      </c>
      <c r="AY519">
        <f t="shared" si="33"/>
        <v>0.99999999999999978</v>
      </c>
      <c r="AZ519">
        <f t="shared" si="34"/>
        <v>8</v>
      </c>
      <c r="BA519">
        <f t="shared" si="35"/>
        <v>6</v>
      </c>
      <c r="BB519">
        <f>SUM(ifood_data[[#This Row],[Recency Score]:[Monetary Score]])</f>
        <v>15</v>
      </c>
      <c r="BC519">
        <f>(_xlfn.PERCENTRANK.INC(ifood_data[[#All],[RFM]],ifood_data[[#This Row],[RFM]],1))*10</f>
        <v>4</v>
      </c>
      <c r="BD519" t="str">
        <f>VLOOKUP(ifood_data[[#This Row],[RFM Score]],'RFM Analysis'!$A$3:$B$14,2,FALSE)</f>
        <v>At Risk</v>
      </c>
      <c r="BE519">
        <f>'Regression Models'!$B$101+'Regression Models'!$B$102*ifood_data[[#This Row],[Income]]+'Regression Models'!$B$103*ifood_data[[#This Row],[Age]]+'Regression Models'!$B$104*ifood_data[[#This Row],[Family]]</f>
        <v>896.18023827251841</v>
      </c>
      <c r="BF519" t="str">
        <f>IF(ifood_data[[#This Row],[AcceptedCmpOverall]]=1,"Campaign Respondent","Non-respondent")</f>
        <v>Non-respondent</v>
      </c>
    </row>
    <row r="520" spans="1:58" x14ac:dyDescent="0.35">
      <c r="A520">
        <v>1899</v>
      </c>
      <c r="B520">
        <v>71322</v>
      </c>
      <c r="C520">
        <v>0</v>
      </c>
      <c r="D520">
        <v>1</v>
      </c>
      <c r="E520">
        <v>31</v>
      </c>
      <c r="F520">
        <v>121</v>
      </c>
      <c r="G520">
        <v>24</v>
      </c>
      <c r="H520">
        <v>124</v>
      </c>
      <c r="I520">
        <v>24</v>
      </c>
      <c r="J520">
        <v>15</v>
      </c>
      <c r="K520">
        <v>42</v>
      </c>
      <c r="L520">
        <v>1</v>
      </c>
      <c r="M520">
        <v>4</v>
      </c>
      <c r="N520">
        <v>1</v>
      </c>
      <c r="O520">
        <v>7</v>
      </c>
      <c r="P520">
        <v>2</v>
      </c>
      <c r="Q520">
        <v>0</v>
      </c>
      <c r="R520">
        <v>0</v>
      </c>
      <c r="S520">
        <v>0</v>
      </c>
      <c r="T520">
        <v>0</v>
      </c>
      <c r="U520">
        <v>0</v>
      </c>
      <c r="V520">
        <f>IF(SUM(ifood_data[[#This Row],[AcceptedCmp1]:[AcceptedCmp5]])&gt;0,1,0)</f>
        <v>0</v>
      </c>
      <c r="W520">
        <v>0</v>
      </c>
      <c r="X520">
        <v>3</v>
      </c>
      <c r="Y520">
        <v>11</v>
      </c>
      <c r="Z520">
        <v>0</v>
      </c>
      <c r="AA520">
        <v>44</v>
      </c>
      <c r="AB520">
        <v>2217</v>
      </c>
      <c r="AC520" s="28">
        <f>ifood_data[[#This Row],[Customer_Days]]/365</f>
        <v>6.0739726027397261</v>
      </c>
      <c r="AD520">
        <v>0</v>
      </c>
      <c r="AE520">
        <v>0</v>
      </c>
      <c r="AF520">
        <v>0</v>
      </c>
      <c r="AG520">
        <v>1</v>
      </c>
      <c r="AH520">
        <v>0</v>
      </c>
      <c r="AI520">
        <v>0</v>
      </c>
      <c r="AJ520">
        <v>0</v>
      </c>
      <c r="AK520">
        <v>1</v>
      </c>
      <c r="AL520">
        <v>0</v>
      </c>
      <c r="AM520">
        <v>0</v>
      </c>
      <c r="AN520">
        <v>308</v>
      </c>
      <c r="AO520">
        <v>266</v>
      </c>
      <c r="AP520">
        <f>ifood_data[[#This Row],[MntTotal]]-ifood_data[[#This Row],[MntRegularProds]]</f>
        <v>42</v>
      </c>
      <c r="AQ520">
        <v>0</v>
      </c>
      <c r="AR520">
        <f>IF(SUM(ifood_data[[#This Row],[Kidhome]:[Teenhome]])&gt;0,1,0)</f>
        <v>1</v>
      </c>
      <c r="AS520" t="str">
        <f>IF(SUM(ifood_data[[#This Row],[Kidhome]:[Teenhome]])&gt;0,"Has Family","No Family")</f>
        <v>Has Family</v>
      </c>
      <c r="AT520" t="str">
        <f>IF(ifood_data[[#This Row],[marital_Married]]=1,"Married", (IF(ifood_data[[#This Row],[marital_Single]]=1,"Single",(IF(ifood_data[[#This Row],[marital_Divorced]]=1,"Divorced",(IF(ifood_data[[#This Row],[marital_Together]]=1,"Living Together",(IF(ifood_data[[#This Row],[marital_Widow]]=1,"Widow","Other")))))))))</f>
        <v>Living Together</v>
      </c>
      <c r="AU520" t="str">
        <f>IF(ifood_data[[#This Row],[education_Basic]]=1,"High School",(IF(ifood_data[[#This Row],[education_Graduation]]=1,"Undergraduate Degree",(IF(SUM(AM520,AL520,AI520)&gt;0,"Master's Degree or Higher","Other")))))</f>
        <v>Undergraduate Degree</v>
      </c>
      <c r="AV520" t="str">
        <f>IF(ifood_data[[#All],[Income]]&gt;75000,"75K+",(IF(ifood_data[[#All],[Income]]&gt;50000,"50K-75K",(IF(ifood_data[[#All],[Income]]&gt;35000,"35K-50K","&lt;35K")))))</f>
        <v>50K-75K</v>
      </c>
      <c r="AW520" t="str">
        <f>IF(ifood_data[[#All],[Age]]&gt;60,"60+",(IF(ifood_data[[#All],[Age]]&gt;50,"50-60",(IF(ifood_data[[#All],[Age]]&gt;40,"40-50",(IF(ifood_data[[#All],[Age]]&gt;30,"30-40","&lt;30")))))))</f>
        <v>40-50</v>
      </c>
      <c r="AX520">
        <f t="shared" si="32"/>
        <v>15</v>
      </c>
      <c r="AY520">
        <f t="shared" si="33"/>
        <v>7</v>
      </c>
      <c r="AZ520">
        <f t="shared" si="34"/>
        <v>2</v>
      </c>
      <c r="BA520">
        <f t="shared" si="35"/>
        <v>4</v>
      </c>
      <c r="BB520">
        <f>SUM(ifood_data[[#This Row],[Recency Score]:[Monetary Score]])</f>
        <v>13</v>
      </c>
      <c r="BC520">
        <f>(_xlfn.PERCENTRANK.INC(ifood_data[[#All],[RFM]],ifood_data[[#This Row],[RFM]],1))*10</f>
        <v>3</v>
      </c>
      <c r="BD520" t="str">
        <f>VLOOKUP(ifood_data[[#This Row],[RFM Score]],'RFM Analysis'!$A$3:$B$14,2,FALSE)</f>
        <v>At Risk</v>
      </c>
      <c r="BE520">
        <f>'Regression Models'!$B$101+'Regression Models'!$B$102*ifood_data[[#This Row],[Income]]+'Regression Models'!$B$103*ifood_data[[#This Row],[Age]]+'Regression Models'!$B$104*ifood_data[[#This Row],[Family]]</f>
        <v>895.93551474032677</v>
      </c>
      <c r="BF520" t="str">
        <f>IF(ifood_data[[#This Row],[AcceptedCmpOverall]]=1,"Campaign Respondent","Non-respondent")</f>
        <v>Non-respondent</v>
      </c>
    </row>
    <row r="521" spans="1:58" x14ac:dyDescent="0.35">
      <c r="A521">
        <v>665</v>
      </c>
      <c r="B521">
        <v>71022</v>
      </c>
      <c r="C521">
        <v>0</v>
      </c>
      <c r="D521">
        <v>1</v>
      </c>
      <c r="E521">
        <v>30</v>
      </c>
      <c r="F521">
        <v>909</v>
      </c>
      <c r="G521">
        <v>12</v>
      </c>
      <c r="H521">
        <v>278</v>
      </c>
      <c r="I521">
        <v>0</v>
      </c>
      <c r="J521">
        <v>12</v>
      </c>
      <c r="K521">
        <v>242</v>
      </c>
      <c r="L521">
        <v>3</v>
      </c>
      <c r="M521">
        <v>5</v>
      </c>
      <c r="N521">
        <v>2</v>
      </c>
      <c r="O521">
        <v>11</v>
      </c>
      <c r="P521">
        <v>8</v>
      </c>
      <c r="Q521">
        <v>0</v>
      </c>
      <c r="R521">
        <v>0</v>
      </c>
      <c r="S521">
        <v>1</v>
      </c>
      <c r="T521">
        <v>0</v>
      </c>
      <c r="U521">
        <v>0</v>
      </c>
      <c r="V521">
        <f>IF(SUM(ifood_data[[#This Row],[AcceptedCmp1]:[AcceptedCmp5]])&gt;0,1,0)</f>
        <v>1</v>
      </c>
      <c r="W521">
        <v>0</v>
      </c>
      <c r="X521">
        <v>3</v>
      </c>
      <c r="Y521">
        <v>11</v>
      </c>
      <c r="Z521">
        <v>0</v>
      </c>
      <c r="AA521">
        <v>42</v>
      </c>
      <c r="AB521">
        <v>2297</v>
      </c>
      <c r="AC521" s="28">
        <f>ifood_data[[#This Row],[Customer_Days]]/365</f>
        <v>6.2931506849315069</v>
      </c>
      <c r="AD521">
        <v>1</v>
      </c>
      <c r="AE521">
        <v>0</v>
      </c>
      <c r="AF521">
        <v>0</v>
      </c>
      <c r="AG521">
        <v>0</v>
      </c>
      <c r="AH521">
        <v>0</v>
      </c>
      <c r="AI521">
        <v>0</v>
      </c>
      <c r="AJ521">
        <v>0</v>
      </c>
      <c r="AK521">
        <v>1</v>
      </c>
      <c r="AL521">
        <v>0</v>
      </c>
      <c r="AM521">
        <v>0</v>
      </c>
      <c r="AN521">
        <v>1211</v>
      </c>
      <c r="AO521">
        <v>969</v>
      </c>
      <c r="AP521">
        <f>ifood_data[[#This Row],[MntTotal]]-ifood_data[[#This Row],[MntRegularProds]]</f>
        <v>242</v>
      </c>
      <c r="AQ521">
        <v>1</v>
      </c>
      <c r="AR521">
        <f>IF(SUM(ifood_data[[#This Row],[Kidhome]:[Teenhome]])&gt;0,1,0)</f>
        <v>1</v>
      </c>
      <c r="AS521" t="str">
        <f>IF(SUM(ifood_data[[#This Row],[Kidhome]:[Teenhome]])&gt;0,"Has Family","No Family")</f>
        <v>Has Family</v>
      </c>
      <c r="AT521" t="str">
        <f>IF(ifood_data[[#This Row],[marital_Married]]=1,"Married", (IF(ifood_data[[#This Row],[marital_Single]]=1,"Single",(IF(ifood_data[[#This Row],[marital_Divorced]]=1,"Divorced",(IF(ifood_data[[#This Row],[marital_Together]]=1,"Living Together",(IF(ifood_data[[#This Row],[marital_Widow]]=1,"Widow","Other")))))))))</f>
        <v>Divorced</v>
      </c>
      <c r="AU521" t="str">
        <f>IF(ifood_data[[#This Row],[education_Basic]]=1,"High School",(IF(ifood_data[[#This Row],[education_Graduation]]=1,"Undergraduate Degree",(IF(SUM(AM521,AL521,AI521)&gt;0,"Master's Degree or Higher","Other")))))</f>
        <v>Undergraduate Degree</v>
      </c>
      <c r="AV521" t="str">
        <f>IF(ifood_data[[#All],[Income]]&gt;75000,"75K+",(IF(ifood_data[[#All],[Income]]&gt;50000,"50K-75K",(IF(ifood_data[[#All],[Income]]&gt;35000,"35K-50K","&lt;35K")))))</f>
        <v>50K-75K</v>
      </c>
      <c r="AW521" t="str">
        <f>IF(ifood_data[[#All],[Age]]&gt;60,"60+",(IF(ifood_data[[#All],[Age]]&gt;50,"50-60",(IF(ifood_data[[#All],[Age]]&gt;40,"40-50",(IF(ifood_data[[#All],[Age]]&gt;30,"30-40","&lt;30")))))))</f>
        <v>40-50</v>
      </c>
      <c r="AX521">
        <f t="shared" si="32"/>
        <v>29</v>
      </c>
      <c r="AY521">
        <f t="shared" si="33"/>
        <v>7</v>
      </c>
      <c r="AZ521">
        <f t="shared" si="34"/>
        <v>8</v>
      </c>
      <c r="BA521">
        <f t="shared" si="35"/>
        <v>8</v>
      </c>
      <c r="BB521">
        <f>SUM(ifood_data[[#This Row],[Recency Score]:[Monetary Score]])</f>
        <v>23</v>
      </c>
      <c r="BC521">
        <f>(_xlfn.PERCENTRANK.INC(ifood_data[[#All],[RFM]],ifood_data[[#This Row],[RFM]],1))*10</f>
        <v>8</v>
      </c>
      <c r="BD521" t="str">
        <f>VLOOKUP(ifood_data[[#This Row],[RFM Score]],'RFM Analysis'!$A$3:$B$14,2,FALSE)</f>
        <v>Loyal Customer</v>
      </c>
      <c r="BE521">
        <f>'Regression Models'!$B$101+'Regression Models'!$B$102*ifood_data[[#This Row],[Income]]+'Regression Models'!$B$103*ifood_data[[#This Row],[Age]]+'Regression Models'!$B$104*ifood_data[[#This Row],[Family]]</f>
        <v>893.49176245494539</v>
      </c>
      <c r="BF521" t="str">
        <f>IF(ifood_data[[#This Row],[AcceptedCmpOverall]]=1,"Campaign Respondent","Non-respondent")</f>
        <v>Campaign Respondent</v>
      </c>
    </row>
    <row r="522" spans="1:58" x14ac:dyDescent="0.35">
      <c r="A522">
        <v>429</v>
      </c>
      <c r="B522">
        <v>70829</v>
      </c>
      <c r="C522">
        <v>1</v>
      </c>
      <c r="D522">
        <v>1</v>
      </c>
      <c r="E522">
        <v>87</v>
      </c>
      <c r="F522">
        <v>141</v>
      </c>
      <c r="G522">
        <v>70</v>
      </c>
      <c r="H522">
        <v>106</v>
      </c>
      <c r="I522">
        <v>72</v>
      </c>
      <c r="J522">
        <v>19</v>
      </c>
      <c r="K522">
        <v>23</v>
      </c>
      <c r="L522">
        <v>2</v>
      </c>
      <c r="M522">
        <v>4</v>
      </c>
      <c r="N522">
        <v>2</v>
      </c>
      <c r="O522">
        <v>8</v>
      </c>
      <c r="P522">
        <v>3</v>
      </c>
      <c r="Q522">
        <v>0</v>
      </c>
      <c r="R522">
        <v>0</v>
      </c>
      <c r="S522">
        <v>0</v>
      </c>
      <c r="T522">
        <v>0</v>
      </c>
      <c r="U522">
        <v>0</v>
      </c>
      <c r="V522">
        <f>IF(SUM(ifood_data[[#This Row],[AcceptedCmp1]:[AcceptedCmp5]])&gt;0,1,0)</f>
        <v>0</v>
      </c>
      <c r="W522">
        <v>0</v>
      </c>
      <c r="X522">
        <v>3</v>
      </c>
      <c r="Y522">
        <v>11</v>
      </c>
      <c r="Z522">
        <v>0</v>
      </c>
      <c r="AA522">
        <v>40</v>
      </c>
      <c r="AB522">
        <v>2369</v>
      </c>
      <c r="AC522" s="28">
        <f>ifood_data[[#This Row],[Customer_Days]]/365</f>
        <v>6.4904109589041097</v>
      </c>
      <c r="AD522">
        <v>0</v>
      </c>
      <c r="AE522">
        <v>1</v>
      </c>
      <c r="AF522">
        <v>0</v>
      </c>
      <c r="AG522">
        <v>0</v>
      </c>
      <c r="AH522">
        <v>0</v>
      </c>
      <c r="AI522">
        <v>1</v>
      </c>
      <c r="AJ522">
        <v>0</v>
      </c>
      <c r="AK522">
        <v>0</v>
      </c>
      <c r="AL522">
        <v>0</v>
      </c>
      <c r="AM522">
        <v>0</v>
      </c>
      <c r="AN522">
        <v>408</v>
      </c>
      <c r="AO522">
        <v>385</v>
      </c>
      <c r="AP522">
        <f>ifood_data[[#This Row],[MntTotal]]-ifood_data[[#This Row],[MntRegularProds]]</f>
        <v>23</v>
      </c>
      <c r="AQ522">
        <v>0</v>
      </c>
      <c r="AR522">
        <f>IF(SUM(ifood_data[[#This Row],[Kidhome]:[Teenhome]])&gt;0,1,0)</f>
        <v>1</v>
      </c>
      <c r="AS522" t="str">
        <f>IF(SUM(ifood_data[[#This Row],[Kidhome]:[Teenhome]])&gt;0,"Has Family","No Family")</f>
        <v>Has Family</v>
      </c>
      <c r="AT522" t="str">
        <f>IF(ifood_data[[#This Row],[marital_Married]]=1,"Married", (IF(ifood_data[[#This Row],[marital_Single]]=1,"Single",(IF(ifood_data[[#This Row],[marital_Divorced]]=1,"Divorced",(IF(ifood_data[[#This Row],[marital_Together]]=1,"Living Together",(IF(ifood_data[[#This Row],[marital_Widow]]=1,"Widow","Other")))))))))</f>
        <v>Married</v>
      </c>
      <c r="AU522" t="str">
        <f>IF(ifood_data[[#This Row],[education_Basic]]=1,"High School",(IF(ifood_data[[#This Row],[education_Graduation]]=1,"Undergraduate Degree",(IF(SUM(AM522,AL522,AI522)&gt;0,"Master's Degree or Higher","Other")))))</f>
        <v>Master's Degree or Higher</v>
      </c>
      <c r="AV522" t="str">
        <f>IF(ifood_data[[#All],[Income]]&gt;75000,"75K+",(IF(ifood_data[[#All],[Income]]&gt;50000,"50K-75K",(IF(ifood_data[[#All],[Income]]&gt;35000,"35K-50K","&lt;35K")))))</f>
        <v>50K-75K</v>
      </c>
      <c r="AW522" t="str">
        <f>IF(ifood_data[[#All],[Age]]&gt;60,"60+",(IF(ifood_data[[#All],[Age]]&gt;50,"50-60",(IF(ifood_data[[#All],[Age]]&gt;40,"40-50",(IF(ifood_data[[#All],[Age]]&gt;30,"30-40","&lt;30")))))))</f>
        <v>30-40</v>
      </c>
      <c r="AX522">
        <f t="shared" si="32"/>
        <v>19</v>
      </c>
      <c r="AY522">
        <f t="shared" si="33"/>
        <v>1.9999999999999996</v>
      </c>
      <c r="AZ522">
        <f t="shared" si="34"/>
        <v>4</v>
      </c>
      <c r="BA522">
        <f t="shared" si="35"/>
        <v>5</v>
      </c>
      <c r="BB522">
        <f>SUM(ifood_data[[#This Row],[Recency Score]:[Monetary Score]])</f>
        <v>11</v>
      </c>
      <c r="BC522">
        <f>(_xlfn.PERCENTRANK.INC(ifood_data[[#All],[RFM]],ifood_data[[#This Row],[RFM]],1))*10</f>
        <v>2</v>
      </c>
      <c r="BD522" t="str">
        <f>VLOOKUP(ifood_data[[#This Row],[RFM Score]],'RFM Analysis'!$A$3:$B$14,2,FALSE)</f>
        <v>At Risk</v>
      </c>
      <c r="BE522">
        <f>'Regression Models'!$B$101+'Regression Models'!$B$102*ifood_data[[#This Row],[Income]]+'Regression Models'!$B$103*ifood_data[[#This Row],[Age]]+'Regression Models'!$B$104*ifood_data[[#This Row],[Family]]</f>
        <v>893.22960836096138</v>
      </c>
      <c r="BF522" t="str">
        <f>IF(ifood_data[[#This Row],[AcceptedCmpOverall]]=1,"Campaign Respondent","Non-respondent")</f>
        <v>Non-respondent</v>
      </c>
    </row>
    <row r="523" spans="1:58" x14ac:dyDescent="0.35">
      <c r="A523">
        <v>536</v>
      </c>
      <c r="B523">
        <v>71499</v>
      </c>
      <c r="C523">
        <v>0</v>
      </c>
      <c r="D523">
        <v>1</v>
      </c>
      <c r="E523">
        <v>12</v>
      </c>
      <c r="F523">
        <v>465</v>
      </c>
      <c r="G523">
        <v>25</v>
      </c>
      <c r="H523">
        <v>132</v>
      </c>
      <c r="I523">
        <v>136</v>
      </c>
      <c r="J523">
        <v>0</v>
      </c>
      <c r="K523">
        <v>37</v>
      </c>
      <c r="L523">
        <v>2</v>
      </c>
      <c r="M523">
        <v>8</v>
      </c>
      <c r="N523">
        <v>3</v>
      </c>
      <c r="O523">
        <v>13</v>
      </c>
      <c r="P523">
        <v>4</v>
      </c>
      <c r="Q523">
        <v>0</v>
      </c>
      <c r="R523">
        <v>0</v>
      </c>
      <c r="S523">
        <v>0</v>
      </c>
      <c r="T523">
        <v>0</v>
      </c>
      <c r="U523">
        <v>0</v>
      </c>
      <c r="V523">
        <f>IF(SUM(ifood_data[[#This Row],[AcceptedCmp1]:[AcceptedCmp5]])&gt;0,1,0)</f>
        <v>0</v>
      </c>
      <c r="W523">
        <v>0</v>
      </c>
      <c r="X523">
        <v>3</v>
      </c>
      <c r="Y523">
        <v>11</v>
      </c>
      <c r="Z523">
        <v>0</v>
      </c>
      <c r="AA523">
        <v>49</v>
      </c>
      <c r="AB523">
        <v>2528</v>
      </c>
      <c r="AC523" s="28">
        <f>ifood_data[[#This Row],[Customer_Days]]/365</f>
        <v>6.9260273972602739</v>
      </c>
      <c r="AD523">
        <v>0</v>
      </c>
      <c r="AE523">
        <v>0</v>
      </c>
      <c r="AF523">
        <v>0</v>
      </c>
      <c r="AG523">
        <v>1</v>
      </c>
      <c r="AH523">
        <v>0</v>
      </c>
      <c r="AI523">
        <v>0</v>
      </c>
      <c r="AJ523">
        <v>0</v>
      </c>
      <c r="AK523">
        <v>0</v>
      </c>
      <c r="AL523">
        <v>1</v>
      </c>
      <c r="AM523">
        <v>0</v>
      </c>
      <c r="AN523">
        <v>758</v>
      </c>
      <c r="AO523">
        <v>721</v>
      </c>
      <c r="AP523">
        <f>ifood_data[[#This Row],[MntTotal]]-ifood_data[[#This Row],[MntRegularProds]]</f>
        <v>37</v>
      </c>
      <c r="AQ523">
        <v>0</v>
      </c>
      <c r="AR523">
        <f>IF(SUM(ifood_data[[#This Row],[Kidhome]:[Teenhome]])&gt;0,1,0)</f>
        <v>1</v>
      </c>
      <c r="AS523" t="str">
        <f>IF(SUM(ifood_data[[#This Row],[Kidhome]:[Teenhome]])&gt;0,"Has Family","No Family")</f>
        <v>Has Family</v>
      </c>
      <c r="AT523" t="str">
        <f>IF(ifood_data[[#This Row],[marital_Married]]=1,"Married", (IF(ifood_data[[#This Row],[marital_Single]]=1,"Single",(IF(ifood_data[[#This Row],[marital_Divorced]]=1,"Divorced",(IF(ifood_data[[#This Row],[marital_Together]]=1,"Living Together",(IF(ifood_data[[#This Row],[marital_Widow]]=1,"Widow","Other")))))))))</f>
        <v>Living Together</v>
      </c>
      <c r="AU523" t="str">
        <f>IF(ifood_data[[#This Row],[education_Basic]]=1,"High School",(IF(ifood_data[[#This Row],[education_Graduation]]=1,"Undergraduate Degree",(IF(SUM(AM523,AL523,AI523)&gt;0,"Master's Degree or Higher","Other")))))</f>
        <v>Master's Degree or Higher</v>
      </c>
      <c r="AV523" t="str">
        <f>IF(ifood_data[[#All],[Income]]&gt;75000,"75K+",(IF(ifood_data[[#All],[Income]]&gt;50000,"50K-75K",(IF(ifood_data[[#All],[Income]]&gt;35000,"35K-50K","&lt;35K")))))</f>
        <v>50K-75K</v>
      </c>
      <c r="AW523" t="str">
        <f>IF(ifood_data[[#All],[Age]]&gt;60,"60+",(IF(ifood_data[[#All],[Age]]&gt;50,"50-60",(IF(ifood_data[[#All],[Age]]&gt;40,"40-50",(IF(ifood_data[[#All],[Age]]&gt;30,"30-40","&lt;30")))))))</f>
        <v>40-50</v>
      </c>
      <c r="AX523">
        <f t="shared" si="32"/>
        <v>30</v>
      </c>
      <c r="AY523">
        <f t="shared" si="33"/>
        <v>9</v>
      </c>
      <c r="AZ523">
        <f t="shared" si="34"/>
        <v>8</v>
      </c>
      <c r="BA523">
        <f t="shared" si="35"/>
        <v>6</v>
      </c>
      <c r="BB523">
        <f>SUM(ifood_data[[#This Row],[Recency Score]:[Monetary Score]])</f>
        <v>23</v>
      </c>
      <c r="BC523">
        <f>(_xlfn.PERCENTRANK.INC(ifood_data[[#All],[RFM]],ifood_data[[#This Row],[RFM]],1))*10</f>
        <v>8</v>
      </c>
      <c r="BD523" t="str">
        <f>VLOOKUP(ifood_data[[#This Row],[RFM Score]],'RFM Analysis'!$A$3:$B$14,2,FALSE)</f>
        <v>Loyal Customer</v>
      </c>
      <c r="BE523">
        <f>'Regression Models'!$B$101+'Regression Models'!$B$102*ifood_data[[#This Row],[Income]]+'Regression Models'!$B$103*ifood_data[[#This Row],[Age]]+'Regression Models'!$B$104*ifood_data[[#This Row],[Family]]</f>
        <v>890.36213130732551</v>
      </c>
      <c r="BF523" t="str">
        <f>IF(ifood_data[[#This Row],[AcceptedCmpOverall]]=1,"Campaign Respondent","Non-respondent")</f>
        <v>Non-respondent</v>
      </c>
    </row>
    <row r="524" spans="1:58" x14ac:dyDescent="0.35">
      <c r="A524">
        <v>855</v>
      </c>
      <c r="B524">
        <v>57100</v>
      </c>
      <c r="C524">
        <v>0</v>
      </c>
      <c r="D524">
        <v>0</v>
      </c>
      <c r="E524">
        <v>19</v>
      </c>
      <c r="F524">
        <v>181</v>
      </c>
      <c r="G524">
        <v>21</v>
      </c>
      <c r="H524">
        <v>69</v>
      </c>
      <c r="I524">
        <v>39</v>
      </c>
      <c r="J524">
        <v>3</v>
      </c>
      <c r="K524">
        <v>96</v>
      </c>
      <c r="L524">
        <v>1</v>
      </c>
      <c r="M524">
        <v>3</v>
      </c>
      <c r="N524">
        <v>3</v>
      </c>
      <c r="O524">
        <v>6</v>
      </c>
      <c r="P524">
        <v>3</v>
      </c>
      <c r="Q524">
        <v>0</v>
      </c>
      <c r="R524">
        <v>0</v>
      </c>
      <c r="S524">
        <v>0</v>
      </c>
      <c r="T524">
        <v>0</v>
      </c>
      <c r="U524">
        <v>0</v>
      </c>
      <c r="V524">
        <f>IF(SUM(ifood_data[[#This Row],[AcceptedCmp1]:[AcceptedCmp5]])&gt;0,1,0)</f>
        <v>0</v>
      </c>
      <c r="W524">
        <v>0</v>
      </c>
      <c r="X524">
        <v>3</v>
      </c>
      <c r="Y524">
        <v>11</v>
      </c>
      <c r="Z524">
        <v>0</v>
      </c>
      <c r="AA524">
        <v>47</v>
      </c>
      <c r="AB524">
        <v>2366</v>
      </c>
      <c r="AC524" s="28">
        <f>ifood_data[[#This Row],[Customer_Days]]/365</f>
        <v>6.4821917808219176</v>
      </c>
      <c r="AD524">
        <v>0</v>
      </c>
      <c r="AE524">
        <v>0</v>
      </c>
      <c r="AF524">
        <v>0</v>
      </c>
      <c r="AG524">
        <v>1</v>
      </c>
      <c r="AH524">
        <v>0</v>
      </c>
      <c r="AI524">
        <v>0</v>
      </c>
      <c r="AJ524">
        <v>0</v>
      </c>
      <c r="AK524">
        <v>1</v>
      </c>
      <c r="AL524">
        <v>0</v>
      </c>
      <c r="AM524">
        <v>0</v>
      </c>
      <c r="AN524">
        <v>313</v>
      </c>
      <c r="AO524">
        <v>217</v>
      </c>
      <c r="AP524">
        <f>ifood_data[[#This Row],[MntTotal]]-ifood_data[[#This Row],[MntRegularProds]]</f>
        <v>96</v>
      </c>
      <c r="AQ524">
        <v>0</v>
      </c>
      <c r="AR524">
        <f>IF(SUM(ifood_data[[#This Row],[Kidhome]:[Teenhome]])&gt;0,1,0)</f>
        <v>0</v>
      </c>
      <c r="AS524" t="str">
        <f>IF(SUM(ifood_data[[#This Row],[Kidhome]:[Teenhome]])&gt;0,"Has Family","No Family")</f>
        <v>No Family</v>
      </c>
      <c r="AT524" t="str">
        <f>IF(ifood_data[[#This Row],[marital_Married]]=1,"Married", (IF(ifood_data[[#This Row],[marital_Single]]=1,"Single",(IF(ifood_data[[#This Row],[marital_Divorced]]=1,"Divorced",(IF(ifood_data[[#This Row],[marital_Together]]=1,"Living Together",(IF(ifood_data[[#This Row],[marital_Widow]]=1,"Widow","Other")))))))))</f>
        <v>Living Together</v>
      </c>
      <c r="AU524" t="str">
        <f>IF(ifood_data[[#This Row],[education_Basic]]=1,"High School",(IF(ifood_data[[#This Row],[education_Graduation]]=1,"Undergraduate Degree",(IF(SUM(AM524,AL524,AI524)&gt;0,"Master's Degree or Higher","Other")))))</f>
        <v>Undergraduate Degree</v>
      </c>
      <c r="AV524" t="str">
        <f>IF(ifood_data[[#All],[Income]]&gt;75000,"75K+",(IF(ifood_data[[#All],[Income]]&gt;50000,"50K-75K",(IF(ifood_data[[#All],[Income]]&gt;35000,"35K-50K","&lt;35K")))))</f>
        <v>50K-75K</v>
      </c>
      <c r="AW524" t="str">
        <f>IF(ifood_data[[#All],[Age]]&gt;60,"60+",(IF(ifood_data[[#All],[Age]]&gt;50,"50-60",(IF(ifood_data[[#All],[Age]]&gt;40,"40-50",(IF(ifood_data[[#All],[Age]]&gt;30,"30-40","&lt;30")))))))</f>
        <v>40-50</v>
      </c>
      <c r="AX524">
        <f t="shared" si="32"/>
        <v>16</v>
      </c>
      <c r="AY524">
        <f t="shared" si="33"/>
        <v>9</v>
      </c>
      <c r="AZ524">
        <f t="shared" si="34"/>
        <v>3</v>
      </c>
      <c r="BA524">
        <f t="shared" si="35"/>
        <v>4</v>
      </c>
      <c r="BB524">
        <f>SUM(ifood_data[[#This Row],[Recency Score]:[Monetary Score]])</f>
        <v>16</v>
      </c>
      <c r="BC524">
        <f>(_xlfn.PERCENTRANK.INC(ifood_data[[#All],[RFM]],ifood_data[[#This Row],[RFM]],1))*10</f>
        <v>5</v>
      </c>
      <c r="BD524" t="str">
        <f>VLOOKUP(ifood_data[[#This Row],[RFM Score]],'RFM Analysis'!$A$3:$B$14,2,FALSE)</f>
        <v>Promising</v>
      </c>
      <c r="BE524">
        <f>'Regression Models'!$B$101+'Regression Models'!$B$102*ifood_data[[#This Row],[Income]]+'Regression Models'!$B$103*ifood_data[[#This Row],[Age]]+'Regression Models'!$B$104*ifood_data[[#This Row],[Family]]</f>
        <v>890.07076803412906</v>
      </c>
      <c r="BF524" t="str">
        <f>IF(ifood_data[[#This Row],[AcceptedCmpOverall]]=1,"Campaign Respondent","Non-respondent")</f>
        <v>Non-respondent</v>
      </c>
    </row>
    <row r="525" spans="1:58" x14ac:dyDescent="0.35">
      <c r="A525">
        <v>1877</v>
      </c>
      <c r="B525">
        <v>71128</v>
      </c>
      <c r="C525">
        <v>1</v>
      </c>
      <c r="D525">
        <v>0</v>
      </c>
      <c r="E525">
        <v>80</v>
      </c>
      <c r="F525">
        <v>958</v>
      </c>
      <c r="G525">
        <v>159</v>
      </c>
      <c r="H525">
        <v>447</v>
      </c>
      <c r="I525">
        <v>20</v>
      </c>
      <c r="J525">
        <v>0</v>
      </c>
      <c r="K525">
        <v>31</v>
      </c>
      <c r="L525">
        <v>3</v>
      </c>
      <c r="M525">
        <v>2</v>
      </c>
      <c r="N525">
        <v>10</v>
      </c>
      <c r="O525">
        <v>12</v>
      </c>
      <c r="P525">
        <v>7</v>
      </c>
      <c r="Q525">
        <v>0</v>
      </c>
      <c r="R525">
        <v>0</v>
      </c>
      <c r="S525">
        <v>0</v>
      </c>
      <c r="T525">
        <v>0</v>
      </c>
      <c r="U525">
        <v>0</v>
      </c>
      <c r="V525">
        <f>IF(SUM(ifood_data[[#This Row],[AcceptedCmp1]:[AcceptedCmp5]])&gt;0,1,0)</f>
        <v>0</v>
      </c>
      <c r="W525">
        <v>0</v>
      </c>
      <c r="X525">
        <v>3</v>
      </c>
      <c r="Y525">
        <v>11</v>
      </c>
      <c r="Z525">
        <v>0</v>
      </c>
      <c r="AA525">
        <v>47</v>
      </c>
      <c r="AB525">
        <v>2790</v>
      </c>
      <c r="AC525" s="28">
        <f>ifood_data[[#This Row],[Customer_Days]]/365</f>
        <v>7.6438356164383565</v>
      </c>
      <c r="AD525">
        <v>1</v>
      </c>
      <c r="AE525">
        <v>0</v>
      </c>
      <c r="AF525">
        <v>0</v>
      </c>
      <c r="AG525">
        <v>0</v>
      </c>
      <c r="AH525">
        <v>0</v>
      </c>
      <c r="AI525">
        <v>0</v>
      </c>
      <c r="AJ525">
        <v>0</v>
      </c>
      <c r="AK525">
        <v>1</v>
      </c>
      <c r="AL525">
        <v>0</v>
      </c>
      <c r="AM525">
        <v>0</v>
      </c>
      <c r="AN525">
        <v>1584</v>
      </c>
      <c r="AO525">
        <v>1553</v>
      </c>
      <c r="AP525">
        <f>ifood_data[[#This Row],[MntTotal]]-ifood_data[[#This Row],[MntRegularProds]]</f>
        <v>31</v>
      </c>
      <c r="AQ525">
        <v>0</v>
      </c>
      <c r="AR525">
        <f>IF(SUM(ifood_data[[#This Row],[Kidhome]:[Teenhome]])&gt;0,1,0)</f>
        <v>1</v>
      </c>
      <c r="AS525" t="str">
        <f>IF(SUM(ifood_data[[#This Row],[Kidhome]:[Teenhome]])&gt;0,"Has Family","No Family")</f>
        <v>Has Family</v>
      </c>
      <c r="AT525" t="str">
        <f>IF(ifood_data[[#This Row],[marital_Married]]=1,"Married", (IF(ifood_data[[#This Row],[marital_Single]]=1,"Single",(IF(ifood_data[[#This Row],[marital_Divorced]]=1,"Divorced",(IF(ifood_data[[#This Row],[marital_Together]]=1,"Living Together",(IF(ifood_data[[#This Row],[marital_Widow]]=1,"Widow","Other")))))))))</f>
        <v>Divorced</v>
      </c>
      <c r="AU525" t="str">
        <f>IF(ifood_data[[#This Row],[education_Basic]]=1,"High School",(IF(ifood_data[[#This Row],[education_Graduation]]=1,"Undergraduate Degree",(IF(SUM(AM525,AL525,AI525)&gt;0,"Master's Degree or Higher","Other")))))</f>
        <v>Undergraduate Degree</v>
      </c>
      <c r="AV525" t="str">
        <f>IF(ifood_data[[#All],[Income]]&gt;75000,"75K+",(IF(ifood_data[[#All],[Income]]&gt;50000,"50K-75K",(IF(ifood_data[[#All],[Income]]&gt;35000,"35K-50K","&lt;35K")))))</f>
        <v>50K-75K</v>
      </c>
      <c r="AW525" t="str">
        <f>IF(ifood_data[[#All],[Age]]&gt;60,"60+",(IF(ifood_data[[#All],[Age]]&gt;50,"50-60",(IF(ifood_data[[#All],[Age]]&gt;40,"40-50",(IF(ifood_data[[#All],[Age]]&gt;30,"30-40","&lt;30")))))))</f>
        <v>40-50</v>
      </c>
      <c r="AX525">
        <f t="shared" si="32"/>
        <v>34</v>
      </c>
      <c r="AY525">
        <f t="shared" si="33"/>
        <v>1.9999999999999996</v>
      </c>
      <c r="AZ525">
        <f t="shared" si="34"/>
        <v>9</v>
      </c>
      <c r="BA525">
        <f t="shared" si="35"/>
        <v>9</v>
      </c>
      <c r="BB525">
        <f>SUM(ifood_data[[#This Row],[Recency Score]:[Monetary Score]])</f>
        <v>20</v>
      </c>
      <c r="BC525">
        <f>(_xlfn.PERCENTRANK.INC(ifood_data[[#All],[RFM]],ifood_data[[#This Row],[RFM]],1))*10</f>
        <v>7</v>
      </c>
      <c r="BD525" t="str">
        <f>VLOOKUP(ifood_data[[#This Row],[RFM Score]],'RFM Analysis'!$A$3:$B$14,2,FALSE)</f>
        <v>Loyal Customer</v>
      </c>
      <c r="BE525">
        <f>'Regression Models'!$B$101+'Regression Models'!$B$102*ifood_data[[#This Row],[Income]]+'Regression Models'!$B$103*ifood_data[[#This Row],[Age]]+'Regression Models'!$B$104*ifood_data[[#This Row],[Family]]</f>
        <v>886.47077648372726</v>
      </c>
      <c r="BF525" t="str">
        <f>IF(ifood_data[[#This Row],[AcceptedCmpOverall]]=1,"Campaign Respondent","Non-respondent")</f>
        <v>Non-respondent</v>
      </c>
    </row>
    <row r="526" spans="1:58" x14ac:dyDescent="0.35">
      <c r="A526">
        <v>1093</v>
      </c>
      <c r="B526">
        <v>56715</v>
      </c>
      <c r="C526">
        <v>0</v>
      </c>
      <c r="D526">
        <v>0</v>
      </c>
      <c r="E526">
        <v>52</v>
      </c>
      <c r="F526">
        <v>258</v>
      </c>
      <c r="G526">
        <v>105</v>
      </c>
      <c r="H526">
        <v>239</v>
      </c>
      <c r="I526">
        <v>237</v>
      </c>
      <c r="J526">
        <v>172</v>
      </c>
      <c r="K526">
        <v>9</v>
      </c>
      <c r="L526">
        <v>1</v>
      </c>
      <c r="M526">
        <v>7</v>
      </c>
      <c r="N526">
        <v>3</v>
      </c>
      <c r="O526">
        <v>4</v>
      </c>
      <c r="P526">
        <v>4</v>
      </c>
      <c r="Q526">
        <v>0</v>
      </c>
      <c r="R526">
        <v>0</v>
      </c>
      <c r="S526">
        <v>0</v>
      </c>
      <c r="T526">
        <v>0</v>
      </c>
      <c r="U526">
        <v>0</v>
      </c>
      <c r="V526">
        <f>IF(SUM(ifood_data[[#This Row],[AcceptedCmp1]:[AcceptedCmp5]])&gt;0,1,0)</f>
        <v>0</v>
      </c>
      <c r="W526">
        <v>0</v>
      </c>
      <c r="X526">
        <v>3</v>
      </c>
      <c r="Y526">
        <v>11</v>
      </c>
      <c r="Z526">
        <v>0</v>
      </c>
      <c r="AA526">
        <v>46</v>
      </c>
      <c r="AB526">
        <v>2730</v>
      </c>
      <c r="AC526" s="28">
        <f>ifood_data[[#This Row],[Customer_Days]]/365</f>
        <v>7.4794520547945202</v>
      </c>
      <c r="AD526">
        <v>0</v>
      </c>
      <c r="AE526">
        <v>0</v>
      </c>
      <c r="AF526">
        <v>0</v>
      </c>
      <c r="AG526">
        <v>1</v>
      </c>
      <c r="AH526">
        <v>0</v>
      </c>
      <c r="AI526">
        <v>0</v>
      </c>
      <c r="AJ526">
        <v>0</v>
      </c>
      <c r="AK526">
        <v>1</v>
      </c>
      <c r="AL526">
        <v>0</v>
      </c>
      <c r="AM526">
        <v>0</v>
      </c>
      <c r="AN526">
        <v>1011</v>
      </c>
      <c r="AO526">
        <v>1002</v>
      </c>
      <c r="AP526">
        <f>ifood_data[[#This Row],[MntTotal]]-ifood_data[[#This Row],[MntRegularProds]]</f>
        <v>9</v>
      </c>
      <c r="AQ526">
        <v>0</v>
      </c>
      <c r="AR526">
        <f>IF(SUM(ifood_data[[#This Row],[Kidhome]:[Teenhome]])&gt;0,1,0)</f>
        <v>0</v>
      </c>
      <c r="AS526" t="str">
        <f>IF(SUM(ifood_data[[#This Row],[Kidhome]:[Teenhome]])&gt;0,"Has Family","No Family")</f>
        <v>No Family</v>
      </c>
      <c r="AT526" t="str">
        <f>IF(ifood_data[[#This Row],[marital_Married]]=1,"Married", (IF(ifood_data[[#This Row],[marital_Single]]=1,"Single",(IF(ifood_data[[#This Row],[marital_Divorced]]=1,"Divorced",(IF(ifood_data[[#This Row],[marital_Together]]=1,"Living Together",(IF(ifood_data[[#This Row],[marital_Widow]]=1,"Widow","Other")))))))))</f>
        <v>Living Together</v>
      </c>
      <c r="AU526" t="str">
        <f>IF(ifood_data[[#This Row],[education_Basic]]=1,"High School",(IF(ifood_data[[#This Row],[education_Graduation]]=1,"Undergraduate Degree",(IF(SUM(AM526,AL526,AI526)&gt;0,"Master's Degree or Higher","Other")))))</f>
        <v>Undergraduate Degree</v>
      </c>
      <c r="AV526" t="str">
        <f>IF(ifood_data[[#All],[Income]]&gt;75000,"75K+",(IF(ifood_data[[#All],[Income]]&gt;50000,"50K-75K",(IF(ifood_data[[#All],[Income]]&gt;35000,"35K-50K","&lt;35K")))))</f>
        <v>50K-75K</v>
      </c>
      <c r="AW526" t="str">
        <f>IF(ifood_data[[#All],[Age]]&gt;60,"60+",(IF(ifood_data[[#All],[Age]]&gt;50,"50-60",(IF(ifood_data[[#All],[Age]]&gt;40,"40-50",(IF(ifood_data[[#All],[Age]]&gt;30,"30-40","&lt;30")))))))</f>
        <v>40-50</v>
      </c>
      <c r="AX526">
        <f t="shared" si="32"/>
        <v>19</v>
      </c>
      <c r="AY526">
        <f t="shared" si="33"/>
        <v>5</v>
      </c>
      <c r="AZ526">
        <f t="shared" si="34"/>
        <v>4</v>
      </c>
      <c r="BA526">
        <f t="shared" si="35"/>
        <v>7</v>
      </c>
      <c r="BB526">
        <f>SUM(ifood_data[[#This Row],[Recency Score]:[Monetary Score]])</f>
        <v>16</v>
      </c>
      <c r="BC526">
        <f>(_xlfn.PERCENTRANK.INC(ifood_data[[#All],[RFM]],ifood_data[[#This Row],[RFM]],1))*10</f>
        <v>5</v>
      </c>
      <c r="BD526" t="str">
        <f>VLOOKUP(ifood_data[[#This Row],[RFM Score]],'RFM Analysis'!$A$3:$B$14,2,FALSE)</f>
        <v>Promising</v>
      </c>
      <c r="BE526">
        <f>'Regression Models'!$B$101+'Regression Models'!$B$102*ifood_data[[#This Row],[Income]]+'Regression Models'!$B$103*ifood_data[[#This Row],[Age]]+'Regression Models'!$B$104*ifood_data[[#This Row],[Family]]</f>
        <v>884.05753137762213</v>
      </c>
      <c r="BF526" t="str">
        <f>IF(ifood_data[[#This Row],[AcceptedCmpOverall]]=1,"Campaign Respondent","Non-respondent")</f>
        <v>Non-respondent</v>
      </c>
    </row>
    <row r="527" spans="1:58" x14ac:dyDescent="0.35">
      <c r="A527">
        <v>1</v>
      </c>
      <c r="B527">
        <v>58138</v>
      </c>
      <c r="C527">
        <v>0</v>
      </c>
      <c r="D527">
        <v>0</v>
      </c>
      <c r="E527">
        <v>58</v>
      </c>
      <c r="F527">
        <v>635</v>
      </c>
      <c r="G527">
        <v>88</v>
      </c>
      <c r="H527">
        <v>546</v>
      </c>
      <c r="I527">
        <v>172</v>
      </c>
      <c r="J527">
        <v>88</v>
      </c>
      <c r="K527">
        <v>88</v>
      </c>
      <c r="L527">
        <v>3</v>
      </c>
      <c r="M527">
        <v>8</v>
      </c>
      <c r="N527">
        <v>10</v>
      </c>
      <c r="O527">
        <v>4</v>
      </c>
      <c r="P527">
        <v>7</v>
      </c>
      <c r="Q527">
        <v>0</v>
      </c>
      <c r="R527">
        <v>0</v>
      </c>
      <c r="S527">
        <v>0</v>
      </c>
      <c r="T527">
        <v>0</v>
      </c>
      <c r="U527">
        <v>0</v>
      </c>
      <c r="V527">
        <f>IF(SUM(ifood_data[[#This Row],[AcceptedCmp1]:[AcceptedCmp5]])&gt;0,1,0)</f>
        <v>0</v>
      </c>
      <c r="W527">
        <v>0</v>
      </c>
      <c r="X527">
        <v>3</v>
      </c>
      <c r="Y527">
        <v>11</v>
      </c>
      <c r="Z527">
        <v>1</v>
      </c>
      <c r="AA527">
        <v>63</v>
      </c>
      <c r="AB527">
        <v>2822</v>
      </c>
      <c r="AC527" s="28">
        <f>ifood_data[[#This Row],[Customer_Days]]/365</f>
        <v>7.7315068493150685</v>
      </c>
      <c r="AD527">
        <v>0</v>
      </c>
      <c r="AE527">
        <v>0</v>
      </c>
      <c r="AF527">
        <v>1</v>
      </c>
      <c r="AG527">
        <v>0</v>
      </c>
      <c r="AH527">
        <v>0</v>
      </c>
      <c r="AI527">
        <v>0</v>
      </c>
      <c r="AJ527">
        <v>0</v>
      </c>
      <c r="AK527">
        <v>1</v>
      </c>
      <c r="AL527">
        <v>0</v>
      </c>
      <c r="AM527">
        <v>0</v>
      </c>
      <c r="AN527">
        <v>1529</v>
      </c>
      <c r="AO527">
        <v>1441</v>
      </c>
      <c r="AP527">
        <f>ifood_data[[#This Row],[MntTotal]]-ifood_data[[#This Row],[MntRegularProds]]</f>
        <v>88</v>
      </c>
      <c r="AQ527">
        <v>0</v>
      </c>
      <c r="AR527">
        <f>IF(SUM(ifood_data[[#This Row],[Kidhome]:[Teenhome]])&gt;0,1,0)</f>
        <v>0</v>
      </c>
      <c r="AS527" t="str">
        <f>IF(SUM(ifood_data[[#This Row],[Kidhome]:[Teenhome]])&gt;0,"Has Family","No Family")</f>
        <v>No Family</v>
      </c>
      <c r="AT527" t="str">
        <f>IF(ifood_data[[#This Row],[marital_Married]]=1,"Married", (IF(ifood_data[[#This Row],[marital_Single]]=1,"Single",(IF(ifood_data[[#This Row],[marital_Divorced]]=1,"Divorced",(IF(ifood_data[[#This Row],[marital_Together]]=1,"Living Together",(IF(ifood_data[[#This Row],[marital_Widow]]=1,"Widow","Other")))))))))</f>
        <v>Single</v>
      </c>
      <c r="AU527" t="str">
        <f>IF(ifood_data[[#This Row],[education_Basic]]=1,"High School",(IF(ifood_data[[#This Row],[education_Graduation]]=1,"Undergraduate Degree",(IF(SUM(AM527,AL527,AI527)&gt;0,"Master's Degree or Higher","Other")))))</f>
        <v>Undergraduate Degree</v>
      </c>
      <c r="AV527" t="str">
        <f>IF(ifood_data[[#All],[Income]]&gt;75000,"75K+",(IF(ifood_data[[#All],[Income]]&gt;50000,"50K-75K",(IF(ifood_data[[#All],[Income]]&gt;35000,"35K-50K","&lt;35K")))))</f>
        <v>50K-75K</v>
      </c>
      <c r="AW527" t="str">
        <f>IF(ifood_data[[#All],[Age]]&gt;60,"60+",(IF(ifood_data[[#All],[Age]]&gt;50,"50-60",(IF(ifood_data[[#All],[Age]]&gt;40,"40-50",(IF(ifood_data[[#All],[Age]]&gt;30,"30-40","&lt;30")))))))</f>
        <v>60+</v>
      </c>
      <c r="AX527">
        <f t="shared" si="32"/>
        <v>32</v>
      </c>
      <c r="AY527">
        <f t="shared" si="33"/>
        <v>5</v>
      </c>
      <c r="AZ527">
        <f t="shared" si="34"/>
        <v>9</v>
      </c>
      <c r="BA527">
        <f t="shared" si="35"/>
        <v>9</v>
      </c>
      <c r="BB527">
        <f>SUM(ifood_data[[#This Row],[Recency Score]:[Monetary Score]])</f>
        <v>23</v>
      </c>
      <c r="BC527">
        <f>(_xlfn.PERCENTRANK.INC(ifood_data[[#All],[RFM]],ifood_data[[#This Row],[RFM]],1))*10</f>
        <v>8</v>
      </c>
      <c r="BD527" t="str">
        <f>VLOOKUP(ifood_data[[#This Row],[RFM Score]],'RFM Analysis'!$A$3:$B$14,2,FALSE)</f>
        <v>Loyal Customer</v>
      </c>
      <c r="BE527">
        <f>'Regression Models'!$B$101+'Regression Models'!$B$102*ifood_data[[#This Row],[Income]]+'Regression Models'!$B$103*ifood_data[[#This Row],[Age]]+'Regression Models'!$B$104*ifood_data[[#This Row],[Family]]</f>
        <v>881.85128410518769</v>
      </c>
      <c r="BF527" t="str">
        <f>IF(ifood_data[[#This Row],[AcceptedCmpOverall]]=1,"Campaign Respondent","Non-respondent")</f>
        <v>Non-respondent</v>
      </c>
    </row>
    <row r="528" spans="1:58" x14ac:dyDescent="0.35">
      <c r="A528">
        <v>1752</v>
      </c>
      <c r="B528">
        <v>70932</v>
      </c>
      <c r="C528">
        <v>0</v>
      </c>
      <c r="D528">
        <v>1</v>
      </c>
      <c r="E528">
        <v>57</v>
      </c>
      <c r="F528">
        <v>200</v>
      </c>
      <c r="G528">
        <v>193</v>
      </c>
      <c r="H528">
        <v>100</v>
      </c>
      <c r="I528">
        <v>46</v>
      </c>
      <c r="J528">
        <v>185</v>
      </c>
      <c r="K528">
        <v>185</v>
      </c>
      <c r="L528">
        <v>2</v>
      </c>
      <c r="M528">
        <v>6</v>
      </c>
      <c r="N528">
        <v>2</v>
      </c>
      <c r="O528">
        <v>12</v>
      </c>
      <c r="P528">
        <v>3</v>
      </c>
      <c r="Q528">
        <v>0</v>
      </c>
      <c r="R528">
        <v>0</v>
      </c>
      <c r="S528">
        <v>0</v>
      </c>
      <c r="T528">
        <v>0</v>
      </c>
      <c r="U528">
        <v>0</v>
      </c>
      <c r="V528">
        <f>IF(SUM(ifood_data[[#This Row],[AcceptedCmp1]:[AcceptedCmp5]])&gt;0,1,0)</f>
        <v>0</v>
      </c>
      <c r="W528">
        <v>0</v>
      </c>
      <c r="X528">
        <v>3</v>
      </c>
      <c r="Y528">
        <v>11</v>
      </c>
      <c r="Z528">
        <v>0</v>
      </c>
      <c r="AA528">
        <v>48</v>
      </c>
      <c r="AB528">
        <v>2320</v>
      </c>
      <c r="AC528" s="28">
        <f>ifood_data[[#This Row],[Customer_Days]]/365</f>
        <v>6.3561643835616435</v>
      </c>
      <c r="AD528">
        <v>0</v>
      </c>
      <c r="AE528">
        <v>1</v>
      </c>
      <c r="AF528">
        <v>0</v>
      </c>
      <c r="AG528">
        <v>0</v>
      </c>
      <c r="AH528">
        <v>0</v>
      </c>
      <c r="AI528">
        <v>1</v>
      </c>
      <c r="AJ528">
        <v>0</v>
      </c>
      <c r="AK528">
        <v>0</v>
      </c>
      <c r="AL528">
        <v>0</v>
      </c>
      <c r="AM528">
        <v>0</v>
      </c>
      <c r="AN528">
        <v>724</v>
      </c>
      <c r="AO528">
        <v>539</v>
      </c>
      <c r="AP528">
        <f>ifood_data[[#This Row],[MntTotal]]-ifood_data[[#This Row],[MntRegularProds]]</f>
        <v>185</v>
      </c>
      <c r="AQ528">
        <v>0</v>
      </c>
      <c r="AR528">
        <f>IF(SUM(ifood_data[[#This Row],[Kidhome]:[Teenhome]])&gt;0,1,0)</f>
        <v>1</v>
      </c>
      <c r="AS528" t="str">
        <f>IF(SUM(ifood_data[[#This Row],[Kidhome]:[Teenhome]])&gt;0,"Has Family","No Family")</f>
        <v>Has Family</v>
      </c>
      <c r="AT528" t="str">
        <f>IF(ifood_data[[#This Row],[marital_Married]]=1,"Married", (IF(ifood_data[[#This Row],[marital_Single]]=1,"Single",(IF(ifood_data[[#This Row],[marital_Divorced]]=1,"Divorced",(IF(ifood_data[[#This Row],[marital_Together]]=1,"Living Together",(IF(ifood_data[[#This Row],[marital_Widow]]=1,"Widow","Other")))))))))</f>
        <v>Married</v>
      </c>
      <c r="AU528" t="str">
        <f>IF(ifood_data[[#This Row],[education_Basic]]=1,"High School",(IF(ifood_data[[#This Row],[education_Graduation]]=1,"Undergraduate Degree",(IF(SUM(AM528,AL528,AI528)&gt;0,"Master's Degree or Higher","Other")))))</f>
        <v>Master's Degree or Higher</v>
      </c>
      <c r="AV528" t="str">
        <f>IF(ifood_data[[#All],[Income]]&gt;75000,"75K+",(IF(ifood_data[[#All],[Income]]&gt;50000,"50K-75K",(IF(ifood_data[[#All],[Income]]&gt;35000,"35K-50K","&lt;35K")))))</f>
        <v>50K-75K</v>
      </c>
      <c r="AW528" t="str">
        <f>IF(ifood_data[[#All],[Age]]&gt;60,"60+",(IF(ifood_data[[#All],[Age]]&gt;50,"50-60",(IF(ifood_data[[#All],[Age]]&gt;40,"40-50",(IF(ifood_data[[#All],[Age]]&gt;30,"30-40","&lt;30")))))))</f>
        <v>40-50</v>
      </c>
      <c r="AX528">
        <f t="shared" si="32"/>
        <v>25</v>
      </c>
      <c r="AY528">
        <f t="shared" si="33"/>
        <v>5</v>
      </c>
      <c r="AZ528">
        <f t="shared" si="34"/>
        <v>7</v>
      </c>
      <c r="BA528">
        <f t="shared" si="35"/>
        <v>6</v>
      </c>
      <c r="BB528">
        <f>SUM(ifood_data[[#This Row],[Recency Score]:[Monetary Score]])</f>
        <v>18</v>
      </c>
      <c r="BC528">
        <f>(_xlfn.PERCENTRANK.INC(ifood_data[[#All],[RFM]],ifood_data[[#This Row],[RFM]],1))*10</f>
        <v>6</v>
      </c>
      <c r="BD528" t="str">
        <f>VLOOKUP(ifood_data[[#This Row],[RFM Score]],'RFM Analysis'!$A$3:$B$14,2,FALSE)</f>
        <v>Promising</v>
      </c>
      <c r="BE528">
        <f>'Regression Models'!$B$101+'Regression Models'!$B$102*ifood_data[[#This Row],[Income]]+'Regression Models'!$B$103*ifood_data[[#This Row],[Age]]+'Regression Models'!$B$104*ifood_data[[#This Row],[Family]]</f>
        <v>880.63813884862896</v>
      </c>
      <c r="BF528" t="str">
        <f>IF(ifood_data[[#This Row],[AcceptedCmpOverall]]=1,"Campaign Respondent","Non-respondent")</f>
        <v>Non-respondent</v>
      </c>
    </row>
    <row r="529" spans="1:58" x14ac:dyDescent="0.35">
      <c r="A529">
        <v>46</v>
      </c>
      <c r="B529">
        <v>72550</v>
      </c>
      <c r="C529">
        <v>1</v>
      </c>
      <c r="D529">
        <v>1</v>
      </c>
      <c r="E529">
        <v>39</v>
      </c>
      <c r="F529">
        <v>826</v>
      </c>
      <c r="G529">
        <v>50</v>
      </c>
      <c r="H529">
        <v>317</v>
      </c>
      <c r="I529">
        <v>50</v>
      </c>
      <c r="J529">
        <v>38</v>
      </c>
      <c r="K529">
        <v>38</v>
      </c>
      <c r="L529">
        <v>9</v>
      </c>
      <c r="M529">
        <v>5</v>
      </c>
      <c r="N529">
        <v>2</v>
      </c>
      <c r="O529">
        <v>12</v>
      </c>
      <c r="P529">
        <v>8</v>
      </c>
      <c r="Q529">
        <v>0</v>
      </c>
      <c r="R529">
        <v>0</v>
      </c>
      <c r="S529">
        <v>0</v>
      </c>
      <c r="T529">
        <v>0</v>
      </c>
      <c r="U529">
        <v>0</v>
      </c>
      <c r="V529">
        <f>IF(SUM(ifood_data[[#This Row],[AcceptedCmp1]:[AcceptedCmp5]])&gt;0,1,0)</f>
        <v>0</v>
      </c>
      <c r="W529">
        <v>0</v>
      </c>
      <c r="X529">
        <v>3</v>
      </c>
      <c r="Y529">
        <v>11</v>
      </c>
      <c r="Z529">
        <v>0</v>
      </c>
      <c r="AA529">
        <v>66</v>
      </c>
      <c r="AB529">
        <v>2757</v>
      </c>
      <c r="AC529" s="28">
        <f>ifood_data[[#This Row],[Customer_Days]]/365</f>
        <v>7.5534246575342463</v>
      </c>
      <c r="AD529">
        <v>0</v>
      </c>
      <c r="AE529">
        <v>1</v>
      </c>
      <c r="AF529">
        <v>0</v>
      </c>
      <c r="AG529">
        <v>0</v>
      </c>
      <c r="AH529">
        <v>0</v>
      </c>
      <c r="AI529">
        <v>0</v>
      </c>
      <c r="AJ529">
        <v>0</v>
      </c>
      <c r="AK529">
        <v>0</v>
      </c>
      <c r="AL529">
        <v>0</v>
      </c>
      <c r="AM529">
        <v>1</v>
      </c>
      <c r="AN529">
        <v>1281</v>
      </c>
      <c r="AO529">
        <v>1243</v>
      </c>
      <c r="AP529">
        <f>ifood_data[[#This Row],[MntTotal]]-ifood_data[[#This Row],[MntRegularProds]]</f>
        <v>38</v>
      </c>
      <c r="AQ529">
        <v>0</v>
      </c>
      <c r="AR529">
        <f>IF(SUM(ifood_data[[#This Row],[Kidhome]:[Teenhome]])&gt;0,1,0)</f>
        <v>1</v>
      </c>
      <c r="AS529" t="str">
        <f>IF(SUM(ifood_data[[#This Row],[Kidhome]:[Teenhome]])&gt;0,"Has Family","No Family")</f>
        <v>Has Family</v>
      </c>
      <c r="AT529" t="str">
        <f>IF(ifood_data[[#This Row],[marital_Married]]=1,"Married", (IF(ifood_data[[#This Row],[marital_Single]]=1,"Single",(IF(ifood_data[[#This Row],[marital_Divorced]]=1,"Divorced",(IF(ifood_data[[#This Row],[marital_Together]]=1,"Living Together",(IF(ifood_data[[#This Row],[marital_Widow]]=1,"Widow","Other")))))))))</f>
        <v>Married</v>
      </c>
      <c r="AU529" t="str">
        <f>IF(ifood_data[[#This Row],[education_Basic]]=1,"High School",(IF(ifood_data[[#This Row],[education_Graduation]]=1,"Undergraduate Degree",(IF(SUM(AM529,AL529,AI529)&gt;0,"Master's Degree or Higher","Other")))))</f>
        <v>Master's Degree or Higher</v>
      </c>
      <c r="AV529" t="str">
        <f>IF(ifood_data[[#All],[Income]]&gt;75000,"75K+",(IF(ifood_data[[#All],[Income]]&gt;50000,"50K-75K",(IF(ifood_data[[#All],[Income]]&gt;35000,"35K-50K","&lt;35K")))))</f>
        <v>50K-75K</v>
      </c>
      <c r="AW529" t="str">
        <f>IF(ifood_data[[#All],[Age]]&gt;60,"60+",(IF(ifood_data[[#All],[Age]]&gt;50,"50-60",(IF(ifood_data[[#All],[Age]]&gt;40,"40-50",(IF(ifood_data[[#All],[Age]]&gt;30,"30-40","&lt;30")))))))</f>
        <v>60+</v>
      </c>
      <c r="AX529">
        <f t="shared" si="32"/>
        <v>36</v>
      </c>
      <c r="AY529">
        <f t="shared" si="33"/>
        <v>7</v>
      </c>
      <c r="AZ529">
        <f t="shared" si="34"/>
        <v>9</v>
      </c>
      <c r="BA529">
        <f t="shared" si="35"/>
        <v>8</v>
      </c>
      <c r="BB529">
        <f>SUM(ifood_data[[#This Row],[Recency Score]:[Monetary Score]])</f>
        <v>24</v>
      </c>
      <c r="BC529">
        <f>(_xlfn.PERCENTRANK.INC(ifood_data[[#All],[RFM]],ifood_data[[#This Row],[RFM]],1))*10</f>
        <v>9</v>
      </c>
      <c r="BD529" t="str">
        <f>VLOOKUP(ifood_data[[#This Row],[RFM Score]],'RFM Analysis'!$A$3:$B$14,2,FALSE)</f>
        <v>Top Customer</v>
      </c>
      <c r="BE529">
        <f>'Regression Models'!$B$101+'Regression Models'!$B$102*ifood_data[[#This Row],[Income]]+'Regression Models'!$B$103*ifood_data[[#This Row],[Age]]+'Regression Models'!$B$104*ifood_data[[#This Row],[Family]]</f>
        <v>880.57126228536015</v>
      </c>
      <c r="BF529" t="str">
        <f>IF(ifood_data[[#This Row],[AcceptedCmpOverall]]=1,"Campaign Respondent","Non-respondent")</f>
        <v>Non-respondent</v>
      </c>
    </row>
    <row r="530" spans="1:58" x14ac:dyDescent="0.35">
      <c r="A530">
        <v>674</v>
      </c>
      <c r="B530">
        <v>58398</v>
      </c>
      <c r="C530">
        <v>0</v>
      </c>
      <c r="D530">
        <v>0</v>
      </c>
      <c r="E530">
        <v>44</v>
      </c>
      <c r="F530">
        <v>299</v>
      </c>
      <c r="G530">
        <v>5</v>
      </c>
      <c r="H530">
        <v>201</v>
      </c>
      <c r="I530">
        <v>21</v>
      </c>
      <c r="J530">
        <v>21</v>
      </c>
      <c r="K530">
        <v>49</v>
      </c>
      <c r="L530">
        <v>3</v>
      </c>
      <c r="M530">
        <v>5</v>
      </c>
      <c r="N530">
        <v>4</v>
      </c>
      <c r="O530">
        <v>8</v>
      </c>
      <c r="P530">
        <v>4</v>
      </c>
      <c r="Q530">
        <v>0</v>
      </c>
      <c r="R530">
        <v>0</v>
      </c>
      <c r="S530">
        <v>0</v>
      </c>
      <c r="T530">
        <v>0</v>
      </c>
      <c r="U530">
        <v>0</v>
      </c>
      <c r="V530">
        <f>IF(SUM(ifood_data[[#This Row],[AcceptedCmp1]:[AcceptedCmp5]])&gt;0,1,0)</f>
        <v>0</v>
      </c>
      <c r="W530">
        <v>0</v>
      </c>
      <c r="X530">
        <v>3</v>
      </c>
      <c r="Y530">
        <v>11</v>
      </c>
      <c r="Z530">
        <v>0</v>
      </c>
      <c r="AA530">
        <v>67</v>
      </c>
      <c r="AB530">
        <v>2570</v>
      </c>
      <c r="AC530" s="28">
        <f>ifood_data[[#This Row],[Customer_Days]]/365</f>
        <v>7.0410958904109586</v>
      </c>
      <c r="AD530">
        <v>0</v>
      </c>
      <c r="AE530">
        <v>0</v>
      </c>
      <c r="AF530">
        <v>0</v>
      </c>
      <c r="AG530">
        <v>1</v>
      </c>
      <c r="AH530">
        <v>0</v>
      </c>
      <c r="AI530">
        <v>0</v>
      </c>
      <c r="AJ530">
        <v>0</v>
      </c>
      <c r="AK530">
        <v>1</v>
      </c>
      <c r="AL530">
        <v>0</v>
      </c>
      <c r="AM530">
        <v>0</v>
      </c>
      <c r="AN530">
        <v>547</v>
      </c>
      <c r="AO530">
        <v>498</v>
      </c>
      <c r="AP530">
        <f>ifood_data[[#This Row],[MntTotal]]-ifood_data[[#This Row],[MntRegularProds]]</f>
        <v>49</v>
      </c>
      <c r="AQ530">
        <v>0</v>
      </c>
      <c r="AR530">
        <f>IF(SUM(ifood_data[[#This Row],[Kidhome]:[Teenhome]])&gt;0,1,0)</f>
        <v>0</v>
      </c>
      <c r="AS530" t="str">
        <f>IF(SUM(ifood_data[[#This Row],[Kidhome]:[Teenhome]])&gt;0,"Has Family","No Family")</f>
        <v>No Family</v>
      </c>
      <c r="AT530" t="str">
        <f>IF(ifood_data[[#This Row],[marital_Married]]=1,"Married", (IF(ifood_data[[#This Row],[marital_Single]]=1,"Single",(IF(ifood_data[[#This Row],[marital_Divorced]]=1,"Divorced",(IF(ifood_data[[#This Row],[marital_Together]]=1,"Living Together",(IF(ifood_data[[#This Row],[marital_Widow]]=1,"Widow","Other")))))))))</f>
        <v>Living Together</v>
      </c>
      <c r="AU530" t="str">
        <f>IF(ifood_data[[#This Row],[education_Basic]]=1,"High School",(IF(ifood_data[[#This Row],[education_Graduation]]=1,"Undergraduate Degree",(IF(SUM(AM530,AL530,AI530)&gt;0,"Master's Degree or Higher","Other")))))</f>
        <v>Undergraduate Degree</v>
      </c>
      <c r="AV530" t="str">
        <f>IF(ifood_data[[#All],[Income]]&gt;75000,"75K+",(IF(ifood_data[[#All],[Income]]&gt;50000,"50K-75K",(IF(ifood_data[[#All],[Income]]&gt;35000,"35K-50K","&lt;35K")))))</f>
        <v>50K-75K</v>
      </c>
      <c r="AW530" t="str">
        <f>IF(ifood_data[[#All],[Age]]&gt;60,"60+",(IF(ifood_data[[#All],[Age]]&gt;50,"50-60",(IF(ifood_data[[#All],[Age]]&gt;40,"40-50",(IF(ifood_data[[#All],[Age]]&gt;30,"30-40","&lt;30")))))))</f>
        <v>60+</v>
      </c>
      <c r="AX530">
        <f t="shared" si="32"/>
        <v>24</v>
      </c>
      <c r="AY530">
        <f t="shared" si="33"/>
        <v>6</v>
      </c>
      <c r="AZ530">
        <f t="shared" si="34"/>
        <v>6</v>
      </c>
      <c r="BA530">
        <f t="shared" si="35"/>
        <v>5</v>
      </c>
      <c r="BB530">
        <f>SUM(ifood_data[[#This Row],[Recency Score]:[Monetary Score]])</f>
        <v>17</v>
      </c>
      <c r="BC530">
        <f>(_xlfn.PERCENTRANK.INC(ifood_data[[#All],[RFM]],ifood_data[[#This Row],[RFM]],1))*10</f>
        <v>6</v>
      </c>
      <c r="BD530" t="str">
        <f>VLOOKUP(ifood_data[[#This Row],[RFM Score]],'RFM Analysis'!$A$3:$B$14,2,FALSE)</f>
        <v>Promising</v>
      </c>
      <c r="BE530">
        <f>'Regression Models'!$B$101+'Regression Models'!$B$102*ifood_data[[#This Row],[Income]]+'Regression Models'!$B$103*ifood_data[[#This Row],[Age]]+'Regression Models'!$B$104*ifood_data[[#This Row],[Family]]</f>
        <v>879.80660750702441</v>
      </c>
      <c r="BF530" t="str">
        <f>IF(ifood_data[[#This Row],[AcceptedCmpOverall]]=1,"Campaign Respondent","Non-respondent")</f>
        <v>Non-respondent</v>
      </c>
    </row>
    <row r="531" spans="1:58" x14ac:dyDescent="0.35">
      <c r="A531">
        <v>1518</v>
      </c>
      <c r="B531">
        <v>57136</v>
      </c>
      <c r="C531">
        <v>0</v>
      </c>
      <c r="D531">
        <v>0</v>
      </c>
      <c r="E531">
        <v>18</v>
      </c>
      <c r="F531">
        <v>267</v>
      </c>
      <c r="G531">
        <v>140</v>
      </c>
      <c r="H531">
        <v>599</v>
      </c>
      <c r="I531">
        <v>34</v>
      </c>
      <c r="J531">
        <v>12</v>
      </c>
      <c r="K531">
        <v>127</v>
      </c>
      <c r="L531">
        <v>1</v>
      </c>
      <c r="M531">
        <v>7</v>
      </c>
      <c r="N531">
        <v>5</v>
      </c>
      <c r="O531">
        <v>7</v>
      </c>
      <c r="P531">
        <v>6</v>
      </c>
      <c r="Q531">
        <v>0</v>
      </c>
      <c r="R531">
        <v>0</v>
      </c>
      <c r="S531">
        <v>0</v>
      </c>
      <c r="T531">
        <v>0</v>
      </c>
      <c r="U531">
        <v>0</v>
      </c>
      <c r="V531">
        <f>IF(SUM(ifood_data[[#This Row],[AcceptedCmp1]:[AcceptedCmp5]])&gt;0,1,0)</f>
        <v>0</v>
      </c>
      <c r="W531">
        <v>0</v>
      </c>
      <c r="X531">
        <v>3</v>
      </c>
      <c r="Y531">
        <v>11</v>
      </c>
      <c r="Z531">
        <v>1</v>
      </c>
      <c r="AA531">
        <v>53</v>
      </c>
      <c r="AB531">
        <v>2566</v>
      </c>
      <c r="AC531" s="28">
        <f>ifood_data[[#This Row],[Customer_Days]]/365</f>
        <v>7.0301369863013701</v>
      </c>
      <c r="AD531">
        <v>1</v>
      </c>
      <c r="AE531">
        <v>0</v>
      </c>
      <c r="AF531">
        <v>0</v>
      </c>
      <c r="AG531">
        <v>0</v>
      </c>
      <c r="AH531">
        <v>0</v>
      </c>
      <c r="AI531">
        <v>0</v>
      </c>
      <c r="AJ531">
        <v>0</v>
      </c>
      <c r="AK531">
        <v>1</v>
      </c>
      <c r="AL531">
        <v>0</v>
      </c>
      <c r="AM531">
        <v>0</v>
      </c>
      <c r="AN531">
        <v>1052</v>
      </c>
      <c r="AO531">
        <v>925</v>
      </c>
      <c r="AP531">
        <f>ifood_data[[#This Row],[MntTotal]]-ifood_data[[#This Row],[MntRegularProds]]</f>
        <v>127</v>
      </c>
      <c r="AQ531">
        <v>0</v>
      </c>
      <c r="AR531">
        <f>IF(SUM(ifood_data[[#This Row],[Kidhome]:[Teenhome]])&gt;0,1,0)</f>
        <v>0</v>
      </c>
      <c r="AS531" t="str">
        <f>IF(SUM(ifood_data[[#This Row],[Kidhome]:[Teenhome]])&gt;0,"Has Family","No Family")</f>
        <v>No Family</v>
      </c>
      <c r="AT531" t="str">
        <f>IF(ifood_data[[#This Row],[marital_Married]]=1,"Married", (IF(ifood_data[[#This Row],[marital_Single]]=1,"Single",(IF(ifood_data[[#This Row],[marital_Divorced]]=1,"Divorced",(IF(ifood_data[[#This Row],[marital_Together]]=1,"Living Together",(IF(ifood_data[[#This Row],[marital_Widow]]=1,"Widow","Other")))))))))</f>
        <v>Divorced</v>
      </c>
      <c r="AU531" t="str">
        <f>IF(ifood_data[[#This Row],[education_Basic]]=1,"High School",(IF(ifood_data[[#This Row],[education_Graduation]]=1,"Undergraduate Degree",(IF(SUM(AM531,AL531,AI531)&gt;0,"Master's Degree or Higher","Other")))))</f>
        <v>Undergraduate Degree</v>
      </c>
      <c r="AV531" t="str">
        <f>IF(ifood_data[[#All],[Income]]&gt;75000,"75K+",(IF(ifood_data[[#All],[Income]]&gt;50000,"50K-75K",(IF(ifood_data[[#All],[Income]]&gt;35000,"35K-50K","&lt;35K")))))</f>
        <v>50K-75K</v>
      </c>
      <c r="AW531" t="str">
        <f>IF(ifood_data[[#All],[Age]]&gt;60,"60+",(IF(ifood_data[[#All],[Age]]&gt;50,"50-60",(IF(ifood_data[[#All],[Age]]&gt;40,"40-50",(IF(ifood_data[[#All],[Age]]&gt;30,"30-40","&lt;30")))))))</f>
        <v>50-60</v>
      </c>
      <c r="AX531">
        <f t="shared" si="32"/>
        <v>26</v>
      </c>
      <c r="AY531">
        <f t="shared" si="33"/>
        <v>9</v>
      </c>
      <c r="AZ531">
        <f t="shared" si="34"/>
        <v>7</v>
      </c>
      <c r="BA531">
        <f t="shared" si="35"/>
        <v>7</v>
      </c>
      <c r="BB531">
        <f>SUM(ifood_data[[#This Row],[Recency Score]:[Monetary Score]])</f>
        <v>23</v>
      </c>
      <c r="BC531">
        <f>(_xlfn.PERCENTRANK.INC(ifood_data[[#All],[RFM]],ifood_data[[#This Row],[RFM]],1))*10</f>
        <v>8</v>
      </c>
      <c r="BD531" t="str">
        <f>VLOOKUP(ifood_data[[#This Row],[RFM Score]],'RFM Analysis'!$A$3:$B$14,2,FALSE)</f>
        <v>Loyal Customer</v>
      </c>
      <c r="BE531">
        <f>'Regression Models'!$B$101+'Regression Models'!$B$102*ifood_data[[#This Row],[Income]]+'Regression Models'!$B$103*ifood_data[[#This Row],[Age]]+'Regression Models'!$B$104*ifood_data[[#This Row],[Family]]</f>
        <v>879.7861292139437</v>
      </c>
      <c r="BF531" t="str">
        <f>IF(ifood_data[[#This Row],[AcceptedCmpOverall]]=1,"Campaign Respondent","Non-respondent")</f>
        <v>Non-respondent</v>
      </c>
    </row>
    <row r="532" spans="1:58" x14ac:dyDescent="0.35">
      <c r="A532">
        <v>624</v>
      </c>
      <c r="B532">
        <v>73059</v>
      </c>
      <c r="C532">
        <v>0</v>
      </c>
      <c r="D532">
        <v>1</v>
      </c>
      <c r="E532">
        <v>36</v>
      </c>
      <c r="F532">
        <v>410</v>
      </c>
      <c r="G532">
        <v>112</v>
      </c>
      <c r="H532">
        <v>420</v>
      </c>
      <c r="I532">
        <v>0</v>
      </c>
      <c r="J532">
        <v>82</v>
      </c>
      <c r="K532">
        <v>71</v>
      </c>
      <c r="L532">
        <v>1</v>
      </c>
      <c r="M532">
        <v>9</v>
      </c>
      <c r="N532">
        <v>3</v>
      </c>
      <c r="O532">
        <v>13</v>
      </c>
      <c r="P532">
        <v>4</v>
      </c>
      <c r="Q532">
        <v>0</v>
      </c>
      <c r="R532">
        <v>0</v>
      </c>
      <c r="S532">
        <v>0</v>
      </c>
      <c r="T532">
        <v>0</v>
      </c>
      <c r="U532">
        <v>0</v>
      </c>
      <c r="V532">
        <f>IF(SUM(ifood_data[[#This Row],[AcceptedCmp1]:[AcceptedCmp5]])&gt;0,1,0)</f>
        <v>0</v>
      </c>
      <c r="W532">
        <v>0</v>
      </c>
      <c r="X532">
        <v>3</v>
      </c>
      <c r="Y532">
        <v>11</v>
      </c>
      <c r="Z532">
        <v>0</v>
      </c>
      <c r="AA532">
        <v>73</v>
      </c>
      <c r="AB532">
        <v>2461</v>
      </c>
      <c r="AC532" s="28">
        <f>ifood_data[[#This Row],[Customer_Days]]/365</f>
        <v>6.7424657534246579</v>
      </c>
      <c r="AD532">
        <v>0</v>
      </c>
      <c r="AE532">
        <v>0</v>
      </c>
      <c r="AF532">
        <v>0</v>
      </c>
      <c r="AG532">
        <v>1</v>
      </c>
      <c r="AH532">
        <v>0</v>
      </c>
      <c r="AI532">
        <v>0</v>
      </c>
      <c r="AJ532">
        <v>0</v>
      </c>
      <c r="AK532">
        <v>0</v>
      </c>
      <c r="AL532">
        <v>0</v>
      </c>
      <c r="AM532">
        <v>1</v>
      </c>
      <c r="AN532">
        <v>1024</v>
      </c>
      <c r="AO532">
        <v>953</v>
      </c>
      <c r="AP532">
        <f>ifood_data[[#This Row],[MntTotal]]-ifood_data[[#This Row],[MntRegularProds]]</f>
        <v>71</v>
      </c>
      <c r="AQ532">
        <v>0</v>
      </c>
      <c r="AR532">
        <f>IF(SUM(ifood_data[[#This Row],[Kidhome]:[Teenhome]])&gt;0,1,0)</f>
        <v>1</v>
      </c>
      <c r="AS532" t="str">
        <f>IF(SUM(ifood_data[[#This Row],[Kidhome]:[Teenhome]])&gt;0,"Has Family","No Family")</f>
        <v>Has Family</v>
      </c>
      <c r="AT532" t="str">
        <f>IF(ifood_data[[#This Row],[marital_Married]]=1,"Married", (IF(ifood_data[[#This Row],[marital_Single]]=1,"Single",(IF(ifood_data[[#This Row],[marital_Divorced]]=1,"Divorced",(IF(ifood_data[[#This Row],[marital_Together]]=1,"Living Together",(IF(ifood_data[[#This Row],[marital_Widow]]=1,"Widow","Other")))))))))</f>
        <v>Living Together</v>
      </c>
      <c r="AU532" t="str">
        <f>IF(ifood_data[[#This Row],[education_Basic]]=1,"High School",(IF(ifood_data[[#This Row],[education_Graduation]]=1,"Undergraduate Degree",(IF(SUM(AM532,AL532,AI532)&gt;0,"Master's Degree or Higher","Other")))))</f>
        <v>Master's Degree or Higher</v>
      </c>
      <c r="AV532" t="str">
        <f>IF(ifood_data[[#All],[Income]]&gt;75000,"75K+",(IF(ifood_data[[#All],[Income]]&gt;50000,"50K-75K",(IF(ifood_data[[#All],[Income]]&gt;35000,"35K-50K","&lt;35K")))))</f>
        <v>50K-75K</v>
      </c>
      <c r="AW532" t="str">
        <f>IF(ifood_data[[#All],[Age]]&gt;60,"60+",(IF(ifood_data[[#All],[Age]]&gt;50,"50-60",(IF(ifood_data[[#All],[Age]]&gt;40,"40-50",(IF(ifood_data[[#All],[Age]]&gt;30,"30-40","&lt;30")))))))</f>
        <v>60+</v>
      </c>
      <c r="AX532">
        <f t="shared" si="32"/>
        <v>30</v>
      </c>
      <c r="AY532">
        <f t="shared" si="33"/>
        <v>7</v>
      </c>
      <c r="AZ532">
        <f t="shared" si="34"/>
        <v>8</v>
      </c>
      <c r="BA532">
        <f t="shared" si="35"/>
        <v>7</v>
      </c>
      <c r="BB532">
        <f>SUM(ifood_data[[#This Row],[Recency Score]:[Monetary Score]])</f>
        <v>22</v>
      </c>
      <c r="BC532">
        <f>(_xlfn.PERCENTRANK.INC(ifood_data[[#All],[RFM]],ifood_data[[#This Row],[RFM]],1))*10</f>
        <v>8</v>
      </c>
      <c r="BD532" t="str">
        <f>VLOOKUP(ifood_data[[#This Row],[RFM Score]],'RFM Analysis'!$A$3:$B$14,2,FALSE)</f>
        <v>Loyal Customer</v>
      </c>
      <c r="BE532">
        <f>'Regression Models'!$B$101+'Regression Models'!$B$102*ifood_data[[#This Row],[Income]]+'Regression Models'!$B$103*ifood_data[[#This Row],[Age]]+'Regression Models'!$B$104*ifood_data[[#This Row],[Family]]</f>
        <v>878.09407171834471</v>
      </c>
      <c r="BF532" t="str">
        <f>IF(ifood_data[[#This Row],[AcceptedCmpOverall]]=1,"Campaign Respondent","Non-respondent")</f>
        <v>Non-respondent</v>
      </c>
    </row>
    <row r="533" spans="1:58" x14ac:dyDescent="0.35">
      <c r="A533">
        <v>1703</v>
      </c>
      <c r="B533">
        <v>70886</v>
      </c>
      <c r="C533">
        <v>1</v>
      </c>
      <c r="D533">
        <v>0</v>
      </c>
      <c r="E533">
        <v>65</v>
      </c>
      <c r="F533">
        <v>407</v>
      </c>
      <c r="G533">
        <v>70</v>
      </c>
      <c r="H533">
        <v>239</v>
      </c>
      <c r="I533">
        <v>103</v>
      </c>
      <c r="J533">
        <v>88</v>
      </c>
      <c r="K533">
        <v>53</v>
      </c>
      <c r="L533">
        <v>1</v>
      </c>
      <c r="M533">
        <v>5</v>
      </c>
      <c r="N533">
        <v>4</v>
      </c>
      <c r="O533">
        <v>4</v>
      </c>
      <c r="P533">
        <v>2</v>
      </c>
      <c r="Q533">
        <v>0</v>
      </c>
      <c r="R533">
        <v>0</v>
      </c>
      <c r="S533">
        <v>0</v>
      </c>
      <c r="T533">
        <v>0</v>
      </c>
      <c r="U533">
        <v>0</v>
      </c>
      <c r="V533">
        <f>IF(SUM(ifood_data[[#This Row],[AcceptedCmp1]:[AcceptedCmp5]])&gt;0,1,0)</f>
        <v>0</v>
      </c>
      <c r="W533">
        <v>0</v>
      </c>
      <c r="X533">
        <v>3</v>
      </c>
      <c r="Y533">
        <v>11</v>
      </c>
      <c r="Z533">
        <v>0</v>
      </c>
      <c r="AA533">
        <v>49</v>
      </c>
      <c r="AB533">
        <v>2417</v>
      </c>
      <c r="AC533" s="28">
        <f>ifood_data[[#This Row],[Customer_Days]]/365</f>
        <v>6.6219178082191785</v>
      </c>
      <c r="AD533">
        <v>0</v>
      </c>
      <c r="AE533">
        <v>1</v>
      </c>
      <c r="AF533">
        <v>0</v>
      </c>
      <c r="AG533">
        <v>0</v>
      </c>
      <c r="AH533">
        <v>0</v>
      </c>
      <c r="AI533">
        <v>0</v>
      </c>
      <c r="AJ533">
        <v>0</v>
      </c>
      <c r="AK533">
        <v>1</v>
      </c>
      <c r="AL533">
        <v>0</v>
      </c>
      <c r="AM533">
        <v>0</v>
      </c>
      <c r="AN533">
        <v>907</v>
      </c>
      <c r="AO533">
        <v>854</v>
      </c>
      <c r="AP533">
        <f>ifood_data[[#This Row],[MntTotal]]-ifood_data[[#This Row],[MntRegularProds]]</f>
        <v>53</v>
      </c>
      <c r="AQ533">
        <v>0</v>
      </c>
      <c r="AR533">
        <f>IF(SUM(ifood_data[[#This Row],[Kidhome]:[Teenhome]])&gt;0,1,0)</f>
        <v>1</v>
      </c>
      <c r="AS533" t="str">
        <f>IF(SUM(ifood_data[[#This Row],[Kidhome]:[Teenhome]])&gt;0,"Has Family","No Family")</f>
        <v>Has Family</v>
      </c>
      <c r="AT533" t="str">
        <f>IF(ifood_data[[#This Row],[marital_Married]]=1,"Married", (IF(ifood_data[[#This Row],[marital_Single]]=1,"Single",(IF(ifood_data[[#This Row],[marital_Divorced]]=1,"Divorced",(IF(ifood_data[[#This Row],[marital_Together]]=1,"Living Together",(IF(ifood_data[[#This Row],[marital_Widow]]=1,"Widow","Other")))))))))</f>
        <v>Married</v>
      </c>
      <c r="AU533" t="str">
        <f>IF(ifood_data[[#This Row],[education_Basic]]=1,"High School",(IF(ifood_data[[#This Row],[education_Graduation]]=1,"Undergraduate Degree",(IF(SUM(AM533,AL533,AI533)&gt;0,"Master's Degree or Higher","Other")))))</f>
        <v>Undergraduate Degree</v>
      </c>
      <c r="AV533" t="str">
        <f>IF(ifood_data[[#All],[Income]]&gt;75000,"75K+",(IF(ifood_data[[#All],[Income]]&gt;50000,"50K-75K",(IF(ifood_data[[#All],[Income]]&gt;35000,"35K-50K","&lt;35K")))))</f>
        <v>50K-75K</v>
      </c>
      <c r="AW533" t="str">
        <f>IF(ifood_data[[#All],[Age]]&gt;60,"60+",(IF(ifood_data[[#All],[Age]]&gt;50,"50-60",(IF(ifood_data[[#All],[Age]]&gt;40,"40-50",(IF(ifood_data[[#All],[Age]]&gt;30,"30-40","&lt;30")))))))</f>
        <v>40-50</v>
      </c>
      <c r="AX533">
        <f t="shared" si="32"/>
        <v>16</v>
      </c>
      <c r="AY533">
        <f t="shared" si="33"/>
        <v>4</v>
      </c>
      <c r="AZ533">
        <f t="shared" si="34"/>
        <v>3</v>
      </c>
      <c r="BA533">
        <f t="shared" si="35"/>
        <v>7</v>
      </c>
      <c r="BB533">
        <f>SUM(ifood_data[[#This Row],[Recency Score]:[Monetary Score]])</f>
        <v>14</v>
      </c>
      <c r="BC533">
        <f>(_xlfn.PERCENTRANK.INC(ifood_data[[#All],[RFM]],ifood_data[[#This Row],[RFM]],1))*10</f>
        <v>4</v>
      </c>
      <c r="BD533" t="str">
        <f>VLOOKUP(ifood_data[[#This Row],[RFM Score]],'RFM Analysis'!$A$3:$B$14,2,FALSE)</f>
        <v>At Risk</v>
      </c>
      <c r="BE533">
        <f>'Regression Models'!$B$101+'Regression Models'!$B$102*ifood_data[[#This Row],[Income]]+'Regression Models'!$B$103*ifood_data[[#This Row],[Age]]+'Regression Models'!$B$104*ifood_data[[#This Row],[Family]]</f>
        <v>877.86381643511515</v>
      </c>
      <c r="BF533" t="str">
        <f>IF(ifood_data[[#This Row],[AcceptedCmpOverall]]=1,"Campaign Respondent","Non-respondent")</f>
        <v>Non-respondent</v>
      </c>
    </row>
    <row r="534" spans="1:58" x14ac:dyDescent="0.35">
      <c r="A534">
        <v>1379</v>
      </c>
      <c r="B534">
        <v>70379</v>
      </c>
      <c r="C534">
        <v>0</v>
      </c>
      <c r="D534">
        <v>1</v>
      </c>
      <c r="E534">
        <v>84</v>
      </c>
      <c r="F534">
        <v>553</v>
      </c>
      <c r="G534">
        <v>25</v>
      </c>
      <c r="H534">
        <v>142</v>
      </c>
      <c r="I534">
        <v>65</v>
      </c>
      <c r="J534">
        <v>67</v>
      </c>
      <c r="K534">
        <v>8</v>
      </c>
      <c r="L534">
        <v>3</v>
      </c>
      <c r="M534">
        <v>6</v>
      </c>
      <c r="N534">
        <v>3</v>
      </c>
      <c r="O534">
        <v>13</v>
      </c>
      <c r="P534">
        <v>4</v>
      </c>
      <c r="Q534">
        <v>0</v>
      </c>
      <c r="R534">
        <v>0</v>
      </c>
      <c r="S534">
        <v>0</v>
      </c>
      <c r="T534">
        <v>0</v>
      </c>
      <c r="U534">
        <v>0</v>
      </c>
      <c r="V534">
        <f>IF(SUM(ifood_data[[#This Row],[AcceptedCmp1]:[AcceptedCmp5]])&gt;0,1,0)</f>
        <v>0</v>
      </c>
      <c r="W534">
        <v>0</v>
      </c>
      <c r="X534">
        <v>3</v>
      </c>
      <c r="Y534">
        <v>11</v>
      </c>
      <c r="Z534">
        <v>0</v>
      </c>
      <c r="AA534">
        <v>44</v>
      </c>
      <c r="AB534">
        <v>2642</v>
      </c>
      <c r="AC534" s="28">
        <f>ifood_data[[#This Row],[Customer_Days]]/365</f>
        <v>7.2383561643835614</v>
      </c>
      <c r="AD534">
        <v>0</v>
      </c>
      <c r="AE534">
        <v>0</v>
      </c>
      <c r="AF534">
        <v>1</v>
      </c>
      <c r="AG534">
        <v>0</v>
      </c>
      <c r="AH534">
        <v>0</v>
      </c>
      <c r="AI534">
        <v>0</v>
      </c>
      <c r="AJ534">
        <v>0</v>
      </c>
      <c r="AK534">
        <v>0</v>
      </c>
      <c r="AL534">
        <v>1</v>
      </c>
      <c r="AM534">
        <v>0</v>
      </c>
      <c r="AN534">
        <v>852</v>
      </c>
      <c r="AO534">
        <v>844</v>
      </c>
      <c r="AP534">
        <f>ifood_data[[#This Row],[MntTotal]]-ifood_data[[#This Row],[MntRegularProds]]</f>
        <v>8</v>
      </c>
      <c r="AQ534">
        <v>0</v>
      </c>
      <c r="AR534">
        <f>IF(SUM(ifood_data[[#This Row],[Kidhome]:[Teenhome]])&gt;0,1,0)</f>
        <v>1</v>
      </c>
      <c r="AS534" t="str">
        <f>IF(SUM(ifood_data[[#This Row],[Kidhome]:[Teenhome]])&gt;0,"Has Family","No Family")</f>
        <v>Has Family</v>
      </c>
      <c r="AT534" t="str">
        <f>IF(ifood_data[[#This Row],[marital_Married]]=1,"Married", (IF(ifood_data[[#This Row],[marital_Single]]=1,"Single",(IF(ifood_data[[#This Row],[marital_Divorced]]=1,"Divorced",(IF(ifood_data[[#This Row],[marital_Together]]=1,"Living Together",(IF(ifood_data[[#This Row],[marital_Widow]]=1,"Widow","Other")))))))))</f>
        <v>Single</v>
      </c>
      <c r="AU534" t="str">
        <f>IF(ifood_data[[#This Row],[education_Basic]]=1,"High School",(IF(ifood_data[[#This Row],[education_Graduation]]=1,"Undergraduate Degree",(IF(SUM(AM534,AL534,AI534)&gt;0,"Master's Degree or Higher","Other")))))</f>
        <v>Master's Degree or Higher</v>
      </c>
      <c r="AV534" t="str">
        <f>IF(ifood_data[[#All],[Income]]&gt;75000,"75K+",(IF(ifood_data[[#All],[Income]]&gt;50000,"50K-75K",(IF(ifood_data[[#All],[Income]]&gt;35000,"35K-50K","&lt;35K")))))</f>
        <v>50K-75K</v>
      </c>
      <c r="AW534" t="str">
        <f>IF(ifood_data[[#All],[Age]]&gt;60,"60+",(IF(ifood_data[[#All],[Age]]&gt;50,"50-60",(IF(ifood_data[[#All],[Age]]&gt;40,"40-50",(IF(ifood_data[[#All],[Age]]&gt;30,"30-40","&lt;30")))))))</f>
        <v>40-50</v>
      </c>
      <c r="AX534">
        <f t="shared" si="32"/>
        <v>29</v>
      </c>
      <c r="AY534">
        <f t="shared" si="33"/>
        <v>1.9999999999999996</v>
      </c>
      <c r="AZ534">
        <f t="shared" si="34"/>
        <v>8</v>
      </c>
      <c r="BA534">
        <f t="shared" si="35"/>
        <v>7</v>
      </c>
      <c r="BB534">
        <f>SUM(ifood_data[[#This Row],[Recency Score]:[Monetary Score]])</f>
        <v>17</v>
      </c>
      <c r="BC534">
        <f>(_xlfn.PERCENTRANK.INC(ifood_data[[#All],[RFM]],ifood_data[[#This Row],[RFM]],1))*10</f>
        <v>6</v>
      </c>
      <c r="BD534" t="str">
        <f>VLOOKUP(ifood_data[[#This Row],[RFM Score]],'RFM Analysis'!$A$3:$B$14,2,FALSE)</f>
        <v>Promising</v>
      </c>
      <c r="BE534">
        <f>'Regression Models'!$B$101+'Regression Models'!$B$102*ifood_data[[#This Row],[Income]]+'Regression Models'!$B$103*ifood_data[[#This Row],[Age]]+'Regression Models'!$B$104*ifood_data[[#This Row],[Family]]</f>
        <v>876.70890638062986</v>
      </c>
      <c r="BF534" t="str">
        <f>IF(ifood_data[[#This Row],[AcceptedCmpOverall]]=1,"Campaign Respondent","Non-respondent")</f>
        <v>Non-respondent</v>
      </c>
    </row>
    <row r="535" spans="1:58" x14ac:dyDescent="0.35">
      <c r="A535">
        <v>1846</v>
      </c>
      <c r="B535">
        <v>71322</v>
      </c>
      <c r="C535">
        <v>0</v>
      </c>
      <c r="D535">
        <v>1</v>
      </c>
      <c r="E535">
        <v>57</v>
      </c>
      <c r="F535">
        <v>753</v>
      </c>
      <c r="G535">
        <v>43</v>
      </c>
      <c r="H535">
        <v>226</v>
      </c>
      <c r="I535">
        <v>69</v>
      </c>
      <c r="J535">
        <v>10</v>
      </c>
      <c r="K535">
        <v>204</v>
      </c>
      <c r="L535">
        <v>2</v>
      </c>
      <c r="M535">
        <v>8</v>
      </c>
      <c r="N535">
        <v>5</v>
      </c>
      <c r="O535">
        <v>13</v>
      </c>
      <c r="P535">
        <v>4</v>
      </c>
      <c r="Q535">
        <v>0</v>
      </c>
      <c r="R535">
        <v>0</v>
      </c>
      <c r="S535">
        <v>0</v>
      </c>
      <c r="T535">
        <v>0</v>
      </c>
      <c r="U535">
        <v>0</v>
      </c>
      <c r="V535">
        <f>IF(SUM(ifood_data[[#This Row],[AcceptedCmp1]:[AcceptedCmp5]])&gt;0,1,0)</f>
        <v>0</v>
      </c>
      <c r="W535">
        <v>0</v>
      </c>
      <c r="X535">
        <v>3</v>
      </c>
      <c r="Y535">
        <v>11</v>
      </c>
      <c r="Z535">
        <v>0</v>
      </c>
      <c r="AA535">
        <v>55</v>
      </c>
      <c r="AB535">
        <v>2657</v>
      </c>
      <c r="AC535" s="28">
        <f>ifood_data[[#This Row],[Customer_Days]]/365</f>
        <v>7.279452054794521</v>
      </c>
      <c r="AD535">
        <v>0</v>
      </c>
      <c r="AE535">
        <v>1</v>
      </c>
      <c r="AF535">
        <v>0</v>
      </c>
      <c r="AG535">
        <v>0</v>
      </c>
      <c r="AH535">
        <v>0</v>
      </c>
      <c r="AI535">
        <v>0</v>
      </c>
      <c r="AJ535">
        <v>0</v>
      </c>
      <c r="AK535">
        <v>0</v>
      </c>
      <c r="AL535">
        <v>0</v>
      </c>
      <c r="AM535">
        <v>1</v>
      </c>
      <c r="AN535">
        <v>1101</v>
      </c>
      <c r="AO535">
        <v>897</v>
      </c>
      <c r="AP535">
        <f>ifood_data[[#This Row],[MntTotal]]-ifood_data[[#This Row],[MntRegularProds]]</f>
        <v>204</v>
      </c>
      <c r="AQ535">
        <v>0</v>
      </c>
      <c r="AR535">
        <f>IF(SUM(ifood_data[[#This Row],[Kidhome]:[Teenhome]])&gt;0,1,0)</f>
        <v>1</v>
      </c>
      <c r="AS535" t="str">
        <f>IF(SUM(ifood_data[[#This Row],[Kidhome]:[Teenhome]])&gt;0,"Has Family","No Family")</f>
        <v>Has Family</v>
      </c>
      <c r="AT535" t="str">
        <f>IF(ifood_data[[#This Row],[marital_Married]]=1,"Married", (IF(ifood_data[[#This Row],[marital_Single]]=1,"Single",(IF(ifood_data[[#This Row],[marital_Divorced]]=1,"Divorced",(IF(ifood_data[[#This Row],[marital_Together]]=1,"Living Together",(IF(ifood_data[[#This Row],[marital_Widow]]=1,"Widow","Other")))))))))</f>
        <v>Married</v>
      </c>
      <c r="AU535" t="str">
        <f>IF(ifood_data[[#This Row],[education_Basic]]=1,"High School",(IF(ifood_data[[#This Row],[education_Graduation]]=1,"Undergraduate Degree",(IF(SUM(AM535,AL535,AI535)&gt;0,"Master's Degree or Higher","Other")))))</f>
        <v>Master's Degree or Higher</v>
      </c>
      <c r="AV535" t="str">
        <f>IF(ifood_data[[#All],[Income]]&gt;75000,"75K+",(IF(ifood_data[[#All],[Income]]&gt;50000,"50K-75K",(IF(ifood_data[[#All],[Income]]&gt;35000,"35K-50K","&lt;35K")))))</f>
        <v>50K-75K</v>
      </c>
      <c r="AW535" t="str">
        <f>IF(ifood_data[[#All],[Age]]&gt;60,"60+",(IF(ifood_data[[#All],[Age]]&gt;50,"50-60",(IF(ifood_data[[#All],[Age]]&gt;40,"40-50",(IF(ifood_data[[#All],[Age]]&gt;30,"30-40","&lt;30")))))))</f>
        <v>50-60</v>
      </c>
      <c r="AX535">
        <f t="shared" si="32"/>
        <v>32</v>
      </c>
      <c r="AY535">
        <f t="shared" si="33"/>
        <v>5</v>
      </c>
      <c r="AZ535">
        <f t="shared" si="34"/>
        <v>9</v>
      </c>
      <c r="BA535">
        <f t="shared" si="35"/>
        <v>8</v>
      </c>
      <c r="BB535">
        <f>SUM(ifood_data[[#This Row],[Recency Score]:[Monetary Score]])</f>
        <v>22</v>
      </c>
      <c r="BC535">
        <f>(_xlfn.PERCENTRANK.INC(ifood_data[[#All],[RFM]],ifood_data[[#This Row],[RFM]],1))*10</f>
        <v>8</v>
      </c>
      <c r="BD535" t="str">
        <f>VLOOKUP(ifood_data[[#This Row],[RFM Score]],'RFM Analysis'!$A$3:$B$14,2,FALSE)</f>
        <v>Loyal Customer</v>
      </c>
      <c r="BE535">
        <f>'Regression Models'!$B$101+'Regression Models'!$B$102*ifood_data[[#This Row],[Income]]+'Regression Models'!$B$103*ifood_data[[#This Row],[Age]]+'Regression Models'!$B$104*ifood_data[[#This Row],[Family]]</f>
        <v>875.73468487248977</v>
      </c>
      <c r="BF535" t="str">
        <f>IF(ifood_data[[#This Row],[AcceptedCmpOverall]]=1,"Campaign Respondent","Non-respondent")</f>
        <v>Non-respondent</v>
      </c>
    </row>
    <row r="536" spans="1:58" x14ac:dyDescent="0.35">
      <c r="A536">
        <v>1718</v>
      </c>
      <c r="B536">
        <v>70300</v>
      </c>
      <c r="C536">
        <v>1</v>
      </c>
      <c r="D536">
        <v>0</v>
      </c>
      <c r="E536">
        <v>89</v>
      </c>
      <c r="F536">
        <v>1045</v>
      </c>
      <c r="G536">
        <v>61</v>
      </c>
      <c r="H536">
        <v>338</v>
      </c>
      <c r="I536">
        <v>60</v>
      </c>
      <c r="J536">
        <v>46</v>
      </c>
      <c r="K536">
        <v>46</v>
      </c>
      <c r="L536">
        <v>3</v>
      </c>
      <c r="M536">
        <v>5</v>
      </c>
      <c r="N536">
        <v>5</v>
      </c>
      <c r="O536">
        <v>13</v>
      </c>
      <c r="P536">
        <v>8</v>
      </c>
      <c r="Q536">
        <v>0</v>
      </c>
      <c r="R536">
        <v>0</v>
      </c>
      <c r="S536">
        <v>0</v>
      </c>
      <c r="T536">
        <v>0</v>
      </c>
      <c r="U536">
        <v>0</v>
      </c>
      <c r="V536">
        <f>IF(SUM(ifood_data[[#This Row],[AcceptedCmp1]:[AcceptedCmp5]])&gt;0,1,0)</f>
        <v>0</v>
      </c>
      <c r="W536">
        <v>0</v>
      </c>
      <c r="X536">
        <v>3</v>
      </c>
      <c r="Y536">
        <v>11</v>
      </c>
      <c r="Z536">
        <v>0</v>
      </c>
      <c r="AA536">
        <v>45</v>
      </c>
      <c r="AB536">
        <v>2508</v>
      </c>
      <c r="AC536" s="28">
        <f>ifood_data[[#This Row],[Customer_Days]]/365</f>
        <v>6.8712328767123285</v>
      </c>
      <c r="AD536">
        <v>1</v>
      </c>
      <c r="AE536">
        <v>0</v>
      </c>
      <c r="AF536">
        <v>0</v>
      </c>
      <c r="AG536">
        <v>0</v>
      </c>
      <c r="AH536">
        <v>0</v>
      </c>
      <c r="AI536">
        <v>0</v>
      </c>
      <c r="AJ536">
        <v>0</v>
      </c>
      <c r="AK536">
        <v>1</v>
      </c>
      <c r="AL536">
        <v>0</v>
      </c>
      <c r="AM536">
        <v>0</v>
      </c>
      <c r="AN536">
        <v>1550</v>
      </c>
      <c r="AO536">
        <v>1504</v>
      </c>
      <c r="AP536">
        <f>ifood_data[[#This Row],[MntTotal]]-ifood_data[[#This Row],[MntRegularProds]]</f>
        <v>46</v>
      </c>
      <c r="AQ536">
        <v>0</v>
      </c>
      <c r="AR536">
        <f>IF(SUM(ifood_data[[#This Row],[Kidhome]:[Teenhome]])&gt;0,1,0)</f>
        <v>1</v>
      </c>
      <c r="AS536" t="str">
        <f>IF(SUM(ifood_data[[#This Row],[Kidhome]:[Teenhome]])&gt;0,"Has Family","No Family")</f>
        <v>Has Family</v>
      </c>
      <c r="AT536" t="str">
        <f>IF(ifood_data[[#This Row],[marital_Married]]=1,"Married", (IF(ifood_data[[#This Row],[marital_Single]]=1,"Single",(IF(ifood_data[[#This Row],[marital_Divorced]]=1,"Divorced",(IF(ifood_data[[#This Row],[marital_Together]]=1,"Living Together",(IF(ifood_data[[#This Row],[marital_Widow]]=1,"Widow","Other")))))))))</f>
        <v>Divorced</v>
      </c>
      <c r="AU536" t="str">
        <f>IF(ifood_data[[#This Row],[education_Basic]]=1,"High School",(IF(ifood_data[[#This Row],[education_Graduation]]=1,"Undergraduate Degree",(IF(SUM(AM536,AL536,AI536)&gt;0,"Master's Degree or Higher","Other")))))</f>
        <v>Undergraduate Degree</v>
      </c>
      <c r="AV536" t="str">
        <f>IF(ifood_data[[#All],[Income]]&gt;75000,"75K+",(IF(ifood_data[[#All],[Income]]&gt;50000,"50K-75K",(IF(ifood_data[[#All],[Income]]&gt;35000,"35K-50K","&lt;35K")))))</f>
        <v>50K-75K</v>
      </c>
      <c r="AW536" t="str">
        <f>IF(ifood_data[[#All],[Age]]&gt;60,"60+",(IF(ifood_data[[#All],[Age]]&gt;50,"50-60",(IF(ifood_data[[#All],[Age]]&gt;40,"40-50",(IF(ifood_data[[#All],[Age]]&gt;30,"30-40","&lt;30")))))))</f>
        <v>40-50</v>
      </c>
      <c r="AX536">
        <f t="shared" si="32"/>
        <v>34</v>
      </c>
      <c r="AY536">
        <f t="shared" si="33"/>
        <v>1.9999999999999996</v>
      </c>
      <c r="AZ536">
        <f t="shared" si="34"/>
        <v>9</v>
      </c>
      <c r="BA536">
        <f t="shared" si="35"/>
        <v>9</v>
      </c>
      <c r="BB536">
        <f>SUM(ifood_data[[#This Row],[Recency Score]:[Monetary Score]])</f>
        <v>20</v>
      </c>
      <c r="BC536">
        <f>(_xlfn.PERCENTRANK.INC(ifood_data[[#All],[RFM]],ifood_data[[#This Row],[RFM]],1))*10</f>
        <v>7</v>
      </c>
      <c r="BD536" t="str">
        <f>VLOOKUP(ifood_data[[#This Row],[RFM Score]],'RFM Analysis'!$A$3:$B$14,2,FALSE)</f>
        <v>Loyal Customer</v>
      </c>
      <c r="BE536">
        <f>'Regression Models'!$B$101+'Regression Models'!$B$102*ifood_data[[#This Row],[Income]]+'Regression Models'!$B$103*ifood_data[[#This Row],[Age]]+'Regression Models'!$B$104*ifood_data[[#This Row],[Family]]</f>
        <v>873.26175461836749</v>
      </c>
      <c r="BF536" t="str">
        <f>IF(ifood_data[[#This Row],[AcceptedCmpOverall]]=1,"Campaign Respondent","Non-respondent")</f>
        <v>Non-respondent</v>
      </c>
    </row>
    <row r="537" spans="1:58" x14ac:dyDescent="0.35">
      <c r="A537">
        <v>1445</v>
      </c>
      <c r="B537">
        <v>70179</v>
      </c>
      <c r="C537">
        <v>0</v>
      </c>
      <c r="D537">
        <v>1</v>
      </c>
      <c r="E537">
        <v>10</v>
      </c>
      <c r="F537">
        <v>532</v>
      </c>
      <c r="G537">
        <v>88</v>
      </c>
      <c r="H537">
        <v>168</v>
      </c>
      <c r="I537">
        <v>69</v>
      </c>
      <c r="J537">
        <v>44</v>
      </c>
      <c r="K537">
        <v>133</v>
      </c>
      <c r="L537">
        <v>3</v>
      </c>
      <c r="M537">
        <v>7</v>
      </c>
      <c r="N537">
        <v>3</v>
      </c>
      <c r="O537">
        <v>13</v>
      </c>
      <c r="P537">
        <v>5</v>
      </c>
      <c r="Q537">
        <v>0</v>
      </c>
      <c r="R537">
        <v>0</v>
      </c>
      <c r="S537">
        <v>0</v>
      </c>
      <c r="T537">
        <v>0</v>
      </c>
      <c r="U537">
        <v>0</v>
      </c>
      <c r="V537">
        <f>IF(SUM(ifood_data[[#This Row],[AcceptedCmp1]:[AcceptedCmp5]])&gt;0,1,0)</f>
        <v>0</v>
      </c>
      <c r="W537">
        <v>0</v>
      </c>
      <c r="X537">
        <v>3</v>
      </c>
      <c r="Y537">
        <v>11</v>
      </c>
      <c r="Z537">
        <v>0</v>
      </c>
      <c r="AA537">
        <v>44</v>
      </c>
      <c r="AB537">
        <v>2502</v>
      </c>
      <c r="AC537" s="28">
        <f>ifood_data[[#This Row],[Customer_Days]]/365</f>
        <v>6.8547945205479452</v>
      </c>
      <c r="AD537">
        <v>1</v>
      </c>
      <c r="AE537">
        <v>0</v>
      </c>
      <c r="AF537">
        <v>0</v>
      </c>
      <c r="AG537">
        <v>0</v>
      </c>
      <c r="AH537">
        <v>0</v>
      </c>
      <c r="AI537">
        <v>0</v>
      </c>
      <c r="AJ537">
        <v>0</v>
      </c>
      <c r="AK537">
        <v>0</v>
      </c>
      <c r="AL537">
        <v>0</v>
      </c>
      <c r="AM537">
        <v>1</v>
      </c>
      <c r="AN537">
        <v>901</v>
      </c>
      <c r="AO537">
        <v>768</v>
      </c>
      <c r="AP537">
        <f>ifood_data[[#This Row],[MntTotal]]-ifood_data[[#This Row],[MntRegularProds]]</f>
        <v>133</v>
      </c>
      <c r="AQ537">
        <v>0</v>
      </c>
      <c r="AR537">
        <f>IF(SUM(ifood_data[[#This Row],[Kidhome]:[Teenhome]])&gt;0,1,0)</f>
        <v>1</v>
      </c>
      <c r="AS537" t="str">
        <f>IF(SUM(ifood_data[[#This Row],[Kidhome]:[Teenhome]])&gt;0,"Has Family","No Family")</f>
        <v>Has Family</v>
      </c>
      <c r="AT537" t="str">
        <f>IF(ifood_data[[#This Row],[marital_Married]]=1,"Married", (IF(ifood_data[[#This Row],[marital_Single]]=1,"Single",(IF(ifood_data[[#This Row],[marital_Divorced]]=1,"Divorced",(IF(ifood_data[[#This Row],[marital_Together]]=1,"Living Together",(IF(ifood_data[[#This Row],[marital_Widow]]=1,"Widow","Other")))))))))</f>
        <v>Divorced</v>
      </c>
      <c r="AU537" t="str">
        <f>IF(ifood_data[[#This Row],[education_Basic]]=1,"High School",(IF(ifood_data[[#This Row],[education_Graduation]]=1,"Undergraduate Degree",(IF(SUM(AM537,AL537,AI537)&gt;0,"Master's Degree or Higher","Other")))))</f>
        <v>Master's Degree or Higher</v>
      </c>
      <c r="AV537" t="str">
        <f>IF(ifood_data[[#All],[Income]]&gt;75000,"75K+",(IF(ifood_data[[#All],[Income]]&gt;50000,"50K-75K",(IF(ifood_data[[#All],[Income]]&gt;35000,"35K-50K","&lt;35K")))))</f>
        <v>50K-75K</v>
      </c>
      <c r="AW537" t="str">
        <f>IF(ifood_data[[#All],[Age]]&gt;60,"60+",(IF(ifood_data[[#All],[Age]]&gt;50,"50-60",(IF(ifood_data[[#All],[Age]]&gt;40,"40-50",(IF(ifood_data[[#All],[Age]]&gt;30,"30-40","&lt;30")))))))</f>
        <v>40-50</v>
      </c>
      <c r="AX537">
        <f t="shared" si="32"/>
        <v>31</v>
      </c>
      <c r="AY537">
        <f t="shared" si="33"/>
        <v>9</v>
      </c>
      <c r="AZ537">
        <f t="shared" si="34"/>
        <v>9</v>
      </c>
      <c r="BA537">
        <f t="shared" si="35"/>
        <v>7</v>
      </c>
      <c r="BB537">
        <f>SUM(ifood_data[[#This Row],[Recency Score]:[Monetary Score]])</f>
        <v>25</v>
      </c>
      <c r="BC537">
        <f>(_xlfn.PERCENTRANK.INC(ifood_data[[#All],[RFM]],ifood_data[[#This Row],[RFM]],1))*10</f>
        <v>9</v>
      </c>
      <c r="BD537" t="str">
        <f>VLOOKUP(ifood_data[[#This Row],[RFM Score]],'RFM Analysis'!$A$3:$B$14,2,FALSE)</f>
        <v>Top Customer</v>
      </c>
      <c r="BE537">
        <f>'Regression Models'!$B$101+'Regression Models'!$B$102*ifood_data[[#This Row],[Income]]+'Regression Models'!$B$103*ifood_data[[#This Row],[Age]]+'Regression Models'!$B$104*ifood_data[[#This Row],[Family]]</f>
        <v>872.63115275185021</v>
      </c>
      <c r="BF537" t="str">
        <f>IF(ifood_data[[#This Row],[AcceptedCmpOverall]]=1,"Campaign Respondent","Non-respondent")</f>
        <v>Non-respondent</v>
      </c>
    </row>
    <row r="538" spans="1:58" x14ac:dyDescent="0.35">
      <c r="A538">
        <v>1392</v>
      </c>
      <c r="B538">
        <v>71706</v>
      </c>
      <c r="C538">
        <v>0</v>
      </c>
      <c r="D538">
        <v>1</v>
      </c>
      <c r="E538">
        <v>16</v>
      </c>
      <c r="F538">
        <v>931</v>
      </c>
      <c r="G538">
        <v>56</v>
      </c>
      <c r="H538">
        <v>253</v>
      </c>
      <c r="I538">
        <v>91</v>
      </c>
      <c r="J538">
        <v>98</v>
      </c>
      <c r="K538">
        <v>14</v>
      </c>
      <c r="L538">
        <v>4</v>
      </c>
      <c r="M538">
        <v>9</v>
      </c>
      <c r="N538">
        <v>5</v>
      </c>
      <c r="O538">
        <v>7</v>
      </c>
      <c r="P538">
        <v>5</v>
      </c>
      <c r="Q538">
        <v>0</v>
      </c>
      <c r="R538">
        <v>0</v>
      </c>
      <c r="S538">
        <v>0</v>
      </c>
      <c r="T538">
        <v>0</v>
      </c>
      <c r="U538">
        <v>0</v>
      </c>
      <c r="V538">
        <f>IF(SUM(ifood_data[[#This Row],[AcceptedCmp1]:[AcceptedCmp5]])&gt;0,1,0)</f>
        <v>0</v>
      </c>
      <c r="W538">
        <v>0</v>
      </c>
      <c r="X538">
        <v>3</v>
      </c>
      <c r="Y538">
        <v>11</v>
      </c>
      <c r="Z538">
        <v>0</v>
      </c>
      <c r="AA538">
        <v>61</v>
      </c>
      <c r="AB538">
        <v>2752</v>
      </c>
      <c r="AC538" s="28">
        <f>ifood_data[[#This Row],[Customer_Days]]/365</f>
        <v>7.5397260273972604</v>
      </c>
      <c r="AD538">
        <v>0</v>
      </c>
      <c r="AE538">
        <v>0</v>
      </c>
      <c r="AF538">
        <v>0</v>
      </c>
      <c r="AG538">
        <v>1</v>
      </c>
      <c r="AH538">
        <v>0</v>
      </c>
      <c r="AI538">
        <v>0</v>
      </c>
      <c r="AJ538">
        <v>0</v>
      </c>
      <c r="AK538">
        <v>1</v>
      </c>
      <c r="AL538">
        <v>0</v>
      </c>
      <c r="AM538">
        <v>0</v>
      </c>
      <c r="AN538">
        <v>1429</v>
      </c>
      <c r="AO538">
        <v>1415</v>
      </c>
      <c r="AP538">
        <f>ifood_data[[#This Row],[MntTotal]]-ifood_data[[#This Row],[MntRegularProds]]</f>
        <v>14</v>
      </c>
      <c r="AQ538">
        <v>0</v>
      </c>
      <c r="AR538">
        <f>IF(SUM(ifood_data[[#This Row],[Kidhome]:[Teenhome]])&gt;0,1,0)</f>
        <v>1</v>
      </c>
      <c r="AS538" t="str">
        <f>IF(SUM(ifood_data[[#This Row],[Kidhome]:[Teenhome]])&gt;0,"Has Family","No Family")</f>
        <v>Has Family</v>
      </c>
      <c r="AT538" t="str">
        <f>IF(ifood_data[[#This Row],[marital_Married]]=1,"Married", (IF(ifood_data[[#This Row],[marital_Single]]=1,"Single",(IF(ifood_data[[#This Row],[marital_Divorced]]=1,"Divorced",(IF(ifood_data[[#This Row],[marital_Together]]=1,"Living Together",(IF(ifood_data[[#This Row],[marital_Widow]]=1,"Widow","Other")))))))))</f>
        <v>Living Together</v>
      </c>
      <c r="AU538" t="str">
        <f>IF(ifood_data[[#This Row],[education_Basic]]=1,"High School",(IF(ifood_data[[#This Row],[education_Graduation]]=1,"Undergraduate Degree",(IF(SUM(AM538,AL538,AI538)&gt;0,"Master's Degree or Higher","Other")))))</f>
        <v>Undergraduate Degree</v>
      </c>
      <c r="AV538" t="str">
        <f>IF(ifood_data[[#All],[Income]]&gt;75000,"75K+",(IF(ifood_data[[#All],[Income]]&gt;50000,"50K-75K",(IF(ifood_data[[#All],[Income]]&gt;35000,"35K-50K","&lt;35K")))))</f>
        <v>50K-75K</v>
      </c>
      <c r="AW538" t="str">
        <f>IF(ifood_data[[#All],[Age]]&gt;60,"60+",(IF(ifood_data[[#All],[Age]]&gt;50,"50-60",(IF(ifood_data[[#All],[Age]]&gt;40,"40-50",(IF(ifood_data[[#All],[Age]]&gt;30,"30-40","&lt;30")))))))</f>
        <v>60+</v>
      </c>
      <c r="AX538">
        <f t="shared" si="32"/>
        <v>30</v>
      </c>
      <c r="AY538">
        <f t="shared" si="33"/>
        <v>9</v>
      </c>
      <c r="AZ538">
        <f t="shared" si="34"/>
        <v>8</v>
      </c>
      <c r="BA538">
        <f t="shared" si="35"/>
        <v>8</v>
      </c>
      <c r="BB538">
        <f>SUM(ifood_data[[#This Row],[Recency Score]:[Monetary Score]])</f>
        <v>25</v>
      </c>
      <c r="BC538">
        <f>(_xlfn.PERCENTRANK.INC(ifood_data[[#All],[RFM]],ifood_data[[#This Row],[RFM]],1))*10</f>
        <v>9</v>
      </c>
      <c r="BD538" t="str">
        <f>VLOOKUP(ifood_data[[#This Row],[RFM Score]],'RFM Analysis'!$A$3:$B$14,2,FALSE)</f>
        <v>Top Customer</v>
      </c>
      <c r="BE538">
        <f>'Regression Models'!$B$101+'Regression Models'!$B$102*ifood_data[[#This Row],[Income]]+'Regression Models'!$B$103*ifood_data[[#This Row],[Age]]+'Regression Models'!$B$104*ifood_data[[#This Row],[Family]]</f>
        <v>872.54533736638075</v>
      </c>
      <c r="BF538" t="str">
        <f>IF(ifood_data[[#This Row],[AcceptedCmpOverall]]=1,"Campaign Respondent","Non-respondent")</f>
        <v>Non-respondent</v>
      </c>
    </row>
    <row r="539" spans="1:58" x14ac:dyDescent="0.35">
      <c r="A539">
        <v>1253</v>
      </c>
      <c r="B539">
        <v>71434</v>
      </c>
      <c r="C539">
        <v>0</v>
      </c>
      <c r="D539">
        <v>1</v>
      </c>
      <c r="E539">
        <v>4</v>
      </c>
      <c r="F539">
        <v>711</v>
      </c>
      <c r="G539">
        <v>36</v>
      </c>
      <c r="H539">
        <v>217</v>
      </c>
      <c r="I539">
        <v>172</v>
      </c>
      <c r="J539">
        <v>96</v>
      </c>
      <c r="K539">
        <v>168</v>
      </c>
      <c r="L539">
        <v>3</v>
      </c>
      <c r="M539">
        <v>7</v>
      </c>
      <c r="N539">
        <v>4</v>
      </c>
      <c r="O539">
        <v>7</v>
      </c>
      <c r="P539">
        <v>4</v>
      </c>
      <c r="Q539">
        <v>1</v>
      </c>
      <c r="R539">
        <v>0</v>
      </c>
      <c r="S539">
        <v>0</v>
      </c>
      <c r="T539">
        <v>1</v>
      </c>
      <c r="U539">
        <v>0</v>
      </c>
      <c r="V539">
        <f>IF(SUM(ifood_data[[#This Row],[AcceptedCmp1]:[AcceptedCmp5]])&gt;0,1,0)</f>
        <v>1</v>
      </c>
      <c r="W539">
        <v>0</v>
      </c>
      <c r="X539">
        <v>3</v>
      </c>
      <c r="Y539">
        <v>11</v>
      </c>
      <c r="Z539">
        <v>0</v>
      </c>
      <c r="AA539">
        <v>58</v>
      </c>
      <c r="AB539">
        <v>2443</v>
      </c>
      <c r="AC539" s="28">
        <f>ifood_data[[#This Row],[Customer_Days]]/365</f>
        <v>6.6931506849315072</v>
      </c>
      <c r="AD539">
        <v>0</v>
      </c>
      <c r="AE539">
        <v>1</v>
      </c>
      <c r="AF539">
        <v>0</v>
      </c>
      <c r="AG539">
        <v>0</v>
      </c>
      <c r="AH539">
        <v>0</v>
      </c>
      <c r="AI539">
        <v>0</v>
      </c>
      <c r="AJ539">
        <v>0</v>
      </c>
      <c r="AK539">
        <v>1</v>
      </c>
      <c r="AL539">
        <v>0</v>
      </c>
      <c r="AM539">
        <v>0</v>
      </c>
      <c r="AN539">
        <v>1232</v>
      </c>
      <c r="AO539">
        <v>1064</v>
      </c>
      <c r="AP539">
        <f>ifood_data[[#This Row],[MntTotal]]-ifood_data[[#This Row],[MntRegularProds]]</f>
        <v>168</v>
      </c>
      <c r="AQ539">
        <v>2</v>
      </c>
      <c r="AR539">
        <f>IF(SUM(ifood_data[[#This Row],[Kidhome]:[Teenhome]])&gt;0,1,0)</f>
        <v>1</v>
      </c>
      <c r="AS539" t="str">
        <f>IF(SUM(ifood_data[[#This Row],[Kidhome]:[Teenhome]])&gt;0,"Has Family","No Family")</f>
        <v>Has Family</v>
      </c>
      <c r="AT539" t="str">
        <f>IF(ifood_data[[#This Row],[marital_Married]]=1,"Married", (IF(ifood_data[[#This Row],[marital_Single]]=1,"Single",(IF(ifood_data[[#This Row],[marital_Divorced]]=1,"Divorced",(IF(ifood_data[[#This Row],[marital_Together]]=1,"Living Together",(IF(ifood_data[[#This Row],[marital_Widow]]=1,"Widow","Other")))))))))</f>
        <v>Married</v>
      </c>
      <c r="AU539" t="str">
        <f>IF(ifood_data[[#This Row],[education_Basic]]=1,"High School",(IF(ifood_data[[#This Row],[education_Graduation]]=1,"Undergraduate Degree",(IF(SUM(AM539,AL539,AI539)&gt;0,"Master's Degree or Higher","Other")))))</f>
        <v>Undergraduate Degree</v>
      </c>
      <c r="AV539" t="str">
        <f>IF(ifood_data[[#All],[Income]]&gt;75000,"75K+",(IF(ifood_data[[#All],[Income]]&gt;50000,"50K-75K",(IF(ifood_data[[#All],[Income]]&gt;35000,"35K-50K","&lt;35K")))))</f>
        <v>50K-75K</v>
      </c>
      <c r="AW539" t="str">
        <f>IF(ifood_data[[#All],[Age]]&gt;60,"60+",(IF(ifood_data[[#All],[Age]]&gt;50,"50-60",(IF(ifood_data[[#All],[Age]]&gt;40,"40-50",(IF(ifood_data[[#All],[Age]]&gt;30,"30-40","&lt;30")))))))</f>
        <v>50-60</v>
      </c>
      <c r="AX539">
        <f t="shared" si="32"/>
        <v>25</v>
      </c>
      <c r="AY539">
        <f t="shared" si="33"/>
        <v>10</v>
      </c>
      <c r="AZ539">
        <f t="shared" si="34"/>
        <v>7</v>
      </c>
      <c r="BA539">
        <f t="shared" si="35"/>
        <v>8</v>
      </c>
      <c r="BB539">
        <f>SUM(ifood_data[[#This Row],[Recency Score]:[Monetary Score]])</f>
        <v>25</v>
      </c>
      <c r="BC539">
        <f>(_xlfn.PERCENTRANK.INC(ifood_data[[#All],[RFM]],ifood_data[[#This Row],[RFM]],1))*10</f>
        <v>9</v>
      </c>
      <c r="BD539" t="str">
        <f>VLOOKUP(ifood_data[[#This Row],[RFM Score]],'RFM Analysis'!$A$3:$B$14,2,FALSE)</f>
        <v>Top Customer</v>
      </c>
      <c r="BE539">
        <f>'Regression Models'!$B$101+'Regression Models'!$B$102*ifood_data[[#This Row],[Income]]+'Regression Models'!$B$103*ifood_data[[#This Row],[Age]]+'Regression Models'!$B$104*ifood_data[[#This Row],[Family]]</f>
        <v>872.5089096679236</v>
      </c>
      <c r="BF539" t="str">
        <f>IF(ifood_data[[#This Row],[AcceptedCmpOverall]]=1,"Campaign Respondent","Non-respondent")</f>
        <v>Campaign Respondent</v>
      </c>
    </row>
    <row r="540" spans="1:58" x14ac:dyDescent="0.35">
      <c r="A540">
        <v>1656</v>
      </c>
      <c r="B540">
        <v>72071</v>
      </c>
      <c r="C540">
        <v>0</v>
      </c>
      <c r="D540">
        <v>1</v>
      </c>
      <c r="E540">
        <v>4</v>
      </c>
      <c r="F540">
        <v>531</v>
      </c>
      <c r="G540">
        <v>69</v>
      </c>
      <c r="H540">
        <v>300</v>
      </c>
      <c r="I540">
        <v>150</v>
      </c>
      <c r="J540">
        <v>138</v>
      </c>
      <c r="K540">
        <v>150</v>
      </c>
      <c r="L540">
        <v>3</v>
      </c>
      <c r="M540">
        <v>5</v>
      </c>
      <c r="N540">
        <v>4</v>
      </c>
      <c r="O540">
        <v>8</v>
      </c>
      <c r="P540">
        <v>2</v>
      </c>
      <c r="Q540">
        <v>0</v>
      </c>
      <c r="R540">
        <v>0</v>
      </c>
      <c r="S540">
        <v>0</v>
      </c>
      <c r="T540">
        <v>0</v>
      </c>
      <c r="U540">
        <v>0</v>
      </c>
      <c r="V540">
        <f>IF(SUM(ifood_data[[#This Row],[AcceptedCmp1]:[AcceptedCmp5]])&gt;0,1,0)</f>
        <v>0</v>
      </c>
      <c r="W540">
        <v>0</v>
      </c>
      <c r="X540">
        <v>3</v>
      </c>
      <c r="Y540">
        <v>11</v>
      </c>
      <c r="Z540">
        <v>0</v>
      </c>
      <c r="AA540">
        <v>66</v>
      </c>
      <c r="AB540">
        <v>2659</v>
      </c>
      <c r="AC540" s="28">
        <f>ifood_data[[#This Row],[Customer_Days]]/365</f>
        <v>7.2849315068493148</v>
      </c>
      <c r="AD540">
        <v>1</v>
      </c>
      <c r="AE540">
        <v>0</v>
      </c>
      <c r="AF540">
        <v>0</v>
      </c>
      <c r="AG540">
        <v>0</v>
      </c>
      <c r="AH540">
        <v>0</v>
      </c>
      <c r="AI540">
        <v>0</v>
      </c>
      <c r="AJ540">
        <v>0</v>
      </c>
      <c r="AK540">
        <v>1</v>
      </c>
      <c r="AL540">
        <v>0</v>
      </c>
      <c r="AM540">
        <v>0</v>
      </c>
      <c r="AN540">
        <v>1188</v>
      </c>
      <c r="AO540">
        <v>1038</v>
      </c>
      <c r="AP540">
        <f>ifood_data[[#This Row],[MntTotal]]-ifood_data[[#This Row],[MntRegularProds]]</f>
        <v>150</v>
      </c>
      <c r="AQ540">
        <v>0</v>
      </c>
      <c r="AR540">
        <f>IF(SUM(ifood_data[[#This Row],[Kidhome]:[Teenhome]])&gt;0,1,0)</f>
        <v>1</v>
      </c>
      <c r="AS540" t="str">
        <f>IF(SUM(ifood_data[[#This Row],[Kidhome]:[Teenhome]])&gt;0,"Has Family","No Family")</f>
        <v>Has Family</v>
      </c>
      <c r="AT540" t="str">
        <f>IF(ifood_data[[#This Row],[marital_Married]]=1,"Married", (IF(ifood_data[[#This Row],[marital_Single]]=1,"Single",(IF(ifood_data[[#This Row],[marital_Divorced]]=1,"Divorced",(IF(ifood_data[[#This Row],[marital_Together]]=1,"Living Together",(IF(ifood_data[[#This Row],[marital_Widow]]=1,"Widow","Other")))))))))</f>
        <v>Divorced</v>
      </c>
      <c r="AU540" t="str">
        <f>IF(ifood_data[[#This Row],[education_Basic]]=1,"High School",(IF(ifood_data[[#This Row],[education_Graduation]]=1,"Undergraduate Degree",(IF(SUM(AM540,AL540,AI540)&gt;0,"Master's Degree or Higher","Other")))))</f>
        <v>Undergraduate Degree</v>
      </c>
      <c r="AV540" t="str">
        <f>IF(ifood_data[[#All],[Income]]&gt;75000,"75K+",(IF(ifood_data[[#All],[Income]]&gt;50000,"50K-75K",(IF(ifood_data[[#All],[Income]]&gt;35000,"35K-50K","&lt;35K")))))</f>
        <v>50K-75K</v>
      </c>
      <c r="AW540" t="str">
        <f>IF(ifood_data[[#All],[Age]]&gt;60,"60+",(IF(ifood_data[[#All],[Age]]&gt;50,"50-60",(IF(ifood_data[[#All],[Age]]&gt;40,"40-50",(IF(ifood_data[[#All],[Age]]&gt;30,"30-40","&lt;30")))))))</f>
        <v>60+</v>
      </c>
      <c r="AX540">
        <f t="shared" si="32"/>
        <v>22</v>
      </c>
      <c r="AY540">
        <f t="shared" si="33"/>
        <v>10</v>
      </c>
      <c r="AZ540">
        <f t="shared" si="34"/>
        <v>5</v>
      </c>
      <c r="BA540">
        <f t="shared" si="35"/>
        <v>8</v>
      </c>
      <c r="BB540">
        <f>SUM(ifood_data[[#This Row],[Recency Score]:[Monetary Score]])</f>
        <v>23</v>
      </c>
      <c r="BC540">
        <f>(_xlfn.PERCENTRANK.INC(ifood_data[[#All],[RFM]],ifood_data[[#This Row],[RFM]],1))*10</f>
        <v>8</v>
      </c>
      <c r="BD540" t="str">
        <f>VLOOKUP(ifood_data[[#This Row],[RFM Score]],'RFM Analysis'!$A$3:$B$14,2,FALSE)</f>
        <v>Loyal Customer</v>
      </c>
      <c r="BE540">
        <f>'Regression Models'!$B$101+'Regression Models'!$B$102*ifood_data[[#This Row],[Income]]+'Regression Models'!$B$103*ifood_data[[#This Row],[Age]]+'Regression Models'!$B$104*ifood_data[[#This Row],[Family]]</f>
        <v>870.80504234443276</v>
      </c>
      <c r="BF540" t="str">
        <f>IF(ifood_data[[#This Row],[AcceptedCmpOverall]]=1,"Campaign Respondent","Non-respondent")</f>
        <v>Non-respondent</v>
      </c>
    </row>
    <row r="541" spans="1:58" x14ac:dyDescent="0.35">
      <c r="A541">
        <v>1886</v>
      </c>
      <c r="B541">
        <v>71866</v>
      </c>
      <c r="C541">
        <v>0</v>
      </c>
      <c r="D541">
        <v>1</v>
      </c>
      <c r="E541">
        <v>85</v>
      </c>
      <c r="F541">
        <v>184</v>
      </c>
      <c r="G541">
        <v>178</v>
      </c>
      <c r="H541">
        <v>178</v>
      </c>
      <c r="I541">
        <v>103</v>
      </c>
      <c r="J541">
        <v>39</v>
      </c>
      <c r="K541">
        <v>33</v>
      </c>
      <c r="L541">
        <v>1</v>
      </c>
      <c r="M541">
        <v>6</v>
      </c>
      <c r="N541">
        <v>3</v>
      </c>
      <c r="O541">
        <v>10</v>
      </c>
      <c r="P541">
        <v>3</v>
      </c>
      <c r="Q541">
        <v>0</v>
      </c>
      <c r="R541">
        <v>0</v>
      </c>
      <c r="S541">
        <v>0</v>
      </c>
      <c r="T541">
        <v>0</v>
      </c>
      <c r="U541">
        <v>0</v>
      </c>
      <c r="V541">
        <f>IF(SUM(ifood_data[[#This Row],[AcceptedCmp1]:[AcceptedCmp5]])&gt;0,1,0)</f>
        <v>0</v>
      </c>
      <c r="W541">
        <v>0</v>
      </c>
      <c r="X541">
        <v>3</v>
      </c>
      <c r="Y541">
        <v>11</v>
      </c>
      <c r="Z541">
        <v>0</v>
      </c>
      <c r="AA541">
        <v>64</v>
      </c>
      <c r="AB541">
        <v>2345</v>
      </c>
      <c r="AC541" s="28">
        <f>ifood_data[[#This Row],[Customer_Days]]/365</f>
        <v>6.4246575342465757</v>
      </c>
      <c r="AD541">
        <v>0</v>
      </c>
      <c r="AE541">
        <v>1</v>
      </c>
      <c r="AF541">
        <v>0</v>
      </c>
      <c r="AG541">
        <v>0</v>
      </c>
      <c r="AH541">
        <v>0</v>
      </c>
      <c r="AI541">
        <v>0</v>
      </c>
      <c r="AJ541">
        <v>0</v>
      </c>
      <c r="AK541">
        <v>1</v>
      </c>
      <c r="AL541">
        <v>0</v>
      </c>
      <c r="AM541">
        <v>0</v>
      </c>
      <c r="AN541">
        <v>682</v>
      </c>
      <c r="AO541">
        <v>649</v>
      </c>
      <c r="AP541">
        <f>ifood_data[[#This Row],[MntTotal]]-ifood_data[[#This Row],[MntRegularProds]]</f>
        <v>33</v>
      </c>
      <c r="AQ541">
        <v>0</v>
      </c>
      <c r="AR541">
        <f>IF(SUM(ifood_data[[#This Row],[Kidhome]:[Teenhome]])&gt;0,1,0)</f>
        <v>1</v>
      </c>
      <c r="AS541" t="str">
        <f>IF(SUM(ifood_data[[#This Row],[Kidhome]:[Teenhome]])&gt;0,"Has Family","No Family")</f>
        <v>Has Family</v>
      </c>
      <c r="AT541" t="str">
        <f>IF(ifood_data[[#This Row],[marital_Married]]=1,"Married", (IF(ifood_data[[#This Row],[marital_Single]]=1,"Single",(IF(ifood_data[[#This Row],[marital_Divorced]]=1,"Divorced",(IF(ifood_data[[#This Row],[marital_Together]]=1,"Living Together",(IF(ifood_data[[#This Row],[marital_Widow]]=1,"Widow","Other")))))))))</f>
        <v>Married</v>
      </c>
      <c r="AU541" t="str">
        <f>IF(ifood_data[[#This Row],[education_Basic]]=1,"High School",(IF(ifood_data[[#This Row],[education_Graduation]]=1,"Undergraduate Degree",(IF(SUM(AM541,AL541,AI541)&gt;0,"Master's Degree or Higher","Other")))))</f>
        <v>Undergraduate Degree</v>
      </c>
      <c r="AV541" t="str">
        <f>IF(ifood_data[[#All],[Income]]&gt;75000,"75K+",(IF(ifood_data[[#All],[Income]]&gt;50000,"50K-75K",(IF(ifood_data[[#All],[Income]]&gt;35000,"35K-50K","&lt;35K")))))</f>
        <v>50K-75K</v>
      </c>
      <c r="AW541" t="str">
        <f>IF(ifood_data[[#All],[Age]]&gt;60,"60+",(IF(ifood_data[[#All],[Age]]&gt;50,"50-60",(IF(ifood_data[[#All],[Age]]&gt;40,"40-50",(IF(ifood_data[[#All],[Age]]&gt;30,"30-40","&lt;30")))))))</f>
        <v>60+</v>
      </c>
      <c r="AX541">
        <f t="shared" si="32"/>
        <v>23</v>
      </c>
      <c r="AY541">
        <f t="shared" si="33"/>
        <v>1.9999999999999996</v>
      </c>
      <c r="AZ541">
        <f t="shared" si="34"/>
        <v>6</v>
      </c>
      <c r="BA541">
        <f t="shared" si="35"/>
        <v>6</v>
      </c>
      <c r="BB541">
        <f>SUM(ifood_data[[#This Row],[Recency Score]:[Monetary Score]])</f>
        <v>14</v>
      </c>
      <c r="BC541">
        <f>(_xlfn.PERCENTRANK.INC(ifood_data[[#All],[RFM]],ifood_data[[#This Row],[RFM]],1))*10</f>
        <v>4</v>
      </c>
      <c r="BD541" t="str">
        <f>VLOOKUP(ifood_data[[#This Row],[RFM Score]],'RFM Analysis'!$A$3:$B$14,2,FALSE)</f>
        <v>At Risk</v>
      </c>
      <c r="BE541">
        <f>'Regression Models'!$B$101+'Regression Models'!$B$102*ifood_data[[#This Row],[Income]]+'Regression Models'!$B$103*ifood_data[[#This Row],[Age]]+'Regression Models'!$B$104*ifood_data[[#This Row],[Family]]</f>
        <v>870.29822303272192</v>
      </c>
      <c r="BF541" t="str">
        <f>IF(ifood_data[[#This Row],[AcceptedCmpOverall]]=1,"Campaign Respondent","Non-respondent")</f>
        <v>Non-respondent</v>
      </c>
    </row>
    <row r="542" spans="1:58" x14ac:dyDescent="0.35">
      <c r="A542">
        <v>372</v>
      </c>
      <c r="B542">
        <v>70777</v>
      </c>
      <c r="C542">
        <v>0</v>
      </c>
      <c r="D542">
        <v>1</v>
      </c>
      <c r="E542">
        <v>80</v>
      </c>
      <c r="F542">
        <v>554</v>
      </c>
      <c r="G542">
        <v>35</v>
      </c>
      <c r="H542">
        <v>113</v>
      </c>
      <c r="I542">
        <v>0</v>
      </c>
      <c r="J542">
        <v>7</v>
      </c>
      <c r="K542">
        <v>78</v>
      </c>
      <c r="L542">
        <v>3</v>
      </c>
      <c r="M542">
        <v>5</v>
      </c>
      <c r="N542">
        <v>3</v>
      </c>
      <c r="O542">
        <v>12</v>
      </c>
      <c r="P542">
        <v>3</v>
      </c>
      <c r="Q542">
        <v>0</v>
      </c>
      <c r="R542">
        <v>0</v>
      </c>
      <c r="S542">
        <v>0</v>
      </c>
      <c r="T542">
        <v>0</v>
      </c>
      <c r="U542">
        <v>0</v>
      </c>
      <c r="V542">
        <f>IF(SUM(ifood_data[[#This Row],[AcceptedCmp1]:[AcceptedCmp5]])&gt;0,1,0)</f>
        <v>0</v>
      </c>
      <c r="W542">
        <v>0</v>
      </c>
      <c r="X542">
        <v>3</v>
      </c>
      <c r="Y542">
        <v>11</v>
      </c>
      <c r="Z542">
        <v>0</v>
      </c>
      <c r="AA542">
        <v>52</v>
      </c>
      <c r="AB542">
        <v>2283</v>
      </c>
      <c r="AC542" s="28">
        <f>ifood_data[[#This Row],[Customer_Days]]/365</f>
        <v>6.2547945205479456</v>
      </c>
      <c r="AD542">
        <v>0</v>
      </c>
      <c r="AE542">
        <v>1</v>
      </c>
      <c r="AF542">
        <v>0</v>
      </c>
      <c r="AG542">
        <v>0</v>
      </c>
      <c r="AH542">
        <v>0</v>
      </c>
      <c r="AI542">
        <v>0</v>
      </c>
      <c r="AJ542">
        <v>0</v>
      </c>
      <c r="AK542">
        <v>0</v>
      </c>
      <c r="AL542">
        <v>1</v>
      </c>
      <c r="AM542">
        <v>0</v>
      </c>
      <c r="AN542">
        <v>709</v>
      </c>
      <c r="AO542">
        <v>631</v>
      </c>
      <c r="AP542">
        <f>ifood_data[[#This Row],[MntTotal]]-ifood_data[[#This Row],[MntRegularProds]]</f>
        <v>78</v>
      </c>
      <c r="AQ542">
        <v>0</v>
      </c>
      <c r="AR542">
        <f>IF(SUM(ifood_data[[#This Row],[Kidhome]:[Teenhome]])&gt;0,1,0)</f>
        <v>1</v>
      </c>
      <c r="AS542" t="str">
        <f>IF(SUM(ifood_data[[#This Row],[Kidhome]:[Teenhome]])&gt;0,"Has Family","No Family")</f>
        <v>Has Family</v>
      </c>
      <c r="AT542" t="str">
        <f>IF(ifood_data[[#This Row],[marital_Married]]=1,"Married", (IF(ifood_data[[#This Row],[marital_Single]]=1,"Single",(IF(ifood_data[[#This Row],[marital_Divorced]]=1,"Divorced",(IF(ifood_data[[#This Row],[marital_Together]]=1,"Living Together",(IF(ifood_data[[#This Row],[marital_Widow]]=1,"Widow","Other")))))))))</f>
        <v>Married</v>
      </c>
      <c r="AU542" t="str">
        <f>IF(ifood_data[[#This Row],[education_Basic]]=1,"High School",(IF(ifood_data[[#This Row],[education_Graduation]]=1,"Undergraduate Degree",(IF(SUM(AM542,AL542,AI542)&gt;0,"Master's Degree or Higher","Other")))))</f>
        <v>Master's Degree or Higher</v>
      </c>
      <c r="AV542" t="str">
        <f>IF(ifood_data[[#All],[Income]]&gt;75000,"75K+",(IF(ifood_data[[#All],[Income]]&gt;50000,"50K-75K",(IF(ifood_data[[#All],[Income]]&gt;35000,"35K-50K","&lt;35K")))))</f>
        <v>50K-75K</v>
      </c>
      <c r="AW542" t="str">
        <f>IF(ifood_data[[#All],[Age]]&gt;60,"60+",(IF(ifood_data[[#All],[Age]]&gt;50,"50-60",(IF(ifood_data[[#All],[Age]]&gt;40,"40-50",(IF(ifood_data[[#All],[Age]]&gt;30,"30-40","&lt;30")))))))</f>
        <v>50-60</v>
      </c>
      <c r="AX542">
        <f t="shared" si="32"/>
        <v>26</v>
      </c>
      <c r="AY542">
        <f t="shared" si="33"/>
        <v>1.9999999999999996</v>
      </c>
      <c r="AZ542">
        <f t="shared" si="34"/>
        <v>7</v>
      </c>
      <c r="BA542">
        <f t="shared" si="35"/>
        <v>6</v>
      </c>
      <c r="BB542">
        <f>SUM(ifood_data[[#This Row],[Recency Score]:[Monetary Score]])</f>
        <v>15</v>
      </c>
      <c r="BC542">
        <f>(_xlfn.PERCENTRANK.INC(ifood_data[[#All],[RFM]],ifood_data[[#This Row],[RFM]],1))*10</f>
        <v>4</v>
      </c>
      <c r="BD542" t="str">
        <f>VLOOKUP(ifood_data[[#This Row],[RFM Score]],'RFM Analysis'!$A$3:$B$14,2,FALSE)</f>
        <v>At Risk</v>
      </c>
      <c r="BE542">
        <f>'Regression Models'!$B$101+'Regression Models'!$B$102*ifood_data[[#This Row],[Income]]+'Regression Models'!$B$103*ifood_data[[#This Row],[Age]]+'Regression Models'!$B$104*ifood_data[[#This Row],[Family]]</f>
        <v>870.13212347074762</v>
      </c>
      <c r="BF542" t="str">
        <f>IF(ifood_data[[#This Row],[AcceptedCmpOverall]]=1,"Campaign Respondent","Non-respondent")</f>
        <v>Non-respondent</v>
      </c>
    </row>
    <row r="543" spans="1:58" x14ac:dyDescent="0.35">
      <c r="A543">
        <v>1336</v>
      </c>
      <c r="B543">
        <v>70844</v>
      </c>
      <c r="C543">
        <v>1</v>
      </c>
      <c r="D543">
        <v>1</v>
      </c>
      <c r="E543">
        <v>16</v>
      </c>
      <c r="F543">
        <v>129</v>
      </c>
      <c r="G543">
        <v>26</v>
      </c>
      <c r="H543">
        <v>67</v>
      </c>
      <c r="I543">
        <v>3</v>
      </c>
      <c r="J543">
        <v>67</v>
      </c>
      <c r="K543">
        <v>2</v>
      </c>
      <c r="L543">
        <v>5</v>
      </c>
      <c r="M543">
        <v>6</v>
      </c>
      <c r="N543">
        <v>1</v>
      </c>
      <c r="O543">
        <v>5</v>
      </c>
      <c r="P543">
        <v>7</v>
      </c>
      <c r="Q543">
        <v>0</v>
      </c>
      <c r="R543">
        <v>0</v>
      </c>
      <c r="S543">
        <v>0</v>
      </c>
      <c r="T543">
        <v>0</v>
      </c>
      <c r="U543">
        <v>0</v>
      </c>
      <c r="V543">
        <f>IF(SUM(ifood_data[[#This Row],[AcceptedCmp1]:[AcceptedCmp5]])&gt;0,1,0)</f>
        <v>0</v>
      </c>
      <c r="W543">
        <v>0</v>
      </c>
      <c r="X543">
        <v>3</v>
      </c>
      <c r="Y543">
        <v>11</v>
      </c>
      <c r="Z543">
        <v>0</v>
      </c>
      <c r="AA543">
        <v>53</v>
      </c>
      <c r="AB543">
        <v>2401</v>
      </c>
      <c r="AC543" s="28">
        <f>ifood_data[[#This Row],[Customer_Days]]/365</f>
        <v>6.5780821917808217</v>
      </c>
      <c r="AD543">
        <v>1</v>
      </c>
      <c r="AE543">
        <v>0</v>
      </c>
      <c r="AF543">
        <v>0</v>
      </c>
      <c r="AG543">
        <v>0</v>
      </c>
      <c r="AH543">
        <v>0</v>
      </c>
      <c r="AI543">
        <v>0</v>
      </c>
      <c r="AJ543">
        <v>0</v>
      </c>
      <c r="AK543">
        <v>1</v>
      </c>
      <c r="AL543">
        <v>0</v>
      </c>
      <c r="AM543">
        <v>0</v>
      </c>
      <c r="AN543">
        <v>292</v>
      </c>
      <c r="AO543">
        <v>290</v>
      </c>
      <c r="AP543">
        <f>ifood_data[[#This Row],[MntTotal]]-ifood_data[[#This Row],[MntRegularProds]]</f>
        <v>2</v>
      </c>
      <c r="AQ543">
        <v>0</v>
      </c>
      <c r="AR543">
        <f>IF(SUM(ifood_data[[#This Row],[Kidhome]:[Teenhome]])&gt;0,1,0)</f>
        <v>1</v>
      </c>
      <c r="AS543" t="str">
        <f>IF(SUM(ifood_data[[#This Row],[Kidhome]:[Teenhome]])&gt;0,"Has Family","No Family")</f>
        <v>Has Family</v>
      </c>
      <c r="AT543" t="str">
        <f>IF(ifood_data[[#This Row],[marital_Married]]=1,"Married", (IF(ifood_data[[#This Row],[marital_Single]]=1,"Single",(IF(ifood_data[[#This Row],[marital_Divorced]]=1,"Divorced",(IF(ifood_data[[#This Row],[marital_Together]]=1,"Living Together",(IF(ifood_data[[#This Row],[marital_Widow]]=1,"Widow","Other")))))))))</f>
        <v>Divorced</v>
      </c>
      <c r="AU543" t="str">
        <f>IF(ifood_data[[#This Row],[education_Basic]]=1,"High School",(IF(ifood_data[[#This Row],[education_Graduation]]=1,"Undergraduate Degree",(IF(SUM(AM543,AL543,AI543)&gt;0,"Master's Degree or Higher","Other")))))</f>
        <v>Undergraduate Degree</v>
      </c>
      <c r="AV543" t="str">
        <f>IF(ifood_data[[#All],[Income]]&gt;75000,"75K+",(IF(ifood_data[[#All],[Income]]&gt;50000,"50K-75K",(IF(ifood_data[[#All],[Income]]&gt;35000,"35K-50K","&lt;35K")))))</f>
        <v>50K-75K</v>
      </c>
      <c r="AW543" t="str">
        <f>IF(ifood_data[[#All],[Age]]&gt;60,"60+",(IF(ifood_data[[#All],[Age]]&gt;50,"50-60",(IF(ifood_data[[#All],[Age]]&gt;40,"40-50",(IF(ifood_data[[#All],[Age]]&gt;30,"30-40","&lt;30")))))))</f>
        <v>50-60</v>
      </c>
      <c r="AX543">
        <f t="shared" si="32"/>
        <v>24</v>
      </c>
      <c r="AY543">
        <f t="shared" si="33"/>
        <v>9</v>
      </c>
      <c r="AZ543">
        <f t="shared" si="34"/>
        <v>6</v>
      </c>
      <c r="BA543">
        <f t="shared" si="35"/>
        <v>4</v>
      </c>
      <c r="BB543">
        <f>SUM(ifood_data[[#This Row],[Recency Score]:[Monetary Score]])</f>
        <v>19</v>
      </c>
      <c r="BC543">
        <f>(_xlfn.PERCENTRANK.INC(ifood_data[[#All],[RFM]],ifood_data[[#This Row],[RFM]],1))*10</f>
        <v>7</v>
      </c>
      <c r="BD543" t="str">
        <f>VLOOKUP(ifood_data[[#This Row],[RFM Score]],'RFM Analysis'!$A$3:$B$14,2,FALSE)</f>
        <v>Loyal Customer</v>
      </c>
      <c r="BE543">
        <f>'Regression Models'!$B$101+'Regression Models'!$B$102*ifood_data[[#This Row],[Income]]+'Regression Models'!$B$103*ifood_data[[#This Row],[Age]]+'Regression Models'!$B$104*ifood_data[[#This Row],[Family]]</f>
        <v>869.6617318574946</v>
      </c>
      <c r="BF543" t="str">
        <f>IF(ifood_data[[#This Row],[AcceptedCmpOverall]]=1,"Campaign Respondent","Non-respondent")</f>
        <v>Non-respondent</v>
      </c>
    </row>
    <row r="544" spans="1:58" x14ac:dyDescent="0.35">
      <c r="A544">
        <v>780</v>
      </c>
      <c r="B544">
        <v>57091</v>
      </c>
      <c r="C544">
        <v>0</v>
      </c>
      <c r="D544">
        <v>0</v>
      </c>
      <c r="E544">
        <v>0</v>
      </c>
      <c r="F544">
        <v>464</v>
      </c>
      <c r="G544">
        <v>5</v>
      </c>
      <c r="H544">
        <v>64</v>
      </c>
      <c r="I544">
        <v>7</v>
      </c>
      <c r="J544">
        <v>0</v>
      </c>
      <c r="K544">
        <v>37</v>
      </c>
      <c r="L544">
        <v>1</v>
      </c>
      <c r="M544">
        <v>7</v>
      </c>
      <c r="N544">
        <v>3</v>
      </c>
      <c r="O544">
        <v>7</v>
      </c>
      <c r="P544">
        <v>5</v>
      </c>
      <c r="Q544">
        <v>0</v>
      </c>
      <c r="R544">
        <v>1</v>
      </c>
      <c r="S544">
        <v>0</v>
      </c>
      <c r="T544">
        <v>0</v>
      </c>
      <c r="U544">
        <v>0</v>
      </c>
      <c r="V544">
        <f>IF(SUM(ifood_data[[#This Row],[AcceptedCmp1]:[AcceptedCmp5]])&gt;0,1,0)</f>
        <v>1</v>
      </c>
      <c r="W544">
        <v>0</v>
      </c>
      <c r="X544">
        <v>3</v>
      </c>
      <c r="Y544">
        <v>11</v>
      </c>
      <c r="Z544">
        <v>1</v>
      </c>
      <c r="AA544">
        <v>59</v>
      </c>
      <c r="AB544">
        <v>2173</v>
      </c>
      <c r="AC544" s="28">
        <f>ifood_data[[#This Row],[Customer_Days]]/365</f>
        <v>5.9534246575342467</v>
      </c>
      <c r="AD544">
        <v>0</v>
      </c>
      <c r="AE544">
        <v>0</v>
      </c>
      <c r="AF544">
        <v>1</v>
      </c>
      <c r="AG544">
        <v>0</v>
      </c>
      <c r="AH544">
        <v>0</v>
      </c>
      <c r="AI544">
        <v>0</v>
      </c>
      <c r="AJ544">
        <v>0</v>
      </c>
      <c r="AK544">
        <v>1</v>
      </c>
      <c r="AL544">
        <v>0</v>
      </c>
      <c r="AM544">
        <v>0</v>
      </c>
      <c r="AN544">
        <v>540</v>
      </c>
      <c r="AO544">
        <v>503</v>
      </c>
      <c r="AP544">
        <f>ifood_data[[#This Row],[MntTotal]]-ifood_data[[#This Row],[MntRegularProds]]</f>
        <v>37</v>
      </c>
      <c r="AQ544">
        <v>1</v>
      </c>
      <c r="AR544">
        <f>IF(SUM(ifood_data[[#This Row],[Kidhome]:[Teenhome]])&gt;0,1,0)</f>
        <v>0</v>
      </c>
      <c r="AS544" t="str">
        <f>IF(SUM(ifood_data[[#This Row],[Kidhome]:[Teenhome]])&gt;0,"Has Family","No Family")</f>
        <v>No Family</v>
      </c>
      <c r="AT544" t="str">
        <f>IF(ifood_data[[#This Row],[marital_Married]]=1,"Married", (IF(ifood_data[[#This Row],[marital_Single]]=1,"Single",(IF(ifood_data[[#This Row],[marital_Divorced]]=1,"Divorced",(IF(ifood_data[[#This Row],[marital_Together]]=1,"Living Together",(IF(ifood_data[[#This Row],[marital_Widow]]=1,"Widow","Other")))))))))</f>
        <v>Single</v>
      </c>
      <c r="AU544" t="str">
        <f>IF(ifood_data[[#This Row],[education_Basic]]=1,"High School",(IF(ifood_data[[#This Row],[education_Graduation]]=1,"Undergraduate Degree",(IF(SUM(AM544,AL544,AI544)&gt;0,"Master's Degree or Higher","Other")))))</f>
        <v>Undergraduate Degree</v>
      </c>
      <c r="AV544" t="str">
        <f>IF(ifood_data[[#All],[Income]]&gt;75000,"75K+",(IF(ifood_data[[#All],[Income]]&gt;50000,"50K-75K",(IF(ifood_data[[#All],[Income]]&gt;35000,"35K-50K","&lt;35K")))))</f>
        <v>50K-75K</v>
      </c>
      <c r="AW544" t="str">
        <f>IF(ifood_data[[#All],[Age]]&gt;60,"60+",(IF(ifood_data[[#All],[Age]]&gt;50,"50-60",(IF(ifood_data[[#All],[Age]]&gt;40,"40-50",(IF(ifood_data[[#All],[Age]]&gt;30,"30-40","&lt;30")))))))</f>
        <v>50-60</v>
      </c>
      <c r="AX544">
        <f t="shared" si="32"/>
        <v>23</v>
      </c>
      <c r="AY544">
        <f t="shared" si="33"/>
        <v>10</v>
      </c>
      <c r="AZ544">
        <f t="shared" si="34"/>
        <v>6</v>
      </c>
      <c r="BA544">
        <f t="shared" si="35"/>
        <v>5</v>
      </c>
      <c r="BB544">
        <f>SUM(ifood_data[[#This Row],[Recency Score]:[Monetary Score]])</f>
        <v>21</v>
      </c>
      <c r="BC544">
        <f>(_xlfn.PERCENTRANK.INC(ifood_data[[#All],[RFM]],ifood_data[[#This Row],[RFM]],1))*10</f>
        <v>8</v>
      </c>
      <c r="BD544" t="str">
        <f>VLOOKUP(ifood_data[[#This Row],[RFM Score]],'RFM Analysis'!$A$3:$B$14,2,FALSE)</f>
        <v>Loyal Customer</v>
      </c>
      <c r="BE544">
        <f>'Regression Models'!$B$101+'Regression Models'!$B$102*ifood_data[[#This Row],[Income]]+'Regression Models'!$B$103*ifood_data[[#This Row],[Age]]+'Regression Models'!$B$104*ifood_data[[#This Row],[Family]]</f>
        <v>867.85000017410266</v>
      </c>
      <c r="BF544" t="str">
        <f>IF(ifood_data[[#This Row],[AcceptedCmpOverall]]=1,"Campaign Respondent","Non-respondent")</f>
        <v>Campaign Respondent</v>
      </c>
    </row>
    <row r="545" spans="1:58" x14ac:dyDescent="0.35">
      <c r="A545">
        <v>205</v>
      </c>
      <c r="B545">
        <v>69508</v>
      </c>
      <c r="C545">
        <v>1</v>
      </c>
      <c r="D545">
        <v>0</v>
      </c>
      <c r="E545">
        <v>48</v>
      </c>
      <c r="F545">
        <v>824</v>
      </c>
      <c r="G545">
        <v>32</v>
      </c>
      <c r="H545">
        <v>162</v>
      </c>
      <c r="I545">
        <v>42</v>
      </c>
      <c r="J545">
        <v>32</v>
      </c>
      <c r="K545">
        <v>43</v>
      </c>
      <c r="L545">
        <v>2</v>
      </c>
      <c r="M545">
        <v>11</v>
      </c>
      <c r="N545">
        <v>4</v>
      </c>
      <c r="O545">
        <v>11</v>
      </c>
      <c r="P545">
        <v>6</v>
      </c>
      <c r="Q545">
        <v>0</v>
      </c>
      <c r="R545">
        <v>0</v>
      </c>
      <c r="S545">
        <v>0</v>
      </c>
      <c r="T545">
        <v>0</v>
      </c>
      <c r="U545">
        <v>0</v>
      </c>
      <c r="V545">
        <f>IF(SUM(ifood_data[[#This Row],[AcceptedCmp1]:[AcceptedCmp5]])&gt;0,1,0)</f>
        <v>0</v>
      </c>
      <c r="W545">
        <v>0</v>
      </c>
      <c r="X545">
        <v>3</v>
      </c>
      <c r="Y545">
        <v>11</v>
      </c>
      <c r="Z545">
        <v>0</v>
      </c>
      <c r="AA545">
        <v>40</v>
      </c>
      <c r="AB545">
        <v>2751</v>
      </c>
      <c r="AC545" s="28">
        <f>ifood_data[[#This Row],[Customer_Days]]/365</f>
        <v>7.536986301369863</v>
      </c>
      <c r="AD545">
        <v>0</v>
      </c>
      <c r="AE545">
        <v>0</v>
      </c>
      <c r="AF545">
        <v>0</v>
      </c>
      <c r="AG545">
        <v>1</v>
      </c>
      <c r="AH545">
        <v>0</v>
      </c>
      <c r="AI545">
        <v>0</v>
      </c>
      <c r="AJ545">
        <v>0</v>
      </c>
      <c r="AK545">
        <v>1</v>
      </c>
      <c r="AL545">
        <v>0</v>
      </c>
      <c r="AM545">
        <v>0</v>
      </c>
      <c r="AN545">
        <v>1092</v>
      </c>
      <c r="AO545">
        <v>1049</v>
      </c>
      <c r="AP545">
        <f>ifood_data[[#This Row],[MntTotal]]-ifood_data[[#This Row],[MntRegularProds]]</f>
        <v>43</v>
      </c>
      <c r="AQ545">
        <v>0</v>
      </c>
      <c r="AR545">
        <f>IF(SUM(ifood_data[[#This Row],[Kidhome]:[Teenhome]])&gt;0,1,0)</f>
        <v>1</v>
      </c>
      <c r="AS545" t="str">
        <f>IF(SUM(ifood_data[[#This Row],[Kidhome]:[Teenhome]])&gt;0,"Has Family","No Family")</f>
        <v>Has Family</v>
      </c>
      <c r="AT545" t="str">
        <f>IF(ifood_data[[#This Row],[marital_Married]]=1,"Married", (IF(ifood_data[[#This Row],[marital_Single]]=1,"Single",(IF(ifood_data[[#This Row],[marital_Divorced]]=1,"Divorced",(IF(ifood_data[[#This Row],[marital_Together]]=1,"Living Together",(IF(ifood_data[[#This Row],[marital_Widow]]=1,"Widow","Other")))))))))</f>
        <v>Living Together</v>
      </c>
      <c r="AU545" t="str">
        <f>IF(ifood_data[[#This Row],[education_Basic]]=1,"High School",(IF(ifood_data[[#This Row],[education_Graduation]]=1,"Undergraduate Degree",(IF(SUM(AM545,AL545,AI545)&gt;0,"Master's Degree or Higher","Other")))))</f>
        <v>Undergraduate Degree</v>
      </c>
      <c r="AV545" t="str">
        <f>IF(ifood_data[[#All],[Income]]&gt;75000,"75K+",(IF(ifood_data[[#All],[Income]]&gt;50000,"50K-75K",(IF(ifood_data[[#All],[Income]]&gt;35000,"35K-50K","&lt;35K")))))</f>
        <v>50K-75K</v>
      </c>
      <c r="AW545" t="str">
        <f>IF(ifood_data[[#All],[Age]]&gt;60,"60+",(IF(ifood_data[[#All],[Age]]&gt;50,"50-60",(IF(ifood_data[[#All],[Age]]&gt;40,"40-50",(IF(ifood_data[[#All],[Age]]&gt;30,"30-40","&lt;30")))))))</f>
        <v>30-40</v>
      </c>
      <c r="AX545">
        <f t="shared" si="32"/>
        <v>34</v>
      </c>
      <c r="AY545">
        <f t="shared" si="33"/>
        <v>6</v>
      </c>
      <c r="AZ545">
        <f t="shared" si="34"/>
        <v>9</v>
      </c>
      <c r="BA545">
        <f t="shared" si="35"/>
        <v>7</v>
      </c>
      <c r="BB545">
        <f>SUM(ifood_data[[#This Row],[Recency Score]:[Monetary Score]])</f>
        <v>22</v>
      </c>
      <c r="BC545">
        <f>(_xlfn.PERCENTRANK.INC(ifood_data[[#All],[RFM]],ifood_data[[#This Row],[RFM]],1))*10</f>
        <v>8</v>
      </c>
      <c r="BD545" t="str">
        <f>VLOOKUP(ifood_data[[#This Row],[RFM Score]],'RFM Analysis'!$A$3:$B$14,2,FALSE)</f>
        <v>Loyal Customer</v>
      </c>
      <c r="BE545">
        <f>'Regression Models'!$B$101+'Regression Models'!$B$102*ifood_data[[#This Row],[Income]]+'Regression Models'!$B$103*ifood_data[[#This Row],[Age]]+'Regression Models'!$B$104*ifood_data[[#This Row],[Family]]</f>
        <v>866.29604564287104</v>
      </c>
      <c r="BF545" t="str">
        <f>IF(ifood_data[[#This Row],[AcceptedCmpOverall]]=1,"Campaign Respondent","Non-respondent")</f>
        <v>Non-respondent</v>
      </c>
    </row>
    <row r="546" spans="1:58" x14ac:dyDescent="0.35">
      <c r="A546">
        <v>1058</v>
      </c>
      <c r="B546">
        <v>70566</v>
      </c>
      <c r="C546">
        <v>0</v>
      </c>
      <c r="D546">
        <v>1</v>
      </c>
      <c r="E546">
        <v>4</v>
      </c>
      <c r="F546">
        <v>381</v>
      </c>
      <c r="G546">
        <v>28</v>
      </c>
      <c r="H546">
        <v>215</v>
      </c>
      <c r="I546">
        <v>84</v>
      </c>
      <c r="J546">
        <v>28</v>
      </c>
      <c r="K546">
        <v>21</v>
      </c>
      <c r="L546">
        <v>2</v>
      </c>
      <c r="M546">
        <v>6</v>
      </c>
      <c r="N546">
        <v>5</v>
      </c>
      <c r="O546">
        <v>9</v>
      </c>
      <c r="P546">
        <v>3</v>
      </c>
      <c r="Q546">
        <v>0</v>
      </c>
      <c r="R546">
        <v>0</v>
      </c>
      <c r="S546">
        <v>0</v>
      </c>
      <c r="T546">
        <v>0</v>
      </c>
      <c r="U546">
        <v>0</v>
      </c>
      <c r="V546">
        <f>IF(SUM(ifood_data[[#This Row],[AcceptedCmp1]:[AcceptedCmp5]])&gt;0,1,0)</f>
        <v>0</v>
      </c>
      <c r="W546">
        <v>0</v>
      </c>
      <c r="X546">
        <v>3</v>
      </c>
      <c r="Y546">
        <v>11</v>
      </c>
      <c r="Z546">
        <v>0</v>
      </c>
      <c r="AA546">
        <v>52</v>
      </c>
      <c r="AB546">
        <v>2425</v>
      </c>
      <c r="AC546" s="28">
        <f>ifood_data[[#This Row],[Customer_Days]]/365</f>
        <v>6.6438356164383565</v>
      </c>
      <c r="AD546">
        <v>0</v>
      </c>
      <c r="AE546">
        <v>0</v>
      </c>
      <c r="AF546">
        <v>1</v>
      </c>
      <c r="AG546">
        <v>0</v>
      </c>
      <c r="AH546">
        <v>0</v>
      </c>
      <c r="AI546">
        <v>0</v>
      </c>
      <c r="AJ546">
        <v>0</v>
      </c>
      <c r="AK546">
        <v>1</v>
      </c>
      <c r="AL546">
        <v>0</v>
      </c>
      <c r="AM546">
        <v>0</v>
      </c>
      <c r="AN546">
        <v>736</v>
      </c>
      <c r="AO546">
        <v>715</v>
      </c>
      <c r="AP546">
        <f>ifood_data[[#This Row],[MntTotal]]-ifood_data[[#This Row],[MntRegularProds]]</f>
        <v>21</v>
      </c>
      <c r="AQ546">
        <v>0</v>
      </c>
      <c r="AR546">
        <f>IF(SUM(ifood_data[[#This Row],[Kidhome]:[Teenhome]])&gt;0,1,0)</f>
        <v>1</v>
      </c>
      <c r="AS546" t="str">
        <f>IF(SUM(ifood_data[[#This Row],[Kidhome]:[Teenhome]])&gt;0,"Has Family","No Family")</f>
        <v>Has Family</v>
      </c>
      <c r="AT546" t="str">
        <f>IF(ifood_data[[#This Row],[marital_Married]]=1,"Married", (IF(ifood_data[[#This Row],[marital_Single]]=1,"Single",(IF(ifood_data[[#This Row],[marital_Divorced]]=1,"Divorced",(IF(ifood_data[[#This Row],[marital_Together]]=1,"Living Together",(IF(ifood_data[[#This Row],[marital_Widow]]=1,"Widow","Other")))))))))</f>
        <v>Single</v>
      </c>
      <c r="AU546" t="str">
        <f>IF(ifood_data[[#This Row],[education_Basic]]=1,"High School",(IF(ifood_data[[#This Row],[education_Graduation]]=1,"Undergraduate Degree",(IF(SUM(AM546,AL546,AI546)&gt;0,"Master's Degree or Higher","Other")))))</f>
        <v>Undergraduate Degree</v>
      </c>
      <c r="AV546" t="str">
        <f>IF(ifood_data[[#All],[Income]]&gt;75000,"75K+",(IF(ifood_data[[#All],[Income]]&gt;50000,"50K-75K",(IF(ifood_data[[#All],[Income]]&gt;35000,"35K-50K","&lt;35K")))))</f>
        <v>50K-75K</v>
      </c>
      <c r="AW546" t="str">
        <f>IF(ifood_data[[#All],[Age]]&gt;60,"60+",(IF(ifood_data[[#All],[Age]]&gt;50,"50-60",(IF(ifood_data[[#All],[Age]]&gt;40,"40-50",(IF(ifood_data[[#All],[Age]]&gt;30,"30-40","&lt;30")))))))</f>
        <v>50-60</v>
      </c>
      <c r="AX546">
        <f t="shared" si="32"/>
        <v>25</v>
      </c>
      <c r="AY546">
        <f t="shared" si="33"/>
        <v>10</v>
      </c>
      <c r="AZ546">
        <f t="shared" si="34"/>
        <v>7</v>
      </c>
      <c r="BA546">
        <f t="shared" si="35"/>
        <v>6</v>
      </c>
      <c r="BB546">
        <f>SUM(ifood_data[[#This Row],[Recency Score]:[Monetary Score]])</f>
        <v>23</v>
      </c>
      <c r="BC546">
        <f>(_xlfn.PERCENTRANK.INC(ifood_data[[#All],[RFM]],ifood_data[[#This Row],[RFM]],1))*10</f>
        <v>8</v>
      </c>
      <c r="BD546" t="str">
        <f>VLOOKUP(ifood_data[[#This Row],[RFM Score]],'RFM Analysis'!$A$3:$B$14,2,FALSE)</f>
        <v>Loyal Customer</v>
      </c>
      <c r="BE546">
        <f>'Regression Models'!$B$101+'Regression Models'!$B$102*ifood_data[[#This Row],[Income]]+'Regression Models'!$B$103*ifood_data[[#This Row],[Age]]+'Regression Models'!$B$104*ifood_data[[#This Row],[Family]]</f>
        <v>865.83009339238481</v>
      </c>
      <c r="BF546" t="str">
        <f>IF(ifood_data[[#This Row],[AcceptedCmpOverall]]=1,"Campaign Respondent","Non-respondent")</f>
        <v>Non-respondent</v>
      </c>
    </row>
    <row r="547" spans="1:58" x14ac:dyDescent="0.35">
      <c r="A547">
        <v>909</v>
      </c>
      <c r="B547">
        <v>70647</v>
      </c>
      <c r="C547">
        <v>0</v>
      </c>
      <c r="D547">
        <v>1</v>
      </c>
      <c r="E547">
        <v>65</v>
      </c>
      <c r="F547">
        <v>561</v>
      </c>
      <c r="G547">
        <v>85</v>
      </c>
      <c r="H547">
        <v>171</v>
      </c>
      <c r="I547">
        <v>25</v>
      </c>
      <c r="J547">
        <v>123</v>
      </c>
      <c r="K547">
        <v>114</v>
      </c>
      <c r="L547">
        <v>2</v>
      </c>
      <c r="M547">
        <v>4</v>
      </c>
      <c r="N547">
        <v>7</v>
      </c>
      <c r="O547">
        <v>13</v>
      </c>
      <c r="P547">
        <v>2</v>
      </c>
      <c r="Q547">
        <v>0</v>
      </c>
      <c r="R547">
        <v>0</v>
      </c>
      <c r="S547">
        <v>0</v>
      </c>
      <c r="T547">
        <v>0</v>
      </c>
      <c r="U547">
        <v>0</v>
      </c>
      <c r="V547">
        <f>IF(SUM(ifood_data[[#This Row],[AcceptedCmp1]:[AcceptedCmp5]])&gt;0,1,0)</f>
        <v>0</v>
      </c>
      <c r="W547">
        <v>0</v>
      </c>
      <c r="X547">
        <v>3</v>
      </c>
      <c r="Y547">
        <v>11</v>
      </c>
      <c r="Z547">
        <v>0</v>
      </c>
      <c r="AA547">
        <v>53</v>
      </c>
      <c r="AB547">
        <v>2805</v>
      </c>
      <c r="AC547" s="28">
        <f>ifood_data[[#This Row],[Customer_Days]]/365</f>
        <v>7.6849315068493151</v>
      </c>
      <c r="AD547">
        <v>1</v>
      </c>
      <c r="AE547">
        <v>0</v>
      </c>
      <c r="AF547">
        <v>0</v>
      </c>
      <c r="AG547">
        <v>0</v>
      </c>
      <c r="AH547">
        <v>0</v>
      </c>
      <c r="AI547">
        <v>0</v>
      </c>
      <c r="AJ547">
        <v>0</v>
      </c>
      <c r="AK547">
        <v>1</v>
      </c>
      <c r="AL547">
        <v>0</v>
      </c>
      <c r="AM547">
        <v>0</v>
      </c>
      <c r="AN547">
        <v>965</v>
      </c>
      <c r="AO547">
        <v>851</v>
      </c>
      <c r="AP547">
        <f>ifood_data[[#This Row],[MntTotal]]-ifood_data[[#This Row],[MntRegularProds]]</f>
        <v>114</v>
      </c>
      <c r="AQ547">
        <v>0</v>
      </c>
      <c r="AR547">
        <f>IF(SUM(ifood_data[[#This Row],[Kidhome]:[Teenhome]])&gt;0,1,0)</f>
        <v>1</v>
      </c>
      <c r="AS547" t="str">
        <f>IF(SUM(ifood_data[[#This Row],[Kidhome]:[Teenhome]])&gt;0,"Has Family","No Family")</f>
        <v>Has Family</v>
      </c>
      <c r="AT547" t="str">
        <f>IF(ifood_data[[#This Row],[marital_Married]]=1,"Married", (IF(ifood_data[[#This Row],[marital_Single]]=1,"Single",(IF(ifood_data[[#This Row],[marital_Divorced]]=1,"Divorced",(IF(ifood_data[[#This Row],[marital_Together]]=1,"Living Together",(IF(ifood_data[[#This Row],[marital_Widow]]=1,"Widow","Other")))))))))</f>
        <v>Divorced</v>
      </c>
      <c r="AU547" t="str">
        <f>IF(ifood_data[[#This Row],[education_Basic]]=1,"High School",(IF(ifood_data[[#This Row],[education_Graduation]]=1,"Undergraduate Degree",(IF(SUM(AM547,AL547,AI547)&gt;0,"Master's Degree or Higher","Other")))))</f>
        <v>Undergraduate Degree</v>
      </c>
      <c r="AV547" t="str">
        <f>IF(ifood_data[[#All],[Income]]&gt;75000,"75K+",(IF(ifood_data[[#All],[Income]]&gt;50000,"50K-75K",(IF(ifood_data[[#All],[Income]]&gt;35000,"35K-50K","&lt;35K")))))</f>
        <v>50K-75K</v>
      </c>
      <c r="AW547" t="str">
        <f>IF(ifood_data[[#All],[Age]]&gt;60,"60+",(IF(ifood_data[[#All],[Age]]&gt;50,"50-60",(IF(ifood_data[[#All],[Age]]&gt;40,"40-50",(IF(ifood_data[[#All],[Age]]&gt;30,"30-40","&lt;30")))))))</f>
        <v>50-60</v>
      </c>
      <c r="AX547">
        <f t="shared" si="32"/>
        <v>28</v>
      </c>
      <c r="AY547">
        <f t="shared" si="33"/>
        <v>4</v>
      </c>
      <c r="AZ547">
        <f t="shared" si="34"/>
        <v>8</v>
      </c>
      <c r="BA547">
        <f t="shared" si="35"/>
        <v>7</v>
      </c>
      <c r="BB547">
        <f>SUM(ifood_data[[#This Row],[Recency Score]:[Monetary Score]])</f>
        <v>19</v>
      </c>
      <c r="BC547">
        <f>(_xlfn.PERCENTRANK.INC(ifood_data[[#All],[RFM]],ifood_data[[#This Row],[RFM]],1))*10</f>
        <v>7</v>
      </c>
      <c r="BD547" t="str">
        <f>VLOOKUP(ifood_data[[#This Row],[RFM Score]],'RFM Analysis'!$A$3:$B$14,2,FALSE)</f>
        <v>Loyal Customer</v>
      </c>
      <c r="BE547">
        <f>'Regression Models'!$B$101+'Regression Models'!$B$102*ifood_data[[#This Row],[Income]]+'Regression Models'!$B$103*ifood_data[[#This Row],[Age]]+'Regression Models'!$B$104*ifood_data[[#This Row],[Family]]</f>
        <v>865.64514453314644</v>
      </c>
      <c r="BF547" t="str">
        <f>IF(ifood_data[[#This Row],[AcceptedCmpOverall]]=1,"Campaign Respondent","Non-respondent")</f>
        <v>Non-respondent</v>
      </c>
    </row>
    <row r="548" spans="1:58" x14ac:dyDescent="0.35">
      <c r="A548">
        <v>1012</v>
      </c>
      <c r="B548">
        <v>70713</v>
      </c>
      <c r="C548">
        <v>0</v>
      </c>
      <c r="D548">
        <v>1</v>
      </c>
      <c r="E548">
        <v>23</v>
      </c>
      <c r="F548">
        <v>736</v>
      </c>
      <c r="G548">
        <v>114</v>
      </c>
      <c r="H548">
        <v>279</v>
      </c>
      <c r="I548">
        <v>82</v>
      </c>
      <c r="J548">
        <v>76</v>
      </c>
      <c r="K548">
        <v>190</v>
      </c>
      <c r="L548">
        <v>6</v>
      </c>
      <c r="M548">
        <v>5</v>
      </c>
      <c r="N548">
        <v>6</v>
      </c>
      <c r="O548">
        <v>8</v>
      </c>
      <c r="P548">
        <v>3</v>
      </c>
      <c r="Q548">
        <v>0</v>
      </c>
      <c r="R548">
        <v>0</v>
      </c>
      <c r="S548">
        <v>0</v>
      </c>
      <c r="T548">
        <v>0</v>
      </c>
      <c r="U548">
        <v>0</v>
      </c>
      <c r="V548">
        <f>IF(SUM(ifood_data[[#This Row],[AcceptedCmp1]:[AcceptedCmp5]])&gt;0,1,0)</f>
        <v>0</v>
      </c>
      <c r="W548">
        <v>0</v>
      </c>
      <c r="X548">
        <v>3</v>
      </c>
      <c r="Y548">
        <v>11</v>
      </c>
      <c r="Z548">
        <v>0</v>
      </c>
      <c r="AA548">
        <v>54</v>
      </c>
      <c r="AB548">
        <v>2732</v>
      </c>
      <c r="AC548" s="28">
        <f>ifood_data[[#This Row],[Customer_Days]]/365</f>
        <v>7.484931506849315</v>
      </c>
      <c r="AD548">
        <v>0</v>
      </c>
      <c r="AE548">
        <v>0</v>
      </c>
      <c r="AF548">
        <v>0</v>
      </c>
      <c r="AG548">
        <v>1</v>
      </c>
      <c r="AH548">
        <v>0</v>
      </c>
      <c r="AI548">
        <v>0</v>
      </c>
      <c r="AJ548">
        <v>0</v>
      </c>
      <c r="AK548">
        <v>1</v>
      </c>
      <c r="AL548">
        <v>0</v>
      </c>
      <c r="AM548">
        <v>0</v>
      </c>
      <c r="AN548">
        <v>1287</v>
      </c>
      <c r="AO548">
        <v>1097</v>
      </c>
      <c r="AP548">
        <f>ifood_data[[#This Row],[MntTotal]]-ifood_data[[#This Row],[MntRegularProds]]</f>
        <v>190</v>
      </c>
      <c r="AQ548">
        <v>0</v>
      </c>
      <c r="AR548">
        <f>IF(SUM(ifood_data[[#This Row],[Kidhome]:[Teenhome]])&gt;0,1,0)</f>
        <v>1</v>
      </c>
      <c r="AS548" t="str">
        <f>IF(SUM(ifood_data[[#This Row],[Kidhome]:[Teenhome]])&gt;0,"Has Family","No Family")</f>
        <v>Has Family</v>
      </c>
      <c r="AT548" t="str">
        <f>IF(ifood_data[[#This Row],[marital_Married]]=1,"Married", (IF(ifood_data[[#This Row],[marital_Single]]=1,"Single",(IF(ifood_data[[#This Row],[marital_Divorced]]=1,"Divorced",(IF(ifood_data[[#This Row],[marital_Together]]=1,"Living Together",(IF(ifood_data[[#This Row],[marital_Widow]]=1,"Widow","Other")))))))))</f>
        <v>Living Together</v>
      </c>
      <c r="AU548" t="str">
        <f>IF(ifood_data[[#This Row],[education_Basic]]=1,"High School",(IF(ifood_data[[#This Row],[education_Graduation]]=1,"Undergraduate Degree",(IF(SUM(AM548,AL548,AI548)&gt;0,"Master's Degree or Higher","Other")))))</f>
        <v>Undergraduate Degree</v>
      </c>
      <c r="AV548" t="str">
        <f>IF(ifood_data[[#All],[Income]]&gt;75000,"75K+",(IF(ifood_data[[#All],[Income]]&gt;50000,"50K-75K",(IF(ifood_data[[#All],[Income]]&gt;35000,"35K-50K","&lt;35K")))))</f>
        <v>50K-75K</v>
      </c>
      <c r="AW548" t="str">
        <f>IF(ifood_data[[#All],[Age]]&gt;60,"60+",(IF(ifood_data[[#All],[Age]]&gt;50,"50-60",(IF(ifood_data[[#All],[Age]]&gt;40,"40-50",(IF(ifood_data[[#All],[Age]]&gt;30,"30-40","&lt;30")))))))</f>
        <v>50-60</v>
      </c>
      <c r="AX548">
        <f t="shared" si="32"/>
        <v>28</v>
      </c>
      <c r="AY548">
        <f t="shared" si="33"/>
        <v>8</v>
      </c>
      <c r="AZ548">
        <f t="shared" si="34"/>
        <v>8</v>
      </c>
      <c r="BA548">
        <f t="shared" si="35"/>
        <v>8</v>
      </c>
      <c r="BB548">
        <f>SUM(ifood_data[[#This Row],[Recency Score]:[Monetary Score]])</f>
        <v>24</v>
      </c>
      <c r="BC548">
        <f>(_xlfn.PERCENTRANK.INC(ifood_data[[#All],[RFM]],ifood_data[[#This Row],[RFM]],1))*10</f>
        <v>9</v>
      </c>
      <c r="BD548" t="str">
        <f>VLOOKUP(ifood_data[[#This Row],[RFM Score]],'RFM Analysis'!$A$3:$B$14,2,FALSE)</f>
        <v>Top Customer</v>
      </c>
      <c r="BE548">
        <f>'Regression Models'!$B$101+'Regression Models'!$B$102*ifood_data[[#This Row],[Income]]+'Regression Models'!$B$103*ifood_data[[#This Row],[Age]]+'Regression Models'!$B$104*ifood_data[[#This Row],[Family]]</f>
        <v>865.15436415174929</v>
      </c>
      <c r="BF548" t="str">
        <f>IF(ifood_data[[#This Row],[AcceptedCmpOverall]]=1,"Campaign Respondent","Non-respondent")</f>
        <v>Non-respondent</v>
      </c>
    </row>
    <row r="549" spans="1:58" x14ac:dyDescent="0.35">
      <c r="A549">
        <v>1968</v>
      </c>
      <c r="B549">
        <v>71965</v>
      </c>
      <c r="C549">
        <v>0</v>
      </c>
      <c r="D549">
        <v>1</v>
      </c>
      <c r="E549">
        <v>21</v>
      </c>
      <c r="F549">
        <v>572</v>
      </c>
      <c r="G549">
        <v>19</v>
      </c>
      <c r="H549">
        <v>286</v>
      </c>
      <c r="I549">
        <v>50</v>
      </c>
      <c r="J549">
        <v>38</v>
      </c>
      <c r="K549">
        <v>248</v>
      </c>
      <c r="L549">
        <v>3</v>
      </c>
      <c r="M549">
        <v>6</v>
      </c>
      <c r="N549">
        <v>3</v>
      </c>
      <c r="O549">
        <v>5</v>
      </c>
      <c r="P549">
        <v>3</v>
      </c>
      <c r="Q549">
        <v>0</v>
      </c>
      <c r="R549">
        <v>0</v>
      </c>
      <c r="S549">
        <v>0</v>
      </c>
      <c r="T549">
        <v>0</v>
      </c>
      <c r="U549">
        <v>0</v>
      </c>
      <c r="V549">
        <f>IF(SUM(ifood_data[[#This Row],[AcceptedCmp1]:[AcceptedCmp5]])&gt;0,1,0)</f>
        <v>0</v>
      </c>
      <c r="W549">
        <v>0</v>
      </c>
      <c r="X549">
        <v>3</v>
      </c>
      <c r="Y549">
        <v>11</v>
      </c>
      <c r="Z549">
        <v>0</v>
      </c>
      <c r="AA549">
        <v>69</v>
      </c>
      <c r="AB549">
        <v>2494</v>
      </c>
      <c r="AC549" s="28">
        <f>ifood_data[[#This Row],[Customer_Days]]/365</f>
        <v>6.8328767123287673</v>
      </c>
      <c r="AD549">
        <v>0</v>
      </c>
      <c r="AE549">
        <v>1</v>
      </c>
      <c r="AF549">
        <v>0</v>
      </c>
      <c r="AG549">
        <v>0</v>
      </c>
      <c r="AH549">
        <v>0</v>
      </c>
      <c r="AI549">
        <v>0</v>
      </c>
      <c r="AJ549">
        <v>0</v>
      </c>
      <c r="AK549">
        <v>1</v>
      </c>
      <c r="AL549">
        <v>0</v>
      </c>
      <c r="AM549">
        <v>0</v>
      </c>
      <c r="AN549">
        <v>965</v>
      </c>
      <c r="AO549">
        <v>717</v>
      </c>
      <c r="AP549">
        <f>ifood_data[[#This Row],[MntTotal]]-ifood_data[[#This Row],[MntRegularProds]]</f>
        <v>248</v>
      </c>
      <c r="AQ549">
        <v>0</v>
      </c>
      <c r="AR549">
        <f>IF(SUM(ifood_data[[#This Row],[Kidhome]:[Teenhome]])&gt;0,1,0)</f>
        <v>1</v>
      </c>
      <c r="AS549" t="str">
        <f>IF(SUM(ifood_data[[#This Row],[Kidhome]:[Teenhome]])&gt;0,"Has Family","No Family")</f>
        <v>Has Family</v>
      </c>
      <c r="AT549" t="str">
        <f>IF(ifood_data[[#This Row],[marital_Married]]=1,"Married", (IF(ifood_data[[#This Row],[marital_Single]]=1,"Single",(IF(ifood_data[[#This Row],[marital_Divorced]]=1,"Divorced",(IF(ifood_data[[#This Row],[marital_Together]]=1,"Living Together",(IF(ifood_data[[#This Row],[marital_Widow]]=1,"Widow","Other")))))))))</f>
        <v>Married</v>
      </c>
      <c r="AU549" t="str">
        <f>IF(ifood_data[[#This Row],[education_Basic]]=1,"High School",(IF(ifood_data[[#This Row],[education_Graduation]]=1,"Undergraduate Degree",(IF(SUM(AM549,AL549,AI549)&gt;0,"Master's Degree or Higher","Other")))))</f>
        <v>Undergraduate Degree</v>
      </c>
      <c r="AV549" t="str">
        <f>IF(ifood_data[[#All],[Income]]&gt;75000,"75K+",(IF(ifood_data[[#All],[Income]]&gt;50000,"50K-75K",(IF(ifood_data[[#All],[Income]]&gt;35000,"35K-50K","&lt;35K")))))</f>
        <v>50K-75K</v>
      </c>
      <c r="AW549" t="str">
        <f>IF(ifood_data[[#All],[Age]]&gt;60,"60+",(IF(ifood_data[[#All],[Age]]&gt;50,"50-60",(IF(ifood_data[[#All],[Age]]&gt;40,"40-50",(IF(ifood_data[[#All],[Age]]&gt;30,"30-40","&lt;30")))))))</f>
        <v>60+</v>
      </c>
      <c r="AX549">
        <f t="shared" si="32"/>
        <v>20</v>
      </c>
      <c r="AY549">
        <f t="shared" si="33"/>
        <v>8</v>
      </c>
      <c r="AZ549">
        <f t="shared" si="34"/>
        <v>4</v>
      </c>
      <c r="BA549">
        <f t="shared" si="35"/>
        <v>7</v>
      </c>
      <c r="BB549">
        <f>SUM(ifood_data[[#This Row],[Recency Score]:[Monetary Score]])</f>
        <v>19</v>
      </c>
      <c r="BC549">
        <f>(_xlfn.PERCENTRANK.INC(ifood_data[[#All],[RFM]],ifood_data[[#This Row],[RFM]],1))*10</f>
        <v>7</v>
      </c>
      <c r="BD549" t="str">
        <f>VLOOKUP(ifood_data[[#This Row],[RFM Score]],'RFM Analysis'!$A$3:$B$14,2,FALSE)</f>
        <v>Loyal Customer</v>
      </c>
      <c r="BE549">
        <f>'Regression Models'!$B$101+'Regression Models'!$B$102*ifood_data[[#This Row],[Income]]+'Regression Models'!$B$103*ifood_data[[#This Row],[Age]]+'Regression Models'!$B$104*ifood_data[[#This Row],[Family]]</f>
        <v>863.13451568449671</v>
      </c>
      <c r="BF549" t="str">
        <f>IF(ifood_data[[#This Row],[AcceptedCmpOverall]]=1,"Campaign Respondent","Non-respondent")</f>
        <v>Non-respondent</v>
      </c>
    </row>
    <row r="550" spans="1:58" x14ac:dyDescent="0.35">
      <c r="A550">
        <v>1634</v>
      </c>
      <c r="B550">
        <v>71232</v>
      </c>
      <c r="C550">
        <v>0</v>
      </c>
      <c r="D550">
        <v>1</v>
      </c>
      <c r="E550">
        <v>91</v>
      </c>
      <c r="F550">
        <v>653</v>
      </c>
      <c r="G550">
        <v>17</v>
      </c>
      <c r="H550">
        <v>170</v>
      </c>
      <c r="I550">
        <v>34</v>
      </c>
      <c r="J550">
        <v>26</v>
      </c>
      <c r="K550">
        <v>17</v>
      </c>
      <c r="L550">
        <v>2</v>
      </c>
      <c r="M550">
        <v>11</v>
      </c>
      <c r="N550">
        <v>2</v>
      </c>
      <c r="O550">
        <v>10</v>
      </c>
      <c r="P550">
        <v>7</v>
      </c>
      <c r="Q550">
        <v>0</v>
      </c>
      <c r="R550">
        <v>0</v>
      </c>
      <c r="S550">
        <v>0</v>
      </c>
      <c r="T550">
        <v>0</v>
      </c>
      <c r="U550">
        <v>0</v>
      </c>
      <c r="V550">
        <f>IF(SUM(ifood_data[[#This Row],[AcceptedCmp1]:[AcceptedCmp5]])&gt;0,1,0)</f>
        <v>0</v>
      </c>
      <c r="W550">
        <v>0</v>
      </c>
      <c r="X550">
        <v>3</v>
      </c>
      <c r="Y550">
        <v>11</v>
      </c>
      <c r="Z550">
        <v>0</v>
      </c>
      <c r="AA550">
        <v>61</v>
      </c>
      <c r="AB550">
        <v>2372</v>
      </c>
      <c r="AC550" s="28">
        <f>ifood_data[[#This Row],[Customer_Days]]/365</f>
        <v>6.4986301369863018</v>
      </c>
      <c r="AD550">
        <v>0</v>
      </c>
      <c r="AE550">
        <v>0</v>
      </c>
      <c r="AF550">
        <v>0</v>
      </c>
      <c r="AG550">
        <v>1</v>
      </c>
      <c r="AH550">
        <v>0</v>
      </c>
      <c r="AI550">
        <v>0</v>
      </c>
      <c r="AJ550">
        <v>0</v>
      </c>
      <c r="AK550">
        <v>1</v>
      </c>
      <c r="AL550">
        <v>0</v>
      </c>
      <c r="AM550">
        <v>0</v>
      </c>
      <c r="AN550">
        <v>900</v>
      </c>
      <c r="AO550">
        <v>883</v>
      </c>
      <c r="AP550">
        <f>ifood_data[[#This Row],[MntTotal]]-ifood_data[[#This Row],[MntRegularProds]]</f>
        <v>17</v>
      </c>
      <c r="AQ550">
        <v>0</v>
      </c>
      <c r="AR550">
        <f>IF(SUM(ifood_data[[#This Row],[Kidhome]:[Teenhome]])&gt;0,1,0)</f>
        <v>1</v>
      </c>
      <c r="AS550" t="str">
        <f>IF(SUM(ifood_data[[#This Row],[Kidhome]:[Teenhome]])&gt;0,"Has Family","No Family")</f>
        <v>Has Family</v>
      </c>
      <c r="AT550" t="str">
        <f>IF(ifood_data[[#This Row],[marital_Married]]=1,"Married", (IF(ifood_data[[#This Row],[marital_Single]]=1,"Single",(IF(ifood_data[[#This Row],[marital_Divorced]]=1,"Divorced",(IF(ifood_data[[#This Row],[marital_Together]]=1,"Living Together",(IF(ifood_data[[#This Row],[marital_Widow]]=1,"Widow","Other")))))))))</f>
        <v>Living Together</v>
      </c>
      <c r="AU550" t="str">
        <f>IF(ifood_data[[#This Row],[education_Basic]]=1,"High School",(IF(ifood_data[[#This Row],[education_Graduation]]=1,"Undergraduate Degree",(IF(SUM(AM550,AL550,AI550)&gt;0,"Master's Degree or Higher","Other")))))</f>
        <v>Undergraduate Degree</v>
      </c>
      <c r="AV550" t="str">
        <f>IF(ifood_data[[#All],[Income]]&gt;75000,"75K+",(IF(ifood_data[[#All],[Income]]&gt;50000,"50K-75K",(IF(ifood_data[[#All],[Income]]&gt;35000,"35K-50K","&lt;35K")))))</f>
        <v>50K-75K</v>
      </c>
      <c r="AW550" t="str">
        <f>IF(ifood_data[[#All],[Age]]&gt;60,"60+",(IF(ifood_data[[#All],[Age]]&gt;50,"50-60",(IF(ifood_data[[#All],[Age]]&gt;40,"40-50",(IF(ifood_data[[#All],[Age]]&gt;30,"30-40","&lt;30")))))))</f>
        <v>60+</v>
      </c>
      <c r="AX550">
        <f t="shared" si="32"/>
        <v>32</v>
      </c>
      <c r="AY550">
        <f t="shared" si="33"/>
        <v>0.99999999999999978</v>
      </c>
      <c r="AZ550">
        <f t="shared" si="34"/>
        <v>9</v>
      </c>
      <c r="BA550">
        <f t="shared" si="35"/>
        <v>7</v>
      </c>
      <c r="BB550">
        <f>SUM(ifood_data[[#This Row],[Recency Score]:[Monetary Score]])</f>
        <v>17</v>
      </c>
      <c r="BC550">
        <f>(_xlfn.PERCENTRANK.INC(ifood_data[[#All],[RFM]],ifood_data[[#This Row],[RFM]],1))*10</f>
        <v>6</v>
      </c>
      <c r="BD550" t="str">
        <f>VLOOKUP(ifood_data[[#This Row],[RFM Score]],'RFM Analysis'!$A$3:$B$14,2,FALSE)</f>
        <v>Promising</v>
      </c>
      <c r="BE550">
        <f>'Regression Models'!$B$101+'Regression Models'!$B$102*ifood_data[[#This Row],[Income]]+'Regression Models'!$B$103*ifood_data[[#This Row],[Age]]+'Regression Models'!$B$104*ifood_data[[#This Row],[Family]]</f>
        <v>862.88106126617265</v>
      </c>
      <c r="BF550" t="str">
        <f>IF(ifood_data[[#This Row],[AcceptedCmpOverall]]=1,"Campaign Respondent","Non-respondent")</f>
        <v>Non-respondent</v>
      </c>
    </row>
    <row r="551" spans="1:58" x14ac:dyDescent="0.35">
      <c r="A551">
        <v>791</v>
      </c>
      <c r="B551">
        <v>71391</v>
      </c>
      <c r="C551">
        <v>0</v>
      </c>
      <c r="D551">
        <v>1</v>
      </c>
      <c r="E551">
        <v>50</v>
      </c>
      <c r="F551">
        <v>336</v>
      </c>
      <c r="G551">
        <v>123</v>
      </c>
      <c r="H551">
        <v>274</v>
      </c>
      <c r="I551">
        <v>46</v>
      </c>
      <c r="J551">
        <v>123</v>
      </c>
      <c r="K551">
        <v>141</v>
      </c>
      <c r="L551">
        <v>5</v>
      </c>
      <c r="M551">
        <v>6</v>
      </c>
      <c r="N551">
        <v>5</v>
      </c>
      <c r="O551">
        <v>12</v>
      </c>
      <c r="P551">
        <v>3</v>
      </c>
      <c r="Q551">
        <v>0</v>
      </c>
      <c r="R551">
        <v>0</v>
      </c>
      <c r="S551">
        <v>0</v>
      </c>
      <c r="T551">
        <v>0</v>
      </c>
      <c r="U551">
        <v>0</v>
      </c>
      <c r="V551">
        <f>IF(SUM(ifood_data[[#This Row],[AcceptedCmp1]:[AcceptedCmp5]])&gt;0,1,0)</f>
        <v>0</v>
      </c>
      <c r="W551">
        <v>0</v>
      </c>
      <c r="X551">
        <v>3</v>
      </c>
      <c r="Y551">
        <v>11</v>
      </c>
      <c r="Z551">
        <v>0</v>
      </c>
      <c r="AA551">
        <v>64</v>
      </c>
      <c r="AB551">
        <v>2616</v>
      </c>
      <c r="AC551" s="28">
        <f>ifood_data[[#This Row],[Customer_Days]]/365</f>
        <v>7.1671232876712327</v>
      </c>
      <c r="AD551">
        <v>0</v>
      </c>
      <c r="AE551">
        <v>1</v>
      </c>
      <c r="AF551">
        <v>0</v>
      </c>
      <c r="AG551">
        <v>0</v>
      </c>
      <c r="AH551">
        <v>0</v>
      </c>
      <c r="AI551">
        <v>0</v>
      </c>
      <c r="AJ551">
        <v>0</v>
      </c>
      <c r="AK551">
        <v>1</v>
      </c>
      <c r="AL551">
        <v>0</v>
      </c>
      <c r="AM551">
        <v>0</v>
      </c>
      <c r="AN551">
        <v>902</v>
      </c>
      <c r="AO551">
        <v>761</v>
      </c>
      <c r="AP551">
        <f>ifood_data[[#This Row],[MntTotal]]-ifood_data[[#This Row],[MntRegularProds]]</f>
        <v>141</v>
      </c>
      <c r="AQ551">
        <v>0</v>
      </c>
      <c r="AR551">
        <f>IF(SUM(ifood_data[[#This Row],[Kidhome]:[Teenhome]])&gt;0,1,0)</f>
        <v>1</v>
      </c>
      <c r="AS551" t="str">
        <f>IF(SUM(ifood_data[[#This Row],[Kidhome]:[Teenhome]])&gt;0,"Has Family","No Family")</f>
        <v>Has Family</v>
      </c>
      <c r="AT551" t="str">
        <f>IF(ifood_data[[#This Row],[marital_Married]]=1,"Married", (IF(ifood_data[[#This Row],[marital_Single]]=1,"Single",(IF(ifood_data[[#This Row],[marital_Divorced]]=1,"Divorced",(IF(ifood_data[[#This Row],[marital_Together]]=1,"Living Together",(IF(ifood_data[[#This Row],[marital_Widow]]=1,"Widow","Other")))))))))</f>
        <v>Married</v>
      </c>
      <c r="AU551" t="str">
        <f>IF(ifood_data[[#This Row],[education_Basic]]=1,"High School",(IF(ifood_data[[#This Row],[education_Graduation]]=1,"Undergraduate Degree",(IF(SUM(AM551,AL551,AI551)&gt;0,"Master's Degree or Higher","Other")))))</f>
        <v>Undergraduate Degree</v>
      </c>
      <c r="AV551" t="str">
        <f>IF(ifood_data[[#All],[Income]]&gt;75000,"75K+",(IF(ifood_data[[#All],[Income]]&gt;50000,"50K-75K",(IF(ifood_data[[#All],[Income]]&gt;35000,"35K-50K","&lt;35K")))))</f>
        <v>50K-75K</v>
      </c>
      <c r="AW551" t="str">
        <f>IF(ifood_data[[#All],[Age]]&gt;60,"60+",(IF(ifood_data[[#All],[Age]]&gt;50,"50-60",(IF(ifood_data[[#All],[Age]]&gt;40,"40-50",(IF(ifood_data[[#All],[Age]]&gt;30,"30-40","&lt;30")))))))</f>
        <v>60+</v>
      </c>
      <c r="AX551">
        <f t="shared" si="32"/>
        <v>31</v>
      </c>
      <c r="AY551">
        <f t="shared" si="33"/>
        <v>5</v>
      </c>
      <c r="AZ551">
        <f t="shared" si="34"/>
        <v>9</v>
      </c>
      <c r="BA551">
        <f t="shared" si="35"/>
        <v>7</v>
      </c>
      <c r="BB551">
        <f>SUM(ifood_data[[#This Row],[Recency Score]:[Monetary Score]])</f>
        <v>21</v>
      </c>
      <c r="BC551">
        <f>(_xlfn.PERCENTRANK.INC(ifood_data[[#All],[RFM]],ifood_data[[#This Row],[RFM]],1))*10</f>
        <v>8</v>
      </c>
      <c r="BD551" t="str">
        <f>VLOOKUP(ifood_data[[#This Row],[RFM Score]],'RFM Analysis'!$A$3:$B$14,2,FALSE)</f>
        <v>Loyal Customer</v>
      </c>
      <c r="BE551">
        <f>'Regression Models'!$B$101+'Regression Models'!$B$102*ifood_data[[#This Row],[Income]]+'Regression Models'!$B$103*ifood_data[[#This Row],[Age]]+'Regression Models'!$B$104*ifood_data[[#This Row],[Family]]</f>
        <v>860.61355816436969</v>
      </c>
      <c r="BF551" t="str">
        <f>IF(ifood_data[[#This Row],[AcceptedCmpOverall]]=1,"Campaign Respondent","Non-respondent")</f>
        <v>Non-respondent</v>
      </c>
    </row>
    <row r="552" spans="1:58" x14ac:dyDescent="0.35">
      <c r="A552">
        <v>597</v>
      </c>
      <c r="B552">
        <v>70971</v>
      </c>
      <c r="C552">
        <v>0</v>
      </c>
      <c r="D552">
        <v>1</v>
      </c>
      <c r="E552">
        <v>28</v>
      </c>
      <c r="F552">
        <v>1001</v>
      </c>
      <c r="G552">
        <v>17</v>
      </c>
      <c r="H552">
        <v>572</v>
      </c>
      <c r="I552">
        <v>93</v>
      </c>
      <c r="J552">
        <v>125</v>
      </c>
      <c r="K552">
        <v>17</v>
      </c>
      <c r="L552">
        <v>7</v>
      </c>
      <c r="M552">
        <v>11</v>
      </c>
      <c r="N552">
        <v>11</v>
      </c>
      <c r="O552">
        <v>5</v>
      </c>
      <c r="P552">
        <v>7</v>
      </c>
      <c r="Q552">
        <v>0</v>
      </c>
      <c r="R552">
        <v>0</v>
      </c>
      <c r="S552">
        <v>0</v>
      </c>
      <c r="T552">
        <v>0</v>
      </c>
      <c r="U552">
        <v>0</v>
      </c>
      <c r="V552">
        <f>IF(SUM(ifood_data[[#This Row],[AcceptedCmp1]:[AcceptedCmp5]])&gt;0,1,0)</f>
        <v>0</v>
      </c>
      <c r="W552">
        <v>0</v>
      </c>
      <c r="X552">
        <v>3</v>
      </c>
      <c r="Y552">
        <v>11</v>
      </c>
      <c r="Z552">
        <v>1</v>
      </c>
      <c r="AA552">
        <v>60</v>
      </c>
      <c r="AB552">
        <v>2805</v>
      </c>
      <c r="AC552" s="28">
        <f>ifood_data[[#This Row],[Customer_Days]]/365</f>
        <v>7.6849315068493151</v>
      </c>
      <c r="AD552">
        <v>0</v>
      </c>
      <c r="AE552">
        <v>0</v>
      </c>
      <c r="AF552">
        <v>0</v>
      </c>
      <c r="AG552">
        <v>1</v>
      </c>
      <c r="AH552">
        <v>0</v>
      </c>
      <c r="AI552">
        <v>0</v>
      </c>
      <c r="AJ552">
        <v>0</v>
      </c>
      <c r="AK552">
        <v>1</v>
      </c>
      <c r="AL552">
        <v>0</v>
      </c>
      <c r="AM552">
        <v>0</v>
      </c>
      <c r="AN552">
        <v>1808</v>
      </c>
      <c r="AO552">
        <v>1791</v>
      </c>
      <c r="AP552">
        <f>ifood_data[[#This Row],[MntTotal]]-ifood_data[[#This Row],[MntRegularProds]]</f>
        <v>17</v>
      </c>
      <c r="AQ552">
        <v>0</v>
      </c>
      <c r="AR552">
        <f>IF(SUM(ifood_data[[#This Row],[Kidhome]:[Teenhome]])&gt;0,1,0)</f>
        <v>1</v>
      </c>
      <c r="AS552" t="str">
        <f>IF(SUM(ifood_data[[#This Row],[Kidhome]:[Teenhome]])&gt;0,"Has Family","No Family")</f>
        <v>Has Family</v>
      </c>
      <c r="AT552" t="str">
        <f>IF(ifood_data[[#This Row],[marital_Married]]=1,"Married", (IF(ifood_data[[#This Row],[marital_Single]]=1,"Single",(IF(ifood_data[[#This Row],[marital_Divorced]]=1,"Divorced",(IF(ifood_data[[#This Row],[marital_Together]]=1,"Living Together",(IF(ifood_data[[#This Row],[marital_Widow]]=1,"Widow","Other")))))))))</f>
        <v>Living Together</v>
      </c>
      <c r="AU552" t="str">
        <f>IF(ifood_data[[#This Row],[education_Basic]]=1,"High School",(IF(ifood_data[[#This Row],[education_Graduation]]=1,"Undergraduate Degree",(IF(SUM(AM552,AL552,AI552)&gt;0,"Master's Degree or Higher","Other")))))</f>
        <v>Undergraduate Degree</v>
      </c>
      <c r="AV552" t="str">
        <f>IF(ifood_data[[#All],[Income]]&gt;75000,"75K+",(IF(ifood_data[[#All],[Income]]&gt;50000,"50K-75K",(IF(ifood_data[[#All],[Income]]&gt;35000,"35K-50K","&lt;35K")))))</f>
        <v>50K-75K</v>
      </c>
      <c r="AW552" t="str">
        <f>IF(ifood_data[[#All],[Age]]&gt;60,"60+",(IF(ifood_data[[#All],[Age]]&gt;50,"50-60",(IF(ifood_data[[#All],[Age]]&gt;40,"40-50",(IF(ifood_data[[#All],[Age]]&gt;30,"30-40","&lt;30")))))))</f>
        <v>50-60</v>
      </c>
      <c r="AX552">
        <f t="shared" si="32"/>
        <v>41</v>
      </c>
      <c r="AY552">
        <f t="shared" si="33"/>
        <v>8</v>
      </c>
      <c r="AZ552">
        <f t="shared" si="34"/>
        <v>9</v>
      </c>
      <c r="BA552">
        <f t="shared" si="35"/>
        <v>9</v>
      </c>
      <c r="BB552">
        <f>SUM(ifood_data[[#This Row],[Recency Score]:[Monetary Score]])</f>
        <v>26</v>
      </c>
      <c r="BC552">
        <f>(_xlfn.PERCENTRANK.INC(ifood_data[[#All],[RFM]],ifood_data[[#This Row],[RFM]],1))*10</f>
        <v>9</v>
      </c>
      <c r="BD552" t="str">
        <f>VLOOKUP(ifood_data[[#This Row],[RFM Score]],'RFM Analysis'!$A$3:$B$14,2,FALSE)</f>
        <v>Top Customer</v>
      </c>
      <c r="BE552">
        <f>'Regression Models'!$B$101+'Regression Models'!$B$102*ifood_data[[#This Row],[Income]]+'Regression Models'!$B$103*ifood_data[[#This Row],[Age]]+'Regression Models'!$B$104*ifood_data[[#This Row],[Family]]</f>
        <v>859.39603185950966</v>
      </c>
      <c r="BF552" t="str">
        <f>IF(ifood_data[[#This Row],[AcceptedCmpOverall]]=1,"Campaign Respondent","Non-respondent")</f>
        <v>Non-respondent</v>
      </c>
    </row>
    <row r="553" spans="1:58" x14ac:dyDescent="0.35">
      <c r="A553">
        <v>1317</v>
      </c>
      <c r="B553">
        <v>69389</v>
      </c>
      <c r="C553">
        <v>0</v>
      </c>
      <c r="D553">
        <v>1</v>
      </c>
      <c r="E553">
        <v>17</v>
      </c>
      <c r="F553">
        <v>422</v>
      </c>
      <c r="G553">
        <v>7</v>
      </c>
      <c r="H553">
        <v>238</v>
      </c>
      <c r="I553">
        <v>69</v>
      </c>
      <c r="J553">
        <v>46</v>
      </c>
      <c r="K553">
        <v>15</v>
      </c>
      <c r="L553">
        <v>1</v>
      </c>
      <c r="M553">
        <v>7</v>
      </c>
      <c r="N553">
        <v>2</v>
      </c>
      <c r="O553">
        <v>12</v>
      </c>
      <c r="P553">
        <v>4</v>
      </c>
      <c r="Q553">
        <v>0</v>
      </c>
      <c r="R553">
        <v>0</v>
      </c>
      <c r="S553">
        <v>0</v>
      </c>
      <c r="T553">
        <v>0</v>
      </c>
      <c r="U553">
        <v>0</v>
      </c>
      <c r="V553">
        <f>IF(SUM(ifood_data[[#This Row],[AcceptedCmp1]:[AcceptedCmp5]])&gt;0,1,0)</f>
        <v>0</v>
      </c>
      <c r="W553">
        <v>0</v>
      </c>
      <c r="X553">
        <v>3</v>
      </c>
      <c r="Y553">
        <v>11</v>
      </c>
      <c r="Z553">
        <v>0</v>
      </c>
      <c r="AA553">
        <v>43</v>
      </c>
      <c r="AB553">
        <v>2798</v>
      </c>
      <c r="AC553" s="28">
        <f>ifood_data[[#This Row],[Customer_Days]]/365</f>
        <v>7.6657534246575345</v>
      </c>
      <c r="AD553">
        <v>0</v>
      </c>
      <c r="AE553">
        <v>1</v>
      </c>
      <c r="AF553">
        <v>0</v>
      </c>
      <c r="AG553">
        <v>0</v>
      </c>
      <c r="AH553">
        <v>0</v>
      </c>
      <c r="AI553">
        <v>0</v>
      </c>
      <c r="AJ553">
        <v>0</v>
      </c>
      <c r="AK553">
        <v>0</v>
      </c>
      <c r="AL553">
        <v>0</v>
      </c>
      <c r="AM553">
        <v>1</v>
      </c>
      <c r="AN553">
        <v>782</v>
      </c>
      <c r="AO553">
        <v>767</v>
      </c>
      <c r="AP553">
        <f>ifood_data[[#This Row],[MntTotal]]-ifood_data[[#This Row],[MntRegularProds]]</f>
        <v>15</v>
      </c>
      <c r="AQ553">
        <v>0</v>
      </c>
      <c r="AR553">
        <f>IF(SUM(ifood_data[[#This Row],[Kidhome]:[Teenhome]])&gt;0,1,0)</f>
        <v>1</v>
      </c>
      <c r="AS553" t="str">
        <f>IF(SUM(ifood_data[[#This Row],[Kidhome]:[Teenhome]])&gt;0,"Has Family","No Family")</f>
        <v>Has Family</v>
      </c>
      <c r="AT553" t="str">
        <f>IF(ifood_data[[#This Row],[marital_Married]]=1,"Married", (IF(ifood_data[[#This Row],[marital_Single]]=1,"Single",(IF(ifood_data[[#This Row],[marital_Divorced]]=1,"Divorced",(IF(ifood_data[[#This Row],[marital_Together]]=1,"Living Together",(IF(ifood_data[[#This Row],[marital_Widow]]=1,"Widow","Other")))))))))</f>
        <v>Married</v>
      </c>
      <c r="AU553" t="str">
        <f>IF(ifood_data[[#This Row],[education_Basic]]=1,"High School",(IF(ifood_data[[#This Row],[education_Graduation]]=1,"Undergraduate Degree",(IF(SUM(AM553,AL553,AI553)&gt;0,"Master's Degree or Higher","Other")))))</f>
        <v>Master's Degree or Higher</v>
      </c>
      <c r="AV553" t="str">
        <f>IF(ifood_data[[#All],[Income]]&gt;75000,"75K+",(IF(ifood_data[[#All],[Income]]&gt;50000,"50K-75K",(IF(ifood_data[[#All],[Income]]&gt;35000,"35K-50K","&lt;35K")))))</f>
        <v>50K-75K</v>
      </c>
      <c r="AW553" t="str">
        <f>IF(ifood_data[[#All],[Age]]&gt;60,"60+",(IF(ifood_data[[#All],[Age]]&gt;50,"50-60",(IF(ifood_data[[#All],[Age]]&gt;40,"40-50",(IF(ifood_data[[#All],[Age]]&gt;30,"30-40","&lt;30")))))))</f>
        <v>40-50</v>
      </c>
      <c r="AX553">
        <f t="shared" si="32"/>
        <v>26</v>
      </c>
      <c r="AY553">
        <f t="shared" si="33"/>
        <v>9</v>
      </c>
      <c r="AZ553">
        <f t="shared" si="34"/>
        <v>7</v>
      </c>
      <c r="BA553">
        <f t="shared" si="35"/>
        <v>6</v>
      </c>
      <c r="BB553">
        <f>SUM(ifood_data[[#This Row],[Recency Score]:[Monetary Score]])</f>
        <v>22</v>
      </c>
      <c r="BC553">
        <f>(_xlfn.PERCENTRANK.INC(ifood_data[[#All],[RFM]],ifood_data[[#This Row],[RFM]],1))*10</f>
        <v>8</v>
      </c>
      <c r="BD553" t="str">
        <f>VLOOKUP(ifood_data[[#This Row],[RFM Score]],'RFM Analysis'!$A$3:$B$14,2,FALSE)</f>
        <v>Loyal Customer</v>
      </c>
      <c r="BE553">
        <f>'Regression Models'!$B$101+'Regression Models'!$B$102*ifood_data[[#This Row],[Income]]+'Regression Models'!$B$103*ifood_data[[#This Row],[Age]]+'Regression Models'!$B$104*ifood_data[[#This Row],[Family]]</f>
        <v>858.36046499706447</v>
      </c>
      <c r="BF553" t="str">
        <f>IF(ifood_data[[#This Row],[AcceptedCmpOverall]]=1,"Campaign Respondent","Non-respondent")</f>
        <v>Non-respondent</v>
      </c>
    </row>
    <row r="554" spans="1:58" x14ac:dyDescent="0.35">
      <c r="A554">
        <v>1129</v>
      </c>
      <c r="B554">
        <v>70091</v>
      </c>
      <c r="C554">
        <v>1</v>
      </c>
      <c r="D554">
        <v>0</v>
      </c>
      <c r="E554">
        <v>11</v>
      </c>
      <c r="F554">
        <v>964</v>
      </c>
      <c r="G554">
        <v>34</v>
      </c>
      <c r="H554">
        <v>137</v>
      </c>
      <c r="I554">
        <v>15</v>
      </c>
      <c r="J554">
        <v>0</v>
      </c>
      <c r="K554">
        <v>11</v>
      </c>
      <c r="L554">
        <v>2</v>
      </c>
      <c r="M554">
        <v>5</v>
      </c>
      <c r="N554">
        <v>2</v>
      </c>
      <c r="O554">
        <v>10</v>
      </c>
      <c r="P554">
        <v>8</v>
      </c>
      <c r="Q554">
        <v>0</v>
      </c>
      <c r="R554">
        <v>0</v>
      </c>
      <c r="S554">
        <v>0</v>
      </c>
      <c r="T554">
        <v>1</v>
      </c>
      <c r="U554">
        <v>0</v>
      </c>
      <c r="V554">
        <f>IF(SUM(ifood_data[[#This Row],[AcceptedCmp1]:[AcceptedCmp5]])&gt;0,1,0)</f>
        <v>1</v>
      </c>
      <c r="W554">
        <v>0</v>
      </c>
      <c r="X554">
        <v>3</v>
      </c>
      <c r="Y554">
        <v>11</v>
      </c>
      <c r="Z554">
        <v>0</v>
      </c>
      <c r="AA554">
        <v>51</v>
      </c>
      <c r="AB554">
        <v>2614</v>
      </c>
      <c r="AC554" s="28">
        <f>ifood_data[[#This Row],[Customer_Days]]/365</f>
        <v>7.161643835616438</v>
      </c>
      <c r="AD554">
        <v>0</v>
      </c>
      <c r="AE554">
        <v>1</v>
      </c>
      <c r="AF554">
        <v>0</v>
      </c>
      <c r="AG554">
        <v>0</v>
      </c>
      <c r="AH554">
        <v>0</v>
      </c>
      <c r="AI554">
        <v>0</v>
      </c>
      <c r="AJ554">
        <v>0</v>
      </c>
      <c r="AK554">
        <v>0</v>
      </c>
      <c r="AL554">
        <v>1</v>
      </c>
      <c r="AM554">
        <v>0</v>
      </c>
      <c r="AN554">
        <v>1150</v>
      </c>
      <c r="AO554">
        <v>1139</v>
      </c>
      <c r="AP554">
        <f>ifood_data[[#This Row],[MntTotal]]-ifood_data[[#This Row],[MntRegularProds]]</f>
        <v>11</v>
      </c>
      <c r="AQ554">
        <v>1</v>
      </c>
      <c r="AR554">
        <f>IF(SUM(ifood_data[[#This Row],[Kidhome]:[Teenhome]])&gt;0,1,0)</f>
        <v>1</v>
      </c>
      <c r="AS554" t="str">
        <f>IF(SUM(ifood_data[[#This Row],[Kidhome]:[Teenhome]])&gt;0,"Has Family","No Family")</f>
        <v>Has Family</v>
      </c>
      <c r="AT554" t="str">
        <f>IF(ifood_data[[#This Row],[marital_Married]]=1,"Married", (IF(ifood_data[[#This Row],[marital_Single]]=1,"Single",(IF(ifood_data[[#This Row],[marital_Divorced]]=1,"Divorced",(IF(ifood_data[[#This Row],[marital_Together]]=1,"Living Together",(IF(ifood_data[[#This Row],[marital_Widow]]=1,"Widow","Other")))))))))</f>
        <v>Married</v>
      </c>
      <c r="AU554" t="str">
        <f>IF(ifood_data[[#This Row],[education_Basic]]=1,"High School",(IF(ifood_data[[#This Row],[education_Graduation]]=1,"Undergraduate Degree",(IF(SUM(AM554,AL554,AI554)&gt;0,"Master's Degree or Higher","Other")))))</f>
        <v>Master's Degree or Higher</v>
      </c>
      <c r="AV554" t="str">
        <f>IF(ifood_data[[#All],[Income]]&gt;75000,"75K+",(IF(ifood_data[[#All],[Income]]&gt;50000,"50K-75K",(IF(ifood_data[[#All],[Income]]&gt;35000,"35K-50K","&lt;35K")))))</f>
        <v>50K-75K</v>
      </c>
      <c r="AW554" t="str">
        <f>IF(ifood_data[[#All],[Age]]&gt;60,"60+",(IF(ifood_data[[#All],[Age]]&gt;50,"50-60",(IF(ifood_data[[#All],[Age]]&gt;40,"40-50",(IF(ifood_data[[#All],[Age]]&gt;30,"30-40","&lt;30")))))))</f>
        <v>50-60</v>
      </c>
      <c r="AX554">
        <f t="shared" si="32"/>
        <v>27</v>
      </c>
      <c r="AY554">
        <f t="shared" si="33"/>
        <v>9</v>
      </c>
      <c r="AZ554">
        <f t="shared" si="34"/>
        <v>7</v>
      </c>
      <c r="BA554">
        <f t="shared" si="35"/>
        <v>8</v>
      </c>
      <c r="BB554">
        <f>SUM(ifood_data[[#This Row],[Recency Score]:[Monetary Score]])</f>
        <v>24</v>
      </c>
      <c r="BC554">
        <f>(_xlfn.PERCENTRANK.INC(ifood_data[[#All],[RFM]],ifood_data[[#This Row],[RFM]],1))*10</f>
        <v>9</v>
      </c>
      <c r="BD554" t="str">
        <f>VLOOKUP(ifood_data[[#This Row],[RFM Score]],'RFM Analysis'!$A$3:$B$14,2,FALSE)</f>
        <v>Top Customer</v>
      </c>
      <c r="BE554">
        <f>'Regression Models'!$B$101+'Regression Models'!$B$102*ifood_data[[#This Row],[Income]]+'Regression Models'!$B$103*ifood_data[[#This Row],[Age]]+'Regression Models'!$B$104*ifood_data[[#This Row],[Family]]</f>
        <v>857.98186760292731</v>
      </c>
      <c r="BF554" t="str">
        <f>IF(ifood_data[[#This Row],[AcceptedCmpOverall]]=1,"Campaign Respondent","Non-respondent")</f>
        <v>Campaign Respondent</v>
      </c>
    </row>
    <row r="555" spans="1:58" x14ac:dyDescent="0.35">
      <c r="A555">
        <v>330</v>
      </c>
      <c r="B555">
        <v>71113</v>
      </c>
      <c r="C555">
        <v>0</v>
      </c>
      <c r="D555">
        <v>1</v>
      </c>
      <c r="E555">
        <v>95</v>
      </c>
      <c r="F555">
        <v>495</v>
      </c>
      <c r="G555">
        <v>33</v>
      </c>
      <c r="H555">
        <v>255</v>
      </c>
      <c r="I555">
        <v>11</v>
      </c>
      <c r="J555">
        <v>33</v>
      </c>
      <c r="K555">
        <v>8</v>
      </c>
      <c r="L555">
        <v>4</v>
      </c>
      <c r="M555">
        <v>6</v>
      </c>
      <c r="N555">
        <v>7</v>
      </c>
      <c r="O555">
        <v>9</v>
      </c>
      <c r="P555">
        <v>4</v>
      </c>
      <c r="Q555">
        <v>0</v>
      </c>
      <c r="R555">
        <v>0</v>
      </c>
      <c r="S555">
        <v>0</v>
      </c>
      <c r="T555">
        <v>0</v>
      </c>
      <c r="U555">
        <v>0</v>
      </c>
      <c r="V555">
        <f>IF(SUM(ifood_data[[#This Row],[AcceptedCmp1]:[AcceptedCmp5]])&gt;0,1,0)</f>
        <v>0</v>
      </c>
      <c r="W555">
        <v>0</v>
      </c>
      <c r="X555">
        <v>3</v>
      </c>
      <c r="Y555">
        <v>11</v>
      </c>
      <c r="Z555">
        <v>0</v>
      </c>
      <c r="AA555">
        <v>63</v>
      </c>
      <c r="AB555">
        <v>2353</v>
      </c>
      <c r="AC555" s="28">
        <f>ifood_data[[#This Row],[Customer_Days]]/365</f>
        <v>6.4465753424657537</v>
      </c>
      <c r="AD555">
        <v>0</v>
      </c>
      <c r="AE555">
        <v>1</v>
      </c>
      <c r="AF555">
        <v>0</v>
      </c>
      <c r="AG555">
        <v>0</v>
      </c>
      <c r="AH555">
        <v>0</v>
      </c>
      <c r="AI555">
        <v>0</v>
      </c>
      <c r="AJ555">
        <v>0</v>
      </c>
      <c r="AK555">
        <v>1</v>
      </c>
      <c r="AL555">
        <v>0</v>
      </c>
      <c r="AM555">
        <v>0</v>
      </c>
      <c r="AN555">
        <v>827</v>
      </c>
      <c r="AO555">
        <v>819</v>
      </c>
      <c r="AP555">
        <f>ifood_data[[#This Row],[MntTotal]]-ifood_data[[#This Row],[MntRegularProds]]</f>
        <v>8</v>
      </c>
      <c r="AQ555">
        <v>0</v>
      </c>
      <c r="AR555">
        <f>IF(SUM(ifood_data[[#This Row],[Kidhome]:[Teenhome]])&gt;0,1,0)</f>
        <v>1</v>
      </c>
      <c r="AS555" t="str">
        <f>IF(SUM(ifood_data[[#This Row],[Kidhome]:[Teenhome]])&gt;0,"Has Family","No Family")</f>
        <v>Has Family</v>
      </c>
      <c r="AT555" t="str">
        <f>IF(ifood_data[[#This Row],[marital_Married]]=1,"Married", (IF(ifood_data[[#This Row],[marital_Single]]=1,"Single",(IF(ifood_data[[#This Row],[marital_Divorced]]=1,"Divorced",(IF(ifood_data[[#This Row],[marital_Together]]=1,"Living Together",(IF(ifood_data[[#This Row],[marital_Widow]]=1,"Widow","Other")))))))))</f>
        <v>Married</v>
      </c>
      <c r="AU555" t="str">
        <f>IF(ifood_data[[#This Row],[education_Basic]]=1,"High School",(IF(ifood_data[[#This Row],[education_Graduation]]=1,"Undergraduate Degree",(IF(SUM(AM555,AL555,AI555)&gt;0,"Master's Degree or Higher","Other")))))</f>
        <v>Undergraduate Degree</v>
      </c>
      <c r="AV555" t="str">
        <f>IF(ifood_data[[#All],[Income]]&gt;75000,"75K+",(IF(ifood_data[[#All],[Income]]&gt;50000,"50K-75K",(IF(ifood_data[[#All],[Income]]&gt;35000,"35K-50K","&lt;35K")))))</f>
        <v>50K-75K</v>
      </c>
      <c r="AW555" t="str">
        <f>IF(ifood_data[[#All],[Age]]&gt;60,"60+",(IF(ifood_data[[#All],[Age]]&gt;50,"50-60",(IF(ifood_data[[#All],[Age]]&gt;40,"40-50",(IF(ifood_data[[#All],[Age]]&gt;30,"30-40","&lt;30")))))))</f>
        <v>60+</v>
      </c>
      <c r="AX555">
        <f t="shared" si="32"/>
        <v>30</v>
      </c>
      <c r="AY555">
        <f t="shared" si="33"/>
        <v>0.99999999999999978</v>
      </c>
      <c r="AZ555">
        <f t="shared" si="34"/>
        <v>8</v>
      </c>
      <c r="BA555">
        <f t="shared" si="35"/>
        <v>6</v>
      </c>
      <c r="BB555">
        <f>SUM(ifood_data[[#This Row],[Recency Score]:[Monetary Score]])</f>
        <v>15</v>
      </c>
      <c r="BC555">
        <f>(_xlfn.PERCENTRANK.INC(ifood_data[[#All],[RFM]],ifood_data[[#This Row],[RFM]],1))*10</f>
        <v>4</v>
      </c>
      <c r="BD555" t="str">
        <f>VLOOKUP(ifood_data[[#This Row],[RFM Score]],'RFM Analysis'!$A$3:$B$14,2,FALSE)</f>
        <v>At Risk</v>
      </c>
      <c r="BE555">
        <f>'Regression Models'!$B$101+'Regression Models'!$B$102*ifood_data[[#This Row],[Income]]+'Regression Models'!$B$103*ifood_data[[#This Row],[Age]]+'Regression Models'!$B$104*ifood_data[[#This Row],[Family]]</f>
        <v>856.78191969926036</v>
      </c>
      <c r="BF555" t="str">
        <f>IF(ifood_data[[#This Row],[AcceptedCmpOverall]]=1,"Campaign Respondent","Non-respondent")</f>
        <v>Non-respondent</v>
      </c>
    </row>
    <row r="556" spans="1:58" x14ac:dyDescent="0.35">
      <c r="A556">
        <v>1607</v>
      </c>
      <c r="B556">
        <v>69901</v>
      </c>
      <c r="C556">
        <v>0</v>
      </c>
      <c r="D556">
        <v>1</v>
      </c>
      <c r="E556">
        <v>95</v>
      </c>
      <c r="F556">
        <v>312</v>
      </c>
      <c r="G556">
        <v>21</v>
      </c>
      <c r="H556">
        <v>206</v>
      </c>
      <c r="I556">
        <v>102</v>
      </c>
      <c r="J556">
        <v>92</v>
      </c>
      <c r="K556">
        <v>149</v>
      </c>
      <c r="L556">
        <v>3</v>
      </c>
      <c r="M556">
        <v>7</v>
      </c>
      <c r="N556">
        <v>3</v>
      </c>
      <c r="O556">
        <v>10</v>
      </c>
      <c r="P556">
        <v>5</v>
      </c>
      <c r="Q556">
        <v>0</v>
      </c>
      <c r="R556">
        <v>0</v>
      </c>
      <c r="S556">
        <v>0</v>
      </c>
      <c r="T556">
        <v>0</v>
      </c>
      <c r="U556">
        <v>0</v>
      </c>
      <c r="V556">
        <f>IF(SUM(ifood_data[[#This Row],[AcceptedCmp1]:[AcceptedCmp5]])&gt;0,1,0)</f>
        <v>0</v>
      </c>
      <c r="W556">
        <v>0</v>
      </c>
      <c r="X556">
        <v>3</v>
      </c>
      <c r="Y556">
        <v>11</v>
      </c>
      <c r="Z556">
        <v>0</v>
      </c>
      <c r="AA556">
        <v>51</v>
      </c>
      <c r="AB556">
        <v>2555</v>
      </c>
      <c r="AC556" s="28">
        <f>ifood_data[[#This Row],[Customer_Days]]/365</f>
        <v>7</v>
      </c>
      <c r="AD556">
        <v>1</v>
      </c>
      <c r="AE556">
        <v>0</v>
      </c>
      <c r="AF556">
        <v>0</v>
      </c>
      <c r="AG556">
        <v>0</v>
      </c>
      <c r="AH556">
        <v>0</v>
      </c>
      <c r="AI556">
        <v>0</v>
      </c>
      <c r="AJ556">
        <v>0</v>
      </c>
      <c r="AK556">
        <v>1</v>
      </c>
      <c r="AL556">
        <v>0</v>
      </c>
      <c r="AM556">
        <v>0</v>
      </c>
      <c r="AN556">
        <v>733</v>
      </c>
      <c r="AO556">
        <v>584</v>
      </c>
      <c r="AP556">
        <f>ifood_data[[#This Row],[MntTotal]]-ifood_data[[#This Row],[MntRegularProds]]</f>
        <v>149</v>
      </c>
      <c r="AQ556">
        <v>0</v>
      </c>
      <c r="AR556">
        <f>IF(SUM(ifood_data[[#This Row],[Kidhome]:[Teenhome]])&gt;0,1,0)</f>
        <v>1</v>
      </c>
      <c r="AS556" t="str">
        <f>IF(SUM(ifood_data[[#This Row],[Kidhome]:[Teenhome]])&gt;0,"Has Family","No Family")</f>
        <v>Has Family</v>
      </c>
      <c r="AT556" t="str">
        <f>IF(ifood_data[[#This Row],[marital_Married]]=1,"Married", (IF(ifood_data[[#This Row],[marital_Single]]=1,"Single",(IF(ifood_data[[#This Row],[marital_Divorced]]=1,"Divorced",(IF(ifood_data[[#This Row],[marital_Together]]=1,"Living Together",(IF(ifood_data[[#This Row],[marital_Widow]]=1,"Widow","Other")))))))))</f>
        <v>Divorced</v>
      </c>
      <c r="AU556" t="str">
        <f>IF(ifood_data[[#This Row],[education_Basic]]=1,"High School",(IF(ifood_data[[#This Row],[education_Graduation]]=1,"Undergraduate Degree",(IF(SUM(AM556,AL556,AI556)&gt;0,"Master's Degree or Higher","Other")))))</f>
        <v>Undergraduate Degree</v>
      </c>
      <c r="AV556" t="str">
        <f>IF(ifood_data[[#All],[Income]]&gt;75000,"75K+",(IF(ifood_data[[#All],[Income]]&gt;50000,"50K-75K",(IF(ifood_data[[#All],[Income]]&gt;35000,"35K-50K","&lt;35K")))))</f>
        <v>50K-75K</v>
      </c>
      <c r="AW556" t="str">
        <f>IF(ifood_data[[#All],[Age]]&gt;60,"60+",(IF(ifood_data[[#All],[Age]]&gt;50,"50-60",(IF(ifood_data[[#All],[Age]]&gt;40,"40-50",(IF(ifood_data[[#All],[Age]]&gt;30,"30-40","&lt;30")))))))</f>
        <v>50-60</v>
      </c>
      <c r="AX556">
        <f t="shared" si="32"/>
        <v>28</v>
      </c>
      <c r="AY556">
        <f t="shared" si="33"/>
        <v>0.99999999999999978</v>
      </c>
      <c r="AZ556">
        <f t="shared" si="34"/>
        <v>8</v>
      </c>
      <c r="BA556">
        <f t="shared" si="35"/>
        <v>6</v>
      </c>
      <c r="BB556">
        <f>SUM(ifood_data[[#This Row],[Recency Score]:[Monetary Score]])</f>
        <v>15</v>
      </c>
      <c r="BC556">
        <f>(_xlfn.PERCENTRANK.INC(ifood_data[[#All],[RFM]],ifood_data[[#This Row],[RFM]],1))*10</f>
        <v>4</v>
      </c>
      <c r="BD556" t="str">
        <f>VLOOKUP(ifood_data[[#This Row],[RFM Score]],'RFM Analysis'!$A$3:$B$14,2,FALSE)</f>
        <v>At Risk</v>
      </c>
      <c r="BE556">
        <f>'Regression Models'!$B$101+'Regression Models'!$B$102*ifood_data[[#This Row],[Income]]+'Regression Models'!$B$103*ifood_data[[#This Row],[Age]]+'Regression Models'!$B$104*ifood_data[[#This Row],[Family]]</f>
        <v>854.10800165558624</v>
      </c>
      <c r="BF556" t="str">
        <f>IF(ifood_data[[#This Row],[AcceptedCmpOverall]]=1,"Campaign Respondent","Non-respondent")</f>
        <v>Non-respondent</v>
      </c>
    </row>
    <row r="557" spans="1:58" x14ac:dyDescent="0.35">
      <c r="A557">
        <v>74</v>
      </c>
      <c r="B557">
        <v>56046</v>
      </c>
      <c r="C557">
        <v>0</v>
      </c>
      <c r="D557">
        <v>0</v>
      </c>
      <c r="E557">
        <v>9</v>
      </c>
      <c r="F557">
        <v>577</v>
      </c>
      <c r="G557">
        <v>0</v>
      </c>
      <c r="H557">
        <v>64</v>
      </c>
      <c r="I557">
        <v>0</v>
      </c>
      <c r="J557">
        <v>0</v>
      </c>
      <c r="K557">
        <v>51</v>
      </c>
      <c r="L557">
        <v>2</v>
      </c>
      <c r="M557">
        <v>10</v>
      </c>
      <c r="N557">
        <v>1</v>
      </c>
      <c r="O557">
        <v>8</v>
      </c>
      <c r="P557">
        <v>8</v>
      </c>
      <c r="Q557">
        <v>0</v>
      </c>
      <c r="R557">
        <v>0</v>
      </c>
      <c r="S557">
        <v>1</v>
      </c>
      <c r="T557">
        <v>0</v>
      </c>
      <c r="U557">
        <v>0</v>
      </c>
      <c r="V557">
        <f>IF(SUM(ifood_data[[#This Row],[AcceptedCmp1]:[AcceptedCmp5]])&gt;0,1,0)</f>
        <v>1</v>
      </c>
      <c r="W557">
        <v>0</v>
      </c>
      <c r="X557">
        <v>3</v>
      </c>
      <c r="Y557">
        <v>11</v>
      </c>
      <c r="Z557">
        <v>1</v>
      </c>
      <c r="AA557">
        <v>55</v>
      </c>
      <c r="AB557">
        <v>2702</v>
      </c>
      <c r="AC557" s="28">
        <f>ifood_data[[#This Row],[Customer_Days]]/365</f>
        <v>7.4027397260273968</v>
      </c>
      <c r="AD557">
        <v>0</v>
      </c>
      <c r="AE557">
        <v>0</v>
      </c>
      <c r="AF557">
        <v>0</v>
      </c>
      <c r="AG557">
        <v>1</v>
      </c>
      <c r="AH557">
        <v>0</v>
      </c>
      <c r="AI557">
        <v>0</v>
      </c>
      <c r="AJ557">
        <v>0</v>
      </c>
      <c r="AK557">
        <v>1</v>
      </c>
      <c r="AL557">
        <v>0</v>
      </c>
      <c r="AM557">
        <v>0</v>
      </c>
      <c r="AN557">
        <v>641</v>
      </c>
      <c r="AO557">
        <v>590</v>
      </c>
      <c r="AP557">
        <f>ifood_data[[#This Row],[MntTotal]]-ifood_data[[#This Row],[MntRegularProds]]</f>
        <v>51</v>
      </c>
      <c r="AQ557">
        <v>1</v>
      </c>
      <c r="AR557">
        <f>IF(SUM(ifood_data[[#This Row],[Kidhome]:[Teenhome]])&gt;0,1,0)</f>
        <v>0</v>
      </c>
      <c r="AS557" t="str">
        <f>IF(SUM(ifood_data[[#This Row],[Kidhome]:[Teenhome]])&gt;0,"Has Family","No Family")</f>
        <v>No Family</v>
      </c>
      <c r="AT557" t="str">
        <f>IF(ifood_data[[#This Row],[marital_Married]]=1,"Married", (IF(ifood_data[[#This Row],[marital_Single]]=1,"Single",(IF(ifood_data[[#This Row],[marital_Divorced]]=1,"Divorced",(IF(ifood_data[[#This Row],[marital_Together]]=1,"Living Together",(IF(ifood_data[[#This Row],[marital_Widow]]=1,"Widow","Other")))))))))</f>
        <v>Living Together</v>
      </c>
      <c r="AU557" t="str">
        <f>IF(ifood_data[[#This Row],[education_Basic]]=1,"High School",(IF(ifood_data[[#This Row],[education_Graduation]]=1,"Undergraduate Degree",(IF(SUM(AM557,AL557,AI557)&gt;0,"Master's Degree or Higher","Other")))))</f>
        <v>Undergraduate Degree</v>
      </c>
      <c r="AV557" t="str">
        <f>IF(ifood_data[[#All],[Income]]&gt;75000,"75K+",(IF(ifood_data[[#All],[Income]]&gt;50000,"50K-75K",(IF(ifood_data[[#All],[Income]]&gt;35000,"35K-50K","&lt;35K")))))</f>
        <v>50K-75K</v>
      </c>
      <c r="AW557" t="str">
        <f>IF(ifood_data[[#All],[Age]]&gt;60,"60+",(IF(ifood_data[[#All],[Age]]&gt;50,"50-60",(IF(ifood_data[[#All],[Age]]&gt;40,"40-50",(IF(ifood_data[[#All],[Age]]&gt;30,"30-40","&lt;30")))))))</f>
        <v>50-60</v>
      </c>
      <c r="AX557">
        <f t="shared" si="32"/>
        <v>29</v>
      </c>
      <c r="AY557">
        <f t="shared" si="33"/>
        <v>10</v>
      </c>
      <c r="AZ557">
        <f t="shared" si="34"/>
        <v>8</v>
      </c>
      <c r="BA557">
        <f t="shared" si="35"/>
        <v>6</v>
      </c>
      <c r="BB557">
        <f>SUM(ifood_data[[#This Row],[Recency Score]:[Monetary Score]])</f>
        <v>24</v>
      </c>
      <c r="BC557">
        <f>(_xlfn.PERCENTRANK.INC(ifood_data[[#All],[RFM]],ifood_data[[#This Row],[RFM]],1))*10</f>
        <v>9</v>
      </c>
      <c r="BD557" t="str">
        <f>VLOOKUP(ifood_data[[#This Row],[RFM Score]],'RFM Analysis'!$A$3:$B$14,2,FALSE)</f>
        <v>Top Customer</v>
      </c>
      <c r="BE557">
        <f>'Regression Models'!$B$101+'Regression Models'!$B$102*ifood_data[[#This Row],[Income]]+'Regression Models'!$B$103*ifood_data[[#This Row],[Age]]+'Regression Models'!$B$104*ifood_data[[#This Row],[Family]]</f>
        <v>853.88949377930544</v>
      </c>
      <c r="BF557" t="str">
        <f>IF(ifood_data[[#This Row],[AcceptedCmpOverall]]=1,"Campaign Respondent","Non-respondent")</f>
        <v>Campaign Respondent</v>
      </c>
    </row>
    <row r="558" spans="1:58" x14ac:dyDescent="0.35">
      <c r="A558">
        <v>1421</v>
      </c>
      <c r="B558">
        <v>69283</v>
      </c>
      <c r="C558">
        <v>0</v>
      </c>
      <c r="D558">
        <v>1</v>
      </c>
      <c r="E558">
        <v>41</v>
      </c>
      <c r="F558">
        <v>674</v>
      </c>
      <c r="G558">
        <v>62</v>
      </c>
      <c r="H558">
        <v>134</v>
      </c>
      <c r="I558">
        <v>0</v>
      </c>
      <c r="J558">
        <v>26</v>
      </c>
      <c r="K558">
        <v>8</v>
      </c>
      <c r="L558">
        <v>4</v>
      </c>
      <c r="M558">
        <v>7</v>
      </c>
      <c r="N558">
        <v>3</v>
      </c>
      <c r="O558">
        <v>13</v>
      </c>
      <c r="P558">
        <v>5</v>
      </c>
      <c r="Q558">
        <v>0</v>
      </c>
      <c r="R558">
        <v>0</v>
      </c>
      <c r="S558">
        <v>0</v>
      </c>
      <c r="T558">
        <v>0</v>
      </c>
      <c r="U558">
        <v>0</v>
      </c>
      <c r="V558">
        <f>IF(SUM(ifood_data[[#This Row],[AcceptedCmp1]:[AcceptedCmp5]])&gt;0,1,0)</f>
        <v>0</v>
      </c>
      <c r="W558">
        <v>0</v>
      </c>
      <c r="X558">
        <v>3</v>
      </c>
      <c r="Y558">
        <v>11</v>
      </c>
      <c r="Z558">
        <v>0</v>
      </c>
      <c r="AA558">
        <v>45</v>
      </c>
      <c r="AB558">
        <v>2174</v>
      </c>
      <c r="AC558" s="28">
        <f>ifood_data[[#This Row],[Customer_Days]]/365</f>
        <v>5.956164383561644</v>
      </c>
      <c r="AD558">
        <v>0</v>
      </c>
      <c r="AE558">
        <v>1</v>
      </c>
      <c r="AF558">
        <v>0</v>
      </c>
      <c r="AG558">
        <v>0</v>
      </c>
      <c r="AH558">
        <v>0</v>
      </c>
      <c r="AI558">
        <v>0</v>
      </c>
      <c r="AJ558">
        <v>0</v>
      </c>
      <c r="AK558">
        <v>0</v>
      </c>
      <c r="AL558">
        <v>0</v>
      </c>
      <c r="AM558">
        <v>1</v>
      </c>
      <c r="AN558">
        <v>896</v>
      </c>
      <c r="AO558">
        <v>888</v>
      </c>
      <c r="AP558">
        <f>ifood_data[[#This Row],[MntTotal]]-ifood_data[[#This Row],[MntRegularProds]]</f>
        <v>8</v>
      </c>
      <c r="AQ558">
        <v>0</v>
      </c>
      <c r="AR558">
        <f>IF(SUM(ifood_data[[#This Row],[Kidhome]:[Teenhome]])&gt;0,1,0)</f>
        <v>1</v>
      </c>
      <c r="AS558" t="str">
        <f>IF(SUM(ifood_data[[#This Row],[Kidhome]:[Teenhome]])&gt;0,"Has Family","No Family")</f>
        <v>Has Family</v>
      </c>
      <c r="AT558" t="str">
        <f>IF(ifood_data[[#This Row],[marital_Married]]=1,"Married", (IF(ifood_data[[#This Row],[marital_Single]]=1,"Single",(IF(ifood_data[[#This Row],[marital_Divorced]]=1,"Divorced",(IF(ifood_data[[#This Row],[marital_Together]]=1,"Living Together",(IF(ifood_data[[#This Row],[marital_Widow]]=1,"Widow","Other")))))))))</f>
        <v>Married</v>
      </c>
      <c r="AU558" t="str">
        <f>IF(ifood_data[[#This Row],[education_Basic]]=1,"High School",(IF(ifood_data[[#This Row],[education_Graduation]]=1,"Undergraduate Degree",(IF(SUM(AM558,AL558,AI558)&gt;0,"Master's Degree or Higher","Other")))))</f>
        <v>Master's Degree or Higher</v>
      </c>
      <c r="AV558" t="str">
        <f>IF(ifood_data[[#All],[Income]]&gt;75000,"75K+",(IF(ifood_data[[#All],[Income]]&gt;50000,"50K-75K",(IF(ifood_data[[#All],[Income]]&gt;35000,"35K-50K","&lt;35K")))))</f>
        <v>50K-75K</v>
      </c>
      <c r="AW558" t="str">
        <f>IF(ifood_data[[#All],[Age]]&gt;60,"60+",(IF(ifood_data[[#All],[Age]]&gt;50,"50-60",(IF(ifood_data[[#All],[Age]]&gt;40,"40-50",(IF(ifood_data[[#All],[Age]]&gt;30,"30-40","&lt;30")))))))</f>
        <v>40-50</v>
      </c>
      <c r="AX558">
        <f t="shared" si="32"/>
        <v>32</v>
      </c>
      <c r="AY558">
        <f t="shared" si="33"/>
        <v>6</v>
      </c>
      <c r="AZ558">
        <f t="shared" si="34"/>
        <v>9</v>
      </c>
      <c r="BA558">
        <f t="shared" si="35"/>
        <v>7</v>
      </c>
      <c r="BB558">
        <f>SUM(ifood_data[[#This Row],[Recency Score]:[Monetary Score]])</f>
        <v>22</v>
      </c>
      <c r="BC558">
        <f>(_xlfn.PERCENTRANK.INC(ifood_data[[#All],[RFM]],ifood_data[[#This Row],[RFM]],1))*10</f>
        <v>8</v>
      </c>
      <c r="BD558" t="str">
        <f>VLOOKUP(ifood_data[[#This Row],[RFM Score]],'RFM Analysis'!$A$3:$B$14,2,FALSE)</f>
        <v>Loyal Customer</v>
      </c>
      <c r="BE558">
        <f>'Regression Models'!$B$101+'Regression Models'!$B$102*ifood_data[[#This Row],[Income]]+'Regression Models'!$B$103*ifood_data[[#This Row],[Age]]+'Regression Models'!$B$104*ifood_data[[#This Row],[Family]]</f>
        <v>852.52637741602268</v>
      </c>
      <c r="BF558" t="str">
        <f>IF(ifood_data[[#This Row],[AcceptedCmpOverall]]=1,"Campaign Respondent","Non-respondent")</f>
        <v>Non-respondent</v>
      </c>
    </row>
    <row r="559" spans="1:58" x14ac:dyDescent="0.35">
      <c r="A559">
        <v>1349</v>
      </c>
      <c r="B559">
        <v>69401</v>
      </c>
      <c r="C559">
        <v>0</v>
      </c>
      <c r="D559">
        <v>1</v>
      </c>
      <c r="E559">
        <v>41</v>
      </c>
      <c r="F559">
        <v>399</v>
      </c>
      <c r="G559">
        <v>27</v>
      </c>
      <c r="H559">
        <v>159</v>
      </c>
      <c r="I559">
        <v>58</v>
      </c>
      <c r="J559">
        <v>8</v>
      </c>
      <c r="K559">
        <v>39</v>
      </c>
      <c r="L559">
        <v>4</v>
      </c>
      <c r="M559">
        <v>4</v>
      </c>
      <c r="N559">
        <v>4</v>
      </c>
      <c r="O559">
        <v>5</v>
      </c>
      <c r="P559">
        <v>2</v>
      </c>
      <c r="Q559">
        <v>0</v>
      </c>
      <c r="R559">
        <v>0</v>
      </c>
      <c r="S559">
        <v>0</v>
      </c>
      <c r="T559">
        <v>0</v>
      </c>
      <c r="U559">
        <v>0</v>
      </c>
      <c r="V559">
        <f>IF(SUM(ifood_data[[#This Row],[AcceptedCmp1]:[AcceptedCmp5]])&gt;0,1,0)</f>
        <v>0</v>
      </c>
      <c r="W559">
        <v>0</v>
      </c>
      <c r="X559">
        <v>3</v>
      </c>
      <c r="Y559">
        <v>11</v>
      </c>
      <c r="Z559">
        <v>0</v>
      </c>
      <c r="AA559">
        <v>47</v>
      </c>
      <c r="AB559">
        <v>2257</v>
      </c>
      <c r="AC559" s="28">
        <f>ifood_data[[#This Row],[Customer_Days]]/365</f>
        <v>6.183561643835616</v>
      </c>
      <c r="AD559">
        <v>0</v>
      </c>
      <c r="AE559">
        <v>0</v>
      </c>
      <c r="AF559">
        <v>0</v>
      </c>
      <c r="AG559">
        <v>1</v>
      </c>
      <c r="AH559">
        <v>0</v>
      </c>
      <c r="AI559">
        <v>1</v>
      </c>
      <c r="AJ559">
        <v>0</v>
      </c>
      <c r="AK559">
        <v>0</v>
      </c>
      <c r="AL559">
        <v>0</v>
      </c>
      <c r="AM559">
        <v>0</v>
      </c>
      <c r="AN559">
        <v>651</v>
      </c>
      <c r="AO559">
        <v>612</v>
      </c>
      <c r="AP559">
        <f>ifood_data[[#This Row],[MntTotal]]-ifood_data[[#This Row],[MntRegularProds]]</f>
        <v>39</v>
      </c>
      <c r="AQ559">
        <v>0</v>
      </c>
      <c r="AR559">
        <f>IF(SUM(ifood_data[[#This Row],[Kidhome]:[Teenhome]])&gt;0,1,0)</f>
        <v>1</v>
      </c>
      <c r="AS559" t="str">
        <f>IF(SUM(ifood_data[[#This Row],[Kidhome]:[Teenhome]])&gt;0,"Has Family","No Family")</f>
        <v>Has Family</v>
      </c>
      <c r="AT559" t="str">
        <f>IF(ifood_data[[#This Row],[marital_Married]]=1,"Married", (IF(ifood_data[[#This Row],[marital_Single]]=1,"Single",(IF(ifood_data[[#This Row],[marital_Divorced]]=1,"Divorced",(IF(ifood_data[[#This Row],[marital_Together]]=1,"Living Together",(IF(ifood_data[[#This Row],[marital_Widow]]=1,"Widow","Other")))))))))</f>
        <v>Living Together</v>
      </c>
      <c r="AU559" t="str">
        <f>IF(ifood_data[[#This Row],[education_Basic]]=1,"High School",(IF(ifood_data[[#This Row],[education_Graduation]]=1,"Undergraduate Degree",(IF(SUM(AM559,AL559,AI559)&gt;0,"Master's Degree or Higher","Other")))))</f>
        <v>Master's Degree or Higher</v>
      </c>
      <c r="AV559" t="str">
        <f>IF(ifood_data[[#All],[Income]]&gt;75000,"75K+",(IF(ifood_data[[#All],[Income]]&gt;50000,"50K-75K",(IF(ifood_data[[#All],[Income]]&gt;35000,"35K-50K","&lt;35K")))))</f>
        <v>50K-75K</v>
      </c>
      <c r="AW559" t="str">
        <f>IF(ifood_data[[#All],[Age]]&gt;60,"60+",(IF(ifood_data[[#All],[Age]]&gt;50,"50-60",(IF(ifood_data[[#All],[Age]]&gt;40,"40-50",(IF(ifood_data[[#All],[Age]]&gt;30,"30-40","&lt;30")))))))</f>
        <v>40-50</v>
      </c>
      <c r="AX559">
        <f t="shared" si="32"/>
        <v>19</v>
      </c>
      <c r="AY559">
        <f t="shared" si="33"/>
        <v>6</v>
      </c>
      <c r="AZ559">
        <f t="shared" si="34"/>
        <v>4</v>
      </c>
      <c r="BA559">
        <f t="shared" si="35"/>
        <v>6</v>
      </c>
      <c r="BB559">
        <f>SUM(ifood_data[[#This Row],[Recency Score]:[Monetary Score]])</f>
        <v>16</v>
      </c>
      <c r="BC559">
        <f>(_xlfn.PERCENTRANK.INC(ifood_data[[#All],[RFM]],ifood_data[[#This Row],[RFM]],1))*10</f>
        <v>5</v>
      </c>
      <c r="BD559" t="str">
        <f>VLOOKUP(ifood_data[[#This Row],[RFM Score]],'RFM Analysis'!$A$3:$B$14,2,FALSE)</f>
        <v>Promising</v>
      </c>
      <c r="BE559">
        <f>'Regression Models'!$B$101+'Regression Models'!$B$102*ifood_data[[#This Row],[Income]]+'Regression Models'!$B$103*ifood_data[[#This Row],[Age]]+'Regression Models'!$B$104*ifood_data[[#This Row],[Family]]</f>
        <v>851.25937389921421</v>
      </c>
      <c r="BF559" t="str">
        <f>IF(ifood_data[[#This Row],[AcceptedCmpOverall]]=1,"Campaign Respondent","Non-respondent")</f>
        <v>Non-respondent</v>
      </c>
    </row>
    <row r="560" spans="1:58" x14ac:dyDescent="0.35">
      <c r="A560">
        <v>1788</v>
      </c>
      <c r="B560">
        <v>70053</v>
      </c>
      <c r="C560">
        <v>0</v>
      </c>
      <c r="D560">
        <v>1</v>
      </c>
      <c r="E560">
        <v>38</v>
      </c>
      <c r="F560">
        <v>512</v>
      </c>
      <c r="G560">
        <v>53</v>
      </c>
      <c r="H560">
        <v>98</v>
      </c>
      <c r="I560">
        <v>81</v>
      </c>
      <c r="J560">
        <v>179</v>
      </c>
      <c r="K560">
        <v>89</v>
      </c>
      <c r="L560">
        <v>3</v>
      </c>
      <c r="M560">
        <v>8</v>
      </c>
      <c r="N560">
        <v>5</v>
      </c>
      <c r="O560">
        <v>10</v>
      </c>
      <c r="P560">
        <v>5</v>
      </c>
      <c r="Q560">
        <v>0</v>
      </c>
      <c r="R560">
        <v>0</v>
      </c>
      <c r="S560">
        <v>0</v>
      </c>
      <c r="T560">
        <v>0</v>
      </c>
      <c r="U560">
        <v>0</v>
      </c>
      <c r="V560">
        <f>IF(SUM(ifood_data[[#This Row],[AcceptedCmp1]:[AcceptedCmp5]])&gt;0,1,0)</f>
        <v>0</v>
      </c>
      <c r="W560">
        <v>0</v>
      </c>
      <c r="X560">
        <v>3</v>
      </c>
      <c r="Y560">
        <v>11</v>
      </c>
      <c r="Z560">
        <v>0</v>
      </c>
      <c r="AA560">
        <v>55</v>
      </c>
      <c r="AB560">
        <v>2520</v>
      </c>
      <c r="AC560" s="28">
        <f>ifood_data[[#This Row],[Customer_Days]]/365</f>
        <v>6.904109589041096</v>
      </c>
      <c r="AD560">
        <v>0</v>
      </c>
      <c r="AE560">
        <v>1</v>
      </c>
      <c r="AF560">
        <v>0</v>
      </c>
      <c r="AG560">
        <v>0</v>
      </c>
      <c r="AH560">
        <v>0</v>
      </c>
      <c r="AI560">
        <v>0</v>
      </c>
      <c r="AJ560">
        <v>0</v>
      </c>
      <c r="AK560">
        <v>0</v>
      </c>
      <c r="AL560">
        <v>1</v>
      </c>
      <c r="AM560">
        <v>0</v>
      </c>
      <c r="AN560">
        <v>923</v>
      </c>
      <c r="AO560">
        <v>834</v>
      </c>
      <c r="AP560">
        <f>ifood_data[[#This Row],[MntTotal]]-ifood_data[[#This Row],[MntRegularProds]]</f>
        <v>89</v>
      </c>
      <c r="AQ560">
        <v>0</v>
      </c>
      <c r="AR560">
        <f>IF(SUM(ifood_data[[#This Row],[Kidhome]:[Teenhome]])&gt;0,1,0)</f>
        <v>1</v>
      </c>
      <c r="AS560" t="str">
        <f>IF(SUM(ifood_data[[#This Row],[Kidhome]:[Teenhome]])&gt;0,"Has Family","No Family")</f>
        <v>Has Family</v>
      </c>
      <c r="AT560" t="str">
        <f>IF(ifood_data[[#This Row],[marital_Married]]=1,"Married", (IF(ifood_data[[#This Row],[marital_Single]]=1,"Single",(IF(ifood_data[[#This Row],[marital_Divorced]]=1,"Divorced",(IF(ifood_data[[#This Row],[marital_Together]]=1,"Living Together",(IF(ifood_data[[#This Row],[marital_Widow]]=1,"Widow","Other")))))))))</f>
        <v>Married</v>
      </c>
      <c r="AU560" t="str">
        <f>IF(ifood_data[[#This Row],[education_Basic]]=1,"High School",(IF(ifood_data[[#This Row],[education_Graduation]]=1,"Undergraduate Degree",(IF(SUM(AM560,AL560,AI560)&gt;0,"Master's Degree or Higher","Other")))))</f>
        <v>Master's Degree or Higher</v>
      </c>
      <c r="AV560" t="str">
        <f>IF(ifood_data[[#All],[Income]]&gt;75000,"75K+",(IF(ifood_data[[#All],[Income]]&gt;50000,"50K-75K",(IF(ifood_data[[#All],[Income]]&gt;35000,"35K-50K","&lt;35K")))))</f>
        <v>50K-75K</v>
      </c>
      <c r="AW560" t="str">
        <f>IF(ifood_data[[#All],[Age]]&gt;60,"60+",(IF(ifood_data[[#All],[Age]]&gt;50,"50-60",(IF(ifood_data[[#All],[Age]]&gt;40,"40-50",(IF(ifood_data[[#All],[Age]]&gt;30,"30-40","&lt;30")))))))</f>
        <v>50-60</v>
      </c>
      <c r="AX560">
        <f t="shared" si="32"/>
        <v>31</v>
      </c>
      <c r="AY560">
        <f t="shared" si="33"/>
        <v>7</v>
      </c>
      <c r="AZ560">
        <f t="shared" si="34"/>
        <v>9</v>
      </c>
      <c r="BA560">
        <f t="shared" si="35"/>
        <v>7</v>
      </c>
      <c r="BB560">
        <f>SUM(ifood_data[[#This Row],[Recency Score]:[Monetary Score]])</f>
        <v>23</v>
      </c>
      <c r="BC560">
        <f>(_xlfn.PERCENTRANK.INC(ifood_data[[#All],[RFM]],ifood_data[[#This Row],[RFM]],1))*10</f>
        <v>8</v>
      </c>
      <c r="BD560" t="str">
        <f>VLOOKUP(ifood_data[[#This Row],[RFM Score]],'RFM Analysis'!$A$3:$B$14,2,FALSE)</f>
        <v>Loyal Customer</v>
      </c>
      <c r="BE560">
        <f>'Regression Models'!$B$101+'Regression Models'!$B$102*ifood_data[[#This Row],[Income]]+'Regression Models'!$B$103*ifood_data[[#This Row],[Age]]+'Regression Models'!$B$104*ifood_data[[#This Row],[Family]]</f>
        <v>849.86133809788191</v>
      </c>
      <c r="BF560" t="str">
        <f>IF(ifood_data[[#This Row],[AcceptedCmpOverall]]=1,"Campaign Respondent","Non-respondent")</f>
        <v>Non-respondent</v>
      </c>
    </row>
    <row r="561" spans="1:58" x14ac:dyDescent="0.35">
      <c r="A561">
        <v>246</v>
      </c>
      <c r="B561">
        <v>69674</v>
      </c>
      <c r="C561">
        <v>0</v>
      </c>
      <c r="D561">
        <v>2</v>
      </c>
      <c r="E561">
        <v>46</v>
      </c>
      <c r="F561">
        <v>554</v>
      </c>
      <c r="G561">
        <v>41</v>
      </c>
      <c r="H561">
        <v>215</v>
      </c>
      <c r="I561">
        <v>11</v>
      </c>
      <c r="J561">
        <v>0</v>
      </c>
      <c r="K561">
        <v>24</v>
      </c>
      <c r="L561">
        <v>3</v>
      </c>
      <c r="M561">
        <v>10</v>
      </c>
      <c r="N561">
        <v>2</v>
      </c>
      <c r="O561">
        <v>10</v>
      </c>
      <c r="P561">
        <v>5</v>
      </c>
      <c r="Q561">
        <v>0</v>
      </c>
      <c r="R561">
        <v>0</v>
      </c>
      <c r="S561">
        <v>0</v>
      </c>
      <c r="T561">
        <v>0</v>
      </c>
      <c r="U561">
        <v>0</v>
      </c>
      <c r="V561">
        <f>IF(SUM(ifood_data[[#This Row],[AcceptedCmp1]:[AcceptedCmp5]])&gt;0,1,0)</f>
        <v>0</v>
      </c>
      <c r="W561">
        <v>0</v>
      </c>
      <c r="X561">
        <v>3</v>
      </c>
      <c r="Y561">
        <v>11</v>
      </c>
      <c r="Z561">
        <v>0</v>
      </c>
      <c r="AA561">
        <v>52</v>
      </c>
      <c r="AB561">
        <v>2562</v>
      </c>
      <c r="AC561" s="28">
        <f>ifood_data[[#This Row],[Customer_Days]]/365</f>
        <v>7.0191780821917806</v>
      </c>
      <c r="AD561">
        <v>1</v>
      </c>
      <c r="AE561">
        <v>0</v>
      </c>
      <c r="AF561">
        <v>0</v>
      </c>
      <c r="AG561">
        <v>0</v>
      </c>
      <c r="AH561">
        <v>0</v>
      </c>
      <c r="AI561">
        <v>0</v>
      </c>
      <c r="AJ561">
        <v>0</v>
      </c>
      <c r="AK561">
        <v>0</v>
      </c>
      <c r="AL561">
        <v>0</v>
      </c>
      <c r="AM561">
        <v>1</v>
      </c>
      <c r="AN561">
        <v>821</v>
      </c>
      <c r="AO561">
        <v>797</v>
      </c>
      <c r="AP561">
        <f>ifood_data[[#This Row],[MntTotal]]-ifood_data[[#This Row],[MntRegularProds]]</f>
        <v>24</v>
      </c>
      <c r="AQ561">
        <v>0</v>
      </c>
      <c r="AR561">
        <f>IF(SUM(ifood_data[[#This Row],[Kidhome]:[Teenhome]])&gt;0,1,0)</f>
        <v>1</v>
      </c>
      <c r="AS561" t="str">
        <f>IF(SUM(ifood_data[[#This Row],[Kidhome]:[Teenhome]])&gt;0,"Has Family","No Family")</f>
        <v>Has Family</v>
      </c>
      <c r="AT561" t="str">
        <f>IF(ifood_data[[#This Row],[marital_Married]]=1,"Married", (IF(ifood_data[[#This Row],[marital_Single]]=1,"Single",(IF(ifood_data[[#This Row],[marital_Divorced]]=1,"Divorced",(IF(ifood_data[[#This Row],[marital_Together]]=1,"Living Together",(IF(ifood_data[[#This Row],[marital_Widow]]=1,"Widow","Other")))))))))</f>
        <v>Divorced</v>
      </c>
      <c r="AU561" t="str">
        <f>IF(ifood_data[[#This Row],[education_Basic]]=1,"High School",(IF(ifood_data[[#This Row],[education_Graduation]]=1,"Undergraduate Degree",(IF(SUM(AM561,AL561,AI561)&gt;0,"Master's Degree or Higher","Other")))))</f>
        <v>Master's Degree or Higher</v>
      </c>
      <c r="AV561" t="str">
        <f>IF(ifood_data[[#All],[Income]]&gt;75000,"75K+",(IF(ifood_data[[#All],[Income]]&gt;50000,"50K-75K",(IF(ifood_data[[#All],[Income]]&gt;35000,"35K-50K","&lt;35K")))))</f>
        <v>50K-75K</v>
      </c>
      <c r="AW561" t="str">
        <f>IF(ifood_data[[#All],[Age]]&gt;60,"60+",(IF(ifood_data[[#All],[Age]]&gt;50,"50-60",(IF(ifood_data[[#All],[Age]]&gt;40,"40-50",(IF(ifood_data[[#All],[Age]]&gt;30,"30-40","&lt;30")))))))</f>
        <v>50-60</v>
      </c>
      <c r="AX561">
        <f t="shared" si="32"/>
        <v>30</v>
      </c>
      <c r="AY561">
        <f t="shared" si="33"/>
        <v>6</v>
      </c>
      <c r="AZ561">
        <f t="shared" si="34"/>
        <v>8</v>
      </c>
      <c r="BA561">
        <f t="shared" si="35"/>
        <v>6</v>
      </c>
      <c r="BB561">
        <f>SUM(ifood_data[[#This Row],[Recency Score]:[Monetary Score]])</f>
        <v>20</v>
      </c>
      <c r="BC561">
        <f>(_xlfn.PERCENTRANK.INC(ifood_data[[#All],[RFM]],ifood_data[[#This Row],[RFM]],1))*10</f>
        <v>7</v>
      </c>
      <c r="BD561" t="str">
        <f>VLOOKUP(ifood_data[[#This Row],[RFM Score]],'RFM Analysis'!$A$3:$B$14,2,FALSE)</f>
        <v>Loyal Customer</v>
      </c>
      <c r="BE561">
        <f>'Regression Models'!$B$101+'Regression Models'!$B$102*ifood_data[[#This Row],[Income]]+'Regression Models'!$B$103*ifood_data[[#This Row],[Age]]+'Regression Models'!$B$104*ifood_data[[#This Row],[Family]]</f>
        <v>847.64331220802717</v>
      </c>
      <c r="BF561" t="str">
        <f>IF(ifood_data[[#This Row],[AcceptedCmpOverall]]=1,"Campaign Respondent","Non-respondent")</f>
        <v>Non-respondent</v>
      </c>
    </row>
    <row r="562" spans="1:58" x14ac:dyDescent="0.35">
      <c r="A562">
        <v>1591</v>
      </c>
      <c r="B562">
        <v>71107</v>
      </c>
      <c r="C562">
        <v>0</v>
      </c>
      <c r="D562">
        <v>1</v>
      </c>
      <c r="E562">
        <v>61</v>
      </c>
      <c r="F562">
        <v>533</v>
      </c>
      <c r="G562">
        <v>10</v>
      </c>
      <c r="H562">
        <v>217</v>
      </c>
      <c r="I562">
        <v>198</v>
      </c>
      <c r="J562">
        <v>174</v>
      </c>
      <c r="K562">
        <v>195</v>
      </c>
      <c r="L562">
        <v>2</v>
      </c>
      <c r="M562">
        <v>7</v>
      </c>
      <c r="N562">
        <v>6</v>
      </c>
      <c r="O562">
        <v>13</v>
      </c>
      <c r="P562">
        <v>4</v>
      </c>
      <c r="Q562">
        <v>0</v>
      </c>
      <c r="R562">
        <v>0</v>
      </c>
      <c r="S562">
        <v>0</v>
      </c>
      <c r="T562">
        <v>0</v>
      </c>
      <c r="U562">
        <v>0</v>
      </c>
      <c r="V562">
        <f>IF(SUM(ifood_data[[#This Row],[AcceptedCmp1]:[AcceptedCmp5]])&gt;0,1,0)</f>
        <v>0</v>
      </c>
      <c r="W562">
        <v>0</v>
      </c>
      <c r="X562">
        <v>3</v>
      </c>
      <c r="Y562">
        <v>11</v>
      </c>
      <c r="Z562">
        <v>0</v>
      </c>
      <c r="AA562">
        <v>69</v>
      </c>
      <c r="AB562">
        <v>2656</v>
      </c>
      <c r="AC562" s="28">
        <f>ifood_data[[#This Row],[Customer_Days]]/365</f>
        <v>7.2767123287671236</v>
      </c>
      <c r="AD562">
        <v>0</v>
      </c>
      <c r="AE562">
        <v>1</v>
      </c>
      <c r="AF562">
        <v>0</v>
      </c>
      <c r="AG562">
        <v>0</v>
      </c>
      <c r="AH562">
        <v>0</v>
      </c>
      <c r="AI562">
        <v>0</v>
      </c>
      <c r="AJ562">
        <v>0</v>
      </c>
      <c r="AK562">
        <v>1</v>
      </c>
      <c r="AL562">
        <v>0</v>
      </c>
      <c r="AM562">
        <v>0</v>
      </c>
      <c r="AN562">
        <v>1132</v>
      </c>
      <c r="AO562">
        <v>937</v>
      </c>
      <c r="AP562">
        <f>ifood_data[[#This Row],[MntTotal]]-ifood_data[[#This Row],[MntRegularProds]]</f>
        <v>195</v>
      </c>
      <c r="AQ562">
        <v>0</v>
      </c>
      <c r="AR562">
        <f>IF(SUM(ifood_data[[#This Row],[Kidhome]:[Teenhome]])&gt;0,1,0)</f>
        <v>1</v>
      </c>
      <c r="AS562" t="str">
        <f>IF(SUM(ifood_data[[#This Row],[Kidhome]:[Teenhome]])&gt;0,"Has Family","No Family")</f>
        <v>Has Family</v>
      </c>
      <c r="AT562" t="str">
        <f>IF(ifood_data[[#This Row],[marital_Married]]=1,"Married", (IF(ifood_data[[#This Row],[marital_Single]]=1,"Single",(IF(ifood_data[[#This Row],[marital_Divorced]]=1,"Divorced",(IF(ifood_data[[#This Row],[marital_Together]]=1,"Living Together",(IF(ifood_data[[#This Row],[marital_Widow]]=1,"Widow","Other")))))))))</f>
        <v>Married</v>
      </c>
      <c r="AU562" t="str">
        <f>IF(ifood_data[[#This Row],[education_Basic]]=1,"High School",(IF(ifood_data[[#This Row],[education_Graduation]]=1,"Undergraduate Degree",(IF(SUM(AM562,AL562,AI562)&gt;0,"Master's Degree or Higher","Other")))))</f>
        <v>Undergraduate Degree</v>
      </c>
      <c r="AV562" t="str">
        <f>IF(ifood_data[[#All],[Income]]&gt;75000,"75K+",(IF(ifood_data[[#All],[Income]]&gt;50000,"50K-75K",(IF(ifood_data[[#All],[Income]]&gt;35000,"35K-50K","&lt;35K")))))</f>
        <v>50K-75K</v>
      </c>
      <c r="AW562" t="str">
        <f>IF(ifood_data[[#All],[Age]]&gt;60,"60+",(IF(ifood_data[[#All],[Age]]&gt;50,"50-60",(IF(ifood_data[[#All],[Age]]&gt;40,"40-50",(IF(ifood_data[[#All],[Age]]&gt;30,"30-40","&lt;30")))))))</f>
        <v>60+</v>
      </c>
      <c r="AX562">
        <f t="shared" si="32"/>
        <v>32</v>
      </c>
      <c r="AY562">
        <f t="shared" si="33"/>
        <v>4</v>
      </c>
      <c r="AZ562">
        <f t="shared" si="34"/>
        <v>9</v>
      </c>
      <c r="BA562">
        <f t="shared" si="35"/>
        <v>8</v>
      </c>
      <c r="BB562">
        <f>SUM(ifood_data[[#This Row],[Recency Score]:[Monetary Score]])</f>
        <v>21</v>
      </c>
      <c r="BC562">
        <f>(_xlfn.PERCENTRANK.INC(ifood_data[[#All],[RFM]],ifood_data[[#This Row],[RFM]],1))*10</f>
        <v>8</v>
      </c>
      <c r="BD562" t="str">
        <f>VLOOKUP(ifood_data[[#This Row],[RFM Score]],'RFM Analysis'!$A$3:$B$14,2,FALSE)</f>
        <v>Loyal Customer</v>
      </c>
      <c r="BE562">
        <f>'Regression Models'!$B$101+'Regression Models'!$B$102*ifood_data[[#This Row],[Income]]+'Regression Models'!$B$103*ifood_data[[#This Row],[Age]]+'Regression Models'!$B$104*ifood_data[[#This Row],[Family]]</f>
        <v>845.6409526170313</v>
      </c>
      <c r="BF562" t="str">
        <f>IF(ifood_data[[#This Row],[AcceptedCmpOverall]]=1,"Campaign Respondent","Non-respondent")</f>
        <v>Non-respondent</v>
      </c>
    </row>
    <row r="563" spans="1:58" x14ac:dyDescent="0.35">
      <c r="A563">
        <v>1710</v>
      </c>
      <c r="B563">
        <v>69932</v>
      </c>
      <c r="C563">
        <v>0</v>
      </c>
      <c r="D563">
        <v>1</v>
      </c>
      <c r="E563">
        <v>97</v>
      </c>
      <c r="F563">
        <v>412</v>
      </c>
      <c r="G563">
        <v>172</v>
      </c>
      <c r="H563">
        <v>153</v>
      </c>
      <c r="I563">
        <v>150</v>
      </c>
      <c r="J563">
        <v>105</v>
      </c>
      <c r="K563">
        <v>57</v>
      </c>
      <c r="L563">
        <v>2</v>
      </c>
      <c r="M563">
        <v>7</v>
      </c>
      <c r="N563">
        <v>6</v>
      </c>
      <c r="O563">
        <v>11</v>
      </c>
      <c r="P563">
        <v>4</v>
      </c>
      <c r="Q563">
        <v>0</v>
      </c>
      <c r="R563">
        <v>0</v>
      </c>
      <c r="S563">
        <v>0</v>
      </c>
      <c r="T563">
        <v>0</v>
      </c>
      <c r="U563">
        <v>0</v>
      </c>
      <c r="V563">
        <f>IF(SUM(ifood_data[[#This Row],[AcceptedCmp1]:[AcceptedCmp5]])&gt;0,1,0)</f>
        <v>0</v>
      </c>
      <c r="W563">
        <v>0</v>
      </c>
      <c r="X563">
        <v>3</v>
      </c>
      <c r="Y563">
        <v>11</v>
      </c>
      <c r="Z563">
        <v>0</v>
      </c>
      <c r="AA563">
        <v>56</v>
      </c>
      <c r="AB563">
        <v>2541</v>
      </c>
      <c r="AC563" s="28">
        <f>ifood_data[[#This Row],[Customer_Days]]/365</f>
        <v>6.9616438356164387</v>
      </c>
      <c r="AD563">
        <v>1</v>
      </c>
      <c r="AE563">
        <v>0</v>
      </c>
      <c r="AF563">
        <v>0</v>
      </c>
      <c r="AG563">
        <v>0</v>
      </c>
      <c r="AH563">
        <v>0</v>
      </c>
      <c r="AI563">
        <v>0</v>
      </c>
      <c r="AJ563">
        <v>0</v>
      </c>
      <c r="AK563">
        <v>1</v>
      </c>
      <c r="AL563">
        <v>0</v>
      </c>
      <c r="AM563">
        <v>0</v>
      </c>
      <c r="AN563">
        <v>992</v>
      </c>
      <c r="AO563">
        <v>935</v>
      </c>
      <c r="AP563">
        <f>ifood_data[[#This Row],[MntTotal]]-ifood_data[[#This Row],[MntRegularProds]]</f>
        <v>57</v>
      </c>
      <c r="AQ563">
        <v>0</v>
      </c>
      <c r="AR563">
        <f>IF(SUM(ifood_data[[#This Row],[Kidhome]:[Teenhome]])&gt;0,1,0)</f>
        <v>1</v>
      </c>
      <c r="AS563" t="str">
        <f>IF(SUM(ifood_data[[#This Row],[Kidhome]:[Teenhome]])&gt;0,"Has Family","No Family")</f>
        <v>Has Family</v>
      </c>
      <c r="AT563" t="str">
        <f>IF(ifood_data[[#This Row],[marital_Married]]=1,"Married", (IF(ifood_data[[#This Row],[marital_Single]]=1,"Single",(IF(ifood_data[[#This Row],[marital_Divorced]]=1,"Divorced",(IF(ifood_data[[#This Row],[marital_Together]]=1,"Living Together",(IF(ifood_data[[#This Row],[marital_Widow]]=1,"Widow","Other")))))))))</f>
        <v>Divorced</v>
      </c>
      <c r="AU563" t="str">
        <f>IF(ifood_data[[#This Row],[education_Basic]]=1,"High School",(IF(ifood_data[[#This Row],[education_Graduation]]=1,"Undergraduate Degree",(IF(SUM(AM563,AL563,AI563)&gt;0,"Master's Degree or Higher","Other")))))</f>
        <v>Undergraduate Degree</v>
      </c>
      <c r="AV563" t="str">
        <f>IF(ifood_data[[#All],[Income]]&gt;75000,"75K+",(IF(ifood_data[[#All],[Income]]&gt;50000,"50K-75K",(IF(ifood_data[[#All],[Income]]&gt;35000,"35K-50K","&lt;35K")))))</f>
        <v>50K-75K</v>
      </c>
      <c r="AW563" t="str">
        <f>IF(ifood_data[[#All],[Age]]&gt;60,"60+",(IF(ifood_data[[#All],[Age]]&gt;50,"50-60",(IF(ifood_data[[#All],[Age]]&gt;40,"40-50",(IF(ifood_data[[#All],[Age]]&gt;30,"30-40","&lt;30")))))))</f>
        <v>50-60</v>
      </c>
      <c r="AX563">
        <f t="shared" si="32"/>
        <v>30</v>
      </c>
      <c r="AY563">
        <f t="shared" si="33"/>
        <v>0.99999999999999978</v>
      </c>
      <c r="AZ563">
        <f t="shared" si="34"/>
        <v>8</v>
      </c>
      <c r="BA563">
        <f t="shared" si="35"/>
        <v>7</v>
      </c>
      <c r="BB563">
        <f>SUM(ifood_data[[#This Row],[Recency Score]:[Monetary Score]])</f>
        <v>16</v>
      </c>
      <c r="BC563">
        <f>(_xlfn.PERCENTRANK.INC(ifood_data[[#All],[RFM]],ifood_data[[#This Row],[RFM]],1))*10</f>
        <v>5</v>
      </c>
      <c r="BD563" t="str">
        <f>VLOOKUP(ifood_data[[#This Row],[RFM Score]],'RFM Analysis'!$A$3:$B$14,2,FALSE)</f>
        <v>Promising</v>
      </c>
      <c r="BE563">
        <f>'Regression Models'!$B$101+'Regression Models'!$B$102*ifood_data[[#This Row],[Income]]+'Regression Models'!$B$103*ifood_data[[#This Row],[Age]]+'Regression Models'!$B$104*ifood_data[[#This Row],[Family]]</f>
        <v>845.55785807357609</v>
      </c>
      <c r="BF563" t="str">
        <f>IF(ifood_data[[#This Row],[AcceptedCmpOverall]]=1,"Campaign Respondent","Non-respondent")</f>
        <v>Non-respondent</v>
      </c>
    </row>
    <row r="564" spans="1:58" x14ac:dyDescent="0.35">
      <c r="A564">
        <v>1086</v>
      </c>
      <c r="B564">
        <v>57513</v>
      </c>
      <c r="C564">
        <v>0</v>
      </c>
      <c r="D564">
        <v>0</v>
      </c>
      <c r="E564">
        <v>59</v>
      </c>
      <c r="F564">
        <v>735</v>
      </c>
      <c r="G564">
        <v>40</v>
      </c>
      <c r="H564">
        <v>183</v>
      </c>
      <c r="I564">
        <v>52</v>
      </c>
      <c r="J564">
        <v>20</v>
      </c>
      <c r="K564">
        <v>30</v>
      </c>
      <c r="L564">
        <v>2</v>
      </c>
      <c r="M564">
        <v>9</v>
      </c>
      <c r="N564">
        <v>3</v>
      </c>
      <c r="O564">
        <v>13</v>
      </c>
      <c r="P564">
        <v>6</v>
      </c>
      <c r="Q564">
        <v>0</v>
      </c>
      <c r="R564">
        <v>0</v>
      </c>
      <c r="S564">
        <v>0</v>
      </c>
      <c r="T564">
        <v>0</v>
      </c>
      <c r="U564">
        <v>0</v>
      </c>
      <c r="V564">
        <f>IF(SUM(ifood_data[[#This Row],[AcceptedCmp1]:[AcceptedCmp5]])&gt;0,1,0)</f>
        <v>0</v>
      </c>
      <c r="W564">
        <v>0</v>
      </c>
      <c r="X564">
        <v>3</v>
      </c>
      <c r="Y564">
        <v>11</v>
      </c>
      <c r="Z564">
        <v>0</v>
      </c>
      <c r="AA564">
        <v>77</v>
      </c>
      <c r="AB564">
        <v>2517</v>
      </c>
      <c r="AC564" s="28">
        <f>ifood_data[[#This Row],[Customer_Days]]/365</f>
        <v>6.8958904109589039</v>
      </c>
      <c r="AD564">
        <v>0</v>
      </c>
      <c r="AE564">
        <v>0</v>
      </c>
      <c r="AF564">
        <v>0</v>
      </c>
      <c r="AG564">
        <v>0</v>
      </c>
      <c r="AH564">
        <v>1</v>
      </c>
      <c r="AI564">
        <v>0</v>
      </c>
      <c r="AJ564">
        <v>0</v>
      </c>
      <c r="AK564">
        <v>0</v>
      </c>
      <c r="AL564">
        <v>0</v>
      </c>
      <c r="AM564">
        <v>1</v>
      </c>
      <c r="AN564">
        <v>1030</v>
      </c>
      <c r="AO564">
        <v>1000</v>
      </c>
      <c r="AP564">
        <f>ifood_data[[#This Row],[MntTotal]]-ifood_data[[#This Row],[MntRegularProds]]</f>
        <v>30</v>
      </c>
      <c r="AQ564">
        <v>0</v>
      </c>
      <c r="AR564">
        <f>IF(SUM(ifood_data[[#This Row],[Kidhome]:[Teenhome]])&gt;0,1,0)</f>
        <v>0</v>
      </c>
      <c r="AS564" t="str">
        <f>IF(SUM(ifood_data[[#This Row],[Kidhome]:[Teenhome]])&gt;0,"Has Family","No Family")</f>
        <v>No Family</v>
      </c>
      <c r="AT564" t="str">
        <f>IF(ifood_data[[#This Row],[marital_Married]]=1,"Married", (IF(ifood_data[[#This Row],[marital_Single]]=1,"Single",(IF(ifood_data[[#This Row],[marital_Divorced]]=1,"Divorced",(IF(ifood_data[[#This Row],[marital_Together]]=1,"Living Together",(IF(ifood_data[[#This Row],[marital_Widow]]=1,"Widow","Other")))))))))</f>
        <v>Widow</v>
      </c>
      <c r="AU564" t="str">
        <f>IF(ifood_data[[#This Row],[education_Basic]]=1,"High School",(IF(ifood_data[[#This Row],[education_Graduation]]=1,"Undergraduate Degree",(IF(SUM(AM564,AL564,AI564)&gt;0,"Master's Degree or Higher","Other")))))</f>
        <v>Master's Degree or Higher</v>
      </c>
      <c r="AV564" t="str">
        <f>IF(ifood_data[[#All],[Income]]&gt;75000,"75K+",(IF(ifood_data[[#All],[Income]]&gt;50000,"50K-75K",(IF(ifood_data[[#All],[Income]]&gt;35000,"35K-50K","&lt;35K")))))</f>
        <v>50K-75K</v>
      </c>
      <c r="AW564" t="str">
        <f>IF(ifood_data[[#All],[Age]]&gt;60,"60+",(IF(ifood_data[[#All],[Age]]&gt;50,"50-60",(IF(ifood_data[[#All],[Age]]&gt;40,"40-50",(IF(ifood_data[[#All],[Age]]&gt;30,"30-40","&lt;30")))))))</f>
        <v>60+</v>
      </c>
      <c r="AX564">
        <f t="shared" si="32"/>
        <v>33</v>
      </c>
      <c r="AY564">
        <f t="shared" si="33"/>
        <v>4</v>
      </c>
      <c r="AZ564">
        <f t="shared" si="34"/>
        <v>9</v>
      </c>
      <c r="BA564">
        <f t="shared" si="35"/>
        <v>7</v>
      </c>
      <c r="BB564">
        <f>SUM(ifood_data[[#This Row],[Recency Score]:[Monetary Score]])</f>
        <v>20</v>
      </c>
      <c r="BC564">
        <f>(_xlfn.PERCENTRANK.INC(ifood_data[[#All],[RFM]],ifood_data[[#This Row],[RFM]],1))*10</f>
        <v>7</v>
      </c>
      <c r="BD564" t="str">
        <f>VLOOKUP(ifood_data[[#This Row],[RFM Score]],'RFM Analysis'!$A$3:$B$14,2,FALSE)</f>
        <v>Loyal Customer</v>
      </c>
      <c r="BE564">
        <f>'Regression Models'!$B$101+'Regression Models'!$B$102*ifood_data[[#This Row],[Income]]+'Regression Models'!$B$103*ifood_data[[#This Row],[Age]]+'Regression Models'!$B$104*ifood_data[[#This Row],[Family]]</f>
        <v>843.39815691073113</v>
      </c>
      <c r="BF564" t="str">
        <f>IF(ifood_data[[#This Row],[AcceptedCmpOverall]]=1,"Campaign Respondent","Non-respondent")</f>
        <v>Non-respondent</v>
      </c>
    </row>
    <row r="565" spans="1:58" x14ac:dyDescent="0.35">
      <c r="A565">
        <v>896</v>
      </c>
      <c r="B565">
        <v>68274</v>
      </c>
      <c r="C565">
        <v>1</v>
      </c>
      <c r="D565">
        <v>1</v>
      </c>
      <c r="E565">
        <v>83</v>
      </c>
      <c r="F565">
        <v>135</v>
      </c>
      <c r="G565">
        <v>25</v>
      </c>
      <c r="H565">
        <v>51</v>
      </c>
      <c r="I565">
        <v>23</v>
      </c>
      <c r="J565">
        <v>25</v>
      </c>
      <c r="K565">
        <v>46</v>
      </c>
      <c r="L565">
        <v>2</v>
      </c>
      <c r="M565">
        <v>4</v>
      </c>
      <c r="N565">
        <v>2</v>
      </c>
      <c r="O565">
        <v>5</v>
      </c>
      <c r="P565">
        <v>3</v>
      </c>
      <c r="Q565">
        <v>0</v>
      </c>
      <c r="R565">
        <v>0</v>
      </c>
      <c r="S565">
        <v>0</v>
      </c>
      <c r="T565">
        <v>0</v>
      </c>
      <c r="U565">
        <v>0</v>
      </c>
      <c r="V565">
        <f>IF(SUM(ifood_data[[#This Row],[AcceptedCmp1]:[AcceptedCmp5]])&gt;0,1,0)</f>
        <v>0</v>
      </c>
      <c r="W565">
        <v>0</v>
      </c>
      <c r="X565">
        <v>3</v>
      </c>
      <c r="Y565">
        <v>11</v>
      </c>
      <c r="Z565">
        <v>0</v>
      </c>
      <c r="AA565">
        <v>41</v>
      </c>
      <c r="AB565">
        <v>2431</v>
      </c>
      <c r="AC565" s="28">
        <f>ifood_data[[#This Row],[Customer_Days]]/365</f>
        <v>6.6602739726027398</v>
      </c>
      <c r="AD565">
        <v>1</v>
      </c>
      <c r="AE565">
        <v>0</v>
      </c>
      <c r="AF565">
        <v>0</v>
      </c>
      <c r="AG565">
        <v>0</v>
      </c>
      <c r="AH565">
        <v>0</v>
      </c>
      <c r="AI565">
        <v>0</v>
      </c>
      <c r="AJ565">
        <v>0</v>
      </c>
      <c r="AK565">
        <v>1</v>
      </c>
      <c r="AL565">
        <v>0</v>
      </c>
      <c r="AM565">
        <v>0</v>
      </c>
      <c r="AN565">
        <v>259</v>
      </c>
      <c r="AO565">
        <v>213</v>
      </c>
      <c r="AP565">
        <f>ifood_data[[#This Row],[MntTotal]]-ifood_data[[#This Row],[MntRegularProds]]</f>
        <v>46</v>
      </c>
      <c r="AQ565">
        <v>0</v>
      </c>
      <c r="AR565">
        <f>IF(SUM(ifood_data[[#This Row],[Kidhome]:[Teenhome]])&gt;0,1,0)</f>
        <v>1</v>
      </c>
      <c r="AS565" t="str">
        <f>IF(SUM(ifood_data[[#This Row],[Kidhome]:[Teenhome]])&gt;0,"Has Family","No Family")</f>
        <v>Has Family</v>
      </c>
      <c r="AT565" t="str">
        <f>IF(ifood_data[[#This Row],[marital_Married]]=1,"Married", (IF(ifood_data[[#This Row],[marital_Single]]=1,"Single",(IF(ifood_data[[#This Row],[marital_Divorced]]=1,"Divorced",(IF(ifood_data[[#This Row],[marital_Together]]=1,"Living Together",(IF(ifood_data[[#This Row],[marital_Widow]]=1,"Widow","Other")))))))))</f>
        <v>Divorced</v>
      </c>
      <c r="AU565" t="str">
        <f>IF(ifood_data[[#This Row],[education_Basic]]=1,"High School",(IF(ifood_data[[#This Row],[education_Graduation]]=1,"Undergraduate Degree",(IF(SUM(AM565,AL565,AI565)&gt;0,"Master's Degree or Higher","Other")))))</f>
        <v>Undergraduate Degree</v>
      </c>
      <c r="AV565" t="str">
        <f>IF(ifood_data[[#All],[Income]]&gt;75000,"75K+",(IF(ifood_data[[#All],[Income]]&gt;50000,"50K-75K",(IF(ifood_data[[#All],[Income]]&gt;35000,"35K-50K","&lt;35K")))))</f>
        <v>50K-75K</v>
      </c>
      <c r="AW565" t="str">
        <f>IF(ifood_data[[#All],[Age]]&gt;60,"60+",(IF(ifood_data[[#All],[Age]]&gt;50,"50-60",(IF(ifood_data[[#All],[Age]]&gt;40,"40-50",(IF(ifood_data[[#All],[Age]]&gt;30,"30-40","&lt;30")))))))</f>
        <v>40-50</v>
      </c>
      <c r="AX565">
        <f t="shared" si="32"/>
        <v>16</v>
      </c>
      <c r="AY565">
        <f t="shared" si="33"/>
        <v>1.9999999999999996</v>
      </c>
      <c r="AZ565">
        <f t="shared" si="34"/>
        <v>3</v>
      </c>
      <c r="BA565">
        <f t="shared" si="35"/>
        <v>4</v>
      </c>
      <c r="BB565">
        <f>SUM(ifood_data[[#This Row],[Recency Score]:[Monetary Score]])</f>
        <v>9</v>
      </c>
      <c r="BC565">
        <f>(_xlfn.PERCENTRANK.INC(ifood_data[[#All],[RFM]],ifood_data[[#This Row],[RFM]],1))*10</f>
        <v>1</v>
      </c>
      <c r="BD565" t="str">
        <f>VLOOKUP(ifood_data[[#This Row],[RFM Score]],'RFM Analysis'!$A$3:$B$14,2,FALSE)</f>
        <v>At Risk</v>
      </c>
      <c r="BE565">
        <f>'Regression Models'!$B$101+'Regression Models'!$B$102*ifood_data[[#This Row],[Income]]+'Regression Models'!$B$103*ifood_data[[#This Row],[Age]]+'Regression Models'!$B$104*ifood_data[[#This Row],[Family]]</f>
        <v>839.29986667440573</v>
      </c>
      <c r="BF565" t="str">
        <f>IF(ifood_data[[#This Row],[AcceptedCmpOverall]]=1,"Campaign Respondent","Non-respondent")</f>
        <v>Non-respondent</v>
      </c>
    </row>
    <row r="566" spans="1:58" x14ac:dyDescent="0.35">
      <c r="A566">
        <v>600</v>
      </c>
      <c r="B566">
        <v>69084</v>
      </c>
      <c r="C566">
        <v>1</v>
      </c>
      <c r="D566">
        <v>0</v>
      </c>
      <c r="E566">
        <v>43</v>
      </c>
      <c r="F566">
        <v>1181</v>
      </c>
      <c r="G566">
        <v>107</v>
      </c>
      <c r="H566">
        <v>199</v>
      </c>
      <c r="I566">
        <v>39</v>
      </c>
      <c r="J566">
        <v>30</v>
      </c>
      <c r="K566">
        <v>30</v>
      </c>
      <c r="L566">
        <v>2</v>
      </c>
      <c r="M566">
        <v>7</v>
      </c>
      <c r="N566">
        <v>3</v>
      </c>
      <c r="O566">
        <v>13</v>
      </c>
      <c r="P566">
        <v>8</v>
      </c>
      <c r="Q566">
        <v>0</v>
      </c>
      <c r="R566">
        <v>0</v>
      </c>
      <c r="S566">
        <v>0</v>
      </c>
      <c r="T566">
        <v>0</v>
      </c>
      <c r="U566">
        <v>0</v>
      </c>
      <c r="V566">
        <f>IF(SUM(ifood_data[[#This Row],[AcceptedCmp1]:[AcceptedCmp5]])&gt;0,1,0)</f>
        <v>0</v>
      </c>
      <c r="W566">
        <v>0</v>
      </c>
      <c r="X566">
        <v>3</v>
      </c>
      <c r="Y566">
        <v>11</v>
      </c>
      <c r="Z566">
        <v>0</v>
      </c>
      <c r="AA566">
        <v>50</v>
      </c>
      <c r="AB566">
        <v>2381</v>
      </c>
      <c r="AC566" s="28">
        <f>ifood_data[[#This Row],[Customer_Days]]/365</f>
        <v>6.5232876712328771</v>
      </c>
      <c r="AD566">
        <v>0</v>
      </c>
      <c r="AE566">
        <v>1</v>
      </c>
      <c r="AF566">
        <v>0</v>
      </c>
      <c r="AG566">
        <v>0</v>
      </c>
      <c r="AH566">
        <v>0</v>
      </c>
      <c r="AI566">
        <v>0</v>
      </c>
      <c r="AJ566">
        <v>0</v>
      </c>
      <c r="AK566">
        <v>0</v>
      </c>
      <c r="AL566">
        <v>0</v>
      </c>
      <c r="AM566">
        <v>1</v>
      </c>
      <c r="AN566">
        <v>1556</v>
      </c>
      <c r="AO566">
        <v>1526</v>
      </c>
      <c r="AP566">
        <f>ifood_data[[#This Row],[MntTotal]]-ifood_data[[#This Row],[MntRegularProds]]</f>
        <v>30</v>
      </c>
      <c r="AQ566">
        <v>0</v>
      </c>
      <c r="AR566">
        <f>IF(SUM(ifood_data[[#This Row],[Kidhome]:[Teenhome]])&gt;0,1,0)</f>
        <v>1</v>
      </c>
      <c r="AS566" t="str">
        <f>IF(SUM(ifood_data[[#This Row],[Kidhome]:[Teenhome]])&gt;0,"Has Family","No Family")</f>
        <v>Has Family</v>
      </c>
      <c r="AT566" t="str">
        <f>IF(ifood_data[[#This Row],[marital_Married]]=1,"Married", (IF(ifood_data[[#This Row],[marital_Single]]=1,"Single",(IF(ifood_data[[#This Row],[marital_Divorced]]=1,"Divorced",(IF(ifood_data[[#This Row],[marital_Together]]=1,"Living Together",(IF(ifood_data[[#This Row],[marital_Widow]]=1,"Widow","Other")))))))))</f>
        <v>Married</v>
      </c>
      <c r="AU566" t="str">
        <f>IF(ifood_data[[#This Row],[education_Basic]]=1,"High School",(IF(ifood_data[[#This Row],[education_Graduation]]=1,"Undergraduate Degree",(IF(SUM(AM566,AL566,AI566)&gt;0,"Master's Degree or Higher","Other")))))</f>
        <v>Master's Degree or Higher</v>
      </c>
      <c r="AV566" t="str">
        <f>IF(ifood_data[[#All],[Income]]&gt;75000,"75K+",(IF(ifood_data[[#All],[Income]]&gt;50000,"50K-75K",(IF(ifood_data[[#All],[Income]]&gt;35000,"35K-50K","&lt;35K")))))</f>
        <v>50K-75K</v>
      </c>
      <c r="AW566" t="str">
        <f>IF(ifood_data[[#All],[Age]]&gt;60,"60+",(IF(ifood_data[[#All],[Age]]&gt;50,"50-60",(IF(ifood_data[[#All],[Age]]&gt;40,"40-50",(IF(ifood_data[[#All],[Age]]&gt;30,"30-40","&lt;30")))))))</f>
        <v>40-50</v>
      </c>
      <c r="AX566">
        <f t="shared" si="32"/>
        <v>33</v>
      </c>
      <c r="AY566">
        <f t="shared" si="33"/>
        <v>6</v>
      </c>
      <c r="AZ566">
        <f t="shared" si="34"/>
        <v>9</v>
      </c>
      <c r="BA566">
        <f t="shared" si="35"/>
        <v>9</v>
      </c>
      <c r="BB566">
        <f>SUM(ifood_data[[#This Row],[Recency Score]:[Monetary Score]])</f>
        <v>24</v>
      </c>
      <c r="BC566">
        <f>(_xlfn.PERCENTRANK.INC(ifood_data[[#All],[RFM]],ifood_data[[#This Row],[RFM]],1))*10</f>
        <v>9</v>
      </c>
      <c r="BD566" t="str">
        <f>VLOOKUP(ifood_data[[#This Row],[RFM Score]],'RFM Analysis'!$A$3:$B$14,2,FALSE)</f>
        <v>Top Customer</v>
      </c>
      <c r="BE566">
        <f>'Regression Models'!$B$101+'Regression Models'!$B$102*ifood_data[[#This Row],[Income]]+'Regression Models'!$B$103*ifood_data[[#This Row],[Age]]+'Regression Models'!$B$104*ifood_data[[#This Row],[Family]]</f>
        <v>839.28681716091535</v>
      </c>
      <c r="BF566" t="str">
        <f>IF(ifood_data[[#This Row],[AcceptedCmpOverall]]=1,"Campaign Respondent","Non-respondent")</f>
        <v>Non-respondent</v>
      </c>
    </row>
    <row r="567" spans="1:58" x14ac:dyDescent="0.35">
      <c r="A567">
        <v>1539</v>
      </c>
      <c r="B567">
        <v>69016</v>
      </c>
      <c r="C567">
        <v>0</v>
      </c>
      <c r="D567">
        <v>1</v>
      </c>
      <c r="E567">
        <v>61</v>
      </c>
      <c r="F567">
        <v>726</v>
      </c>
      <c r="G567">
        <v>53</v>
      </c>
      <c r="H567">
        <v>363</v>
      </c>
      <c r="I567">
        <v>123</v>
      </c>
      <c r="J567">
        <v>107</v>
      </c>
      <c r="K567">
        <v>161</v>
      </c>
      <c r="L567">
        <v>4</v>
      </c>
      <c r="M567">
        <v>8</v>
      </c>
      <c r="N567">
        <v>9</v>
      </c>
      <c r="O567">
        <v>13</v>
      </c>
      <c r="P567">
        <v>5</v>
      </c>
      <c r="Q567">
        <v>0</v>
      </c>
      <c r="R567">
        <v>0</v>
      </c>
      <c r="S567">
        <v>0</v>
      </c>
      <c r="T567">
        <v>0</v>
      </c>
      <c r="U567">
        <v>0</v>
      </c>
      <c r="V567">
        <f>IF(SUM(ifood_data[[#This Row],[AcceptedCmp1]:[AcceptedCmp5]])&gt;0,1,0)</f>
        <v>0</v>
      </c>
      <c r="W567">
        <v>0</v>
      </c>
      <c r="X567">
        <v>3</v>
      </c>
      <c r="Y567">
        <v>11</v>
      </c>
      <c r="Z567">
        <v>0</v>
      </c>
      <c r="AA567">
        <v>50</v>
      </c>
      <c r="AB567">
        <v>2743</v>
      </c>
      <c r="AC567" s="28">
        <f>ifood_data[[#This Row],[Customer_Days]]/365</f>
        <v>7.515068493150685</v>
      </c>
      <c r="AD567">
        <v>0</v>
      </c>
      <c r="AE567">
        <v>1</v>
      </c>
      <c r="AF567">
        <v>0</v>
      </c>
      <c r="AG567">
        <v>0</v>
      </c>
      <c r="AH567">
        <v>0</v>
      </c>
      <c r="AI567">
        <v>0</v>
      </c>
      <c r="AJ567">
        <v>0</v>
      </c>
      <c r="AK567">
        <v>1</v>
      </c>
      <c r="AL567">
        <v>0</v>
      </c>
      <c r="AM567">
        <v>0</v>
      </c>
      <c r="AN567">
        <v>1372</v>
      </c>
      <c r="AO567">
        <v>1211</v>
      </c>
      <c r="AP567">
        <f>ifood_data[[#This Row],[MntTotal]]-ifood_data[[#This Row],[MntRegularProds]]</f>
        <v>161</v>
      </c>
      <c r="AQ567">
        <v>0</v>
      </c>
      <c r="AR567">
        <f>IF(SUM(ifood_data[[#This Row],[Kidhome]:[Teenhome]])&gt;0,1,0)</f>
        <v>1</v>
      </c>
      <c r="AS567" t="str">
        <f>IF(SUM(ifood_data[[#This Row],[Kidhome]:[Teenhome]])&gt;0,"Has Family","No Family")</f>
        <v>Has Family</v>
      </c>
      <c r="AT567" t="str">
        <f>IF(ifood_data[[#This Row],[marital_Married]]=1,"Married", (IF(ifood_data[[#This Row],[marital_Single]]=1,"Single",(IF(ifood_data[[#This Row],[marital_Divorced]]=1,"Divorced",(IF(ifood_data[[#This Row],[marital_Together]]=1,"Living Together",(IF(ifood_data[[#This Row],[marital_Widow]]=1,"Widow","Other")))))))))</f>
        <v>Married</v>
      </c>
      <c r="AU567" t="str">
        <f>IF(ifood_data[[#This Row],[education_Basic]]=1,"High School",(IF(ifood_data[[#This Row],[education_Graduation]]=1,"Undergraduate Degree",(IF(SUM(AM567,AL567,AI567)&gt;0,"Master's Degree or Higher","Other")))))</f>
        <v>Undergraduate Degree</v>
      </c>
      <c r="AV567" t="str">
        <f>IF(ifood_data[[#All],[Income]]&gt;75000,"75K+",(IF(ifood_data[[#All],[Income]]&gt;50000,"50K-75K",(IF(ifood_data[[#All],[Income]]&gt;35000,"35K-50K","&lt;35K")))))</f>
        <v>50K-75K</v>
      </c>
      <c r="AW567" t="str">
        <f>IF(ifood_data[[#All],[Age]]&gt;60,"60+",(IF(ifood_data[[#All],[Age]]&gt;50,"50-60",(IF(ifood_data[[#All],[Age]]&gt;40,"40-50",(IF(ifood_data[[#All],[Age]]&gt;30,"30-40","&lt;30")))))))</f>
        <v>40-50</v>
      </c>
      <c r="AX567">
        <f t="shared" si="32"/>
        <v>39</v>
      </c>
      <c r="AY567">
        <f t="shared" si="33"/>
        <v>4</v>
      </c>
      <c r="AZ567">
        <f t="shared" si="34"/>
        <v>9</v>
      </c>
      <c r="BA567">
        <f t="shared" si="35"/>
        <v>8</v>
      </c>
      <c r="BB567">
        <f>SUM(ifood_data[[#This Row],[Recency Score]:[Monetary Score]])</f>
        <v>21</v>
      </c>
      <c r="BC567">
        <f>(_xlfn.PERCENTRANK.INC(ifood_data[[#All],[RFM]],ifood_data[[#This Row],[RFM]],1))*10</f>
        <v>8</v>
      </c>
      <c r="BD567" t="str">
        <f>VLOOKUP(ifood_data[[#This Row],[RFM Score]],'RFM Analysis'!$A$3:$B$14,2,FALSE)</f>
        <v>Loyal Customer</v>
      </c>
      <c r="BE567">
        <f>'Regression Models'!$B$101+'Regression Models'!$B$102*ifood_data[[#This Row],[Income]]+'Regression Models'!$B$103*ifood_data[[#This Row],[Age]]+'Regression Models'!$B$104*ifood_data[[#This Row],[Family]]</f>
        <v>837.90038092712996</v>
      </c>
      <c r="BF567" t="str">
        <f>IF(ifood_data[[#This Row],[AcceptedCmpOverall]]=1,"Campaign Respondent","Non-respondent")</f>
        <v>Non-respondent</v>
      </c>
    </row>
    <row r="568" spans="1:58" x14ac:dyDescent="0.35">
      <c r="A568">
        <v>754</v>
      </c>
      <c r="B568">
        <v>70421</v>
      </c>
      <c r="C568">
        <v>0</v>
      </c>
      <c r="D568">
        <v>1</v>
      </c>
      <c r="E568">
        <v>98</v>
      </c>
      <c r="F568">
        <v>479</v>
      </c>
      <c r="G568">
        <v>28</v>
      </c>
      <c r="H568">
        <v>136</v>
      </c>
      <c r="I568">
        <v>75</v>
      </c>
      <c r="J568">
        <v>14</v>
      </c>
      <c r="K568">
        <v>35</v>
      </c>
      <c r="L568">
        <v>3</v>
      </c>
      <c r="M568">
        <v>10</v>
      </c>
      <c r="N568">
        <v>3</v>
      </c>
      <c r="O568">
        <v>7</v>
      </c>
      <c r="P568">
        <v>6</v>
      </c>
      <c r="Q568">
        <v>0</v>
      </c>
      <c r="R568">
        <v>0</v>
      </c>
      <c r="S568">
        <v>0</v>
      </c>
      <c r="T568">
        <v>0</v>
      </c>
      <c r="U568">
        <v>0</v>
      </c>
      <c r="V568">
        <f>IF(SUM(ifood_data[[#This Row],[AcceptedCmp1]:[AcceptedCmp5]])&gt;0,1,0)</f>
        <v>0</v>
      </c>
      <c r="W568">
        <v>0</v>
      </c>
      <c r="X568">
        <v>3</v>
      </c>
      <c r="Y568">
        <v>11</v>
      </c>
      <c r="Z568">
        <v>0</v>
      </c>
      <c r="AA568">
        <v>66</v>
      </c>
      <c r="AB568">
        <v>2160</v>
      </c>
      <c r="AC568" s="28">
        <f>ifood_data[[#This Row],[Customer_Days]]/365</f>
        <v>5.9178082191780819</v>
      </c>
      <c r="AD568">
        <v>0</v>
      </c>
      <c r="AE568">
        <v>1</v>
      </c>
      <c r="AF568">
        <v>0</v>
      </c>
      <c r="AG568">
        <v>0</v>
      </c>
      <c r="AH568">
        <v>0</v>
      </c>
      <c r="AI568">
        <v>0</v>
      </c>
      <c r="AJ568">
        <v>0</v>
      </c>
      <c r="AK568">
        <v>0</v>
      </c>
      <c r="AL568">
        <v>0</v>
      </c>
      <c r="AM568">
        <v>1</v>
      </c>
      <c r="AN568">
        <v>732</v>
      </c>
      <c r="AO568">
        <v>697</v>
      </c>
      <c r="AP568">
        <f>ifood_data[[#This Row],[MntTotal]]-ifood_data[[#This Row],[MntRegularProds]]</f>
        <v>35</v>
      </c>
      <c r="AQ568">
        <v>0</v>
      </c>
      <c r="AR568">
        <f>IF(SUM(ifood_data[[#This Row],[Kidhome]:[Teenhome]])&gt;0,1,0)</f>
        <v>1</v>
      </c>
      <c r="AS568" t="str">
        <f>IF(SUM(ifood_data[[#This Row],[Kidhome]:[Teenhome]])&gt;0,"Has Family","No Family")</f>
        <v>Has Family</v>
      </c>
      <c r="AT568" t="str">
        <f>IF(ifood_data[[#This Row],[marital_Married]]=1,"Married", (IF(ifood_data[[#This Row],[marital_Single]]=1,"Single",(IF(ifood_data[[#This Row],[marital_Divorced]]=1,"Divorced",(IF(ifood_data[[#This Row],[marital_Together]]=1,"Living Together",(IF(ifood_data[[#This Row],[marital_Widow]]=1,"Widow","Other")))))))))</f>
        <v>Married</v>
      </c>
      <c r="AU568" t="str">
        <f>IF(ifood_data[[#This Row],[education_Basic]]=1,"High School",(IF(ifood_data[[#This Row],[education_Graduation]]=1,"Undergraduate Degree",(IF(SUM(AM568,AL568,AI568)&gt;0,"Master's Degree or Higher","Other")))))</f>
        <v>Master's Degree or Higher</v>
      </c>
      <c r="AV568" t="str">
        <f>IF(ifood_data[[#All],[Income]]&gt;75000,"75K+",(IF(ifood_data[[#All],[Income]]&gt;50000,"50K-75K",(IF(ifood_data[[#All],[Income]]&gt;35000,"35K-50K","&lt;35K")))))</f>
        <v>50K-75K</v>
      </c>
      <c r="AW568" t="str">
        <f>IF(ifood_data[[#All],[Age]]&gt;60,"60+",(IF(ifood_data[[#All],[Age]]&gt;50,"50-60",(IF(ifood_data[[#All],[Age]]&gt;40,"40-50",(IF(ifood_data[[#All],[Age]]&gt;30,"30-40","&lt;30")))))))</f>
        <v>60+</v>
      </c>
      <c r="AX568">
        <f t="shared" si="32"/>
        <v>29</v>
      </c>
      <c r="AY568">
        <f t="shared" si="33"/>
        <v>0.99999999999999978</v>
      </c>
      <c r="AZ568">
        <f t="shared" si="34"/>
        <v>8</v>
      </c>
      <c r="BA568">
        <f t="shared" si="35"/>
        <v>6</v>
      </c>
      <c r="BB568">
        <f>SUM(ifood_data[[#This Row],[Recency Score]:[Monetary Score]])</f>
        <v>15</v>
      </c>
      <c r="BC568">
        <f>(_xlfn.PERCENTRANK.INC(ifood_data[[#All],[RFM]],ifood_data[[#This Row],[RFM]],1))*10</f>
        <v>4</v>
      </c>
      <c r="BD568" t="str">
        <f>VLOOKUP(ifood_data[[#This Row],[RFM Score]],'RFM Analysis'!$A$3:$B$14,2,FALSE)</f>
        <v>At Risk</v>
      </c>
      <c r="BE568">
        <f>'Regression Models'!$B$101+'Regression Models'!$B$102*ifood_data[[#This Row],[Income]]+'Regression Models'!$B$103*ifood_data[[#This Row],[Age]]+'Regression Models'!$B$104*ifood_data[[#This Row],[Family]]</f>
        <v>837.16357490699954</v>
      </c>
      <c r="BF568" t="str">
        <f>IF(ifood_data[[#This Row],[AcceptedCmpOverall]]=1,"Campaign Respondent","Non-respondent")</f>
        <v>Non-respondent</v>
      </c>
    </row>
    <row r="569" spans="1:58" x14ac:dyDescent="0.35">
      <c r="A569">
        <v>879</v>
      </c>
      <c r="B569">
        <v>68397</v>
      </c>
      <c r="C569">
        <v>0</v>
      </c>
      <c r="D569">
        <v>1</v>
      </c>
      <c r="E569">
        <v>6</v>
      </c>
      <c r="F569">
        <v>760</v>
      </c>
      <c r="G569">
        <v>80</v>
      </c>
      <c r="H569">
        <v>466</v>
      </c>
      <c r="I569">
        <v>17</v>
      </c>
      <c r="J569">
        <v>13</v>
      </c>
      <c r="K569">
        <v>80</v>
      </c>
      <c r="L569">
        <v>1</v>
      </c>
      <c r="M569">
        <v>6</v>
      </c>
      <c r="N569">
        <v>9</v>
      </c>
      <c r="O569">
        <v>5</v>
      </c>
      <c r="P569">
        <v>3</v>
      </c>
      <c r="Q569">
        <v>0</v>
      </c>
      <c r="R569">
        <v>0</v>
      </c>
      <c r="S569">
        <v>0</v>
      </c>
      <c r="T569">
        <v>0</v>
      </c>
      <c r="U569">
        <v>0</v>
      </c>
      <c r="V569">
        <f>IF(SUM(ifood_data[[#This Row],[AcceptedCmp1]:[AcceptedCmp5]])&gt;0,1,0)</f>
        <v>0</v>
      </c>
      <c r="W569">
        <v>0</v>
      </c>
      <c r="X569">
        <v>3</v>
      </c>
      <c r="Y569">
        <v>11</v>
      </c>
      <c r="Z569">
        <v>0</v>
      </c>
      <c r="AA569">
        <v>44</v>
      </c>
      <c r="AB569">
        <v>2383</v>
      </c>
      <c r="AC569" s="28">
        <f>ifood_data[[#This Row],[Customer_Days]]/365</f>
        <v>6.5287671232876709</v>
      </c>
      <c r="AD569">
        <v>0</v>
      </c>
      <c r="AE569">
        <v>1</v>
      </c>
      <c r="AF569">
        <v>0</v>
      </c>
      <c r="AG569">
        <v>0</v>
      </c>
      <c r="AH569">
        <v>0</v>
      </c>
      <c r="AI569">
        <v>0</v>
      </c>
      <c r="AJ569">
        <v>0</v>
      </c>
      <c r="AK569">
        <v>0</v>
      </c>
      <c r="AL569">
        <v>0</v>
      </c>
      <c r="AM569">
        <v>1</v>
      </c>
      <c r="AN569">
        <v>1336</v>
      </c>
      <c r="AO569">
        <v>1256</v>
      </c>
      <c r="AP569">
        <f>ifood_data[[#This Row],[MntTotal]]-ifood_data[[#This Row],[MntRegularProds]]</f>
        <v>80</v>
      </c>
      <c r="AQ569">
        <v>0</v>
      </c>
      <c r="AR569">
        <f>IF(SUM(ifood_data[[#This Row],[Kidhome]:[Teenhome]])&gt;0,1,0)</f>
        <v>1</v>
      </c>
      <c r="AS569" t="str">
        <f>IF(SUM(ifood_data[[#This Row],[Kidhome]:[Teenhome]])&gt;0,"Has Family","No Family")</f>
        <v>Has Family</v>
      </c>
      <c r="AT569" t="str">
        <f>IF(ifood_data[[#This Row],[marital_Married]]=1,"Married", (IF(ifood_data[[#This Row],[marital_Single]]=1,"Single",(IF(ifood_data[[#This Row],[marital_Divorced]]=1,"Divorced",(IF(ifood_data[[#This Row],[marital_Together]]=1,"Living Together",(IF(ifood_data[[#This Row],[marital_Widow]]=1,"Widow","Other")))))))))</f>
        <v>Married</v>
      </c>
      <c r="AU569" t="str">
        <f>IF(ifood_data[[#This Row],[education_Basic]]=1,"High School",(IF(ifood_data[[#This Row],[education_Graduation]]=1,"Undergraduate Degree",(IF(SUM(AM569,AL569,AI569)&gt;0,"Master's Degree or Higher","Other")))))</f>
        <v>Master's Degree or Higher</v>
      </c>
      <c r="AV569" t="str">
        <f>IF(ifood_data[[#All],[Income]]&gt;75000,"75K+",(IF(ifood_data[[#All],[Income]]&gt;50000,"50K-75K",(IF(ifood_data[[#All],[Income]]&gt;35000,"35K-50K","&lt;35K")))))</f>
        <v>50K-75K</v>
      </c>
      <c r="AW569" t="str">
        <f>IF(ifood_data[[#All],[Age]]&gt;60,"60+",(IF(ifood_data[[#All],[Age]]&gt;50,"50-60",(IF(ifood_data[[#All],[Age]]&gt;40,"40-50",(IF(ifood_data[[#All],[Age]]&gt;30,"30-40","&lt;30")))))))</f>
        <v>40-50</v>
      </c>
      <c r="AX569">
        <f t="shared" si="32"/>
        <v>24</v>
      </c>
      <c r="AY569">
        <f t="shared" si="33"/>
        <v>10</v>
      </c>
      <c r="AZ569">
        <f t="shared" si="34"/>
        <v>6</v>
      </c>
      <c r="BA569">
        <f t="shared" si="35"/>
        <v>8</v>
      </c>
      <c r="BB569">
        <f>SUM(ifood_data[[#This Row],[Recency Score]:[Monetary Score]])</f>
        <v>24</v>
      </c>
      <c r="BC569">
        <f>(_xlfn.PERCENTRANK.INC(ifood_data[[#All],[RFM]],ifood_data[[#This Row],[RFM]],1))*10</f>
        <v>9</v>
      </c>
      <c r="BD569" t="str">
        <f>VLOOKUP(ifood_data[[#This Row],[RFM Score]],'RFM Analysis'!$A$3:$B$14,2,FALSE)</f>
        <v>Top Customer</v>
      </c>
      <c r="BE569">
        <f>'Regression Models'!$B$101+'Regression Models'!$B$102*ifood_data[[#This Row],[Income]]+'Regression Models'!$B$103*ifood_data[[#This Row],[Age]]+'Regression Models'!$B$104*ifood_data[[#This Row],[Family]]</f>
        <v>836.29836791942228</v>
      </c>
      <c r="BF569" t="str">
        <f>IF(ifood_data[[#This Row],[AcceptedCmpOverall]]=1,"Campaign Respondent","Non-respondent")</f>
        <v>Non-respondent</v>
      </c>
    </row>
    <row r="570" spans="1:58" x14ac:dyDescent="0.35">
      <c r="A570">
        <v>696</v>
      </c>
      <c r="B570">
        <v>70545</v>
      </c>
      <c r="C570">
        <v>0</v>
      </c>
      <c r="D570">
        <v>1</v>
      </c>
      <c r="E570">
        <v>29</v>
      </c>
      <c r="F570">
        <v>138</v>
      </c>
      <c r="G570">
        <v>39</v>
      </c>
      <c r="H570">
        <v>63</v>
      </c>
      <c r="I570">
        <v>55</v>
      </c>
      <c r="J570">
        <v>18</v>
      </c>
      <c r="K570">
        <v>21</v>
      </c>
      <c r="L570">
        <v>1</v>
      </c>
      <c r="M570">
        <v>4</v>
      </c>
      <c r="N570">
        <v>1</v>
      </c>
      <c r="O570">
        <v>7</v>
      </c>
      <c r="P570">
        <v>2</v>
      </c>
      <c r="Q570">
        <v>0</v>
      </c>
      <c r="R570">
        <v>0</v>
      </c>
      <c r="S570">
        <v>0</v>
      </c>
      <c r="T570">
        <v>0</v>
      </c>
      <c r="U570">
        <v>0</v>
      </c>
      <c r="V570">
        <f>IF(SUM(ifood_data[[#This Row],[AcceptedCmp1]:[AcceptedCmp5]])&gt;0,1,0)</f>
        <v>0</v>
      </c>
      <c r="W570">
        <v>0</v>
      </c>
      <c r="X570">
        <v>3</v>
      </c>
      <c r="Y570">
        <v>11</v>
      </c>
      <c r="Z570">
        <v>0</v>
      </c>
      <c r="AA570">
        <v>68</v>
      </c>
      <c r="AB570">
        <v>2185</v>
      </c>
      <c r="AC570" s="28">
        <f>ifood_data[[#This Row],[Customer_Days]]/365</f>
        <v>5.9863013698630141</v>
      </c>
      <c r="AD570">
        <v>0</v>
      </c>
      <c r="AE570">
        <v>0</v>
      </c>
      <c r="AF570">
        <v>0</v>
      </c>
      <c r="AG570">
        <v>1</v>
      </c>
      <c r="AH570">
        <v>0</v>
      </c>
      <c r="AI570">
        <v>0</v>
      </c>
      <c r="AJ570">
        <v>0</v>
      </c>
      <c r="AK570">
        <v>0</v>
      </c>
      <c r="AL570">
        <v>1</v>
      </c>
      <c r="AM570">
        <v>0</v>
      </c>
      <c r="AN570">
        <v>313</v>
      </c>
      <c r="AO570">
        <v>292</v>
      </c>
      <c r="AP570">
        <f>ifood_data[[#This Row],[MntTotal]]-ifood_data[[#This Row],[MntRegularProds]]</f>
        <v>21</v>
      </c>
      <c r="AQ570">
        <v>0</v>
      </c>
      <c r="AR570">
        <f>IF(SUM(ifood_data[[#This Row],[Kidhome]:[Teenhome]])&gt;0,1,0)</f>
        <v>1</v>
      </c>
      <c r="AS570" t="str">
        <f>IF(SUM(ifood_data[[#This Row],[Kidhome]:[Teenhome]])&gt;0,"Has Family","No Family")</f>
        <v>Has Family</v>
      </c>
      <c r="AT570" t="str">
        <f>IF(ifood_data[[#This Row],[marital_Married]]=1,"Married", (IF(ifood_data[[#This Row],[marital_Single]]=1,"Single",(IF(ifood_data[[#This Row],[marital_Divorced]]=1,"Divorced",(IF(ifood_data[[#This Row],[marital_Together]]=1,"Living Together",(IF(ifood_data[[#This Row],[marital_Widow]]=1,"Widow","Other")))))))))</f>
        <v>Living Together</v>
      </c>
      <c r="AU570" t="str">
        <f>IF(ifood_data[[#This Row],[education_Basic]]=1,"High School",(IF(ifood_data[[#This Row],[education_Graduation]]=1,"Undergraduate Degree",(IF(SUM(AM570,AL570,AI570)&gt;0,"Master's Degree or Higher","Other")))))</f>
        <v>Master's Degree or Higher</v>
      </c>
      <c r="AV570" t="str">
        <f>IF(ifood_data[[#All],[Income]]&gt;75000,"75K+",(IF(ifood_data[[#All],[Income]]&gt;50000,"50K-75K",(IF(ifood_data[[#All],[Income]]&gt;35000,"35K-50K","&lt;35K")))))</f>
        <v>50K-75K</v>
      </c>
      <c r="AW570" t="str">
        <f>IF(ifood_data[[#All],[Age]]&gt;60,"60+",(IF(ifood_data[[#All],[Age]]&gt;50,"50-60",(IF(ifood_data[[#All],[Age]]&gt;40,"40-50",(IF(ifood_data[[#All],[Age]]&gt;30,"30-40","&lt;30")))))))</f>
        <v>60+</v>
      </c>
      <c r="AX570">
        <f t="shared" si="32"/>
        <v>15</v>
      </c>
      <c r="AY570">
        <f t="shared" si="33"/>
        <v>8</v>
      </c>
      <c r="AZ570">
        <f t="shared" si="34"/>
        <v>2</v>
      </c>
      <c r="BA570">
        <f t="shared" si="35"/>
        <v>4</v>
      </c>
      <c r="BB570">
        <f>SUM(ifood_data[[#This Row],[Recency Score]:[Monetary Score]])</f>
        <v>14</v>
      </c>
      <c r="BC570">
        <f>(_xlfn.PERCENTRANK.INC(ifood_data[[#All],[RFM]],ifood_data[[#This Row],[RFM]],1))*10</f>
        <v>4</v>
      </c>
      <c r="BD570" t="str">
        <f>VLOOKUP(ifood_data[[#This Row],[RFM Score]],'RFM Analysis'!$A$3:$B$14,2,FALSE)</f>
        <v>At Risk</v>
      </c>
      <c r="BE570">
        <f>'Regression Models'!$B$101+'Regression Models'!$B$102*ifood_data[[#This Row],[Income]]+'Regression Models'!$B$103*ifood_data[[#This Row],[Age]]+'Regression Models'!$B$104*ifood_data[[#This Row],[Family]]</f>
        <v>836.01890399905449</v>
      </c>
      <c r="BF570" t="str">
        <f>IF(ifood_data[[#This Row],[AcceptedCmpOverall]]=1,"Campaign Respondent","Non-respondent")</f>
        <v>Non-respondent</v>
      </c>
    </row>
    <row r="571" spans="1:58" x14ac:dyDescent="0.35">
      <c r="A571">
        <v>1273</v>
      </c>
      <c r="B571">
        <v>69627</v>
      </c>
      <c r="C571">
        <v>0</v>
      </c>
      <c r="D571">
        <v>1</v>
      </c>
      <c r="E571">
        <v>35</v>
      </c>
      <c r="F571">
        <v>231</v>
      </c>
      <c r="G571">
        <v>161</v>
      </c>
      <c r="H571">
        <v>215</v>
      </c>
      <c r="I571">
        <v>171</v>
      </c>
      <c r="J571">
        <v>30</v>
      </c>
      <c r="K571">
        <v>53</v>
      </c>
      <c r="L571">
        <v>2</v>
      </c>
      <c r="M571">
        <v>8</v>
      </c>
      <c r="N571">
        <v>2</v>
      </c>
      <c r="O571">
        <v>11</v>
      </c>
      <c r="P571">
        <v>5</v>
      </c>
      <c r="Q571">
        <v>0</v>
      </c>
      <c r="R571">
        <v>0</v>
      </c>
      <c r="S571">
        <v>0</v>
      </c>
      <c r="T571">
        <v>0</v>
      </c>
      <c r="U571">
        <v>0</v>
      </c>
      <c r="V571">
        <f>IF(SUM(ifood_data[[#This Row],[AcceptedCmp1]:[AcceptedCmp5]])&gt;0,1,0)</f>
        <v>0</v>
      </c>
      <c r="W571">
        <v>0</v>
      </c>
      <c r="X571">
        <v>3</v>
      </c>
      <c r="Y571">
        <v>11</v>
      </c>
      <c r="Z571">
        <v>0</v>
      </c>
      <c r="AA571">
        <v>58</v>
      </c>
      <c r="AB571">
        <v>2628</v>
      </c>
      <c r="AC571" s="28">
        <f>ifood_data[[#This Row],[Customer_Days]]/365</f>
        <v>7.2</v>
      </c>
      <c r="AD571">
        <v>0</v>
      </c>
      <c r="AE571">
        <v>0</v>
      </c>
      <c r="AF571">
        <v>1</v>
      </c>
      <c r="AG571">
        <v>0</v>
      </c>
      <c r="AH571">
        <v>0</v>
      </c>
      <c r="AI571">
        <v>0</v>
      </c>
      <c r="AJ571">
        <v>0</v>
      </c>
      <c r="AK571">
        <v>1</v>
      </c>
      <c r="AL571">
        <v>0</v>
      </c>
      <c r="AM571">
        <v>0</v>
      </c>
      <c r="AN571">
        <v>808</v>
      </c>
      <c r="AO571">
        <v>755</v>
      </c>
      <c r="AP571">
        <f>ifood_data[[#This Row],[MntTotal]]-ifood_data[[#This Row],[MntRegularProds]]</f>
        <v>53</v>
      </c>
      <c r="AQ571">
        <v>0</v>
      </c>
      <c r="AR571">
        <f>IF(SUM(ifood_data[[#This Row],[Kidhome]:[Teenhome]])&gt;0,1,0)</f>
        <v>1</v>
      </c>
      <c r="AS571" t="str">
        <f>IF(SUM(ifood_data[[#This Row],[Kidhome]:[Teenhome]])&gt;0,"Has Family","No Family")</f>
        <v>Has Family</v>
      </c>
      <c r="AT571" t="str">
        <f>IF(ifood_data[[#This Row],[marital_Married]]=1,"Married", (IF(ifood_data[[#This Row],[marital_Single]]=1,"Single",(IF(ifood_data[[#This Row],[marital_Divorced]]=1,"Divorced",(IF(ifood_data[[#This Row],[marital_Together]]=1,"Living Together",(IF(ifood_data[[#This Row],[marital_Widow]]=1,"Widow","Other")))))))))</f>
        <v>Single</v>
      </c>
      <c r="AU571" t="str">
        <f>IF(ifood_data[[#This Row],[education_Basic]]=1,"High School",(IF(ifood_data[[#This Row],[education_Graduation]]=1,"Undergraduate Degree",(IF(SUM(AM571,AL571,AI571)&gt;0,"Master's Degree or Higher","Other")))))</f>
        <v>Undergraduate Degree</v>
      </c>
      <c r="AV571" t="str">
        <f>IF(ifood_data[[#All],[Income]]&gt;75000,"75K+",(IF(ifood_data[[#All],[Income]]&gt;50000,"50K-75K",(IF(ifood_data[[#All],[Income]]&gt;35000,"35K-50K","&lt;35K")))))</f>
        <v>50K-75K</v>
      </c>
      <c r="AW571" t="str">
        <f>IF(ifood_data[[#All],[Age]]&gt;60,"60+",(IF(ifood_data[[#All],[Age]]&gt;50,"50-60",(IF(ifood_data[[#All],[Age]]&gt;40,"40-50",(IF(ifood_data[[#All],[Age]]&gt;30,"30-40","&lt;30")))))))</f>
        <v>50-60</v>
      </c>
      <c r="AX571">
        <f t="shared" si="32"/>
        <v>28</v>
      </c>
      <c r="AY571">
        <f t="shared" si="33"/>
        <v>7</v>
      </c>
      <c r="AZ571">
        <f t="shared" si="34"/>
        <v>8</v>
      </c>
      <c r="BA571">
        <f t="shared" si="35"/>
        <v>6</v>
      </c>
      <c r="BB571">
        <f>SUM(ifood_data[[#This Row],[Recency Score]:[Monetary Score]])</f>
        <v>21</v>
      </c>
      <c r="BC571">
        <f>(_xlfn.PERCENTRANK.INC(ifood_data[[#All],[RFM]],ifood_data[[#This Row],[RFM]],1))*10</f>
        <v>8</v>
      </c>
      <c r="BD571" t="str">
        <f>VLOOKUP(ifood_data[[#This Row],[RFM Score]],'RFM Analysis'!$A$3:$B$14,2,FALSE)</f>
        <v>Loyal Customer</v>
      </c>
      <c r="BE571">
        <f>'Regression Models'!$B$101+'Regression Models'!$B$102*ifood_data[[#This Row],[Income]]+'Regression Models'!$B$103*ifood_data[[#This Row],[Age]]+'Regression Models'!$B$104*ifood_data[[#This Row],[Family]]</f>
        <v>835.66640563189833</v>
      </c>
      <c r="BF571" t="str">
        <f>IF(ifood_data[[#This Row],[AcceptedCmpOverall]]=1,"Campaign Respondent","Non-respondent")</f>
        <v>Non-respondent</v>
      </c>
    </row>
    <row r="572" spans="1:58" x14ac:dyDescent="0.35">
      <c r="A572">
        <v>1965</v>
      </c>
      <c r="B572">
        <v>69263</v>
      </c>
      <c r="C572">
        <v>0</v>
      </c>
      <c r="D572">
        <v>1</v>
      </c>
      <c r="E572">
        <v>14</v>
      </c>
      <c r="F572">
        <v>492</v>
      </c>
      <c r="G572">
        <v>5</v>
      </c>
      <c r="H572">
        <v>32</v>
      </c>
      <c r="I572">
        <v>13</v>
      </c>
      <c r="J572">
        <v>5</v>
      </c>
      <c r="K572">
        <v>21</v>
      </c>
      <c r="L572">
        <v>1</v>
      </c>
      <c r="M572">
        <v>9</v>
      </c>
      <c r="N572">
        <v>1</v>
      </c>
      <c r="O572">
        <v>7</v>
      </c>
      <c r="P572">
        <v>6</v>
      </c>
      <c r="Q572">
        <v>0</v>
      </c>
      <c r="R572">
        <v>0</v>
      </c>
      <c r="S572">
        <v>0</v>
      </c>
      <c r="T572">
        <v>1</v>
      </c>
      <c r="U572">
        <v>0</v>
      </c>
      <c r="V572">
        <f>IF(SUM(ifood_data[[#This Row],[AcceptedCmp1]:[AcceptedCmp5]])&gt;0,1,0)</f>
        <v>1</v>
      </c>
      <c r="W572">
        <v>0</v>
      </c>
      <c r="X572">
        <v>3</v>
      </c>
      <c r="Y572">
        <v>11</v>
      </c>
      <c r="Z572">
        <v>0</v>
      </c>
      <c r="AA572">
        <v>55</v>
      </c>
      <c r="AB572">
        <v>2275</v>
      </c>
      <c r="AC572" s="28">
        <f>ifood_data[[#This Row],[Customer_Days]]/365</f>
        <v>6.2328767123287667</v>
      </c>
      <c r="AD572">
        <v>0</v>
      </c>
      <c r="AE572">
        <v>0</v>
      </c>
      <c r="AF572">
        <v>1</v>
      </c>
      <c r="AG572">
        <v>0</v>
      </c>
      <c r="AH572">
        <v>0</v>
      </c>
      <c r="AI572">
        <v>0</v>
      </c>
      <c r="AJ572">
        <v>0</v>
      </c>
      <c r="AK572">
        <v>1</v>
      </c>
      <c r="AL572">
        <v>0</v>
      </c>
      <c r="AM572">
        <v>0</v>
      </c>
      <c r="AN572">
        <v>547</v>
      </c>
      <c r="AO572">
        <v>526</v>
      </c>
      <c r="AP572">
        <f>ifood_data[[#This Row],[MntTotal]]-ifood_data[[#This Row],[MntRegularProds]]</f>
        <v>21</v>
      </c>
      <c r="AQ572">
        <v>1</v>
      </c>
      <c r="AR572">
        <f>IF(SUM(ifood_data[[#This Row],[Kidhome]:[Teenhome]])&gt;0,1,0)</f>
        <v>1</v>
      </c>
      <c r="AS572" t="str">
        <f>IF(SUM(ifood_data[[#This Row],[Kidhome]:[Teenhome]])&gt;0,"Has Family","No Family")</f>
        <v>Has Family</v>
      </c>
      <c r="AT572" t="str">
        <f>IF(ifood_data[[#This Row],[marital_Married]]=1,"Married", (IF(ifood_data[[#This Row],[marital_Single]]=1,"Single",(IF(ifood_data[[#This Row],[marital_Divorced]]=1,"Divorced",(IF(ifood_data[[#This Row],[marital_Together]]=1,"Living Together",(IF(ifood_data[[#This Row],[marital_Widow]]=1,"Widow","Other")))))))))</f>
        <v>Single</v>
      </c>
      <c r="AU572" t="str">
        <f>IF(ifood_data[[#This Row],[education_Basic]]=1,"High School",(IF(ifood_data[[#This Row],[education_Graduation]]=1,"Undergraduate Degree",(IF(SUM(AM572,AL572,AI572)&gt;0,"Master's Degree or Higher","Other")))))</f>
        <v>Undergraduate Degree</v>
      </c>
      <c r="AV572" t="str">
        <f>IF(ifood_data[[#All],[Income]]&gt;75000,"75K+",(IF(ifood_data[[#All],[Income]]&gt;50000,"50K-75K",(IF(ifood_data[[#All],[Income]]&gt;35000,"35K-50K","&lt;35K")))))</f>
        <v>50K-75K</v>
      </c>
      <c r="AW572" t="str">
        <f>IF(ifood_data[[#All],[Age]]&gt;60,"60+",(IF(ifood_data[[#All],[Age]]&gt;50,"50-60",(IF(ifood_data[[#All],[Age]]&gt;40,"40-50",(IF(ifood_data[[#All],[Age]]&gt;30,"30-40","&lt;30")))))))</f>
        <v>50-60</v>
      </c>
      <c r="AX572">
        <f t="shared" si="32"/>
        <v>24</v>
      </c>
      <c r="AY572">
        <f t="shared" si="33"/>
        <v>9</v>
      </c>
      <c r="AZ572">
        <f t="shared" si="34"/>
        <v>6</v>
      </c>
      <c r="BA572">
        <f t="shared" si="35"/>
        <v>5</v>
      </c>
      <c r="BB572">
        <f>SUM(ifood_data[[#This Row],[Recency Score]:[Monetary Score]])</f>
        <v>20</v>
      </c>
      <c r="BC572">
        <f>(_xlfn.PERCENTRANK.INC(ifood_data[[#All],[RFM]],ifood_data[[#This Row],[RFM]],1))*10</f>
        <v>7</v>
      </c>
      <c r="BD572" t="str">
        <f>VLOOKUP(ifood_data[[#This Row],[RFM Score]],'RFM Analysis'!$A$3:$B$14,2,FALSE)</f>
        <v>Loyal Customer</v>
      </c>
      <c r="BE572">
        <f>'Regression Models'!$B$101+'Regression Models'!$B$102*ifood_data[[#This Row],[Income]]+'Regression Models'!$B$103*ifood_data[[#This Row],[Age]]+'Regression Models'!$B$104*ifood_data[[#This Row],[Family]]</f>
        <v>833.7542112642019</v>
      </c>
      <c r="BF572" t="str">
        <f>IF(ifood_data[[#This Row],[AcceptedCmpOverall]]=1,"Campaign Respondent","Non-respondent")</f>
        <v>Campaign Respondent</v>
      </c>
    </row>
    <row r="573" spans="1:58" x14ac:dyDescent="0.35">
      <c r="A573">
        <v>132</v>
      </c>
      <c r="B573">
        <v>68352</v>
      </c>
      <c r="C573">
        <v>0</v>
      </c>
      <c r="D573">
        <v>1</v>
      </c>
      <c r="E573">
        <v>47</v>
      </c>
      <c r="F573">
        <v>614</v>
      </c>
      <c r="G573">
        <v>16</v>
      </c>
      <c r="H573">
        <v>132</v>
      </c>
      <c r="I573">
        <v>43</v>
      </c>
      <c r="J573">
        <v>33</v>
      </c>
      <c r="K573">
        <v>33</v>
      </c>
      <c r="L573">
        <v>3</v>
      </c>
      <c r="M573">
        <v>8</v>
      </c>
      <c r="N573">
        <v>5</v>
      </c>
      <c r="O573">
        <v>9</v>
      </c>
      <c r="P573">
        <v>6</v>
      </c>
      <c r="Q573">
        <v>0</v>
      </c>
      <c r="R573">
        <v>0</v>
      </c>
      <c r="S573">
        <v>0</v>
      </c>
      <c r="T573">
        <v>0</v>
      </c>
      <c r="U573">
        <v>0</v>
      </c>
      <c r="V573">
        <f>IF(SUM(ifood_data[[#This Row],[AcceptedCmp1]:[AcceptedCmp5]])&gt;0,1,0)</f>
        <v>0</v>
      </c>
      <c r="W573">
        <v>0</v>
      </c>
      <c r="X573">
        <v>3</v>
      </c>
      <c r="Y573">
        <v>11</v>
      </c>
      <c r="Z573">
        <v>0</v>
      </c>
      <c r="AA573">
        <v>46</v>
      </c>
      <c r="AB573">
        <v>2464</v>
      </c>
      <c r="AC573" s="28">
        <f>ifood_data[[#This Row],[Customer_Days]]/365</f>
        <v>6.7506849315068491</v>
      </c>
      <c r="AD573">
        <v>0</v>
      </c>
      <c r="AE573">
        <v>0</v>
      </c>
      <c r="AF573">
        <v>1</v>
      </c>
      <c r="AG573">
        <v>0</v>
      </c>
      <c r="AH573">
        <v>0</v>
      </c>
      <c r="AI573">
        <v>0</v>
      </c>
      <c r="AJ573">
        <v>0</v>
      </c>
      <c r="AK573">
        <v>0</v>
      </c>
      <c r="AL573">
        <v>0</v>
      </c>
      <c r="AM573">
        <v>1</v>
      </c>
      <c r="AN573">
        <v>838</v>
      </c>
      <c r="AO573">
        <v>805</v>
      </c>
      <c r="AP573">
        <f>ifood_data[[#This Row],[MntTotal]]-ifood_data[[#This Row],[MntRegularProds]]</f>
        <v>33</v>
      </c>
      <c r="AQ573">
        <v>0</v>
      </c>
      <c r="AR573">
        <f>IF(SUM(ifood_data[[#This Row],[Kidhome]:[Teenhome]])&gt;0,1,0)</f>
        <v>1</v>
      </c>
      <c r="AS573" t="str">
        <f>IF(SUM(ifood_data[[#This Row],[Kidhome]:[Teenhome]])&gt;0,"Has Family","No Family")</f>
        <v>Has Family</v>
      </c>
      <c r="AT573" t="str">
        <f>IF(ifood_data[[#This Row],[marital_Married]]=1,"Married", (IF(ifood_data[[#This Row],[marital_Single]]=1,"Single",(IF(ifood_data[[#This Row],[marital_Divorced]]=1,"Divorced",(IF(ifood_data[[#This Row],[marital_Together]]=1,"Living Together",(IF(ifood_data[[#This Row],[marital_Widow]]=1,"Widow","Other")))))))))</f>
        <v>Single</v>
      </c>
      <c r="AU573" t="str">
        <f>IF(ifood_data[[#This Row],[education_Basic]]=1,"High School",(IF(ifood_data[[#This Row],[education_Graduation]]=1,"Undergraduate Degree",(IF(SUM(AM573,AL573,AI573)&gt;0,"Master's Degree or Higher","Other")))))</f>
        <v>Master's Degree or Higher</v>
      </c>
      <c r="AV573" t="str">
        <f>IF(ifood_data[[#All],[Income]]&gt;75000,"75K+",(IF(ifood_data[[#All],[Income]]&gt;50000,"50K-75K",(IF(ifood_data[[#All],[Income]]&gt;35000,"35K-50K","&lt;35K")))))</f>
        <v>50K-75K</v>
      </c>
      <c r="AW573" t="str">
        <f>IF(ifood_data[[#All],[Age]]&gt;60,"60+",(IF(ifood_data[[#All],[Age]]&gt;50,"50-60",(IF(ifood_data[[#All],[Age]]&gt;40,"40-50",(IF(ifood_data[[#All],[Age]]&gt;30,"30-40","&lt;30")))))))</f>
        <v>40-50</v>
      </c>
      <c r="AX573">
        <f t="shared" si="32"/>
        <v>31</v>
      </c>
      <c r="AY573">
        <f t="shared" si="33"/>
        <v>6</v>
      </c>
      <c r="AZ573">
        <f t="shared" si="34"/>
        <v>9</v>
      </c>
      <c r="BA573">
        <f t="shared" si="35"/>
        <v>6</v>
      </c>
      <c r="BB573">
        <f>SUM(ifood_data[[#This Row],[Recency Score]:[Monetary Score]])</f>
        <v>21</v>
      </c>
      <c r="BC573">
        <f>(_xlfn.PERCENTRANK.INC(ifood_data[[#All],[RFM]],ifood_data[[#This Row],[RFM]],1))*10</f>
        <v>8</v>
      </c>
      <c r="BD573" t="str">
        <f>VLOOKUP(ifood_data[[#This Row],[RFM Score]],'RFM Analysis'!$A$3:$B$14,2,FALSE)</f>
        <v>Loyal Customer</v>
      </c>
      <c r="BE573">
        <f>'Regression Models'!$B$101+'Regression Models'!$B$102*ifood_data[[#This Row],[Income]]+'Regression Models'!$B$103*ifood_data[[#This Row],[Age]]+'Regression Models'!$B$104*ifood_data[[#This Row],[Family]]</f>
        <v>831.70799519515833</v>
      </c>
      <c r="BF573" t="str">
        <f>IF(ifood_data[[#This Row],[AcceptedCmpOverall]]=1,"Campaign Respondent","Non-respondent")</f>
        <v>Non-respondent</v>
      </c>
    </row>
    <row r="574" spans="1:58" x14ac:dyDescent="0.35">
      <c r="A574">
        <v>1701</v>
      </c>
      <c r="B574">
        <v>69063</v>
      </c>
      <c r="C574">
        <v>0</v>
      </c>
      <c r="D574">
        <v>1</v>
      </c>
      <c r="E574">
        <v>16</v>
      </c>
      <c r="F574">
        <v>666</v>
      </c>
      <c r="G574">
        <v>35</v>
      </c>
      <c r="H574">
        <v>124</v>
      </c>
      <c r="I574">
        <v>69</v>
      </c>
      <c r="J574">
        <v>8</v>
      </c>
      <c r="K574">
        <v>26</v>
      </c>
      <c r="L574">
        <v>1</v>
      </c>
      <c r="M574">
        <v>5</v>
      </c>
      <c r="N574">
        <v>3</v>
      </c>
      <c r="O574">
        <v>5</v>
      </c>
      <c r="P574">
        <v>3</v>
      </c>
      <c r="Q574">
        <v>0</v>
      </c>
      <c r="R574">
        <v>0</v>
      </c>
      <c r="S574">
        <v>0</v>
      </c>
      <c r="T574">
        <v>0</v>
      </c>
      <c r="U574">
        <v>0</v>
      </c>
      <c r="V574">
        <f>IF(SUM(ifood_data[[#This Row],[AcceptedCmp1]:[AcceptedCmp5]])&gt;0,1,0)</f>
        <v>0</v>
      </c>
      <c r="W574">
        <v>0</v>
      </c>
      <c r="X574">
        <v>3</v>
      </c>
      <c r="Y574">
        <v>11</v>
      </c>
      <c r="Z574">
        <v>0</v>
      </c>
      <c r="AA574">
        <v>54</v>
      </c>
      <c r="AB574">
        <v>2758</v>
      </c>
      <c r="AC574" s="28">
        <f>ifood_data[[#This Row],[Customer_Days]]/365</f>
        <v>7.5561643835616437</v>
      </c>
      <c r="AD574">
        <v>0</v>
      </c>
      <c r="AE574">
        <v>1</v>
      </c>
      <c r="AF574">
        <v>0</v>
      </c>
      <c r="AG574">
        <v>0</v>
      </c>
      <c r="AH574">
        <v>0</v>
      </c>
      <c r="AI574">
        <v>0</v>
      </c>
      <c r="AJ574">
        <v>0</v>
      </c>
      <c r="AK574">
        <v>0</v>
      </c>
      <c r="AL574">
        <v>0</v>
      </c>
      <c r="AM574">
        <v>1</v>
      </c>
      <c r="AN574">
        <v>902</v>
      </c>
      <c r="AO574">
        <v>876</v>
      </c>
      <c r="AP574">
        <f>ifood_data[[#This Row],[MntTotal]]-ifood_data[[#This Row],[MntRegularProds]]</f>
        <v>26</v>
      </c>
      <c r="AQ574">
        <v>0</v>
      </c>
      <c r="AR574">
        <f>IF(SUM(ifood_data[[#This Row],[Kidhome]:[Teenhome]])&gt;0,1,0)</f>
        <v>1</v>
      </c>
      <c r="AS574" t="str">
        <f>IF(SUM(ifood_data[[#This Row],[Kidhome]:[Teenhome]])&gt;0,"Has Family","No Family")</f>
        <v>Has Family</v>
      </c>
      <c r="AT574" t="str">
        <f>IF(ifood_data[[#This Row],[marital_Married]]=1,"Married", (IF(ifood_data[[#This Row],[marital_Single]]=1,"Single",(IF(ifood_data[[#This Row],[marital_Divorced]]=1,"Divorced",(IF(ifood_data[[#This Row],[marital_Together]]=1,"Living Together",(IF(ifood_data[[#This Row],[marital_Widow]]=1,"Widow","Other")))))))))</f>
        <v>Married</v>
      </c>
      <c r="AU574" t="str">
        <f>IF(ifood_data[[#This Row],[education_Basic]]=1,"High School",(IF(ifood_data[[#This Row],[education_Graduation]]=1,"Undergraduate Degree",(IF(SUM(AM574,AL574,AI574)&gt;0,"Master's Degree or Higher","Other")))))</f>
        <v>Master's Degree or Higher</v>
      </c>
      <c r="AV574" t="str">
        <f>IF(ifood_data[[#All],[Income]]&gt;75000,"75K+",(IF(ifood_data[[#All],[Income]]&gt;50000,"50K-75K",(IF(ifood_data[[#All],[Income]]&gt;35000,"35K-50K","&lt;35K")))))</f>
        <v>50K-75K</v>
      </c>
      <c r="AW574" t="str">
        <f>IF(ifood_data[[#All],[Age]]&gt;60,"60+",(IF(ifood_data[[#All],[Age]]&gt;50,"50-60",(IF(ifood_data[[#All],[Age]]&gt;40,"40-50",(IF(ifood_data[[#All],[Age]]&gt;30,"30-40","&lt;30")))))))</f>
        <v>50-60</v>
      </c>
      <c r="AX574">
        <f t="shared" si="32"/>
        <v>17</v>
      </c>
      <c r="AY574">
        <f t="shared" si="33"/>
        <v>9</v>
      </c>
      <c r="AZ574">
        <f t="shared" si="34"/>
        <v>3</v>
      </c>
      <c r="BA574">
        <f t="shared" si="35"/>
        <v>7</v>
      </c>
      <c r="BB574">
        <f>SUM(ifood_data[[#This Row],[Recency Score]:[Monetary Score]])</f>
        <v>19</v>
      </c>
      <c r="BC574">
        <f>(_xlfn.PERCENTRANK.INC(ifood_data[[#All],[RFM]],ifood_data[[#This Row],[RFM]],1))*10</f>
        <v>7</v>
      </c>
      <c r="BD574" t="str">
        <f>VLOOKUP(ifood_data[[#This Row],[RFM Score]],'RFM Analysis'!$A$3:$B$14,2,FALSE)</f>
        <v>Loyal Customer</v>
      </c>
      <c r="BE574">
        <f>'Regression Models'!$B$101+'Regression Models'!$B$102*ifood_data[[#This Row],[Income]]+'Regression Models'!$B$103*ifood_data[[#This Row],[Age]]+'Regression Models'!$B$104*ifood_data[[#This Row],[Family]]</f>
        <v>831.51289671431607</v>
      </c>
      <c r="BF574" t="str">
        <f>IF(ifood_data[[#This Row],[AcceptedCmpOverall]]=1,"Campaign Respondent","Non-respondent")</f>
        <v>Non-respondent</v>
      </c>
    </row>
    <row r="575" spans="1:58" x14ac:dyDescent="0.35">
      <c r="A575">
        <v>1271</v>
      </c>
      <c r="B575">
        <v>69139</v>
      </c>
      <c r="C575">
        <v>0</v>
      </c>
      <c r="D575">
        <v>1</v>
      </c>
      <c r="E575">
        <v>23</v>
      </c>
      <c r="F575">
        <v>86</v>
      </c>
      <c r="G575">
        <v>12</v>
      </c>
      <c r="H575">
        <v>75</v>
      </c>
      <c r="I575">
        <v>33</v>
      </c>
      <c r="J575">
        <v>15</v>
      </c>
      <c r="K575">
        <v>6</v>
      </c>
      <c r="L575">
        <v>1</v>
      </c>
      <c r="M575">
        <v>4</v>
      </c>
      <c r="N575">
        <v>1</v>
      </c>
      <c r="O575">
        <v>5</v>
      </c>
      <c r="P575">
        <v>4</v>
      </c>
      <c r="Q575">
        <v>0</v>
      </c>
      <c r="R575">
        <v>0</v>
      </c>
      <c r="S575">
        <v>0</v>
      </c>
      <c r="T575">
        <v>0</v>
      </c>
      <c r="U575">
        <v>0</v>
      </c>
      <c r="V575">
        <f>IF(SUM(ifood_data[[#This Row],[AcceptedCmp1]:[AcceptedCmp5]])&gt;0,1,0)</f>
        <v>0</v>
      </c>
      <c r="W575">
        <v>0</v>
      </c>
      <c r="X575">
        <v>3</v>
      </c>
      <c r="Y575">
        <v>11</v>
      </c>
      <c r="Z575">
        <v>0</v>
      </c>
      <c r="AA575">
        <v>55</v>
      </c>
      <c r="AB575">
        <v>2312</v>
      </c>
      <c r="AC575" s="28">
        <f>ifood_data[[#This Row],[Customer_Days]]/365</f>
        <v>6.3342465753424655</v>
      </c>
      <c r="AD575">
        <v>0</v>
      </c>
      <c r="AE575">
        <v>1</v>
      </c>
      <c r="AF575">
        <v>0</v>
      </c>
      <c r="AG575">
        <v>0</v>
      </c>
      <c r="AH575">
        <v>0</v>
      </c>
      <c r="AI575">
        <v>0</v>
      </c>
      <c r="AJ575">
        <v>0</v>
      </c>
      <c r="AK575">
        <v>1</v>
      </c>
      <c r="AL575">
        <v>0</v>
      </c>
      <c r="AM575">
        <v>0</v>
      </c>
      <c r="AN575">
        <v>221</v>
      </c>
      <c r="AO575">
        <v>215</v>
      </c>
      <c r="AP575">
        <f>ifood_data[[#This Row],[MntTotal]]-ifood_data[[#This Row],[MntRegularProds]]</f>
        <v>6</v>
      </c>
      <c r="AQ575">
        <v>0</v>
      </c>
      <c r="AR575">
        <f>IF(SUM(ifood_data[[#This Row],[Kidhome]:[Teenhome]])&gt;0,1,0)</f>
        <v>1</v>
      </c>
      <c r="AS575" t="str">
        <f>IF(SUM(ifood_data[[#This Row],[Kidhome]:[Teenhome]])&gt;0,"Has Family","No Family")</f>
        <v>Has Family</v>
      </c>
      <c r="AT575" t="str">
        <f>IF(ifood_data[[#This Row],[marital_Married]]=1,"Married", (IF(ifood_data[[#This Row],[marital_Single]]=1,"Single",(IF(ifood_data[[#This Row],[marital_Divorced]]=1,"Divorced",(IF(ifood_data[[#This Row],[marital_Together]]=1,"Living Together",(IF(ifood_data[[#This Row],[marital_Widow]]=1,"Widow","Other")))))))))</f>
        <v>Married</v>
      </c>
      <c r="AU575" t="str">
        <f>IF(ifood_data[[#This Row],[education_Basic]]=1,"High School",(IF(ifood_data[[#This Row],[education_Graduation]]=1,"Undergraduate Degree",(IF(SUM(AM575,AL575,AI575)&gt;0,"Master's Degree or Higher","Other")))))</f>
        <v>Undergraduate Degree</v>
      </c>
      <c r="AV575" t="str">
        <f>IF(ifood_data[[#All],[Income]]&gt;75000,"75K+",(IF(ifood_data[[#All],[Income]]&gt;50000,"50K-75K",(IF(ifood_data[[#All],[Income]]&gt;35000,"35K-50K","&lt;35K")))))</f>
        <v>50K-75K</v>
      </c>
      <c r="AW575" t="str">
        <f>IF(ifood_data[[#All],[Age]]&gt;60,"60+",(IF(ifood_data[[#All],[Age]]&gt;50,"50-60",(IF(ifood_data[[#All],[Age]]&gt;40,"40-50",(IF(ifood_data[[#All],[Age]]&gt;30,"30-40","&lt;30")))))))</f>
        <v>50-60</v>
      </c>
      <c r="AX575">
        <f t="shared" si="32"/>
        <v>15</v>
      </c>
      <c r="AY575">
        <f t="shared" si="33"/>
        <v>8</v>
      </c>
      <c r="AZ575">
        <f t="shared" si="34"/>
        <v>2</v>
      </c>
      <c r="BA575">
        <f t="shared" si="35"/>
        <v>4</v>
      </c>
      <c r="BB575">
        <f>SUM(ifood_data[[#This Row],[Recency Score]:[Monetary Score]])</f>
        <v>14</v>
      </c>
      <c r="BC575">
        <f>(_xlfn.PERCENTRANK.INC(ifood_data[[#All],[RFM]],ifood_data[[#This Row],[RFM]],1))*10</f>
        <v>4</v>
      </c>
      <c r="BD575" t="str">
        <f>VLOOKUP(ifood_data[[#This Row],[RFM Score]],'RFM Analysis'!$A$3:$B$14,2,FALSE)</f>
        <v>At Risk</v>
      </c>
      <c r="BE575">
        <f>'Regression Models'!$B$101+'Regression Models'!$B$102*ifood_data[[#This Row],[Income]]+'Regression Models'!$B$103*ifood_data[[#This Row],[Age]]+'Regression Models'!$B$104*ifood_data[[#This Row],[Family]]</f>
        <v>831.22600401435841</v>
      </c>
      <c r="BF575" t="str">
        <f>IF(ifood_data[[#This Row],[AcceptedCmpOverall]]=1,"Campaign Respondent","Non-respondent")</f>
        <v>Non-respondent</v>
      </c>
    </row>
    <row r="576" spans="1:58" x14ac:dyDescent="0.35">
      <c r="A576">
        <v>1596</v>
      </c>
      <c r="B576">
        <v>70044</v>
      </c>
      <c r="C576">
        <v>0</v>
      </c>
      <c r="D576">
        <v>1</v>
      </c>
      <c r="E576">
        <v>46</v>
      </c>
      <c r="F576">
        <v>1073</v>
      </c>
      <c r="G576">
        <v>0</v>
      </c>
      <c r="H576">
        <v>250</v>
      </c>
      <c r="I576">
        <v>153</v>
      </c>
      <c r="J576">
        <v>14</v>
      </c>
      <c r="K576">
        <v>14</v>
      </c>
      <c r="L576">
        <v>4</v>
      </c>
      <c r="M576">
        <v>7</v>
      </c>
      <c r="N576">
        <v>10</v>
      </c>
      <c r="O576">
        <v>5</v>
      </c>
      <c r="P576">
        <v>5</v>
      </c>
      <c r="Q576">
        <v>0</v>
      </c>
      <c r="R576">
        <v>0</v>
      </c>
      <c r="S576">
        <v>0</v>
      </c>
      <c r="T576">
        <v>0</v>
      </c>
      <c r="U576">
        <v>0</v>
      </c>
      <c r="V576">
        <f>IF(SUM(ifood_data[[#This Row],[AcceptedCmp1]:[AcceptedCmp5]])&gt;0,1,0)</f>
        <v>0</v>
      </c>
      <c r="W576">
        <v>0</v>
      </c>
      <c r="X576">
        <v>3</v>
      </c>
      <c r="Y576">
        <v>11</v>
      </c>
      <c r="Z576">
        <v>0</v>
      </c>
      <c r="AA576">
        <v>66</v>
      </c>
      <c r="AB576">
        <v>2655</v>
      </c>
      <c r="AC576" s="28">
        <f>ifood_data[[#This Row],[Customer_Days]]/365</f>
        <v>7.2739726027397262</v>
      </c>
      <c r="AD576">
        <v>1</v>
      </c>
      <c r="AE576">
        <v>0</v>
      </c>
      <c r="AF576">
        <v>0</v>
      </c>
      <c r="AG576">
        <v>0</v>
      </c>
      <c r="AH576">
        <v>0</v>
      </c>
      <c r="AI576">
        <v>0</v>
      </c>
      <c r="AJ576">
        <v>0</v>
      </c>
      <c r="AK576">
        <v>1</v>
      </c>
      <c r="AL576">
        <v>0</v>
      </c>
      <c r="AM576">
        <v>0</v>
      </c>
      <c r="AN576">
        <v>1490</v>
      </c>
      <c r="AO576">
        <v>1476</v>
      </c>
      <c r="AP576">
        <f>ifood_data[[#This Row],[MntTotal]]-ifood_data[[#This Row],[MntRegularProds]]</f>
        <v>14</v>
      </c>
      <c r="AQ576">
        <v>0</v>
      </c>
      <c r="AR576">
        <f>IF(SUM(ifood_data[[#This Row],[Kidhome]:[Teenhome]])&gt;0,1,0)</f>
        <v>1</v>
      </c>
      <c r="AS576" t="str">
        <f>IF(SUM(ifood_data[[#This Row],[Kidhome]:[Teenhome]])&gt;0,"Has Family","No Family")</f>
        <v>Has Family</v>
      </c>
      <c r="AT576" t="str">
        <f>IF(ifood_data[[#This Row],[marital_Married]]=1,"Married", (IF(ifood_data[[#This Row],[marital_Single]]=1,"Single",(IF(ifood_data[[#This Row],[marital_Divorced]]=1,"Divorced",(IF(ifood_data[[#This Row],[marital_Together]]=1,"Living Together",(IF(ifood_data[[#This Row],[marital_Widow]]=1,"Widow","Other")))))))))</f>
        <v>Divorced</v>
      </c>
      <c r="AU576" t="str">
        <f>IF(ifood_data[[#This Row],[education_Basic]]=1,"High School",(IF(ifood_data[[#This Row],[education_Graduation]]=1,"Undergraduate Degree",(IF(SUM(AM576,AL576,AI576)&gt;0,"Master's Degree or Higher","Other")))))</f>
        <v>Undergraduate Degree</v>
      </c>
      <c r="AV576" t="str">
        <f>IF(ifood_data[[#All],[Income]]&gt;75000,"75K+",(IF(ifood_data[[#All],[Income]]&gt;50000,"50K-75K",(IF(ifood_data[[#All],[Income]]&gt;35000,"35K-50K","&lt;35K")))))</f>
        <v>50K-75K</v>
      </c>
      <c r="AW576" t="str">
        <f>IF(ifood_data[[#All],[Age]]&gt;60,"60+",(IF(ifood_data[[#All],[Age]]&gt;50,"50-60",(IF(ifood_data[[#All],[Age]]&gt;40,"40-50",(IF(ifood_data[[#All],[Age]]&gt;30,"30-40","&lt;30")))))))</f>
        <v>60+</v>
      </c>
      <c r="AX576">
        <f t="shared" si="32"/>
        <v>31</v>
      </c>
      <c r="AY576">
        <f t="shared" si="33"/>
        <v>6</v>
      </c>
      <c r="AZ576">
        <f t="shared" si="34"/>
        <v>9</v>
      </c>
      <c r="BA576">
        <f t="shared" si="35"/>
        <v>9</v>
      </c>
      <c r="BB576">
        <f>SUM(ifood_data[[#This Row],[Recency Score]:[Monetary Score]])</f>
        <v>24</v>
      </c>
      <c r="BC576">
        <f>(_xlfn.PERCENTRANK.INC(ifood_data[[#All],[RFM]],ifood_data[[#This Row],[RFM]],1))*10</f>
        <v>9</v>
      </c>
      <c r="BD576" t="str">
        <f>VLOOKUP(ifood_data[[#This Row],[RFM Score]],'RFM Analysis'!$A$3:$B$14,2,FALSE)</f>
        <v>Top Customer</v>
      </c>
      <c r="BE576">
        <f>'Regression Models'!$B$101+'Regression Models'!$B$102*ifood_data[[#This Row],[Income]]+'Regression Models'!$B$103*ifood_data[[#This Row],[Age]]+'Regression Models'!$B$104*ifood_data[[#This Row],[Family]]</f>
        <v>829.47700931674979</v>
      </c>
      <c r="BF576" t="str">
        <f>IF(ifood_data[[#This Row],[AcceptedCmpOverall]]=1,"Campaign Respondent","Non-respondent")</f>
        <v>Non-respondent</v>
      </c>
    </row>
    <row r="577" spans="1:58" x14ac:dyDescent="0.35">
      <c r="A577">
        <v>1823</v>
      </c>
      <c r="B577">
        <v>67506</v>
      </c>
      <c r="C577">
        <v>0</v>
      </c>
      <c r="D577">
        <v>1</v>
      </c>
      <c r="E577">
        <v>73</v>
      </c>
      <c r="F577">
        <v>90</v>
      </c>
      <c r="G577">
        <v>38</v>
      </c>
      <c r="H577">
        <v>67</v>
      </c>
      <c r="I577">
        <v>33</v>
      </c>
      <c r="J577">
        <v>36</v>
      </c>
      <c r="K577">
        <v>67</v>
      </c>
      <c r="L577">
        <v>1</v>
      </c>
      <c r="M577">
        <v>4</v>
      </c>
      <c r="N577">
        <v>1</v>
      </c>
      <c r="O577">
        <v>6</v>
      </c>
      <c r="P577">
        <v>3</v>
      </c>
      <c r="Q577">
        <v>0</v>
      </c>
      <c r="R577">
        <v>0</v>
      </c>
      <c r="S577">
        <v>0</v>
      </c>
      <c r="T577">
        <v>0</v>
      </c>
      <c r="U577">
        <v>0</v>
      </c>
      <c r="V577">
        <f>IF(SUM(ifood_data[[#This Row],[AcceptedCmp1]:[AcceptedCmp5]])&gt;0,1,0)</f>
        <v>0</v>
      </c>
      <c r="W577">
        <v>0</v>
      </c>
      <c r="X577">
        <v>3</v>
      </c>
      <c r="Y577">
        <v>11</v>
      </c>
      <c r="Z577">
        <v>0</v>
      </c>
      <c r="AA577">
        <v>40</v>
      </c>
      <c r="AB577">
        <v>2337</v>
      </c>
      <c r="AC577" s="28">
        <f>ifood_data[[#This Row],[Customer_Days]]/365</f>
        <v>6.4027397260273968</v>
      </c>
      <c r="AD577">
        <v>0</v>
      </c>
      <c r="AE577">
        <v>0</v>
      </c>
      <c r="AF577">
        <v>1</v>
      </c>
      <c r="AG577">
        <v>0</v>
      </c>
      <c r="AH577">
        <v>0</v>
      </c>
      <c r="AI577">
        <v>1</v>
      </c>
      <c r="AJ577">
        <v>0</v>
      </c>
      <c r="AK577">
        <v>0</v>
      </c>
      <c r="AL577">
        <v>0</v>
      </c>
      <c r="AM577">
        <v>0</v>
      </c>
      <c r="AN577">
        <v>264</v>
      </c>
      <c r="AO577">
        <v>197</v>
      </c>
      <c r="AP577">
        <f>ifood_data[[#This Row],[MntTotal]]-ifood_data[[#This Row],[MntRegularProds]]</f>
        <v>67</v>
      </c>
      <c r="AQ577">
        <v>0</v>
      </c>
      <c r="AR577">
        <f>IF(SUM(ifood_data[[#This Row],[Kidhome]:[Teenhome]])&gt;0,1,0)</f>
        <v>1</v>
      </c>
      <c r="AS577" t="str">
        <f>IF(SUM(ifood_data[[#This Row],[Kidhome]:[Teenhome]])&gt;0,"Has Family","No Family")</f>
        <v>Has Family</v>
      </c>
      <c r="AT577" t="str">
        <f>IF(ifood_data[[#This Row],[marital_Married]]=1,"Married", (IF(ifood_data[[#This Row],[marital_Single]]=1,"Single",(IF(ifood_data[[#This Row],[marital_Divorced]]=1,"Divorced",(IF(ifood_data[[#This Row],[marital_Together]]=1,"Living Together",(IF(ifood_data[[#This Row],[marital_Widow]]=1,"Widow","Other")))))))))</f>
        <v>Single</v>
      </c>
      <c r="AU577" t="str">
        <f>IF(ifood_data[[#This Row],[education_Basic]]=1,"High School",(IF(ifood_data[[#This Row],[education_Graduation]]=1,"Undergraduate Degree",(IF(SUM(AM577,AL577,AI577)&gt;0,"Master's Degree or Higher","Other")))))</f>
        <v>Master's Degree or Higher</v>
      </c>
      <c r="AV577" t="str">
        <f>IF(ifood_data[[#All],[Income]]&gt;75000,"75K+",(IF(ifood_data[[#All],[Income]]&gt;50000,"50K-75K",(IF(ifood_data[[#All],[Income]]&gt;35000,"35K-50K","&lt;35K")))))</f>
        <v>50K-75K</v>
      </c>
      <c r="AW577" t="str">
        <f>IF(ifood_data[[#All],[Age]]&gt;60,"60+",(IF(ifood_data[[#All],[Age]]&gt;50,"50-60",(IF(ifood_data[[#All],[Age]]&gt;40,"40-50",(IF(ifood_data[[#All],[Age]]&gt;30,"30-40","&lt;30")))))))</f>
        <v>30-40</v>
      </c>
      <c r="AX577">
        <f t="shared" si="32"/>
        <v>15</v>
      </c>
      <c r="AY577">
        <f t="shared" si="33"/>
        <v>3.0000000000000004</v>
      </c>
      <c r="AZ577">
        <f t="shared" si="34"/>
        <v>2</v>
      </c>
      <c r="BA577">
        <f t="shared" si="35"/>
        <v>4</v>
      </c>
      <c r="BB577">
        <f>SUM(ifood_data[[#This Row],[Recency Score]:[Monetary Score]])</f>
        <v>9</v>
      </c>
      <c r="BC577">
        <f>(_xlfn.PERCENTRANK.INC(ifood_data[[#All],[RFM]],ifood_data[[#This Row],[RFM]],1))*10</f>
        <v>1</v>
      </c>
      <c r="BD577" t="str">
        <f>VLOOKUP(ifood_data[[#This Row],[RFM Score]],'RFM Analysis'!$A$3:$B$14,2,FALSE)</f>
        <v>At Risk</v>
      </c>
      <c r="BE577">
        <f>'Regression Models'!$B$101+'Regression Models'!$B$102*ifood_data[[#This Row],[Income]]+'Regression Models'!$B$103*ifood_data[[#This Row],[Age]]+'Regression Models'!$B$104*ifood_data[[#This Row],[Family]]</f>
        <v>825.4777318187854</v>
      </c>
      <c r="BF577" t="str">
        <f>IF(ifood_data[[#This Row],[AcceptedCmpOverall]]=1,"Campaign Respondent","Non-respondent")</f>
        <v>Non-respondent</v>
      </c>
    </row>
    <row r="578" spans="1:58" x14ac:dyDescent="0.35">
      <c r="A578">
        <v>898</v>
      </c>
      <c r="B578">
        <v>67893</v>
      </c>
      <c r="C578">
        <v>0</v>
      </c>
      <c r="D578">
        <v>1</v>
      </c>
      <c r="E578">
        <v>31</v>
      </c>
      <c r="F578">
        <v>711</v>
      </c>
      <c r="G578">
        <v>28</v>
      </c>
      <c r="H578">
        <v>142</v>
      </c>
      <c r="I578">
        <v>49</v>
      </c>
      <c r="J578">
        <v>18</v>
      </c>
      <c r="K578">
        <v>47</v>
      </c>
      <c r="L578">
        <v>2</v>
      </c>
      <c r="M578">
        <v>3</v>
      </c>
      <c r="N578">
        <v>2</v>
      </c>
      <c r="O578">
        <v>9</v>
      </c>
      <c r="P578">
        <v>8</v>
      </c>
      <c r="Q578">
        <v>0</v>
      </c>
      <c r="R578">
        <v>0</v>
      </c>
      <c r="S578">
        <v>0</v>
      </c>
      <c r="T578">
        <v>0</v>
      </c>
      <c r="U578">
        <v>0</v>
      </c>
      <c r="V578">
        <f>IF(SUM(ifood_data[[#This Row],[AcceptedCmp1]:[AcceptedCmp5]])&gt;0,1,0)</f>
        <v>0</v>
      </c>
      <c r="W578">
        <v>0</v>
      </c>
      <c r="X578">
        <v>3</v>
      </c>
      <c r="Y578">
        <v>11</v>
      </c>
      <c r="Z578">
        <v>0</v>
      </c>
      <c r="AA578">
        <v>45</v>
      </c>
      <c r="AB578">
        <v>2795</v>
      </c>
      <c r="AC578" s="28">
        <f>ifood_data[[#This Row],[Customer_Days]]/365</f>
        <v>7.6575342465753424</v>
      </c>
      <c r="AD578">
        <v>1</v>
      </c>
      <c r="AE578">
        <v>0</v>
      </c>
      <c r="AF578">
        <v>0</v>
      </c>
      <c r="AG578">
        <v>0</v>
      </c>
      <c r="AH578">
        <v>0</v>
      </c>
      <c r="AI578">
        <v>1</v>
      </c>
      <c r="AJ578">
        <v>0</v>
      </c>
      <c r="AK578">
        <v>0</v>
      </c>
      <c r="AL578">
        <v>0</v>
      </c>
      <c r="AM578">
        <v>0</v>
      </c>
      <c r="AN578">
        <v>948</v>
      </c>
      <c r="AO578">
        <v>901</v>
      </c>
      <c r="AP578">
        <f>ifood_data[[#This Row],[MntTotal]]-ifood_data[[#This Row],[MntRegularProds]]</f>
        <v>47</v>
      </c>
      <c r="AQ578">
        <v>0</v>
      </c>
      <c r="AR578">
        <f>IF(SUM(ifood_data[[#This Row],[Kidhome]:[Teenhome]])&gt;0,1,0)</f>
        <v>1</v>
      </c>
      <c r="AS578" t="str">
        <f>IF(SUM(ifood_data[[#This Row],[Kidhome]:[Teenhome]])&gt;0,"Has Family","No Family")</f>
        <v>Has Family</v>
      </c>
      <c r="AT578" t="str">
        <f>IF(ifood_data[[#This Row],[marital_Married]]=1,"Married", (IF(ifood_data[[#This Row],[marital_Single]]=1,"Single",(IF(ifood_data[[#This Row],[marital_Divorced]]=1,"Divorced",(IF(ifood_data[[#This Row],[marital_Together]]=1,"Living Together",(IF(ifood_data[[#This Row],[marital_Widow]]=1,"Widow","Other")))))))))</f>
        <v>Divorced</v>
      </c>
      <c r="AU578" t="str">
        <f>IF(ifood_data[[#This Row],[education_Basic]]=1,"High School",(IF(ifood_data[[#This Row],[education_Graduation]]=1,"Undergraduate Degree",(IF(SUM(AM578,AL578,AI578)&gt;0,"Master's Degree or Higher","Other")))))</f>
        <v>Master's Degree or Higher</v>
      </c>
      <c r="AV578" t="str">
        <f>IF(ifood_data[[#All],[Income]]&gt;75000,"75K+",(IF(ifood_data[[#All],[Income]]&gt;50000,"50K-75K",(IF(ifood_data[[#All],[Income]]&gt;35000,"35K-50K","&lt;35K")))))</f>
        <v>50K-75K</v>
      </c>
      <c r="AW578" t="str">
        <f>IF(ifood_data[[#All],[Age]]&gt;60,"60+",(IF(ifood_data[[#All],[Age]]&gt;50,"50-60",(IF(ifood_data[[#All],[Age]]&gt;40,"40-50",(IF(ifood_data[[#All],[Age]]&gt;30,"30-40","&lt;30")))))))</f>
        <v>40-50</v>
      </c>
      <c r="AX578">
        <f t="shared" ref="AX578:AX641" si="36">SUM(L578:P578)</f>
        <v>24</v>
      </c>
      <c r="AY578">
        <f t="shared" ref="AY578:AY641" si="37">(1-_xlfn.PERCENTRANK.INC($E$2:$E$2022,E578,1))*10</f>
        <v>7</v>
      </c>
      <c r="AZ578">
        <f t="shared" ref="AZ578:AZ641" si="38">_xlfn.PERCENTRANK.INC($AX$2:$AX$2022,AX578,1)*10</f>
        <v>6</v>
      </c>
      <c r="BA578">
        <f t="shared" ref="BA578:BA641" si="39">_xlfn.PERCENTRANK.INC($AN$2:$AN$2022,AN578,1)*10</f>
        <v>7</v>
      </c>
      <c r="BB578">
        <f>SUM(ifood_data[[#This Row],[Recency Score]:[Monetary Score]])</f>
        <v>20</v>
      </c>
      <c r="BC578">
        <f>(_xlfn.PERCENTRANK.INC(ifood_data[[#All],[RFM]],ifood_data[[#This Row],[RFM]],1))*10</f>
        <v>7</v>
      </c>
      <c r="BD578" t="str">
        <f>VLOOKUP(ifood_data[[#This Row],[RFM Score]],'RFM Analysis'!$A$3:$B$14,2,FALSE)</f>
        <v>Loyal Customer</v>
      </c>
      <c r="BE578">
        <f>'Regression Models'!$B$101+'Regression Models'!$B$102*ifood_data[[#This Row],[Income]]+'Regression Models'!$B$103*ifood_data[[#This Row],[Age]]+'Regression Models'!$B$104*ifood_data[[#This Row],[Family]]</f>
        <v>824.18598969600328</v>
      </c>
      <c r="BF578" t="str">
        <f>IF(ifood_data[[#This Row],[AcceptedCmpOverall]]=1,"Campaign Respondent","Non-respondent")</f>
        <v>Non-respondent</v>
      </c>
    </row>
    <row r="579" spans="1:58" x14ac:dyDescent="0.35">
      <c r="A579">
        <v>961</v>
      </c>
      <c r="B579">
        <v>54165</v>
      </c>
      <c r="C579">
        <v>0</v>
      </c>
      <c r="D579">
        <v>0</v>
      </c>
      <c r="E579">
        <v>72</v>
      </c>
      <c r="F579">
        <v>127</v>
      </c>
      <c r="G579">
        <v>4</v>
      </c>
      <c r="H579">
        <v>73</v>
      </c>
      <c r="I579">
        <v>15</v>
      </c>
      <c r="J579">
        <v>6</v>
      </c>
      <c r="K579">
        <v>11</v>
      </c>
      <c r="L579">
        <v>1</v>
      </c>
      <c r="M579">
        <v>2</v>
      </c>
      <c r="N579">
        <v>1</v>
      </c>
      <c r="O579">
        <v>7</v>
      </c>
      <c r="P579">
        <v>2</v>
      </c>
      <c r="Q579">
        <v>0</v>
      </c>
      <c r="R579">
        <v>0</v>
      </c>
      <c r="S579">
        <v>0</v>
      </c>
      <c r="T579">
        <v>0</v>
      </c>
      <c r="U579">
        <v>0</v>
      </c>
      <c r="V579">
        <f>IF(SUM(ifood_data[[#This Row],[AcceptedCmp1]:[AcceptedCmp5]])&gt;0,1,0)</f>
        <v>0</v>
      </c>
      <c r="W579">
        <v>0</v>
      </c>
      <c r="X579">
        <v>3</v>
      </c>
      <c r="Y579">
        <v>11</v>
      </c>
      <c r="Z579">
        <v>0</v>
      </c>
      <c r="AA579">
        <v>51</v>
      </c>
      <c r="AB579">
        <v>2556</v>
      </c>
      <c r="AC579" s="28">
        <f>ifood_data[[#This Row],[Customer_Days]]/365</f>
        <v>7.0027397260273974</v>
      </c>
      <c r="AD579">
        <v>0</v>
      </c>
      <c r="AE579">
        <v>0</v>
      </c>
      <c r="AF579">
        <v>0</v>
      </c>
      <c r="AG579">
        <v>1</v>
      </c>
      <c r="AH579">
        <v>0</v>
      </c>
      <c r="AI579">
        <v>0</v>
      </c>
      <c r="AJ579">
        <v>0</v>
      </c>
      <c r="AK579">
        <v>1</v>
      </c>
      <c r="AL579">
        <v>0</v>
      </c>
      <c r="AM579">
        <v>0</v>
      </c>
      <c r="AN579">
        <v>225</v>
      </c>
      <c r="AO579">
        <v>214</v>
      </c>
      <c r="AP579">
        <f>ifood_data[[#This Row],[MntTotal]]-ifood_data[[#This Row],[MntRegularProds]]</f>
        <v>11</v>
      </c>
      <c r="AQ579">
        <v>0</v>
      </c>
      <c r="AR579">
        <f>IF(SUM(ifood_data[[#This Row],[Kidhome]:[Teenhome]])&gt;0,1,0)</f>
        <v>0</v>
      </c>
      <c r="AS579" t="str">
        <f>IF(SUM(ifood_data[[#This Row],[Kidhome]:[Teenhome]])&gt;0,"Has Family","No Family")</f>
        <v>No Family</v>
      </c>
      <c r="AT579" t="str">
        <f>IF(ifood_data[[#This Row],[marital_Married]]=1,"Married", (IF(ifood_data[[#This Row],[marital_Single]]=1,"Single",(IF(ifood_data[[#This Row],[marital_Divorced]]=1,"Divorced",(IF(ifood_data[[#This Row],[marital_Together]]=1,"Living Together",(IF(ifood_data[[#This Row],[marital_Widow]]=1,"Widow","Other")))))))))</f>
        <v>Living Together</v>
      </c>
      <c r="AU579" t="str">
        <f>IF(ifood_data[[#This Row],[education_Basic]]=1,"High School",(IF(ifood_data[[#This Row],[education_Graduation]]=1,"Undergraduate Degree",(IF(SUM(AM579,AL579,AI579)&gt;0,"Master's Degree or Higher","Other")))))</f>
        <v>Undergraduate Degree</v>
      </c>
      <c r="AV579" t="str">
        <f>IF(ifood_data[[#All],[Income]]&gt;75000,"75K+",(IF(ifood_data[[#All],[Income]]&gt;50000,"50K-75K",(IF(ifood_data[[#All],[Income]]&gt;35000,"35K-50K","&lt;35K")))))</f>
        <v>50K-75K</v>
      </c>
      <c r="AW579" t="str">
        <f>IF(ifood_data[[#All],[Age]]&gt;60,"60+",(IF(ifood_data[[#All],[Age]]&gt;50,"50-60",(IF(ifood_data[[#All],[Age]]&gt;40,"40-50",(IF(ifood_data[[#All],[Age]]&gt;30,"30-40","&lt;30")))))))</f>
        <v>50-60</v>
      </c>
      <c r="AX579">
        <f t="shared" si="36"/>
        <v>13</v>
      </c>
      <c r="AY579">
        <f t="shared" si="37"/>
        <v>3.0000000000000004</v>
      </c>
      <c r="AZ579">
        <f t="shared" si="38"/>
        <v>1</v>
      </c>
      <c r="BA579">
        <f t="shared" si="39"/>
        <v>4</v>
      </c>
      <c r="BB579">
        <f>SUM(ifood_data[[#This Row],[Recency Score]:[Monetary Score]])</f>
        <v>8</v>
      </c>
      <c r="BC579">
        <f>(_xlfn.PERCENTRANK.INC(ifood_data[[#All],[RFM]],ifood_data[[#This Row],[RFM]],1))*10</f>
        <v>1</v>
      </c>
      <c r="BD579" t="str">
        <f>VLOOKUP(ifood_data[[#This Row],[RFM Score]],'RFM Analysis'!$A$3:$B$14,2,FALSE)</f>
        <v>At Risk</v>
      </c>
      <c r="BE579">
        <f>'Regression Models'!$B$101+'Regression Models'!$B$102*ifood_data[[#This Row],[Income]]+'Regression Models'!$B$103*ifood_data[[#This Row],[Age]]+'Regression Models'!$B$104*ifood_data[[#This Row],[Family]]</f>
        <v>822.88397721620868</v>
      </c>
      <c r="BF579" t="str">
        <f>IF(ifood_data[[#This Row],[AcceptedCmpOverall]]=1,"Campaign Respondent","Non-respondent")</f>
        <v>Non-respondent</v>
      </c>
    </row>
    <row r="580" spans="1:58" x14ac:dyDescent="0.35">
      <c r="A580">
        <v>1920</v>
      </c>
      <c r="B580">
        <v>69805</v>
      </c>
      <c r="C580">
        <v>0</v>
      </c>
      <c r="D580">
        <v>1</v>
      </c>
      <c r="E580">
        <v>50</v>
      </c>
      <c r="F580">
        <v>750</v>
      </c>
      <c r="G580">
        <v>71</v>
      </c>
      <c r="H580">
        <v>174</v>
      </c>
      <c r="I580">
        <v>13</v>
      </c>
      <c r="J580">
        <v>10</v>
      </c>
      <c r="K580">
        <v>20</v>
      </c>
      <c r="L580">
        <v>2</v>
      </c>
      <c r="M580">
        <v>6</v>
      </c>
      <c r="N580">
        <v>8</v>
      </c>
      <c r="O580">
        <v>11</v>
      </c>
      <c r="P580">
        <v>2</v>
      </c>
      <c r="Q580">
        <v>0</v>
      </c>
      <c r="R580">
        <v>0</v>
      </c>
      <c r="S580">
        <v>0</v>
      </c>
      <c r="T580">
        <v>0</v>
      </c>
      <c r="U580">
        <v>0</v>
      </c>
      <c r="V580">
        <f>IF(SUM(ifood_data[[#This Row],[AcceptedCmp1]:[AcceptedCmp5]])&gt;0,1,0)</f>
        <v>0</v>
      </c>
      <c r="W580">
        <v>0</v>
      </c>
      <c r="X580">
        <v>3</v>
      </c>
      <c r="Y580">
        <v>11</v>
      </c>
      <c r="Z580">
        <v>0</v>
      </c>
      <c r="AA580">
        <v>68</v>
      </c>
      <c r="AB580">
        <v>2318</v>
      </c>
      <c r="AC580" s="28">
        <f>ifood_data[[#This Row],[Customer_Days]]/365</f>
        <v>6.3506849315068497</v>
      </c>
      <c r="AD580">
        <v>0</v>
      </c>
      <c r="AE580">
        <v>0</v>
      </c>
      <c r="AF580">
        <v>0</v>
      </c>
      <c r="AG580">
        <v>1</v>
      </c>
      <c r="AH580">
        <v>0</v>
      </c>
      <c r="AI580">
        <v>0</v>
      </c>
      <c r="AJ580">
        <v>0</v>
      </c>
      <c r="AK580">
        <v>0</v>
      </c>
      <c r="AL580">
        <v>0</v>
      </c>
      <c r="AM580">
        <v>1</v>
      </c>
      <c r="AN580">
        <v>1018</v>
      </c>
      <c r="AO580">
        <v>998</v>
      </c>
      <c r="AP580">
        <f>ifood_data[[#This Row],[MntTotal]]-ifood_data[[#This Row],[MntRegularProds]]</f>
        <v>20</v>
      </c>
      <c r="AQ580">
        <v>0</v>
      </c>
      <c r="AR580">
        <f>IF(SUM(ifood_data[[#This Row],[Kidhome]:[Teenhome]])&gt;0,1,0)</f>
        <v>1</v>
      </c>
      <c r="AS580" t="str">
        <f>IF(SUM(ifood_data[[#This Row],[Kidhome]:[Teenhome]])&gt;0,"Has Family","No Family")</f>
        <v>Has Family</v>
      </c>
      <c r="AT580" t="str">
        <f>IF(ifood_data[[#This Row],[marital_Married]]=1,"Married", (IF(ifood_data[[#This Row],[marital_Single]]=1,"Single",(IF(ifood_data[[#This Row],[marital_Divorced]]=1,"Divorced",(IF(ifood_data[[#This Row],[marital_Together]]=1,"Living Together",(IF(ifood_data[[#This Row],[marital_Widow]]=1,"Widow","Other")))))))))</f>
        <v>Living Together</v>
      </c>
      <c r="AU580" t="str">
        <f>IF(ifood_data[[#This Row],[education_Basic]]=1,"High School",(IF(ifood_data[[#This Row],[education_Graduation]]=1,"Undergraduate Degree",(IF(SUM(AM580,AL580,AI580)&gt;0,"Master's Degree or Higher","Other")))))</f>
        <v>Master's Degree or Higher</v>
      </c>
      <c r="AV580" t="str">
        <f>IF(ifood_data[[#All],[Income]]&gt;75000,"75K+",(IF(ifood_data[[#All],[Income]]&gt;50000,"50K-75K",(IF(ifood_data[[#All],[Income]]&gt;35000,"35K-50K","&lt;35K")))))</f>
        <v>50K-75K</v>
      </c>
      <c r="AW580" t="str">
        <f>IF(ifood_data[[#All],[Age]]&gt;60,"60+",(IF(ifood_data[[#All],[Age]]&gt;50,"50-60",(IF(ifood_data[[#All],[Age]]&gt;40,"40-50",(IF(ifood_data[[#All],[Age]]&gt;30,"30-40","&lt;30")))))))</f>
        <v>60+</v>
      </c>
      <c r="AX580">
        <f t="shared" si="36"/>
        <v>29</v>
      </c>
      <c r="AY580">
        <f t="shared" si="37"/>
        <v>5</v>
      </c>
      <c r="AZ580">
        <f t="shared" si="38"/>
        <v>8</v>
      </c>
      <c r="BA580">
        <f t="shared" si="39"/>
        <v>7</v>
      </c>
      <c r="BB580">
        <f>SUM(ifood_data[[#This Row],[Recency Score]:[Monetary Score]])</f>
        <v>20</v>
      </c>
      <c r="BC580">
        <f>(_xlfn.PERCENTRANK.INC(ifood_data[[#All],[RFM]],ifood_data[[#This Row],[RFM]],1))*10</f>
        <v>7</v>
      </c>
      <c r="BD580" t="str">
        <f>VLOOKUP(ifood_data[[#This Row],[RFM Score]],'RFM Analysis'!$A$3:$B$14,2,FALSE)</f>
        <v>Loyal Customer</v>
      </c>
      <c r="BE580">
        <f>'Regression Models'!$B$101+'Regression Models'!$B$102*ifood_data[[#This Row],[Income]]+'Regression Models'!$B$103*ifood_data[[#This Row],[Age]]+'Regression Models'!$B$104*ifood_data[[#This Row],[Family]]</f>
        <v>820.93121557256916</v>
      </c>
      <c r="BF580" t="str">
        <f>IF(ifood_data[[#This Row],[AcceptedCmpOverall]]=1,"Campaign Respondent","Non-respondent")</f>
        <v>Non-respondent</v>
      </c>
    </row>
    <row r="581" spans="1:58" x14ac:dyDescent="0.35">
      <c r="A581">
        <v>64</v>
      </c>
      <c r="B581">
        <v>69096</v>
      </c>
      <c r="C581">
        <v>0</v>
      </c>
      <c r="D581">
        <v>1</v>
      </c>
      <c r="E581">
        <v>4</v>
      </c>
      <c r="F581">
        <v>247</v>
      </c>
      <c r="G581">
        <v>49</v>
      </c>
      <c r="H581">
        <v>159</v>
      </c>
      <c r="I581">
        <v>7</v>
      </c>
      <c r="J581">
        <v>82</v>
      </c>
      <c r="K581">
        <v>109</v>
      </c>
      <c r="L581">
        <v>1</v>
      </c>
      <c r="M581">
        <v>5</v>
      </c>
      <c r="N581">
        <v>2</v>
      </c>
      <c r="O581">
        <v>10</v>
      </c>
      <c r="P581">
        <v>4</v>
      </c>
      <c r="Q581">
        <v>0</v>
      </c>
      <c r="R581">
        <v>0</v>
      </c>
      <c r="S581">
        <v>0</v>
      </c>
      <c r="T581">
        <v>0</v>
      </c>
      <c r="U581">
        <v>0</v>
      </c>
      <c r="V581">
        <f>IF(SUM(ifood_data[[#This Row],[AcceptedCmp1]:[AcceptedCmp5]])&gt;0,1,0)</f>
        <v>0</v>
      </c>
      <c r="W581">
        <v>0</v>
      </c>
      <c r="X581">
        <v>3</v>
      </c>
      <c r="Y581">
        <v>11</v>
      </c>
      <c r="Z581">
        <v>0</v>
      </c>
      <c r="AA581">
        <v>62</v>
      </c>
      <c r="AB581">
        <v>2434</v>
      </c>
      <c r="AC581" s="28">
        <f>ifood_data[[#This Row],[Customer_Days]]/365</f>
        <v>6.6684931506849319</v>
      </c>
      <c r="AD581">
        <v>0</v>
      </c>
      <c r="AE581">
        <v>0</v>
      </c>
      <c r="AF581">
        <v>0</v>
      </c>
      <c r="AG581">
        <v>1</v>
      </c>
      <c r="AH581">
        <v>0</v>
      </c>
      <c r="AI581">
        <v>0</v>
      </c>
      <c r="AJ581">
        <v>0</v>
      </c>
      <c r="AK581">
        <v>1</v>
      </c>
      <c r="AL581">
        <v>0</v>
      </c>
      <c r="AM581">
        <v>0</v>
      </c>
      <c r="AN581">
        <v>544</v>
      </c>
      <c r="AO581">
        <v>435</v>
      </c>
      <c r="AP581">
        <f>ifood_data[[#This Row],[MntTotal]]-ifood_data[[#This Row],[MntRegularProds]]</f>
        <v>109</v>
      </c>
      <c r="AQ581">
        <v>0</v>
      </c>
      <c r="AR581">
        <f>IF(SUM(ifood_data[[#This Row],[Kidhome]:[Teenhome]])&gt;0,1,0)</f>
        <v>1</v>
      </c>
      <c r="AS581" t="str">
        <f>IF(SUM(ifood_data[[#This Row],[Kidhome]:[Teenhome]])&gt;0,"Has Family","No Family")</f>
        <v>Has Family</v>
      </c>
      <c r="AT581" t="str">
        <f>IF(ifood_data[[#This Row],[marital_Married]]=1,"Married", (IF(ifood_data[[#This Row],[marital_Single]]=1,"Single",(IF(ifood_data[[#This Row],[marital_Divorced]]=1,"Divorced",(IF(ifood_data[[#This Row],[marital_Together]]=1,"Living Together",(IF(ifood_data[[#This Row],[marital_Widow]]=1,"Widow","Other")))))))))</f>
        <v>Living Together</v>
      </c>
      <c r="AU581" t="str">
        <f>IF(ifood_data[[#This Row],[education_Basic]]=1,"High School",(IF(ifood_data[[#This Row],[education_Graduation]]=1,"Undergraduate Degree",(IF(SUM(AM581,AL581,AI581)&gt;0,"Master's Degree or Higher","Other")))))</f>
        <v>Undergraduate Degree</v>
      </c>
      <c r="AV581" t="str">
        <f>IF(ifood_data[[#All],[Income]]&gt;75000,"75K+",(IF(ifood_data[[#All],[Income]]&gt;50000,"50K-75K",(IF(ifood_data[[#All],[Income]]&gt;35000,"35K-50K","&lt;35K")))))</f>
        <v>50K-75K</v>
      </c>
      <c r="AW581" t="str">
        <f>IF(ifood_data[[#All],[Age]]&gt;60,"60+",(IF(ifood_data[[#All],[Age]]&gt;50,"50-60",(IF(ifood_data[[#All],[Age]]&gt;40,"40-50",(IF(ifood_data[[#All],[Age]]&gt;30,"30-40","&lt;30")))))))</f>
        <v>60+</v>
      </c>
      <c r="AX581">
        <f t="shared" si="36"/>
        <v>22</v>
      </c>
      <c r="AY581">
        <f t="shared" si="37"/>
        <v>10</v>
      </c>
      <c r="AZ581">
        <f t="shared" si="38"/>
        <v>5</v>
      </c>
      <c r="BA581">
        <f t="shared" si="39"/>
        <v>5</v>
      </c>
      <c r="BB581">
        <f>SUM(ifood_data[[#This Row],[Recency Score]:[Monetary Score]])</f>
        <v>20</v>
      </c>
      <c r="BC581">
        <f>(_xlfn.PERCENTRANK.INC(ifood_data[[#All],[RFM]],ifood_data[[#This Row],[RFM]],1))*10</f>
        <v>7</v>
      </c>
      <c r="BD581" t="str">
        <f>VLOOKUP(ifood_data[[#This Row],[RFM Score]],'RFM Analysis'!$A$3:$B$14,2,FALSE)</f>
        <v>Loyal Customer</v>
      </c>
      <c r="BE581">
        <f>'Regression Models'!$B$101+'Regression Models'!$B$102*ifood_data[[#This Row],[Income]]+'Regression Models'!$B$103*ifood_data[[#This Row],[Age]]+'Regression Models'!$B$104*ifood_data[[#This Row],[Family]]</f>
        <v>817.49421343191068</v>
      </c>
      <c r="BF581" t="str">
        <f>IF(ifood_data[[#This Row],[AcceptedCmpOverall]]=1,"Campaign Respondent","Non-respondent")</f>
        <v>Non-respondent</v>
      </c>
    </row>
    <row r="582" spans="1:58" x14ac:dyDescent="0.35">
      <c r="A582">
        <v>1717</v>
      </c>
      <c r="B582">
        <v>69702</v>
      </c>
      <c r="C582">
        <v>0</v>
      </c>
      <c r="D582">
        <v>1</v>
      </c>
      <c r="E582">
        <v>8</v>
      </c>
      <c r="F582">
        <v>664</v>
      </c>
      <c r="G582">
        <v>9</v>
      </c>
      <c r="H582">
        <v>240</v>
      </c>
      <c r="I582">
        <v>50</v>
      </c>
      <c r="J582">
        <v>19</v>
      </c>
      <c r="K582">
        <v>57</v>
      </c>
      <c r="L582">
        <v>2</v>
      </c>
      <c r="M582">
        <v>7</v>
      </c>
      <c r="N582">
        <v>7</v>
      </c>
      <c r="O582">
        <v>10</v>
      </c>
      <c r="P582">
        <v>4</v>
      </c>
      <c r="Q582">
        <v>0</v>
      </c>
      <c r="R582">
        <v>0</v>
      </c>
      <c r="S582">
        <v>0</v>
      </c>
      <c r="T582">
        <v>0</v>
      </c>
      <c r="U582">
        <v>0</v>
      </c>
      <c r="V582">
        <f>IF(SUM(ifood_data[[#This Row],[AcceptedCmp1]:[AcceptedCmp5]])&gt;0,1,0)</f>
        <v>0</v>
      </c>
      <c r="W582">
        <v>0</v>
      </c>
      <c r="X582">
        <v>3</v>
      </c>
      <c r="Y582">
        <v>11</v>
      </c>
      <c r="Z582">
        <v>0</v>
      </c>
      <c r="AA582">
        <v>69</v>
      </c>
      <c r="AB582">
        <v>2654</v>
      </c>
      <c r="AC582" s="28">
        <f>ifood_data[[#This Row],[Customer_Days]]/365</f>
        <v>7.2712328767123289</v>
      </c>
      <c r="AD582">
        <v>0</v>
      </c>
      <c r="AE582">
        <v>0</v>
      </c>
      <c r="AF582">
        <v>0</v>
      </c>
      <c r="AG582">
        <v>1</v>
      </c>
      <c r="AH582">
        <v>0</v>
      </c>
      <c r="AI582">
        <v>0</v>
      </c>
      <c r="AJ582">
        <v>0</v>
      </c>
      <c r="AK582">
        <v>0</v>
      </c>
      <c r="AL582">
        <v>0</v>
      </c>
      <c r="AM582">
        <v>1</v>
      </c>
      <c r="AN582">
        <v>982</v>
      </c>
      <c r="AO582">
        <v>925</v>
      </c>
      <c r="AP582">
        <f>ifood_data[[#This Row],[MntTotal]]-ifood_data[[#This Row],[MntRegularProds]]</f>
        <v>57</v>
      </c>
      <c r="AQ582">
        <v>0</v>
      </c>
      <c r="AR582">
        <f>IF(SUM(ifood_data[[#This Row],[Kidhome]:[Teenhome]])&gt;0,1,0)</f>
        <v>1</v>
      </c>
      <c r="AS582" t="str">
        <f>IF(SUM(ifood_data[[#This Row],[Kidhome]:[Teenhome]])&gt;0,"Has Family","No Family")</f>
        <v>Has Family</v>
      </c>
      <c r="AT582" t="str">
        <f>IF(ifood_data[[#This Row],[marital_Married]]=1,"Married", (IF(ifood_data[[#This Row],[marital_Single]]=1,"Single",(IF(ifood_data[[#This Row],[marital_Divorced]]=1,"Divorced",(IF(ifood_data[[#This Row],[marital_Together]]=1,"Living Together",(IF(ifood_data[[#This Row],[marital_Widow]]=1,"Widow","Other")))))))))</f>
        <v>Living Together</v>
      </c>
      <c r="AU582" t="str">
        <f>IF(ifood_data[[#This Row],[education_Basic]]=1,"High School",(IF(ifood_data[[#This Row],[education_Graduation]]=1,"Undergraduate Degree",(IF(SUM(AM582,AL582,AI582)&gt;0,"Master's Degree or Higher","Other")))))</f>
        <v>Master's Degree or Higher</v>
      </c>
      <c r="AV582" t="str">
        <f>IF(ifood_data[[#All],[Income]]&gt;75000,"75K+",(IF(ifood_data[[#All],[Income]]&gt;50000,"50K-75K",(IF(ifood_data[[#All],[Income]]&gt;35000,"35K-50K","&lt;35K")))))</f>
        <v>50K-75K</v>
      </c>
      <c r="AW582" t="str">
        <f>IF(ifood_data[[#All],[Age]]&gt;60,"60+",(IF(ifood_data[[#All],[Age]]&gt;50,"50-60",(IF(ifood_data[[#All],[Age]]&gt;40,"40-50",(IF(ifood_data[[#All],[Age]]&gt;30,"30-40","&lt;30")))))))</f>
        <v>60+</v>
      </c>
      <c r="AX582">
        <f t="shared" si="36"/>
        <v>30</v>
      </c>
      <c r="AY582">
        <f t="shared" si="37"/>
        <v>10</v>
      </c>
      <c r="AZ582">
        <f t="shared" si="38"/>
        <v>8</v>
      </c>
      <c r="BA582">
        <f t="shared" si="39"/>
        <v>7</v>
      </c>
      <c r="BB582">
        <f>SUM(ifood_data[[#This Row],[Recency Score]:[Monetary Score]])</f>
        <v>25</v>
      </c>
      <c r="BC582">
        <f>(_xlfn.PERCENTRANK.INC(ifood_data[[#All],[RFM]],ifood_data[[#This Row],[RFM]],1))*10</f>
        <v>9</v>
      </c>
      <c r="BD582" t="str">
        <f>VLOOKUP(ifood_data[[#This Row],[RFM Score]],'RFM Analysis'!$A$3:$B$14,2,FALSE)</f>
        <v>Top Customer</v>
      </c>
      <c r="BE582">
        <f>'Regression Models'!$B$101+'Regression Models'!$B$102*ifood_data[[#This Row],[Income]]+'Regression Models'!$B$103*ifood_data[[#This Row],[Age]]+'Regression Models'!$B$104*ifood_data[[#This Row],[Family]]</f>
        <v>816.99473337485313</v>
      </c>
      <c r="BF582" t="str">
        <f>IF(ifood_data[[#This Row],[AcceptedCmpOverall]]=1,"Campaign Respondent","Non-respondent")</f>
        <v>Non-respondent</v>
      </c>
    </row>
    <row r="583" spans="1:58" x14ac:dyDescent="0.35">
      <c r="A583">
        <v>2020</v>
      </c>
      <c r="B583">
        <v>69245</v>
      </c>
      <c r="C583">
        <v>0</v>
      </c>
      <c r="D583">
        <v>1</v>
      </c>
      <c r="E583">
        <v>8</v>
      </c>
      <c r="F583">
        <v>428</v>
      </c>
      <c r="G583">
        <v>30</v>
      </c>
      <c r="H583">
        <v>214</v>
      </c>
      <c r="I583">
        <v>80</v>
      </c>
      <c r="J583">
        <v>30</v>
      </c>
      <c r="K583">
        <v>61</v>
      </c>
      <c r="L583">
        <v>2</v>
      </c>
      <c r="M583">
        <v>6</v>
      </c>
      <c r="N583">
        <v>5</v>
      </c>
      <c r="O583">
        <v>10</v>
      </c>
      <c r="P583">
        <v>3</v>
      </c>
      <c r="Q583">
        <v>0</v>
      </c>
      <c r="R583">
        <v>0</v>
      </c>
      <c r="S583">
        <v>0</v>
      </c>
      <c r="T583">
        <v>0</v>
      </c>
      <c r="U583">
        <v>0</v>
      </c>
      <c r="V583">
        <f>IF(SUM(ifood_data[[#This Row],[AcceptedCmp1]:[AcceptedCmp5]])&gt;0,1,0)</f>
        <v>0</v>
      </c>
      <c r="W583">
        <v>0</v>
      </c>
      <c r="X583">
        <v>3</v>
      </c>
      <c r="Y583">
        <v>11</v>
      </c>
      <c r="Z583">
        <v>0</v>
      </c>
      <c r="AA583">
        <v>64</v>
      </c>
      <c r="AB583">
        <v>2315</v>
      </c>
      <c r="AC583" s="28">
        <f>ifood_data[[#This Row],[Customer_Days]]/365</f>
        <v>6.3424657534246576</v>
      </c>
      <c r="AD583">
        <v>0</v>
      </c>
      <c r="AE583">
        <v>0</v>
      </c>
      <c r="AF583">
        <v>0</v>
      </c>
      <c r="AG583">
        <v>1</v>
      </c>
      <c r="AH583">
        <v>0</v>
      </c>
      <c r="AI583">
        <v>0</v>
      </c>
      <c r="AJ583">
        <v>0</v>
      </c>
      <c r="AK583">
        <v>0</v>
      </c>
      <c r="AL583">
        <v>1</v>
      </c>
      <c r="AM583">
        <v>0</v>
      </c>
      <c r="AN583">
        <v>782</v>
      </c>
      <c r="AO583">
        <v>721</v>
      </c>
      <c r="AP583">
        <f>ifood_data[[#This Row],[MntTotal]]-ifood_data[[#This Row],[MntRegularProds]]</f>
        <v>61</v>
      </c>
      <c r="AQ583">
        <v>0</v>
      </c>
      <c r="AR583">
        <f>IF(SUM(ifood_data[[#This Row],[Kidhome]:[Teenhome]])&gt;0,1,0)</f>
        <v>1</v>
      </c>
      <c r="AS583" t="str">
        <f>IF(SUM(ifood_data[[#This Row],[Kidhome]:[Teenhome]])&gt;0,"Has Family","No Family")</f>
        <v>Has Family</v>
      </c>
      <c r="AT583" t="str">
        <f>IF(ifood_data[[#This Row],[marital_Married]]=1,"Married", (IF(ifood_data[[#This Row],[marital_Single]]=1,"Single",(IF(ifood_data[[#This Row],[marital_Divorced]]=1,"Divorced",(IF(ifood_data[[#This Row],[marital_Together]]=1,"Living Together",(IF(ifood_data[[#This Row],[marital_Widow]]=1,"Widow","Other")))))))))</f>
        <v>Living Together</v>
      </c>
      <c r="AU583" t="str">
        <f>IF(ifood_data[[#This Row],[education_Basic]]=1,"High School",(IF(ifood_data[[#This Row],[education_Graduation]]=1,"Undergraduate Degree",(IF(SUM(AM583,AL583,AI583)&gt;0,"Master's Degree or Higher","Other")))))</f>
        <v>Master's Degree or Higher</v>
      </c>
      <c r="AV583" t="str">
        <f>IF(ifood_data[[#All],[Income]]&gt;75000,"75K+",(IF(ifood_data[[#All],[Income]]&gt;50000,"50K-75K",(IF(ifood_data[[#All],[Income]]&gt;35000,"35K-50K","&lt;35K")))))</f>
        <v>50K-75K</v>
      </c>
      <c r="AW583" t="str">
        <f>IF(ifood_data[[#All],[Age]]&gt;60,"60+",(IF(ifood_data[[#All],[Age]]&gt;50,"50-60",(IF(ifood_data[[#All],[Age]]&gt;40,"40-50",(IF(ifood_data[[#All],[Age]]&gt;30,"30-40","&lt;30")))))))</f>
        <v>60+</v>
      </c>
      <c r="AX583">
        <f t="shared" si="36"/>
        <v>26</v>
      </c>
      <c r="AY583">
        <f t="shared" si="37"/>
        <v>10</v>
      </c>
      <c r="AZ583">
        <f t="shared" si="38"/>
        <v>7</v>
      </c>
      <c r="BA583">
        <f t="shared" si="39"/>
        <v>6</v>
      </c>
      <c r="BB583">
        <f>SUM(ifood_data[[#This Row],[Recency Score]:[Monetary Score]])</f>
        <v>23</v>
      </c>
      <c r="BC583">
        <f>(_xlfn.PERCENTRANK.INC(ifood_data[[#All],[RFM]],ifood_data[[#This Row],[RFM]],1))*10</f>
        <v>8</v>
      </c>
      <c r="BD583" t="str">
        <f>VLOOKUP(ifood_data[[#This Row],[RFM Score]],'RFM Analysis'!$A$3:$B$14,2,FALSE)</f>
        <v>Loyal Customer</v>
      </c>
      <c r="BE583">
        <f>'Regression Models'!$B$101+'Regression Models'!$B$102*ifood_data[[#This Row],[Income]]+'Regression Models'!$B$103*ifood_data[[#This Row],[Age]]+'Regression Models'!$B$104*ifood_data[[#This Row],[Family]]</f>
        <v>816.85926172756297</v>
      </c>
      <c r="BF583" t="str">
        <f>IF(ifood_data[[#This Row],[AcceptedCmpOverall]]=1,"Campaign Respondent","Non-respondent")</f>
        <v>Non-respondent</v>
      </c>
    </row>
    <row r="584" spans="1:58" x14ac:dyDescent="0.35">
      <c r="A584">
        <v>299</v>
      </c>
      <c r="B584">
        <v>66503</v>
      </c>
      <c r="C584">
        <v>1</v>
      </c>
      <c r="D584">
        <v>0</v>
      </c>
      <c r="E584">
        <v>30</v>
      </c>
      <c r="F584">
        <v>91</v>
      </c>
      <c r="G584">
        <v>64</v>
      </c>
      <c r="H584">
        <v>128</v>
      </c>
      <c r="I584">
        <v>65</v>
      </c>
      <c r="J584">
        <v>3</v>
      </c>
      <c r="K584">
        <v>50</v>
      </c>
      <c r="L584">
        <v>2</v>
      </c>
      <c r="M584">
        <v>4</v>
      </c>
      <c r="N584">
        <v>3</v>
      </c>
      <c r="O584">
        <v>6</v>
      </c>
      <c r="P584">
        <v>3</v>
      </c>
      <c r="Q584">
        <v>0</v>
      </c>
      <c r="R584">
        <v>0</v>
      </c>
      <c r="S584">
        <v>0</v>
      </c>
      <c r="T584">
        <v>0</v>
      </c>
      <c r="U584">
        <v>0</v>
      </c>
      <c r="V584">
        <f>IF(SUM(ifood_data[[#This Row],[AcceptedCmp1]:[AcceptedCmp5]])&gt;0,1,0)</f>
        <v>0</v>
      </c>
      <c r="W584">
        <v>0</v>
      </c>
      <c r="X584">
        <v>3</v>
      </c>
      <c r="Y584">
        <v>11</v>
      </c>
      <c r="Z584">
        <v>0</v>
      </c>
      <c r="AA584">
        <v>35</v>
      </c>
      <c r="AB584">
        <v>2843</v>
      </c>
      <c r="AC584" s="28">
        <f>ifood_data[[#This Row],[Customer_Days]]/365</f>
        <v>7.7890410958904113</v>
      </c>
      <c r="AD584">
        <v>0</v>
      </c>
      <c r="AE584">
        <v>0</v>
      </c>
      <c r="AF584">
        <v>1</v>
      </c>
      <c r="AG584">
        <v>0</v>
      </c>
      <c r="AH584">
        <v>0</v>
      </c>
      <c r="AI584">
        <v>0</v>
      </c>
      <c r="AJ584">
        <v>0</v>
      </c>
      <c r="AK584">
        <v>1</v>
      </c>
      <c r="AL584">
        <v>0</v>
      </c>
      <c r="AM584">
        <v>0</v>
      </c>
      <c r="AN584">
        <v>351</v>
      </c>
      <c r="AO584">
        <v>301</v>
      </c>
      <c r="AP584">
        <f>ifood_data[[#This Row],[MntTotal]]-ifood_data[[#This Row],[MntRegularProds]]</f>
        <v>50</v>
      </c>
      <c r="AQ584">
        <v>0</v>
      </c>
      <c r="AR584">
        <f>IF(SUM(ifood_data[[#This Row],[Kidhome]:[Teenhome]])&gt;0,1,0)</f>
        <v>1</v>
      </c>
      <c r="AS584" t="str">
        <f>IF(SUM(ifood_data[[#This Row],[Kidhome]:[Teenhome]])&gt;0,"Has Family","No Family")</f>
        <v>Has Family</v>
      </c>
      <c r="AT584" t="str">
        <f>IF(ifood_data[[#This Row],[marital_Married]]=1,"Married", (IF(ifood_data[[#This Row],[marital_Single]]=1,"Single",(IF(ifood_data[[#This Row],[marital_Divorced]]=1,"Divorced",(IF(ifood_data[[#This Row],[marital_Together]]=1,"Living Together",(IF(ifood_data[[#This Row],[marital_Widow]]=1,"Widow","Other")))))))))</f>
        <v>Single</v>
      </c>
      <c r="AU584" t="str">
        <f>IF(ifood_data[[#This Row],[education_Basic]]=1,"High School",(IF(ifood_data[[#This Row],[education_Graduation]]=1,"Undergraduate Degree",(IF(SUM(AM584,AL584,AI584)&gt;0,"Master's Degree or Higher","Other")))))</f>
        <v>Undergraduate Degree</v>
      </c>
      <c r="AV584" t="str">
        <f>IF(ifood_data[[#All],[Income]]&gt;75000,"75K+",(IF(ifood_data[[#All],[Income]]&gt;50000,"50K-75K",(IF(ifood_data[[#All],[Income]]&gt;35000,"35K-50K","&lt;35K")))))</f>
        <v>50K-75K</v>
      </c>
      <c r="AW584" t="str">
        <f>IF(ifood_data[[#All],[Age]]&gt;60,"60+",(IF(ifood_data[[#All],[Age]]&gt;50,"50-60",(IF(ifood_data[[#All],[Age]]&gt;40,"40-50",(IF(ifood_data[[#All],[Age]]&gt;30,"30-40","&lt;30")))))))</f>
        <v>30-40</v>
      </c>
      <c r="AX584">
        <f t="shared" si="36"/>
        <v>18</v>
      </c>
      <c r="AY584">
        <f t="shared" si="37"/>
        <v>7</v>
      </c>
      <c r="AZ584">
        <f t="shared" si="38"/>
        <v>4</v>
      </c>
      <c r="BA584">
        <f t="shared" si="39"/>
        <v>5</v>
      </c>
      <c r="BB584">
        <f>SUM(ifood_data[[#This Row],[Recency Score]:[Monetary Score]])</f>
        <v>16</v>
      </c>
      <c r="BC584">
        <f>(_xlfn.PERCENTRANK.INC(ifood_data[[#All],[RFM]],ifood_data[[#This Row],[RFM]],1))*10</f>
        <v>5</v>
      </c>
      <c r="BD584" t="str">
        <f>VLOOKUP(ifood_data[[#This Row],[RFM Score]],'RFM Analysis'!$A$3:$B$14,2,FALSE)</f>
        <v>Promising</v>
      </c>
      <c r="BE584">
        <f>'Regression Models'!$B$101+'Regression Models'!$B$102*ifood_data[[#This Row],[Income]]+'Regression Models'!$B$103*ifood_data[[#This Row],[Age]]+'Regression Models'!$B$104*ifood_data[[#This Row],[Family]]</f>
        <v>814.20999276492614</v>
      </c>
      <c r="BF584" t="str">
        <f>IF(ifood_data[[#This Row],[AcceptedCmpOverall]]=1,"Campaign Respondent","Non-respondent")</f>
        <v>Non-respondent</v>
      </c>
    </row>
    <row r="585" spans="1:58" x14ac:dyDescent="0.35">
      <c r="A585">
        <v>1195</v>
      </c>
      <c r="B585">
        <v>55956</v>
      </c>
      <c r="C585">
        <v>0</v>
      </c>
      <c r="D585">
        <v>0</v>
      </c>
      <c r="E585">
        <v>22</v>
      </c>
      <c r="F585">
        <v>760</v>
      </c>
      <c r="G585">
        <v>38</v>
      </c>
      <c r="H585">
        <v>104</v>
      </c>
      <c r="I585">
        <v>50</v>
      </c>
      <c r="J585">
        <v>9</v>
      </c>
      <c r="K585">
        <v>38</v>
      </c>
      <c r="L585">
        <v>2</v>
      </c>
      <c r="M585">
        <v>7</v>
      </c>
      <c r="N585">
        <v>3</v>
      </c>
      <c r="O585">
        <v>4</v>
      </c>
      <c r="P585">
        <v>4</v>
      </c>
      <c r="Q585">
        <v>0</v>
      </c>
      <c r="R585">
        <v>0</v>
      </c>
      <c r="S585">
        <v>0</v>
      </c>
      <c r="T585">
        <v>1</v>
      </c>
      <c r="U585">
        <v>0</v>
      </c>
      <c r="V585">
        <f>IF(SUM(ifood_data[[#This Row],[AcceptedCmp1]:[AcceptedCmp5]])&gt;0,1,0)</f>
        <v>1</v>
      </c>
      <c r="W585">
        <v>0</v>
      </c>
      <c r="X585">
        <v>3</v>
      </c>
      <c r="Y585">
        <v>11</v>
      </c>
      <c r="Z585">
        <v>0</v>
      </c>
      <c r="AA585">
        <v>76</v>
      </c>
      <c r="AB585">
        <v>2242</v>
      </c>
      <c r="AC585" s="28">
        <f>ifood_data[[#This Row],[Customer_Days]]/365</f>
        <v>6.1424657534246574</v>
      </c>
      <c r="AD585">
        <v>0</v>
      </c>
      <c r="AE585">
        <v>1</v>
      </c>
      <c r="AF585">
        <v>0</v>
      </c>
      <c r="AG585">
        <v>0</v>
      </c>
      <c r="AH585">
        <v>0</v>
      </c>
      <c r="AI585">
        <v>0</v>
      </c>
      <c r="AJ585">
        <v>0</v>
      </c>
      <c r="AK585">
        <v>1</v>
      </c>
      <c r="AL585">
        <v>0</v>
      </c>
      <c r="AM585">
        <v>0</v>
      </c>
      <c r="AN585">
        <v>961</v>
      </c>
      <c r="AO585">
        <v>923</v>
      </c>
      <c r="AP585">
        <f>ifood_data[[#This Row],[MntTotal]]-ifood_data[[#This Row],[MntRegularProds]]</f>
        <v>38</v>
      </c>
      <c r="AQ585">
        <v>1</v>
      </c>
      <c r="AR585">
        <f>IF(SUM(ifood_data[[#This Row],[Kidhome]:[Teenhome]])&gt;0,1,0)</f>
        <v>0</v>
      </c>
      <c r="AS585" t="str">
        <f>IF(SUM(ifood_data[[#This Row],[Kidhome]:[Teenhome]])&gt;0,"Has Family","No Family")</f>
        <v>No Family</v>
      </c>
      <c r="AT585" t="str">
        <f>IF(ifood_data[[#This Row],[marital_Married]]=1,"Married", (IF(ifood_data[[#This Row],[marital_Single]]=1,"Single",(IF(ifood_data[[#This Row],[marital_Divorced]]=1,"Divorced",(IF(ifood_data[[#This Row],[marital_Together]]=1,"Living Together",(IF(ifood_data[[#This Row],[marital_Widow]]=1,"Widow","Other")))))))))</f>
        <v>Married</v>
      </c>
      <c r="AU585" t="str">
        <f>IF(ifood_data[[#This Row],[education_Basic]]=1,"High School",(IF(ifood_data[[#This Row],[education_Graduation]]=1,"Undergraduate Degree",(IF(SUM(AM585,AL585,AI585)&gt;0,"Master's Degree or Higher","Other")))))</f>
        <v>Undergraduate Degree</v>
      </c>
      <c r="AV585" t="str">
        <f>IF(ifood_data[[#All],[Income]]&gt;75000,"75K+",(IF(ifood_data[[#All],[Income]]&gt;50000,"50K-75K",(IF(ifood_data[[#All],[Income]]&gt;35000,"35K-50K","&lt;35K")))))</f>
        <v>50K-75K</v>
      </c>
      <c r="AW585" t="str">
        <f>IF(ifood_data[[#All],[Age]]&gt;60,"60+",(IF(ifood_data[[#All],[Age]]&gt;50,"50-60",(IF(ifood_data[[#All],[Age]]&gt;40,"40-50",(IF(ifood_data[[#All],[Age]]&gt;30,"30-40","&lt;30")))))))</f>
        <v>60+</v>
      </c>
      <c r="AX585">
        <f t="shared" si="36"/>
        <v>20</v>
      </c>
      <c r="AY585">
        <f t="shared" si="37"/>
        <v>8</v>
      </c>
      <c r="AZ585">
        <f t="shared" si="38"/>
        <v>4</v>
      </c>
      <c r="BA585">
        <f t="shared" si="39"/>
        <v>7</v>
      </c>
      <c r="BB585">
        <f>SUM(ifood_data[[#This Row],[Recency Score]:[Monetary Score]])</f>
        <v>19</v>
      </c>
      <c r="BC585">
        <f>(_xlfn.PERCENTRANK.INC(ifood_data[[#All],[RFM]],ifood_data[[#This Row],[RFM]],1))*10</f>
        <v>7</v>
      </c>
      <c r="BD585" t="str">
        <f>VLOOKUP(ifood_data[[#This Row],[RFM Score]],'RFM Analysis'!$A$3:$B$14,2,FALSE)</f>
        <v>Loyal Customer</v>
      </c>
      <c r="BE585">
        <f>'Regression Models'!$B$101+'Regression Models'!$B$102*ifood_data[[#This Row],[Income]]+'Regression Models'!$B$103*ifood_data[[#This Row],[Age]]+'Regression Models'!$B$104*ifood_data[[#This Row],[Family]]</f>
        <v>813.48928398957469</v>
      </c>
      <c r="BF585" t="str">
        <f>IF(ifood_data[[#This Row],[AcceptedCmpOverall]]=1,"Campaign Respondent","Non-respondent")</f>
        <v>Campaign Respondent</v>
      </c>
    </row>
    <row r="586" spans="1:58" x14ac:dyDescent="0.35">
      <c r="A586">
        <v>1831</v>
      </c>
      <c r="B586">
        <v>68805</v>
      </c>
      <c r="C586">
        <v>0</v>
      </c>
      <c r="D586">
        <v>1</v>
      </c>
      <c r="E586">
        <v>73</v>
      </c>
      <c r="F586">
        <v>182</v>
      </c>
      <c r="G586">
        <v>2</v>
      </c>
      <c r="H586">
        <v>49</v>
      </c>
      <c r="I586">
        <v>17</v>
      </c>
      <c r="J586">
        <v>13</v>
      </c>
      <c r="K586">
        <v>20</v>
      </c>
      <c r="L586">
        <v>1</v>
      </c>
      <c r="M586">
        <v>3</v>
      </c>
      <c r="N586">
        <v>1</v>
      </c>
      <c r="O586">
        <v>7</v>
      </c>
      <c r="P586">
        <v>2</v>
      </c>
      <c r="Q586">
        <v>0</v>
      </c>
      <c r="R586">
        <v>0</v>
      </c>
      <c r="S586">
        <v>0</v>
      </c>
      <c r="T586">
        <v>0</v>
      </c>
      <c r="U586">
        <v>0</v>
      </c>
      <c r="V586">
        <f>IF(SUM(ifood_data[[#This Row],[AcceptedCmp1]:[AcceptedCmp5]])&gt;0,1,0)</f>
        <v>0</v>
      </c>
      <c r="W586">
        <v>0</v>
      </c>
      <c r="X586">
        <v>3</v>
      </c>
      <c r="Y586">
        <v>11</v>
      </c>
      <c r="Z586">
        <v>0</v>
      </c>
      <c r="AA586">
        <v>61</v>
      </c>
      <c r="AB586">
        <v>2444</v>
      </c>
      <c r="AC586" s="28">
        <f>ifood_data[[#This Row],[Customer_Days]]/365</f>
        <v>6.6958904109589037</v>
      </c>
      <c r="AD586">
        <v>1</v>
      </c>
      <c r="AE586">
        <v>0</v>
      </c>
      <c r="AF586">
        <v>0</v>
      </c>
      <c r="AG586">
        <v>0</v>
      </c>
      <c r="AH586">
        <v>0</v>
      </c>
      <c r="AI586">
        <v>0</v>
      </c>
      <c r="AJ586">
        <v>0</v>
      </c>
      <c r="AK586">
        <v>0</v>
      </c>
      <c r="AL586">
        <v>0</v>
      </c>
      <c r="AM586">
        <v>1</v>
      </c>
      <c r="AN586">
        <v>263</v>
      </c>
      <c r="AO586">
        <v>243</v>
      </c>
      <c r="AP586">
        <f>ifood_data[[#This Row],[MntTotal]]-ifood_data[[#This Row],[MntRegularProds]]</f>
        <v>20</v>
      </c>
      <c r="AQ586">
        <v>0</v>
      </c>
      <c r="AR586">
        <f>IF(SUM(ifood_data[[#This Row],[Kidhome]:[Teenhome]])&gt;0,1,0)</f>
        <v>1</v>
      </c>
      <c r="AS586" t="str">
        <f>IF(SUM(ifood_data[[#This Row],[Kidhome]:[Teenhome]])&gt;0,"Has Family","No Family")</f>
        <v>Has Family</v>
      </c>
      <c r="AT586" t="str">
        <f>IF(ifood_data[[#This Row],[marital_Married]]=1,"Married", (IF(ifood_data[[#This Row],[marital_Single]]=1,"Single",(IF(ifood_data[[#This Row],[marital_Divorced]]=1,"Divorced",(IF(ifood_data[[#This Row],[marital_Together]]=1,"Living Together",(IF(ifood_data[[#This Row],[marital_Widow]]=1,"Widow","Other")))))))))</f>
        <v>Divorced</v>
      </c>
      <c r="AU586" t="str">
        <f>IF(ifood_data[[#This Row],[education_Basic]]=1,"High School",(IF(ifood_data[[#This Row],[education_Graduation]]=1,"Undergraduate Degree",(IF(SUM(AM586,AL586,AI586)&gt;0,"Master's Degree or Higher","Other")))))</f>
        <v>Master's Degree or Higher</v>
      </c>
      <c r="AV586" t="str">
        <f>IF(ifood_data[[#All],[Income]]&gt;75000,"75K+",(IF(ifood_data[[#All],[Income]]&gt;50000,"50K-75K",(IF(ifood_data[[#All],[Income]]&gt;35000,"35K-50K","&lt;35K")))))</f>
        <v>50K-75K</v>
      </c>
      <c r="AW586" t="str">
        <f>IF(ifood_data[[#All],[Age]]&gt;60,"60+",(IF(ifood_data[[#All],[Age]]&gt;50,"50-60",(IF(ifood_data[[#All],[Age]]&gt;40,"40-50",(IF(ifood_data[[#All],[Age]]&gt;30,"30-40","&lt;30")))))))</f>
        <v>60+</v>
      </c>
      <c r="AX586">
        <f t="shared" si="36"/>
        <v>14</v>
      </c>
      <c r="AY586">
        <f t="shared" si="37"/>
        <v>3.0000000000000004</v>
      </c>
      <c r="AZ586">
        <f t="shared" si="38"/>
        <v>2</v>
      </c>
      <c r="BA586">
        <f t="shared" si="39"/>
        <v>4</v>
      </c>
      <c r="BB586">
        <f>SUM(ifood_data[[#This Row],[Recency Score]:[Monetary Score]])</f>
        <v>9</v>
      </c>
      <c r="BC586">
        <f>(_xlfn.PERCENTRANK.INC(ifood_data[[#All],[RFM]],ifood_data[[#This Row],[RFM]],1))*10</f>
        <v>1</v>
      </c>
      <c r="BD586" t="str">
        <f>VLOOKUP(ifood_data[[#This Row],[RFM Score]],'RFM Analysis'!$A$3:$B$14,2,FALSE)</f>
        <v>At Risk</v>
      </c>
      <c r="BE586">
        <f>'Regression Models'!$B$101+'Regression Models'!$B$102*ifood_data[[#This Row],[Income]]+'Regression Models'!$B$103*ifood_data[[#This Row],[Age]]+'Regression Models'!$B$104*ifood_data[[#This Row],[Family]]</f>
        <v>813.39752098093038</v>
      </c>
      <c r="BF586" t="str">
        <f>IF(ifood_data[[#This Row],[AcceptedCmpOverall]]=1,"Campaign Respondent","Non-respondent")</f>
        <v>Non-respondent</v>
      </c>
    </row>
    <row r="587" spans="1:58" x14ac:dyDescent="0.35">
      <c r="A587">
        <v>620</v>
      </c>
      <c r="B587">
        <v>67445</v>
      </c>
      <c r="C587">
        <v>0</v>
      </c>
      <c r="D587">
        <v>1</v>
      </c>
      <c r="E587">
        <v>63</v>
      </c>
      <c r="F587">
        <v>757</v>
      </c>
      <c r="G587">
        <v>80</v>
      </c>
      <c r="H587">
        <v>217</v>
      </c>
      <c r="I587">
        <v>29</v>
      </c>
      <c r="J587">
        <v>80</v>
      </c>
      <c r="K587">
        <v>11</v>
      </c>
      <c r="L587">
        <v>5</v>
      </c>
      <c r="M587">
        <v>9</v>
      </c>
      <c r="N587">
        <v>6</v>
      </c>
      <c r="O587">
        <v>12</v>
      </c>
      <c r="P587">
        <v>6</v>
      </c>
      <c r="Q587">
        <v>0</v>
      </c>
      <c r="R587">
        <v>0</v>
      </c>
      <c r="S587">
        <v>0</v>
      </c>
      <c r="T587">
        <v>0</v>
      </c>
      <c r="U587">
        <v>0</v>
      </c>
      <c r="V587">
        <f>IF(SUM(ifood_data[[#This Row],[AcceptedCmp1]:[AcceptedCmp5]])&gt;0,1,0)</f>
        <v>0</v>
      </c>
      <c r="W587">
        <v>0</v>
      </c>
      <c r="X587">
        <v>3</v>
      </c>
      <c r="Y587">
        <v>11</v>
      </c>
      <c r="Z587">
        <v>0</v>
      </c>
      <c r="AA587">
        <v>46</v>
      </c>
      <c r="AB587">
        <v>2845</v>
      </c>
      <c r="AC587" s="28">
        <f>ifood_data[[#This Row],[Customer_Days]]/365</f>
        <v>7.7945205479452051</v>
      </c>
      <c r="AD587">
        <v>0</v>
      </c>
      <c r="AE587">
        <v>1</v>
      </c>
      <c r="AF587">
        <v>0</v>
      </c>
      <c r="AG587">
        <v>0</v>
      </c>
      <c r="AH587">
        <v>0</v>
      </c>
      <c r="AI587">
        <v>0</v>
      </c>
      <c r="AJ587">
        <v>0</v>
      </c>
      <c r="AK587">
        <v>1</v>
      </c>
      <c r="AL587">
        <v>0</v>
      </c>
      <c r="AM587">
        <v>0</v>
      </c>
      <c r="AN587">
        <v>1163</v>
      </c>
      <c r="AO587">
        <v>1152</v>
      </c>
      <c r="AP587">
        <f>ifood_data[[#This Row],[MntTotal]]-ifood_data[[#This Row],[MntRegularProds]]</f>
        <v>11</v>
      </c>
      <c r="AQ587">
        <v>0</v>
      </c>
      <c r="AR587">
        <f>IF(SUM(ifood_data[[#This Row],[Kidhome]:[Teenhome]])&gt;0,1,0)</f>
        <v>1</v>
      </c>
      <c r="AS587" t="str">
        <f>IF(SUM(ifood_data[[#This Row],[Kidhome]:[Teenhome]])&gt;0,"Has Family","No Family")</f>
        <v>Has Family</v>
      </c>
      <c r="AT587" t="str">
        <f>IF(ifood_data[[#This Row],[marital_Married]]=1,"Married", (IF(ifood_data[[#This Row],[marital_Single]]=1,"Single",(IF(ifood_data[[#This Row],[marital_Divorced]]=1,"Divorced",(IF(ifood_data[[#This Row],[marital_Together]]=1,"Living Together",(IF(ifood_data[[#This Row],[marital_Widow]]=1,"Widow","Other")))))))))</f>
        <v>Married</v>
      </c>
      <c r="AU587" t="str">
        <f>IF(ifood_data[[#This Row],[education_Basic]]=1,"High School",(IF(ifood_data[[#This Row],[education_Graduation]]=1,"Undergraduate Degree",(IF(SUM(AM587,AL587,AI587)&gt;0,"Master's Degree or Higher","Other")))))</f>
        <v>Undergraduate Degree</v>
      </c>
      <c r="AV587" t="str">
        <f>IF(ifood_data[[#All],[Income]]&gt;75000,"75K+",(IF(ifood_data[[#All],[Income]]&gt;50000,"50K-75K",(IF(ifood_data[[#All],[Income]]&gt;35000,"35K-50K","&lt;35K")))))</f>
        <v>50K-75K</v>
      </c>
      <c r="AW587" t="str">
        <f>IF(ifood_data[[#All],[Age]]&gt;60,"60+",(IF(ifood_data[[#All],[Age]]&gt;50,"50-60",(IF(ifood_data[[#All],[Age]]&gt;40,"40-50",(IF(ifood_data[[#All],[Age]]&gt;30,"30-40","&lt;30")))))))</f>
        <v>40-50</v>
      </c>
      <c r="AX587">
        <f t="shared" si="36"/>
        <v>38</v>
      </c>
      <c r="AY587">
        <f t="shared" si="37"/>
        <v>4</v>
      </c>
      <c r="AZ587">
        <f t="shared" si="38"/>
        <v>9</v>
      </c>
      <c r="BA587">
        <f t="shared" si="39"/>
        <v>8</v>
      </c>
      <c r="BB587">
        <f>SUM(ifood_data[[#This Row],[Recency Score]:[Monetary Score]])</f>
        <v>21</v>
      </c>
      <c r="BC587">
        <f>(_xlfn.PERCENTRANK.INC(ifood_data[[#All],[RFM]],ifood_data[[#This Row],[RFM]],1))*10</f>
        <v>8</v>
      </c>
      <c r="BD587" t="str">
        <f>VLOOKUP(ifood_data[[#This Row],[RFM Score]],'RFM Analysis'!$A$3:$B$14,2,FALSE)</f>
        <v>Loyal Customer</v>
      </c>
      <c r="BE587">
        <f>'Regression Models'!$B$101+'Regression Models'!$B$102*ifood_data[[#This Row],[Income]]+'Regression Models'!$B$103*ifood_data[[#This Row],[Age]]+'Regression Models'!$B$104*ifood_data[[#This Row],[Family]]</f>
        <v>813.21538248864192</v>
      </c>
      <c r="BF587" t="str">
        <f>IF(ifood_data[[#This Row],[AcceptedCmpOverall]]=1,"Campaign Respondent","Non-respondent")</f>
        <v>Non-respondent</v>
      </c>
    </row>
    <row r="588" spans="1:58" x14ac:dyDescent="0.35">
      <c r="A588">
        <v>973</v>
      </c>
      <c r="B588">
        <v>68316</v>
      </c>
      <c r="C588">
        <v>0</v>
      </c>
      <c r="D588">
        <v>1</v>
      </c>
      <c r="E588">
        <v>54</v>
      </c>
      <c r="F588">
        <v>806</v>
      </c>
      <c r="G588">
        <v>80</v>
      </c>
      <c r="H588">
        <v>161</v>
      </c>
      <c r="I588">
        <v>120</v>
      </c>
      <c r="J588">
        <v>11</v>
      </c>
      <c r="K588">
        <v>33</v>
      </c>
      <c r="L588">
        <v>5</v>
      </c>
      <c r="M588">
        <v>10</v>
      </c>
      <c r="N588">
        <v>7</v>
      </c>
      <c r="O588">
        <v>10</v>
      </c>
      <c r="P588">
        <v>6</v>
      </c>
      <c r="Q588">
        <v>0</v>
      </c>
      <c r="R588">
        <v>0</v>
      </c>
      <c r="S588">
        <v>0</v>
      </c>
      <c r="T588">
        <v>0</v>
      </c>
      <c r="U588">
        <v>0</v>
      </c>
      <c r="V588">
        <f>IF(SUM(ifood_data[[#This Row],[AcceptedCmp1]:[AcceptedCmp5]])&gt;0,1,0)</f>
        <v>0</v>
      </c>
      <c r="W588">
        <v>0</v>
      </c>
      <c r="X588">
        <v>3</v>
      </c>
      <c r="Y588">
        <v>11</v>
      </c>
      <c r="Z588">
        <v>0</v>
      </c>
      <c r="AA588">
        <v>56</v>
      </c>
      <c r="AB588">
        <v>2761</v>
      </c>
      <c r="AC588" s="28">
        <f>ifood_data[[#This Row],[Customer_Days]]/365</f>
        <v>7.5643835616438357</v>
      </c>
      <c r="AD588">
        <v>0</v>
      </c>
      <c r="AE588">
        <v>0</v>
      </c>
      <c r="AF588">
        <v>0</v>
      </c>
      <c r="AG588">
        <v>1</v>
      </c>
      <c r="AH588">
        <v>0</v>
      </c>
      <c r="AI588">
        <v>1</v>
      </c>
      <c r="AJ588">
        <v>0</v>
      </c>
      <c r="AK588">
        <v>0</v>
      </c>
      <c r="AL588">
        <v>0</v>
      </c>
      <c r="AM588">
        <v>0</v>
      </c>
      <c r="AN588">
        <v>1178</v>
      </c>
      <c r="AO588">
        <v>1145</v>
      </c>
      <c r="AP588">
        <f>ifood_data[[#This Row],[MntTotal]]-ifood_data[[#This Row],[MntRegularProds]]</f>
        <v>33</v>
      </c>
      <c r="AQ588">
        <v>0</v>
      </c>
      <c r="AR588">
        <f>IF(SUM(ifood_data[[#This Row],[Kidhome]:[Teenhome]])&gt;0,1,0)</f>
        <v>1</v>
      </c>
      <c r="AS588" t="str">
        <f>IF(SUM(ifood_data[[#This Row],[Kidhome]:[Teenhome]])&gt;0,"Has Family","No Family")</f>
        <v>Has Family</v>
      </c>
      <c r="AT588" t="str">
        <f>IF(ifood_data[[#This Row],[marital_Married]]=1,"Married", (IF(ifood_data[[#This Row],[marital_Single]]=1,"Single",(IF(ifood_data[[#This Row],[marital_Divorced]]=1,"Divorced",(IF(ifood_data[[#This Row],[marital_Together]]=1,"Living Together",(IF(ifood_data[[#This Row],[marital_Widow]]=1,"Widow","Other")))))))))</f>
        <v>Living Together</v>
      </c>
      <c r="AU588" t="str">
        <f>IF(ifood_data[[#This Row],[education_Basic]]=1,"High School",(IF(ifood_data[[#This Row],[education_Graduation]]=1,"Undergraduate Degree",(IF(SUM(AM588,AL588,AI588)&gt;0,"Master's Degree or Higher","Other")))))</f>
        <v>Master's Degree or Higher</v>
      </c>
      <c r="AV588" t="str">
        <f>IF(ifood_data[[#All],[Income]]&gt;75000,"75K+",(IF(ifood_data[[#All],[Income]]&gt;50000,"50K-75K",(IF(ifood_data[[#All],[Income]]&gt;35000,"35K-50K","&lt;35K")))))</f>
        <v>50K-75K</v>
      </c>
      <c r="AW588" t="str">
        <f>IF(ifood_data[[#All],[Age]]&gt;60,"60+",(IF(ifood_data[[#All],[Age]]&gt;50,"50-60",(IF(ifood_data[[#All],[Age]]&gt;40,"40-50",(IF(ifood_data[[#All],[Age]]&gt;30,"30-40","&lt;30")))))))</f>
        <v>50-60</v>
      </c>
      <c r="AX588">
        <f t="shared" si="36"/>
        <v>38</v>
      </c>
      <c r="AY588">
        <f t="shared" si="37"/>
        <v>5</v>
      </c>
      <c r="AZ588">
        <f t="shared" si="38"/>
        <v>9</v>
      </c>
      <c r="BA588">
        <f t="shared" si="39"/>
        <v>8</v>
      </c>
      <c r="BB588">
        <f>SUM(ifood_data[[#This Row],[Recency Score]:[Monetary Score]])</f>
        <v>22</v>
      </c>
      <c r="BC588">
        <f>(_xlfn.PERCENTRANK.INC(ifood_data[[#All],[RFM]],ifood_data[[#This Row],[RFM]],1))*10</f>
        <v>8</v>
      </c>
      <c r="BD588" t="str">
        <f>VLOOKUP(ifood_data[[#This Row],[RFM Score]],'RFM Analysis'!$A$3:$B$14,2,FALSE)</f>
        <v>Loyal Customer</v>
      </c>
      <c r="BE588">
        <f>'Regression Models'!$B$101+'Regression Models'!$B$102*ifood_data[[#This Row],[Income]]+'Regression Models'!$B$103*ifood_data[[#This Row],[Age]]+'Regression Models'!$B$104*ifood_data[[#This Row],[Family]]</f>
        <v>812.6096087530351</v>
      </c>
      <c r="BF588" t="str">
        <f>IF(ifood_data[[#This Row],[AcceptedCmpOverall]]=1,"Campaign Respondent","Non-respondent")</f>
        <v>Non-respondent</v>
      </c>
    </row>
    <row r="589" spans="1:58" x14ac:dyDescent="0.35">
      <c r="A589">
        <v>695</v>
      </c>
      <c r="B589">
        <v>67432</v>
      </c>
      <c r="C589">
        <v>0</v>
      </c>
      <c r="D589">
        <v>1</v>
      </c>
      <c r="E589">
        <v>69</v>
      </c>
      <c r="F589">
        <v>432</v>
      </c>
      <c r="G589">
        <v>79</v>
      </c>
      <c r="H589">
        <v>341</v>
      </c>
      <c r="I589">
        <v>177</v>
      </c>
      <c r="J589">
        <v>136</v>
      </c>
      <c r="K589">
        <v>170</v>
      </c>
      <c r="L589">
        <v>2</v>
      </c>
      <c r="M589">
        <v>8</v>
      </c>
      <c r="N589">
        <v>5</v>
      </c>
      <c r="O589">
        <v>4</v>
      </c>
      <c r="P589">
        <v>4</v>
      </c>
      <c r="Q589">
        <v>0</v>
      </c>
      <c r="R589">
        <v>0</v>
      </c>
      <c r="S589">
        <v>0</v>
      </c>
      <c r="T589">
        <v>0</v>
      </c>
      <c r="U589">
        <v>0</v>
      </c>
      <c r="V589">
        <f>IF(SUM(ifood_data[[#This Row],[AcceptedCmp1]:[AcceptedCmp5]])&gt;0,1,0)</f>
        <v>0</v>
      </c>
      <c r="W589">
        <v>0</v>
      </c>
      <c r="X589">
        <v>3</v>
      </c>
      <c r="Y589">
        <v>11</v>
      </c>
      <c r="Z589">
        <v>0</v>
      </c>
      <c r="AA589">
        <v>47</v>
      </c>
      <c r="AB589">
        <v>2616</v>
      </c>
      <c r="AC589" s="28">
        <f>ifood_data[[#This Row],[Customer_Days]]/365</f>
        <v>7.1671232876712327</v>
      </c>
      <c r="AD589">
        <v>0</v>
      </c>
      <c r="AE589">
        <v>1</v>
      </c>
      <c r="AF589">
        <v>0</v>
      </c>
      <c r="AG589">
        <v>0</v>
      </c>
      <c r="AH589">
        <v>0</v>
      </c>
      <c r="AI589">
        <v>0</v>
      </c>
      <c r="AJ589">
        <v>0</v>
      </c>
      <c r="AK589">
        <v>1</v>
      </c>
      <c r="AL589">
        <v>0</v>
      </c>
      <c r="AM589">
        <v>0</v>
      </c>
      <c r="AN589">
        <v>1165</v>
      </c>
      <c r="AO589">
        <v>995</v>
      </c>
      <c r="AP589">
        <f>ifood_data[[#This Row],[MntTotal]]-ifood_data[[#This Row],[MntRegularProds]]</f>
        <v>170</v>
      </c>
      <c r="AQ589">
        <v>0</v>
      </c>
      <c r="AR589">
        <f>IF(SUM(ifood_data[[#This Row],[Kidhome]:[Teenhome]])&gt;0,1,0)</f>
        <v>1</v>
      </c>
      <c r="AS589" t="str">
        <f>IF(SUM(ifood_data[[#This Row],[Kidhome]:[Teenhome]])&gt;0,"Has Family","No Family")</f>
        <v>Has Family</v>
      </c>
      <c r="AT589" t="str">
        <f>IF(ifood_data[[#This Row],[marital_Married]]=1,"Married", (IF(ifood_data[[#This Row],[marital_Single]]=1,"Single",(IF(ifood_data[[#This Row],[marital_Divorced]]=1,"Divorced",(IF(ifood_data[[#This Row],[marital_Together]]=1,"Living Together",(IF(ifood_data[[#This Row],[marital_Widow]]=1,"Widow","Other")))))))))</f>
        <v>Married</v>
      </c>
      <c r="AU589" t="str">
        <f>IF(ifood_data[[#This Row],[education_Basic]]=1,"High School",(IF(ifood_data[[#This Row],[education_Graduation]]=1,"Undergraduate Degree",(IF(SUM(AM589,AL589,AI589)&gt;0,"Master's Degree or Higher","Other")))))</f>
        <v>Undergraduate Degree</v>
      </c>
      <c r="AV589" t="str">
        <f>IF(ifood_data[[#All],[Income]]&gt;75000,"75K+",(IF(ifood_data[[#All],[Income]]&gt;50000,"50K-75K",(IF(ifood_data[[#All],[Income]]&gt;35000,"35K-50K","&lt;35K")))))</f>
        <v>50K-75K</v>
      </c>
      <c r="AW589" t="str">
        <f>IF(ifood_data[[#All],[Age]]&gt;60,"60+",(IF(ifood_data[[#All],[Age]]&gt;50,"50-60",(IF(ifood_data[[#All],[Age]]&gt;40,"40-50",(IF(ifood_data[[#All],[Age]]&gt;30,"30-40","&lt;30")))))))</f>
        <v>40-50</v>
      </c>
      <c r="AX589">
        <f t="shared" si="36"/>
        <v>23</v>
      </c>
      <c r="AY589">
        <f t="shared" si="37"/>
        <v>4</v>
      </c>
      <c r="AZ589">
        <f t="shared" si="38"/>
        <v>6</v>
      </c>
      <c r="BA589">
        <f t="shared" si="39"/>
        <v>8</v>
      </c>
      <c r="BB589">
        <f>SUM(ifood_data[[#This Row],[Recency Score]:[Monetary Score]])</f>
        <v>18</v>
      </c>
      <c r="BC589">
        <f>(_xlfn.PERCENTRANK.INC(ifood_data[[#All],[RFM]],ifood_data[[#This Row],[RFM]],1))*10</f>
        <v>6</v>
      </c>
      <c r="BD589" t="str">
        <f>VLOOKUP(ifood_data[[#This Row],[RFM Score]],'RFM Analysis'!$A$3:$B$14,2,FALSE)</f>
        <v>Promising</v>
      </c>
      <c r="BE589">
        <f>'Regression Models'!$B$101+'Regression Models'!$B$102*ifood_data[[#This Row],[Income]]+'Regression Models'!$B$103*ifood_data[[#This Row],[Age]]+'Regression Models'!$B$104*ifood_data[[#This Row],[Family]]</f>
        <v>811.11388942387714</v>
      </c>
      <c r="BF589" t="str">
        <f>IF(ifood_data[[#This Row],[AcceptedCmpOverall]]=1,"Campaign Respondent","Non-respondent")</f>
        <v>Non-respondent</v>
      </c>
    </row>
    <row r="590" spans="1:58" x14ac:dyDescent="0.35">
      <c r="A590">
        <v>1087</v>
      </c>
      <c r="B590">
        <v>68142</v>
      </c>
      <c r="C590">
        <v>0</v>
      </c>
      <c r="D590">
        <v>1</v>
      </c>
      <c r="E590">
        <v>96</v>
      </c>
      <c r="F590">
        <v>897</v>
      </c>
      <c r="G590">
        <v>126</v>
      </c>
      <c r="H590">
        <v>196</v>
      </c>
      <c r="I590">
        <v>91</v>
      </c>
      <c r="J590">
        <v>112</v>
      </c>
      <c r="K590">
        <v>37</v>
      </c>
      <c r="L590">
        <v>3</v>
      </c>
      <c r="M590">
        <v>10</v>
      </c>
      <c r="N590">
        <v>4</v>
      </c>
      <c r="O590">
        <v>7</v>
      </c>
      <c r="P590">
        <v>6</v>
      </c>
      <c r="Q590">
        <v>0</v>
      </c>
      <c r="R590">
        <v>0</v>
      </c>
      <c r="S590">
        <v>0</v>
      </c>
      <c r="T590">
        <v>0</v>
      </c>
      <c r="U590">
        <v>0</v>
      </c>
      <c r="V590">
        <f>IF(SUM(ifood_data[[#This Row],[AcceptedCmp1]:[AcceptedCmp5]])&gt;0,1,0)</f>
        <v>0</v>
      </c>
      <c r="W590">
        <v>0</v>
      </c>
      <c r="X590">
        <v>3</v>
      </c>
      <c r="Y590">
        <v>11</v>
      </c>
      <c r="Z590">
        <v>0</v>
      </c>
      <c r="AA590">
        <v>56</v>
      </c>
      <c r="AB590">
        <v>2828</v>
      </c>
      <c r="AC590" s="28">
        <f>ifood_data[[#This Row],[Customer_Days]]/365</f>
        <v>7.7479452054794518</v>
      </c>
      <c r="AD590">
        <v>0</v>
      </c>
      <c r="AE590">
        <v>0</v>
      </c>
      <c r="AF590">
        <v>0</v>
      </c>
      <c r="AG590">
        <v>1</v>
      </c>
      <c r="AH590">
        <v>0</v>
      </c>
      <c r="AI590">
        <v>0</v>
      </c>
      <c r="AJ590">
        <v>0</v>
      </c>
      <c r="AK590">
        <v>1</v>
      </c>
      <c r="AL590">
        <v>0</v>
      </c>
      <c r="AM590">
        <v>0</v>
      </c>
      <c r="AN590">
        <v>1422</v>
      </c>
      <c r="AO590">
        <v>1385</v>
      </c>
      <c r="AP590">
        <f>ifood_data[[#This Row],[MntTotal]]-ifood_data[[#This Row],[MntRegularProds]]</f>
        <v>37</v>
      </c>
      <c r="AQ590">
        <v>0</v>
      </c>
      <c r="AR590">
        <f>IF(SUM(ifood_data[[#This Row],[Kidhome]:[Teenhome]])&gt;0,1,0)</f>
        <v>1</v>
      </c>
      <c r="AS590" t="str">
        <f>IF(SUM(ifood_data[[#This Row],[Kidhome]:[Teenhome]])&gt;0,"Has Family","No Family")</f>
        <v>Has Family</v>
      </c>
      <c r="AT590" t="str">
        <f>IF(ifood_data[[#This Row],[marital_Married]]=1,"Married", (IF(ifood_data[[#This Row],[marital_Single]]=1,"Single",(IF(ifood_data[[#This Row],[marital_Divorced]]=1,"Divorced",(IF(ifood_data[[#This Row],[marital_Together]]=1,"Living Together",(IF(ifood_data[[#This Row],[marital_Widow]]=1,"Widow","Other")))))))))</f>
        <v>Living Together</v>
      </c>
      <c r="AU590" t="str">
        <f>IF(ifood_data[[#This Row],[education_Basic]]=1,"High School",(IF(ifood_data[[#This Row],[education_Graduation]]=1,"Undergraduate Degree",(IF(SUM(AM590,AL590,AI590)&gt;0,"Master's Degree or Higher","Other")))))</f>
        <v>Undergraduate Degree</v>
      </c>
      <c r="AV590" t="str">
        <f>IF(ifood_data[[#All],[Income]]&gt;75000,"75K+",(IF(ifood_data[[#All],[Income]]&gt;50000,"50K-75K",(IF(ifood_data[[#All],[Income]]&gt;35000,"35K-50K","&lt;35K")))))</f>
        <v>50K-75K</v>
      </c>
      <c r="AW590" t="str">
        <f>IF(ifood_data[[#All],[Age]]&gt;60,"60+",(IF(ifood_data[[#All],[Age]]&gt;50,"50-60",(IF(ifood_data[[#All],[Age]]&gt;40,"40-50",(IF(ifood_data[[#All],[Age]]&gt;30,"30-40","&lt;30")))))))</f>
        <v>50-60</v>
      </c>
      <c r="AX590">
        <f t="shared" si="36"/>
        <v>30</v>
      </c>
      <c r="AY590">
        <f t="shared" si="37"/>
        <v>0.99999999999999978</v>
      </c>
      <c r="AZ590">
        <f t="shared" si="38"/>
        <v>8</v>
      </c>
      <c r="BA590">
        <f t="shared" si="39"/>
        <v>8</v>
      </c>
      <c r="BB590">
        <f>SUM(ifood_data[[#This Row],[Recency Score]:[Monetary Score]])</f>
        <v>17</v>
      </c>
      <c r="BC590">
        <f>(_xlfn.PERCENTRANK.INC(ifood_data[[#All],[RFM]],ifood_data[[#This Row],[RFM]],1))*10</f>
        <v>6</v>
      </c>
      <c r="BD590" t="str">
        <f>VLOOKUP(ifood_data[[#This Row],[RFM Score]],'RFM Analysis'!$A$3:$B$14,2,FALSE)</f>
        <v>Promising</v>
      </c>
      <c r="BE590">
        <f>'Regression Models'!$B$101+'Regression Models'!$B$102*ifood_data[[#This Row],[Income]]+'Regression Models'!$B$103*ifood_data[[#This Row],[Age]]+'Regression Models'!$B$104*ifood_data[[#This Row],[Family]]</f>
        <v>809.06196309599693</v>
      </c>
      <c r="BF590" t="str">
        <f>IF(ifood_data[[#This Row],[AcceptedCmpOverall]]=1,"Campaign Respondent","Non-respondent")</f>
        <v>Non-respondent</v>
      </c>
    </row>
    <row r="591" spans="1:58" x14ac:dyDescent="0.35">
      <c r="A591">
        <v>886</v>
      </c>
      <c r="B591">
        <v>67536</v>
      </c>
      <c r="C591">
        <v>0</v>
      </c>
      <c r="D591">
        <v>1</v>
      </c>
      <c r="E591">
        <v>45</v>
      </c>
      <c r="F591">
        <v>1253</v>
      </c>
      <c r="G591">
        <v>0</v>
      </c>
      <c r="H591">
        <v>447</v>
      </c>
      <c r="I591">
        <v>23</v>
      </c>
      <c r="J591">
        <v>71</v>
      </c>
      <c r="K591">
        <v>35</v>
      </c>
      <c r="L591">
        <v>3</v>
      </c>
      <c r="M591">
        <v>11</v>
      </c>
      <c r="N591">
        <v>5</v>
      </c>
      <c r="O591">
        <v>11</v>
      </c>
      <c r="P591">
        <v>8</v>
      </c>
      <c r="Q591">
        <v>1</v>
      </c>
      <c r="R591">
        <v>0</v>
      </c>
      <c r="S591">
        <v>0</v>
      </c>
      <c r="T591">
        <v>0</v>
      </c>
      <c r="U591">
        <v>0</v>
      </c>
      <c r="V591">
        <f>IF(SUM(ifood_data[[#This Row],[AcceptedCmp1]:[AcceptedCmp5]])&gt;0,1,0)</f>
        <v>1</v>
      </c>
      <c r="W591">
        <v>0</v>
      </c>
      <c r="X591">
        <v>3</v>
      </c>
      <c r="Y591">
        <v>11</v>
      </c>
      <c r="Z591">
        <v>0</v>
      </c>
      <c r="AA591">
        <v>50</v>
      </c>
      <c r="AB591">
        <v>2562</v>
      </c>
      <c r="AC591" s="28">
        <f>ifood_data[[#This Row],[Customer_Days]]/365</f>
        <v>7.0191780821917806</v>
      </c>
      <c r="AD591">
        <v>0</v>
      </c>
      <c r="AE591">
        <v>1</v>
      </c>
      <c r="AF591">
        <v>0</v>
      </c>
      <c r="AG591">
        <v>0</v>
      </c>
      <c r="AH591">
        <v>0</v>
      </c>
      <c r="AI591">
        <v>0</v>
      </c>
      <c r="AJ591">
        <v>0</v>
      </c>
      <c r="AK591">
        <v>0</v>
      </c>
      <c r="AL591">
        <v>0</v>
      </c>
      <c r="AM591">
        <v>1</v>
      </c>
      <c r="AN591">
        <v>1794</v>
      </c>
      <c r="AO591">
        <v>1759</v>
      </c>
      <c r="AP591">
        <f>ifood_data[[#This Row],[MntTotal]]-ifood_data[[#This Row],[MntRegularProds]]</f>
        <v>35</v>
      </c>
      <c r="AQ591">
        <v>1</v>
      </c>
      <c r="AR591">
        <f>IF(SUM(ifood_data[[#This Row],[Kidhome]:[Teenhome]])&gt;0,1,0)</f>
        <v>1</v>
      </c>
      <c r="AS591" t="str">
        <f>IF(SUM(ifood_data[[#This Row],[Kidhome]:[Teenhome]])&gt;0,"Has Family","No Family")</f>
        <v>Has Family</v>
      </c>
      <c r="AT591" t="str">
        <f>IF(ifood_data[[#This Row],[marital_Married]]=1,"Married", (IF(ifood_data[[#This Row],[marital_Single]]=1,"Single",(IF(ifood_data[[#This Row],[marital_Divorced]]=1,"Divorced",(IF(ifood_data[[#This Row],[marital_Together]]=1,"Living Together",(IF(ifood_data[[#This Row],[marital_Widow]]=1,"Widow","Other")))))))))</f>
        <v>Married</v>
      </c>
      <c r="AU591" t="str">
        <f>IF(ifood_data[[#This Row],[education_Basic]]=1,"High School",(IF(ifood_data[[#This Row],[education_Graduation]]=1,"Undergraduate Degree",(IF(SUM(AM591,AL591,AI591)&gt;0,"Master's Degree or Higher","Other")))))</f>
        <v>Master's Degree or Higher</v>
      </c>
      <c r="AV591" t="str">
        <f>IF(ifood_data[[#All],[Income]]&gt;75000,"75K+",(IF(ifood_data[[#All],[Income]]&gt;50000,"50K-75K",(IF(ifood_data[[#All],[Income]]&gt;35000,"35K-50K","&lt;35K")))))</f>
        <v>50K-75K</v>
      </c>
      <c r="AW591" t="str">
        <f>IF(ifood_data[[#All],[Age]]&gt;60,"60+",(IF(ifood_data[[#All],[Age]]&gt;50,"50-60",(IF(ifood_data[[#All],[Age]]&gt;40,"40-50",(IF(ifood_data[[#All],[Age]]&gt;30,"30-40","&lt;30")))))))</f>
        <v>40-50</v>
      </c>
      <c r="AX591">
        <f t="shared" si="36"/>
        <v>38</v>
      </c>
      <c r="AY591">
        <f t="shared" si="37"/>
        <v>6</v>
      </c>
      <c r="AZ591">
        <f t="shared" si="38"/>
        <v>9</v>
      </c>
      <c r="BA591">
        <f t="shared" si="39"/>
        <v>9</v>
      </c>
      <c r="BB591">
        <f>SUM(ifood_data[[#This Row],[Recency Score]:[Monetary Score]])</f>
        <v>24</v>
      </c>
      <c r="BC591">
        <f>(_xlfn.PERCENTRANK.INC(ifood_data[[#All],[RFM]],ifood_data[[#This Row],[RFM]],1))*10</f>
        <v>9</v>
      </c>
      <c r="BD591" t="str">
        <f>VLOOKUP(ifood_data[[#This Row],[RFM Score]],'RFM Analysis'!$A$3:$B$14,2,FALSE)</f>
        <v>Top Customer</v>
      </c>
      <c r="BE591">
        <f>'Regression Models'!$B$101+'Regression Models'!$B$102*ifood_data[[#This Row],[Income]]+'Regression Models'!$B$103*ifood_data[[#This Row],[Age]]+'Regression Models'!$B$104*ifood_data[[#This Row],[Family]]</f>
        <v>807.72500407415976</v>
      </c>
      <c r="BF591" t="str">
        <f>IF(ifood_data[[#This Row],[AcceptedCmpOverall]]=1,"Campaign Respondent","Non-respondent")</f>
        <v>Campaign Respondent</v>
      </c>
    </row>
    <row r="592" spans="1:58" x14ac:dyDescent="0.35">
      <c r="A592">
        <v>186</v>
      </c>
      <c r="B592">
        <v>69142</v>
      </c>
      <c r="C592">
        <v>0</v>
      </c>
      <c r="D592">
        <v>1</v>
      </c>
      <c r="E592">
        <v>50</v>
      </c>
      <c r="F592">
        <v>448</v>
      </c>
      <c r="G592">
        <v>4</v>
      </c>
      <c r="H592">
        <v>34</v>
      </c>
      <c r="I592">
        <v>6</v>
      </c>
      <c r="J592">
        <v>4</v>
      </c>
      <c r="K592">
        <v>39</v>
      </c>
      <c r="L592">
        <v>3</v>
      </c>
      <c r="M592">
        <v>8</v>
      </c>
      <c r="N592">
        <v>1</v>
      </c>
      <c r="O592">
        <v>7</v>
      </c>
      <c r="P592">
        <v>5</v>
      </c>
      <c r="Q592">
        <v>0</v>
      </c>
      <c r="R592">
        <v>0</v>
      </c>
      <c r="S592">
        <v>0</v>
      </c>
      <c r="T592">
        <v>1</v>
      </c>
      <c r="U592">
        <v>0</v>
      </c>
      <c r="V592">
        <f>IF(SUM(ifood_data[[#This Row],[AcceptedCmp1]:[AcceptedCmp5]])&gt;0,1,0)</f>
        <v>1</v>
      </c>
      <c r="W592">
        <v>0</v>
      </c>
      <c r="X592">
        <v>3</v>
      </c>
      <c r="Y592">
        <v>11</v>
      </c>
      <c r="Z592">
        <v>0</v>
      </c>
      <c r="AA592">
        <v>68</v>
      </c>
      <c r="AB592">
        <v>2159</v>
      </c>
      <c r="AC592" s="28">
        <f>ifood_data[[#This Row],[Customer_Days]]/365</f>
        <v>5.9150684931506845</v>
      </c>
      <c r="AD592">
        <v>1</v>
      </c>
      <c r="AE592">
        <v>0</v>
      </c>
      <c r="AF592">
        <v>0</v>
      </c>
      <c r="AG592">
        <v>0</v>
      </c>
      <c r="AH592">
        <v>0</v>
      </c>
      <c r="AI592">
        <v>0</v>
      </c>
      <c r="AJ592">
        <v>0</v>
      </c>
      <c r="AK592">
        <v>1</v>
      </c>
      <c r="AL592">
        <v>0</v>
      </c>
      <c r="AM592">
        <v>0</v>
      </c>
      <c r="AN592">
        <v>496</v>
      </c>
      <c r="AO592">
        <v>457</v>
      </c>
      <c r="AP592">
        <f>ifood_data[[#This Row],[MntTotal]]-ifood_data[[#This Row],[MntRegularProds]]</f>
        <v>39</v>
      </c>
      <c r="AQ592">
        <v>1</v>
      </c>
      <c r="AR592">
        <f>IF(SUM(ifood_data[[#This Row],[Kidhome]:[Teenhome]])&gt;0,1,0)</f>
        <v>1</v>
      </c>
      <c r="AS592" t="str">
        <f>IF(SUM(ifood_data[[#This Row],[Kidhome]:[Teenhome]])&gt;0,"Has Family","No Family")</f>
        <v>Has Family</v>
      </c>
      <c r="AT592" t="str">
        <f>IF(ifood_data[[#This Row],[marital_Married]]=1,"Married", (IF(ifood_data[[#This Row],[marital_Single]]=1,"Single",(IF(ifood_data[[#This Row],[marital_Divorced]]=1,"Divorced",(IF(ifood_data[[#This Row],[marital_Together]]=1,"Living Together",(IF(ifood_data[[#This Row],[marital_Widow]]=1,"Widow","Other")))))))))</f>
        <v>Divorced</v>
      </c>
      <c r="AU592" t="str">
        <f>IF(ifood_data[[#This Row],[education_Basic]]=1,"High School",(IF(ifood_data[[#This Row],[education_Graduation]]=1,"Undergraduate Degree",(IF(SUM(AM592,AL592,AI592)&gt;0,"Master's Degree or Higher","Other")))))</f>
        <v>Undergraduate Degree</v>
      </c>
      <c r="AV592" t="str">
        <f>IF(ifood_data[[#All],[Income]]&gt;75000,"75K+",(IF(ifood_data[[#All],[Income]]&gt;50000,"50K-75K",(IF(ifood_data[[#All],[Income]]&gt;35000,"35K-50K","&lt;35K")))))</f>
        <v>50K-75K</v>
      </c>
      <c r="AW592" t="str">
        <f>IF(ifood_data[[#All],[Age]]&gt;60,"60+",(IF(ifood_data[[#All],[Age]]&gt;50,"50-60",(IF(ifood_data[[#All],[Age]]&gt;40,"40-50",(IF(ifood_data[[#All],[Age]]&gt;30,"30-40","&lt;30")))))))</f>
        <v>60+</v>
      </c>
      <c r="AX592">
        <f t="shared" si="36"/>
        <v>24</v>
      </c>
      <c r="AY592">
        <f t="shared" si="37"/>
        <v>5</v>
      </c>
      <c r="AZ592">
        <f t="shared" si="38"/>
        <v>6</v>
      </c>
      <c r="BA592">
        <f t="shared" si="39"/>
        <v>5</v>
      </c>
      <c r="BB592">
        <f>SUM(ifood_data[[#This Row],[Recency Score]:[Monetary Score]])</f>
        <v>16</v>
      </c>
      <c r="BC592">
        <f>(_xlfn.PERCENTRANK.INC(ifood_data[[#All],[RFM]],ifood_data[[#This Row],[RFM]],1))*10</f>
        <v>5</v>
      </c>
      <c r="BD592" t="str">
        <f>VLOOKUP(ifood_data[[#This Row],[RFM Score]],'RFM Analysis'!$A$3:$B$14,2,FALSE)</f>
        <v>Promising</v>
      </c>
      <c r="BE592">
        <f>'Regression Models'!$B$101+'Regression Models'!$B$102*ifood_data[[#This Row],[Income]]+'Regression Models'!$B$103*ifood_data[[#This Row],[Age]]+'Regression Models'!$B$104*ifood_data[[#This Row],[Family]]</f>
        <v>807.41346229316412</v>
      </c>
      <c r="BF592" t="str">
        <f>IF(ifood_data[[#This Row],[AcceptedCmpOverall]]=1,"Campaign Respondent","Non-respondent")</f>
        <v>Campaign Respondent</v>
      </c>
    </row>
    <row r="593" spans="1:58" x14ac:dyDescent="0.35">
      <c r="A593">
        <v>644</v>
      </c>
      <c r="B593">
        <v>68118</v>
      </c>
      <c r="C593">
        <v>0</v>
      </c>
      <c r="D593">
        <v>1</v>
      </c>
      <c r="E593">
        <v>51</v>
      </c>
      <c r="F593">
        <v>595</v>
      </c>
      <c r="G593">
        <v>23</v>
      </c>
      <c r="H593">
        <v>123</v>
      </c>
      <c r="I593">
        <v>10</v>
      </c>
      <c r="J593">
        <v>23</v>
      </c>
      <c r="K593">
        <v>154</v>
      </c>
      <c r="L593">
        <v>2</v>
      </c>
      <c r="M593">
        <v>8</v>
      </c>
      <c r="N593">
        <v>9</v>
      </c>
      <c r="O593">
        <v>4</v>
      </c>
      <c r="P593">
        <v>6</v>
      </c>
      <c r="Q593">
        <v>0</v>
      </c>
      <c r="R593">
        <v>0</v>
      </c>
      <c r="S593">
        <v>0</v>
      </c>
      <c r="T593">
        <v>0</v>
      </c>
      <c r="U593">
        <v>0</v>
      </c>
      <c r="V593">
        <f>IF(SUM(ifood_data[[#This Row],[AcceptedCmp1]:[AcceptedCmp5]])&gt;0,1,0)</f>
        <v>0</v>
      </c>
      <c r="W593">
        <v>0</v>
      </c>
      <c r="X593">
        <v>3</v>
      </c>
      <c r="Y593">
        <v>11</v>
      </c>
      <c r="Z593">
        <v>0</v>
      </c>
      <c r="AA593">
        <v>57</v>
      </c>
      <c r="AB593">
        <v>2413</v>
      </c>
      <c r="AC593" s="28">
        <f>ifood_data[[#This Row],[Customer_Days]]/365</f>
        <v>6.6109589041095891</v>
      </c>
      <c r="AD593">
        <v>1</v>
      </c>
      <c r="AE593">
        <v>0</v>
      </c>
      <c r="AF593">
        <v>0</v>
      </c>
      <c r="AG593">
        <v>0</v>
      </c>
      <c r="AH593">
        <v>0</v>
      </c>
      <c r="AI593">
        <v>0</v>
      </c>
      <c r="AJ593">
        <v>0</v>
      </c>
      <c r="AK593">
        <v>1</v>
      </c>
      <c r="AL593">
        <v>0</v>
      </c>
      <c r="AM593">
        <v>0</v>
      </c>
      <c r="AN593">
        <v>774</v>
      </c>
      <c r="AO593">
        <v>620</v>
      </c>
      <c r="AP593">
        <f>ifood_data[[#This Row],[MntTotal]]-ifood_data[[#This Row],[MntRegularProds]]</f>
        <v>154</v>
      </c>
      <c r="AQ593">
        <v>0</v>
      </c>
      <c r="AR593">
        <f>IF(SUM(ifood_data[[#This Row],[Kidhome]:[Teenhome]])&gt;0,1,0)</f>
        <v>1</v>
      </c>
      <c r="AS593" t="str">
        <f>IF(SUM(ifood_data[[#This Row],[Kidhome]:[Teenhome]])&gt;0,"Has Family","No Family")</f>
        <v>Has Family</v>
      </c>
      <c r="AT593" t="str">
        <f>IF(ifood_data[[#This Row],[marital_Married]]=1,"Married", (IF(ifood_data[[#This Row],[marital_Single]]=1,"Single",(IF(ifood_data[[#This Row],[marital_Divorced]]=1,"Divorced",(IF(ifood_data[[#This Row],[marital_Together]]=1,"Living Together",(IF(ifood_data[[#This Row],[marital_Widow]]=1,"Widow","Other")))))))))</f>
        <v>Divorced</v>
      </c>
      <c r="AU593" t="str">
        <f>IF(ifood_data[[#This Row],[education_Basic]]=1,"High School",(IF(ifood_data[[#This Row],[education_Graduation]]=1,"Undergraduate Degree",(IF(SUM(AM593,AL593,AI593)&gt;0,"Master's Degree or Higher","Other")))))</f>
        <v>Undergraduate Degree</v>
      </c>
      <c r="AV593" t="str">
        <f>IF(ifood_data[[#All],[Income]]&gt;75000,"75K+",(IF(ifood_data[[#All],[Income]]&gt;50000,"50K-75K",(IF(ifood_data[[#All],[Income]]&gt;35000,"35K-50K","&lt;35K")))))</f>
        <v>50K-75K</v>
      </c>
      <c r="AW593" t="str">
        <f>IF(ifood_data[[#All],[Age]]&gt;60,"60+",(IF(ifood_data[[#All],[Age]]&gt;50,"50-60",(IF(ifood_data[[#All],[Age]]&gt;40,"40-50",(IF(ifood_data[[#All],[Age]]&gt;30,"30-40","&lt;30")))))))</f>
        <v>50-60</v>
      </c>
      <c r="AX593">
        <f t="shared" si="36"/>
        <v>29</v>
      </c>
      <c r="AY593">
        <f t="shared" si="37"/>
        <v>5</v>
      </c>
      <c r="AZ593">
        <f t="shared" si="38"/>
        <v>8</v>
      </c>
      <c r="BA593">
        <f t="shared" si="39"/>
        <v>6</v>
      </c>
      <c r="BB593">
        <f>SUM(ifood_data[[#This Row],[Recency Score]:[Monetary Score]])</f>
        <v>19</v>
      </c>
      <c r="BC593">
        <f>(_xlfn.PERCENTRANK.INC(ifood_data[[#All],[RFM]],ifood_data[[#This Row],[RFM]],1))*10</f>
        <v>7</v>
      </c>
      <c r="BD593" t="str">
        <f>VLOOKUP(ifood_data[[#This Row],[RFM Score]],'RFM Analysis'!$A$3:$B$14,2,FALSE)</f>
        <v>Loyal Customer</v>
      </c>
      <c r="BE593">
        <f>'Regression Models'!$B$101+'Regression Models'!$B$102*ifood_data[[#This Row],[Income]]+'Regression Models'!$B$103*ifood_data[[#This Row],[Age]]+'Regression Models'!$B$104*ifood_data[[#This Row],[Family]]</f>
        <v>806.73619358164899</v>
      </c>
      <c r="BF593" t="str">
        <f>IF(ifood_data[[#This Row],[AcceptedCmpOverall]]=1,"Campaign Respondent","Non-respondent")</f>
        <v>Non-respondent</v>
      </c>
    </row>
    <row r="594" spans="1:58" x14ac:dyDescent="0.35">
      <c r="A594">
        <v>469</v>
      </c>
      <c r="B594">
        <v>55614</v>
      </c>
      <c r="C594">
        <v>0</v>
      </c>
      <c r="D594">
        <v>0</v>
      </c>
      <c r="E594">
        <v>85</v>
      </c>
      <c r="F594">
        <v>504</v>
      </c>
      <c r="G594">
        <v>13</v>
      </c>
      <c r="H594">
        <v>131</v>
      </c>
      <c r="I594">
        <v>8</v>
      </c>
      <c r="J594">
        <v>0</v>
      </c>
      <c r="K594">
        <v>26</v>
      </c>
      <c r="L594">
        <v>1</v>
      </c>
      <c r="M594">
        <v>9</v>
      </c>
      <c r="N594">
        <v>4</v>
      </c>
      <c r="O594">
        <v>6</v>
      </c>
      <c r="P594">
        <v>7</v>
      </c>
      <c r="Q594">
        <v>0</v>
      </c>
      <c r="R594">
        <v>0</v>
      </c>
      <c r="S594">
        <v>0</v>
      </c>
      <c r="T594">
        <v>1</v>
      </c>
      <c r="U594">
        <v>0</v>
      </c>
      <c r="V594">
        <f>IF(SUM(ifood_data[[#This Row],[AcceptedCmp1]:[AcceptedCmp5]])&gt;0,1,0)</f>
        <v>1</v>
      </c>
      <c r="W594">
        <v>0</v>
      </c>
      <c r="X594">
        <v>3</v>
      </c>
      <c r="Y594">
        <v>11</v>
      </c>
      <c r="Z594">
        <v>0</v>
      </c>
      <c r="AA594">
        <v>76</v>
      </c>
      <c r="AB594">
        <v>2373</v>
      </c>
      <c r="AC594" s="28">
        <f>ifood_data[[#This Row],[Customer_Days]]/365</f>
        <v>6.5013698630136982</v>
      </c>
      <c r="AD594">
        <v>1</v>
      </c>
      <c r="AE594">
        <v>0</v>
      </c>
      <c r="AF594">
        <v>0</v>
      </c>
      <c r="AG594">
        <v>0</v>
      </c>
      <c r="AH594">
        <v>0</v>
      </c>
      <c r="AI594">
        <v>0</v>
      </c>
      <c r="AJ594">
        <v>0</v>
      </c>
      <c r="AK594">
        <v>0</v>
      </c>
      <c r="AL594">
        <v>0</v>
      </c>
      <c r="AM594">
        <v>1</v>
      </c>
      <c r="AN594">
        <v>656</v>
      </c>
      <c r="AO594">
        <v>630</v>
      </c>
      <c r="AP594">
        <f>ifood_data[[#This Row],[MntTotal]]-ifood_data[[#This Row],[MntRegularProds]]</f>
        <v>26</v>
      </c>
      <c r="AQ594">
        <v>1</v>
      </c>
      <c r="AR594">
        <f>IF(SUM(ifood_data[[#This Row],[Kidhome]:[Teenhome]])&gt;0,1,0)</f>
        <v>0</v>
      </c>
      <c r="AS594" t="str">
        <f>IF(SUM(ifood_data[[#This Row],[Kidhome]:[Teenhome]])&gt;0,"Has Family","No Family")</f>
        <v>No Family</v>
      </c>
      <c r="AT594" t="str">
        <f>IF(ifood_data[[#This Row],[marital_Married]]=1,"Married", (IF(ifood_data[[#This Row],[marital_Single]]=1,"Single",(IF(ifood_data[[#This Row],[marital_Divorced]]=1,"Divorced",(IF(ifood_data[[#This Row],[marital_Together]]=1,"Living Together",(IF(ifood_data[[#This Row],[marital_Widow]]=1,"Widow","Other")))))))))</f>
        <v>Divorced</v>
      </c>
      <c r="AU594" t="str">
        <f>IF(ifood_data[[#This Row],[education_Basic]]=1,"High School",(IF(ifood_data[[#This Row],[education_Graduation]]=1,"Undergraduate Degree",(IF(SUM(AM594,AL594,AI594)&gt;0,"Master's Degree or Higher","Other")))))</f>
        <v>Master's Degree or Higher</v>
      </c>
      <c r="AV594" t="str">
        <f>IF(ifood_data[[#All],[Income]]&gt;75000,"75K+",(IF(ifood_data[[#All],[Income]]&gt;50000,"50K-75K",(IF(ifood_data[[#All],[Income]]&gt;35000,"35K-50K","&lt;35K")))))</f>
        <v>50K-75K</v>
      </c>
      <c r="AW594" t="str">
        <f>IF(ifood_data[[#All],[Age]]&gt;60,"60+",(IF(ifood_data[[#All],[Age]]&gt;50,"50-60",(IF(ifood_data[[#All],[Age]]&gt;40,"40-50",(IF(ifood_data[[#All],[Age]]&gt;30,"30-40","&lt;30")))))))</f>
        <v>60+</v>
      </c>
      <c r="AX594">
        <f t="shared" si="36"/>
        <v>27</v>
      </c>
      <c r="AY594">
        <f t="shared" si="37"/>
        <v>1.9999999999999996</v>
      </c>
      <c r="AZ594">
        <f t="shared" si="38"/>
        <v>7</v>
      </c>
      <c r="BA594">
        <f t="shared" si="39"/>
        <v>6</v>
      </c>
      <c r="BB594">
        <f>SUM(ifood_data[[#This Row],[Recency Score]:[Monetary Score]])</f>
        <v>15</v>
      </c>
      <c r="BC594">
        <f>(_xlfn.PERCENTRANK.INC(ifood_data[[#All],[RFM]],ifood_data[[#This Row],[RFM]],1))*10</f>
        <v>4</v>
      </c>
      <c r="BD594" t="str">
        <f>VLOOKUP(ifood_data[[#This Row],[RFM Score]],'RFM Analysis'!$A$3:$B$14,2,FALSE)</f>
        <v>At Risk</v>
      </c>
      <c r="BE594">
        <f>'Regression Models'!$B$101+'Regression Models'!$B$102*ifood_data[[#This Row],[Income]]+'Regression Models'!$B$103*ifood_data[[#This Row],[Age]]+'Regression Models'!$B$104*ifood_data[[#This Row],[Family]]</f>
        <v>806.5163252843613</v>
      </c>
      <c r="BF594" t="str">
        <f>IF(ifood_data[[#This Row],[AcceptedCmpOverall]]=1,"Campaign Respondent","Non-respondent")</f>
        <v>Campaign Respondent</v>
      </c>
    </row>
    <row r="595" spans="1:58" x14ac:dyDescent="0.35">
      <c r="A595">
        <v>1811</v>
      </c>
      <c r="B595">
        <v>51373</v>
      </c>
      <c r="C595">
        <v>0</v>
      </c>
      <c r="D595">
        <v>0</v>
      </c>
      <c r="E595">
        <v>37</v>
      </c>
      <c r="F595">
        <v>83</v>
      </c>
      <c r="G595">
        <v>2</v>
      </c>
      <c r="H595">
        <v>101</v>
      </c>
      <c r="I595">
        <v>64</v>
      </c>
      <c r="J595">
        <v>26</v>
      </c>
      <c r="K595">
        <v>117</v>
      </c>
      <c r="L595">
        <v>1</v>
      </c>
      <c r="M595">
        <v>3</v>
      </c>
      <c r="N595">
        <v>5</v>
      </c>
      <c r="O595">
        <v>3</v>
      </c>
      <c r="P595">
        <v>4</v>
      </c>
      <c r="Q595">
        <v>0</v>
      </c>
      <c r="R595">
        <v>0</v>
      </c>
      <c r="S595">
        <v>0</v>
      </c>
      <c r="T595">
        <v>0</v>
      </c>
      <c r="U595">
        <v>0</v>
      </c>
      <c r="V595">
        <f>IF(SUM(ifood_data[[#This Row],[AcceptedCmp1]:[AcceptedCmp5]])&gt;0,1,0)</f>
        <v>0</v>
      </c>
      <c r="W595">
        <v>0</v>
      </c>
      <c r="X595">
        <v>3</v>
      </c>
      <c r="Y595">
        <v>11</v>
      </c>
      <c r="Z595">
        <v>0</v>
      </c>
      <c r="AA595">
        <v>29</v>
      </c>
      <c r="AB595">
        <v>2531</v>
      </c>
      <c r="AC595" s="28">
        <f>ifood_data[[#This Row],[Customer_Days]]/365</f>
        <v>6.934246575342466</v>
      </c>
      <c r="AD595">
        <v>0</v>
      </c>
      <c r="AE595">
        <v>1</v>
      </c>
      <c r="AF595">
        <v>0</v>
      </c>
      <c r="AG595">
        <v>0</v>
      </c>
      <c r="AH595">
        <v>0</v>
      </c>
      <c r="AI595">
        <v>0</v>
      </c>
      <c r="AJ595">
        <v>0</v>
      </c>
      <c r="AK595">
        <v>1</v>
      </c>
      <c r="AL595">
        <v>0</v>
      </c>
      <c r="AM595">
        <v>0</v>
      </c>
      <c r="AN595">
        <v>276</v>
      </c>
      <c r="AO595">
        <v>159</v>
      </c>
      <c r="AP595">
        <f>ifood_data[[#This Row],[MntTotal]]-ifood_data[[#This Row],[MntRegularProds]]</f>
        <v>117</v>
      </c>
      <c r="AQ595">
        <v>0</v>
      </c>
      <c r="AR595">
        <f>IF(SUM(ifood_data[[#This Row],[Kidhome]:[Teenhome]])&gt;0,1,0)</f>
        <v>0</v>
      </c>
      <c r="AS595" t="str">
        <f>IF(SUM(ifood_data[[#This Row],[Kidhome]:[Teenhome]])&gt;0,"Has Family","No Family")</f>
        <v>No Family</v>
      </c>
      <c r="AT595" t="str">
        <f>IF(ifood_data[[#This Row],[marital_Married]]=1,"Married", (IF(ifood_data[[#This Row],[marital_Single]]=1,"Single",(IF(ifood_data[[#This Row],[marital_Divorced]]=1,"Divorced",(IF(ifood_data[[#This Row],[marital_Together]]=1,"Living Together",(IF(ifood_data[[#This Row],[marital_Widow]]=1,"Widow","Other")))))))))</f>
        <v>Married</v>
      </c>
      <c r="AU595" t="str">
        <f>IF(ifood_data[[#This Row],[education_Basic]]=1,"High School",(IF(ifood_data[[#This Row],[education_Graduation]]=1,"Undergraduate Degree",(IF(SUM(AM595,AL595,AI595)&gt;0,"Master's Degree or Higher","Other")))))</f>
        <v>Undergraduate Degree</v>
      </c>
      <c r="AV595" t="str">
        <f>IF(ifood_data[[#All],[Income]]&gt;75000,"75K+",(IF(ifood_data[[#All],[Income]]&gt;50000,"50K-75K",(IF(ifood_data[[#All],[Income]]&gt;35000,"35K-50K","&lt;35K")))))</f>
        <v>50K-75K</v>
      </c>
      <c r="AW595" t="str">
        <f>IF(ifood_data[[#All],[Age]]&gt;60,"60+",(IF(ifood_data[[#All],[Age]]&gt;50,"50-60",(IF(ifood_data[[#All],[Age]]&gt;40,"40-50",(IF(ifood_data[[#All],[Age]]&gt;30,"30-40","&lt;30")))))))</f>
        <v>&lt;30</v>
      </c>
      <c r="AX595">
        <f t="shared" si="36"/>
        <v>16</v>
      </c>
      <c r="AY595">
        <f t="shared" si="37"/>
        <v>7</v>
      </c>
      <c r="AZ595">
        <f t="shared" si="38"/>
        <v>3</v>
      </c>
      <c r="BA595">
        <f t="shared" si="39"/>
        <v>4</v>
      </c>
      <c r="BB595">
        <f>SUM(ifood_data[[#This Row],[Recency Score]:[Monetary Score]])</f>
        <v>14</v>
      </c>
      <c r="BC595">
        <f>(_xlfn.PERCENTRANK.INC(ifood_data[[#All],[RFM]],ifood_data[[#This Row],[RFM]],1))*10</f>
        <v>4</v>
      </c>
      <c r="BD595" t="str">
        <f>VLOOKUP(ifood_data[[#This Row],[RFM Score]],'RFM Analysis'!$A$3:$B$14,2,FALSE)</f>
        <v>At Risk</v>
      </c>
      <c r="BE595">
        <f>'Regression Models'!$B$101+'Regression Models'!$B$102*ifood_data[[#This Row],[Income]]+'Regression Models'!$B$103*ifood_data[[#This Row],[Age]]+'Regression Models'!$B$104*ifood_data[[#This Row],[Family]]</f>
        <v>806.36019629411703</v>
      </c>
      <c r="BF595" t="str">
        <f>IF(ifood_data[[#This Row],[AcceptedCmpOverall]]=1,"Campaign Respondent","Non-respondent")</f>
        <v>Non-respondent</v>
      </c>
    </row>
    <row r="596" spans="1:58" x14ac:dyDescent="0.35">
      <c r="A596">
        <v>1665</v>
      </c>
      <c r="B596">
        <v>52513</v>
      </c>
      <c r="C596">
        <v>0</v>
      </c>
      <c r="D596">
        <v>0</v>
      </c>
      <c r="E596">
        <v>84</v>
      </c>
      <c r="F596">
        <v>367</v>
      </c>
      <c r="G596">
        <v>17</v>
      </c>
      <c r="H596">
        <v>241</v>
      </c>
      <c r="I596">
        <v>104</v>
      </c>
      <c r="J596">
        <v>188</v>
      </c>
      <c r="K596">
        <v>232</v>
      </c>
      <c r="L596">
        <v>2</v>
      </c>
      <c r="M596">
        <v>9</v>
      </c>
      <c r="N596">
        <v>5</v>
      </c>
      <c r="O596">
        <v>9</v>
      </c>
      <c r="P596">
        <v>7</v>
      </c>
      <c r="Q596">
        <v>0</v>
      </c>
      <c r="R596">
        <v>0</v>
      </c>
      <c r="S596">
        <v>0</v>
      </c>
      <c r="T596">
        <v>0</v>
      </c>
      <c r="U596">
        <v>0</v>
      </c>
      <c r="V596">
        <f>IF(SUM(ifood_data[[#This Row],[AcceptedCmp1]:[AcceptedCmp5]])&gt;0,1,0)</f>
        <v>0</v>
      </c>
      <c r="W596">
        <v>0</v>
      </c>
      <c r="X596">
        <v>3</v>
      </c>
      <c r="Y596">
        <v>11</v>
      </c>
      <c r="Z596">
        <v>0</v>
      </c>
      <c r="AA596">
        <v>42</v>
      </c>
      <c r="AB596">
        <v>2822</v>
      </c>
      <c r="AC596" s="28">
        <f>ifood_data[[#This Row],[Customer_Days]]/365</f>
        <v>7.7315068493150685</v>
      </c>
      <c r="AD596">
        <v>0</v>
      </c>
      <c r="AE596">
        <v>0</v>
      </c>
      <c r="AF596">
        <v>0</v>
      </c>
      <c r="AG596">
        <v>1</v>
      </c>
      <c r="AH596">
        <v>0</v>
      </c>
      <c r="AI596">
        <v>1</v>
      </c>
      <c r="AJ596">
        <v>0</v>
      </c>
      <c r="AK596">
        <v>0</v>
      </c>
      <c r="AL596">
        <v>0</v>
      </c>
      <c r="AM596">
        <v>0</v>
      </c>
      <c r="AN596">
        <v>917</v>
      </c>
      <c r="AO596">
        <v>685</v>
      </c>
      <c r="AP596">
        <f>ifood_data[[#This Row],[MntTotal]]-ifood_data[[#This Row],[MntRegularProds]]</f>
        <v>232</v>
      </c>
      <c r="AQ596">
        <v>0</v>
      </c>
      <c r="AR596">
        <f>IF(SUM(ifood_data[[#This Row],[Kidhome]:[Teenhome]])&gt;0,1,0)</f>
        <v>0</v>
      </c>
      <c r="AS596" t="str">
        <f>IF(SUM(ifood_data[[#This Row],[Kidhome]:[Teenhome]])&gt;0,"Has Family","No Family")</f>
        <v>No Family</v>
      </c>
      <c r="AT596" t="str">
        <f>IF(ifood_data[[#This Row],[marital_Married]]=1,"Married", (IF(ifood_data[[#This Row],[marital_Single]]=1,"Single",(IF(ifood_data[[#This Row],[marital_Divorced]]=1,"Divorced",(IF(ifood_data[[#This Row],[marital_Together]]=1,"Living Together",(IF(ifood_data[[#This Row],[marital_Widow]]=1,"Widow","Other")))))))))</f>
        <v>Living Together</v>
      </c>
      <c r="AU596" t="str">
        <f>IF(ifood_data[[#This Row],[education_Basic]]=1,"High School",(IF(ifood_data[[#This Row],[education_Graduation]]=1,"Undergraduate Degree",(IF(SUM(AM596,AL596,AI596)&gt;0,"Master's Degree or Higher","Other")))))</f>
        <v>Master's Degree or Higher</v>
      </c>
      <c r="AV596" t="str">
        <f>IF(ifood_data[[#All],[Income]]&gt;75000,"75K+",(IF(ifood_data[[#All],[Income]]&gt;50000,"50K-75K",(IF(ifood_data[[#All],[Income]]&gt;35000,"35K-50K","&lt;35K")))))</f>
        <v>50K-75K</v>
      </c>
      <c r="AW596" t="str">
        <f>IF(ifood_data[[#All],[Age]]&gt;60,"60+",(IF(ifood_data[[#All],[Age]]&gt;50,"50-60",(IF(ifood_data[[#All],[Age]]&gt;40,"40-50",(IF(ifood_data[[#All],[Age]]&gt;30,"30-40","&lt;30")))))))</f>
        <v>40-50</v>
      </c>
      <c r="AX596">
        <f t="shared" si="36"/>
        <v>32</v>
      </c>
      <c r="AY596">
        <f t="shared" si="37"/>
        <v>1.9999999999999996</v>
      </c>
      <c r="AZ596">
        <f t="shared" si="38"/>
        <v>9</v>
      </c>
      <c r="BA596">
        <f t="shared" si="39"/>
        <v>7</v>
      </c>
      <c r="BB596">
        <f>SUM(ifood_data[[#This Row],[Recency Score]:[Monetary Score]])</f>
        <v>18</v>
      </c>
      <c r="BC596">
        <f>(_xlfn.PERCENTRANK.INC(ifood_data[[#All],[RFM]],ifood_data[[#This Row],[RFM]],1))*10</f>
        <v>6</v>
      </c>
      <c r="BD596" t="str">
        <f>VLOOKUP(ifood_data[[#This Row],[RFM Score]],'RFM Analysis'!$A$3:$B$14,2,FALSE)</f>
        <v>Promising</v>
      </c>
      <c r="BE596">
        <f>'Regression Models'!$B$101+'Regression Models'!$B$102*ifood_data[[#This Row],[Income]]+'Regression Models'!$B$103*ifood_data[[#This Row],[Age]]+'Regression Models'!$B$104*ifood_data[[#This Row],[Family]]</f>
        <v>805.72968395253633</v>
      </c>
      <c r="BF596" t="str">
        <f>IF(ifood_data[[#This Row],[AcceptedCmpOverall]]=1,"Campaign Respondent","Non-respondent")</f>
        <v>Non-respondent</v>
      </c>
    </row>
    <row r="597" spans="1:58" x14ac:dyDescent="0.35">
      <c r="A597">
        <v>1366</v>
      </c>
      <c r="B597">
        <v>67419</v>
      </c>
      <c r="C597">
        <v>0</v>
      </c>
      <c r="D597">
        <v>1</v>
      </c>
      <c r="E597">
        <v>29</v>
      </c>
      <c r="F597">
        <v>846</v>
      </c>
      <c r="G597">
        <v>84</v>
      </c>
      <c r="H597">
        <v>352</v>
      </c>
      <c r="I597">
        <v>91</v>
      </c>
      <c r="J597">
        <v>56</v>
      </c>
      <c r="K597">
        <v>42</v>
      </c>
      <c r="L597">
        <v>4</v>
      </c>
      <c r="M597">
        <v>9</v>
      </c>
      <c r="N597">
        <v>4</v>
      </c>
      <c r="O597">
        <v>8</v>
      </c>
      <c r="P597">
        <v>5</v>
      </c>
      <c r="Q597">
        <v>0</v>
      </c>
      <c r="R597">
        <v>0</v>
      </c>
      <c r="S597">
        <v>0</v>
      </c>
      <c r="T597">
        <v>0</v>
      </c>
      <c r="U597">
        <v>0</v>
      </c>
      <c r="V597">
        <f>IF(SUM(ifood_data[[#This Row],[AcceptedCmp1]:[AcceptedCmp5]])&gt;0,1,0)</f>
        <v>0</v>
      </c>
      <c r="W597">
        <v>0</v>
      </c>
      <c r="X597">
        <v>3</v>
      </c>
      <c r="Y597">
        <v>11</v>
      </c>
      <c r="Z597">
        <v>0</v>
      </c>
      <c r="AA597">
        <v>50</v>
      </c>
      <c r="AB597">
        <v>2688</v>
      </c>
      <c r="AC597" s="28">
        <f>ifood_data[[#This Row],[Customer_Days]]/365</f>
        <v>7.3643835616438356</v>
      </c>
      <c r="AD597">
        <v>0</v>
      </c>
      <c r="AE597">
        <v>0</v>
      </c>
      <c r="AF597">
        <v>0</v>
      </c>
      <c r="AG597">
        <v>1</v>
      </c>
      <c r="AH597">
        <v>0</v>
      </c>
      <c r="AI597">
        <v>0</v>
      </c>
      <c r="AJ597">
        <v>0</v>
      </c>
      <c r="AK597">
        <v>1</v>
      </c>
      <c r="AL597">
        <v>0</v>
      </c>
      <c r="AM597">
        <v>0</v>
      </c>
      <c r="AN597">
        <v>1429</v>
      </c>
      <c r="AO597">
        <v>1387</v>
      </c>
      <c r="AP597">
        <f>ifood_data[[#This Row],[MntTotal]]-ifood_data[[#This Row],[MntRegularProds]]</f>
        <v>42</v>
      </c>
      <c r="AQ597">
        <v>0</v>
      </c>
      <c r="AR597">
        <f>IF(SUM(ifood_data[[#This Row],[Kidhome]:[Teenhome]])&gt;0,1,0)</f>
        <v>1</v>
      </c>
      <c r="AS597" t="str">
        <f>IF(SUM(ifood_data[[#This Row],[Kidhome]:[Teenhome]])&gt;0,"Has Family","No Family")</f>
        <v>Has Family</v>
      </c>
      <c r="AT597" t="str">
        <f>IF(ifood_data[[#This Row],[marital_Married]]=1,"Married", (IF(ifood_data[[#This Row],[marital_Single]]=1,"Single",(IF(ifood_data[[#This Row],[marital_Divorced]]=1,"Divorced",(IF(ifood_data[[#This Row],[marital_Together]]=1,"Living Together",(IF(ifood_data[[#This Row],[marital_Widow]]=1,"Widow","Other")))))))))</f>
        <v>Living Together</v>
      </c>
      <c r="AU597" t="str">
        <f>IF(ifood_data[[#This Row],[education_Basic]]=1,"High School",(IF(ifood_data[[#This Row],[education_Graduation]]=1,"Undergraduate Degree",(IF(SUM(AM597,AL597,AI597)&gt;0,"Master's Degree or Higher","Other")))))</f>
        <v>Undergraduate Degree</v>
      </c>
      <c r="AV597" t="str">
        <f>IF(ifood_data[[#All],[Income]]&gt;75000,"75K+",(IF(ifood_data[[#All],[Income]]&gt;50000,"50K-75K",(IF(ifood_data[[#All],[Income]]&gt;35000,"35K-50K","&lt;35K")))))</f>
        <v>50K-75K</v>
      </c>
      <c r="AW597" t="str">
        <f>IF(ifood_data[[#All],[Age]]&gt;60,"60+",(IF(ifood_data[[#All],[Age]]&gt;50,"50-60",(IF(ifood_data[[#All],[Age]]&gt;40,"40-50",(IF(ifood_data[[#All],[Age]]&gt;30,"30-40","&lt;30")))))))</f>
        <v>40-50</v>
      </c>
      <c r="AX597">
        <f t="shared" si="36"/>
        <v>30</v>
      </c>
      <c r="AY597">
        <f t="shared" si="37"/>
        <v>8</v>
      </c>
      <c r="AZ597">
        <f t="shared" si="38"/>
        <v>8</v>
      </c>
      <c r="BA597">
        <f t="shared" si="39"/>
        <v>8</v>
      </c>
      <c r="BB597">
        <f>SUM(ifood_data[[#This Row],[Recency Score]:[Monetary Score]])</f>
        <v>24</v>
      </c>
      <c r="BC597">
        <f>(_xlfn.PERCENTRANK.INC(ifood_data[[#All],[RFM]],ifood_data[[#This Row],[RFM]],1))*10</f>
        <v>9</v>
      </c>
      <c r="BD597" t="str">
        <f>VLOOKUP(ifood_data[[#This Row],[RFM Score]],'RFM Analysis'!$A$3:$B$14,2,FALSE)</f>
        <v>Top Customer</v>
      </c>
      <c r="BE597">
        <f>'Regression Models'!$B$101+'Regression Models'!$B$102*ifood_data[[#This Row],[Income]]+'Regression Models'!$B$103*ifood_data[[#This Row],[Age]]+'Regression Models'!$B$104*ifood_data[[#This Row],[Family]]</f>
        <v>805.33951820132381</v>
      </c>
      <c r="BF597" t="str">
        <f>IF(ifood_data[[#This Row],[AcceptedCmpOverall]]=1,"Campaign Respondent","Non-respondent")</f>
        <v>Non-respondent</v>
      </c>
    </row>
    <row r="598" spans="1:58" x14ac:dyDescent="0.35">
      <c r="A598">
        <v>1745</v>
      </c>
      <c r="B598">
        <v>67384</v>
      </c>
      <c r="C598">
        <v>0</v>
      </c>
      <c r="D598">
        <v>1</v>
      </c>
      <c r="E598">
        <v>32</v>
      </c>
      <c r="F598">
        <v>957</v>
      </c>
      <c r="G598">
        <v>40</v>
      </c>
      <c r="H598">
        <v>175</v>
      </c>
      <c r="I598">
        <v>158</v>
      </c>
      <c r="J598">
        <v>53</v>
      </c>
      <c r="K598">
        <v>107</v>
      </c>
      <c r="L598">
        <v>2</v>
      </c>
      <c r="M598">
        <v>7</v>
      </c>
      <c r="N598">
        <v>8</v>
      </c>
      <c r="O598">
        <v>5</v>
      </c>
      <c r="P598">
        <v>5</v>
      </c>
      <c r="Q598">
        <v>0</v>
      </c>
      <c r="R598">
        <v>0</v>
      </c>
      <c r="S598">
        <v>0</v>
      </c>
      <c r="T598">
        <v>1</v>
      </c>
      <c r="U598">
        <v>0</v>
      </c>
      <c r="V598">
        <f>IF(SUM(ifood_data[[#This Row],[AcceptedCmp1]:[AcceptedCmp5]])&gt;0,1,0)</f>
        <v>1</v>
      </c>
      <c r="W598">
        <v>0</v>
      </c>
      <c r="X598">
        <v>3</v>
      </c>
      <c r="Y598">
        <v>11</v>
      </c>
      <c r="Z598">
        <v>0</v>
      </c>
      <c r="AA598">
        <v>50</v>
      </c>
      <c r="AB598">
        <v>2755</v>
      </c>
      <c r="AC598" s="28">
        <f>ifood_data[[#This Row],[Customer_Days]]/365</f>
        <v>7.5479452054794525</v>
      </c>
      <c r="AD598">
        <v>0</v>
      </c>
      <c r="AE598">
        <v>0</v>
      </c>
      <c r="AF598">
        <v>1</v>
      </c>
      <c r="AG598">
        <v>0</v>
      </c>
      <c r="AH598">
        <v>0</v>
      </c>
      <c r="AI598">
        <v>0</v>
      </c>
      <c r="AJ598">
        <v>0</v>
      </c>
      <c r="AK598">
        <v>1</v>
      </c>
      <c r="AL598">
        <v>0</v>
      </c>
      <c r="AM598">
        <v>0</v>
      </c>
      <c r="AN598">
        <v>1383</v>
      </c>
      <c r="AO598">
        <v>1276</v>
      </c>
      <c r="AP598">
        <f>ifood_data[[#This Row],[MntTotal]]-ifood_data[[#This Row],[MntRegularProds]]</f>
        <v>107</v>
      </c>
      <c r="AQ598">
        <v>1</v>
      </c>
      <c r="AR598">
        <f>IF(SUM(ifood_data[[#This Row],[Kidhome]:[Teenhome]])&gt;0,1,0)</f>
        <v>1</v>
      </c>
      <c r="AS598" t="str">
        <f>IF(SUM(ifood_data[[#This Row],[Kidhome]:[Teenhome]])&gt;0,"Has Family","No Family")</f>
        <v>Has Family</v>
      </c>
      <c r="AT598" t="str">
        <f>IF(ifood_data[[#This Row],[marital_Married]]=1,"Married", (IF(ifood_data[[#This Row],[marital_Single]]=1,"Single",(IF(ifood_data[[#This Row],[marital_Divorced]]=1,"Divorced",(IF(ifood_data[[#This Row],[marital_Together]]=1,"Living Together",(IF(ifood_data[[#This Row],[marital_Widow]]=1,"Widow","Other")))))))))</f>
        <v>Single</v>
      </c>
      <c r="AU598" t="str">
        <f>IF(ifood_data[[#This Row],[education_Basic]]=1,"High School",(IF(ifood_data[[#This Row],[education_Graduation]]=1,"Undergraduate Degree",(IF(SUM(AM598,AL598,AI598)&gt;0,"Master's Degree or Higher","Other")))))</f>
        <v>Undergraduate Degree</v>
      </c>
      <c r="AV598" t="str">
        <f>IF(ifood_data[[#All],[Income]]&gt;75000,"75K+",(IF(ifood_data[[#All],[Income]]&gt;50000,"50K-75K",(IF(ifood_data[[#All],[Income]]&gt;35000,"35K-50K","&lt;35K")))))</f>
        <v>50K-75K</v>
      </c>
      <c r="AW598" t="str">
        <f>IF(ifood_data[[#All],[Age]]&gt;60,"60+",(IF(ifood_data[[#All],[Age]]&gt;50,"50-60",(IF(ifood_data[[#All],[Age]]&gt;40,"40-50",(IF(ifood_data[[#All],[Age]]&gt;30,"30-40","&lt;30")))))))</f>
        <v>40-50</v>
      </c>
      <c r="AX598">
        <f t="shared" si="36"/>
        <v>27</v>
      </c>
      <c r="AY598">
        <f t="shared" si="37"/>
        <v>7</v>
      </c>
      <c r="AZ598">
        <f t="shared" si="38"/>
        <v>7</v>
      </c>
      <c r="BA598">
        <f t="shared" si="39"/>
        <v>8</v>
      </c>
      <c r="BB598">
        <f>SUM(ifood_data[[#This Row],[Recency Score]:[Monetary Score]])</f>
        <v>22</v>
      </c>
      <c r="BC598">
        <f>(_xlfn.PERCENTRANK.INC(ifood_data[[#All],[RFM]],ifood_data[[#This Row],[RFM]],1))*10</f>
        <v>8</v>
      </c>
      <c r="BD598" t="str">
        <f>VLOOKUP(ifood_data[[#This Row],[RFM Score]],'RFM Analysis'!$A$3:$B$14,2,FALSE)</f>
        <v>Loyal Customer</v>
      </c>
      <c r="BE598">
        <f>'Regression Models'!$B$101+'Regression Models'!$B$102*ifood_data[[#This Row],[Income]]+'Regression Models'!$B$103*ifood_data[[#This Row],[Age]]+'Regression Models'!$B$104*ifood_data[[#This Row],[Family]]</f>
        <v>804.62591131628699</v>
      </c>
      <c r="BF598" t="str">
        <f>IF(ifood_data[[#This Row],[AcceptedCmpOverall]]=1,"Campaign Respondent","Non-respondent")</f>
        <v>Campaign Respondent</v>
      </c>
    </row>
    <row r="599" spans="1:58" x14ac:dyDescent="0.35">
      <c r="A599">
        <v>35</v>
      </c>
      <c r="B599">
        <v>67353</v>
      </c>
      <c r="C599">
        <v>0</v>
      </c>
      <c r="D599">
        <v>1</v>
      </c>
      <c r="E599">
        <v>37</v>
      </c>
      <c r="F599">
        <v>702</v>
      </c>
      <c r="G599">
        <v>17</v>
      </c>
      <c r="H599">
        <v>151</v>
      </c>
      <c r="I599">
        <v>0</v>
      </c>
      <c r="J599">
        <v>8</v>
      </c>
      <c r="K599">
        <v>35</v>
      </c>
      <c r="L599">
        <v>5</v>
      </c>
      <c r="M599">
        <v>5</v>
      </c>
      <c r="N599">
        <v>6</v>
      </c>
      <c r="O599">
        <v>12</v>
      </c>
      <c r="P599">
        <v>2</v>
      </c>
      <c r="Q599">
        <v>0</v>
      </c>
      <c r="R599">
        <v>0</v>
      </c>
      <c r="S599">
        <v>0</v>
      </c>
      <c r="T599">
        <v>0</v>
      </c>
      <c r="U599">
        <v>0</v>
      </c>
      <c r="V599">
        <f>IF(SUM(ifood_data[[#This Row],[AcceptedCmp1]:[AcceptedCmp5]])&gt;0,1,0)</f>
        <v>0</v>
      </c>
      <c r="W599">
        <v>0</v>
      </c>
      <c r="X599">
        <v>3</v>
      </c>
      <c r="Y599">
        <v>11</v>
      </c>
      <c r="Z599">
        <v>0</v>
      </c>
      <c r="AA599">
        <v>50</v>
      </c>
      <c r="AB599">
        <v>2339</v>
      </c>
      <c r="AC599" s="28">
        <f>ifood_data[[#This Row],[Customer_Days]]/365</f>
        <v>6.4082191780821915</v>
      </c>
      <c r="AD599">
        <v>0</v>
      </c>
      <c r="AE599">
        <v>1</v>
      </c>
      <c r="AF599">
        <v>0</v>
      </c>
      <c r="AG599">
        <v>0</v>
      </c>
      <c r="AH599">
        <v>0</v>
      </c>
      <c r="AI599">
        <v>0</v>
      </c>
      <c r="AJ599">
        <v>0</v>
      </c>
      <c r="AK599">
        <v>0</v>
      </c>
      <c r="AL599">
        <v>0</v>
      </c>
      <c r="AM599">
        <v>1</v>
      </c>
      <c r="AN599">
        <v>878</v>
      </c>
      <c r="AO599">
        <v>843</v>
      </c>
      <c r="AP599">
        <f>ifood_data[[#This Row],[MntTotal]]-ifood_data[[#This Row],[MntRegularProds]]</f>
        <v>35</v>
      </c>
      <c r="AQ599">
        <v>0</v>
      </c>
      <c r="AR599">
        <f>IF(SUM(ifood_data[[#This Row],[Kidhome]:[Teenhome]])&gt;0,1,0)</f>
        <v>1</v>
      </c>
      <c r="AS599" t="str">
        <f>IF(SUM(ifood_data[[#This Row],[Kidhome]:[Teenhome]])&gt;0,"Has Family","No Family")</f>
        <v>Has Family</v>
      </c>
      <c r="AT599" t="str">
        <f>IF(ifood_data[[#This Row],[marital_Married]]=1,"Married", (IF(ifood_data[[#This Row],[marital_Single]]=1,"Single",(IF(ifood_data[[#This Row],[marital_Divorced]]=1,"Divorced",(IF(ifood_data[[#This Row],[marital_Together]]=1,"Living Together",(IF(ifood_data[[#This Row],[marital_Widow]]=1,"Widow","Other")))))))))</f>
        <v>Married</v>
      </c>
      <c r="AU599" t="str">
        <f>IF(ifood_data[[#This Row],[education_Basic]]=1,"High School",(IF(ifood_data[[#This Row],[education_Graduation]]=1,"Undergraduate Degree",(IF(SUM(AM599,AL599,AI599)&gt;0,"Master's Degree or Higher","Other")))))</f>
        <v>Master's Degree or Higher</v>
      </c>
      <c r="AV599" t="str">
        <f>IF(ifood_data[[#All],[Income]]&gt;75000,"75K+",(IF(ifood_data[[#All],[Income]]&gt;50000,"50K-75K",(IF(ifood_data[[#All],[Income]]&gt;35000,"35K-50K","&lt;35K")))))</f>
        <v>50K-75K</v>
      </c>
      <c r="AW599" t="str">
        <f>IF(ifood_data[[#All],[Age]]&gt;60,"60+",(IF(ifood_data[[#All],[Age]]&gt;50,"50-60",(IF(ifood_data[[#All],[Age]]&gt;40,"40-50",(IF(ifood_data[[#All],[Age]]&gt;30,"30-40","&lt;30")))))))</f>
        <v>40-50</v>
      </c>
      <c r="AX599">
        <f t="shared" si="36"/>
        <v>30</v>
      </c>
      <c r="AY599">
        <f t="shared" si="37"/>
        <v>7</v>
      </c>
      <c r="AZ599">
        <f t="shared" si="38"/>
        <v>8</v>
      </c>
      <c r="BA599">
        <f t="shared" si="39"/>
        <v>7</v>
      </c>
      <c r="BB599">
        <f>SUM(ifood_data[[#This Row],[Recency Score]:[Monetary Score]])</f>
        <v>22</v>
      </c>
      <c r="BC599">
        <f>(_xlfn.PERCENTRANK.INC(ifood_data[[#All],[RFM]],ifood_data[[#This Row],[RFM]],1))*10</f>
        <v>8</v>
      </c>
      <c r="BD599" t="str">
        <f>VLOOKUP(ifood_data[[#This Row],[RFM Score]],'RFM Analysis'!$A$3:$B$14,2,FALSE)</f>
        <v>Loyal Customer</v>
      </c>
      <c r="BE599">
        <f>'Regression Models'!$B$101+'Regression Models'!$B$102*ifood_data[[#This Row],[Income]]+'Regression Models'!$B$103*ifood_data[[#This Row],[Age]]+'Regression Models'!$B$104*ifood_data[[#This Row],[Family]]</f>
        <v>803.99385950382623</v>
      </c>
      <c r="BF599" t="str">
        <f>IF(ifood_data[[#This Row],[AcceptedCmpOverall]]=1,"Campaign Respondent","Non-respondent")</f>
        <v>Non-respondent</v>
      </c>
    </row>
    <row r="600" spans="1:58" x14ac:dyDescent="0.35">
      <c r="A600">
        <v>894</v>
      </c>
      <c r="B600">
        <v>51563</v>
      </c>
      <c r="C600">
        <v>0</v>
      </c>
      <c r="D600">
        <v>0</v>
      </c>
      <c r="E600">
        <v>60</v>
      </c>
      <c r="F600">
        <v>1166</v>
      </c>
      <c r="G600">
        <v>0</v>
      </c>
      <c r="H600">
        <v>48</v>
      </c>
      <c r="I600">
        <v>0</v>
      </c>
      <c r="J600">
        <v>0</v>
      </c>
      <c r="K600">
        <v>36</v>
      </c>
      <c r="L600">
        <v>1</v>
      </c>
      <c r="M600">
        <v>4</v>
      </c>
      <c r="N600">
        <v>4</v>
      </c>
      <c r="O600">
        <v>10</v>
      </c>
      <c r="P600">
        <v>8</v>
      </c>
      <c r="Q600">
        <v>0</v>
      </c>
      <c r="R600">
        <v>0</v>
      </c>
      <c r="S600">
        <v>0</v>
      </c>
      <c r="T600">
        <v>1</v>
      </c>
      <c r="U600">
        <v>1</v>
      </c>
      <c r="V600">
        <f>IF(SUM(ifood_data[[#This Row],[AcceptedCmp1]:[AcceptedCmp5]])&gt;0,1,0)</f>
        <v>1</v>
      </c>
      <c r="W600">
        <v>0</v>
      </c>
      <c r="X600">
        <v>3</v>
      </c>
      <c r="Y600">
        <v>11</v>
      </c>
      <c r="Z600">
        <v>0</v>
      </c>
      <c r="AA600">
        <v>33</v>
      </c>
      <c r="AB600">
        <v>2795</v>
      </c>
      <c r="AC600" s="28">
        <f>ifood_data[[#This Row],[Customer_Days]]/365</f>
        <v>7.6575342465753424</v>
      </c>
      <c r="AD600">
        <v>0</v>
      </c>
      <c r="AE600">
        <v>1</v>
      </c>
      <c r="AF600">
        <v>0</v>
      </c>
      <c r="AG600">
        <v>0</v>
      </c>
      <c r="AH600">
        <v>0</v>
      </c>
      <c r="AI600">
        <v>0</v>
      </c>
      <c r="AJ600">
        <v>0</v>
      </c>
      <c r="AK600">
        <v>0</v>
      </c>
      <c r="AL600">
        <v>0</v>
      </c>
      <c r="AM600">
        <v>1</v>
      </c>
      <c r="AN600">
        <v>1214</v>
      </c>
      <c r="AO600">
        <v>1178</v>
      </c>
      <c r="AP600">
        <f>ifood_data[[#This Row],[MntTotal]]-ifood_data[[#This Row],[MntRegularProds]]</f>
        <v>36</v>
      </c>
      <c r="AQ600">
        <v>2</v>
      </c>
      <c r="AR600">
        <f>IF(SUM(ifood_data[[#This Row],[Kidhome]:[Teenhome]])&gt;0,1,0)</f>
        <v>0</v>
      </c>
      <c r="AS600" t="str">
        <f>IF(SUM(ifood_data[[#This Row],[Kidhome]:[Teenhome]])&gt;0,"Has Family","No Family")</f>
        <v>No Family</v>
      </c>
      <c r="AT600" t="str">
        <f>IF(ifood_data[[#This Row],[marital_Married]]=1,"Married", (IF(ifood_data[[#This Row],[marital_Single]]=1,"Single",(IF(ifood_data[[#This Row],[marital_Divorced]]=1,"Divorced",(IF(ifood_data[[#This Row],[marital_Together]]=1,"Living Together",(IF(ifood_data[[#This Row],[marital_Widow]]=1,"Widow","Other")))))))))</f>
        <v>Married</v>
      </c>
      <c r="AU600" t="str">
        <f>IF(ifood_data[[#This Row],[education_Basic]]=1,"High School",(IF(ifood_data[[#This Row],[education_Graduation]]=1,"Undergraduate Degree",(IF(SUM(AM600,AL600,AI600)&gt;0,"Master's Degree or Higher","Other")))))</f>
        <v>Master's Degree or Higher</v>
      </c>
      <c r="AV600" t="str">
        <f>IF(ifood_data[[#All],[Income]]&gt;75000,"75K+",(IF(ifood_data[[#All],[Income]]&gt;50000,"50K-75K",(IF(ifood_data[[#All],[Income]]&gt;35000,"35K-50K","&lt;35K")))))</f>
        <v>50K-75K</v>
      </c>
      <c r="AW600" t="str">
        <f>IF(ifood_data[[#All],[Age]]&gt;60,"60+",(IF(ifood_data[[#All],[Age]]&gt;50,"50-60",(IF(ifood_data[[#All],[Age]]&gt;40,"40-50",(IF(ifood_data[[#All],[Age]]&gt;30,"30-40","&lt;30")))))))</f>
        <v>30-40</v>
      </c>
      <c r="AX600">
        <f t="shared" si="36"/>
        <v>27</v>
      </c>
      <c r="AY600">
        <f t="shared" si="37"/>
        <v>4</v>
      </c>
      <c r="AZ600">
        <f t="shared" si="38"/>
        <v>7</v>
      </c>
      <c r="BA600">
        <f t="shared" si="39"/>
        <v>8</v>
      </c>
      <c r="BB600">
        <f>SUM(ifood_data[[#This Row],[Recency Score]:[Monetary Score]])</f>
        <v>19</v>
      </c>
      <c r="BC600">
        <f>(_xlfn.PERCENTRANK.INC(ifood_data[[#All],[RFM]],ifood_data[[#This Row],[RFM]],1))*10</f>
        <v>7</v>
      </c>
      <c r="BD600" t="str">
        <f>VLOOKUP(ifood_data[[#This Row],[RFM Score]],'RFM Analysis'!$A$3:$B$14,2,FALSE)</f>
        <v>Loyal Customer</v>
      </c>
      <c r="BE600">
        <f>'Regression Models'!$B$101+'Regression Models'!$B$102*ifood_data[[#This Row],[Income]]+'Regression Models'!$B$103*ifood_data[[#This Row],[Age]]+'Regression Models'!$B$104*ifood_data[[#This Row],[Family]]</f>
        <v>802.88830592588079</v>
      </c>
      <c r="BF600" t="str">
        <f>IF(ifood_data[[#This Row],[AcceptedCmpOverall]]=1,"Campaign Respondent","Non-respondent")</f>
        <v>Campaign Respondent</v>
      </c>
    </row>
    <row r="601" spans="1:58" x14ac:dyDescent="0.35">
      <c r="A601">
        <v>1125</v>
      </c>
      <c r="B601">
        <v>67369</v>
      </c>
      <c r="C601">
        <v>0</v>
      </c>
      <c r="D601">
        <v>1</v>
      </c>
      <c r="E601">
        <v>81</v>
      </c>
      <c r="F601">
        <v>1298</v>
      </c>
      <c r="G601">
        <v>0</v>
      </c>
      <c r="H601">
        <v>70</v>
      </c>
      <c r="I601">
        <v>37</v>
      </c>
      <c r="J601">
        <v>14</v>
      </c>
      <c r="K601">
        <v>42</v>
      </c>
      <c r="L601">
        <v>4</v>
      </c>
      <c r="M601">
        <v>7</v>
      </c>
      <c r="N601">
        <v>4</v>
      </c>
      <c r="O601">
        <v>10</v>
      </c>
      <c r="P601">
        <v>4</v>
      </c>
      <c r="Q601">
        <v>0</v>
      </c>
      <c r="R601">
        <v>0</v>
      </c>
      <c r="S601">
        <v>0</v>
      </c>
      <c r="T601">
        <v>1</v>
      </c>
      <c r="U601">
        <v>1</v>
      </c>
      <c r="V601">
        <f>IF(SUM(ifood_data[[#This Row],[AcceptedCmp1]:[AcceptedCmp5]])&gt;0,1,0)</f>
        <v>1</v>
      </c>
      <c r="W601">
        <v>0</v>
      </c>
      <c r="X601">
        <v>3</v>
      </c>
      <c r="Y601">
        <v>11</v>
      </c>
      <c r="Z601">
        <v>1</v>
      </c>
      <c r="AA601">
        <v>51</v>
      </c>
      <c r="AB601">
        <v>2748</v>
      </c>
      <c r="AC601" s="28">
        <f>ifood_data[[#This Row],[Customer_Days]]/365</f>
        <v>7.5287671232876709</v>
      </c>
      <c r="AD601">
        <v>0</v>
      </c>
      <c r="AE601">
        <v>0</v>
      </c>
      <c r="AF601">
        <v>0</v>
      </c>
      <c r="AG601">
        <v>0</v>
      </c>
      <c r="AH601">
        <v>1</v>
      </c>
      <c r="AI601">
        <v>0</v>
      </c>
      <c r="AJ601">
        <v>0</v>
      </c>
      <c r="AK601">
        <v>0</v>
      </c>
      <c r="AL601">
        <v>1</v>
      </c>
      <c r="AM601">
        <v>0</v>
      </c>
      <c r="AN601">
        <v>1419</v>
      </c>
      <c r="AO601">
        <v>1377</v>
      </c>
      <c r="AP601">
        <f>ifood_data[[#This Row],[MntTotal]]-ifood_data[[#This Row],[MntRegularProds]]</f>
        <v>42</v>
      </c>
      <c r="AQ601">
        <v>2</v>
      </c>
      <c r="AR601">
        <f>IF(SUM(ifood_data[[#This Row],[Kidhome]:[Teenhome]])&gt;0,1,0)</f>
        <v>1</v>
      </c>
      <c r="AS601" t="str">
        <f>IF(SUM(ifood_data[[#This Row],[Kidhome]:[Teenhome]])&gt;0,"Has Family","No Family")</f>
        <v>Has Family</v>
      </c>
      <c r="AT601" t="str">
        <f>IF(ifood_data[[#This Row],[marital_Married]]=1,"Married", (IF(ifood_data[[#This Row],[marital_Single]]=1,"Single",(IF(ifood_data[[#This Row],[marital_Divorced]]=1,"Divorced",(IF(ifood_data[[#This Row],[marital_Together]]=1,"Living Together",(IF(ifood_data[[#This Row],[marital_Widow]]=1,"Widow","Other")))))))))</f>
        <v>Widow</v>
      </c>
      <c r="AU601" t="str">
        <f>IF(ifood_data[[#This Row],[education_Basic]]=1,"High School",(IF(ifood_data[[#This Row],[education_Graduation]]=1,"Undergraduate Degree",(IF(SUM(AM601,AL601,AI601)&gt;0,"Master's Degree or Higher","Other")))))</f>
        <v>Master's Degree or Higher</v>
      </c>
      <c r="AV601" t="str">
        <f>IF(ifood_data[[#All],[Income]]&gt;75000,"75K+",(IF(ifood_data[[#All],[Income]]&gt;50000,"50K-75K",(IF(ifood_data[[#All],[Income]]&gt;35000,"35K-50K","&lt;35K")))))</f>
        <v>50K-75K</v>
      </c>
      <c r="AW601" t="str">
        <f>IF(ifood_data[[#All],[Age]]&gt;60,"60+",(IF(ifood_data[[#All],[Age]]&gt;50,"50-60",(IF(ifood_data[[#All],[Age]]&gt;40,"40-50",(IF(ifood_data[[#All],[Age]]&gt;30,"30-40","&lt;30")))))))</f>
        <v>50-60</v>
      </c>
      <c r="AX601">
        <f t="shared" si="36"/>
        <v>29</v>
      </c>
      <c r="AY601">
        <f t="shared" si="37"/>
        <v>1.9999999999999996</v>
      </c>
      <c r="AZ601">
        <f t="shared" si="38"/>
        <v>8</v>
      </c>
      <c r="BA601">
        <f t="shared" si="39"/>
        <v>8</v>
      </c>
      <c r="BB601">
        <f>SUM(ifood_data[[#This Row],[Recency Score]:[Monetary Score]])</f>
        <v>18</v>
      </c>
      <c r="BC601">
        <f>(_xlfn.PERCENTRANK.INC(ifood_data[[#All],[RFM]],ifood_data[[#This Row],[RFM]],1))*10</f>
        <v>6</v>
      </c>
      <c r="BD601" t="str">
        <f>VLOOKUP(ifood_data[[#This Row],[RFM Score]],'RFM Analysis'!$A$3:$B$14,2,FALSE)</f>
        <v>Promising</v>
      </c>
      <c r="BE601">
        <f>'Regression Models'!$B$101+'Regression Models'!$B$102*ifood_data[[#This Row],[Income]]+'Regression Models'!$B$103*ifood_data[[#This Row],[Age]]+'Regression Models'!$B$104*ifood_data[[#This Row],[Family]]</f>
        <v>802.4836407152344</v>
      </c>
      <c r="BF601" t="str">
        <f>IF(ifood_data[[#This Row],[AcceptedCmpOverall]]=1,"Campaign Respondent","Non-respondent")</f>
        <v>Campaign Respondent</v>
      </c>
    </row>
    <row r="602" spans="1:58" x14ac:dyDescent="0.35">
      <c r="A602">
        <v>57</v>
      </c>
      <c r="B602">
        <v>66653</v>
      </c>
      <c r="C602">
        <v>1</v>
      </c>
      <c r="D602">
        <v>1</v>
      </c>
      <c r="E602">
        <v>18</v>
      </c>
      <c r="F602">
        <v>452</v>
      </c>
      <c r="G602">
        <v>18</v>
      </c>
      <c r="H602">
        <v>102</v>
      </c>
      <c r="I602">
        <v>16</v>
      </c>
      <c r="J602">
        <v>18</v>
      </c>
      <c r="K602">
        <v>6</v>
      </c>
      <c r="L602">
        <v>4</v>
      </c>
      <c r="M602">
        <v>4</v>
      </c>
      <c r="N602">
        <v>2</v>
      </c>
      <c r="O602">
        <v>12</v>
      </c>
      <c r="P602">
        <v>3</v>
      </c>
      <c r="Q602">
        <v>0</v>
      </c>
      <c r="R602">
        <v>0</v>
      </c>
      <c r="S602">
        <v>0</v>
      </c>
      <c r="T602">
        <v>0</v>
      </c>
      <c r="U602">
        <v>0</v>
      </c>
      <c r="V602">
        <f>IF(SUM(ifood_data[[#This Row],[AcceptedCmp1]:[AcceptedCmp5]])&gt;0,1,0)</f>
        <v>0</v>
      </c>
      <c r="W602">
        <v>0</v>
      </c>
      <c r="X602">
        <v>3</v>
      </c>
      <c r="Y602">
        <v>11</v>
      </c>
      <c r="Z602">
        <v>0</v>
      </c>
      <c r="AA602">
        <v>45</v>
      </c>
      <c r="AB602">
        <v>2819</v>
      </c>
      <c r="AC602" s="28">
        <f>ifood_data[[#This Row],[Customer_Days]]/365</f>
        <v>7.7232876712328764</v>
      </c>
      <c r="AD602">
        <v>0</v>
      </c>
      <c r="AE602">
        <v>0</v>
      </c>
      <c r="AF602">
        <v>0</v>
      </c>
      <c r="AG602">
        <v>1</v>
      </c>
      <c r="AH602">
        <v>0</v>
      </c>
      <c r="AI602">
        <v>0</v>
      </c>
      <c r="AJ602">
        <v>0</v>
      </c>
      <c r="AK602">
        <v>1</v>
      </c>
      <c r="AL602">
        <v>0</v>
      </c>
      <c r="AM602">
        <v>0</v>
      </c>
      <c r="AN602">
        <v>606</v>
      </c>
      <c r="AO602">
        <v>600</v>
      </c>
      <c r="AP602">
        <f>ifood_data[[#This Row],[MntTotal]]-ifood_data[[#This Row],[MntRegularProds]]</f>
        <v>6</v>
      </c>
      <c r="AQ602">
        <v>0</v>
      </c>
      <c r="AR602">
        <f>IF(SUM(ifood_data[[#This Row],[Kidhome]:[Teenhome]])&gt;0,1,0)</f>
        <v>1</v>
      </c>
      <c r="AS602" t="str">
        <f>IF(SUM(ifood_data[[#This Row],[Kidhome]:[Teenhome]])&gt;0,"Has Family","No Family")</f>
        <v>Has Family</v>
      </c>
      <c r="AT602" t="str">
        <f>IF(ifood_data[[#This Row],[marital_Married]]=1,"Married", (IF(ifood_data[[#This Row],[marital_Single]]=1,"Single",(IF(ifood_data[[#This Row],[marital_Divorced]]=1,"Divorced",(IF(ifood_data[[#This Row],[marital_Together]]=1,"Living Together",(IF(ifood_data[[#This Row],[marital_Widow]]=1,"Widow","Other")))))))))</f>
        <v>Living Together</v>
      </c>
      <c r="AU602" t="str">
        <f>IF(ifood_data[[#This Row],[education_Basic]]=1,"High School",(IF(ifood_data[[#This Row],[education_Graduation]]=1,"Undergraduate Degree",(IF(SUM(AM602,AL602,AI602)&gt;0,"Master's Degree or Higher","Other")))))</f>
        <v>Undergraduate Degree</v>
      </c>
      <c r="AV602" t="str">
        <f>IF(ifood_data[[#All],[Income]]&gt;75000,"75K+",(IF(ifood_data[[#All],[Income]]&gt;50000,"50K-75K",(IF(ifood_data[[#All],[Income]]&gt;35000,"35K-50K","&lt;35K")))))</f>
        <v>50K-75K</v>
      </c>
      <c r="AW602" t="str">
        <f>IF(ifood_data[[#All],[Age]]&gt;60,"60+",(IF(ifood_data[[#All],[Age]]&gt;50,"50-60",(IF(ifood_data[[#All],[Age]]&gt;40,"40-50",(IF(ifood_data[[#All],[Age]]&gt;30,"30-40","&lt;30")))))))</f>
        <v>40-50</v>
      </c>
      <c r="AX602">
        <f t="shared" si="36"/>
        <v>25</v>
      </c>
      <c r="AY602">
        <f t="shared" si="37"/>
        <v>9</v>
      </c>
      <c r="AZ602">
        <f t="shared" si="38"/>
        <v>7</v>
      </c>
      <c r="BA602">
        <f t="shared" si="39"/>
        <v>6</v>
      </c>
      <c r="BB602">
        <f>SUM(ifood_data[[#This Row],[Recency Score]:[Monetary Score]])</f>
        <v>22</v>
      </c>
      <c r="BC602">
        <f>(_xlfn.PERCENTRANK.INC(ifood_data[[#All],[RFM]],ifood_data[[#This Row],[RFM]],1))*10</f>
        <v>8</v>
      </c>
      <c r="BD602" t="str">
        <f>VLOOKUP(ifood_data[[#This Row],[RFM Score]],'RFM Analysis'!$A$3:$B$14,2,FALSE)</f>
        <v>Loyal Customer</v>
      </c>
      <c r="BE602">
        <f>'Regression Models'!$B$101+'Regression Models'!$B$102*ifood_data[[#This Row],[Income]]+'Regression Models'!$B$103*ifood_data[[#This Row],[Age]]+'Regression Models'!$B$104*ifood_data[[#This Row],[Family]]</f>
        <v>798.90391719756838</v>
      </c>
      <c r="BF602" t="str">
        <f>IF(ifood_data[[#This Row],[AcceptedCmpOverall]]=1,"Campaign Respondent","Non-respondent")</f>
        <v>Non-respondent</v>
      </c>
    </row>
    <row r="603" spans="1:58" x14ac:dyDescent="0.35">
      <c r="A603">
        <v>51</v>
      </c>
      <c r="B603">
        <v>66373</v>
      </c>
      <c r="C603">
        <v>1</v>
      </c>
      <c r="D603">
        <v>1</v>
      </c>
      <c r="E603">
        <v>57</v>
      </c>
      <c r="F603">
        <v>328</v>
      </c>
      <c r="G603">
        <v>9</v>
      </c>
      <c r="H603">
        <v>124</v>
      </c>
      <c r="I603">
        <v>12</v>
      </c>
      <c r="J603">
        <v>24</v>
      </c>
      <c r="K603">
        <v>109</v>
      </c>
      <c r="L603">
        <v>7</v>
      </c>
      <c r="M603">
        <v>4</v>
      </c>
      <c r="N603">
        <v>2</v>
      </c>
      <c r="O603">
        <v>10</v>
      </c>
      <c r="P603">
        <v>3</v>
      </c>
      <c r="Q603">
        <v>0</v>
      </c>
      <c r="R603">
        <v>0</v>
      </c>
      <c r="S603">
        <v>0</v>
      </c>
      <c r="T603">
        <v>0</v>
      </c>
      <c r="U603">
        <v>0</v>
      </c>
      <c r="V603">
        <f>IF(SUM(ifood_data[[#This Row],[AcceptedCmp1]:[AcceptedCmp5]])&gt;0,1,0)</f>
        <v>0</v>
      </c>
      <c r="W603">
        <v>0</v>
      </c>
      <c r="X603">
        <v>3</v>
      </c>
      <c r="Y603">
        <v>11</v>
      </c>
      <c r="Z603">
        <v>0</v>
      </c>
      <c r="AA603">
        <v>42</v>
      </c>
      <c r="AB603">
        <v>2541</v>
      </c>
      <c r="AC603" s="28">
        <f>ifood_data[[#This Row],[Customer_Days]]/365</f>
        <v>6.9616438356164387</v>
      </c>
      <c r="AD603">
        <v>0</v>
      </c>
      <c r="AE603">
        <v>1</v>
      </c>
      <c r="AF603">
        <v>0</v>
      </c>
      <c r="AG603">
        <v>0</v>
      </c>
      <c r="AH603">
        <v>0</v>
      </c>
      <c r="AI603">
        <v>0</v>
      </c>
      <c r="AJ603">
        <v>0</v>
      </c>
      <c r="AK603">
        <v>1</v>
      </c>
      <c r="AL603">
        <v>0</v>
      </c>
      <c r="AM603">
        <v>0</v>
      </c>
      <c r="AN603">
        <v>497</v>
      </c>
      <c r="AO603">
        <v>388</v>
      </c>
      <c r="AP603">
        <f>ifood_data[[#This Row],[MntTotal]]-ifood_data[[#This Row],[MntRegularProds]]</f>
        <v>109</v>
      </c>
      <c r="AQ603">
        <v>0</v>
      </c>
      <c r="AR603">
        <f>IF(SUM(ifood_data[[#This Row],[Kidhome]:[Teenhome]])&gt;0,1,0)</f>
        <v>1</v>
      </c>
      <c r="AS603" t="str">
        <f>IF(SUM(ifood_data[[#This Row],[Kidhome]:[Teenhome]])&gt;0,"Has Family","No Family")</f>
        <v>Has Family</v>
      </c>
      <c r="AT603" t="str">
        <f>IF(ifood_data[[#This Row],[marital_Married]]=1,"Married", (IF(ifood_data[[#This Row],[marital_Single]]=1,"Single",(IF(ifood_data[[#This Row],[marital_Divorced]]=1,"Divorced",(IF(ifood_data[[#This Row],[marital_Together]]=1,"Living Together",(IF(ifood_data[[#This Row],[marital_Widow]]=1,"Widow","Other")))))))))</f>
        <v>Married</v>
      </c>
      <c r="AU603" t="str">
        <f>IF(ifood_data[[#This Row],[education_Basic]]=1,"High School",(IF(ifood_data[[#This Row],[education_Graduation]]=1,"Undergraduate Degree",(IF(SUM(AM603,AL603,AI603)&gt;0,"Master's Degree or Higher","Other")))))</f>
        <v>Undergraduate Degree</v>
      </c>
      <c r="AV603" t="str">
        <f>IF(ifood_data[[#All],[Income]]&gt;75000,"75K+",(IF(ifood_data[[#All],[Income]]&gt;50000,"50K-75K",(IF(ifood_data[[#All],[Income]]&gt;35000,"35K-50K","&lt;35K")))))</f>
        <v>50K-75K</v>
      </c>
      <c r="AW603" t="str">
        <f>IF(ifood_data[[#All],[Age]]&gt;60,"60+",(IF(ifood_data[[#All],[Age]]&gt;50,"50-60",(IF(ifood_data[[#All],[Age]]&gt;40,"40-50",(IF(ifood_data[[#All],[Age]]&gt;30,"30-40","&lt;30")))))))</f>
        <v>40-50</v>
      </c>
      <c r="AX603">
        <f t="shared" si="36"/>
        <v>26</v>
      </c>
      <c r="AY603">
        <f t="shared" si="37"/>
        <v>5</v>
      </c>
      <c r="AZ603">
        <f t="shared" si="38"/>
        <v>7</v>
      </c>
      <c r="BA603">
        <f t="shared" si="39"/>
        <v>5</v>
      </c>
      <c r="BB603">
        <f>SUM(ifood_data[[#This Row],[Recency Score]:[Monetary Score]])</f>
        <v>17</v>
      </c>
      <c r="BC603">
        <f>(_xlfn.PERCENTRANK.INC(ifood_data[[#All],[RFM]],ifood_data[[#This Row],[RFM]],1))*10</f>
        <v>6</v>
      </c>
      <c r="BD603" t="str">
        <f>VLOOKUP(ifood_data[[#This Row],[RFM Score]],'RFM Analysis'!$A$3:$B$14,2,FALSE)</f>
        <v>Promising</v>
      </c>
      <c r="BE603">
        <f>'Regression Models'!$B$101+'Regression Models'!$B$102*ifood_data[[#This Row],[Income]]+'Regression Models'!$B$103*ifood_data[[#This Row],[Age]]+'Regression Models'!$B$104*ifood_data[[#This Row],[Family]]</f>
        <v>798.70437935395978</v>
      </c>
      <c r="BF603" t="str">
        <f>IF(ifood_data[[#This Row],[AcceptedCmpOverall]]=1,"Campaign Respondent","Non-respondent")</f>
        <v>Non-respondent</v>
      </c>
    </row>
    <row r="604" spans="1:58" x14ac:dyDescent="0.35">
      <c r="A604">
        <v>409</v>
      </c>
      <c r="B604">
        <v>67309</v>
      </c>
      <c r="C604">
        <v>1</v>
      </c>
      <c r="D604">
        <v>1</v>
      </c>
      <c r="E604">
        <v>76</v>
      </c>
      <c r="F604">
        <v>515</v>
      </c>
      <c r="G604">
        <v>47</v>
      </c>
      <c r="H604">
        <v>181</v>
      </c>
      <c r="I604">
        <v>149</v>
      </c>
      <c r="J604">
        <v>95</v>
      </c>
      <c r="K604">
        <v>95</v>
      </c>
      <c r="L604">
        <v>15</v>
      </c>
      <c r="M604">
        <v>9</v>
      </c>
      <c r="N604">
        <v>6</v>
      </c>
      <c r="O604">
        <v>9</v>
      </c>
      <c r="P604">
        <v>7</v>
      </c>
      <c r="Q604">
        <v>0</v>
      </c>
      <c r="R604">
        <v>0</v>
      </c>
      <c r="S604">
        <v>0</v>
      </c>
      <c r="T604">
        <v>0</v>
      </c>
      <c r="U604">
        <v>0</v>
      </c>
      <c r="V604">
        <f>IF(SUM(ifood_data[[#This Row],[AcceptedCmp1]:[AcceptedCmp5]])&gt;0,1,0)</f>
        <v>0</v>
      </c>
      <c r="W604">
        <v>0</v>
      </c>
      <c r="X604">
        <v>3</v>
      </c>
      <c r="Y604">
        <v>11</v>
      </c>
      <c r="Z604">
        <v>0</v>
      </c>
      <c r="AA604">
        <v>53</v>
      </c>
      <c r="AB604">
        <v>2681</v>
      </c>
      <c r="AC604" s="28">
        <f>ifood_data[[#This Row],[Customer_Days]]/365</f>
        <v>7.3452054794520549</v>
      </c>
      <c r="AD604">
        <v>0</v>
      </c>
      <c r="AE604">
        <v>0</v>
      </c>
      <c r="AF604">
        <v>0</v>
      </c>
      <c r="AG604">
        <v>1</v>
      </c>
      <c r="AH604">
        <v>0</v>
      </c>
      <c r="AI604">
        <v>1</v>
      </c>
      <c r="AJ604">
        <v>0</v>
      </c>
      <c r="AK604">
        <v>0</v>
      </c>
      <c r="AL604">
        <v>0</v>
      </c>
      <c r="AM604">
        <v>0</v>
      </c>
      <c r="AN604">
        <v>987</v>
      </c>
      <c r="AO604">
        <v>892</v>
      </c>
      <c r="AP604">
        <f>ifood_data[[#This Row],[MntTotal]]-ifood_data[[#This Row],[MntRegularProds]]</f>
        <v>95</v>
      </c>
      <c r="AQ604">
        <v>0</v>
      </c>
      <c r="AR604">
        <f>IF(SUM(ifood_data[[#This Row],[Kidhome]:[Teenhome]])&gt;0,1,0)</f>
        <v>1</v>
      </c>
      <c r="AS604" t="str">
        <f>IF(SUM(ifood_data[[#This Row],[Kidhome]:[Teenhome]])&gt;0,"Has Family","No Family")</f>
        <v>Has Family</v>
      </c>
      <c r="AT604" t="str">
        <f>IF(ifood_data[[#This Row],[marital_Married]]=1,"Married", (IF(ifood_data[[#This Row],[marital_Single]]=1,"Single",(IF(ifood_data[[#This Row],[marital_Divorced]]=1,"Divorced",(IF(ifood_data[[#This Row],[marital_Together]]=1,"Living Together",(IF(ifood_data[[#This Row],[marital_Widow]]=1,"Widow","Other")))))))))</f>
        <v>Living Together</v>
      </c>
      <c r="AU604" t="str">
        <f>IF(ifood_data[[#This Row],[education_Basic]]=1,"High School",(IF(ifood_data[[#This Row],[education_Graduation]]=1,"Undergraduate Degree",(IF(SUM(AM604,AL604,AI604)&gt;0,"Master's Degree or Higher","Other")))))</f>
        <v>Master's Degree or Higher</v>
      </c>
      <c r="AV604" t="str">
        <f>IF(ifood_data[[#All],[Income]]&gt;75000,"75K+",(IF(ifood_data[[#All],[Income]]&gt;50000,"50K-75K",(IF(ifood_data[[#All],[Income]]&gt;35000,"35K-50K","&lt;35K")))))</f>
        <v>50K-75K</v>
      </c>
      <c r="AW604" t="str">
        <f>IF(ifood_data[[#All],[Age]]&gt;60,"60+",(IF(ifood_data[[#All],[Age]]&gt;50,"50-60",(IF(ifood_data[[#All],[Age]]&gt;40,"40-50",(IF(ifood_data[[#All],[Age]]&gt;30,"30-40","&lt;30")))))))</f>
        <v>50-60</v>
      </c>
      <c r="AX604">
        <f t="shared" si="36"/>
        <v>46</v>
      </c>
      <c r="AY604">
        <f t="shared" si="37"/>
        <v>3.0000000000000004</v>
      </c>
      <c r="AZ604">
        <f t="shared" si="38"/>
        <v>10</v>
      </c>
      <c r="BA604">
        <f t="shared" si="39"/>
        <v>7</v>
      </c>
      <c r="BB604">
        <f>SUM(ifood_data[[#This Row],[Recency Score]:[Monetary Score]])</f>
        <v>20</v>
      </c>
      <c r="BC604">
        <f>(_xlfn.PERCENTRANK.INC(ifood_data[[#All],[RFM]],ifood_data[[#This Row],[RFM]],1))*10</f>
        <v>7</v>
      </c>
      <c r="BD604" t="str">
        <f>VLOOKUP(ifood_data[[#This Row],[RFM Score]],'RFM Analysis'!$A$3:$B$14,2,FALSE)</f>
        <v>Loyal Customer</v>
      </c>
      <c r="BE604">
        <f>'Regression Models'!$B$101+'Regression Models'!$B$102*ifood_data[[#This Row],[Income]]+'Regression Models'!$B$103*ifood_data[[#This Row],[Age]]+'Regression Models'!$B$104*ifood_data[[#This Row],[Family]]</f>
        <v>797.58743646881214</v>
      </c>
      <c r="BF604" t="str">
        <f>IF(ifood_data[[#This Row],[AcceptedCmpOverall]]=1,"Campaign Respondent","Non-respondent")</f>
        <v>Non-respondent</v>
      </c>
    </row>
    <row r="605" spans="1:58" x14ac:dyDescent="0.35">
      <c r="A605">
        <v>649</v>
      </c>
      <c r="B605">
        <v>66476</v>
      </c>
      <c r="C605">
        <v>0</v>
      </c>
      <c r="D605">
        <v>1</v>
      </c>
      <c r="E605">
        <v>99</v>
      </c>
      <c r="F605">
        <v>372</v>
      </c>
      <c r="G605">
        <v>18</v>
      </c>
      <c r="H605">
        <v>126</v>
      </c>
      <c r="I605">
        <v>47</v>
      </c>
      <c r="J605">
        <v>48</v>
      </c>
      <c r="K605">
        <v>78</v>
      </c>
      <c r="L605">
        <v>2</v>
      </c>
      <c r="M605">
        <v>5</v>
      </c>
      <c r="N605">
        <v>2</v>
      </c>
      <c r="O605">
        <v>11</v>
      </c>
      <c r="P605">
        <v>4</v>
      </c>
      <c r="Q605">
        <v>0</v>
      </c>
      <c r="R605">
        <v>0</v>
      </c>
      <c r="S605">
        <v>0</v>
      </c>
      <c r="T605">
        <v>0</v>
      </c>
      <c r="U605">
        <v>0</v>
      </c>
      <c r="V605">
        <f>IF(SUM(ifood_data[[#This Row],[AcceptedCmp1]:[AcceptedCmp5]])&gt;0,1,0)</f>
        <v>0</v>
      </c>
      <c r="W605">
        <v>0</v>
      </c>
      <c r="X605">
        <v>3</v>
      </c>
      <c r="Y605">
        <v>11</v>
      </c>
      <c r="Z605">
        <v>0</v>
      </c>
      <c r="AA605">
        <v>44</v>
      </c>
      <c r="AB605">
        <v>2638</v>
      </c>
      <c r="AC605" s="28">
        <f>ifood_data[[#This Row],[Customer_Days]]/365</f>
        <v>7.2273972602739729</v>
      </c>
      <c r="AD605">
        <v>1</v>
      </c>
      <c r="AE605">
        <v>0</v>
      </c>
      <c r="AF605">
        <v>0</v>
      </c>
      <c r="AG605">
        <v>0</v>
      </c>
      <c r="AH605">
        <v>0</v>
      </c>
      <c r="AI605">
        <v>0</v>
      </c>
      <c r="AJ605">
        <v>0</v>
      </c>
      <c r="AK605">
        <v>0</v>
      </c>
      <c r="AL605">
        <v>0</v>
      </c>
      <c r="AM605">
        <v>1</v>
      </c>
      <c r="AN605">
        <v>611</v>
      </c>
      <c r="AO605">
        <v>533</v>
      </c>
      <c r="AP605">
        <f>ifood_data[[#This Row],[MntTotal]]-ifood_data[[#This Row],[MntRegularProds]]</f>
        <v>78</v>
      </c>
      <c r="AQ605">
        <v>0</v>
      </c>
      <c r="AR605">
        <f>IF(SUM(ifood_data[[#This Row],[Kidhome]:[Teenhome]])&gt;0,1,0)</f>
        <v>1</v>
      </c>
      <c r="AS605" t="str">
        <f>IF(SUM(ifood_data[[#This Row],[Kidhome]:[Teenhome]])&gt;0,"Has Family","No Family")</f>
        <v>Has Family</v>
      </c>
      <c r="AT605" t="str">
        <f>IF(ifood_data[[#This Row],[marital_Married]]=1,"Married", (IF(ifood_data[[#This Row],[marital_Single]]=1,"Single",(IF(ifood_data[[#This Row],[marital_Divorced]]=1,"Divorced",(IF(ifood_data[[#This Row],[marital_Together]]=1,"Living Together",(IF(ifood_data[[#This Row],[marital_Widow]]=1,"Widow","Other")))))))))</f>
        <v>Divorced</v>
      </c>
      <c r="AU605" t="str">
        <f>IF(ifood_data[[#This Row],[education_Basic]]=1,"High School",(IF(ifood_data[[#This Row],[education_Graduation]]=1,"Undergraduate Degree",(IF(SUM(AM605,AL605,AI605)&gt;0,"Master's Degree or Higher","Other")))))</f>
        <v>Master's Degree or Higher</v>
      </c>
      <c r="AV605" t="str">
        <f>IF(ifood_data[[#All],[Income]]&gt;75000,"75K+",(IF(ifood_data[[#All],[Income]]&gt;50000,"50K-75K",(IF(ifood_data[[#All],[Income]]&gt;35000,"35K-50K","&lt;35K")))))</f>
        <v>50K-75K</v>
      </c>
      <c r="AW605" t="str">
        <f>IF(ifood_data[[#All],[Age]]&gt;60,"60+",(IF(ifood_data[[#All],[Age]]&gt;50,"50-60",(IF(ifood_data[[#All],[Age]]&gt;40,"40-50",(IF(ifood_data[[#All],[Age]]&gt;30,"30-40","&lt;30")))))))</f>
        <v>40-50</v>
      </c>
      <c r="AX605">
        <f t="shared" si="36"/>
        <v>24</v>
      </c>
      <c r="AY605">
        <f t="shared" si="37"/>
        <v>0.99999999999999978</v>
      </c>
      <c r="AZ605">
        <f t="shared" si="38"/>
        <v>6</v>
      </c>
      <c r="BA605">
        <f t="shared" si="39"/>
        <v>6</v>
      </c>
      <c r="BB605">
        <f>SUM(ifood_data[[#This Row],[Recency Score]:[Monetary Score]])</f>
        <v>13</v>
      </c>
      <c r="BC605">
        <f>(_xlfn.PERCENTRANK.INC(ifood_data[[#All],[RFM]],ifood_data[[#This Row],[RFM]],1))*10</f>
        <v>3</v>
      </c>
      <c r="BD605" t="str">
        <f>VLOOKUP(ifood_data[[#This Row],[RFM Score]],'RFM Analysis'!$A$3:$B$14,2,FALSE)</f>
        <v>At Risk</v>
      </c>
      <c r="BE605">
        <f>'Regression Models'!$B$101+'Regression Models'!$B$102*ifood_data[[#This Row],[Income]]+'Regression Models'!$B$103*ifood_data[[#This Row],[Age]]+'Regression Models'!$B$104*ifood_data[[#This Row],[Family]]</f>
        <v>797.13154431499254</v>
      </c>
      <c r="BF605" t="str">
        <f>IF(ifood_data[[#This Row],[AcceptedCmpOverall]]=1,"Campaign Respondent","Non-respondent")</f>
        <v>Non-respondent</v>
      </c>
    </row>
    <row r="606" spans="1:58" x14ac:dyDescent="0.35">
      <c r="A606">
        <v>413</v>
      </c>
      <c r="B606">
        <v>67272</v>
      </c>
      <c r="C606">
        <v>0</v>
      </c>
      <c r="D606">
        <v>1</v>
      </c>
      <c r="E606">
        <v>12</v>
      </c>
      <c r="F606">
        <v>357</v>
      </c>
      <c r="G606">
        <v>35</v>
      </c>
      <c r="H606">
        <v>271</v>
      </c>
      <c r="I606">
        <v>28</v>
      </c>
      <c r="J606">
        <v>28</v>
      </c>
      <c r="K606">
        <v>14</v>
      </c>
      <c r="L606">
        <v>3</v>
      </c>
      <c r="M606">
        <v>6</v>
      </c>
      <c r="N606">
        <v>2</v>
      </c>
      <c r="O606">
        <v>12</v>
      </c>
      <c r="P606">
        <v>5</v>
      </c>
      <c r="Q606">
        <v>0</v>
      </c>
      <c r="R606">
        <v>0</v>
      </c>
      <c r="S606">
        <v>0</v>
      </c>
      <c r="T606">
        <v>0</v>
      </c>
      <c r="U606">
        <v>0</v>
      </c>
      <c r="V606">
        <f>IF(SUM(ifood_data[[#This Row],[AcceptedCmp1]:[AcceptedCmp5]])&gt;0,1,0)</f>
        <v>0</v>
      </c>
      <c r="W606">
        <v>0</v>
      </c>
      <c r="X606">
        <v>3</v>
      </c>
      <c r="Y606">
        <v>11</v>
      </c>
      <c r="Z606">
        <v>0</v>
      </c>
      <c r="AA606">
        <v>54</v>
      </c>
      <c r="AB606">
        <v>2349</v>
      </c>
      <c r="AC606" s="28">
        <f>ifood_data[[#This Row],[Customer_Days]]/365</f>
        <v>6.4356164383561643</v>
      </c>
      <c r="AD606">
        <v>1</v>
      </c>
      <c r="AE606">
        <v>0</v>
      </c>
      <c r="AF606">
        <v>0</v>
      </c>
      <c r="AG606">
        <v>0</v>
      </c>
      <c r="AH606">
        <v>0</v>
      </c>
      <c r="AI606">
        <v>0</v>
      </c>
      <c r="AJ606">
        <v>0</v>
      </c>
      <c r="AK606">
        <v>1</v>
      </c>
      <c r="AL606">
        <v>0</v>
      </c>
      <c r="AM606">
        <v>0</v>
      </c>
      <c r="AN606">
        <v>719</v>
      </c>
      <c r="AO606">
        <v>705</v>
      </c>
      <c r="AP606">
        <f>ifood_data[[#This Row],[MntTotal]]-ifood_data[[#This Row],[MntRegularProds]]</f>
        <v>14</v>
      </c>
      <c r="AQ606">
        <v>0</v>
      </c>
      <c r="AR606">
        <f>IF(SUM(ifood_data[[#This Row],[Kidhome]:[Teenhome]])&gt;0,1,0)</f>
        <v>1</v>
      </c>
      <c r="AS606" t="str">
        <f>IF(SUM(ifood_data[[#This Row],[Kidhome]:[Teenhome]])&gt;0,"Has Family","No Family")</f>
        <v>Has Family</v>
      </c>
      <c r="AT606" t="str">
        <f>IF(ifood_data[[#This Row],[marital_Married]]=1,"Married", (IF(ifood_data[[#This Row],[marital_Single]]=1,"Single",(IF(ifood_data[[#This Row],[marital_Divorced]]=1,"Divorced",(IF(ifood_data[[#This Row],[marital_Together]]=1,"Living Together",(IF(ifood_data[[#This Row],[marital_Widow]]=1,"Widow","Other")))))))))</f>
        <v>Divorced</v>
      </c>
      <c r="AU606" t="str">
        <f>IF(ifood_data[[#This Row],[education_Basic]]=1,"High School",(IF(ifood_data[[#This Row],[education_Graduation]]=1,"Undergraduate Degree",(IF(SUM(AM606,AL606,AI606)&gt;0,"Master's Degree or Higher","Other")))))</f>
        <v>Undergraduate Degree</v>
      </c>
      <c r="AV606" t="str">
        <f>IF(ifood_data[[#All],[Income]]&gt;75000,"75K+",(IF(ifood_data[[#All],[Income]]&gt;50000,"50K-75K",(IF(ifood_data[[#All],[Income]]&gt;35000,"35K-50K","&lt;35K")))))</f>
        <v>50K-75K</v>
      </c>
      <c r="AW606" t="str">
        <f>IF(ifood_data[[#All],[Age]]&gt;60,"60+",(IF(ifood_data[[#All],[Age]]&gt;50,"50-60",(IF(ifood_data[[#All],[Age]]&gt;40,"40-50",(IF(ifood_data[[#All],[Age]]&gt;30,"30-40","&lt;30")))))))</f>
        <v>50-60</v>
      </c>
      <c r="AX606">
        <f t="shared" si="36"/>
        <v>28</v>
      </c>
      <c r="AY606">
        <f t="shared" si="37"/>
        <v>9</v>
      </c>
      <c r="AZ606">
        <f t="shared" si="38"/>
        <v>8</v>
      </c>
      <c r="BA606">
        <f t="shared" si="39"/>
        <v>6</v>
      </c>
      <c r="BB606">
        <f>SUM(ifood_data[[#This Row],[Recency Score]:[Monetary Score]])</f>
        <v>23</v>
      </c>
      <c r="BC606">
        <f>(_xlfn.PERCENTRANK.INC(ifood_data[[#All],[RFM]],ifood_data[[#This Row],[RFM]],1))*10</f>
        <v>8</v>
      </c>
      <c r="BD606" t="str">
        <f>VLOOKUP(ifood_data[[#This Row],[RFM Score]],'RFM Analysis'!$A$3:$B$14,2,FALSE)</f>
        <v>Loyal Customer</v>
      </c>
      <c r="BE606">
        <f>'Regression Models'!$B$101+'Regression Models'!$B$102*ifood_data[[#This Row],[Income]]+'Regression Models'!$B$103*ifood_data[[#This Row],[Age]]+'Regression Models'!$B$104*ifood_data[[#This Row],[Family]]</f>
        <v>794.99661296859324</v>
      </c>
      <c r="BF606" t="str">
        <f>IF(ifood_data[[#This Row],[AcceptedCmpOverall]]=1,"Campaign Respondent","Non-respondent")</f>
        <v>Non-respondent</v>
      </c>
    </row>
    <row r="607" spans="1:58" x14ac:dyDescent="0.35">
      <c r="A607">
        <v>1214</v>
      </c>
      <c r="B607">
        <v>52531</v>
      </c>
      <c r="C607">
        <v>0</v>
      </c>
      <c r="D607">
        <v>0</v>
      </c>
      <c r="E607">
        <v>68</v>
      </c>
      <c r="F607">
        <v>283</v>
      </c>
      <c r="G607">
        <v>112</v>
      </c>
      <c r="H607">
        <v>151</v>
      </c>
      <c r="I607">
        <v>51</v>
      </c>
      <c r="J607">
        <v>72</v>
      </c>
      <c r="K607">
        <v>125</v>
      </c>
      <c r="L607">
        <v>2</v>
      </c>
      <c r="M607">
        <v>7</v>
      </c>
      <c r="N607">
        <v>2</v>
      </c>
      <c r="O607">
        <v>10</v>
      </c>
      <c r="P607">
        <v>6</v>
      </c>
      <c r="Q607">
        <v>0</v>
      </c>
      <c r="R607">
        <v>0</v>
      </c>
      <c r="S607">
        <v>0</v>
      </c>
      <c r="T607">
        <v>0</v>
      </c>
      <c r="U607">
        <v>0</v>
      </c>
      <c r="V607">
        <f>IF(SUM(ifood_data[[#This Row],[AcceptedCmp1]:[AcceptedCmp5]])&gt;0,1,0)</f>
        <v>0</v>
      </c>
      <c r="W607">
        <v>0</v>
      </c>
      <c r="X607">
        <v>3</v>
      </c>
      <c r="Y607">
        <v>11</v>
      </c>
      <c r="Z607">
        <v>0</v>
      </c>
      <c r="AA607">
        <v>49</v>
      </c>
      <c r="AB607">
        <v>2705</v>
      </c>
      <c r="AC607" s="28">
        <f>ifood_data[[#This Row],[Customer_Days]]/365</f>
        <v>7.4109589041095889</v>
      </c>
      <c r="AD607">
        <v>0</v>
      </c>
      <c r="AE607">
        <v>1</v>
      </c>
      <c r="AF607">
        <v>0</v>
      </c>
      <c r="AG607">
        <v>0</v>
      </c>
      <c r="AH607">
        <v>0</v>
      </c>
      <c r="AI607">
        <v>0</v>
      </c>
      <c r="AJ607">
        <v>0</v>
      </c>
      <c r="AK607">
        <v>1</v>
      </c>
      <c r="AL607">
        <v>0</v>
      </c>
      <c r="AM607">
        <v>0</v>
      </c>
      <c r="AN607">
        <v>669</v>
      </c>
      <c r="AO607">
        <v>544</v>
      </c>
      <c r="AP607">
        <f>ifood_data[[#This Row],[MntTotal]]-ifood_data[[#This Row],[MntRegularProds]]</f>
        <v>125</v>
      </c>
      <c r="AQ607">
        <v>0</v>
      </c>
      <c r="AR607">
        <f>IF(SUM(ifood_data[[#This Row],[Kidhome]:[Teenhome]])&gt;0,1,0)</f>
        <v>0</v>
      </c>
      <c r="AS607" t="str">
        <f>IF(SUM(ifood_data[[#This Row],[Kidhome]:[Teenhome]])&gt;0,"Has Family","No Family")</f>
        <v>No Family</v>
      </c>
      <c r="AT607" t="str">
        <f>IF(ifood_data[[#This Row],[marital_Married]]=1,"Married", (IF(ifood_data[[#This Row],[marital_Single]]=1,"Single",(IF(ifood_data[[#This Row],[marital_Divorced]]=1,"Divorced",(IF(ifood_data[[#This Row],[marital_Together]]=1,"Living Together",(IF(ifood_data[[#This Row],[marital_Widow]]=1,"Widow","Other")))))))))</f>
        <v>Married</v>
      </c>
      <c r="AU607" t="str">
        <f>IF(ifood_data[[#This Row],[education_Basic]]=1,"High School",(IF(ifood_data[[#This Row],[education_Graduation]]=1,"Undergraduate Degree",(IF(SUM(AM607,AL607,AI607)&gt;0,"Master's Degree or Higher","Other")))))</f>
        <v>Undergraduate Degree</v>
      </c>
      <c r="AV607" t="str">
        <f>IF(ifood_data[[#All],[Income]]&gt;75000,"75K+",(IF(ifood_data[[#All],[Income]]&gt;50000,"50K-75K",(IF(ifood_data[[#All],[Income]]&gt;35000,"35K-50K","&lt;35K")))))</f>
        <v>50K-75K</v>
      </c>
      <c r="AW607" t="str">
        <f>IF(ifood_data[[#All],[Age]]&gt;60,"60+",(IF(ifood_data[[#All],[Age]]&gt;50,"50-60",(IF(ifood_data[[#All],[Age]]&gt;40,"40-50",(IF(ifood_data[[#All],[Age]]&gt;30,"30-40","&lt;30")))))))</f>
        <v>40-50</v>
      </c>
      <c r="AX607">
        <f t="shared" si="36"/>
        <v>27</v>
      </c>
      <c r="AY607">
        <f t="shared" si="37"/>
        <v>4</v>
      </c>
      <c r="AZ607">
        <f t="shared" si="38"/>
        <v>7</v>
      </c>
      <c r="BA607">
        <f t="shared" si="39"/>
        <v>6</v>
      </c>
      <c r="BB607">
        <f>SUM(ifood_data[[#This Row],[Recency Score]:[Monetary Score]])</f>
        <v>17</v>
      </c>
      <c r="BC607">
        <f>(_xlfn.PERCENTRANK.INC(ifood_data[[#All],[RFM]],ifood_data[[#This Row],[RFM]],1))*10</f>
        <v>6</v>
      </c>
      <c r="BD607" t="str">
        <f>VLOOKUP(ifood_data[[#This Row],[RFM Score]],'RFM Analysis'!$A$3:$B$14,2,FALSE)</f>
        <v>Promising</v>
      </c>
      <c r="BE607">
        <f>'Regression Models'!$B$101+'Regression Models'!$B$102*ifood_data[[#This Row],[Income]]+'Regression Models'!$B$103*ifood_data[[#This Row],[Age]]+'Regression Models'!$B$104*ifood_data[[#This Row],[Family]]</f>
        <v>793.24160822686645</v>
      </c>
      <c r="BF607" t="str">
        <f>IF(ifood_data[[#This Row],[AcceptedCmpOverall]]=1,"Campaign Respondent","Non-respondent")</f>
        <v>Non-respondent</v>
      </c>
    </row>
    <row r="608" spans="1:58" x14ac:dyDescent="0.35">
      <c r="A608">
        <v>1978</v>
      </c>
      <c r="B608">
        <v>67716</v>
      </c>
      <c r="C608">
        <v>0</v>
      </c>
      <c r="D608">
        <v>1</v>
      </c>
      <c r="E608">
        <v>8</v>
      </c>
      <c r="F608">
        <v>530</v>
      </c>
      <c r="G608">
        <v>142</v>
      </c>
      <c r="H608">
        <v>217</v>
      </c>
      <c r="I608">
        <v>62</v>
      </c>
      <c r="J608">
        <v>9</v>
      </c>
      <c r="K608">
        <v>56</v>
      </c>
      <c r="L608">
        <v>4</v>
      </c>
      <c r="M608">
        <v>7</v>
      </c>
      <c r="N608">
        <v>4</v>
      </c>
      <c r="O608">
        <v>13</v>
      </c>
      <c r="P608">
        <v>5</v>
      </c>
      <c r="Q608">
        <v>0</v>
      </c>
      <c r="R608">
        <v>0</v>
      </c>
      <c r="S608">
        <v>0</v>
      </c>
      <c r="T608">
        <v>1</v>
      </c>
      <c r="U608">
        <v>0</v>
      </c>
      <c r="V608">
        <f>IF(SUM(ifood_data[[#This Row],[AcceptedCmp1]:[AcceptedCmp5]])&gt;0,1,0)</f>
        <v>1</v>
      </c>
      <c r="W608">
        <v>0</v>
      </c>
      <c r="X608">
        <v>3</v>
      </c>
      <c r="Y608">
        <v>11</v>
      </c>
      <c r="Z608">
        <v>0</v>
      </c>
      <c r="AA608">
        <v>60</v>
      </c>
      <c r="AB608">
        <v>2694</v>
      </c>
      <c r="AC608" s="28">
        <f>ifood_data[[#This Row],[Customer_Days]]/365</f>
        <v>7.3808219178082188</v>
      </c>
      <c r="AD608">
        <v>0</v>
      </c>
      <c r="AE608">
        <v>1</v>
      </c>
      <c r="AF608">
        <v>0</v>
      </c>
      <c r="AG608">
        <v>0</v>
      </c>
      <c r="AH608">
        <v>0</v>
      </c>
      <c r="AI608">
        <v>0</v>
      </c>
      <c r="AJ608">
        <v>0</v>
      </c>
      <c r="AK608">
        <v>1</v>
      </c>
      <c r="AL608">
        <v>0</v>
      </c>
      <c r="AM608">
        <v>0</v>
      </c>
      <c r="AN608">
        <v>960</v>
      </c>
      <c r="AO608">
        <v>904</v>
      </c>
      <c r="AP608">
        <f>ifood_data[[#This Row],[MntTotal]]-ifood_data[[#This Row],[MntRegularProds]]</f>
        <v>56</v>
      </c>
      <c r="AQ608">
        <v>1</v>
      </c>
      <c r="AR608">
        <f>IF(SUM(ifood_data[[#This Row],[Kidhome]:[Teenhome]])&gt;0,1,0)</f>
        <v>1</v>
      </c>
      <c r="AS608" t="str">
        <f>IF(SUM(ifood_data[[#This Row],[Kidhome]:[Teenhome]])&gt;0,"Has Family","No Family")</f>
        <v>Has Family</v>
      </c>
      <c r="AT608" t="str">
        <f>IF(ifood_data[[#This Row],[marital_Married]]=1,"Married", (IF(ifood_data[[#This Row],[marital_Single]]=1,"Single",(IF(ifood_data[[#This Row],[marital_Divorced]]=1,"Divorced",(IF(ifood_data[[#This Row],[marital_Together]]=1,"Living Together",(IF(ifood_data[[#This Row],[marital_Widow]]=1,"Widow","Other")))))))))</f>
        <v>Married</v>
      </c>
      <c r="AU608" t="str">
        <f>IF(ifood_data[[#This Row],[education_Basic]]=1,"High School",(IF(ifood_data[[#This Row],[education_Graduation]]=1,"Undergraduate Degree",(IF(SUM(AM608,AL608,AI608)&gt;0,"Master's Degree or Higher","Other")))))</f>
        <v>Undergraduate Degree</v>
      </c>
      <c r="AV608" t="str">
        <f>IF(ifood_data[[#All],[Income]]&gt;75000,"75K+",(IF(ifood_data[[#All],[Income]]&gt;50000,"50K-75K",(IF(ifood_data[[#All],[Income]]&gt;35000,"35K-50K","&lt;35K")))))</f>
        <v>50K-75K</v>
      </c>
      <c r="AW608" t="str">
        <f>IF(ifood_data[[#All],[Age]]&gt;60,"60+",(IF(ifood_data[[#All],[Age]]&gt;50,"50-60",(IF(ifood_data[[#All],[Age]]&gt;40,"40-50",(IF(ifood_data[[#All],[Age]]&gt;30,"30-40","&lt;30")))))))</f>
        <v>50-60</v>
      </c>
      <c r="AX608">
        <f t="shared" si="36"/>
        <v>33</v>
      </c>
      <c r="AY608">
        <f t="shared" si="37"/>
        <v>10</v>
      </c>
      <c r="AZ608">
        <f t="shared" si="38"/>
        <v>9</v>
      </c>
      <c r="BA608">
        <f t="shared" si="39"/>
        <v>7</v>
      </c>
      <c r="BB608">
        <f>SUM(ifood_data[[#This Row],[Recency Score]:[Monetary Score]])</f>
        <v>26</v>
      </c>
      <c r="BC608">
        <f>(_xlfn.PERCENTRANK.INC(ifood_data[[#All],[RFM]],ifood_data[[#This Row],[RFM]],1))*10</f>
        <v>9</v>
      </c>
      <c r="BD608" t="str">
        <f>VLOOKUP(ifood_data[[#This Row],[RFM Score]],'RFM Analysis'!$A$3:$B$14,2,FALSE)</f>
        <v>Top Customer</v>
      </c>
      <c r="BE608">
        <f>'Regression Models'!$B$101+'Regression Models'!$B$102*ifood_data[[#This Row],[Income]]+'Regression Models'!$B$103*ifood_data[[#This Row],[Age]]+'Regression Models'!$B$104*ifood_data[[#This Row],[Family]]</f>
        <v>793.03059155111907</v>
      </c>
      <c r="BF608" t="str">
        <f>IF(ifood_data[[#This Row],[AcceptedCmpOverall]]=1,"Campaign Respondent","Non-respondent")</f>
        <v>Campaign Respondent</v>
      </c>
    </row>
    <row r="609" spans="1:58" x14ac:dyDescent="0.35">
      <c r="A609">
        <v>637</v>
      </c>
      <c r="B609">
        <v>66731</v>
      </c>
      <c r="C609">
        <v>0</v>
      </c>
      <c r="D609">
        <v>1</v>
      </c>
      <c r="E609">
        <v>33</v>
      </c>
      <c r="F609">
        <v>371</v>
      </c>
      <c r="G609">
        <v>159</v>
      </c>
      <c r="H609">
        <v>194</v>
      </c>
      <c r="I609">
        <v>58</v>
      </c>
      <c r="J609">
        <v>106</v>
      </c>
      <c r="K609">
        <v>141</v>
      </c>
      <c r="L609">
        <v>4</v>
      </c>
      <c r="M609">
        <v>4</v>
      </c>
      <c r="N609">
        <v>3</v>
      </c>
      <c r="O609">
        <v>6</v>
      </c>
      <c r="P609">
        <v>3</v>
      </c>
      <c r="Q609">
        <v>0</v>
      </c>
      <c r="R609">
        <v>0</v>
      </c>
      <c r="S609">
        <v>0</v>
      </c>
      <c r="T609">
        <v>0</v>
      </c>
      <c r="U609">
        <v>0</v>
      </c>
      <c r="V609">
        <f>IF(SUM(ifood_data[[#This Row],[AcceptedCmp1]:[AcceptedCmp5]])&gt;0,1,0)</f>
        <v>0</v>
      </c>
      <c r="W609">
        <v>0</v>
      </c>
      <c r="X609">
        <v>3</v>
      </c>
      <c r="Y609">
        <v>11</v>
      </c>
      <c r="Z609">
        <v>0</v>
      </c>
      <c r="AA609">
        <v>50</v>
      </c>
      <c r="AB609">
        <v>2814</v>
      </c>
      <c r="AC609" s="28">
        <f>ifood_data[[#This Row],[Customer_Days]]/365</f>
        <v>7.7095890410958905</v>
      </c>
      <c r="AD609">
        <v>0</v>
      </c>
      <c r="AE609">
        <v>0</v>
      </c>
      <c r="AF609">
        <v>0</v>
      </c>
      <c r="AG609">
        <v>0</v>
      </c>
      <c r="AH609">
        <v>1</v>
      </c>
      <c r="AI609">
        <v>0</v>
      </c>
      <c r="AJ609">
        <v>0</v>
      </c>
      <c r="AK609">
        <v>1</v>
      </c>
      <c r="AL609">
        <v>0</v>
      </c>
      <c r="AM609">
        <v>0</v>
      </c>
      <c r="AN609">
        <v>888</v>
      </c>
      <c r="AO609">
        <v>747</v>
      </c>
      <c r="AP609">
        <f>ifood_data[[#This Row],[MntTotal]]-ifood_data[[#This Row],[MntRegularProds]]</f>
        <v>141</v>
      </c>
      <c r="AQ609">
        <v>0</v>
      </c>
      <c r="AR609">
        <f>IF(SUM(ifood_data[[#This Row],[Kidhome]:[Teenhome]])&gt;0,1,0)</f>
        <v>1</v>
      </c>
      <c r="AS609" t="str">
        <f>IF(SUM(ifood_data[[#This Row],[Kidhome]:[Teenhome]])&gt;0,"Has Family","No Family")</f>
        <v>Has Family</v>
      </c>
      <c r="AT609" t="str">
        <f>IF(ifood_data[[#This Row],[marital_Married]]=1,"Married", (IF(ifood_data[[#This Row],[marital_Single]]=1,"Single",(IF(ifood_data[[#This Row],[marital_Divorced]]=1,"Divorced",(IF(ifood_data[[#This Row],[marital_Together]]=1,"Living Together",(IF(ifood_data[[#This Row],[marital_Widow]]=1,"Widow","Other")))))))))</f>
        <v>Widow</v>
      </c>
      <c r="AU609" t="str">
        <f>IF(ifood_data[[#This Row],[education_Basic]]=1,"High School",(IF(ifood_data[[#This Row],[education_Graduation]]=1,"Undergraduate Degree",(IF(SUM(AM609,AL609,AI609)&gt;0,"Master's Degree or Higher","Other")))))</f>
        <v>Undergraduate Degree</v>
      </c>
      <c r="AV609" t="str">
        <f>IF(ifood_data[[#All],[Income]]&gt;75000,"75K+",(IF(ifood_data[[#All],[Income]]&gt;50000,"50K-75K",(IF(ifood_data[[#All],[Income]]&gt;35000,"35K-50K","&lt;35K")))))</f>
        <v>50K-75K</v>
      </c>
      <c r="AW609" t="str">
        <f>IF(ifood_data[[#All],[Age]]&gt;60,"60+",(IF(ifood_data[[#All],[Age]]&gt;50,"50-60",(IF(ifood_data[[#All],[Age]]&gt;40,"40-50",(IF(ifood_data[[#All],[Age]]&gt;30,"30-40","&lt;30")))))))</f>
        <v>40-50</v>
      </c>
      <c r="AX609">
        <f t="shared" si="36"/>
        <v>20</v>
      </c>
      <c r="AY609">
        <f t="shared" si="37"/>
        <v>7</v>
      </c>
      <c r="AZ609">
        <f t="shared" si="38"/>
        <v>4</v>
      </c>
      <c r="BA609">
        <f t="shared" si="39"/>
        <v>7</v>
      </c>
      <c r="BB609">
        <f>SUM(ifood_data[[#This Row],[Recency Score]:[Monetary Score]])</f>
        <v>18</v>
      </c>
      <c r="BC609">
        <f>(_xlfn.PERCENTRANK.INC(ifood_data[[#All],[RFM]],ifood_data[[#This Row],[RFM]],1))*10</f>
        <v>6</v>
      </c>
      <c r="BD609" t="str">
        <f>VLOOKUP(ifood_data[[#This Row],[RFM Score]],'RFM Analysis'!$A$3:$B$14,2,FALSE)</f>
        <v>Promising</v>
      </c>
      <c r="BE609">
        <f>'Regression Models'!$B$101+'Regression Models'!$B$102*ifood_data[[#This Row],[Income]]+'Regression Models'!$B$103*ifood_data[[#This Row],[Age]]+'Regression Models'!$B$104*ifood_data[[#This Row],[Family]]</f>
        <v>791.31204571832097</v>
      </c>
      <c r="BF609" t="str">
        <f>IF(ifood_data[[#This Row],[AcceptedCmpOverall]]=1,"Campaign Respondent","Non-respondent")</f>
        <v>Non-respondent</v>
      </c>
    </row>
    <row r="610" spans="1:58" x14ac:dyDescent="0.35">
      <c r="A610">
        <v>430</v>
      </c>
      <c r="B610">
        <v>65991</v>
      </c>
      <c r="C610">
        <v>0</v>
      </c>
      <c r="D610">
        <v>1</v>
      </c>
      <c r="E610">
        <v>21</v>
      </c>
      <c r="F610">
        <v>507</v>
      </c>
      <c r="G610">
        <v>19</v>
      </c>
      <c r="H610">
        <v>364</v>
      </c>
      <c r="I610">
        <v>25</v>
      </c>
      <c r="J610">
        <v>47</v>
      </c>
      <c r="K610">
        <v>9</v>
      </c>
      <c r="L610">
        <v>3</v>
      </c>
      <c r="M610">
        <v>9</v>
      </c>
      <c r="N610">
        <v>5</v>
      </c>
      <c r="O610">
        <v>10</v>
      </c>
      <c r="P610">
        <v>7</v>
      </c>
      <c r="Q610">
        <v>0</v>
      </c>
      <c r="R610">
        <v>0</v>
      </c>
      <c r="S610">
        <v>0</v>
      </c>
      <c r="T610">
        <v>0</v>
      </c>
      <c r="U610">
        <v>0</v>
      </c>
      <c r="V610">
        <f>IF(SUM(ifood_data[[#This Row],[AcceptedCmp1]:[AcceptedCmp5]])&gt;0,1,0)</f>
        <v>0</v>
      </c>
      <c r="W610">
        <v>0</v>
      </c>
      <c r="X610">
        <v>3</v>
      </c>
      <c r="Y610">
        <v>11</v>
      </c>
      <c r="Z610">
        <v>0</v>
      </c>
      <c r="AA610">
        <v>44</v>
      </c>
      <c r="AB610">
        <v>2819</v>
      </c>
      <c r="AC610" s="28">
        <f>ifood_data[[#This Row],[Customer_Days]]/365</f>
        <v>7.7232876712328764</v>
      </c>
      <c r="AD610">
        <v>0</v>
      </c>
      <c r="AE610">
        <v>1</v>
      </c>
      <c r="AF610">
        <v>0</v>
      </c>
      <c r="AG610">
        <v>0</v>
      </c>
      <c r="AH610">
        <v>0</v>
      </c>
      <c r="AI610">
        <v>0</v>
      </c>
      <c r="AJ610">
        <v>0</v>
      </c>
      <c r="AK610">
        <v>1</v>
      </c>
      <c r="AL610">
        <v>0</v>
      </c>
      <c r="AM610">
        <v>0</v>
      </c>
      <c r="AN610">
        <v>962</v>
      </c>
      <c r="AO610">
        <v>953</v>
      </c>
      <c r="AP610">
        <f>ifood_data[[#This Row],[MntTotal]]-ifood_data[[#This Row],[MntRegularProds]]</f>
        <v>9</v>
      </c>
      <c r="AQ610">
        <v>0</v>
      </c>
      <c r="AR610">
        <f>IF(SUM(ifood_data[[#This Row],[Kidhome]:[Teenhome]])&gt;0,1,0)</f>
        <v>1</v>
      </c>
      <c r="AS610" t="str">
        <f>IF(SUM(ifood_data[[#This Row],[Kidhome]:[Teenhome]])&gt;0,"Has Family","No Family")</f>
        <v>Has Family</v>
      </c>
      <c r="AT610" t="str">
        <f>IF(ifood_data[[#This Row],[marital_Married]]=1,"Married", (IF(ifood_data[[#This Row],[marital_Single]]=1,"Single",(IF(ifood_data[[#This Row],[marital_Divorced]]=1,"Divorced",(IF(ifood_data[[#This Row],[marital_Together]]=1,"Living Together",(IF(ifood_data[[#This Row],[marital_Widow]]=1,"Widow","Other")))))))))</f>
        <v>Married</v>
      </c>
      <c r="AU610" t="str">
        <f>IF(ifood_data[[#This Row],[education_Basic]]=1,"High School",(IF(ifood_data[[#This Row],[education_Graduation]]=1,"Undergraduate Degree",(IF(SUM(AM610,AL610,AI610)&gt;0,"Master's Degree or Higher","Other")))))</f>
        <v>Undergraduate Degree</v>
      </c>
      <c r="AV610" t="str">
        <f>IF(ifood_data[[#All],[Income]]&gt;75000,"75K+",(IF(ifood_data[[#All],[Income]]&gt;50000,"50K-75K",(IF(ifood_data[[#All],[Income]]&gt;35000,"35K-50K","&lt;35K")))))</f>
        <v>50K-75K</v>
      </c>
      <c r="AW610" t="str">
        <f>IF(ifood_data[[#All],[Age]]&gt;60,"60+",(IF(ifood_data[[#All],[Age]]&gt;50,"50-60",(IF(ifood_data[[#All],[Age]]&gt;40,"40-50",(IF(ifood_data[[#All],[Age]]&gt;30,"30-40","&lt;30")))))))</f>
        <v>40-50</v>
      </c>
      <c r="AX610">
        <f t="shared" si="36"/>
        <v>34</v>
      </c>
      <c r="AY610">
        <f t="shared" si="37"/>
        <v>8</v>
      </c>
      <c r="AZ610">
        <f t="shared" si="38"/>
        <v>9</v>
      </c>
      <c r="BA610">
        <f t="shared" si="39"/>
        <v>7</v>
      </c>
      <c r="BB610">
        <f>SUM(ifood_data[[#This Row],[Recency Score]:[Monetary Score]])</f>
        <v>24</v>
      </c>
      <c r="BC610">
        <f>(_xlfn.PERCENTRANK.INC(ifood_data[[#All],[RFM]],ifood_data[[#This Row],[RFM]],1))*10</f>
        <v>9</v>
      </c>
      <c r="BD610" t="str">
        <f>VLOOKUP(ifood_data[[#This Row],[RFM Score]],'RFM Analysis'!$A$3:$B$14,2,FALSE)</f>
        <v>Top Customer</v>
      </c>
      <c r="BE610">
        <f>'Regression Models'!$B$101+'Regression Models'!$B$102*ifood_data[[#This Row],[Income]]+'Regression Models'!$B$103*ifood_data[[#This Row],[Age]]+'Regression Models'!$B$104*ifood_data[[#This Row],[Family]]</f>
        <v>787.24299176520174</v>
      </c>
      <c r="BF610" t="str">
        <f>IF(ifood_data[[#This Row],[AcceptedCmpOverall]]=1,"Campaign Respondent","Non-respondent")</f>
        <v>Non-respondent</v>
      </c>
    </row>
    <row r="611" spans="1:58" x14ac:dyDescent="0.35">
      <c r="A611">
        <v>1200</v>
      </c>
      <c r="B611">
        <v>66303</v>
      </c>
      <c r="C611">
        <v>0</v>
      </c>
      <c r="D611">
        <v>1</v>
      </c>
      <c r="E611">
        <v>56</v>
      </c>
      <c r="F611">
        <v>1090</v>
      </c>
      <c r="G611">
        <v>12</v>
      </c>
      <c r="H611">
        <v>96</v>
      </c>
      <c r="I611">
        <v>16</v>
      </c>
      <c r="J611">
        <v>12</v>
      </c>
      <c r="K611">
        <v>60</v>
      </c>
      <c r="L611">
        <v>4</v>
      </c>
      <c r="M611">
        <v>3</v>
      </c>
      <c r="N611">
        <v>4</v>
      </c>
      <c r="O611">
        <v>11</v>
      </c>
      <c r="P611">
        <v>8</v>
      </c>
      <c r="Q611">
        <v>0</v>
      </c>
      <c r="R611">
        <v>0</v>
      </c>
      <c r="S611">
        <v>0</v>
      </c>
      <c r="T611">
        <v>1</v>
      </c>
      <c r="U611">
        <v>0</v>
      </c>
      <c r="V611">
        <f>IF(SUM(ifood_data[[#This Row],[AcceptedCmp1]:[AcceptedCmp5]])&gt;0,1,0)</f>
        <v>1</v>
      </c>
      <c r="W611">
        <v>0</v>
      </c>
      <c r="X611">
        <v>3</v>
      </c>
      <c r="Y611">
        <v>11</v>
      </c>
      <c r="Z611">
        <v>0</v>
      </c>
      <c r="AA611">
        <v>49</v>
      </c>
      <c r="AB611">
        <v>2647</v>
      </c>
      <c r="AC611" s="28">
        <f>ifood_data[[#This Row],[Customer_Days]]/365</f>
        <v>7.2520547945205482</v>
      </c>
      <c r="AD611">
        <v>0</v>
      </c>
      <c r="AE611">
        <v>1</v>
      </c>
      <c r="AF611">
        <v>0</v>
      </c>
      <c r="AG611">
        <v>0</v>
      </c>
      <c r="AH611">
        <v>0</v>
      </c>
      <c r="AI611">
        <v>0</v>
      </c>
      <c r="AJ611">
        <v>0</v>
      </c>
      <c r="AK611">
        <v>1</v>
      </c>
      <c r="AL611">
        <v>0</v>
      </c>
      <c r="AM611">
        <v>0</v>
      </c>
      <c r="AN611">
        <v>1226</v>
      </c>
      <c r="AO611">
        <v>1166</v>
      </c>
      <c r="AP611">
        <f>ifood_data[[#This Row],[MntTotal]]-ifood_data[[#This Row],[MntRegularProds]]</f>
        <v>60</v>
      </c>
      <c r="AQ611">
        <v>1</v>
      </c>
      <c r="AR611">
        <f>IF(SUM(ifood_data[[#This Row],[Kidhome]:[Teenhome]])&gt;0,1,0)</f>
        <v>1</v>
      </c>
      <c r="AS611" t="str">
        <f>IF(SUM(ifood_data[[#This Row],[Kidhome]:[Teenhome]])&gt;0,"Has Family","No Family")</f>
        <v>Has Family</v>
      </c>
      <c r="AT611" t="str">
        <f>IF(ifood_data[[#This Row],[marital_Married]]=1,"Married", (IF(ifood_data[[#This Row],[marital_Single]]=1,"Single",(IF(ifood_data[[#This Row],[marital_Divorced]]=1,"Divorced",(IF(ifood_data[[#This Row],[marital_Together]]=1,"Living Together",(IF(ifood_data[[#This Row],[marital_Widow]]=1,"Widow","Other")))))))))</f>
        <v>Married</v>
      </c>
      <c r="AU611" t="str">
        <f>IF(ifood_data[[#This Row],[education_Basic]]=1,"High School",(IF(ifood_data[[#This Row],[education_Graduation]]=1,"Undergraduate Degree",(IF(SUM(AM611,AL611,AI611)&gt;0,"Master's Degree or Higher","Other")))))</f>
        <v>Undergraduate Degree</v>
      </c>
      <c r="AV611" t="str">
        <f>IF(ifood_data[[#All],[Income]]&gt;75000,"75K+",(IF(ifood_data[[#All],[Income]]&gt;50000,"50K-75K",(IF(ifood_data[[#All],[Income]]&gt;35000,"35K-50K","&lt;35K")))))</f>
        <v>50K-75K</v>
      </c>
      <c r="AW611" t="str">
        <f>IF(ifood_data[[#All],[Age]]&gt;60,"60+",(IF(ifood_data[[#All],[Age]]&gt;50,"50-60",(IF(ifood_data[[#All],[Age]]&gt;40,"40-50",(IF(ifood_data[[#All],[Age]]&gt;30,"30-40","&lt;30")))))))</f>
        <v>40-50</v>
      </c>
      <c r="AX611">
        <f t="shared" si="36"/>
        <v>30</v>
      </c>
      <c r="AY611">
        <f t="shared" si="37"/>
        <v>5</v>
      </c>
      <c r="AZ611">
        <f t="shared" si="38"/>
        <v>8</v>
      </c>
      <c r="BA611">
        <f t="shared" si="39"/>
        <v>8</v>
      </c>
      <c r="BB611">
        <f>SUM(ifood_data[[#This Row],[Recency Score]:[Monetary Score]])</f>
        <v>21</v>
      </c>
      <c r="BC611">
        <f>(_xlfn.PERCENTRANK.INC(ifood_data[[#All],[RFM]],ifood_data[[#This Row],[RFM]],1))*10</f>
        <v>8</v>
      </c>
      <c r="BD611" t="str">
        <f>VLOOKUP(ifood_data[[#This Row],[RFM Score]],'RFM Analysis'!$A$3:$B$14,2,FALSE)</f>
        <v>Loyal Customer</v>
      </c>
      <c r="BE611">
        <f>'Regression Models'!$B$101+'Regression Models'!$B$102*ifood_data[[#This Row],[Income]]+'Regression Models'!$B$103*ifood_data[[#This Row],[Age]]+'Regression Models'!$B$104*ifood_data[[#This Row],[Family]]</f>
        <v>784.42209203162668</v>
      </c>
      <c r="BF611" t="str">
        <f>IF(ifood_data[[#This Row],[AcceptedCmpOverall]]=1,"Campaign Respondent","Non-respondent")</f>
        <v>Campaign Respondent</v>
      </c>
    </row>
    <row r="612" spans="1:58" x14ac:dyDescent="0.35">
      <c r="A612">
        <v>1918</v>
      </c>
      <c r="B612">
        <v>66476</v>
      </c>
      <c r="C612">
        <v>0</v>
      </c>
      <c r="D612">
        <v>1</v>
      </c>
      <c r="E612">
        <v>80</v>
      </c>
      <c r="F612">
        <v>742</v>
      </c>
      <c r="G612">
        <v>28</v>
      </c>
      <c r="H612">
        <v>152</v>
      </c>
      <c r="I612">
        <v>25</v>
      </c>
      <c r="J612">
        <v>9</v>
      </c>
      <c r="K612">
        <v>57</v>
      </c>
      <c r="L612">
        <v>2</v>
      </c>
      <c r="M612">
        <v>6</v>
      </c>
      <c r="N612">
        <v>8</v>
      </c>
      <c r="O612">
        <v>10</v>
      </c>
      <c r="P612">
        <v>4</v>
      </c>
      <c r="Q612">
        <v>0</v>
      </c>
      <c r="R612">
        <v>0</v>
      </c>
      <c r="S612">
        <v>0</v>
      </c>
      <c r="T612">
        <v>0</v>
      </c>
      <c r="U612">
        <v>0</v>
      </c>
      <c r="V612">
        <f>IF(SUM(ifood_data[[#This Row],[AcceptedCmp1]:[AcceptedCmp5]])&gt;0,1,0)</f>
        <v>0</v>
      </c>
      <c r="W612">
        <v>0</v>
      </c>
      <c r="X612">
        <v>3</v>
      </c>
      <c r="Y612">
        <v>11</v>
      </c>
      <c r="Z612">
        <v>0</v>
      </c>
      <c r="AA612">
        <v>51</v>
      </c>
      <c r="AB612">
        <v>2366</v>
      </c>
      <c r="AC612" s="28">
        <f>ifood_data[[#This Row],[Customer_Days]]/365</f>
        <v>6.4821917808219176</v>
      </c>
      <c r="AD612">
        <v>0</v>
      </c>
      <c r="AE612">
        <v>0</v>
      </c>
      <c r="AF612">
        <v>0</v>
      </c>
      <c r="AG612">
        <v>1</v>
      </c>
      <c r="AH612">
        <v>0</v>
      </c>
      <c r="AI612">
        <v>0</v>
      </c>
      <c r="AJ612">
        <v>0</v>
      </c>
      <c r="AK612">
        <v>0</v>
      </c>
      <c r="AL612">
        <v>1</v>
      </c>
      <c r="AM612">
        <v>0</v>
      </c>
      <c r="AN612">
        <v>956</v>
      </c>
      <c r="AO612">
        <v>899</v>
      </c>
      <c r="AP612">
        <f>ifood_data[[#This Row],[MntTotal]]-ifood_data[[#This Row],[MntRegularProds]]</f>
        <v>57</v>
      </c>
      <c r="AQ612">
        <v>0</v>
      </c>
      <c r="AR612">
        <f>IF(SUM(ifood_data[[#This Row],[Kidhome]:[Teenhome]])&gt;0,1,0)</f>
        <v>1</v>
      </c>
      <c r="AS612" t="str">
        <f>IF(SUM(ifood_data[[#This Row],[Kidhome]:[Teenhome]])&gt;0,"Has Family","No Family")</f>
        <v>Has Family</v>
      </c>
      <c r="AT612" t="str">
        <f>IF(ifood_data[[#This Row],[marital_Married]]=1,"Married", (IF(ifood_data[[#This Row],[marital_Single]]=1,"Single",(IF(ifood_data[[#This Row],[marital_Divorced]]=1,"Divorced",(IF(ifood_data[[#This Row],[marital_Together]]=1,"Living Together",(IF(ifood_data[[#This Row],[marital_Widow]]=1,"Widow","Other")))))))))</f>
        <v>Living Together</v>
      </c>
      <c r="AU612" t="str">
        <f>IF(ifood_data[[#This Row],[education_Basic]]=1,"High School",(IF(ifood_data[[#This Row],[education_Graduation]]=1,"Undergraduate Degree",(IF(SUM(AM612,AL612,AI612)&gt;0,"Master's Degree or Higher","Other")))))</f>
        <v>Master's Degree or Higher</v>
      </c>
      <c r="AV612" t="str">
        <f>IF(ifood_data[[#All],[Income]]&gt;75000,"75K+",(IF(ifood_data[[#All],[Income]]&gt;50000,"50K-75K",(IF(ifood_data[[#All],[Income]]&gt;35000,"35K-50K","&lt;35K")))))</f>
        <v>50K-75K</v>
      </c>
      <c r="AW612" t="str">
        <f>IF(ifood_data[[#All],[Age]]&gt;60,"60+",(IF(ifood_data[[#All],[Age]]&gt;50,"50-60",(IF(ifood_data[[#All],[Age]]&gt;40,"40-50",(IF(ifood_data[[#All],[Age]]&gt;30,"30-40","&lt;30")))))))</f>
        <v>50-60</v>
      </c>
      <c r="AX612">
        <f t="shared" si="36"/>
        <v>30</v>
      </c>
      <c r="AY612">
        <f t="shared" si="37"/>
        <v>1.9999999999999996</v>
      </c>
      <c r="AZ612">
        <f t="shared" si="38"/>
        <v>8</v>
      </c>
      <c r="BA612">
        <f t="shared" si="39"/>
        <v>7</v>
      </c>
      <c r="BB612">
        <f>SUM(ifood_data[[#This Row],[Recency Score]:[Monetary Score]])</f>
        <v>17</v>
      </c>
      <c r="BC612">
        <f>(_xlfn.PERCENTRANK.INC(ifood_data[[#All],[RFM]],ifood_data[[#This Row],[RFM]],1))*10</f>
        <v>6</v>
      </c>
      <c r="BD612" t="str">
        <f>VLOOKUP(ifood_data[[#This Row],[RFM Score]],'RFM Analysis'!$A$3:$B$14,2,FALSE)</f>
        <v>Promising</v>
      </c>
      <c r="BE612">
        <f>'Regression Models'!$B$101+'Regression Models'!$B$102*ifood_data[[#This Row],[Income]]+'Regression Models'!$B$103*ifood_data[[#This Row],[Age]]+'Regression Models'!$B$104*ifood_data[[#This Row],[Family]]</f>
        <v>784.27647076273263</v>
      </c>
      <c r="BF612" t="str">
        <f>IF(ifood_data[[#This Row],[AcceptedCmpOverall]]=1,"Campaign Respondent","Non-respondent")</f>
        <v>Non-respondent</v>
      </c>
    </row>
    <row r="613" spans="1:58" x14ac:dyDescent="0.35">
      <c r="A613">
        <v>479</v>
      </c>
      <c r="B613">
        <v>53653</v>
      </c>
      <c r="C613">
        <v>0</v>
      </c>
      <c r="D613">
        <v>0</v>
      </c>
      <c r="E613">
        <v>29</v>
      </c>
      <c r="F613">
        <v>815</v>
      </c>
      <c r="G613">
        <v>10</v>
      </c>
      <c r="H613">
        <v>239</v>
      </c>
      <c r="I613">
        <v>28</v>
      </c>
      <c r="J613">
        <v>10</v>
      </c>
      <c r="K613">
        <v>108</v>
      </c>
      <c r="L613">
        <v>2</v>
      </c>
      <c r="M613">
        <v>10</v>
      </c>
      <c r="N613">
        <v>4</v>
      </c>
      <c r="O613">
        <v>12</v>
      </c>
      <c r="P613">
        <v>6</v>
      </c>
      <c r="Q613">
        <v>0</v>
      </c>
      <c r="R613">
        <v>0</v>
      </c>
      <c r="S613">
        <v>0</v>
      </c>
      <c r="T613">
        <v>0</v>
      </c>
      <c r="U613">
        <v>0</v>
      </c>
      <c r="V613">
        <f>IF(SUM(ifood_data[[#This Row],[AcceptedCmp1]:[AcceptedCmp5]])&gt;0,1,0)</f>
        <v>0</v>
      </c>
      <c r="W613">
        <v>0</v>
      </c>
      <c r="X613">
        <v>3</v>
      </c>
      <c r="Y613">
        <v>11</v>
      </c>
      <c r="Z613">
        <v>0</v>
      </c>
      <c r="AA613">
        <v>67</v>
      </c>
      <c r="AB613">
        <v>2758</v>
      </c>
      <c r="AC613" s="28">
        <f>ifood_data[[#This Row],[Customer_Days]]/365</f>
        <v>7.5561643835616437</v>
      </c>
      <c r="AD613">
        <v>0</v>
      </c>
      <c r="AE613">
        <v>0</v>
      </c>
      <c r="AF613">
        <v>0</v>
      </c>
      <c r="AG613">
        <v>0</v>
      </c>
      <c r="AH613">
        <v>1</v>
      </c>
      <c r="AI613">
        <v>0</v>
      </c>
      <c r="AJ613">
        <v>0</v>
      </c>
      <c r="AK613">
        <v>1</v>
      </c>
      <c r="AL613">
        <v>0</v>
      </c>
      <c r="AM613">
        <v>0</v>
      </c>
      <c r="AN613">
        <v>1102</v>
      </c>
      <c r="AO613">
        <v>994</v>
      </c>
      <c r="AP613">
        <f>ifood_data[[#This Row],[MntTotal]]-ifood_data[[#This Row],[MntRegularProds]]</f>
        <v>108</v>
      </c>
      <c r="AQ613">
        <v>0</v>
      </c>
      <c r="AR613">
        <f>IF(SUM(ifood_data[[#This Row],[Kidhome]:[Teenhome]])&gt;0,1,0)</f>
        <v>0</v>
      </c>
      <c r="AS613" t="str">
        <f>IF(SUM(ifood_data[[#This Row],[Kidhome]:[Teenhome]])&gt;0,"Has Family","No Family")</f>
        <v>No Family</v>
      </c>
      <c r="AT613" t="str">
        <f>IF(ifood_data[[#This Row],[marital_Married]]=1,"Married", (IF(ifood_data[[#This Row],[marital_Single]]=1,"Single",(IF(ifood_data[[#This Row],[marital_Divorced]]=1,"Divorced",(IF(ifood_data[[#This Row],[marital_Together]]=1,"Living Together",(IF(ifood_data[[#This Row],[marital_Widow]]=1,"Widow","Other")))))))))</f>
        <v>Widow</v>
      </c>
      <c r="AU613" t="str">
        <f>IF(ifood_data[[#This Row],[education_Basic]]=1,"High School",(IF(ifood_data[[#This Row],[education_Graduation]]=1,"Undergraduate Degree",(IF(SUM(AM613,AL613,AI613)&gt;0,"Master's Degree or Higher","Other")))))</f>
        <v>Undergraduate Degree</v>
      </c>
      <c r="AV613" t="str">
        <f>IF(ifood_data[[#All],[Income]]&gt;75000,"75K+",(IF(ifood_data[[#All],[Income]]&gt;50000,"50K-75K",(IF(ifood_data[[#All],[Income]]&gt;35000,"35K-50K","&lt;35K")))))</f>
        <v>50K-75K</v>
      </c>
      <c r="AW613" t="str">
        <f>IF(ifood_data[[#All],[Age]]&gt;60,"60+",(IF(ifood_data[[#All],[Age]]&gt;50,"50-60",(IF(ifood_data[[#All],[Age]]&gt;40,"40-50",(IF(ifood_data[[#All],[Age]]&gt;30,"30-40","&lt;30")))))))</f>
        <v>60+</v>
      </c>
      <c r="AX613">
        <f t="shared" si="36"/>
        <v>34</v>
      </c>
      <c r="AY613">
        <f t="shared" si="37"/>
        <v>8</v>
      </c>
      <c r="AZ613">
        <f t="shared" si="38"/>
        <v>9</v>
      </c>
      <c r="BA613">
        <f t="shared" si="39"/>
        <v>8</v>
      </c>
      <c r="BB613">
        <f>SUM(ifood_data[[#This Row],[Recency Score]:[Monetary Score]])</f>
        <v>25</v>
      </c>
      <c r="BC613">
        <f>(_xlfn.PERCENTRANK.INC(ifood_data[[#All],[RFM]],ifood_data[[#This Row],[RFM]],1))*10</f>
        <v>9</v>
      </c>
      <c r="BD613" t="str">
        <f>VLOOKUP(ifood_data[[#This Row],[RFM Score]],'RFM Analysis'!$A$3:$B$14,2,FALSE)</f>
        <v>Top Customer</v>
      </c>
      <c r="BE613">
        <f>'Regression Models'!$B$101+'Regression Models'!$B$102*ifood_data[[#This Row],[Income]]+'Regression Models'!$B$103*ifood_data[[#This Row],[Age]]+'Regression Models'!$B$104*ifood_data[[#This Row],[Family]]</f>
        <v>783.06190266422414</v>
      </c>
      <c r="BF613" t="str">
        <f>IF(ifood_data[[#This Row],[AcceptedCmpOverall]]=1,"Campaign Respondent","Non-respondent")</f>
        <v>Non-respondent</v>
      </c>
    </row>
    <row r="614" spans="1:58" x14ac:dyDescent="0.35">
      <c r="A614">
        <v>480</v>
      </c>
      <c r="B614">
        <v>65665</v>
      </c>
      <c r="C614">
        <v>0</v>
      </c>
      <c r="D614">
        <v>1</v>
      </c>
      <c r="E614">
        <v>77</v>
      </c>
      <c r="F614">
        <v>225</v>
      </c>
      <c r="G614">
        <v>162</v>
      </c>
      <c r="H614">
        <v>387</v>
      </c>
      <c r="I614">
        <v>106</v>
      </c>
      <c r="J614">
        <v>36</v>
      </c>
      <c r="K614">
        <v>29</v>
      </c>
      <c r="L614">
        <v>1</v>
      </c>
      <c r="M614">
        <v>5</v>
      </c>
      <c r="N614">
        <v>10</v>
      </c>
      <c r="O614">
        <v>8</v>
      </c>
      <c r="P614">
        <v>3</v>
      </c>
      <c r="Q614">
        <v>0</v>
      </c>
      <c r="R614">
        <v>0</v>
      </c>
      <c r="S614">
        <v>0</v>
      </c>
      <c r="T614">
        <v>0</v>
      </c>
      <c r="U614">
        <v>0</v>
      </c>
      <c r="V614">
        <f>IF(SUM(ifood_data[[#This Row],[AcceptedCmp1]:[AcceptedCmp5]])&gt;0,1,0)</f>
        <v>0</v>
      </c>
      <c r="W614">
        <v>0</v>
      </c>
      <c r="X614">
        <v>3</v>
      </c>
      <c r="Y614">
        <v>11</v>
      </c>
      <c r="Z614">
        <v>0</v>
      </c>
      <c r="AA614">
        <v>44</v>
      </c>
      <c r="AB614">
        <v>2368</v>
      </c>
      <c r="AC614" s="28">
        <f>ifood_data[[#This Row],[Customer_Days]]/365</f>
        <v>6.4876712328767123</v>
      </c>
      <c r="AD614">
        <v>0</v>
      </c>
      <c r="AE614">
        <v>1</v>
      </c>
      <c r="AF614">
        <v>0</v>
      </c>
      <c r="AG614">
        <v>0</v>
      </c>
      <c r="AH614">
        <v>0</v>
      </c>
      <c r="AI614">
        <v>0</v>
      </c>
      <c r="AJ614">
        <v>0</v>
      </c>
      <c r="AK614">
        <v>1</v>
      </c>
      <c r="AL614">
        <v>0</v>
      </c>
      <c r="AM614">
        <v>0</v>
      </c>
      <c r="AN614">
        <v>916</v>
      </c>
      <c r="AO614">
        <v>887</v>
      </c>
      <c r="AP614">
        <f>ifood_data[[#This Row],[MntTotal]]-ifood_data[[#This Row],[MntRegularProds]]</f>
        <v>29</v>
      </c>
      <c r="AQ614">
        <v>0</v>
      </c>
      <c r="AR614">
        <f>IF(SUM(ifood_data[[#This Row],[Kidhome]:[Teenhome]])&gt;0,1,0)</f>
        <v>1</v>
      </c>
      <c r="AS614" t="str">
        <f>IF(SUM(ifood_data[[#This Row],[Kidhome]:[Teenhome]])&gt;0,"Has Family","No Family")</f>
        <v>Has Family</v>
      </c>
      <c r="AT614" t="str">
        <f>IF(ifood_data[[#This Row],[marital_Married]]=1,"Married", (IF(ifood_data[[#This Row],[marital_Single]]=1,"Single",(IF(ifood_data[[#This Row],[marital_Divorced]]=1,"Divorced",(IF(ifood_data[[#This Row],[marital_Together]]=1,"Living Together",(IF(ifood_data[[#This Row],[marital_Widow]]=1,"Widow","Other")))))))))</f>
        <v>Married</v>
      </c>
      <c r="AU614" t="str">
        <f>IF(ifood_data[[#This Row],[education_Basic]]=1,"High School",(IF(ifood_data[[#This Row],[education_Graduation]]=1,"Undergraduate Degree",(IF(SUM(AM614,AL614,AI614)&gt;0,"Master's Degree or Higher","Other")))))</f>
        <v>Undergraduate Degree</v>
      </c>
      <c r="AV614" t="str">
        <f>IF(ifood_data[[#All],[Income]]&gt;75000,"75K+",(IF(ifood_data[[#All],[Income]]&gt;50000,"50K-75K",(IF(ifood_data[[#All],[Income]]&gt;35000,"35K-50K","&lt;35K")))))</f>
        <v>50K-75K</v>
      </c>
      <c r="AW614" t="str">
        <f>IF(ifood_data[[#All],[Age]]&gt;60,"60+",(IF(ifood_data[[#All],[Age]]&gt;50,"50-60",(IF(ifood_data[[#All],[Age]]&gt;40,"40-50",(IF(ifood_data[[#All],[Age]]&gt;30,"30-40","&lt;30")))))))</f>
        <v>40-50</v>
      </c>
      <c r="AX614">
        <f t="shared" si="36"/>
        <v>27</v>
      </c>
      <c r="AY614">
        <f t="shared" si="37"/>
        <v>3.0000000000000004</v>
      </c>
      <c r="AZ614">
        <f t="shared" si="38"/>
        <v>7</v>
      </c>
      <c r="BA614">
        <f t="shared" si="39"/>
        <v>7</v>
      </c>
      <c r="BB614">
        <f>SUM(ifood_data[[#This Row],[Recency Score]:[Monetary Score]])</f>
        <v>17</v>
      </c>
      <c r="BC614">
        <f>(_xlfn.PERCENTRANK.INC(ifood_data[[#All],[RFM]],ifood_data[[#This Row],[RFM]],1))*10</f>
        <v>6</v>
      </c>
      <c r="BD614" t="str">
        <f>VLOOKUP(ifood_data[[#This Row],[RFM Score]],'RFM Analysis'!$A$3:$B$14,2,FALSE)</f>
        <v>Promising</v>
      </c>
      <c r="BE614">
        <f>'Regression Models'!$B$101+'Regression Models'!$B$102*ifood_data[[#This Row],[Income]]+'Regression Models'!$B$103*ifood_data[[#This Row],[Age]]+'Regression Models'!$B$104*ifood_data[[#This Row],[Family]]</f>
        <v>780.59625335029079</v>
      </c>
      <c r="BF614" t="str">
        <f>IF(ifood_data[[#This Row],[AcceptedCmpOverall]]=1,"Campaign Respondent","Non-respondent")</f>
        <v>Non-respondent</v>
      </c>
    </row>
    <row r="615" spans="1:58" x14ac:dyDescent="0.35">
      <c r="A615">
        <v>1286</v>
      </c>
      <c r="B615">
        <v>67267</v>
      </c>
      <c r="C615">
        <v>0</v>
      </c>
      <c r="D615">
        <v>1</v>
      </c>
      <c r="E615">
        <v>0</v>
      </c>
      <c r="F615">
        <v>134</v>
      </c>
      <c r="G615">
        <v>11</v>
      </c>
      <c r="H615">
        <v>59</v>
      </c>
      <c r="I615">
        <v>15</v>
      </c>
      <c r="J615">
        <v>2</v>
      </c>
      <c r="K615">
        <v>30</v>
      </c>
      <c r="L615">
        <v>1</v>
      </c>
      <c r="M615">
        <v>3</v>
      </c>
      <c r="N615">
        <v>2</v>
      </c>
      <c r="O615">
        <v>5</v>
      </c>
      <c r="P615">
        <v>2</v>
      </c>
      <c r="Q615">
        <v>0</v>
      </c>
      <c r="R615">
        <v>0</v>
      </c>
      <c r="S615">
        <v>0</v>
      </c>
      <c r="T615">
        <v>0</v>
      </c>
      <c r="U615">
        <v>0</v>
      </c>
      <c r="V615">
        <f>IF(SUM(ifood_data[[#This Row],[AcceptedCmp1]:[AcceptedCmp5]])&gt;0,1,0)</f>
        <v>0</v>
      </c>
      <c r="W615">
        <v>0</v>
      </c>
      <c r="X615">
        <v>3</v>
      </c>
      <c r="Y615">
        <v>11</v>
      </c>
      <c r="Z615">
        <v>0</v>
      </c>
      <c r="AA615">
        <v>62</v>
      </c>
      <c r="AB615">
        <v>2206</v>
      </c>
      <c r="AC615" s="28">
        <f>ifood_data[[#This Row],[Customer_Days]]/365</f>
        <v>6.043835616438356</v>
      </c>
      <c r="AD615">
        <v>0</v>
      </c>
      <c r="AE615">
        <v>1</v>
      </c>
      <c r="AF615">
        <v>0</v>
      </c>
      <c r="AG615">
        <v>0</v>
      </c>
      <c r="AH615">
        <v>0</v>
      </c>
      <c r="AI615">
        <v>0</v>
      </c>
      <c r="AJ615">
        <v>0</v>
      </c>
      <c r="AK615">
        <v>1</v>
      </c>
      <c r="AL615">
        <v>0</v>
      </c>
      <c r="AM615">
        <v>0</v>
      </c>
      <c r="AN615">
        <v>221</v>
      </c>
      <c r="AO615">
        <v>191</v>
      </c>
      <c r="AP615">
        <f>ifood_data[[#This Row],[MntTotal]]-ifood_data[[#This Row],[MntRegularProds]]</f>
        <v>30</v>
      </c>
      <c r="AQ615">
        <v>0</v>
      </c>
      <c r="AR615">
        <f>IF(SUM(ifood_data[[#This Row],[Kidhome]:[Teenhome]])&gt;0,1,0)</f>
        <v>1</v>
      </c>
      <c r="AS615" t="str">
        <f>IF(SUM(ifood_data[[#This Row],[Kidhome]:[Teenhome]])&gt;0,"Has Family","No Family")</f>
        <v>Has Family</v>
      </c>
      <c r="AT615" t="str">
        <f>IF(ifood_data[[#This Row],[marital_Married]]=1,"Married", (IF(ifood_data[[#This Row],[marital_Single]]=1,"Single",(IF(ifood_data[[#This Row],[marital_Divorced]]=1,"Divorced",(IF(ifood_data[[#This Row],[marital_Together]]=1,"Living Together",(IF(ifood_data[[#This Row],[marital_Widow]]=1,"Widow","Other")))))))))</f>
        <v>Married</v>
      </c>
      <c r="AU615" t="str">
        <f>IF(ifood_data[[#This Row],[education_Basic]]=1,"High School",(IF(ifood_data[[#This Row],[education_Graduation]]=1,"Undergraduate Degree",(IF(SUM(AM615,AL615,AI615)&gt;0,"Master's Degree or Higher","Other")))))</f>
        <v>Undergraduate Degree</v>
      </c>
      <c r="AV615" t="str">
        <f>IF(ifood_data[[#All],[Income]]&gt;75000,"75K+",(IF(ifood_data[[#All],[Income]]&gt;50000,"50K-75K",(IF(ifood_data[[#All],[Income]]&gt;35000,"35K-50K","&lt;35K")))))</f>
        <v>50K-75K</v>
      </c>
      <c r="AW615" t="str">
        <f>IF(ifood_data[[#All],[Age]]&gt;60,"60+",(IF(ifood_data[[#All],[Age]]&gt;50,"50-60",(IF(ifood_data[[#All],[Age]]&gt;40,"40-50",(IF(ifood_data[[#All],[Age]]&gt;30,"30-40","&lt;30")))))))</f>
        <v>60+</v>
      </c>
      <c r="AX615">
        <f t="shared" si="36"/>
        <v>13</v>
      </c>
      <c r="AY615">
        <f t="shared" si="37"/>
        <v>10</v>
      </c>
      <c r="AZ615">
        <f t="shared" si="38"/>
        <v>1</v>
      </c>
      <c r="BA615">
        <f t="shared" si="39"/>
        <v>4</v>
      </c>
      <c r="BB615">
        <f>SUM(ifood_data[[#This Row],[Recency Score]:[Monetary Score]])</f>
        <v>15</v>
      </c>
      <c r="BC615">
        <f>(_xlfn.PERCENTRANK.INC(ifood_data[[#All],[RFM]],ifood_data[[#This Row],[RFM]],1))*10</f>
        <v>4</v>
      </c>
      <c r="BD615" t="str">
        <f>VLOOKUP(ifood_data[[#This Row],[RFM Score]],'RFM Analysis'!$A$3:$B$14,2,FALSE)</f>
        <v>At Risk</v>
      </c>
      <c r="BE615">
        <f>'Regression Models'!$B$101+'Regression Models'!$B$102*ifood_data[[#This Row],[Income]]+'Regression Models'!$B$103*ifood_data[[#This Row],[Age]]+'Regression Models'!$B$104*ifood_data[[#This Row],[Family]]</f>
        <v>780.20315649671954</v>
      </c>
      <c r="BF615" t="str">
        <f>IF(ifood_data[[#This Row],[AcceptedCmpOverall]]=1,"Campaign Respondent","Non-respondent")</f>
        <v>Non-respondent</v>
      </c>
    </row>
    <row r="616" spans="1:58" x14ac:dyDescent="0.35">
      <c r="A616">
        <v>940</v>
      </c>
      <c r="B616">
        <v>64449</v>
      </c>
      <c r="C616">
        <v>1</v>
      </c>
      <c r="D616">
        <v>0</v>
      </c>
      <c r="E616">
        <v>70</v>
      </c>
      <c r="F616">
        <v>218</v>
      </c>
      <c r="G616">
        <v>63</v>
      </c>
      <c r="H616">
        <v>282</v>
      </c>
      <c r="I616">
        <v>137</v>
      </c>
      <c r="J616">
        <v>35</v>
      </c>
      <c r="K616">
        <v>70</v>
      </c>
      <c r="L616">
        <v>4</v>
      </c>
      <c r="M616">
        <v>5</v>
      </c>
      <c r="N616">
        <v>3</v>
      </c>
      <c r="O616">
        <v>12</v>
      </c>
      <c r="P616">
        <v>4</v>
      </c>
      <c r="Q616">
        <v>0</v>
      </c>
      <c r="R616">
        <v>0</v>
      </c>
      <c r="S616">
        <v>0</v>
      </c>
      <c r="T616">
        <v>0</v>
      </c>
      <c r="U616">
        <v>0</v>
      </c>
      <c r="V616">
        <f>IF(SUM(ifood_data[[#This Row],[AcceptedCmp1]:[AcceptedCmp5]])&gt;0,1,0)</f>
        <v>0</v>
      </c>
      <c r="W616">
        <v>0</v>
      </c>
      <c r="X616">
        <v>3</v>
      </c>
      <c r="Y616">
        <v>11</v>
      </c>
      <c r="Z616">
        <v>0</v>
      </c>
      <c r="AA616">
        <v>31</v>
      </c>
      <c r="AB616">
        <v>2290</v>
      </c>
      <c r="AC616" s="28">
        <f>ifood_data[[#This Row],[Customer_Days]]/365</f>
        <v>6.2739726027397262</v>
      </c>
      <c r="AD616">
        <v>0</v>
      </c>
      <c r="AE616">
        <v>0</v>
      </c>
      <c r="AF616">
        <v>1</v>
      </c>
      <c r="AG616">
        <v>0</v>
      </c>
      <c r="AH616">
        <v>0</v>
      </c>
      <c r="AI616">
        <v>0</v>
      </c>
      <c r="AJ616">
        <v>0</v>
      </c>
      <c r="AK616">
        <v>1</v>
      </c>
      <c r="AL616">
        <v>0</v>
      </c>
      <c r="AM616">
        <v>0</v>
      </c>
      <c r="AN616">
        <v>735</v>
      </c>
      <c r="AO616">
        <v>665</v>
      </c>
      <c r="AP616">
        <f>ifood_data[[#This Row],[MntTotal]]-ifood_data[[#This Row],[MntRegularProds]]</f>
        <v>70</v>
      </c>
      <c r="AQ616">
        <v>0</v>
      </c>
      <c r="AR616">
        <f>IF(SUM(ifood_data[[#This Row],[Kidhome]:[Teenhome]])&gt;0,1,0)</f>
        <v>1</v>
      </c>
      <c r="AS616" t="str">
        <f>IF(SUM(ifood_data[[#This Row],[Kidhome]:[Teenhome]])&gt;0,"Has Family","No Family")</f>
        <v>Has Family</v>
      </c>
      <c r="AT616" t="str">
        <f>IF(ifood_data[[#This Row],[marital_Married]]=1,"Married", (IF(ifood_data[[#This Row],[marital_Single]]=1,"Single",(IF(ifood_data[[#This Row],[marital_Divorced]]=1,"Divorced",(IF(ifood_data[[#This Row],[marital_Together]]=1,"Living Together",(IF(ifood_data[[#This Row],[marital_Widow]]=1,"Widow","Other")))))))))</f>
        <v>Single</v>
      </c>
      <c r="AU616" t="str">
        <f>IF(ifood_data[[#This Row],[education_Basic]]=1,"High School",(IF(ifood_data[[#This Row],[education_Graduation]]=1,"Undergraduate Degree",(IF(SUM(AM616,AL616,AI616)&gt;0,"Master's Degree or Higher","Other")))))</f>
        <v>Undergraduate Degree</v>
      </c>
      <c r="AV616" t="str">
        <f>IF(ifood_data[[#All],[Income]]&gt;75000,"75K+",(IF(ifood_data[[#All],[Income]]&gt;50000,"50K-75K",(IF(ifood_data[[#All],[Income]]&gt;35000,"35K-50K","&lt;35K")))))</f>
        <v>50K-75K</v>
      </c>
      <c r="AW616" t="str">
        <f>IF(ifood_data[[#All],[Age]]&gt;60,"60+",(IF(ifood_data[[#All],[Age]]&gt;50,"50-60",(IF(ifood_data[[#All],[Age]]&gt;40,"40-50",(IF(ifood_data[[#All],[Age]]&gt;30,"30-40","&lt;30")))))))</f>
        <v>30-40</v>
      </c>
      <c r="AX616">
        <f t="shared" si="36"/>
        <v>28</v>
      </c>
      <c r="AY616">
        <f t="shared" si="37"/>
        <v>3.0000000000000004</v>
      </c>
      <c r="AZ616">
        <f t="shared" si="38"/>
        <v>8</v>
      </c>
      <c r="BA616">
        <f t="shared" si="39"/>
        <v>6</v>
      </c>
      <c r="BB616">
        <f>SUM(ifood_data[[#This Row],[Recency Score]:[Monetary Score]])</f>
        <v>17</v>
      </c>
      <c r="BC616">
        <f>(_xlfn.PERCENTRANK.INC(ifood_data[[#All],[RFM]],ifood_data[[#This Row],[RFM]],1))*10</f>
        <v>6</v>
      </c>
      <c r="BD616" t="str">
        <f>VLOOKUP(ifood_data[[#This Row],[RFM Score]],'RFM Analysis'!$A$3:$B$14,2,FALSE)</f>
        <v>Promising</v>
      </c>
      <c r="BE616">
        <f>'Regression Models'!$B$101+'Regression Models'!$B$102*ifood_data[[#This Row],[Income]]+'Regression Models'!$B$103*ifood_data[[#This Row],[Age]]+'Regression Models'!$B$104*ifood_data[[#This Row],[Family]]</f>
        <v>779.67721931293511</v>
      </c>
      <c r="BF616" t="str">
        <f>IF(ifood_data[[#This Row],[AcceptedCmpOverall]]=1,"Campaign Respondent","Non-respondent")</f>
        <v>Non-respondent</v>
      </c>
    </row>
    <row r="617" spans="1:58" x14ac:dyDescent="0.35">
      <c r="A617">
        <v>1851</v>
      </c>
      <c r="B617">
        <v>68117</v>
      </c>
      <c r="C617">
        <v>0</v>
      </c>
      <c r="D617">
        <v>1</v>
      </c>
      <c r="E617">
        <v>80</v>
      </c>
      <c r="F617">
        <v>618</v>
      </c>
      <c r="G617">
        <v>44</v>
      </c>
      <c r="H617">
        <v>215</v>
      </c>
      <c r="I617">
        <v>0</v>
      </c>
      <c r="J617">
        <v>17</v>
      </c>
      <c r="K617">
        <v>36</v>
      </c>
      <c r="L617">
        <v>2</v>
      </c>
      <c r="M617">
        <v>11</v>
      </c>
      <c r="N617">
        <v>8</v>
      </c>
      <c r="O617">
        <v>4</v>
      </c>
      <c r="P617">
        <v>6</v>
      </c>
      <c r="Q617">
        <v>0</v>
      </c>
      <c r="R617">
        <v>0</v>
      </c>
      <c r="S617">
        <v>1</v>
      </c>
      <c r="T617">
        <v>0</v>
      </c>
      <c r="U617">
        <v>0</v>
      </c>
      <c r="V617">
        <f>IF(SUM(ifood_data[[#This Row],[AcceptedCmp1]:[AcceptedCmp5]])&gt;0,1,0)</f>
        <v>1</v>
      </c>
      <c r="W617">
        <v>0</v>
      </c>
      <c r="X617">
        <v>3</v>
      </c>
      <c r="Y617">
        <v>11</v>
      </c>
      <c r="Z617">
        <v>1</v>
      </c>
      <c r="AA617">
        <v>73</v>
      </c>
      <c r="AB617">
        <v>2635</v>
      </c>
      <c r="AC617" s="28">
        <f>ifood_data[[#This Row],[Customer_Days]]/365</f>
        <v>7.2191780821917808</v>
      </c>
      <c r="AD617">
        <v>0</v>
      </c>
      <c r="AE617">
        <v>0</v>
      </c>
      <c r="AF617">
        <v>0</v>
      </c>
      <c r="AG617">
        <v>0</v>
      </c>
      <c r="AH617">
        <v>1</v>
      </c>
      <c r="AI617">
        <v>0</v>
      </c>
      <c r="AJ617">
        <v>0</v>
      </c>
      <c r="AK617">
        <v>0</v>
      </c>
      <c r="AL617">
        <v>0</v>
      </c>
      <c r="AM617">
        <v>1</v>
      </c>
      <c r="AN617">
        <v>894</v>
      </c>
      <c r="AO617">
        <v>858</v>
      </c>
      <c r="AP617">
        <f>ifood_data[[#This Row],[MntTotal]]-ifood_data[[#This Row],[MntRegularProds]]</f>
        <v>36</v>
      </c>
      <c r="AQ617">
        <v>1</v>
      </c>
      <c r="AR617">
        <f>IF(SUM(ifood_data[[#This Row],[Kidhome]:[Teenhome]])&gt;0,1,0)</f>
        <v>1</v>
      </c>
      <c r="AS617" t="str">
        <f>IF(SUM(ifood_data[[#This Row],[Kidhome]:[Teenhome]])&gt;0,"Has Family","No Family")</f>
        <v>Has Family</v>
      </c>
      <c r="AT617" t="str">
        <f>IF(ifood_data[[#This Row],[marital_Married]]=1,"Married", (IF(ifood_data[[#This Row],[marital_Single]]=1,"Single",(IF(ifood_data[[#This Row],[marital_Divorced]]=1,"Divorced",(IF(ifood_data[[#This Row],[marital_Together]]=1,"Living Together",(IF(ifood_data[[#This Row],[marital_Widow]]=1,"Widow","Other")))))))))</f>
        <v>Widow</v>
      </c>
      <c r="AU617" t="str">
        <f>IF(ifood_data[[#This Row],[education_Basic]]=1,"High School",(IF(ifood_data[[#This Row],[education_Graduation]]=1,"Undergraduate Degree",(IF(SUM(AM617,AL617,AI617)&gt;0,"Master's Degree or Higher","Other")))))</f>
        <v>Master's Degree or Higher</v>
      </c>
      <c r="AV617" t="str">
        <f>IF(ifood_data[[#All],[Income]]&gt;75000,"75K+",(IF(ifood_data[[#All],[Income]]&gt;50000,"50K-75K",(IF(ifood_data[[#All],[Income]]&gt;35000,"35K-50K","&lt;35K")))))</f>
        <v>50K-75K</v>
      </c>
      <c r="AW617" t="str">
        <f>IF(ifood_data[[#All],[Age]]&gt;60,"60+",(IF(ifood_data[[#All],[Age]]&gt;50,"50-60",(IF(ifood_data[[#All],[Age]]&gt;40,"40-50",(IF(ifood_data[[#All],[Age]]&gt;30,"30-40","&lt;30")))))))</f>
        <v>60+</v>
      </c>
      <c r="AX617">
        <f t="shared" si="36"/>
        <v>31</v>
      </c>
      <c r="AY617">
        <f t="shared" si="37"/>
        <v>1.9999999999999996</v>
      </c>
      <c r="AZ617">
        <f t="shared" si="38"/>
        <v>9</v>
      </c>
      <c r="BA617">
        <f t="shared" si="39"/>
        <v>7</v>
      </c>
      <c r="BB617">
        <f>SUM(ifood_data[[#This Row],[Recency Score]:[Monetary Score]])</f>
        <v>18</v>
      </c>
      <c r="BC617">
        <f>(_xlfn.PERCENTRANK.INC(ifood_data[[#All],[RFM]],ifood_data[[#This Row],[RFM]],1))*10</f>
        <v>6</v>
      </c>
      <c r="BD617" t="str">
        <f>VLOOKUP(ifood_data[[#This Row],[RFM Score]],'RFM Analysis'!$A$3:$B$14,2,FALSE)</f>
        <v>Promising</v>
      </c>
      <c r="BE617">
        <f>'Regression Models'!$B$101+'Regression Models'!$B$102*ifood_data[[#This Row],[Income]]+'Regression Models'!$B$103*ifood_data[[#This Row],[Age]]+'Regression Models'!$B$104*ifood_data[[#This Row],[Family]]</f>
        <v>777.33277955119672</v>
      </c>
      <c r="BF617" t="str">
        <f>IF(ifood_data[[#This Row],[AcceptedCmpOverall]]=1,"Campaign Respondent","Non-respondent")</f>
        <v>Campaign Respondent</v>
      </c>
    </row>
    <row r="618" spans="1:58" x14ac:dyDescent="0.35">
      <c r="A618">
        <v>1048</v>
      </c>
      <c r="B618">
        <v>66480</v>
      </c>
      <c r="C618">
        <v>1</v>
      </c>
      <c r="D618">
        <v>1</v>
      </c>
      <c r="E618">
        <v>71</v>
      </c>
      <c r="F618">
        <v>199</v>
      </c>
      <c r="G618">
        <v>9</v>
      </c>
      <c r="H618">
        <v>57</v>
      </c>
      <c r="I618">
        <v>20</v>
      </c>
      <c r="J618">
        <v>21</v>
      </c>
      <c r="K618">
        <v>6</v>
      </c>
      <c r="L618">
        <v>7</v>
      </c>
      <c r="M618">
        <v>4</v>
      </c>
      <c r="N618">
        <v>1</v>
      </c>
      <c r="O618">
        <v>7</v>
      </c>
      <c r="P618">
        <v>4</v>
      </c>
      <c r="Q618">
        <v>0</v>
      </c>
      <c r="R618">
        <v>0</v>
      </c>
      <c r="S618">
        <v>0</v>
      </c>
      <c r="T618">
        <v>0</v>
      </c>
      <c r="U618">
        <v>0</v>
      </c>
      <c r="V618">
        <f>IF(SUM(ifood_data[[#This Row],[AcceptedCmp1]:[AcceptedCmp5]])&gt;0,1,0)</f>
        <v>0</v>
      </c>
      <c r="W618">
        <v>0</v>
      </c>
      <c r="X618">
        <v>3</v>
      </c>
      <c r="Y618">
        <v>11</v>
      </c>
      <c r="Z618">
        <v>0</v>
      </c>
      <c r="AA618">
        <v>55</v>
      </c>
      <c r="AB618">
        <v>2188</v>
      </c>
      <c r="AC618" s="28">
        <f>ifood_data[[#This Row],[Customer_Days]]/365</f>
        <v>5.9945205479452053</v>
      </c>
      <c r="AD618">
        <v>0</v>
      </c>
      <c r="AE618">
        <v>1</v>
      </c>
      <c r="AF618">
        <v>0</v>
      </c>
      <c r="AG618">
        <v>0</v>
      </c>
      <c r="AH618">
        <v>0</v>
      </c>
      <c r="AI618">
        <v>0</v>
      </c>
      <c r="AJ618">
        <v>0</v>
      </c>
      <c r="AK618">
        <v>1</v>
      </c>
      <c r="AL618">
        <v>0</v>
      </c>
      <c r="AM618">
        <v>0</v>
      </c>
      <c r="AN618">
        <v>306</v>
      </c>
      <c r="AO618">
        <v>300</v>
      </c>
      <c r="AP618">
        <f>ifood_data[[#This Row],[MntTotal]]-ifood_data[[#This Row],[MntRegularProds]]</f>
        <v>6</v>
      </c>
      <c r="AQ618">
        <v>0</v>
      </c>
      <c r="AR618">
        <f>IF(SUM(ifood_data[[#This Row],[Kidhome]:[Teenhome]])&gt;0,1,0)</f>
        <v>1</v>
      </c>
      <c r="AS618" t="str">
        <f>IF(SUM(ifood_data[[#This Row],[Kidhome]:[Teenhome]])&gt;0,"Has Family","No Family")</f>
        <v>Has Family</v>
      </c>
      <c r="AT618" t="str">
        <f>IF(ifood_data[[#This Row],[marital_Married]]=1,"Married", (IF(ifood_data[[#This Row],[marital_Single]]=1,"Single",(IF(ifood_data[[#This Row],[marital_Divorced]]=1,"Divorced",(IF(ifood_data[[#This Row],[marital_Together]]=1,"Living Together",(IF(ifood_data[[#This Row],[marital_Widow]]=1,"Widow","Other")))))))))</f>
        <v>Married</v>
      </c>
      <c r="AU618" t="str">
        <f>IF(ifood_data[[#This Row],[education_Basic]]=1,"High School",(IF(ifood_data[[#This Row],[education_Graduation]]=1,"Undergraduate Degree",(IF(SUM(AM618,AL618,AI618)&gt;0,"Master's Degree or Higher","Other")))))</f>
        <v>Undergraduate Degree</v>
      </c>
      <c r="AV618" t="str">
        <f>IF(ifood_data[[#All],[Income]]&gt;75000,"75K+",(IF(ifood_data[[#All],[Income]]&gt;50000,"50K-75K",(IF(ifood_data[[#All],[Income]]&gt;35000,"35K-50K","&lt;35K")))))</f>
        <v>50K-75K</v>
      </c>
      <c r="AW618" t="str">
        <f>IF(ifood_data[[#All],[Age]]&gt;60,"60+",(IF(ifood_data[[#All],[Age]]&gt;50,"50-60",(IF(ifood_data[[#All],[Age]]&gt;40,"40-50",(IF(ifood_data[[#All],[Age]]&gt;30,"30-40","&lt;30")))))))</f>
        <v>50-60</v>
      </c>
      <c r="AX618">
        <f t="shared" si="36"/>
        <v>23</v>
      </c>
      <c r="AY618">
        <f t="shared" si="37"/>
        <v>3.0000000000000004</v>
      </c>
      <c r="AZ618">
        <f t="shared" si="38"/>
        <v>6</v>
      </c>
      <c r="BA618">
        <f t="shared" si="39"/>
        <v>4</v>
      </c>
      <c r="BB618">
        <f>SUM(ifood_data[[#This Row],[Recency Score]:[Monetary Score]])</f>
        <v>13</v>
      </c>
      <c r="BC618">
        <f>(_xlfn.PERCENTRANK.INC(ifood_data[[#All],[RFM]],ifood_data[[#This Row],[RFM]],1))*10</f>
        <v>3</v>
      </c>
      <c r="BD618" t="str">
        <f>VLOOKUP(ifood_data[[#This Row],[RFM Score]],'RFM Analysis'!$A$3:$B$14,2,FALSE)</f>
        <v>At Risk</v>
      </c>
      <c r="BE618">
        <f>'Regression Models'!$B$101+'Regression Models'!$B$102*ifood_data[[#This Row],[Income]]+'Regression Models'!$B$103*ifood_data[[#This Row],[Age]]+'Regression Models'!$B$104*ifood_data[[#This Row],[Family]]</f>
        <v>777.01226951973115</v>
      </c>
      <c r="BF618" t="str">
        <f>IF(ifood_data[[#This Row],[AcceptedCmpOverall]]=1,"Campaign Respondent","Non-respondent")</f>
        <v>Non-respondent</v>
      </c>
    </row>
    <row r="619" spans="1:58" x14ac:dyDescent="0.35">
      <c r="A619">
        <v>473</v>
      </c>
      <c r="B619">
        <v>67911</v>
      </c>
      <c r="C619">
        <v>0</v>
      </c>
      <c r="D619">
        <v>1</v>
      </c>
      <c r="E619">
        <v>63</v>
      </c>
      <c r="F619">
        <v>529</v>
      </c>
      <c r="G619">
        <v>0</v>
      </c>
      <c r="H619">
        <v>356</v>
      </c>
      <c r="I619">
        <v>63</v>
      </c>
      <c r="J619">
        <v>28</v>
      </c>
      <c r="K619">
        <v>0</v>
      </c>
      <c r="L619">
        <v>3</v>
      </c>
      <c r="M619">
        <v>6</v>
      </c>
      <c r="N619">
        <v>7</v>
      </c>
      <c r="O619">
        <v>11</v>
      </c>
      <c r="P619">
        <v>3</v>
      </c>
      <c r="Q619">
        <v>0</v>
      </c>
      <c r="R619">
        <v>0</v>
      </c>
      <c r="S619">
        <v>0</v>
      </c>
      <c r="T619">
        <v>0</v>
      </c>
      <c r="U619">
        <v>0</v>
      </c>
      <c r="V619">
        <f>IF(SUM(ifood_data[[#This Row],[AcceptedCmp1]:[AcceptedCmp5]])&gt;0,1,0)</f>
        <v>0</v>
      </c>
      <c r="W619">
        <v>0</v>
      </c>
      <c r="X619">
        <v>3</v>
      </c>
      <c r="Y619">
        <v>11</v>
      </c>
      <c r="Z619">
        <v>0</v>
      </c>
      <c r="AA619">
        <v>71</v>
      </c>
      <c r="AB619">
        <v>2197</v>
      </c>
      <c r="AC619" s="28">
        <f>ifood_data[[#This Row],[Customer_Days]]/365</f>
        <v>6.0191780821917806</v>
      </c>
      <c r="AD619">
        <v>0</v>
      </c>
      <c r="AE619">
        <v>0</v>
      </c>
      <c r="AF619">
        <v>0</v>
      </c>
      <c r="AG619">
        <v>1</v>
      </c>
      <c r="AH619">
        <v>0</v>
      </c>
      <c r="AI619">
        <v>0</v>
      </c>
      <c r="AJ619">
        <v>0</v>
      </c>
      <c r="AK619">
        <v>0</v>
      </c>
      <c r="AL619">
        <v>0</v>
      </c>
      <c r="AM619">
        <v>1</v>
      </c>
      <c r="AN619">
        <v>976</v>
      </c>
      <c r="AO619">
        <v>976</v>
      </c>
      <c r="AP619">
        <f>ifood_data[[#This Row],[MntTotal]]-ifood_data[[#This Row],[MntRegularProds]]</f>
        <v>0</v>
      </c>
      <c r="AQ619">
        <v>0</v>
      </c>
      <c r="AR619">
        <f>IF(SUM(ifood_data[[#This Row],[Kidhome]:[Teenhome]])&gt;0,1,0)</f>
        <v>1</v>
      </c>
      <c r="AS619" t="str">
        <f>IF(SUM(ifood_data[[#This Row],[Kidhome]:[Teenhome]])&gt;0,"Has Family","No Family")</f>
        <v>Has Family</v>
      </c>
      <c r="AT619" t="str">
        <f>IF(ifood_data[[#This Row],[marital_Married]]=1,"Married", (IF(ifood_data[[#This Row],[marital_Single]]=1,"Single",(IF(ifood_data[[#This Row],[marital_Divorced]]=1,"Divorced",(IF(ifood_data[[#This Row],[marital_Together]]=1,"Living Together",(IF(ifood_data[[#This Row],[marital_Widow]]=1,"Widow","Other")))))))))</f>
        <v>Living Together</v>
      </c>
      <c r="AU619" t="str">
        <f>IF(ifood_data[[#This Row],[education_Basic]]=1,"High School",(IF(ifood_data[[#This Row],[education_Graduation]]=1,"Undergraduate Degree",(IF(SUM(AM619,AL619,AI619)&gt;0,"Master's Degree or Higher","Other")))))</f>
        <v>Master's Degree or Higher</v>
      </c>
      <c r="AV619" t="str">
        <f>IF(ifood_data[[#All],[Income]]&gt;75000,"75K+",(IF(ifood_data[[#All],[Income]]&gt;50000,"50K-75K",(IF(ifood_data[[#All],[Income]]&gt;35000,"35K-50K","&lt;35K")))))</f>
        <v>50K-75K</v>
      </c>
      <c r="AW619" t="str">
        <f>IF(ifood_data[[#All],[Age]]&gt;60,"60+",(IF(ifood_data[[#All],[Age]]&gt;50,"50-60",(IF(ifood_data[[#All],[Age]]&gt;40,"40-50",(IF(ifood_data[[#All],[Age]]&gt;30,"30-40","&lt;30")))))))</f>
        <v>60+</v>
      </c>
      <c r="AX619">
        <f t="shared" si="36"/>
        <v>30</v>
      </c>
      <c r="AY619">
        <f t="shared" si="37"/>
        <v>4</v>
      </c>
      <c r="AZ619">
        <f t="shared" si="38"/>
        <v>8</v>
      </c>
      <c r="BA619">
        <f t="shared" si="39"/>
        <v>7</v>
      </c>
      <c r="BB619">
        <f>SUM(ifood_data[[#This Row],[Recency Score]:[Monetary Score]])</f>
        <v>19</v>
      </c>
      <c r="BC619">
        <f>(_xlfn.PERCENTRANK.INC(ifood_data[[#All],[RFM]],ifood_data[[#This Row],[RFM]],1))*10</f>
        <v>7</v>
      </c>
      <c r="BD619" t="str">
        <f>VLOOKUP(ifood_data[[#This Row],[RFM Score]],'RFM Analysis'!$A$3:$B$14,2,FALSE)</f>
        <v>Loyal Customer</v>
      </c>
      <c r="BE619">
        <f>'Regression Models'!$B$101+'Regression Models'!$B$102*ifood_data[[#This Row],[Income]]+'Regression Models'!$B$103*ifood_data[[#This Row],[Age]]+'Regression Models'!$B$104*ifood_data[[#This Row],[Family]]</f>
        <v>776.80557147134175</v>
      </c>
      <c r="BF619" t="str">
        <f>IF(ifood_data[[#This Row],[AcceptedCmpOverall]]=1,"Campaign Respondent","Non-respondent")</f>
        <v>Non-respondent</v>
      </c>
    </row>
    <row r="620" spans="1:58" x14ac:dyDescent="0.35">
      <c r="A620">
        <v>266</v>
      </c>
      <c r="B620">
        <v>65640</v>
      </c>
      <c r="C620">
        <v>0</v>
      </c>
      <c r="D620">
        <v>1</v>
      </c>
      <c r="E620">
        <v>74</v>
      </c>
      <c r="F620">
        <v>204</v>
      </c>
      <c r="G620">
        <v>7</v>
      </c>
      <c r="H620">
        <v>149</v>
      </c>
      <c r="I620">
        <v>20</v>
      </c>
      <c r="J620">
        <v>15</v>
      </c>
      <c r="K620">
        <v>66</v>
      </c>
      <c r="L620">
        <v>1</v>
      </c>
      <c r="M620">
        <v>5</v>
      </c>
      <c r="N620">
        <v>1</v>
      </c>
      <c r="O620">
        <v>8</v>
      </c>
      <c r="P620">
        <v>2</v>
      </c>
      <c r="Q620">
        <v>0</v>
      </c>
      <c r="R620">
        <v>0</v>
      </c>
      <c r="S620">
        <v>0</v>
      </c>
      <c r="T620">
        <v>0</v>
      </c>
      <c r="U620">
        <v>0</v>
      </c>
      <c r="V620">
        <f>IF(SUM(ifood_data[[#This Row],[AcceptedCmp1]:[AcceptedCmp5]])&gt;0,1,0)</f>
        <v>0</v>
      </c>
      <c r="W620">
        <v>0</v>
      </c>
      <c r="X620">
        <v>3</v>
      </c>
      <c r="Y620">
        <v>11</v>
      </c>
      <c r="Z620">
        <v>0</v>
      </c>
      <c r="AA620">
        <v>46</v>
      </c>
      <c r="AB620">
        <v>2279</v>
      </c>
      <c r="AC620" s="28">
        <f>ifood_data[[#This Row],[Customer_Days]]/365</f>
        <v>6.2438356164383562</v>
      </c>
      <c r="AD620">
        <v>0</v>
      </c>
      <c r="AE620">
        <v>0</v>
      </c>
      <c r="AF620">
        <v>0</v>
      </c>
      <c r="AG620">
        <v>1</v>
      </c>
      <c r="AH620">
        <v>0</v>
      </c>
      <c r="AI620">
        <v>0</v>
      </c>
      <c r="AJ620">
        <v>0</v>
      </c>
      <c r="AK620">
        <v>0</v>
      </c>
      <c r="AL620">
        <v>0</v>
      </c>
      <c r="AM620">
        <v>1</v>
      </c>
      <c r="AN620">
        <v>395</v>
      </c>
      <c r="AO620">
        <v>329</v>
      </c>
      <c r="AP620">
        <f>ifood_data[[#This Row],[MntTotal]]-ifood_data[[#This Row],[MntRegularProds]]</f>
        <v>66</v>
      </c>
      <c r="AQ620">
        <v>0</v>
      </c>
      <c r="AR620">
        <f>IF(SUM(ifood_data[[#This Row],[Kidhome]:[Teenhome]])&gt;0,1,0)</f>
        <v>1</v>
      </c>
      <c r="AS620" t="str">
        <f>IF(SUM(ifood_data[[#This Row],[Kidhome]:[Teenhome]])&gt;0,"Has Family","No Family")</f>
        <v>Has Family</v>
      </c>
      <c r="AT620" t="str">
        <f>IF(ifood_data[[#This Row],[marital_Married]]=1,"Married", (IF(ifood_data[[#This Row],[marital_Single]]=1,"Single",(IF(ifood_data[[#This Row],[marital_Divorced]]=1,"Divorced",(IF(ifood_data[[#This Row],[marital_Together]]=1,"Living Together",(IF(ifood_data[[#This Row],[marital_Widow]]=1,"Widow","Other")))))))))</f>
        <v>Living Together</v>
      </c>
      <c r="AU620" t="str">
        <f>IF(ifood_data[[#This Row],[education_Basic]]=1,"High School",(IF(ifood_data[[#This Row],[education_Graduation]]=1,"Undergraduate Degree",(IF(SUM(AM620,AL620,AI620)&gt;0,"Master's Degree or Higher","Other")))))</f>
        <v>Master's Degree or Higher</v>
      </c>
      <c r="AV620" t="str">
        <f>IF(ifood_data[[#All],[Income]]&gt;75000,"75K+",(IF(ifood_data[[#All],[Income]]&gt;50000,"50K-75K",(IF(ifood_data[[#All],[Income]]&gt;35000,"35K-50K","&lt;35K")))))</f>
        <v>50K-75K</v>
      </c>
      <c r="AW620" t="str">
        <f>IF(ifood_data[[#All],[Age]]&gt;60,"60+",(IF(ifood_data[[#All],[Age]]&gt;50,"50-60",(IF(ifood_data[[#All],[Age]]&gt;40,"40-50",(IF(ifood_data[[#All],[Age]]&gt;30,"30-40","&lt;30")))))))</f>
        <v>40-50</v>
      </c>
      <c r="AX620">
        <f t="shared" si="36"/>
        <v>17</v>
      </c>
      <c r="AY620">
        <f t="shared" si="37"/>
        <v>3.0000000000000004</v>
      </c>
      <c r="AZ620">
        <f t="shared" si="38"/>
        <v>3</v>
      </c>
      <c r="BA620">
        <f t="shared" si="39"/>
        <v>5</v>
      </c>
      <c r="BB620">
        <f>SUM(ifood_data[[#This Row],[Recency Score]:[Monetary Score]])</f>
        <v>11</v>
      </c>
      <c r="BC620">
        <f>(_xlfn.PERCENTRANK.INC(ifood_data[[#All],[RFM]],ifood_data[[#This Row],[RFM]],1))*10</f>
        <v>2</v>
      </c>
      <c r="BD620" t="str">
        <f>VLOOKUP(ifood_data[[#This Row],[RFM Score]],'RFM Analysis'!$A$3:$B$14,2,FALSE)</f>
        <v>At Risk</v>
      </c>
      <c r="BE620">
        <f>'Regression Models'!$B$101+'Regression Models'!$B$102*ifood_data[[#This Row],[Income]]+'Regression Models'!$B$103*ifood_data[[#This Row],[Age]]+'Regression Models'!$B$104*ifood_data[[#This Row],[Family]]</f>
        <v>776.41365598890445</v>
      </c>
      <c r="BF620" t="str">
        <f>IF(ifood_data[[#This Row],[AcceptedCmpOverall]]=1,"Campaign Respondent","Non-respondent")</f>
        <v>Non-respondent</v>
      </c>
    </row>
    <row r="621" spans="1:58" x14ac:dyDescent="0.35">
      <c r="A621">
        <v>59</v>
      </c>
      <c r="B621">
        <v>67680</v>
      </c>
      <c r="C621">
        <v>0</v>
      </c>
      <c r="D621">
        <v>1</v>
      </c>
      <c r="E621">
        <v>8</v>
      </c>
      <c r="F621">
        <v>546</v>
      </c>
      <c r="G621">
        <v>0</v>
      </c>
      <c r="H621">
        <v>48</v>
      </c>
      <c r="I621">
        <v>0</v>
      </c>
      <c r="J621">
        <v>6</v>
      </c>
      <c r="K621">
        <v>6</v>
      </c>
      <c r="L621">
        <v>1</v>
      </c>
      <c r="M621">
        <v>7</v>
      </c>
      <c r="N621">
        <v>3</v>
      </c>
      <c r="O621">
        <v>8</v>
      </c>
      <c r="P621">
        <v>5</v>
      </c>
      <c r="Q621">
        <v>0</v>
      </c>
      <c r="R621">
        <v>0</v>
      </c>
      <c r="S621">
        <v>0</v>
      </c>
      <c r="T621">
        <v>0</v>
      </c>
      <c r="U621">
        <v>0</v>
      </c>
      <c r="V621">
        <f>IF(SUM(ifood_data[[#This Row],[AcceptedCmp1]:[AcceptedCmp5]])&gt;0,1,0)</f>
        <v>0</v>
      </c>
      <c r="W621">
        <v>0</v>
      </c>
      <c r="X621">
        <v>3</v>
      </c>
      <c r="Y621">
        <v>11</v>
      </c>
      <c r="Z621">
        <v>0</v>
      </c>
      <c r="AA621">
        <v>69</v>
      </c>
      <c r="AB621">
        <v>2542</v>
      </c>
      <c r="AC621" s="28">
        <f>ifood_data[[#This Row],[Customer_Days]]/365</f>
        <v>6.9643835616438352</v>
      </c>
      <c r="AD621">
        <v>0</v>
      </c>
      <c r="AE621">
        <v>0</v>
      </c>
      <c r="AF621">
        <v>0</v>
      </c>
      <c r="AG621">
        <v>0</v>
      </c>
      <c r="AH621">
        <v>1</v>
      </c>
      <c r="AI621">
        <v>0</v>
      </c>
      <c r="AJ621">
        <v>0</v>
      </c>
      <c r="AK621">
        <v>0</v>
      </c>
      <c r="AL621">
        <v>0</v>
      </c>
      <c r="AM621">
        <v>1</v>
      </c>
      <c r="AN621">
        <v>600</v>
      </c>
      <c r="AO621">
        <v>594</v>
      </c>
      <c r="AP621">
        <f>ifood_data[[#This Row],[MntTotal]]-ifood_data[[#This Row],[MntRegularProds]]</f>
        <v>6</v>
      </c>
      <c r="AQ621">
        <v>0</v>
      </c>
      <c r="AR621">
        <f>IF(SUM(ifood_data[[#This Row],[Kidhome]:[Teenhome]])&gt;0,1,0)</f>
        <v>1</v>
      </c>
      <c r="AS621" t="str">
        <f>IF(SUM(ifood_data[[#This Row],[Kidhome]:[Teenhome]])&gt;0,"Has Family","No Family")</f>
        <v>Has Family</v>
      </c>
      <c r="AT621" t="str">
        <f>IF(ifood_data[[#This Row],[marital_Married]]=1,"Married", (IF(ifood_data[[#This Row],[marital_Single]]=1,"Single",(IF(ifood_data[[#This Row],[marital_Divorced]]=1,"Divorced",(IF(ifood_data[[#This Row],[marital_Together]]=1,"Living Together",(IF(ifood_data[[#This Row],[marital_Widow]]=1,"Widow","Other")))))))))</f>
        <v>Widow</v>
      </c>
      <c r="AU621" t="str">
        <f>IF(ifood_data[[#This Row],[education_Basic]]=1,"High School",(IF(ifood_data[[#This Row],[education_Graduation]]=1,"Undergraduate Degree",(IF(SUM(AM621,AL621,AI621)&gt;0,"Master's Degree or Higher","Other")))))</f>
        <v>Master's Degree or Higher</v>
      </c>
      <c r="AV621" t="str">
        <f>IF(ifood_data[[#All],[Income]]&gt;75000,"75K+",(IF(ifood_data[[#All],[Income]]&gt;50000,"50K-75K",(IF(ifood_data[[#All],[Income]]&gt;35000,"35K-50K","&lt;35K")))))</f>
        <v>50K-75K</v>
      </c>
      <c r="AW621" t="str">
        <f>IF(ifood_data[[#All],[Age]]&gt;60,"60+",(IF(ifood_data[[#All],[Age]]&gt;50,"50-60",(IF(ifood_data[[#All],[Age]]&gt;40,"40-50",(IF(ifood_data[[#All],[Age]]&gt;30,"30-40","&lt;30")))))))</f>
        <v>60+</v>
      </c>
      <c r="AX621">
        <f t="shared" si="36"/>
        <v>24</v>
      </c>
      <c r="AY621">
        <f t="shared" si="37"/>
        <v>10</v>
      </c>
      <c r="AZ621">
        <f t="shared" si="38"/>
        <v>6</v>
      </c>
      <c r="BA621">
        <f t="shared" si="39"/>
        <v>6</v>
      </c>
      <c r="BB621">
        <f>SUM(ifood_data[[#This Row],[Recency Score]:[Monetary Score]])</f>
        <v>22</v>
      </c>
      <c r="BC621">
        <f>(_xlfn.PERCENTRANK.INC(ifood_data[[#All],[RFM]],ifood_data[[#This Row],[RFM]],1))*10</f>
        <v>8</v>
      </c>
      <c r="BD621" t="str">
        <f>VLOOKUP(ifood_data[[#This Row],[RFM Score]],'RFM Analysis'!$A$3:$B$14,2,FALSE)</f>
        <v>Loyal Customer</v>
      </c>
      <c r="BE621">
        <f>'Regression Models'!$B$101+'Regression Models'!$B$102*ifood_data[[#This Row],[Income]]+'Regression Models'!$B$103*ifood_data[[#This Row],[Age]]+'Regression Models'!$B$104*ifood_data[[#This Row],[Family]]</f>
        <v>775.76864418788989</v>
      </c>
      <c r="BF621" t="str">
        <f>IF(ifood_data[[#This Row],[AcceptedCmpOverall]]=1,"Campaign Respondent","Non-respondent")</f>
        <v>Non-respondent</v>
      </c>
    </row>
    <row r="622" spans="1:58" x14ac:dyDescent="0.35">
      <c r="A622">
        <v>773</v>
      </c>
      <c r="B622">
        <v>65968</v>
      </c>
      <c r="C622">
        <v>0</v>
      </c>
      <c r="D622">
        <v>1</v>
      </c>
      <c r="E622">
        <v>12</v>
      </c>
      <c r="F622">
        <v>376</v>
      </c>
      <c r="G622">
        <v>9</v>
      </c>
      <c r="H622">
        <v>83</v>
      </c>
      <c r="I622">
        <v>19</v>
      </c>
      <c r="J622">
        <v>4</v>
      </c>
      <c r="K622">
        <v>4</v>
      </c>
      <c r="L622">
        <v>2</v>
      </c>
      <c r="M622">
        <v>5</v>
      </c>
      <c r="N622">
        <v>4</v>
      </c>
      <c r="O622">
        <v>7</v>
      </c>
      <c r="P622">
        <v>3</v>
      </c>
      <c r="Q622">
        <v>0</v>
      </c>
      <c r="R622">
        <v>0</v>
      </c>
      <c r="S622">
        <v>0</v>
      </c>
      <c r="T622">
        <v>0</v>
      </c>
      <c r="U622">
        <v>0</v>
      </c>
      <c r="V622">
        <f>IF(SUM(ifood_data[[#This Row],[AcceptedCmp1]:[AcceptedCmp5]])&gt;0,1,0)</f>
        <v>0</v>
      </c>
      <c r="W622">
        <v>0</v>
      </c>
      <c r="X622">
        <v>3</v>
      </c>
      <c r="Y622">
        <v>11</v>
      </c>
      <c r="Z622">
        <v>0</v>
      </c>
      <c r="AA622">
        <v>50</v>
      </c>
      <c r="AB622">
        <v>2207</v>
      </c>
      <c r="AC622" s="28">
        <f>ifood_data[[#This Row],[Customer_Days]]/365</f>
        <v>6.0465753424657533</v>
      </c>
      <c r="AD622">
        <v>0</v>
      </c>
      <c r="AE622">
        <v>0</v>
      </c>
      <c r="AF622">
        <v>0</v>
      </c>
      <c r="AG622">
        <v>1</v>
      </c>
      <c r="AH622">
        <v>0</v>
      </c>
      <c r="AI622">
        <v>0</v>
      </c>
      <c r="AJ622">
        <v>0</v>
      </c>
      <c r="AK622">
        <v>0</v>
      </c>
      <c r="AL622">
        <v>0</v>
      </c>
      <c r="AM622">
        <v>1</v>
      </c>
      <c r="AN622">
        <v>491</v>
      </c>
      <c r="AO622">
        <v>487</v>
      </c>
      <c r="AP622">
        <f>ifood_data[[#This Row],[MntTotal]]-ifood_data[[#This Row],[MntRegularProds]]</f>
        <v>4</v>
      </c>
      <c r="AQ622">
        <v>0</v>
      </c>
      <c r="AR622">
        <f>IF(SUM(ifood_data[[#This Row],[Kidhome]:[Teenhome]])&gt;0,1,0)</f>
        <v>1</v>
      </c>
      <c r="AS622" t="str">
        <f>IF(SUM(ifood_data[[#This Row],[Kidhome]:[Teenhome]])&gt;0,"Has Family","No Family")</f>
        <v>Has Family</v>
      </c>
      <c r="AT622" t="str">
        <f>IF(ifood_data[[#This Row],[marital_Married]]=1,"Married", (IF(ifood_data[[#This Row],[marital_Single]]=1,"Single",(IF(ifood_data[[#This Row],[marital_Divorced]]=1,"Divorced",(IF(ifood_data[[#This Row],[marital_Together]]=1,"Living Together",(IF(ifood_data[[#This Row],[marital_Widow]]=1,"Widow","Other")))))))))</f>
        <v>Living Together</v>
      </c>
      <c r="AU622" t="str">
        <f>IF(ifood_data[[#This Row],[education_Basic]]=1,"High School",(IF(ifood_data[[#This Row],[education_Graduation]]=1,"Undergraduate Degree",(IF(SUM(AM622,AL622,AI622)&gt;0,"Master's Degree or Higher","Other")))))</f>
        <v>Master's Degree or Higher</v>
      </c>
      <c r="AV622" t="str">
        <f>IF(ifood_data[[#All],[Income]]&gt;75000,"75K+",(IF(ifood_data[[#All],[Income]]&gt;50000,"50K-75K",(IF(ifood_data[[#All],[Income]]&gt;35000,"35K-50K","&lt;35K")))))</f>
        <v>50K-75K</v>
      </c>
      <c r="AW622" t="str">
        <f>IF(ifood_data[[#All],[Age]]&gt;60,"60+",(IF(ifood_data[[#All],[Age]]&gt;50,"50-60",(IF(ifood_data[[#All],[Age]]&gt;40,"40-50",(IF(ifood_data[[#All],[Age]]&gt;30,"30-40","&lt;30")))))))</f>
        <v>40-50</v>
      </c>
      <c r="AX622">
        <f t="shared" si="36"/>
        <v>21</v>
      </c>
      <c r="AY622">
        <f t="shared" si="37"/>
        <v>9</v>
      </c>
      <c r="AZ622">
        <f t="shared" si="38"/>
        <v>5</v>
      </c>
      <c r="BA622">
        <f t="shared" si="39"/>
        <v>5</v>
      </c>
      <c r="BB622">
        <f>SUM(ifood_data[[#This Row],[Recency Score]:[Monetary Score]])</f>
        <v>19</v>
      </c>
      <c r="BC622">
        <f>(_xlfn.PERCENTRANK.INC(ifood_data[[#All],[RFM]],ifood_data[[#This Row],[RFM]],1))*10</f>
        <v>7</v>
      </c>
      <c r="BD622" t="str">
        <f>VLOOKUP(ifood_data[[#This Row],[RFM Score]],'RFM Analysis'!$A$3:$B$14,2,FALSE)</f>
        <v>Loyal Customer</v>
      </c>
      <c r="BE622">
        <f>'Regression Models'!$B$101+'Regression Models'!$B$102*ifood_data[[#This Row],[Income]]+'Regression Models'!$B$103*ifood_data[[#This Row],[Age]]+'Regression Models'!$B$104*ifood_data[[#This Row],[Family]]</f>
        <v>775.75541562452656</v>
      </c>
      <c r="BF622" t="str">
        <f>IF(ifood_data[[#This Row],[AcceptedCmpOverall]]=1,"Campaign Respondent","Non-respondent")</f>
        <v>Non-respondent</v>
      </c>
    </row>
    <row r="623" spans="1:58" x14ac:dyDescent="0.35">
      <c r="A623">
        <v>385</v>
      </c>
      <c r="B623">
        <v>65808</v>
      </c>
      <c r="C623">
        <v>1</v>
      </c>
      <c r="D623">
        <v>1</v>
      </c>
      <c r="E623">
        <v>1</v>
      </c>
      <c r="F623">
        <v>155</v>
      </c>
      <c r="G623">
        <v>7</v>
      </c>
      <c r="H623">
        <v>80</v>
      </c>
      <c r="I623">
        <v>13</v>
      </c>
      <c r="J623">
        <v>7</v>
      </c>
      <c r="K623">
        <v>10</v>
      </c>
      <c r="L623">
        <v>3</v>
      </c>
      <c r="M623">
        <v>5</v>
      </c>
      <c r="N623">
        <v>1</v>
      </c>
      <c r="O623">
        <v>5</v>
      </c>
      <c r="P623">
        <v>6</v>
      </c>
      <c r="Q623">
        <v>0</v>
      </c>
      <c r="R623">
        <v>0</v>
      </c>
      <c r="S623">
        <v>0</v>
      </c>
      <c r="T623">
        <v>0</v>
      </c>
      <c r="U623">
        <v>0</v>
      </c>
      <c r="V623">
        <f>IF(SUM(ifood_data[[#This Row],[AcceptedCmp1]:[AcceptedCmp5]])&gt;0,1,0)</f>
        <v>0</v>
      </c>
      <c r="W623">
        <v>0</v>
      </c>
      <c r="X623">
        <v>3</v>
      </c>
      <c r="Y623">
        <v>11</v>
      </c>
      <c r="Z623">
        <v>0</v>
      </c>
      <c r="AA623">
        <v>49</v>
      </c>
      <c r="AB623">
        <v>2189</v>
      </c>
      <c r="AC623" s="28">
        <f>ifood_data[[#This Row],[Customer_Days]]/365</f>
        <v>5.9972602739726026</v>
      </c>
      <c r="AD623">
        <v>1</v>
      </c>
      <c r="AE623">
        <v>0</v>
      </c>
      <c r="AF623">
        <v>0</v>
      </c>
      <c r="AG623">
        <v>0</v>
      </c>
      <c r="AH623">
        <v>0</v>
      </c>
      <c r="AI623">
        <v>0</v>
      </c>
      <c r="AJ623">
        <v>0</v>
      </c>
      <c r="AK623">
        <v>0</v>
      </c>
      <c r="AL623">
        <v>0</v>
      </c>
      <c r="AM623">
        <v>1</v>
      </c>
      <c r="AN623">
        <v>262</v>
      </c>
      <c r="AO623">
        <v>252</v>
      </c>
      <c r="AP623">
        <f>ifood_data[[#This Row],[MntTotal]]-ifood_data[[#This Row],[MntRegularProds]]</f>
        <v>10</v>
      </c>
      <c r="AQ623">
        <v>0</v>
      </c>
      <c r="AR623">
        <f>IF(SUM(ifood_data[[#This Row],[Kidhome]:[Teenhome]])&gt;0,1,0)</f>
        <v>1</v>
      </c>
      <c r="AS623" t="str">
        <f>IF(SUM(ifood_data[[#This Row],[Kidhome]:[Teenhome]])&gt;0,"Has Family","No Family")</f>
        <v>Has Family</v>
      </c>
      <c r="AT623" t="str">
        <f>IF(ifood_data[[#This Row],[marital_Married]]=1,"Married", (IF(ifood_data[[#This Row],[marital_Single]]=1,"Single",(IF(ifood_data[[#This Row],[marital_Divorced]]=1,"Divorced",(IF(ifood_data[[#This Row],[marital_Together]]=1,"Living Together",(IF(ifood_data[[#This Row],[marital_Widow]]=1,"Widow","Other")))))))))</f>
        <v>Divorced</v>
      </c>
      <c r="AU623" t="str">
        <f>IF(ifood_data[[#This Row],[education_Basic]]=1,"High School",(IF(ifood_data[[#This Row],[education_Graduation]]=1,"Undergraduate Degree",(IF(SUM(AM623,AL623,AI623)&gt;0,"Master's Degree or Higher","Other")))))</f>
        <v>Master's Degree or Higher</v>
      </c>
      <c r="AV623" t="str">
        <f>IF(ifood_data[[#All],[Income]]&gt;75000,"75K+",(IF(ifood_data[[#All],[Income]]&gt;50000,"50K-75K",(IF(ifood_data[[#All],[Income]]&gt;35000,"35K-50K","&lt;35K")))))</f>
        <v>50K-75K</v>
      </c>
      <c r="AW623" t="str">
        <f>IF(ifood_data[[#All],[Age]]&gt;60,"60+",(IF(ifood_data[[#All],[Age]]&gt;50,"50-60",(IF(ifood_data[[#All],[Age]]&gt;40,"40-50",(IF(ifood_data[[#All],[Age]]&gt;30,"30-40","&lt;30")))))))</f>
        <v>40-50</v>
      </c>
      <c r="AX623">
        <f t="shared" si="36"/>
        <v>20</v>
      </c>
      <c r="AY623">
        <f t="shared" si="37"/>
        <v>10</v>
      </c>
      <c r="AZ623">
        <f t="shared" si="38"/>
        <v>4</v>
      </c>
      <c r="BA623">
        <f t="shared" si="39"/>
        <v>4</v>
      </c>
      <c r="BB623">
        <f>SUM(ifood_data[[#This Row],[Recency Score]:[Monetary Score]])</f>
        <v>18</v>
      </c>
      <c r="BC623">
        <f>(_xlfn.PERCENTRANK.INC(ifood_data[[#All],[RFM]],ifood_data[[#This Row],[RFM]],1))*10</f>
        <v>6</v>
      </c>
      <c r="BD623" t="str">
        <f>VLOOKUP(ifood_data[[#This Row],[RFM Score]],'RFM Analysis'!$A$3:$B$14,2,FALSE)</f>
        <v>Promising</v>
      </c>
      <c r="BE623">
        <f>'Regression Models'!$B$101+'Regression Models'!$B$102*ifood_data[[#This Row],[Income]]+'Regression Models'!$B$103*ifood_data[[#This Row],[Age]]+'Regression Models'!$B$104*ifood_data[[#This Row],[Family]]</f>
        <v>774.32965180039685</v>
      </c>
      <c r="BF623" t="str">
        <f>IF(ifood_data[[#This Row],[AcceptedCmpOverall]]=1,"Campaign Respondent","Non-respondent")</f>
        <v>Non-respondent</v>
      </c>
    </row>
    <row r="624" spans="1:58" x14ac:dyDescent="0.35">
      <c r="A624">
        <v>1852</v>
      </c>
      <c r="B624">
        <v>67225</v>
      </c>
      <c r="C624">
        <v>0</v>
      </c>
      <c r="D624">
        <v>1</v>
      </c>
      <c r="E624">
        <v>4</v>
      </c>
      <c r="F624">
        <v>315</v>
      </c>
      <c r="G624">
        <v>35</v>
      </c>
      <c r="H624">
        <v>322</v>
      </c>
      <c r="I624">
        <v>46</v>
      </c>
      <c r="J624">
        <v>7</v>
      </c>
      <c r="K624">
        <v>143</v>
      </c>
      <c r="L624">
        <v>3</v>
      </c>
      <c r="M624">
        <v>7</v>
      </c>
      <c r="N624">
        <v>2</v>
      </c>
      <c r="O624">
        <v>11</v>
      </c>
      <c r="P624">
        <v>5</v>
      </c>
      <c r="Q624">
        <v>0</v>
      </c>
      <c r="R624">
        <v>0</v>
      </c>
      <c r="S624">
        <v>0</v>
      </c>
      <c r="T624">
        <v>0</v>
      </c>
      <c r="U624">
        <v>0</v>
      </c>
      <c r="V624">
        <f>IF(SUM(ifood_data[[#This Row],[AcceptedCmp1]:[AcceptedCmp5]])&gt;0,1,0)</f>
        <v>0</v>
      </c>
      <c r="W624">
        <v>0</v>
      </c>
      <c r="X624">
        <v>3</v>
      </c>
      <c r="Y624">
        <v>11</v>
      </c>
      <c r="Z624">
        <v>0</v>
      </c>
      <c r="AA624">
        <v>65</v>
      </c>
      <c r="AB624">
        <v>2374</v>
      </c>
      <c r="AC624" s="28">
        <f>ifood_data[[#This Row],[Customer_Days]]/365</f>
        <v>6.5041095890410956</v>
      </c>
      <c r="AD624">
        <v>0</v>
      </c>
      <c r="AE624">
        <v>1</v>
      </c>
      <c r="AF624">
        <v>0</v>
      </c>
      <c r="AG624">
        <v>0</v>
      </c>
      <c r="AH624">
        <v>0</v>
      </c>
      <c r="AI624">
        <v>0</v>
      </c>
      <c r="AJ624">
        <v>0</v>
      </c>
      <c r="AK624">
        <v>1</v>
      </c>
      <c r="AL624">
        <v>0</v>
      </c>
      <c r="AM624">
        <v>0</v>
      </c>
      <c r="AN624">
        <v>725</v>
      </c>
      <c r="AO624">
        <v>582</v>
      </c>
      <c r="AP624">
        <f>ifood_data[[#This Row],[MntTotal]]-ifood_data[[#This Row],[MntRegularProds]]</f>
        <v>143</v>
      </c>
      <c r="AQ624">
        <v>0</v>
      </c>
      <c r="AR624">
        <f>IF(SUM(ifood_data[[#This Row],[Kidhome]:[Teenhome]])&gt;0,1,0)</f>
        <v>1</v>
      </c>
      <c r="AS624" t="str">
        <f>IF(SUM(ifood_data[[#This Row],[Kidhome]:[Teenhome]])&gt;0,"Has Family","No Family")</f>
        <v>Has Family</v>
      </c>
      <c r="AT624" t="str">
        <f>IF(ifood_data[[#This Row],[marital_Married]]=1,"Married", (IF(ifood_data[[#This Row],[marital_Single]]=1,"Single",(IF(ifood_data[[#This Row],[marital_Divorced]]=1,"Divorced",(IF(ifood_data[[#This Row],[marital_Together]]=1,"Living Together",(IF(ifood_data[[#This Row],[marital_Widow]]=1,"Widow","Other")))))))))</f>
        <v>Married</v>
      </c>
      <c r="AU624" t="str">
        <f>IF(ifood_data[[#This Row],[education_Basic]]=1,"High School",(IF(ifood_data[[#This Row],[education_Graduation]]=1,"Undergraduate Degree",(IF(SUM(AM624,AL624,AI624)&gt;0,"Master's Degree or Higher","Other")))))</f>
        <v>Undergraduate Degree</v>
      </c>
      <c r="AV624" t="str">
        <f>IF(ifood_data[[#All],[Income]]&gt;75000,"75K+",(IF(ifood_data[[#All],[Income]]&gt;50000,"50K-75K",(IF(ifood_data[[#All],[Income]]&gt;35000,"35K-50K","&lt;35K")))))</f>
        <v>50K-75K</v>
      </c>
      <c r="AW624" t="str">
        <f>IF(ifood_data[[#All],[Age]]&gt;60,"60+",(IF(ifood_data[[#All],[Age]]&gt;50,"50-60",(IF(ifood_data[[#All],[Age]]&gt;40,"40-50",(IF(ifood_data[[#All],[Age]]&gt;30,"30-40","&lt;30")))))))</f>
        <v>60+</v>
      </c>
      <c r="AX624">
        <f t="shared" si="36"/>
        <v>28</v>
      </c>
      <c r="AY624">
        <f t="shared" si="37"/>
        <v>10</v>
      </c>
      <c r="AZ624">
        <f t="shared" si="38"/>
        <v>8</v>
      </c>
      <c r="BA624">
        <f t="shared" si="39"/>
        <v>6</v>
      </c>
      <c r="BB624">
        <f>SUM(ifood_data[[#This Row],[Recency Score]:[Monetary Score]])</f>
        <v>24</v>
      </c>
      <c r="BC624">
        <f>(_xlfn.PERCENTRANK.INC(ifood_data[[#All],[RFM]],ifood_data[[#This Row],[RFM]],1))*10</f>
        <v>9</v>
      </c>
      <c r="BD624" t="str">
        <f>VLOOKUP(ifood_data[[#This Row],[RFM Score]],'RFM Analysis'!$A$3:$B$14,2,FALSE)</f>
        <v>Top Customer</v>
      </c>
      <c r="BE624">
        <f>'Regression Models'!$B$101+'Regression Models'!$B$102*ifood_data[[#This Row],[Income]]+'Regression Models'!$B$103*ifood_data[[#This Row],[Age]]+'Regression Models'!$B$104*ifood_data[[#This Row],[Family]]</f>
        <v>773.83751099799281</v>
      </c>
      <c r="BF624" t="str">
        <f>IF(ifood_data[[#This Row],[AcceptedCmpOverall]]=1,"Campaign Respondent","Non-respondent")</f>
        <v>Non-respondent</v>
      </c>
    </row>
    <row r="625" spans="1:58" x14ac:dyDescent="0.35">
      <c r="A625">
        <v>1622</v>
      </c>
      <c r="B625">
        <v>67131</v>
      </c>
      <c r="C625">
        <v>0</v>
      </c>
      <c r="D625">
        <v>1</v>
      </c>
      <c r="E625">
        <v>72</v>
      </c>
      <c r="F625">
        <v>465</v>
      </c>
      <c r="G625">
        <v>71</v>
      </c>
      <c r="H625">
        <v>250</v>
      </c>
      <c r="I625">
        <v>93</v>
      </c>
      <c r="J625">
        <v>35</v>
      </c>
      <c r="K625">
        <v>62</v>
      </c>
      <c r="L625">
        <v>3</v>
      </c>
      <c r="M625">
        <v>9</v>
      </c>
      <c r="N625">
        <v>2</v>
      </c>
      <c r="O625">
        <v>12</v>
      </c>
      <c r="P625">
        <v>6</v>
      </c>
      <c r="Q625">
        <v>0</v>
      </c>
      <c r="R625">
        <v>0</v>
      </c>
      <c r="S625">
        <v>0</v>
      </c>
      <c r="T625">
        <v>0</v>
      </c>
      <c r="U625">
        <v>0</v>
      </c>
      <c r="V625">
        <f>IF(SUM(ifood_data[[#This Row],[AcceptedCmp1]:[AcceptedCmp5]])&gt;0,1,0)</f>
        <v>0</v>
      </c>
      <c r="W625">
        <v>0</v>
      </c>
      <c r="X625">
        <v>3</v>
      </c>
      <c r="Y625">
        <v>11</v>
      </c>
      <c r="Z625">
        <v>0</v>
      </c>
      <c r="AA625">
        <v>64</v>
      </c>
      <c r="AB625">
        <v>2619</v>
      </c>
      <c r="AC625" s="28">
        <f>ifood_data[[#This Row],[Customer_Days]]/365</f>
        <v>7.1753424657534248</v>
      </c>
      <c r="AD625">
        <v>0</v>
      </c>
      <c r="AE625">
        <v>1</v>
      </c>
      <c r="AF625">
        <v>0</v>
      </c>
      <c r="AG625">
        <v>0</v>
      </c>
      <c r="AH625">
        <v>0</v>
      </c>
      <c r="AI625">
        <v>0</v>
      </c>
      <c r="AJ625">
        <v>0</v>
      </c>
      <c r="AK625">
        <v>1</v>
      </c>
      <c r="AL625">
        <v>0</v>
      </c>
      <c r="AM625">
        <v>0</v>
      </c>
      <c r="AN625">
        <v>914</v>
      </c>
      <c r="AO625">
        <v>852</v>
      </c>
      <c r="AP625">
        <f>ifood_data[[#This Row],[MntTotal]]-ifood_data[[#This Row],[MntRegularProds]]</f>
        <v>62</v>
      </c>
      <c r="AQ625">
        <v>0</v>
      </c>
      <c r="AR625">
        <f>IF(SUM(ifood_data[[#This Row],[Kidhome]:[Teenhome]])&gt;0,1,0)</f>
        <v>1</v>
      </c>
      <c r="AS625" t="str">
        <f>IF(SUM(ifood_data[[#This Row],[Kidhome]:[Teenhome]])&gt;0,"Has Family","No Family")</f>
        <v>Has Family</v>
      </c>
      <c r="AT625" t="str">
        <f>IF(ifood_data[[#This Row],[marital_Married]]=1,"Married", (IF(ifood_data[[#This Row],[marital_Single]]=1,"Single",(IF(ifood_data[[#This Row],[marital_Divorced]]=1,"Divorced",(IF(ifood_data[[#This Row],[marital_Together]]=1,"Living Together",(IF(ifood_data[[#This Row],[marital_Widow]]=1,"Widow","Other")))))))))</f>
        <v>Married</v>
      </c>
      <c r="AU625" t="str">
        <f>IF(ifood_data[[#This Row],[education_Basic]]=1,"High School",(IF(ifood_data[[#This Row],[education_Graduation]]=1,"Undergraduate Degree",(IF(SUM(AM625,AL625,AI625)&gt;0,"Master's Degree or Higher","Other")))))</f>
        <v>Undergraduate Degree</v>
      </c>
      <c r="AV625" t="str">
        <f>IF(ifood_data[[#All],[Income]]&gt;75000,"75K+",(IF(ifood_data[[#All],[Income]]&gt;50000,"50K-75K",(IF(ifood_data[[#All],[Income]]&gt;35000,"35K-50K","&lt;35K")))))</f>
        <v>50K-75K</v>
      </c>
      <c r="AW625" t="str">
        <f>IF(ifood_data[[#All],[Age]]&gt;60,"60+",(IF(ifood_data[[#All],[Age]]&gt;50,"50-60",(IF(ifood_data[[#All],[Age]]&gt;40,"40-50",(IF(ifood_data[[#All],[Age]]&gt;30,"30-40","&lt;30")))))))</f>
        <v>60+</v>
      </c>
      <c r="AX625">
        <f t="shared" si="36"/>
        <v>32</v>
      </c>
      <c r="AY625">
        <f t="shared" si="37"/>
        <v>3.0000000000000004</v>
      </c>
      <c r="AZ625">
        <f t="shared" si="38"/>
        <v>9</v>
      </c>
      <c r="BA625">
        <f t="shared" si="39"/>
        <v>7</v>
      </c>
      <c r="BB625">
        <f>SUM(ifood_data[[#This Row],[Recency Score]:[Monetary Score]])</f>
        <v>19</v>
      </c>
      <c r="BC625">
        <f>(_xlfn.PERCENTRANK.INC(ifood_data[[#All],[RFM]],ifood_data[[#This Row],[RFM]],1))*10</f>
        <v>7</v>
      </c>
      <c r="BD625" t="str">
        <f>VLOOKUP(ifood_data[[#This Row],[RFM Score]],'RFM Analysis'!$A$3:$B$14,2,FALSE)</f>
        <v>Loyal Customer</v>
      </c>
      <c r="BE625">
        <f>'Regression Models'!$B$101+'Regression Models'!$B$102*ifood_data[[#This Row],[Income]]+'Regression Models'!$B$103*ifood_data[[#This Row],[Age]]+'Regression Models'!$B$104*ifood_data[[#This Row],[Family]]</f>
        <v>773.75740587136067</v>
      </c>
      <c r="BF625" t="str">
        <f>IF(ifood_data[[#This Row],[AcceptedCmpOverall]]=1,"Campaign Respondent","Non-respondent")</f>
        <v>Non-respondent</v>
      </c>
    </row>
    <row r="626" spans="1:58" x14ac:dyDescent="0.35">
      <c r="A626">
        <v>776</v>
      </c>
      <c r="B626">
        <v>65685</v>
      </c>
      <c r="C626">
        <v>0</v>
      </c>
      <c r="D626">
        <v>1</v>
      </c>
      <c r="E626">
        <v>54</v>
      </c>
      <c r="F626">
        <v>642</v>
      </c>
      <c r="G626">
        <v>14</v>
      </c>
      <c r="H626">
        <v>49</v>
      </c>
      <c r="I626">
        <v>0</v>
      </c>
      <c r="J626">
        <v>7</v>
      </c>
      <c r="K626">
        <v>57</v>
      </c>
      <c r="L626">
        <v>1</v>
      </c>
      <c r="M626">
        <v>9</v>
      </c>
      <c r="N626">
        <v>2</v>
      </c>
      <c r="O626">
        <v>9</v>
      </c>
      <c r="P626">
        <v>5</v>
      </c>
      <c r="Q626">
        <v>0</v>
      </c>
      <c r="R626">
        <v>0</v>
      </c>
      <c r="S626">
        <v>0</v>
      </c>
      <c r="T626">
        <v>0</v>
      </c>
      <c r="U626">
        <v>0</v>
      </c>
      <c r="V626">
        <f>IF(SUM(ifood_data[[#This Row],[AcceptedCmp1]:[AcceptedCmp5]])&gt;0,1,0)</f>
        <v>0</v>
      </c>
      <c r="W626">
        <v>0</v>
      </c>
      <c r="X626">
        <v>3</v>
      </c>
      <c r="Y626">
        <v>11</v>
      </c>
      <c r="Z626">
        <v>0</v>
      </c>
      <c r="AA626">
        <v>48</v>
      </c>
      <c r="AB626">
        <v>2251</v>
      </c>
      <c r="AC626" s="28">
        <f>ifood_data[[#This Row],[Customer_Days]]/365</f>
        <v>6.1671232876712327</v>
      </c>
      <c r="AD626">
        <v>0</v>
      </c>
      <c r="AE626">
        <v>1</v>
      </c>
      <c r="AF626">
        <v>0</v>
      </c>
      <c r="AG626">
        <v>0</v>
      </c>
      <c r="AH626">
        <v>0</v>
      </c>
      <c r="AI626">
        <v>0</v>
      </c>
      <c r="AJ626">
        <v>0</v>
      </c>
      <c r="AK626">
        <v>1</v>
      </c>
      <c r="AL626">
        <v>0</v>
      </c>
      <c r="AM626">
        <v>0</v>
      </c>
      <c r="AN626">
        <v>712</v>
      </c>
      <c r="AO626">
        <v>655</v>
      </c>
      <c r="AP626">
        <f>ifood_data[[#This Row],[MntTotal]]-ifood_data[[#This Row],[MntRegularProds]]</f>
        <v>57</v>
      </c>
      <c r="AQ626">
        <v>0</v>
      </c>
      <c r="AR626">
        <f>IF(SUM(ifood_data[[#This Row],[Kidhome]:[Teenhome]])&gt;0,1,0)</f>
        <v>1</v>
      </c>
      <c r="AS626" t="str">
        <f>IF(SUM(ifood_data[[#This Row],[Kidhome]:[Teenhome]])&gt;0,"Has Family","No Family")</f>
        <v>Has Family</v>
      </c>
      <c r="AT626" t="str">
        <f>IF(ifood_data[[#This Row],[marital_Married]]=1,"Married", (IF(ifood_data[[#This Row],[marital_Single]]=1,"Single",(IF(ifood_data[[#This Row],[marital_Divorced]]=1,"Divorced",(IF(ifood_data[[#This Row],[marital_Together]]=1,"Living Together",(IF(ifood_data[[#This Row],[marital_Widow]]=1,"Widow","Other")))))))))</f>
        <v>Married</v>
      </c>
      <c r="AU626" t="str">
        <f>IF(ifood_data[[#This Row],[education_Basic]]=1,"High School",(IF(ifood_data[[#This Row],[education_Graduation]]=1,"Undergraduate Degree",(IF(SUM(AM626,AL626,AI626)&gt;0,"Master's Degree or Higher","Other")))))</f>
        <v>Undergraduate Degree</v>
      </c>
      <c r="AV626" t="str">
        <f>IF(ifood_data[[#All],[Income]]&gt;75000,"75K+",(IF(ifood_data[[#All],[Income]]&gt;50000,"50K-75K",(IF(ifood_data[[#All],[Income]]&gt;35000,"35K-50K","&lt;35K")))))</f>
        <v>50K-75K</v>
      </c>
      <c r="AW626" t="str">
        <f>IF(ifood_data[[#All],[Age]]&gt;60,"60+",(IF(ifood_data[[#All],[Age]]&gt;50,"50-60",(IF(ifood_data[[#All],[Age]]&gt;40,"40-50",(IF(ifood_data[[#All],[Age]]&gt;30,"30-40","&lt;30")))))))</f>
        <v>40-50</v>
      </c>
      <c r="AX626">
        <f t="shared" si="36"/>
        <v>26</v>
      </c>
      <c r="AY626">
        <f t="shared" si="37"/>
        <v>5</v>
      </c>
      <c r="AZ626">
        <f t="shared" si="38"/>
        <v>7</v>
      </c>
      <c r="BA626">
        <f t="shared" si="39"/>
        <v>6</v>
      </c>
      <c r="BB626">
        <f>SUM(ifood_data[[#This Row],[Recency Score]:[Monetary Score]])</f>
        <v>18</v>
      </c>
      <c r="BC626">
        <f>(_xlfn.PERCENTRANK.INC(ifood_data[[#All],[RFM]],ifood_data[[#This Row],[RFM]],1))*10</f>
        <v>6</v>
      </c>
      <c r="BD626" t="str">
        <f>VLOOKUP(ifood_data[[#This Row],[RFM Score]],'RFM Analysis'!$A$3:$B$14,2,FALSE)</f>
        <v>Promising</v>
      </c>
      <c r="BE626">
        <f>'Regression Models'!$B$101+'Regression Models'!$B$102*ifood_data[[#This Row],[Income]]+'Regression Models'!$B$103*ifood_data[[#This Row],[Age]]+'Regression Models'!$B$104*ifood_data[[#This Row],[Family]]</f>
        <v>773.6582723975913</v>
      </c>
      <c r="BF626" t="str">
        <f>IF(ifood_data[[#This Row],[AcceptedCmpOverall]]=1,"Campaign Respondent","Non-respondent")</f>
        <v>Non-respondent</v>
      </c>
    </row>
    <row r="627" spans="1:58" x14ac:dyDescent="0.35">
      <c r="A627">
        <v>1861</v>
      </c>
      <c r="B627">
        <v>49767</v>
      </c>
      <c r="C627">
        <v>0</v>
      </c>
      <c r="D627">
        <v>0</v>
      </c>
      <c r="E627">
        <v>92</v>
      </c>
      <c r="F627">
        <v>202</v>
      </c>
      <c r="G627">
        <v>47</v>
      </c>
      <c r="H627">
        <v>197</v>
      </c>
      <c r="I627">
        <v>55</v>
      </c>
      <c r="J627">
        <v>42</v>
      </c>
      <c r="K627">
        <v>149</v>
      </c>
      <c r="L627">
        <v>1</v>
      </c>
      <c r="M627">
        <v>5</v>
      </c>
      <c r="N627">
        <v>4</v>
      </c>
      <c r="O627">
        <v>8</v>
      </c>
      <c r="P627">
        <v>4</v>
      </c>
      <c r="Q627">
        <v>0</v>
      </c>
      <c r="R627">
        <v>0</v>
      </c>
      <c r="S627">
        <v>0</v>
      </c>
      <c r="T627">
        <v>0</v>
      </c>
      <c r="U627">
        <v>0</v>
      </c>
      <c r="V627">
        <f>IF(SUM(ifood_data[[#This Row],[AcceptedCmp1]:[AcceptedCmp5]])&gt;0,1,0)</f>
        <v>0</v>
      </c>
      <c r="W627">
        <v>0</v>
      </c>
      <c r="X627">
        <v>3</v>
      </c>
      <c r="Y627">
        <v>11</v>
      </c>
      <c r="Z627">
        <v>0</v>
      </c>
      <c r="AA627">
        <v>29</v>
      </c>
      <c r="AB627">
        <v>2582</v>
      </c>
      <c r="AC627" s="28">
        <f>ifood_data[[#This Row],[Customer_Days]]/365</f>
        <v>7.0739726027397261</v>
      </c>
      <c r="AD627">
        <v>0</v>
      </c>
      <c r="AE627">
        <v>0</v>
      </c>
      <c r="AF627">
        <v>1</v>
      </c>
      <c r="AG627">
        <v>0</v>
      </c>
      <c r="AH627">
        <v>0</v>
      </c>
      <c r="AI627">
        <v>0</v>
      </c>
      <c r="AJ627">
        <v>0</v>
      </c>
      <c r="AK627">
        <v>1</v>
      </c>
      <c r="AL627">
        <v>0</v>
      </c>
      <c r="AM627">
        <v>0</v>
      </c>
      <c r="AN627">
        <v>543</v>
      </c>
      <c r="AO627">
        <v>394</v>
      </c>
      <c r="AP627">
        <f>ifood_data[[#This Row],[MntTotal]]-ifood_data[[#This Row],[MntRegularProds]]</f>
        <v>149</v>
      </c>
      <c r="AQ627">
        <v>0</v>
      </c>
      <c r="AR627">
        <f>IF(SUM(ifood_data[[#This Row],[Kidhome]:[Teenhome]])&gt;0,1,0)</f>
        <v>0</v>
      </c>
      <c r="AS627" t="str">
        <f>IF(SUM(ifood_data[[#This Row],[Kidhome]:[Teenhome]])&gt;0,"Has Family","No Family")</f>
        <v>No Family</v>
      </c>
      <c r="AT627" t="str">
        <f>IF(ifood_data[[#This Row],[marital_Married]]=1,"Married", (IF(ifood_data[[#This Row],[marital_Single]]=1,"Single",(IF(ifood_data[[#This Row],[marital_Divorced]]=1,"Divorced",(IF(ifood_data[[#This Row],[marital_Together]]=1,"Living Together",(IF(ifood_data[[#This Row],[marital_Widow]]=1,"Widow","Other")))))))))</f>
        <v>Single</v>
      </c>
      <c r="AU627" t="str">
        <f>IF(ifood_data[[#This Row],[education_Basic]]=1,"High School",(IF(ifood_data[[#This Row],[education_Graduation]]=1,"Undergraduate Degree",(IF(SUM(AM627,AL627,AI627)&gt;0,"Master's Degree or Higher","Other")))))</f>
        <v>Undergraduate Degree</v>
      </c>
      <c r="AV627" t="str">
        <f>IF(ifood_data[[#All],[Income]]&gt;75000,"75K+",(IF(ifood_data[[#All],[Income]]&gt;50000,"50K-75K",(IF(ifood_data[[#All],[Income]]&gt;35000,"35K-50K","&lt;35K")))))</f>
        <v>35K-50K</v>
      </c>
      <c r="AW627" t="str">
        <f>IF(ifood_data[[#All],[Age]]&gt;60,"60+",(IF(ifood_data[[#All],[Age]]&gt;50,"50-60",(IF(ifood_data[[#All],[Age]]&gt;40,"40-50",(IF(ifood_data[[#All],[Age]]&gt;30,"30-40","&lt;30")))))))</f>
        <v>&lt;30</v>
      </c>
      <c r="AX627">
        <f t="shared" si="36"/>
        <v>22</v>
      </c>
      <c r="AY627">
        <f t="shared" si="37"/>
        <v>0.99999999999999978</v>
      </c>
      <c r="AZ627">
        <f t="shared" si="38"/>
        <v>5</v>
      </c>
      <c r="BA627">
        <f t="shared" si="39"/>
        <v>5</v>
      </c>
      <c r="BB627">
        <f>SUM(ifood_data[[#This Row],[Recency Score]:[Monetary Score]])</f>
        <v>11</v>
      </c>
      <c r="BC627">
        <f>(_xlfn.PERCENTRANK.INC(ifood_data[[#All],[RFM]],ifood_data[[#This Row],[RFM]],1))*10</f>
        <v>2</v>
      </c>
      <c r="BD627" t="str">
        <f>VLOOKUP(ifood_data[[#This Row],[RFM Score]],'RFM Analysis'!$A$3:$B$14,2,FALSE)</f>
        <v>At Risk</v>
      </c>
      <c r="BE627">
        <f>'Regression Models'!$B$101+'Regression Models'!$B$102*ifood_data[[#This Row],[Income]]+'Regression Models'!$B$103*ifood_data[[#This Row],[Age]]+'Regression Models'!$B$104*ifood_data[[#This Row],[Family]]</f>
        <v>773.61583465501553</v>
      </c>
      <c r="BF627" t="str">
        <f>IF(ifood_data[[#This Row],[AcceptedCmpOverall]]=1,"Campaign Respondent","Non-respondent")</f>
        <v>Non-respondent</v>
      </c>
    </row>
    <row r="628" spans="1:58" x14ac:dyDescent="0.35">
      <c r="A628">
        <v>540</v>
      </c>
      <c r="B628">
        <v>66565</v>
      </c>
      <c r="C628">
        <v>0</v>
      </c>
      <c r="D628">
        <v>1</v>
      </c>
      <c r="E628">
        <v>80</v>
      </c>
      <c r="F628">
        <v>747</v>
      </c>
      <c r="G628">
        <v>10</v>
      </c>
      <c r="H628">
        <v>161</v>
      </c>
      <c r="I628">
        <v>65</v>
      </c>
      <c r="J628">
        <v>40</v>
      </c>
      <c r="K628">
        <v>42</v>
      </c>
      <c r="L628">
        <v>4</v>
      </c>
      <c r="M628">
        <v>4</v>
      </c>
      <c r="N628">
        <v>2</v>
      </c>
      <c r="O628">
        <v>9</v>
      </c>
      <c r="P628">
        <v>8</v>
      </c>
      <c r="Q628">
        <v>0</v>
      </c>
      <c r="R628">
        <v>0</v>
      </c>
      <c r="S628">
        <v>0</v>
      </c>
      <c r="T628">
        <v>0</v>
      </c>
      <c r="U628">
        <v>0</v>
      </c>
      <c r="V628">
        <f>IF(SUM(ifood_data[[#This Row],[AcceptedCmp1]:[AcceptedCmp5]])&gt;0,1,0)</f>
        <v>0</v>
      </c>
      <c r="W628">
        <v>0</v>
      </c>
      <c r="X628">
        <v>3</v>
      </c>
      <c r="Y628">
        <v>11</v>
      </c>
      <c r="Z628">
        <v>0</v>
      </c>
      <c r="AA628">
        <v>58</v>
      </c>
      <c r="AB628">
        <v>2730</v>
      </c>
      <c r="AC628" s="28">
        <f>ifood_data[[#This Row],[Customer_Days]]/365</f>
        <v>7.4794520547945202</v>
      </c>
      <c r="AD628">
        <v>0</v>
      </c>
      <c r="AE628">
        <v>0</v>
      </c>
      <c r="AF628">
        <v>1</v>
      </c>
      <c r="AG628">
        <v>0</v>
      </c>
      <c r="AH628">
        <v>0</v>
      </c>
      <c r="AI628">
        <v>0</v>
      </c>
      <c r="AJ628">
        <v>0</v>
      </c>
      <c r="AK628">
        <v>1</v>
      </c>
      <c r="AL628">
        <v>0</v>
      </c>
      <c r="AM628">
        <v>0</v>
      </c>
      <c r="AN628">
        <v>1023</v>
      </c>
      <c r="AO628">
        <v>981</v>
      </c>
      <c r="AP628">
        <f>ifood_data[[#This Row],[MntTotal]]-ifood_data[[#This Row],[MntRegularProds]]</f>
        <v>42</v>
      </c>
      <c r="AQ628">
        <v>0</v>
      </c>
      <c r="AR628">
        <f>IF(SUM(ifood_data[[#This Row],[Kidhome]:[Teenhome]])&gt;0,1,0)</f>
        <v>1</v>
      </c>
      <c r="AS628" t="str">
        <f>IF(SUM(ifood_data[[#This Row],[Kidhome]:[Teenhome]])&gt;0,"Has Family","No Family")</f>
        <v>Has Family</v>
      </c>
      <c r="AT628" t="str">
        <f>IF(ifood_data[[#This Row],[marital_Married]]=1,"Married", (IF(ifood_data[[#This Row],[marital_Single]]=1,"Single",(IF(ifood_data[[#This Row],[marital_Divorced]]=1,"Divorced",(IF(ifood_data[[#This Row],[marital_Together]]=1,"Living Together",(IF(ifood_data[[#This Row],[marital_Widow]]=1,"Widow","Other")))))))))</f>
        <v>Single</v>
      </c>
      <c r="AU628" t="str">
        <f>IF(ifood_data[[#This Row],[education_Basic]]=1,"High School",(IF(ifood_data[[#This Row],[education_Graduation]]=1,"Undergraduate Degree",(IF(SUM(AM628,AL628,AI628)&gt;0,"Master's Degree or Higher","Other")))))</f>
        <v>Undergraduate Degree</v>
      </c>
      <c r="AV628" t="str">
        <f>IF(ifood_data[[#All],[Income]]&gt;75000,"75K+",(IF(ifood_data[[#All],[Income]]&gt;50000,"50K-75K",(IF(ifood_data[[#All],[Income]]&gt;35000,"35K-50K","&lt;35K")))))</f>
        <v>50K-75K</v>
      </c>
      <c r="AW628" t="str">
        <f>IF(ifood_data[[#All],[Age]]&gt;60,"60+",(IF(ifood_data[[#All],[Age]]&gt;50,"50-60",(IF(ifood_data[[#All],[Age]]&gt;40,"40-50",(IF(ifood_data[[#All],[Age]]&gt;30,"30-40","&lt;30")))))))</f>
        <v>50-60</v>
      </c>
      <c r="AX628">
        <f t="shared" si="36"/>
        <v>27</v>
      </c>
      <c r="AY628">
        <f t="shared" si="37"/>
        <v>1.9999999999999996</v>
      </c>
      <c r="AZ628">
        <f t="shared" si="38"/>
        <v>7</v>
      </c>
      <c r="BA628">
        <f t="shared" si="39"/>
        <v>7</v>
      </c>
      <c r="BB628">
        <f>SUM(ifood_data[[#This Row],[Recency Score]:[Monetary Score]])</f>
        <v>16</v>
      </c>
      <c r="BC628">
        <f>(_xlfn.PERCENTRANK.INC(ifood_data[[#All],[RFM]],ifood_data[[#This Row],[RFM]],1))*10</f>
        <v>5</v>
      </c>
      <c r="BD628" t="str">
        <f>VLOOKUP(ifood_data[[#This Row],[RFM Score]],'RFM Analysis'!$A$3:$B$14,2,FALSE)</f>
        <v>Promising</v>
      </c>
      <c r="BE628">
        <f>'Regression Models'!$B$101+'Regression Models'!$B$102*ifood_data[[#This Row],[Income]]+'Regression Models'!$B$103*ifood_data[[#This Row],[Age]]+'Regression Models'!$B$104*ifood_data[[#This Row],[Family]]</f>
        <v>773.23599757527984</v>
      </c>
      <c r="BF628" t="str">
        <f>IF(ifood_data[[#This Row],[AcceptedCmpOverall]]=1,"Campaign Respondent","Non-respondent")</f>
        <v>Non-respondent</v>
      </c>
    </row>
    <row r="629" spans="1:58" x14ac:dyDescent="0.35">
      <c r="A629">
        <v>1047</v>
      </c>
      <c r="B629">
        <v>65463</v>
      </c>
      <c r="C629">
        <v>1</v>
      </c>
      <c r="D629">
        <v>0</v>
      </c>
      <c r="E629">
        <v>17</v>
      </c>
      <c r="F629">
        <v>391</v>
      </c>
      <c r="G629">
        <v>32</v>
      </c>
      <c r="H629">
        <v>70</v>
      </c>
      <c r="I629">
        <v>21</v>
      </c>
      <c r="J629">
        <v>32</v>
      </c>
      <c r="K629">
        <v>16</v>
      </c>
      <c r="L629">
        <v>2</v>
      </c>
      <c r="M629">
        <v>6</v>
      </c>
      <c r="N629">
        <v>2</v>
      </c>
      <c r="O629">
        <v>9</v>
      </c>
      <c r="P629">
        <v>5</v>
      </c>
      <c r="Q629">
        <v>0</v>
      </c>
      <c r="R629">
        <v>0</v>
      </c>
      <c r="S629">
        <v>0</v>
      </c>
      <c r="T629">
        <v>1</v>
      </c>
      <c r="U629">
        <v>0</v>
      </c>
      <c r="V629">
        <f>IF(SUM(ifood_data[[#This Row],[AcceptedCmp1]:[AcceptedCmp5]])&gt;0,1,0)</f>
        <v>1</v>
      </c>
      <c r="W629">
        <v>0</v>
      </c>
      <c r="X629">
        <v>3</v>
      </c>
      <c r="Y629">
        <v>11</v>
      </c>
      <c r="Z629">
        <v>0</v>
      </c>
      <c r="AA629">
        <v>46</v>
      </c>
      <c r="AB629">
        <v>2309</v>
      </c>
      <c r="AC629" s="28">
        <f>ifood_data[[#This Row],[Customer_Days]]/365</f>
        <v>6.3260273972602743</v>
      </c>
      <c r="AD629">
        <v>0</v>
      </c>
      <c r="AE629">
        <v>1</v>
      </c>
      <c r="AF629">
        <v>0</v>
      </c>
      <c r="AG629">
        <v>0</v>
      </c>
      <c r="AH629">
        <v>0</v>
      </c>
      <c r="AI629">
        <v>1</v>
      </c>
      <c r="AJ629">
        <v>0</v>
      </c>
      <c r="AK629">
        <v>0</v>
      </c>
      <c r="AL629">
        <v>0</v>
      </c>
      <c r="AM629">
        <v>0</v>
      </c>
      <c r="AN629">
        <v>546</v>
      </c>
      <c r="AO629">
        <v>530</v>
      </c>
      <c r="AP629">
        <f>ifood_data[[#This Row],[MntTotal]]-ifood_data[[#This Row],[MntRegularProds]]</f>
        <v>16</v>
      </c>
      <c r="AQ629">
        <v>1</v>
      </c>
      <c r="AR629">
        <f>IF(SUM(ifood_data[[#This Row],[Kidhome]:[Teenhome]])&gt;0,1,0)</f>
        <v>1</v>
      </c>
      <c r="AS629" t="str">
        <f>IF(SUM(ifood_data[[#This Row],[Kidhome]:[Teenhome]])&gt;0,"Has Family","No Family")</f>
        <v>Has Family</v>
      </c>
      <c r="AT629" t="str">
        <f>IF(ifood_data[[#This Row],[marital_Married]]=1,"Married", (IF(ifood_data[[#This Row],[marital_Single]]=1,"Single",(IF(ifood_data[[#This Row],[marital_Divorced]]=1,"Divorced",(IF(ifood_data[[#This Row],[marital_Together]]=1,"Living Together",(IF(ifood_data[[#This Row],[marital_Widow]]=1,"Widow","Other")))))))))</f>
        <v>Married</v>
      </c>
      <c r="AU629" t="str">
        <f>IF(ifood_data[[#This Row],[education_Basic]]=1,"High School",(IF(ifood_data[[#This Row],[education_Graduation]]=1,"Undergraduate Degree",(IF(SUM(AM629,AL629,AI629)&gt;0,"Master's Degree or Higher","Other")))))</f>
        <v>Master's Degree or Higher</v>
      </c>
      <c r="AV629" t="str">
        <f>IF(ifood_data[[#All],[Income]]&gt;75000,"75K+",(IF(ifood_data[[#All],[Income]]&gt;50000,"50K-75K",(IF(ifood_data[[#All],[Income]]&gt;35000,"35K-50K","&lt;35K")))))</f>
        <v>50K-75K</v>
      </c>
      <c r="AW629" t="str">
        <f>IF(ifood_data[[#All],[Age]]&gt;60,"60+",(IF(ifood_data[[#All],[Age]]&gt;50,"50-60",(IF(ifood_data[[#All],[Age]]&gt;40,"40-50",(IF(ifood_data[[#All],[Age]]&gt;30,"30-40","&lt;30")))))))</f>
        <v>40-50</v>
      </c>
      <c r="AX629">
        <f t="shared" si="36"/>
        <v>24</v>
      </c>
      <c r="AY629">
        <f t="shared" si="37"/>
        <v>9</v>
      </c>
      <c r="AZ629">
        <f t="shared" si="38"/>
        <v>6</v>
      </c>
      <c r="BA629">
        <f t="shared" si="39"/>
        <v>5</v>
      </c>
      <c r="BB629">
        <f>SUM(ifood_data[[#This Row],[Recency Score]:[Monetary Score]])</f>
        <v>20</v>
      </c>
      <c r="BC629">
        <f>(_xlfn.PERCENTRANK.INC(ifood_data[[#All],[RFM]],ifood_data[[#This Row],[RFM]],1))*10</f>
        <v>7</v>
      </c>
      <c r="BD629" t="str">
        <f>VLOOKUP(ifood_data[[#This Row],[RFM Score]],'RFM Analysis'!$A$3:$B$14,2,FALSE)</f>
        <v>Loyal Customer</v>
      </c>
      <c r="BE629">
        <f>'Regression Models'!$B$101+'Regression Models'!$B$102*ifood_data[[#This Row],[Income]]+'Regression Models'!$B$103*ifood_data[[#This Row],[Age]]+'Regression Models'!$B$104*ifood_data[[#This Row],[Family]]</f>
        <v>772.80484402743434</v>
      </c>
      <c r="BF629" t="str">
        <f>IF(ifood_data[[#This Row],[AcceptedCmpOverall]]=1,"Campaign Respondent","Non-respondent")</f>
        <v>Campaign Respondent</v>
      </c>
    </row>
    <row r="630" spans="1:58" x14ac:dyDescent="0.35">
      <c r="A630">
        <v>1179</v>
      </c>
      <c r="B630">
        <v>67433</v>
      </c>
      <c r="C630">
        <v>0</v>
      </c>
      <c r="D630">
        <v>2</v>
      </c>
      <c r="E630">
        <v>51</v>
      </c>
      <c r="F630">
        <v>615</v>
      </c>
      <c r="G630">
        <v>28</v>
      </c>
      <c r="H630">
        <v>259</v>
      </c>
      <c r="I630">
        <v>12</v>
      </c>
      <c r="J630">
        <v>48</v>
      </c>
      <c r="K630">
        <v>30</v>
      </c>
      <c r="L630">
        <v>4</v>
      </c>
      <c r="M630">
        <v>6</v>
      </c>
      <c r="N630">
        <v>5</v>
      </c>
      <c r="O630">
        <v>13</v>
      </c>
      <c r="P630">
        <v>4</v>
      </c>
      <c r="Q630">
        <v>0</v>
      </c>
      <c r="R630">
        <v>0</v>
      </c>
      <c r="S630">
        <v>0</v>
      </c>
      <c r="T630">
        <v>1</v>
      </c>
      <c r="U630">
        <v>0</v>
      </c>
      <c r="V630">
        <f>IF(SUM(ifood_data[[#This Row],[AcceptedCmp1]:[AcceptedCmp5]])&gt;0,1,0)</f>
        <v>1</v>
      </c>
      <c r="W630">
        <v>0</v>
      </c>
      <c r="X630">
        <v>3</v>
      </c>
      <c r="Y630">
        <v>11</v>
      </c>
      <c r="Z630">
        <v>0</v>
      </c>
      <c r="AA630">
        <v>68</v>
      </c>
      <c r="AB630">
        <v>2507</v>
      </c>
      <c r="AC630" s="28">
        <f>ifood_data[[#This Row],[Customer_Days]]/365</f>
        <v>6.8684931506849312</v>
      </c>
      <c r="AD630">
        <v>0</v>
      </c>
      <c r="AE630">
        <v>1</v>
      </c>
      <c r="AF630">
        <v>0</v>
      </c>
      <c r="AG630">
        <v>0</v>
      </c>
      <c r="AH630">
        <v>0</v>
      </c>
      <c r="AI630">
        <v>0</v>
      </c>
      <c r="AJ630">
        <v>0</v>
      </c>
      <c r="AK630">
        <v>1</v>
      </c>
      <c r="AL630">
        <v>0</v>
      </c>
      <c r="AM630">
        <v>0</v>
      </c>
      <c r="AN630">
        <v>962</v>
      </c>
      <c r="AO630">
        <v>932</v>
      </c>
      <c r="AP630">
        <f>ifood_data[[#This Row],[MntTotal]]-ifood_data[[#This Row],[MntRegularProds]]</f>
        <v>30</v>
      </c>
      <c r="AQ630">
        <v>1</v>
      </c>
      <c r="AR630">
        <f>IF(SUM(ifood_data[[#This Row],[Kidhome]:[Teenhome]])&gt;0,1,0)</f>
        <v>1</v>
      </c>
      <c r="AS630" t="str">
        <f>IF(SUM(ifood_data[[#This Row],[Kidhome]:[Teenhome]])&gt;0,"Has Family","No Family")</f>
        <v>Has Family</v>
      </c>
      <c r="AT630" t="str">
        <f>IF(ifood_data[[#This Row],[marital_Married]]=1,"Married", (IF(ifood_data[[#This Row],[marital_Single]]=1,"Single",(IF(ifood_data[[#This Row],[marital_Divorced]]=1,"Divorced",(IF(ifood_data[[#This Row],[marital_Together]]=1,"Living Together",(IF(ifood_data[[#This Row],[marital_Widow]]=1,"Widow","Other")))))))))</f>
        <v>Married</v>
      </c>
      <c r="AU630" t="str">
        <f>IF(ifood_data[[#This Row],[education_Basic]]=1,"High School",(IF(ifood_data[[#This Row],[education_Graduation]]=1,"Undergraduate Degree",(IF(SUM(AM630,AL630,AI630)&gt;0,"Master's Degree or Higher","Other")))))</f>
        <v>Undergraduate Degree</v>
      </c>
      <c r="AV630" t="str">
        <f>IF(ifood_data[[#All],[Income]]&gt;75000,"75K+",(IF(ifood_data[[#All],[Income]]&gt;50000,"50K-75K",(IF(ifood_data[[#All],[Income]]&gt;35000,"35K-50K","&lt;35K")))))</f>
        <v>50K-75K</v>
      </c>
      <c r="AW630" t="str">
        <f>IF(ifood_data[[#All],[Age]]&gt;60,"60+",(IF(ifood_data[[#All],[Age]]&gt;50,"50-60",(IF(ifood_data[[#All],[Age]]&gt;40,"40-50",(IF(ifood_data[[#All],[Age]]&gt;30,"30-40","&lt;30")))))))</f>
        <v>60+</v>
      </c>
      <c r="AX630">
        <f t="shared" si="36"/>
        <v>32</v>
      </c>
      <c r="AY630">
        <f t="shared" si="37"/>
        <v>5</v>
      </c>
      <c r="AZ630">
        <f t="shared" si="38"/>
        <v>9</v>
      </c>
      <c r="BA630">
        <f t="shared" si="39"/>
        <v>7</v>
      </c>
      <c r="BB630">
        <f>SUM(ifood_data[[#This Row],[Recency Score]:[Monetary Score]])</f>
        <v>21</v>
      </c>
      <c r="BC630">
        <f>(_xlfn.PERCENTRANK.INC(ifood_data[[#All],[RFM]],ifood_data[[#This Row],[RFM]],1))*10</f>
        <v>8</v>
      </c>
      <c r="BD630" t="str">
        <f>VLOOKUP(ifood_data[[#This Row],[RFM Score]],'RFM Analysis'!$A$3:$B$14,2,FALSE)</f>
        <v>Loyal Customer</v>
      </c>
      <c r="BE630">
        <f>'Regression Models'!$B$101+'Regression Models'!$B$102*ifood_data[[#This Row],[Income]]+'Regression Models'!$B$103*ifood_data[[#This Row],[Age]]+'Regression Models'!$B$104*ifood_data[[#This Row],[Family]]</f>
        <v>772.56905753524086</v>
      </c>
      <c r="BF630" t="str">
        <f>IF(ifood_data[[#This Row],[AcceptedCmpOverall]]=1,"Campaign Respondent","Non-respondent")</f>
        <v>Campaign Respondent</v>
      </c>
    </row>
    <row r="631" spans="1:58" x14ac:dyDescent="0.35">
      <c r="A631">
        <v>999</v>
      </c>
      <c r="B631">
        <v>53312</v>
      </c>
      <c r="C631">
        <v>0</v>
      </c>
      <c r="D631">
        <v>0</v>
      </c>
      <c r="E631">
        <v>32</v>
      </c>
      <c r="F631">
        <v>241</v>
      </c>
      <c r="G631">
        <v>0</v>
      </c>
      <c r="H631">
        <v>12</v>
      </c>
      <c r="I631">
        <v>0</v>
      </c>
      <c r="J631">
        <v>0</v>
      </c>
      <c r="K631">
        <v>25</v>
      </c>
      <c r="L631">
        <v>1</v>
      </c>
      <c r="M631">
        <v>5</v>
      </c>
      <c r="N631">
        <v>1</v>
      </c>
      <c r="O631">
        <v>5</v>
      </c>
      <c r="P631">
        <v>7</v>
      </c>
      <c r="Q631">
        <v>0</v>
      </c>
      <c r="R631">
        <v>0</v>
      </c>
      <c r="S631">
        <v>0</v>
      </c>
      <c r="T631">
        <v>0</v>
      </c>
      <c r="U631">
        <v>0</v>
      </c>
      <c r="V631">
        <f>IF(SUM(ifood_data[[#This Row],[AcceptedCmp1]:[AcceptedCmp5]])&gt;0,1,0)</f>
        <v>0</v>
      </c>
      <c r="W631">
        <v>0</v>
      </c>
      <c r="X631">
        <v>3</v>
      </c>
      <c r="Y631">
        <v>11</v>
      </c>
      <c r="Z631">
        <v>0</v>
      </c>
      <c r="AA631">
        <v>69</v>
      </c>
      <c r="AB631">
        <v>2483</v>
      </c>
      <c r="AC631" s="28">
        <f>ifood_data[[#This Row],[Customer_Days]]/365</f>
        <v>6.8027397260273972</v>
      </c>
      <c r="AD631">
        <v>0</v>
      </c>
      <c r="AE631">
        <v>1</v>
      </c>
      <c r="AF631">
        <v>0</v>
      </c>
      <c r="AG631">
        <v>0</v>
      </c>
      <c r="AH631">
        <v>0</v>
      </c>
      <c r="AI631">
        <v>0</v>
      </c>
      <c r="AJ631">
        <v>0</v>
      </c>
      <c r="AK631">
        <v>0</v>
      </c>
      <c r="AL631">
        <v>0</v>
      </c>
      <c r="AM631">
        <v>1</v>
      </c>
      <c r="AN631">
        <v>253</v>
      </c>
      <c r="AO631">
        <v>228</v>
      </c>
      <c r="AP631">
        <f>ifood_data[[#This Row],[MntTotal]]-ifood_data[[#This Row],[MntRegularProds]]</f>
        <v>25</v>
      </c>
      <c r="AQ631">
        <v>0</v>
      </c>
      <c r="AR631">
        <f>IF(SUM(ifood_data[[#This Row],[Kidhome]:[Teenhome]])&gt;0,1,0)</f>
        <v>0</v>
      </c>
      <c r="AS631" t="str">
        <f>IF(SUM(ifood_data[[#This Row],[Kidhome]:[Teenhome]])&gt;0,"Has Family","No Family")</f>
        <v>No Family</v>
      </c>
      <c r="AT631" t="str">
        <f>IF(ifood_data[[#This Row],[marital_Married]]=1,"Married", (IF(ifood_data[[#This Row],[marital_Single]]=1,"Single",(IF(ifood_data[[#This Row],[marital_Divorced]]=1,"Divorced",(IF(ifood_data[[#This Row],[marital_Together]]=1,"Living Together",(IF(ifood_data[[#This Row],[marital_Widow]]=1,"Widow","Other")))))))))</f>
        <v>Married</v>
      </c>
      <c r="AU631" t="str">
        <f>IF(ifood_data[[#This Row],[education_Basic]]=1,"High School",(IF(ifood_data[[#This Row],[education_Graduation]]=1,"Undergraduate Degree",(IF(SUM(AM631,AL631,AI631)&gt;0,"Master's Degree or Higher","Other")))))</f>
        <v>Master's Degree or Higher</v>
      </c>
      <c r="AV631" t="str">
        <f>IF(ifood_data[[#All],[Income]]&gt;75000,"75K+",(IF(ifood_data[[#All],[Income]]&gt;50000,"50K-75K",(IF(ifood_data[[#All],[Income]]&gt;35000,"35K-50K","&lt;35K")))))</f>
        <v>50K-75K</v>
      </c>
      <c r="AW631" t="str">
        <f>IF(ifood_data[[#All],[Age]]&gt;60,"60+",(IF(ifood_data[[#All],[Age]]&gt;50,"50-60",(IF(ifood_data[[#All],[Age]]&gt;40,"40-50",(IF(ifood_data[[#All],[Age]]&gt;30,"30-40","&lt;30")))))))</f>
        <v>60+</v>
      </c>
      <c r="AX631">
        <f t="shared" si="36"/>
        <v>19</v>
      </c>
      <c r="AY631">
        <f t="shared" si="37"/>
        <v>7</v>
      </c>
      <c r="AZ631">
        <f t="shared" si="38"/>
        <v>4</v>
      </c>
      <c r="BA631">
        <f t="shared" si="39"/>
        <v>4</v>
      </c>
      <c r="BB631">
        <f>SUM(ifood_data[[#This Row],[Recency Score]:[Monetary Score]])</f>
        <v>15</v>
      </c>
      <c r="BC631">
        <f>(_xlfn.PERCENTRANK.INC(ifood_data[[#All],[RFM]],ifood_data[[#This Row],[RFM]],1))*10</f>
        <v>4</v>
      </c>
      <c r="BD631" t="str">
        <f>VLOOKUP(ifood_data[[#This Row],[RFM Score]],'RFM Analysis'!$A$3:$B$14,2,FALSE)</f>
        <v>At Risk</v>
      </c>
      <c r="BE631">
        <f>'Regression Models'!$B$101+'Regression Models'!$B$102*ifood_data[[#This Row],[Income]]+'Regression Models'!$B$103*ifood_data[[#This Row],[Age]]+'Regression Models'!$B$104*ifood_data[[#This Row],[Family]]</f>
        <v>772.43645456936611</v>
      </c>
      <c r="BF631" t="str">
        <f>IF(ifood_data[[#This Row],[AcceptedCmpOverall]]=1,"Campaign Respondent","Non-respondent")</f>
        <v>Non-respondent</v>
      </c>
    </row>
    <row r="632" spans="1:58" x14ac:dyDescent="0.35">
      <c r="A632">
        <v>617</v>
      </c>
      <c r="B632">
        <v>66886</v>
      </c>
      <c r="C632">
        <v>0</v>
      </c>
      <c r="D632">
        <v>1</v>
      </c>
      <c r="E632">
        <v>28</v>
      </c>
      <c r="F632">
        <v>315</v>
      </c>
      <c r="G632">
        <v>4</v>
      </c>
      <c r="H632">
        <v>62</v>
      </c>
      <c r="I632">
        <v>41</v>
      </c>
      <c r="J632">
        <v>31</v>
      </c>
      <c r="K632">
        <v>146</v>
      </c>
      <c r="L632">
        <v>2</v>
      </c>
      <c r="M632">
        <v>7</v>
      </c>
      <c r="N632">
        <v>1</v>
      </c>
      <c r="O632">
        <v>7</v>
      </c>
      <c r="P632">
        <v>5</v>
      </c>
      <c r="Q632">
        <v>0</v>
      </c>
      <c r="R632">
        <v>0</v>
      </c>
      <c r="S632">
        <v>0</v>
      </c>
      <c r="T632">
        <v>0</v>
      </c>
      <c r="U632">
        <v>0</v>
      </c>
      <c r="V632">
        <f>IF(SUM(ifood_data[[#This Row],[AcceptedCmp1]:[AcceptedCmp5]])&gt;0,1,0)</f>
        <v>0</v>
      </c>
      <c r="W632">
        <v>0</v>
      </c>
      <c r="X632">
        <v>3</v>
      </c>
      <c r="Y632">
        <v>11</v>
      </c>
      <c r="Z632">
        <v>0</v>
      </c>
      <c r="AA632">
        <v>62</v>
      </c>
      <c r="AB632">
        <v>2445</v>
      </c>
      <c r="AC632" s="28">
        <f>ifood_data[[#This Row],[Customer_Days]]/365</f>
        <v>6.6986301369863011</v>
      </c>
      <c r="AD632">
        <v>0</v>
      </c>
      <c r="AE632">
        <v>0</v>
      </c>
      <c r="AF632">
        <v>0</v>
      </c>
      <c r="AG632">
        <v>1</v>
      </c>
      <c r="AH632">
        <v>0</v>
      </c>
      <c r="AI632">
        <v>0</v>
      </c>
      <c r="AJ632">
        <v>0</v>
      </c>
      <c r="AK632">
        <v>1</v>
      </c>
      <c r="AL632">
        <v>0</v>
      </c>
      <c r="AM632">
        <v>0</v>
      </c>
      <c r="AN632">
        <v>453</v>
      </c>
      <c r="AO632">
        <v>307</v>
      </c>
      <c r="AP632">
        <f>ifood_data[[#This Row],[MntTotal]]-ifood_data[[#This Row],[MntRegularProds]]</f>
        <v>146</v>
      </c>
      <c r="AQ632">
        <v>0</v>
      </c>
      <c r="AR632">
        <f>IF(SUM(ifood_data[[#This Row],[Kidhome]:[Teenhome]])&gt;0,1,0)</f>
        <v>1</v>
      </c>
      <c r="AS632" t="str">
        <f>IF(SUM(ifood_data[[#This Row],[Kidhome]:[Teenhome]])&gt;0,"Has Family","No Family")</f>
        <v>Has Family</v>
      </c>
      <c r="AT632" t="str">
        <f>IF(ifood_data[[#This Row],[marital_Married]]=1,"Married", (IF(ifood_data[[#This Row],[marital_Single]]=1,"Single",(IF(ifood_data[[#This Row],[marital_Divorced]]=1,"Divorced",(IF(ifood_data[[#This Row],[marital_Together]]=1,"Living Together",(IF(ifood_data[[#This Row],[marital_Widow]]=1,"Widow","Other")))))))))</f>
        <v>Living Together</v>
      </c>
      <c r="AU632" t="str">
        <f>IF(ifood_data[[#This Row],[education_Basic]]=1,"High School",(IF(ifood_data[[#This Row],[education_Graduation]]=1,"Undergraduate Degree",(IF(SUM(AM632,AL632,AI632)&gt;0,"Master's Degree or Higher","Other")))))</f>
        <v>Undergraduate Degree</v>
      </c>
      <c r="AV632" t="str">
        <f>IF(ifood_data[[#All],[Income]]&gt;75000,"75K+",(IF(ifood_data[[#All],[Income]]&gt;50000,"50K-75K",(IF(ifood_data[[#All],[Income]]&gt;35000,"35K-50K","&lt;35K")))))</f>
        <v>50K-75K</v>
      </c>
      <c r="AW632" t="str">
        <f>IF(ifood_data[[#All],[Age]]&gt;60,"60+",(IF(ifood_data[[#All],[Age]]&gt;50,"50-60",(IF(ifood_data[[#All],[Age]]&gt;40,"40-50",(IF(ifood_data[[#All],[Age]]&gt;30,"30-40","&lt;30")))))))</f>
        <v>60+</v>
      </c>
      <c r="AX632">
        <f t="shared" si="36"/>
        <v>22</v>
      </c>
      <c r="AY632">
        <f t="shared" si="37"/>
        <v>8</v>
      </c>
      <c r="AZ632">
        <f t="shared" si="38"/>
        <v>5</v>
      </c>
      <c r="BA632">
        <f t="shared" si="39"/>
        <v>5</v>
      </c>
      <c r="BB632">
        <f>SUM(ifood_data[[#This Row],[Recency Score]:[Monetary Score]])</f>
        <v>18</v>
      </c>
      <c r="BC632">
        <f>(_xlfn.PERCENTRANK.INC(ifood_data[[#All],[RFM]],ifood_data[[#This Row],[RFM]],1))*10</f>
        <v>6</v>
      </c>
      <c r="BD632" t="str">
        <f>VLOOKUP(ifood_data[[#This Row],[RFM Score]],'RFM Analysis'!$A$3:$B$14,2,FALSE)</f>
        <v>Promising</v>
      </c>
      <c r="BE632">
        <f>'Regression Models'!$B$101+'Regression Models'!$B$102*ifood_data[[#This Row],[Income]]+'Regression Models'!$B$103*ifood_data[[#This Row],[Age]]+'Regression Models'!$B$104*ifood_data[[#This Row],[Family]]</f>
        <v>772.43503583389418</v>
      </c>
      <c r="BF632" t="str">
        <f>IF(ifood_data[[#This Row],[AcceptedCmpOverall]]=1,"Campaign Respondent","Non-respondent")</f>
        <v>Non-respondent</v>
      </c>
    </row>
    <row r="633" spans="1:58" x14ac:dyDescent="0.35">
      <c r="A633">
        <v>932</v>
      </c>
      <c r="B633">
        <v>65352</v>
      </c>
      <c r="C633">
        <v>0</v>
      </c>
      <c r="D633">
        <v>1</v>
      </c>
      <c r="E633">
        <v>43</v>
      </c>
      <c r="F633">
        <v>284</v>
      </c>
      <c r="G633">
        <v>3</v>
      </c>
      <c r="H633">
        <v>84</v>
      </c>
      <c r="I633">
        <v>4</v>
      </c>
      <c r="J633">
        <v>7</v>
      </c>
      <c r="K633">
        <v>23</v>
      </c>
      <c r="L633">
        <v>2</v>
      </c>
      <c r="M633">
        <v>4</v>
      </c>
      <c r="N633">
        <v>2</v>
      </c>
      <c r="O633">
        <v>8</v>
      </c>
      <c r="P633">
        <v>4</v>
      </c>
      <c r="Q633">
        <v>0</v>
      </c>
      <c r="R633">
        <v>0</v>
      </c>
      <c r="S633">
        <v>0</v>
      </c>
      <c r="T633">
        <v>0</v>
      </c>
      <c r="U633">
        <v>0</v>
      </c>
      <c r="V633">
        <f>IF(SUM(ifood_data[[#This Row],[AcceptedCmp1]:[AcceptedCmp5]])&gt;0,1,0)</f>
        <v>0</v>
      </c>
      <c r="W633">
        <v>0</v>
      </c>
      <c r="X633">
        <v>3</v>
      </c>
      <c r="Y633">
        <v>11</v>
      </c>
      <c r="Z633">
        <v>0</v>
      </c>
      <c r="AA633">
        <v>46</v>
      </c>
      <c r="AB633">
        <v>2471</v>
      </c>
      <c r="AC633" s="28">
        <f>ifood_data[[#This Row],[Customer_Days]]/365</f>
        <v>6.7698630136986298</v>
      </c>
      <c r="AD633">
        <v>0</v>
      </c>
      <c r="AE633">
        <v>1</v>
      </c>
      <c r="AF633">
        <v>0</v>
      </c>
      <c r="AG633">
        <v>0</v>
      </c>
      <c r="AH633">
        <v>0</v>
      </c>
      <c r="AI633">
        <v>0</v>
      </c>
      <c r="AJ633">
        <v>0</v>
      </c>
      <c r="AK633">
        <v>0</v>
      </c>
      <c r="AL633">
        <v>0</v>
      </c>
      <c r="AM633">
        <v>1</v>
      </c>
      <c r="AN633">
        <v>382</v>
      </c>
      <c r="AO633">
        <v>359</v>
      </c>
      <c r="AP633">
        <f>ifood_data[[#This Row],[MntTotal]]-ifood_data[[#This Row],[MntRegularProds]]</f>
        <v>23</v>
      </c>
      <c r="AQ633">
        <v>0</v>
      </c>
      <c r="AR633">
        <f>IF(SUM(ifood_data[[#This Row],[Kidhome]:[Teenhome]])&gt;0,1,0)</f>
        <v>1</v>
      </c>
      <c r="AS633" t="str">
        <f>IF(SUM(ifood_data[[#This Row],[Kidhome]:[Teenhome]])&gt;0,"Has Family","No Family")</f>
        <v>Has Family</v>
      </c>
      <c r="AT633" t="str">
        <f>IF(ifood_data[[#This Row],[marital_Married]]=1,"Married", (IF(ifood_data[[#This Row],[marital_Single]]=1,"Single",(IF(ifood_data[[#This Row],[marital_Divorced]]=1,"Divorced",(IF(ifood_data[[#This Row],[marital_Together]]=1,"Living Together",(IF(ifood_data[[#This Row],[marital_Widow]]=1,"Widow","Other")))))))))</f>
        <v>Married</v>
      </c>
      <c r="AU633" t="str">
        <f>IF(ifood_data[[#This Row],[education_Basic]]=1,"High School",(IF(ifood_data[[#This Row],[education_Graduation]]=1,"Undergraduate Degree",(IF(SUM(AM633,AL633,AI633)&gt;0,"Master's Degree or Higher","Other")))))</f>
        <v>Master's Degree or Higher</v>
      </c>
      <c r="AV633" t="str">
        <f>IF(ifood_data[[#All],[Income]]&gt;75000,"75K+",(IF(ifood_data[[#All],[Income]]&gt;50000,"50K-75K",(IF(ifood_data[[#All],[Income]]&gt;35000,"35K-50K","&lt;35K")))))</f>
        <v>50K-75K</v>
      </c>
      <c r="AW633" t="str">
        <f>IF(ifood_data[[#All],[Age]]&gt;60,"60+",(IF(ifood_data[[#All],[Age]]&gt;50,"50-60",(IF(ifood_data[[#All],[Age]]&gt;40,"40-50",(IF(ifood_data[[#All],[Age]]&gt;30,"30-40","&lt;30")))))))</f>
        <v>40-50</v>
      </c>
      <c r="AX633">
        <f t="shared" si="36"/>
        <v>20</v>
      </c>
      <c r="AY633">
        <f t="shared" si="37"/>
        <v>6</v>
      </c>
      <c r="AZ633">
        <f t="shared" si="38"/>
        <v>4</v>
      </c>
      <c r="BA633">
        <f t="shared" si="39"/>
        <v>5</v>
      </c>
      <c r="BB633">
        <f>SUM(ifood_data[[#This Row],[Recency Score]:[Monetary Score]])</f>
        <v>15</v>
      </c>
      <c r="BC633">
        <f>(_xlfn.PERCENTRANK.INC(ifood_data[[#All],[RFM]],ifood_data[[#This Row],[RFM]],1))*10</f>
        <v>4</v>
      </c>
      <c r="BD633" t="str">
        <f>VLOOKUP(ifood_data[[#This Row],[RFM Score]],'RFM Analysis'!$A$3:$B$14,2,FALSE)</f>
        <v>At Risk</v>
      </c>
      <c r="BE633">
        <f>'Regression Models'!$B$101+'Regression Models'!$B$102*ifood_data[[#This Row],[Income]]+'Regression Models'!$B$103*ifood_data[[#This Row],[Age]]+'Regression Models'!$B$104*ifood_data[[#This Row],[Family]]</f>
        <v>770.54169076346182</v>
      </c>
      <c r="BF633" t="str">
        <f>IF(ifood_data[[#This Row],[AcceptedCmpOverall]]=1,"Campaign Respondent","Non-respondent")</f>
        <v>Non-respondent</v>
      </c>
    </row>
    <row r="634" spans="1:58" x14ac:dyDescent="0.35">
      <c r="A634">
        <v>478</v>
      </c>
      <c r="B634">
        <v>64355</v>
      </c>
      <c r="C634">
        <v>1</v>
      </c>
      <c r="D634">
        <v>0</v>
      </c>
      <c r="E634">
        <v>66</v>
      </c>
      <c r="F634">
        <v>1047</v>
      </c>
      <c r="G634">
        <v>0</v>
      </c>
      <c r="H634">
        <v>140</v>
      </c>
      <c r="I634">
        <v>67</v>
      </c>
      <c r="J634">
        <v>38</v>
      </c>
      <c r="K634">
        <v>153</v>
      </c>
      <c r="L634">
        <v>2</v>
      </c>
      <c r="M634">
        <v>4</v>
      </c>
      <c r="N634">
        <v>3</v>
      </c>
      <c r="O634">
        <v>12</v>
      </c>
      <c r="P634">
        <v>8</v>
      </c>
      <c r="Q634">
        <v>0</v>
      </c>
      <c r="R634">
        <v>0</v>
      </c>
      <c r="S634">
        <v>0</v>
      </c>
      <c r="T634">
        <v>0</v>
      </c>
      <c r="U634">
        <v>0</v>
      </c>
      <c r="V634">
        <f>IF(SUM(ifood_data[[#This Row],[AcceptedCmp1]:[AcceptedCmp5]])&gt;0,1,0)</f>
        <v>0</v>
      </c>
      <c r="W634">
        <v>0</v>
      </c>
      <c r="X634">
        <v>3</v>
      </c>
      <c r="Y634">
        <v>11</v>
      </c>
      <c r="Z634">
        <v>0</v>
      </c>
      <c r="AA634">
        <v>35</v>
      </c>
      <c r="AB634">
        <v>2833</v>
      </c>
      <c r="AC634" s="28">
        <f>ifood_data[[#This Row],[Customer_Days]]/365</f>
        <v>7.7616438356164386</v>
      </c>
      <c r="AD634">
        <v>0</v>
      </c>
      <c r="AE634">
        <v>1</v>
      </c>
      <c r="AF634">
        <v>0</v>
      </c>
      <c r="AG634">
        <v>0</v>
      </c>
      <c r="AH634">
        <v>0</v>
      </c>
      <c r="AI634">
        <v>0</v>
      </c>
      <c r="AJ634">
        <v>0</v>
      </c>
      <c r="AK634">
        <v>0</v>
      </c>
      <c r="AL634">
        <v>0</v>
      </c>
      <c r="AM634">
        <v>1</v>
      </c>
      <c r="AN634">
        <v>1292</v>
      </c>
      <c r="AO634">
        <v>1139</v>
      </c>
      <c r="AP634">
        <f>ifood_data[[#This Row],[MntTotal]]-ifood_data[[#This Row],[MntRegularProds]]</f>
        <v>153</v>
      </c>
      <c r="AQ634">
        <v>0</v>
      </c>
      <c r="AR634">
        <f>IF(SUM(ifood_data[[#This Row],[Kidhome]:[Teenhome]])&gt;0,1,0)</f>
        <v>1</v>
      </c>
      <c r="AS634" t="str">
        <f>IF(SUM(ifood_data[[#This Row],[Kidhome]:[Teenhome]])&gt;0,"Has Family","No Family")</f>
        <v>Has Family</v>
      </c>
      <c r="AT634" t="str">
        <f>IF(ifood_data[[#This Row],[marital_Married]]=1,"Married", (IF(ifood_data[[#This Row],[marital_Single]]=1,"Single",(IF(ifood_data[[#This Row],[marital_Divorced]]=1,"Divorced",(IF(ifood_data[[#This Row],[marital_Together]]=1,"Living Together",(IF(ifood_data[[#This Row],[marital_Widow]]=1,"Widow","Other")))))))))</f>
        <v>Married</v>
      </c>
      <c r="AU634" t="str">
        <f>IF(ifood_data[[#This Row],[education_Basic]]=1,"High School",(IF(ifood_data[[#This Row],[education_Graduation]]=1,"Undergraduate Degree",(IF(SUM(AM634,AL634,AI634)&gt;0,"Master's Degree or Higher","Other")))))</f>
        <v>Master's Degree or Higher</v>
      </c>
      <c r="AV634" t="str">
        <f>IF(ifood_data[[#All],[Income]]&gt;75000,"75K+",(IF(ifood_data[[#All],[Income]]&gt;50000,"50K-75K",(IF(ifood_data[[#All],[Income]]&gt;35000,"35K-50K","&lt;35K")))))</f>
        <v>50K-75K</v>
      </c>
      <c r="AW634" t="str">
        <f>IF(ifood_data[[#All],[Age]]&gt;60,"60+",(IF(ifood_data[[#All],[Age]]&gt;50,"50-60",(IF(ifood_data[[#All],[Age]]&gt;40,"40-50",(IF(ifood_data[[#All],[Age]]&gt;30,"30-40","&lt;30")))))))</f>
        <v>30-40</v>
      </c>
      <c r="AX634">
        <f t="shared" si="36"/>
        <v>29</v>
      </c>
      <c r="AY634">
        <f t="shared" si="37"/>
        <v>4</v>
      </c>
      <c r="AZ634">
        <f t="shared" si="38"/>
        <v>8</v>
      </c>
      <c r="BA634">
        <f t="shared" si="39"/>
        <v>8</v>
      </c>
      <c r="BB634">
        <f>SUM(ifood_data[[#This Row],[Recency Score]:[Monetary Score]])</f>
        <v>20</v>
      </c>
      <c r="BC634">
        <f>(_xlfn.PERCENTRANK.INC(ifood_data[[#All],[RFM]],ifood_data[[#This Row],[RFM]],1))*10</f>
        <v>7</v>
      </c>
      <c r="BD634" t="str">
        <f>VLOOKUP(ifood_data[[#This Row],[RFM Score]],'RFM Analysis'!$A$3:$B$14,2,FALSE)</f>
        <v>Loyal Customer</v>
      </c>
      <c r="BE634">
        <f>'Regression Models'!$B$101+'Regression Models'!$B$102*ifood_data[[#This Row],[Income]]+'Regression Models'!$B$103*ifood_data[[#This Row],[Age]]+'Regression Models'!$B$104*ifood_data[[#This Row],[Family]]</f>
        <v>770.41491879183161</v>
      </c>
      <c r="BF634" t="str">
        <f>IF(ifood_data[[#This Row],[AcceptedCmpOverall]]=1,"Campaign Respondent","Non-respondent")</f>
        <v>Non-respondent</v>
      </c>
    </row>
    <row r="635" spans="1:58" x14ac:dyDescent="0.35">
      <c r="A635">
        <v>260</v>
      </c>
      <c r="B635">
        <v>66313</v>
      </c>
      <c r="C635">
        <v>0</v>
      </c>
      <c r="D635">
        <v>1</v>
      </c>
      <c r="E635">
        <v>86</v>
      </c>
      <c r="F635">
        <v>625</v>
      </c>
      <c r="G635">
        <v>7</v>
      </c>
      <c r="H635">
        <v>99</v>
      </c>
      <c r="I635">
        <v>10</v>
      </c>
      <c r="J635">
        <v>22</v>
      </c>
      <c r="K635">
        <v>7</v>
      </c>
      <c r="L635">
        <v>2</v>
      </c>
      <c r="M635">
        <v>6</v>
      </c>
      <c r="N635">
        <v>3</v>
      </c>
      <c r="O635">
        <v>12</v>
      </c>
      <c r="P635">
        <v>4</v>
      </c>
      <c r="Q635">
        <v>0</v>
      </c>
      <c r="R635">
        <v>0</v>
      </c>
      <c r="S635">
        <v>0</v>
      </c>
      <c r="T635">
        <v>0</v>
      </c>
      <c r="U635">
        <v>0</v>
      </c>
      <c r="V635">
        <f>IF(SUM(ifood_data[[#This Row],[AcceptedCmp1]:[AcceptedCmp5]])&gt;0,1,0)</f>
        <v>0</v>
      </c>
      <c r="W635">
        <v>0</v>
      </c>
      <c r="X635">
        <v>3</v>
      </c>
      <c r="Y635">
        <v>11</v>
      </c>
      <c r="Z635">
        <v>0</v>
      </c>
      <c r="AA635">
        <v>57</v>
      </c>
      <c r="AB635">
        <v>2445</v>
      </c>
      <c r="AC635" s="28">
        <f>ifood_data[[#This Row],[Customer_Days]]/365</f>
        <v>6.6986301369863011</v>
      </c>
      <c r="AD635">
        <v>0</v>
      </c>
      <c r="AE635">
        <v>0</v>
      </c>
      <c r="AF635">
        <v>0</v>
      </c>
      <c r="AG635">
        <v>1</v>
      </c>
      <c r="AH635">
        <v>0</v>
      </c>
      <c r="AI635">
        <v>0</v>
      </c>
      <c r="AJ635">
        <v>0</v>
      </c>
      <c r="AK635">
        <v>0</v>
      </c>
      <c r="AL635">
        <v>0</v>
      </c>
      <c r="AM635">
        <v>1</v>
      </c>
      <c r="AN635">
        <v>763</v>
      </c>
      <c r="AO635">
        <v>756</v>
      </c>
      <c r="AP635">
        <f>ifood_data[[#This Row],[MntTotal]]-ifood_data[[#This Row],[MntRegularProds]]</f>
        <v>7</v>
      </c>
      <c r="AQ635">
        <v>0</v>
      </c>
      <c r="AR635">
        <f>IF(SUM(ifood_data[[#This Row],[Kidhome]:[Teenhome]])&gt;0,1,0)</f>
        <v>1</v>
      </c>
      <c r="AS635" t="str">
        <f>IF(SUM(ifood_data[[#This Row],[Kidhome]:[Teenhome]])&gt;0,"Has Family","No Family")</f>
        <v>Has Family</v>
      </c>
      <c r="AT635" t="str">
        <f>IF(ifood_data[[#This Row],[marital_Married]]=1,"Married", (IF(ifood_data[[#This Row],[marital_Single]]=1,"Single",(IF(ifood_data[[#This Row],[marital_Divorced]]=1,"Divorced",(IF(ifood_data[[#This Row],[marital_Together]]=1,"Living Together",(IF(ifood_data[[#This Row],[marital_Widow]]=1,"Widow","Other")))))))))</f>
        <v>Living Together</v>
      </c>
      <c r="AU635" t="str">
        <f>IF(ifood_data[[#This Row],[education_Basic]]=1,"High School",(IF(ifood_data[[#This Row],[education_Graduation]]=1,"Undergraduate Degree",(IF(SUM(AM635,AL635,AI635)&gt;0,"Master's Degree or Higher","Other")))))</f>
        <v>Master's Degree or Higher</v>
      </c>
      <c r="AV635" t="str">
        <f>IF(ifood_data[[#All],[Income]]&gt;75000,"75K+",(IF(ifood_data[[#All],[Income]]&gt;50000,"50K-75K",(IF(ifood_data[[#All],[Income]]&gt;35000,"35K-50K","&lt;35K")))))</f>
        <v>50K-75K</v>
      </c>
      <c r="AW635" t="str">
        <f>IF(ifood_data[[#All],[Age]]&gt;60,"60+",(IF(ifood_data[[#All],[Age]]&gt;50,"50-60",(IF(ifood_data[[#All],[Age]]&gt;40,"40-50",(IF(ifood_data[[#All],[Age]]&gt;30,"30-40","&lt;30")))))))</f>
        <v>50-60</v>
      </c>
      <c r="AX635">
        <f t="shared" si="36"/>
        <v>27</v>
      </c>
      <c r="AY635">
        <f t="shared" si="37"/>
        <v>1.9999999999999996</v>
      </c>
      <c r="AZ635">
        <f t="shared" si="38"/>
        <v>7</v>
      </c>
      <c r="BA635">
        <f t="shared" si="39"/>
        <v>6</v>
      </c>
      <c r="BB635">
        <f>SUM(ifood_data[[#This Row],[Recency Score]:[Monetary Score]])</f>
        <v>15</v>
      </c>
      <c r="BC635">
        <f>(_xlfn.PERCENTRANK.INC(ifood_data[[#All],[RFM]],ifood_data[[#This Row],[RFM]],1))*10</f>
        <v>4</v>
      </c>
      <c r="BD635" t="str">
        <f>VLOOKUP(ifood_data[[#This Row],[RFM Score]],'RFM Analysis'!$A$3:$B$14,2,FALSE)</f>
        <v>At Risk</v>
      </c>
      <c r="BE635">
        <f>'Regression Models'!$B$101+'Regression Models'!$B$102*ifood_data[[#This Row],[Income]]+'Regression Models'!$B$103*ifood_data[[#This Row],[Age]]+'Regression Models'!$B$104*ifood_data[[#This Row],[Family]]</f>
        <v>769.93446708191152</v>
      </c>
      <c r="BF635" t="str">
        <f>IF(ifood_data[[#This Row],[AcceptedCmpOverall]]=1,"Campaign Respondent","Non-respondent")</f>
        <v>Non-respondent</v>
      </c>
    </row>
    <row r="636" spans="1:58" x14ac:dyDescent="0.35">
      <c r="A636">
        <v>1068</v>
      </c>
      <c r="B636">
        <v>67381</v>
      </c>
      <c r="C636">
        <v>0</v>
      </c>
      <c r="D636">
        <v>1</v>
      </c>
      <c r="E636">
        <v>67</v>
      </c>
      <c r="F636">
        <v>815</v>
      </c>
      <c r="G636">
        <v>8</v>
      </c>
      <c r="H636">
        <v>53</v>
      </c>
      <c r="I636">
        <v>11</v>
      </c>
      <c r="J636">
        <v>0</v>
      </c>
      <c r="K636">
        <v>70</v>
      </c>
      <c r="L636">
        <v>4</v>
      </c>
      <c r="M636">
        <v>2</v>
      </c>
      <c r="N636">
        <v>2</v>
      </c>
      <c r="O636">
        <v>9</v>
      </c>
      <c r="P636">
        <v>7</v>
      </c>
      <c r="Q636">
        <v>0</v>
      </c>
      <c r="R636">
        <v>0</v>
      </c>
      <c r="S636">
        <v>0</v>
      </c>
      <c r="T636">
        <v>1</v>
      </c>
      <c r="U636">
        <v>0</v>
      </c>
      <c r="V636">
        <f>IF(SUM(ifood_data[[#This Row],[AcceptedCmp1]:[AcceptedCmp5]])&gt;0,1,0)</f>
        <v>1</v>
      </c>
      <c r="W636">
        <v>0</v>
      </c>
      <c r="X636">
        <v>3</v>
      </c>
      <c r="Y636">
        <v>11</v>
      </c>
      <c r="Z636">
        <v>0</v>
      </c>
      <c r="AA636">
        <v>69</v>
      </c>
      <c r="AB636">
        <v>2689</v>
      </c>
      <c r="AC636" s="28">
        <f>ifood_data[[#This Row],[Customer_Days]]/365</f>
        <v>7.3671232876712329</v>
      </c>
      <c r="AD636">
        <v>0</v>
      </c>
      <c r="AE636">
        <v>1</v>
      </c>
      <c r="AF636">
        <v>0</v>
      </c>
      <c r="AG636">
        <v>0</v>
      </c>
      <c r="AH636">
        <v>0</v>
      </c>
      <c r="AI636">
        <v>0</v>
      </c>
      <c r="AJ636">
        <v>0</v>
      </c>
      <c r="AK636">
        <v>0</v>
      </c>
      <c r="AL636">
        <v>1</v>
      </c>
      <c r="AM636">
        <v>0</v>
      </c>
      <c r="AN636">
        <v>887</v>
      </c>
      <c r="AO636">
        <v>817</v>
      </c>
      <c r="AP636">
        <f>ifood_data[[#This Row],[MntTotal]]-ifood_data[[#This Row],[MntRegularProds]]</f>
        <v>70</v>
      </c>
      <c r="AQ636">
        <v>1</v>
      </c>
      <c r="AR636">
        <f>IF(SUM(ifood_data[[#This Row],[Kidhome]:[Teenhome]])&gt;0,1,0)</f>
        <v>1</v>
      </c>
      <c r="AS636" t="str">
        <f>IF(SUM(ifood_data[[#This Row],[Kidhome]:[Teenhome]])&gt;0,"Has Family","No Family")</f>
        <v>Has Family</v>
      </c>
      <c r="AT636" t="str">
        <f>IF(ifood_data[[#This Row],[marital_Married]]=1,"Married", (IF(ifood_data[[#This Row],[marital_Single]]=1,"Single",(IF(ifood_data[[#This Row],[marital_Divorced]]=1,"Divorced",(IF(ifood_data[[#This Row],[marital_Together]]=1,"Living Together",(IF(ifood_data[[#This Row],[marital_Widow]]=1,"Widow","Other")))))))))</f>
        <v>Married</v>
      </c>
      <c r="AU636" t="str">
        <f>IF(ifood_data[[#This Row],[education_Basic]]=1,"High School",(IF(ifood_data[[#This Row],[education_Graduation]]=1,"Undergraduate Degree",(IF(SUM(AM636,AL636,AI636)&gt;0,"Master's Degree or Higher","Other")))))</f>
        <v>Master's Degree or Higher</v>
      </c>
      <c r="AV636" t="str">
        <f>IF(ifood_data[[#All],[Income]]&gt;75000,"75K+",(IF(ifood_data[[#All],[Income]]&gt;50000,"50K-75K",(IF(ifood_data[[#All],[Income]]&gt;35000,"35K-50K","&lt;35K")))))</f>
        <v>50K-75K</v>
      </c>
      <c r="AW636" t="str">
        <f>IF(ifood_data[[#All],[Age]]&gt;60,"60+",(IF(ifood_data[[#All],[Age]]&gt;50,"50-60",(IF(ifood_data[[#All],[Age]]&gt;40,"40-50",(IF(ifood_data[[#All],[Age]]&gt;30,"30-40","&lt;30")))))))</f>
        <v>60+</v>
      </c>
      <c r="AX636">
        <f t="shared" si="36"/>
        <v>24</v>
      </c>
      <c r="AY636">
        <f t="shared" si="37"/>
        <v>4</v>
      </c>
      <c r="AZ636">
        <f t="shared" si="38"/>
        <v>6</v>
      </c>
      <c r="BA636">
        <f t="shared" si="39"/>
        <v>7</v>
      </c>
      <c r="BB636">
        <f>SUM(ifood_data[[#This Row],[Recency Score]:[Monetary Score]])</f>
        <v>17</v>
      </c>
      <c r="BC636">
        <f>(_xlfn.PERCENTRANK.INC(ifood_data[[#All],[RFM]],ifood_data[[#This Row],[RFM]],1))*10</f>
        <v>6</v>
      </c>
      <c r="BD636" t="str">
        <f>VLOOKUP(ifood_data[[#This Row],[RFM Score]],'RFM Analysis'!$A$3:$B$14,2,FALSE)</f>
        <v>Promising</v>
      </c>
      <c r="BE636">
        <f>'Regression Models'!$B$101+'Regression Models'!$B$102*ifood_data[[#This Row],[Income]]+'Regression Models'!$B$103*ifood_data[[#This Row],[Age]]+'Regression Models'!$B$104*ifood_data[[#This Row],[Family]]</f>
        <v>769.6724025128641</v>
      </c>
      <c r="BF636" t="str">
        <f>IF(ifood_data[[#This Row],[AcceptedCmpOverall]]=1,"Campaign Respondent","Non-respondent")</f>
        <v>Campaign Respondent</v>
      </c>
    </row>
    <row r="637" spans="1:58" x14ac:dyDescent="0.35">
      <c r="A637">
        <v>140</v>
      </c>
      <c r="B637">
        <v>65747</v>
      </c>
      <c r="C637">
        <v>0</v>
      </c>
      <c r="D637">
        <v>1</v>
      </c>
      <c r="E637">
        <v>96</v>
      </c>
      <c r="F637">
        <v>346</v>
      </c>
      <c r="G637">
        <v>17</v>
      </c>
      <c r="H637">
        <v>48</v>
      </c>
      <c r="I637">
        <v>23</v>
      </c>
      <c r="J637">
        <v>13</v>
      </c>
      <c r="K637">
        <v>13</v>
      </c>
      <c r="L637">
        <v>4</v>
      </c>
      <c r="M637">
        <v>8</v>
      </c>
      <c r="N637">
        <v>1</v>
      </c>
      <c r="O637">
        <v>6</v>
      </c>
      <c r="P637">
        <v>6</v>
      </c>
      <c r="Q637">
        <v>0</v>
      </c>
      <c r="R637">
        <v>0</v>
      </c>
      <c r="S637">
        <v>0</v>
      </c>
      <c r="T637">
        <v>1</v>
      </c>
      <c r="U637">
        <v>0</v>
      </c>
      <c r="V637">
        <f>IF(SUM(ifood_data[[#This Row],[AcceptedCmp1]:[AcceptedCmp5]])&gt;0,1,0)</f>
        <v>1</v>
      </c>
      <c r="W637">
        <v>0</v>
      </c>
      <c r="X637">
        <v>3</v>
      </c>
      <c r="Y637">
        <v>11</v>
      </c>
      <c r="Z637">
        <v>0</v>
      </c>
      <c r="AA637">
        <v>51</v>
      </c>
      <c r="AB637">
        <v>2273</v>
      </c>
      <c r="AC637" s="28">
        <f>ifood_data[[#This Row],[Customer_Days]]/365</f>
        <v>6.2273972602739729</v>
      </c>
      <c r="AD637">
        <v>0</v>
      </c>
      <c r="AE637">
        <v>1</v>
      </c>
      <c r="AF637">
        <v>0</v>
      </c>
      <c r="AG637">
        <v>0</v>
      </c>
      <c r="AH637">
        <v>0</v>
      </c>
      <c r="AI637">
        <v>0</v>
      </c>
      <c r="AJ637">
        <v>0</v>
      </c>
      <c r="AK637">
        <v>1</v>
      </c>
      <c r="AL637">
        <v>0</v>
      </c>
      <c r="AM637">
        <v>0</v>
      </c>
      <c r="AN637">
        <v>447</v>
      </c>
      <c r="AO637">
        <v>434</v>
      </c>
      <c r="AP637">
        <f>ifood_data[[#This Row],[MntTotal]]-ifood_data[[#This Row],[MntRegularProds]]</f>
        <v>13</v>
      </c>
      <c r="AQ637">
        <v>1</v>
      </c>
      <c r="AR637">
        <f>IF(SUM(ifood_data[[#This Row],[Kidhome]:[Teenhome]])&gt;0,1,0)</f>
        <v>1</v>
      </c>
      <c r="AS637" t="str">
        <f>IF(SUM(ifood_data[[#This Row],[Kidhome]:[Teenhome]])&gt;0,"Has Family","No Family")</f>
        <v>Has Family</v>
      </c>
      <c r="AT637" t="str">
        <f>IF(ifood_data[[#This Row],[marital_Married]]=1,"Married", (IF(ifood_data[[#This Row],[marital_Single]]=1,"Single",(IF(ifood_data[[#This Row],[marital_Divorced]]=1,"Divorced",(IF(ifood_data[[#This Row],[marital_Together]]=1,"Living Together",(IF(ifood_data[[#This Row],[marital_Widow]]=1,"Widow","Other")))))))))</f>
        <v>Married</v>
      </c>
      <c r="AU637" t="str">
        <f>IF(ifood_data[[#This Row],[education_Basic]]=1,"High School",(IF(ifood_data[[#This Row],[education_Graduation]]=1,"Undergraduate Degree",(IF(SUM(AM637,AL637,AI637)&gt;0,"Master's Degree or Higher","Other")))))</f>
        <v>Undergraduate Degree</v>
      </c>
      <c r="AV637" t="str">
        <f>IF(ifood_data[[#All],[Income]]&gt;75000,"75K+",(IF(ifood_data[[#All],[Income]]&gt;50000,"50K-75K",(IF(ifood_data[[#All],[Income]]&gt;35000,"35K-50K","&lt;35K")))))</f>
        <v>50K-75K</v>
      </c>
      <c r="AW637" t="str">
        <f>IF(ifood_data[[#All],[Age]]&gt;60,"60+",(IF(ifood_data[[#All],[Age]]&gt;50,"50-60",(IF(ifood_data[[#All],[Age]]&gt;40,"40-50",(IF(ifood_data[[#All],[Age]]&gt;30,"30-40","&lt;30")))))))</f>
        <v>50-60</v>
      </c>
      <c r="AX637">
        <f t="shared" si="36"/>
        <v>25</v>
      </c>
      <c r="AY637">
        <f t="shared" si="37"/>
        <v>0.99999999999999978</v>
      </c>
      <c r="AZ637">
        <f t="shared" si="38"/>
        <v>7</v>
      </c>
      <c r="BA637">
        <f t="shared" si="39"/>
        <v>5</v>
      </c>
      <c r="BB637">
        <f>SUM(ifood_data[[#This Row],[Recency Score]:[Monetary Score]])</f>
        <v>13</v>
      </c>
      <c r="BC637">
        <f>(_xlfn.PERCENTRANK.INC(ifood_data[[#All],[RFM]],ifood_data[[#This Row],[RFM]],1))*10</f>
        <v>3</v>
      </c>
      <c r="BD637" t="str">
        <f>VLOOKUP(ifood_data[[#This Row],[RFM Score]],'RFM Analysis'!$A$3:$B$14,2,FALSE)</f>
        <v>At Risk</v>
      </c>
      <c r="BE637">
        <f>'Regression Models'!$B$101+'Regression Models'!$B$102*ifood_data[[#This Row],[Income]]+'Regression Models'!$B$103*ifood_data[[#This Row],[Age]]+'Regression Models'!$B$104*ifood_data[[#This Row],[Family]]</f>
        <v>769.41305878583046</v>
      </c>
      <c r="BF637" t="str">
        <f>IF(ifood_data[[#This Row],[AcceptedCmpOverall]]=1,"Campaign Respondent","Non-respondent")</f>
        <v>Campaign Respondent</v>
      </c>
    </row>
    <row r="638" spans="1:58" x14ac:dyDescent="0.35">
      <c r="A638">
        <v>130</v>
      </c>
      <c r="B638">
        <v>65104</v>
      </c>
      <c r="C638">
        <v>0</v>
      </c>
      <c r="D638">
        <v>1</v>
      </c>
      <c r="E638">
        <v>4</v>
      </c>
      <c r="F638">
        <v>738</v>
      </c>
      <c r="G638">
        <v>0</v>
      </c>
      <c r="H638">
        <v>232</v>
      </c>
      <c r="I638">
        <v>13</v>
      </c>
      <c r="J638">
        <v>20</v>
      </c>
      <c r="K638">
        <v>50</v>
      </c>
      <c r="L638">
        <v>2</v>
      </c>
      <c r="M638">
        <v>3</v>
      </c>
      <c r="N638">
        <v>5</v>
      </c>
      <c r="O638">
        <v>7</v>
      </c>
      <c r="P638">
        <v>7</v>
      </c>
      <c r="Q638">
        <v>0</v>
      </c>
      <c r="R638">
        <v>0</v>
      </c>
      <c r="S638">
        <v>0</v>
      </c>
      <c r="T638">
        <v>0</v>
      </c>
      <c r="U638">
        <v>0</v>
      </c>
      <c r="V638">
        <f>IF(SUM(ifood_data[[#This Row],[AcceptedCmp1]:[AcceptedCmp5]])&gt;0,1,0)</f>
        <v>0</v>
      </c>
      <c r="W638">
        <v>0</v>
      </c>
      <c r="X638">
        <v>3</v>
      </c>
      <c r="Y638">
        <v>11</v>
      </c>
      <c r="Z638">
        <v>1</v>
      </c>
      <c r="AA638">
        <v>44</v>
      </c>
      <c r="AB638">
        <v>2386</v>
      </c>
      <c r="AC638" s="28">
        <f>ifood_data[[#This Row],[Customer_Days]]/365</f>
        <v>6.536986301369863</v>
      </c>
      <c r="AD638">
        <v>0</v>
      </c>
      <c r="AE638">
        <v>0</v>
      </c>
      <c r="AF638">
        <v>0</v>
      </c>
      <c r="AG638">
        <v>1</v>
      </c>
      <c r="AH638">
        <v>0</v>
      </c>
      <c r="AI638">
        <v>0</v>
      </c>
      <c r="AJ638">
        <v>0</v>
      </c>
      <c r="AK638">
        <v>0</v>
      </c>
      <c r="AL638">
        <v>1</v>
      </c>
      <c r="AM638">
        <v>0</v>
      </c>
      <c r="AN638">
        <v>1003</v>
      </c>
      <c r="AO638">
        <v>953</v>
      </c>
      <c r="AP638">
        <f>ifood_data[[#This Row],[MntTotal]]-ifood_data[[#This Row],[MntRegularProds]]</f>
        <v>50</v>
      </c>
      <c r="AQ638">
        <v>0</v>
      </c>
      <c r="AR638">
        <f>IF(SUM(ifood_data[[#This Row],[Kidhome]:[Teenhome]])&gt;0,1,0)</f>
        <v>1</v>
      </c>
      <c r="AS638" t="str">
        <f>IF(SUM(ifood_data[[#This Row],[Kidhome]:[Teenhome]])&gt;0,"Has Family","No Family")</f>
        <v>Has Family</v>
      </c>
      <c r="AT638" t="str">
        <f>IF(ifood_data[[#This Row],[marital_Married]]=1,"Married", (IF(ifood_data[[#This Row],[marital_Single]]=1,"Single",(IF(ifood_data[[#This Row],[marital_Divorced]]=1,"Divorced",(IF(ifood_data[[#This Row],[marital_Together]]=1,"Living Together",(IF(ifood_data[[#This Row],[marital_Widow]]=1,"Widow","Other")))))))))</f>
        <v>Living Together</v>
      </c>
      <c r="AU638" t="str">
        <f>IF(ifood_data[[#This Row],[education_Basic]]=1,"High School",(IF(ifood_data[[#This Row],[education_Graduation]]=1,"Undergraduate Degree",(IF(SUM(AM638,AL638,AI638)&gt;0,"Master's Degree or Higher","Other")))))</f>
        <v>Master's Degree or Higher</v>
      </c>
      <c r="AV638" t="str">
        <f>IF(ifood_data[[#All],[Income]]&gt;75000,"75K+",(IF(ifood_data[[#All],[Income]]&gt;50000,"50K-75K",(IF(ifood_data[[#All],[Income]]&gt;35000,"35K-50K","&lt;35K")))))</f>
        <v>50K-75K</v>
      </c>
      <c r="AW638" t="str">
        <f>IF(ifood_data[[#All],[Age]]&gt;60,"60+",(IF(ifood_data[[#All],[Age]]&gt;50,"50-60",(IF(ifood_data[[#All],[Age]]&gt;40,"40-50",(IF(ifood_data[[#All],[Age]]&gt;30,"30-40","&lt;30")))))))</f>
        <v>40-50</v>
      </c>
      <c r="AX638">
        <f t="shared" si="36"/>
        <v>24</v>
      </c>
      <c r="AY638">
        <f t="shared" si="37"/>
        <v>10</v>
      </c>
      <c r="AZ638">
        <f t="shared" si="38"/>
        <v>6</v>
      </c>
      <c r="BA638">
        <f t="shared" si="39"/>
        <v>7</v>
      </c>
      <c r="BB638">
        <f>SUM(ifood_data[[#This Row],[Recency Score]:[Monetary Score]])</f>
        <v>23</v>
      </c>
      <c r="BC638">
        <f>(_xlfn.PERCENTRANK.INC(ifood_data[[#All],[RFM]],ifood_data[[#This Row],[RFM]],1))*10</f>
        <v>8</v>
      </c>
      <c r="BD638" t="str">
        <f>VLOOKUP(ifood_data[[#This Row],[RFM Score]],'RFM Analysis'!$A$3:$B$14,2,FALSE)</f>
        <v>Loyal Customer</v>
      </c>
      <c r="BE638">
        <f>'Regression Models'!$B$101+'Regression Models'!$B$102*ifood_data[[#This Row],[Income]]+'Regression Models'!$B$103*ifood_data[[#This Row],[Age]]+'Regression Models'!$B$104*ifood_data[[#This Row],[Family]]</f>
        <v>769.15815442156338</v>
      </c>
      <c r="BF638" t="str">
        <f>IF(ifood_data[[#This Row],[AcceptedCmpOverall]]=1,"Campaign Respondent","Non-respondent")</f>
        <v>Non-respondent</v>
      </c>
    </row>
    <row r="639" spans="1:58" x14ac:dyDescent="0.35">
      <c r="A639">
        <v>461</v>
      </c>
      <c r="B639">
        <v>65104</v>
      </c>
      <c r="C639">
        <v>0</v>
      </c>
      <c r="D639">
        <v>1</v>
      </c>
      <c r="E639">
        <v>4</v>
      </c>
      <c r="F639">
        <v>738</v>
      </c>
      <c r="G639">
        <v>0</v>
      </c>
      <c r="H639">
        <v>232</v>
      </c>
      <c r="I639">
        <v>13</v>
      </c>
      <c r="J639">
        <v>20</v>
      </c>
      <c r="K639">
        <v>50</v>
      </c>
      <c r="L639">
        <v>2</v>
      </c>
      <c r="M639">
        <v>3</v>
      </c>
      <c r="N639">
        <v>5</v>
      </c>
      <c r="O639">
        <v>7</v>
      </c>
      <c r="P639">
        <v>7</v>
      </c>
      <c r="Q639">
        <v>0</v>
      </c>
      <c r="R639">
        <v>0</v>
      </c>
      <c r="S639">
        <v>0</v>
      </c>
      <c r="T639">
        <v>0</v>
      </c>
      <c r="U639">
        <v>0</v>
      </c>
      <c r="V639">
        <f>IF(SUM(ifood_data[[#This Row],[AcceptedCmp1]:[AcceptedCmp5]])&gt;0,1,0)</f>
        <v>0</v>
      </c>
      <c r="W639">
        <v>0</v>
      </c>
      <c r="X639">
        <v>3</v>
      </c>
      <c r="Y639">
        <v>11</v>
      </c>
      <c r="Z639">
        <v>0</v>
      </c>
      <c r="AA639">
        <v>44</v>
      </c>
      <c r="AB639">
        <v>2386</v>
      </c>
      <c r="AC639" s="28">
        <f>ifood_data[[#This Row],[Customer_Days]]/365</f>
        <v>6.536986301369863</v>
      </c>
      <c r="AD639">
        <v>0</v>
      </c>
      <c r="AE639">
        <v>0</v>
      </c>
      <c r="AF639">
        <v>0</v>
      </c>
      <c r="AG639">
        <v>1</v>
      </c>
      <c r="AH639">
        <v>0</v>
      </c>
      <c r="AI639">
        <v>0</v>
      </c>
      <c r="AJ639">
        <v>0</v>
      </c>
      <c r="AK639">
        <v>0</v>
      </c>
      <c r="AL639">
        <v>1</v>
      </c>
      <c r="AM639">
        <v>0</v>
      </c>
      <c r="AN639">
        <v>1003</v>
      </c>
      <c r="AO639">
        <v>953</v>
      </c>
      <c r="AP639">
        <f>ifood_data[[#This Row],[MntTotal]]-ifood_data[[#This Row],[MntRegularProds]]</f>
        <v>50</v>
      </c>
      <c r="AQ639">
        <v>0</v>
      </c>
      <c r="AR639">
        <f>IF(SUM(ifood_data[[#This Row],[Kidhome]:[Teenhome]])&gt;0,1,0)</f>
        <v>1</v>
      </c>
      <c r="AS639" t="str">
        <f>IF(SUM(ifood_data[[#This Row],[Kidhome]:[Teenhome]])&gt;0,"Has Family","No Family")</f>
        <v>Has Family</v>
      </c>
      <c r="AT639" t="str">
        <f>IF(ifood_data[[#This Row],[marital_Married]]=1,"Married", (IF(ifood_data[[#This Row],[marital_Single]]=1,"Single",(IF(ifood_data[[#This Row],[marital_Divorced]]=1,"Divorced",(IF(ifood_data[[#This Row],[marital_Together]]=1,"Living Together",(IF(ifood_data[[#This Row],[marital_Widow]]=1,"Widow","Other")))))))))</f>
        <v>Living Together</v>
      </c>
      <c r="AU639" t="str">
        <f>IF(ifood_data[[#This Row],[education_Basic]]=1,"High School",(IF(ifood_data[[#This Row],[education_Graduation]]=1,"Undergraduate Degree",(IF(SUM(AM639,AL639,AI639)&gt;0,"Master's Degree or Higher","Other")))))</f>
        <v>Master's Degree or Higher</v>
      </c>
      <c r="AV639" t="str">
        <f>IF(ifood_data[[#All],[Income]]&gt;75000,"75K+",(IF(ifood_data[[#All],[Income]]&gt;50000,"50K-75K",(IF(ifood_data[[#All],[Income]]&gt;35000,"35K-50K","&lt;35K")))))</f>
        <v>50K-75K</v>
      </c>
      <c r="AW639" t="str">
        <f>IF(ifood_data[[#All],[Age]]&gt;60,"60+",(IF(ifood_data[[#All],[Age]]&gt;50,"50-60",(IF(ifood_data[[#All],[Age]]&gt;40,"40-50",(IF(ifood_data[[#All],[Age]]&gt;30,"30-40","&lt;30")))))))</f>
        <v>40-50</v>
      </c>
      <c r="AX639">
        <f t="shared" si="36"/>
        <v>24</v>
      </c>
      <c r="AY639">
        <f t="shared" si="37"/>
        <v>10</v>
      </c>
      <c r="AZ639">
        <f t="shared" si="38"/>
        <v>6</v>
      </c>
      <c r="BA639">
        <f t="shared" si="39"/>
        <v>7</v>
      </c>
      <c r="BB639">
        <f>SUM(ifood_data[[#This Row],[Recency Score]:[Monetary Score]])</f>
        <v>23</v>
      </c>
      <c r="BC639">
        <f>(_xlfn.PERCENTRANK.INC(ifood_data[[#All],[RFM]],ifood_data[[#This Row],[RFM]],1))*10</f>
        <v>8</v>
      </c>
      <c r="BD639" t="str">
        <f>VLOOKUP(ifood_data[[#This Row],[RFM Score]],'RFM Analysis'!$A$3:$B$14,2,FALSE)</f>
        <v>Loyal Customer</v>
      </c>
      <c r="BE639">
        <f>'Regression Models'!$B$101+'Regression Models'!$B$102*ifood_data[[#This Row],[Income]]+'Regression Models'!$B$103*ifood_data[[#This Row],[Age]]+'Regression Models'!$B$104*ifood_data[[#This Row],[Family]]</f>
        <v>769.15815442156338</v>
      </c>
      <c r="BF639" t="str">
        <f>IF(ifood_data[[#This Row],[AcceptedCmpOverall]]=1,"Campaign Respondent","Non-respondent")</f>
        <v>Non-respondent</v>
      </c>
    </row>
    <row r="640" spans="1:58" x14ac:dyDescent="0.35">
      <c r="A640">
        <v>357</v>
      </c>
      <c r="B640">
        <v>66426</v>
      </c>
      <c r="C640">
        <v>0</v>
      </c>
      <c r="D640">
        <v>1</v>
      </c>
      <c r="E640">
        <v>14</v>
      </c>
      <c r="F640">
        <v>1043</v>
      </c>
      <c r="G640">
        <v>24</v>
      </c>
      <c r="H640">
        <v>97</v>
      </c>
      <c r="I640">
        <v>32</v>
      </c>
      <c r="J640">
        <v>24</v>
      </c>
      <c r="K640">
        <v>157</v>
      </c>
      <c r="L640">
        <v>2</v>
      </c>
      <c r="M640">
        <v>3</v>
      </c>
      <c r="N640">
        <v>5</v>
      </c>
      <c r="O640">
        <v>10</v>
      </c>
      <c r="P640">
        <v>6</v>
      </c>
      <c r="Q640">
        <v>0</v>
      </c>
      <c r="R640">
        <v>0</v>
      </c>
      <c r="S640">
        <v>0</v>
      </c>
      <c r="T640">
        <v>0</v>
      </c>
      <c r="U640">
        <v>0</v>
      </c>
      <c r="V640">
        <f>IF(SUM(ifood_data[[#This Row],[AcceptedCmp1]:[AcceptedCmp5]])&gt;0,1,0)</f>
        <v>0</v>
      </c>
      <c r="W640">
        <v>0</v>
      </c>
      <c r="X640">
        <v>3</v>
      </c>
      <c r="Y640">
        <v>11</v>
      </c>
      <c r="Z640">
        <v>0</v>
      </c>
      <c r="AA640">
        <v>59</v>
      </c>
      <c r="AB640">
        <v>2429</v>
      </c>
      <c r="AC640" s="28">
        <f>ifood_data[[#This Row],[Customer_Days]]/365</f>
        <v>6.6547945205479451</v>
      </c>
      <c r="AD640">
        <v>0</v>
      </c>
      <c r="AE640">
        <v>0</v>
      </c>
      <c r="AF640">
        <v>0</v>
      </c>
      <c r="AG640">
        <v>1</v>
      </c>
      <c r="AH640">
        <v>0</v>
      </c>
      <c r="AI640">
        <v>0</v>
      </c>
      <c r="AJ640">
        <v>0</v>
      </c>
      <c r="AK640">
        <v>0</v>
      </c>
      <c r="AL640">
        <v>0</v>
      </c>
      <c r="AM640">
        <v>1</v>
      </c>
      <c r="AN640">
        <v>1220</v>
      </c>
      <c r="AO640">
        <v>1063</v>
      </c>
      <c r="AP640">
        <f>ifood_data[[#This Row],[MntTotal]]-ifood_data[[#This Row],[MntRegularProds]]</f>
        <v>157</v>
      </c>
      <c r="AQ640">
        <v>0</v>
      </c>
      <c r="AR640">
        <f>IF(SUM(ifood_data[[#This Row],[Kidhome]:[Teenhome]])&gt;0,1,0)</f>
        <v>1</v>
      </c>
      <c r="AS640" t="str">
        <f>IF(SUM(ifood_data[[#This Row],[Kidhome]:[Teenhome]])&gt;0,"Has Family","No Family")</f>
        <v>Has Family</v>
      </c>
      <c r="AT640" t="str">
        <f>IF(ifood_data[[#This Row],[marital_Married]]=1,"Married", (IF(ifood_data[[#This Row],[marital_Single]]=1,"Single",(IF(ifood_data[[#This Row],[marital_Divorced]]=1,"Divorced",(IF(ifood_data[[#This Row],[marital_Together]]=1,"Living Together",(IF(ifood_data[[#This Row],[marital_Widow]]=1,"Widow","Other")))))))))</f>
        <v>Living Together</v>
      </c>
      <c r="AU640" t="str">
        <f>IF(ifood_data[[#This Row],[education_Basic]]=1,"High School",(IF(ifood_data[[#This Row],[education_Graduation]]=1,"Undergraduate Degree",(IF(SUM(AM640,AL640,AI640)&gt;0,"Master's Degree or Higher","Other")))))</f>
        <v>Master's Degree or Higher</v>
      </c>
      <c r="AV640" t="str">
        <f>IF(ifood_data[[#All],[Income]]&gt;75000,"75K+",(IF(ifood_data[[#All],[Income]]&gt;50000,"50K-75K",(IF(ifood_data[[#All],[Income]]&gt;35000,"35K-50K","&lt;35K")))))</f>
        <v>50K-75K</v>
      </c>
      <c r="AW640" t="str">
        <f>IF(ifood_data[[#All],[Age]]&gt;60,"60+",(IF(ifood_data[[#All],[Age]]&gt;50,"50-60",(IF(ifood_data[[#All],[Age]]&gt;40,"40-50",(IF(ifood_data[[#All],[Age]]&gt;30,"30-40","&lt;30")))))))</f>
        <v>50-60</v>
      </c>
      <c r="AX640">
        <f t="shared" si="36"/>
        <v>26</v>
      </c>
      <c r="AY640">
        <f t="shared" si="37"/>
        <v>9</v>
      </c>
      <c r="AZ640">
        <f t="shared" si="38"/>
        <v>7</v>
      </c>
      <c r="BA640">
        <f t="shared" si="39"/>
        <v>8</v>
      </c>
      <c r="BB640">
        <f>SUM(ifood_data[[#This Row],[Recency Score]:[Monetary Score]])</f>
        <v>24</v>
      </c>
      <c r="BC640">
        <f>(_xlfn.PERCENTRANK.INC(ifood_data[[#All],[RFM]],ifood_data[[#This Row],[RFM]],1))*10</f>
        <v>9</v>
      </c>
      <c r="BD640" t="str">
        <f>VLOOKUP(ifood_data[[#This Row],[RFM Score]],'RFM Analysis'!$A$3:$B$14,2,FALSE)</f>
        <v>Top Customer</v>
      </c>
      <c r="BE640">
        <f>'Regression Models'!$B$101+'Regression Models'!$B$102*ifood_data[[#This Row],[Income]]+'Regression Models'!$B$103*ifood_data[[#This Row],[Age]]+'Regression Models'!$B$104*ifood_data[[#This Row],[Family]]</f>
        <v>768.56551972438376</v>
      </c>
      <c r="BF640" t="str">
        <f>IF(ifood_data[[#This Row],[AcceptedCmpOverall]]=1,"Campaign Respondent","Non-respondent")</f>
        <v>Non-respondent</v>
      </c>
    </row>
    <row r="641" spans="1:58" x14ac:dyDescent="0.35">
      <c r="A641">
        <v>1942</v>
      </c>
      <c r="B641">
        <v>65333</v>
      </c>
      <c r="C641">
        <v>0</v>
      </c>
      <c r="D641">
        <v>1</v>
      </c>
      <c r="E641">
        <v>58</v>
      </c>
      <c r="F641">
        <v>654</v>
      </c>
      <c r="G641">
        <v>7</v>
      </c>
      <c r="H641">
        <v>92</v>
      </c>
      <c r="I641">
        <v>0</v>
      </c>
      <c r="J641">
        <v>15</v>
      </c>
      <c r="K641">
        <v>30</v>
      </c>
      <c r="L641">
        <v>7</v>
      </c>
      <c r="M641">
        <v>9</v>
      </c>
      <c r="N641">
        <v>4</v>
      </c>
      <c r="O641">
        <v>8</v>
      </c>
      <c r="P641">
        <v>6</v>
      </c>
      <c r="Q641">
        <v>0</v>
      </c>
      <c r="R641">
        <v>0</v>
      </c>
      <c r="S641">
        <v>0</v>
      </c>
      <c r="T641">
        <v>1</v>
      </c>
      <c r="U641">
        <v>1</v>
      </c>
      <c r="V641">
        <f>IF(SUM(ifood_data[[#This Row],[AcceptedCmp1]:[AcceptedCmp5]])&gt;0,1,0)</f>
        <v>1</v>
      </c>
      <c r="W641">
        <v>0</v>
      </c>
      <c r="X641">
        <v>3</v>
      </c>
      <c r="Y641">
        <v>11</v>
      </c>
      <c r="Z641">
        <v>0</v>
      </c>
      <c r="AA641">
        <v>47</v>
      </c>
      <c r="AB641">
        <v>2322</v>
      </c>
      <c r="AC641" s="28">
        <f>ifood_data[[#This Row],[Customer_Days]]/365</f>
        <v>6.3616438356164382</v>
      </c>
      <c r="AD641">
        <v>0</v>
      </c>
      <c r="AE641">
        <v>0</v>
      </c>
      <c r="AF641">
        <v>1</v>
      </c>
      <c r="AG641">
        <v>0</v>
      </c>
      <c r="AH641">
        <v>0</v>
      </c>
      <c r="AI641">
        <v>0</v>
      </c>
      <c r="AJ641">
        <v>0</v>
      </c>
      <c r="AK641">
        <v>1</v>
      </c>
      <c r="AL641">
        <v>0</v>
      </c>
      <c r="AM641">
        <v>0</v>
      </c>
      <c r="AN641">
        <v>768</v>
      </c>
      <c r="AO641">
        <v>738</v>
      </c>
      <c r="AP641">
        <f>ifood_data[[#This Row],[MntTotal]]-ifood_data[[#This Row],[MntRegularProds]]</f>
        <v>30</v>
      </c>
      <c r="AQ641">
        <v>2</v>
      </c>
      <c r="AR641">
        <f>IF(SUM(ifood_data[[#This Row],[Kidhome]:[Teenhome]])&gt;0,1,0)</f>
        <v>1</v>
      </c>
      <c r="AS641" t="str">
        <f>IF(SUM(ifood_data[[#This Row],[Kidhome]:[Teenhome]])&gt;0,"Has Family","No Family")</f>
        <v>Has Family</v>
      </c>
      <c r="AT641" t="str">
        <f>IF(ifood_data[[#This Row],[marital_Married]]=1,"Married", (IF(ifood_data[[#This Row],[marital_Single]]=1,"Single",(IF(ifood_data[[#This Row],[marital_Divorced]]=1,"Divorced",(IF(ifood_data[[#This Row],[marital_Together]]=1,"Living Together",(IF(ifood_data[[#This Row],[marital_Widow]]=1,"Widow","Other")))))))))</f>
        <v>Single</v>
      </c>
      <c r="AU641" t="str">
        <f>IF(ifood_data[[#This Row],[education_Basic]]=1,"High School",(IF(ifood_data[[#This Row],[education_Graduation]]=1,"Undergraduate Degree",(IF(SUM(AM641,AL641,AI641)&gt;0,"Master's Degree or Higher","Other")))))</f>
        <v>Undergraduate Degree</v>
      </c>
      <c r="AV641" t="str">
        <f>IF(ifood_data[[#All],[Income]]&gt;75000,"75K+",(IF(ifood_data[[#All],[Income]]&gt;50000,"50K-75K",(IF(ifood_data[[#All],[Income]]&gt;35000,"35K-50K","&lt;35K")))))</f>
        <v>50K-75K</v>
      </c>
      <c r="AW641" t="str">
        <f>IF(ifood_data[[#All],[Age]]&gt;60,"60+",(IF(ifood_data[[#All],[Age]]&gt;50,"50-60",(IF(ifood_data[[#All],[Age]]&gt;40,"40-50",(IF(ifood_data[[#All],[Age]]&gt;30,"30-40","&lt;30")))))))</f>
        <v>40-50</v>
      </c>
      <c r="AX641">
        <f t="shared" si="36"/>
        <v>34</v>
      </c>
      <c r="AY641">
        <f t="shared" si="37"/>
        <v>5</v>
      </c>
      <c r="AZ641">
        <f t="shared" si="38"/>
        <v>9</v>
      </c>
      <c r="BA641">
        <f t="shared" si="39"/>
        <v>6</v>
      </c>
      <c r="BB641">
        <f>SUM(ifood_data[[#This Row],[Recency Score]:[Monetary Score]])</f>
        <v>20</v>
      </c>
      <c r="BC641">
        <f>(_xlfn.PERCENTRANK.INC(ifood_data[[#All],[RFM]],ifood_data[[#This Row],[RFM]],1))*10</f>
        <v>7</v>
      </c>
      <c r="BD641" t="str">
        <f>VLOOKUP(ifood_data[[#This Row],[RFM Score]],'RFM Analysis'!$A$3:$B$14,2,FALSE)</f>
        <v>Loyal Customer</v>
      </c>
      <c r="BE641">
        <f>'Regression Models'!$B$101+'Regression Models'!$B$102*ifood_data[[#This Row],[Income]]+'Regression Models'!$B$103*ifood_data[[#This Row],[Age]]+'Regression Models'!$B$104*ifood_data[[#This Row],[Family]]</f>
        <v>768.31786508983316</v>
      </c>
      <c r="BF641" t="str">
        <f>IF(ifood_data[[#This Row],[AcceptedCmpOverall]]=1,"Campaign Respondent","Non-respondent")</f>
        <v>Campaign Respondent</v>
      </c>
    </row>
    <row r="642" spans="1:58" x14ac:dyDescent="0.35">
      <c r="A642">
        <v>1177</v>
      </c>
      <c r="B642">
        <v>65106</v>
      </c>
      <c r="C642">
        <v>0</v>
      </c>
      <c r="D642">
        <v>1</v>
      </c>
      <c r="E642">
        <v>55</v>
      </c>
      <c r="F642">
        <v>790</v>
      </c>
      <c r="G642">
        <v>19</v>
      </c>
      <c r="H642">
        <v>133</v>
      </c>
      <c r="I642">
        <v>12</v>
      </c>
      <c r="J642">
        <v>0</v>
      </c>
      <c r="K642">
        <v>19</v>
      </c>
      <c r="L642">
        <v>3</v>
      </c>
      <c r="M642">
        <v>8</v>
      </c>
      <c r="N642">
        <v>3</v>
      </c>
      <c r="O642">
        <v>13</v>
      </c>
      <c r="P642">
        <v>6</v>
      </c>
      <c r="Q642">
        <v>0</v>
      </c>
      <c r="R642">
        <v>0</v>
      </c>
      <c r="S642">
        <v>0</v>
      </c>
      <c r="T642">
        <v>1</v>
      </c>
      <c r="U642">
        <v>0</v>
      </c>
      <c r="V642">
        <f>IF(SUM(ifood_data[[#This Row],[AcceptedCmp1]:[AcceptedCmp5]])&gt;0,1,0)</f>
        <v>1</v>
      </c>
      <c r="W642">
        <v>0</v>
      </c>
      <c r="X642">
        <v>3</v>
      </c>
      <c r="Y642">
        <v>11</v>
      </c>
      <c r="Z642">
        <v>0</v>
      </c>
      <c r="AA642">
        <v>45</v>
      </c>
      <c r="AB642">
        <v>2195</v>
      </c>
      <c r="AC642" s="28">
        <f>ifood_data[[#This Row],[Customer_Days]]/365</f>
        <v>6.0136986301369859</v>
      </c>
      <c r="AD642">
        <v>0</v>
      </c>
      <c r="AE642">
        <v>1</v>
      </c>
      <c r="AF642">
        <v>0</v>
      </c>
      <c r="AG642">
        <v>0</v>
      </c>
      <c r="AH642">
        <v>0</v>
      </c>
      <c r="AI642">
        <v>0</v>
      </c>
      <c r="AJ642">
        <v>0</v>
      </c>
      <c r="AK642">
        <v>1</v>
      </c>
      <c r="AL642">
        <v>0</v>
      </c>
      <c r="AM642">
        <v>0</v>
      </c>
      <c r="AN642">
        <v>954</v>
      </c>
      <c r="AO642">
        <v>935</v>
      </c>
      <c r="AP642">
        <f>ifood_data[[#This Row],[MntTotal]]-ifood_data[[#This Row],[MntRegularProds]]</f>
        <v>19</v>
      </c>
      <c r="AQ642">
        <v>1</v>
      </c>
      <c r="AR642">
        <f>IF(SUM(ifood_data[[#This Row],[Kidhome]:[Teenhome]])&gt;0,1,0)</f>
        <v>1</v>
      </c>
      <c r="AS642" t="str">
        <f>IF(SUM(ifood_data[[#This Row],[Kidhome]:[Teenhome]])&gt;0,"Has Family","No Family")</f>
        <v>Has Family</v>
      </c>
      <c r="AT642" t="str">
        <f>IF(ifood_data[[#This Row],[marital_Married]]=1,"Married", (IF(ifood_data[[#This Row],[marital_Single]]=1,"Single",(IF(ifood_data[[#This Row],[marital_Divorced]]=1,"Divorced",(IF(ifood_data[[#This Row],[marital_Together]]=1,"Living Together",(IF(ifood_data[[#This Row],[marital_Widow]]=1,"Widow","Other")))))))))</f>
        <v>Married</v>
      </c>
      <c r="AU642" t="str">
        <f>IF(ifood_data[[#This Row],[education_Basic]]=1,"High School",(IF(ifood_data[[#This Row],[education_Graduation]]=1,"Undergraduate Degree",(IF(SUM(AM642,AL642,AI642)&gt;0,"Master's Degree or Higher","Other")))))</f>
        <v>Undergraduate Degree</v>
      </c>
      <c r="AV642" t="str">
        <f>IF(ifood_data[[#All],[Income]]&gt;75000,"75K+",(IF(ifood_data[[#All],[Income]]&gt;50000,"50K-75K",(IF(ifood_data[[#All],[Income]]&gt;35000,"35K-50K","&lt;35K")))))</f>
        <v>50K-75K</v>
      </c>
      <c r="AW642" t="str">
        <f>IF(ifood_data[[#All],[Age]]&gt;60,"60+",(IF(ifood_data[[#All],[Age]]&gt;50,"50-60",(IF(ifood_data[[#All],[Age]]&gt;40,"40-50",(IF(ifood_data[[#All],[Age]]&gt;30,"30-40","&lt;30")))))))</f>
        <v>40-50</v>
      </c>
      <c r="AX642">
        <f t="shared" ref="AX642:AX705" si="40">SUM(L642:P642)</f>
        <v>33</v>
      </c>
      <c r="AY642">
        <f t="shared" ref="AY642:AY705" si="41">(1-_xlfn.PERCENTRANK.INC($E$2:$E$2022,E642,1))*10</f>
        <v>5</v>
      </c>
      <c r="AZ642">
        <f t="shared" ref="AZ642:AZ705" si="42">_xlfn.PERCENTRANK.INC($AX$2:$AX$2022,AX642,1)*10</f>
        <v>9</v>
      </c>
      <c r="BA642">
        <f t="shared" ref="BA642:BA705" si="43">_xlfn.PERCENTRANK.INC($AN$2:$AN$2022,AN642,1)*10</f>
        <v>7</v>
      </c>
      <c r="BB642">
        <f>SUM(ifood_data[[#This Row],[Recency Score]:[Monetary Score]])</f>
        <v>21</v>
      </c>
      <c r="BC642">
        <f>(_xlfn.PERCENTRANK.INC(ifood_data[[#All],[RFM]],ifood_data[[#This Row],[RFM]],1))*10</f>
        <v>8</v>
      </c>
      <c r="BD642" t="str">
        <f>VLOOKUP(ifood_data[[#This Row],[RFM Score]],'RFM Analysis'!$A$3:$B$14,2,FALSE)</f>
        <v>Loyal Customer</v>
      </c>
      <c r="BE642">
        <f>'Regression Models'!$B$101+'Regression Models'!$B$102*ifood_data[[#This Row],[Income]]+'Regression Models'!$B$103*ifood_data[[#This Row],[Age]]+'Regression Models'!$B$104*ifood_data[[#This Row],[Family]]</f>
        <v>767.36249287895691</v>
      </c>
      <c r="BF642" t="str">
        <f>IF(ifood_data[[#This Row],[AcceptedCmpOverall]]=1,"Campaign Respondent","Non-respondent")</f>
        <v>Campaign Respondent</v>
      </c>
    </row>
    <row r="643" spans="1:58" x14ac:dyDescent="0.35">
      <c r="A643">
        <v>1314</v>
      </c>
      <c r="B643">
        <v>67087</v>
      </c>
      <c r="C643">
        <v>0</v>
      </c>
      <c r="D643">
        <v>1</v>
      </c>
      <c r="E643">
        <v>40</v>
      </c>
      <c r="F643">
        <v>329</v>
      </c>
      <c r="G643">
        <v>35</v>
      </c>
      <c r="H643">
        <v>222</v>
      </c>
      <c r="I643">
        <v>130</v>
      </c>
      <c r="J643">
        <v>35</v>
      </c>
      <c r="K643">
        <v>43</v>
      </c>
      <c r="L643">
        <v>2</v>
      </c>
      <c r="M643">
        <v>7</v>
      </c>
      <c r="N643">
        <v>5</v>
      </c>
      <c r="O643">
        <v>8</v>
      </c>
      <c r="P643">
        <v>4</v>
      </c>
      <c r="Q643">
        <v>0</v>
      </c>
      <c r="R643">
        <v>0</v>
      </c>
      <c r="S643">
        <v>0</v>
      </c>
      <c r="T643">
        <v>0</v>
      </c>
      <c r="U643">
        <v>0</v>
      </c>
      <c r="V643">
        <f>IF(SUM(ifood_data[[#This Row],[AcceptedCmp1]:[AcceptedCmp5]])&gt;0,1,0)</f>
        <v>0</v>
      </c>
      <c r="W643">
        <v>0</v>
      </c>
      <c r="X643">
        <v>3</v>
      </c>
      <c r="Y643">
        <v>11</v>
      </c>
      <c r="Z643">
        <v>0</v>
      </c>
      <c r="AA643">
        <v>67</v>
      </c>
      <c r="AB643">
        <v>2353</v>
      </c>
      <c r="AC643" s="28">
        <f>ifood_data[[#This Row],[Customer_Days]]/365</f>
        <v>6.4465753424657537</v>
      </c>
      <c r="AD643">
        <v>0</v>
      </c>
      <c r="AE643">
        <v>1</v>
      </c>
      <c r="AF643">
        <v>0</v>
      </c>
      <c r="AG643">
        <v>0</v>
      </c>
      <c r="AH643">
        <v>0</v>
      </c>
      <c r="AI643">
        <v>0</v>
      </c>
      <c r="AJ643">
        <v>0</v>
      </c>
      <c r="AK643">
        <v>0</v>
      </c>
      <c r="AL643">
        <v>1</v>
      </c>
      <c r="AM643">
        <v>0</v>
      </c>
      <c r="AN643">
        <v>751</v>
      </c>
      <c r="AO643">
        <v>708</v>
      </c>
      <c r="AP643">
        <f>ifood_data[[#This Row],[MntTotal]]-ifood_data[[#This Row],[MntRegularProds]]</f>
        <v>43</v>
      </c>
      <c r="AQ643">
        <v>0</v>
      </c>
      <c r="AR643">
        <f>IF(SUM(ifood_data[[#This Row],[Kidhome]:[Teenhome]])&gt;0,1,0)</f>
        <v>1</v>
      </c>
      <c r="AS643" t="str">
        <f>IF(SUM(ifood_data[[#This Row],[Kidhome]:[Teenhome]])&gt;0,"Has Family","No Family")</f>
        <v>Has Family</v>
      </c>
      <c r="AT643" t="str">
        <f>IF(ifood_data[[#This Row],[marital_Married]]=1,"Married", (IF(ifood_data[[#This Row],[marital_Single]]=1,"Single",(IF(ifood_data[[#This Row],[marital_Divorced]]=1,"Divorced",(IF(ifood_data[[#This Row],[marital_Together]]=1,"Living Together",(IF(ifood_data[[#This Row],[marital_Widow]]=1,"Widow","Other")))))))))</f>
        <v>Married</v>
      </c>
      <c r="AU643" t="str">
        <f>IF(ifood_data[[#This Row],[education_Basic]]=1,"High School",(IF(ifood_data[[#This Row],[education_Graduation]]=1,"Undergraduate Degree",(IF(SUM(AM643,AL643,AI643)&gt;0,"Master's Degree or Higher","Other")))))</f>
        <v>Master's Degree or Higher</v>
      </c>
      <c r="AV643" t="str">
        <f>IF(ifood_data[[#All],[Income]]&gt;75000,"75K+",(IF(ifood_data[[#All],[Income]]&gt;50000,"50K-75K",(IF(ifood_data[[#All],[Income]]&gt;35000,"35K-50K","&lt;35K")))))</f>
        <v>50K-75K</v>
      </c>
      <c r="AW643" t="str">
        <f>IF(ifood_data[[#All],[Age]]&gt;60,"60+",(IF(ifood_data[[#All],[Age]]&gt;50,"50-60",(IF(ifood_data[[#All],[Age]]&gt;40,"40-50",(IF(ifood_data[[#All],[Age]]&gt;30,"30-40","&lt;30")))))))</f>
        <v>60+</v>
      </c>
      <c r="AX643">
        <f t="shared" si="40"/>
        <v>26</v>
      </c>
      <c r="AY643">
        <f t="shared" si="41"/>
        <v>6</v>
      </c>
      <c r="AZ643">
        <f t="shared" si="42"/>
        <v>7</v>
      </c>
      <c r="BA643">
        <f t="shared" si="43"/>
        <v>6</v>
      </c>
      <c r="BB643">
        <f>SUM(ifood_data[[#This Row],[Recency Score]:[Monetary Score]])</f>
        <v>19</v>
      </c>
      <c r="BC643">
        <f>(_xlfn.PERCENTRANK.INC(ifood_data[[#All],[RFM]],ifood_data[[#This Row],[RFM]],1))*10</f>
        <v>7</v>
      </c>
      <c r="BD643" t="str">
        <f>VLOOKUP(ifood_data[[#This Row],[RFM Score]],'RFM Analysis'!$A$3:$B$14,2,FALSE)</f>
        <v>Loyal Customer</v>
      </c>
      <c r="BE643">
        <f>'Regression Models'!$B$101+'Regression Models'!$B$102*ifood_data[[#This Row],[Income]]+'Regression Models'!$B$103*ifood_data[[#This Row],[Age]]+'Regression Models'!$B$104*ifood_data[[#This Row],[Family]]</f>
        <v>767.35098283634613</v>
      </c>
      <c r="BF643" t="str">
        <f>IF(ifood_data[[#This Row],[AcceptedCmpOverall]]=1,"Campaign Respondent","Non-respondent")</f>
        <v>Non-respondent</v>
      </c>
    </row>
    <row r="644" spans="1:58" x14ac:dyDescent="0.35">
      <c r="A644">
        <v>1107</v>
      </c>
      <c r="B644">
        <v>66726</v>
      </c>
      <c r="C644">
        <v>1</v>
      </c>
      <c r="D644">
        <v>1</v>
      </c>
      <c r="E644">
        <v>61</v>
      </c>
      <c r="F644">
        <v>349</v>
      </c>
      <c r="G644">
        <v>7</v>
      </c>
      <c r="H644">
        <v>35</v>
      </c>
      <c r="I644">
        <v>0</v>
      </c>
      <c r="J644">
        <v>0</v>
      </c>
      <c r="K644">
        <v>47</v>
      </c>
      <c r="L644">
        <v>3</v>
      </c>
      <c r="M644">
        <v>8</v>
      </c>
      <c r="N644">
        <v>2</v>
      </c>
      <c r="O644">
        <v>4</v>
      </c>
      <c r="P644">
        <v>7</v>
      </c>
      <c r="Q644">
        <v>0</v>
      </c>
      <c r="R644">
        <v>0</v>
      </c>
      <c r="S644">
        <v>0</v>
      </c>
      <c r="T644">
        <v>1</v>
      </c>
      <c r="U644">
        <v>0</v>
      </c>
      <c r="V644">
        <f>IF(SUM(ifood_data[[#This Row],[AcceptedCmp1]:[AcceptedCmp5]])&gt;0,1,0)</f>
        <v>1</v>
      </c>
      <c r="W644">
        <v>0</v>
      </c>
      <c r="X644">
        <v>3</v>
      </c>
      <c r="Y644">
        <v>11</v>
      </c>
      <c r="Z644">
        <v>0</v>
      </c>
      <c r="AA644">
        <v>63</v>
      </c>
      <c r="AB644">
        <v>2327</v>
      </c>
      <c r="AC644" s="28">
        <f>ifood_data[[#This Row],[Customer_Days]]/365</f>
        <v>6.375342465753425</v>
      </c>
      <c r="AD644">
        <v>0</v>
      </c>
      <c r="AE644">
        <v>1</v>
      </c>
      <c r="AF644">
        <v>0</v>
      </c>
      <c r="AG644">
        <v>0</v>
      </c>
      <c r="AH644">
        <v>0</v>
      </c>
      <c r="AI644">
        <v>0</v>
      </c>
      <c r="AJ644">
        <v>0</v>
      </c>
      <c r="AK644">
        <v>0</v>
      </c>
      <c r="AL644">
        <v>1</v>
      </c>
      <c r="AM644">
        <v>0</v>
      </c>
      <c r="AN644">
        <v>391</v>
      </c>
      <c r="AO644">
        <v>344</v>
      </c>
      <c r="AP644">
        <f>ifood_data[[#This Row],[MntTotal]]-ifood_data[[#This Row],[MntRegularProds]]</f>
        <v>47</v>
      </c>
      <c r="AQ644">
        <v>1</v>
      </c>
      <c r="AR644">
        <f>IF(SUM(ifood_data[[#This Row],[Kidhome]:[Teenhome]])&gt;0,1,0)</f>
        <v>1</v>
      </c>
      <c r="AS644" t="str">
        <f>IF(SUM(ifood_data[[#This Row],[Kidhome]:[Teenhome]])&gt;0,"Has Family","No Family")</f>
        <v>Has Family</v>
      </c>
      <c r="AT644" t="str">
        <f>IF(ifood_data[[#This Row],[marital_Married]]=1,"Married", (IF(ifood_data[[#This Row],[marital_Single]]=1,"Single",(IF(ifood_data[[#This Row],[marital_Divorced]]=1,"Divorced",(IF(ifood_data[[#This Row],[marital_Together]]=1,"Living Together",(IF(ifood_data[[#This Row],[marital_Widow]]=1,"Widow","Other")))))))))</f>
        <v>Married</v>
      </c>
      <c r="AU644" t="str">
        <f>IF(ifood_data[[#This Row],[education_Basic]]=1,"High School",(IF(ifood_data[[#This Row],[education_Graduation]]=1,"Undergraduate Degree",(IF(SUM(AM644,AL644,AI644)&gt;0,"Master's Degree or Higher","Other")))))</f>
        <v>Master's Degree or Higher</v>
      </c>
      <c r="AV644" t="str">
        <f>IF(ifood_data[[#All],[Income]]&gt;75000,"75K+",(IF(ifood_data[[#All],[Income]]&gt;50000,"50K-75K",(IF(ifood_data[[#All],[Income]]&gt;35000,"35K-50K","&lt;35K")))))</f>
        <v>50K-75K</v>
      </c>
      <c r="AW644" t="str">
        <f>IF(ifood_data[[#All],[Age]]&gt;60,"60+",(IF(ifood_data[[#All],[Age]]&gt;50,"50-60",(IF(ifood_data[[#All],[Age]]&gt;40,"40-50",(IF(ifood_data[[#All],[Age]]&gt;30,"30-40","&lt;30")))))))</f>
        <v>60+</v>
      </c>
      <c r="AX644">
        <f t="shared" si="40"/>
        <v>24</v>
      </c>
      <c r="AY644">
        <f t="shared" si="41"/>
        <v>4</v>
      </c>
      <c r="AZ644">
        <f t="shared" si="42"/>
        <v>6</v>
      </c>
      <c r="BA644">
        <f t="shared" si="43"/>
        <v>5</v>
      </c>
      <c r="BB644">
        <f>SUM(ifood_data[[#This Row],[Recency Score]:[Monetary Score]])</f>
        <v>15</v>
      </c>
      <c r="BC644">
        <f>(_xlfn.PERCENTRANK.INC(ifood_data[[#All],[RFM]],ifood_data[[#This Row],[RFM]],1))*10</f>
        <v>4</v>
      </c>
      <c r="BD644" t="str">
        <f>VLOOKUP(ifood_data[[#This Row],[RFM Score]],'RFM Analysis'!$A$3:$B$14,2,FALSE)</f>
        <v>At Risk</v>
      </c>
      <c r="BE644">
        <f>'Regression Models'!$B$101+'Regression Models'!$B$102*ifood_data[[#This Row],[Income]]+'Regression Models'!$B$103*ifood_data[[#This Row],[Age]]+'Regression Models'!$B$104*ifood_data[[#This Row],[Family]]</f>
        <v>767.33639385197591</v>
      </c>
      <c r="BF644" t="str">
        <f>IF(ifood_data[[#This Row],[AcceptedCmpOverall]]=1,"Campaign Respondent","Non-respondent")</f>
        <v>Campaign Respondent</v>
      </c>
    </row>
    <row r="645" spans="1:58" x14ac:dyDescent="0.35">
      <c r="A645">
        <v>155</v>
      </c>
      <c r="B645">
        <v>52332</v>
      </c>
      <c r="C645">
        <v>0</v>
      </c>
      <c r="D645">
        <v>0</v>
      </c>
      <c r="E645">
        <v>63</v>
      </c>
      <c r="F645">
        <v>212</v>
      </c>
      <c r="G645">
        <v>5</v>
      </c>
      <c r="H645">
        <v>33</v>
      </c>
      <c r="I645">
        <v>7</v>
      </c>
      <c r="J645">
        <v>0</v>
      </c>
      <c r="K645">
        <v>2</v>
      </c>
      <c r="L645">
        <v>1</v>
      </c>
      <c r="M645">
        <v>3</v>
      </c>
      <c r="N645">
        <v>2</v>
      </c>
      <c r="O645">
        <v>6</v>
      </c>
      <c r="P645">
        <v>4</v>
      </c>
      <c r="Q645">
        <v>0</v>
      </c>
      <c r="R645">
        <v>0</v>
      </c>
      <c r="S645">
        <v>0</v>
      </c>
      <c r="T645">
        <v>1</v>
      </c>
      <c r="U645">
        <v>0</v>
      </c>
      <c r="V645">
        <f>IF(SUM(ifood_data[[#This Row],[AcceptedCmp1]:[AcceptedCmp5]])&gt;0,1,0)</f>
        <v>1</v>
      </c>
      <c r="W645">
        <v>0</v>
      </c>
      <c r="X645">
        <v>3</v>
      </c>
      <c r="Y645">
        <v>11</v>
      </c>
      <c r="Z645">
        <v>0</v>
      </c>
      <c r="AA645">
        <v>61</v>
      </c>
      <c r="AB645">
        <v>2464</v>
      </c>
      <c r="AC645" s="28">
        <f>ifood_data[[#This Row],[Customer_Days]]/365</f>
        <v>6.7506849315068491</v>
      </c>
      <c r="AD645">
        <v>1</v>
      </c>
      <c r="AE645">
        <v>0</v>
      </c>
      <c r="AF645">
        <v>0</v>
      </c>
      <c r="AG645">
        <v>0</v>
      </c>
      <c r="AH645">
        <v>0</v>
      </c>
      <c r="AI645">
        <v>0</v>
      </c>
      <c r="AJ645">
        <v>0</v>
      </c>
      <c r="AK645">
        <v>1</v>
      </c>
      <c r="AL645">
        <v>0</v>
      </c>
      <c r="AM645">
        <v>0</v>
      </c>
      <c r="AN645">
        <v>257</v>
      </c>
      <c r="AO645">
        <v>255</v>
      </c>
      <c r="AP645">
        <f>ifood_data[[#This Row],[MntTotal]]-ifood_data[[#This Row],[MntRegularProds]]</f>
        <v>2</v>
      </c>
      <c r="AQ645">
        <v>1</v>
      </c>
      <c r="AR645">
        <f>IF(SUM(ifood_data[[#This Row],[Kidhome]:[Teenhome]])&gt;0,1,0)</f>
        <v>0</v>
      </c>
      <c r="AS645" t="str">
        <f>IF(SUM(ifood_data[[#This Row],[Kidhome]:[Teenhome]])&gt;0,"Has Family","No Family")</f>
        <v>No Family</v>
      </c>
      <c r="AT645" t="str">
        <f>IF(ifood_data[[#This Row],[marital_Married]]=1,"Married", (IF(ifood_data[[#This Row],[marital_Single]]=1,"Single",(IF(ifood_data[[#This Row],[marital_Divorced]]=1,"Divorced",(IF(ifood_data[[#This Row],[marital_Together]]=1,"Living Together",(IF(ifood_data[[#This Row],[marital_Widow]]=1,"Widow","Other")))))))))</f>
        <v>Divorced</v>
      </c>
      <c r="AU645" t="str">
        <f>IF(ifood_data[[#This Row],[education_Basic]]=1,"High School",(IF(ifood_data[[#This Row],[education_Graduation]]=1,"Undergraduate Degree",(IF(SUM(AM645,AL645,AI645)&gt;0,"Master's Degree or Higher","Other")))))</f>
        <v>Undergraduate Degree</v>
      </c>
      <c r="AV645" t="str">
        <f>IF(ifood_data[[#All],[Income]]&gt;75000,"75K+",(IF(ifood_data[[#All],[Income]]&gt;50000,"50K-75K",(IF(ifood_data[[#All],[Income]]&gt;35000,"35K-50K","&lt;35K")))))</f>
        <v>50K-75K</v>
      </c>
      <c r="AW645" t="str">
        <f>IF(ifood_data[[#All],[Age]]&gt;60,"60+",(IF(ifood_data[[#All],[Age]]&gt;50,"50-60",(IF(ifood_data[[#All],[Age]]&gt;40,"40-50",(IF(ifood_data[[#All],[Age]]&gt;30,"30-40","&lt;30")))))))</f>
        <v>60+</v>
      </c>
      <c r="AX645">
        <f t="shared" si="40"/>
        <v>16</v>
      </c>
      <c r="AY645">
        <f t="shared" si="41"/>
        <v>4</v>
      </c>
      <c r="AZ645">
        <f t="shared" si="42"/>
        <v>3</v>
      </c>
      <c r="BA645">
        <f t="shared" si="43"/>
        <v>4</v>
      </c>
      <c r="BB645">
        <f>SUM(ifood_data[[#This Row],[Recency Score]:[Monetary Score]])</f>
        <v>11</v>
      </c>
      <c r="BC645">
        <f>(_xlfn.PERCENTRANK.INC(ifood_data[[#All],[RFM]],ifood_data[[#This Row],[RFM]],1))*10</f>
        <v>2</v>
      </c>
      <c r="BD645" t="str">
        <f>VLOOKUP(ifood_data[[#This Row],[RFM Score]],'RFM Analysis'!$A$3:$B$14,2,FALSE)</f>
        <v>At Risk</v>
      </c>
      <c r="BE645">
        <f>'Regression Models'!$B$101+'Regression Models'!$B$102*ifood_data[[#This Row],[Income]]+'Regression Models'!$B$103*ifood_data[[#This Row],[Age]]+'Regression Models'!$B$104*ifood_data[[#This Row],[Family]]</f>
        <v>767.14697441949943</v>
      </c>
      <c r="BF645" t="str">
        <f>IF(ifood_data[[#This Row],[AcceptedCmpOverall]]=1,"Campaign Respondent","Non-respondent")</f>
        <v>Campaign Respondent</v>
      </c>
    </row>
    <row r="646" spans="1:58" x14ac:dyDescent="0.35">
      <c r="A646">
        <v>1571</v>
      </c>
      <c r="B646">
        <v>64813</v>
      </c>
      <c r="C646">
        <v>1</v>
      </c>
      <c r="D646">
        <v>0</v>
      </c>
      <c r="E646">
        <v>81</v>
      </c>
      <c r="F646">
        <v>293</v>
      </c>
      <c r="G646">
        <v>0</v>
      </c>
      <c r="H646">
        <v>124</v>
      </c>
      <c r="I646">
        <v>179</v>
      </c>
      <c r="J646">
        <v>97</v>
      </c>
      <c r="K646">
        <v>52</v>
      </c>
      <c r="L646">
        <v>1</v>
      </c>
      <c r="M646">
        <v>7</v>
      </c>
      <c r="N646">
        <v>2</v>
      </c>
      <c r="O646">
        <v>10</v>
      </c>
      <c r="P646">
        <v>5</v>
      </c>
      <c r="Q646">
        <v>0</v>
      </c>
      <c r="R646">
        <v>0</v>
      </c>
      <c r="S646">
        <v>0</v>
      </c>
      <c r="T646">
        <v>0</v>
      </c>
      <c r="U646">
        <v>0</v>
      </c>
      <c r="V646">
        <f>IF(SUM(ifood_data[[#This Row],[AcceptedCmp1]:[AcceptedCmp5]])&gt;0,1,0)</f>
        <v>0</v>
      </c>
      <c r="W646">
        <v>0</v>
      </c>
      <c r="X646">
        <v>3</v>
      </c>
      <c r="Y646">
        <v>11</v>
      </c>
      <c r="Z646">
        <v>0</v>
      </c>
      <c r="AA646">
        <v>42</v>
      </c>
      <c r="AB646">
        <v>2337</v>
      </c>
      <c r="AC646" s="28">
        <f>ifood_data[[#This Row],[Customer_Days]]/365</f>
        <v>6.4027397260273968</v>
      </c>
      <c r="AD646">
        <v>0</v>
      </c>
      <c r="AE646">
        <v>1</v>
      </c>
      <c r="AF646">
        <v>0</v>
      </c>
      <c r="AG646">
        <v>0</v>
      </c>
      <c r="AH646">
        <v>0</v>
      </c>
      <c r="AI646">
        <v>0</v>
      </c>
      <c r="AJ646">
        <v>0</v>
      </c>
      <c r="AK646">
        <v>1</v>
      </c>
      <c r="AL646">
        <v>0</v>
      </c>
      <c r="AM646">
        <v>0</v>
      </c>
      <c r="AN646">
        <v>693</v>
      </c>
      <c r="AO646">
        <v>641</v>
      </c>
      <c r="AP646">
        <f>ifood_data[[#This Row],[MntTotal]]-ifood_data[[#This Row],[MntRegularProds]]</f>
        <v>52</v>
      </c>
      <c r="AQ646">
        <v>0</v>
      </c>
      <c r="AR646">
        <f>IF(SUM(ifood_data[[#This Row],[Kidhome]:[Teenhome]])&gt;0,1,0)</f>
        <v>1</v>
      </c>
      <c r="AS646" t="str">
        <f>IF(SUM(ifood_data[[#This Row],[Kidhome]:[Teenhome]])&gt;0,"Has Family","No Family")</f>
        <v>Has Family</v>
      </c>
      <c r="AT646" t="str">
        <f>IF(ifood_data[[#This Row],[marital_Married]]=1,"Married", (IF(ifood_data[[#This Row],[marital_Single]]=1,"Single",(IF(ifood_data[[#This Row],[marital_Divorced]]=1,"Divorced",(IF(ifood_data[[#This Row],[marital_Together]]=1,"Living Together",(IF(ifood_data[[#This Row],[marital_Widow]]=1,"Widow","Other")))))))))</f>
        <v>Married</v>
      </c>
      <c r="AU646" t="str">
        <f>IF(ifood_data[[#This Row],[education_Basic]]=1,"High School",(IF(ifood_data[[#This Row],[education_Graduation]]=1,"Undergraduate Degree",(IF(SUM(AM646,AL646,AI646)&gt;0,"Master's Degree or Higher","Other")))))</f>
        <v>Undergraduate Degree</v>
      </c>
      <c r="AV646" t="str">
        <f>IF(ifood_data[[#All],[Income]]&gt;75000,"75K+",(IF(ifood_data[[#All],[Income]]&gt;50000,"50K-75K",(IF(ifood_data[[#All],[Income]]&gt;35000,"35K-50K","&lt;35K")))))</f>
        <v>50K-75K</v>
      </c>
      <c r="AW646" t="str">
        <f>IF(ifood_data[[#All],[Age]]&gt;60,"60+",(IF(ifood_data[[#All],[Age]]&gt;50,"50-60",(IF(ifood_data[[#All],[Age]]&gt;40,"40-50",(IF(ifood_data[[#All],[Age]]&gt;30,"30-40","&lt;30")))))))</f>
        <v>40-50</v>
      </c>
      <c r="AX646">
        <f t="shared" si="40"/>
        <v>25</v>
      </c>
      <c r="AY646">
        <f t="shared" si="41"/>
        <v>1.9999999999999996</v>
      </c>
      <c r="AZ646">
        <f t="shared" si="42"/>
        <v>7</v>
      </c>
      <c r="BA646">
        <f t="shared" si="43"/>
        <v>6</v>
      </c>
      <c r="BB646">
        <f>SUM(ifood_data[[#This Row],[Recency Score]:[Monetary Score]])</f>
        <v>15</v>
      </c>
      <c r="BC646">
        <f>(_xlfn.PERCENTRANK.INC(ifood_data[[#All],[RFM]],ifood_data[[#This Row],[RFM]],1))*10</f>
        <v>4</v>
      </c>
      <c r="BD646" t="str">
        <f>VLOOKUP(ifood_data[[#This Row],[RFM Score]],'RFM Analysis'!$A$3:$B$14,2,FALSE)</f>
        <v>At Risk</v>
      </c>
      <c r="BE646">
        <f>'Regression Models'!$B$101+'Regression Models'!$B$102*ifood_data[[#This Row],[Income]]+'Regression Models'!$B$103*ifood_data[[#This Row],[Age]]+'Regression Models'!$B$104*ifood_data[[#This Row],[Family]]</f>
        <v>766.89790104947735</v>
      </c>
      <c r="BF646" t="str">
        <f>IF(ifood_data[[#This Row],[AcceptedCmpOverall]]=1,"Campaign Respondent","Non-respondent")</f>
        <v>Non-respondent</v>
      </c>
    </row>
    <row r="647" spans="1:58" x14ac:dyDescent="0.35">
      <c r="A647">
        <v>90</v>
      </c>
      <c r="B647">
        <v>50150</v>
      </c>
      <c r="C647">
        <v>0</v>
      </c>
      <c r="D647">
        <v>0</v>
      </c>
      <c r="E647">
        <v>32</v>
      </c>
      <c r="F647">
        <v>135</v>
      </c>
      <c r="G647">
        <v>46</v>
      </c>
      <c r="H647">
        <v>92</v>
      </c>
      <c r="I647">
        <v>65</v>
      </c>
      <c r="J647">
        <v>61</v>
      </c>
      <c r="K647">
        <v>11</v>
      </c>
      <c r="L647">
        <v>2</v>
      </c>
      <c r="M647">
        <v>5</v>
      </c>
      <c r="N647">
        <v>2</v>
      </c>
      <c r="O647">
        <v>7</v>
      </c>
      <c r="P647">
        <v>5</v>
      </c>
      <c r="Q647">
        <v>0</v>
      </c>
      <c r="R647">
        <v>0</v>
      </c>
      <c r="S647">
        <v>0</v>
      </c>
      <c r="T647">
        <v>0</v>
      </c>
      <c r="U647">
        <v>0</v>
      </c>
      <c r="V647">
        <f>IF(SUM(ifood_data[[#This Row],[AcceptedCmp1]:[AcceptedCmp5]])&gt;0,1,0)</f>
        <v>0</v>
      </c>
      <c r="W647">
        <v>0</v>
      </c>
      <c r="X647">
        <v>3</v>
      </c>
      <c r="Y647">
        <v>11</v>
      </c>
      <c r="Z647">
        <v>0</v>
      </c>
      <c r="AA647">
        <v>37</v>
      </c>
      <c r="AB647">
        <v>2533</v>
      </c>
      <c r="AC647" s="28">
        <f>ifood_data[[#This Row],[Customer_Days]]/365</f>
        <v>6.9397260273972599</v>
      </c>
      <c r="AD647">
        <v>0</v>
      </c>
      <c r="AE647">
        <v>1</v>
      </c>
      <c r="AF647">
        <v>0</v>
      </c>
      <c r="AG647">
        <v>0</v>
      </c>
      <c r="AH647">
        <v>0</v>
      </c>
      <c r="AI647">
        <v>0</v>
      </c>
      <c r="AJ647">
        <v>0</v>
      </c>
      <c r="AK647">
        <v>0</v>
      </c>
      <c r="AL647">
        <v>0</v>
      </c>
      <c r="AM647">
        <v>1</v>
      </c>
      <c r="AN647">
        <v>399</v>
      </c>
      <c r="AO647">
        <v>388</v>
      </c>
      <c r="AP647">
        <f>ifood_data[[#This Row],[MntTotal]]-ifood_data[[#This Row],[MntRegularProds]]</f>
        <v>11</v>
      </c>
      <c r="AQ647">
        <v>0</v>
      </c>
      <c r="AR647">
        <f>IF(SUM(ifood_data[[#This Row],[Kidhome]:[Teenhome]])&gt;0,1,0)</f>
        <v>0</v>
      </c>
      <c r="AS647" t="str">
        <f>IF(SUM(ifood_data[[#This Row],[Kidhome]:[Teenhome]])&gt;0,"Has Family","No Family")</f>
        <v>No Family</v>
      </c>
      <c r="AT647" t="str">
        <f>IF(ifood_data[[#This Row],[marital_Married]]=1,"Married", (IF(ifood_data[[#This Row],[marital_Single]]=1,"Single",(IF(ifood_data[[#This Row],[marital_Divorced]]=1,"Divorced",(IF(ifood_data[[#This Row],[marital_Together]]=1,"Living Together",(IF(ifood_data[[#This Row],[marital_Widow]]=1,"Widow","Other")))))))))</f>
        <v>Married</v>
      </c>
      <c r="AU647" t="str">
        <f>IF(ifood_data[[#This Row],[education_Basic]]=1,"High School",(IF(ifood_data[[#This Row],[education_Graduation]]=1,"Undergraduate Degree",(IF(SUM(AM647,AL647,AI647)&gt;0,"Master's Degree or Higher","Other")))))</f>
        <v>Master's Degree or Higher</v>
      </c>
      <c r="AV647" t="str">
        <f>IF(ifood_data[[#All],[Income]]&gt;75000,"75K+",(IF(ifood_data[[#All],[Income]]&gt;50000,"50K-75K",(IF(ifood_data[[#All],[Income]]&gt;35000,"35K-50K","&lt;35K")))))</f>
        <v>50K-75K</v>
      </c>
      <c r="AW647" t="str">
        <f>IF(ifood_data[[#All],[Age]]&gt;60,"60+",(IF(ifood_data[[#All],[Age]]&gt;50,"50-60",(IF(ifood_data[[#All],[Age]]&gt;40,"40-50",(IF(ifood_data[[#All],[Age]]&gt;30,"30-40","&lt;30")))))))</f>
        <v>30-40</v>
      </c>
      <c r="AX647">
        <f t="shared" si="40"/>
        <v>21</v>
      </c>
      <c r="AY647">
        <f t="shared" si="41"/>
        <v>7</v>
      </c>
      <c r="AZ647">
        <f t="shared" si="42"/>
        <v>5</v>
      </c>
      <c r="BA647">
        <f t="shared" si="43"/>
        <v>5</v>
      </c>
      <c r="BB647">
        <f>SUM(ifood_data[[#This Row],[Recency Score]:[Monetary Score]])</f>
        <v>17</v>
      </c>
      <c r="BC647">
        <f>(_xlfn.PERCENTRANK.INC(ifood_data[[#All],[RFM]],ifood_data[[#This Row],[RFM]],1))*10</f>
        <v>6</v>
      </c>
      <c r="BD647" t="str">
        <f>VLOOKUP(ifood_data[[#This Row],[RFM Score]],'RFM Analysis'!$A$3:$B$14,2,FALSE)</f>
        <v>Promising</v>
      </c>
      <c r="BE647">
        <f>'Regression Models'!$B$101+'Regression Models'!$B$102*ifood_data[[#This Row],[Income]]+'Regression Models'!$B$103*ifood_data[[#This Row],[Age]]+'Regression Models'!$B$104*ifood_data[[#This Row],[Family]]</f>
        <v>766.73322022297452</v>
      </c>
      <c r="BF647" t="str">
        <f>IF(ifood_data[[#This Row],[AcceptedCmpOverall]]=1,"Campaign Respondent","Non-respondent")</f>
        <v>Non-respondent</v>
      </c>
    </row>
    <row r="648" spans="1:58" x14ac:dyDescent="0.35">
      <c r="A648">
        <v>1832</v>
      </c>
      <c r="B648">
        <v>65814</v>
      </c>
      <c r="C648">
        <v>0</v>
      </c>
      <c r="D648">
        <v>1</v>
      </c>
      <c r="E648">
        <v>90</v>
      </c>
      <c r="F648">
        <v>561</v>
      </c>
      <c r="G648">
        <v>14</v>
      </c>
      <c r="H648">
        <v>113</v>
      </c>
      <c r="I648">
        <v>10</v>
      </c>
      <c r="J648">
        <v>14</v>
      </c>
      <c r="K648">
        <v>35</v>
      </c>
      <c r="L648">
        <v>3</v>
      </c>
      <c r="M648">
        <v>8</v>
      </c>
      <c r="N648">
        <v>2</v>
      </c>
      <c r="O648">
        <v>10</v>
      </c>
      <c r="P648">
        <v>5</v>
      </c>
      <c r="Q648">
        <v>0</v>
      </c>
      <c r="R648">
        <v>0</v>
      </c>
      <c r="S648">
        <v>0</v>
      </c>
      <c r="T648">
        <v>0</v>
      </c>
      <c r="U648">
        <v>0</v>
      </c>
      <c r="V648">
        <f>IF(SUM(ifood_data[[#This Row],[AcceptedCmp1]:[AcceptedCmp5]])&gt;0,1,0)</f>
        <v>0</v>
      </c>
      <c r="W648">
        <v>0</v>
      </c>
      <c r="X648">
        <v>3</v>
      </c>
      <c r="Y648">
        <v>11</v>
      </c>
      <c r="Z648">
        <v>0</v>
      </c>
      <c r="AA648">
        <v>54</v>
      </c>
      <c r="AB648">
        <v>2278</v>
      </c>
      <c r="AC648" s="28">
        <f>ifood_data[[#This Row],[Customer_Days]]/365</f>
        <v>6.2410958904109588</v>
      </c>
      <c r="AD648">
        <v>0</v>
      </c>
      <c r="AE648">
        <v>0</v>
      </c>
      <c r="AF648">
        <v>0</v>
      </c>
      <c r="AG648">
        <v>1</v>
      </c>
      <c r="AH648">
        <v>0</v>
      </c>
      <c r="AI648">
        <v>0</v>
      </c>
      <c r="AJ648">
        <v>0</v>
      </c>
      <c r="AK648">
        <v>0</v>
      </c>
      <c r="AL648">
        <v>0</v>
      </c>
      <c r="AM648">
        <v>1</v>
      </c>
      <c r="AN648">
        <v>712</v>
      </c>
      <c r="AO648">
        <v>677</v>
      </c>
      <c r="AP648">
        <f>ifood_data[[#This Row],[MntTotal]]-ifood_data[[#This Row],[MntRegularProds]]</f>
        <v>35</v>
      </c>
      <c r="AQ648">
        <v>0</v>
      </c>
      <c r="AR648">
        <f>IF(SUM(ifood_data[[#This Row],[Kidhome]:[Teenhome]])&gt;0,1,0)</f>
        <v>1</v>
      </c>
      <c r="AS648" t="str">
        <f>IF(SUM(ifood_data[[#This Row],[Kidhome]:[Teenhome]])&gt;0,"Has Family","No Family")</f>
        <v>Has Family</v>
      </c>
      <c r="AT648" t="str">
        <f>IF(ifood_data[[#This Row],[marital_Married]]=1,"Married", (IF(ifood_data[[#This Row],[marital_Single]]=1,"Single",(IF(ifood_data[[#This Row],[marital_Divorced]]=1,"Divorced",(IF(ifood_data[[#This Row],[marital_Together]]=1,"Living Together",(IF(ifood_data[[#This Row],[marital_Widow]]=1,"Widow","Other")))))))))</f>
        <v>Living Together</v>
      </c>
      <c r="AU648" t="str">
        <f>IF(ifood_data[[#This Row],[education_Basic]]=1,"High School",(IF(ifood_data[[#This Row],[education_Graduation]]=1,"Undergraduate Degree",(IF(SUM(AM648,AL648,AI648)&gt;0,"Master's Degree or Higher","Other")))))</f>
        <v>Master's Degree or Higher</v>
      </c>
      <c r="AV648" t="str">
        <f>IF(ifood_data[[#All],[Income]]&gt;75000,"75K+",(IF(ifood_data[[#All],[Income]]&gt;50000,"50K-75K",(IF(ifood_data[[#All],[Income]]&gt;35000,"35K-50K","&lt;35K")))))</f>
        <v>50K-75K</v>
      </c>
      <c r="AW648" t="str">
        <f>IF(ifood_data[[#All],[Age]]&gt;60,"60+",(IF(ifood_data[[#All],[Age]]&gt;50,"50-60",(IF(ifood_data[[#All],[Age]]&gt;40,"40-50",(IF(ifood_data[[#All],[Age]]&gt;30,"30-40","&lt;30")))))))</f>
        <v>50-60</v>
      </c>
      <c r="AX648">
        <f t="shared" si="40"/>
        <v>28</v>
      </c>
      <c r="AY648">
        <f t="shared" si="41"/>
        <v>0.99999999999999978</v>
      </c>
      <c r="AZ648">
        <f t="shared" si="42"/>
        <v>8</v>
      </c>
      <c r="BA648">
        <f t="shared" si="43"/>
        <v>6</v>
      </c>
      <c r="BB648">
        <f>SUM(ifood_data[[#This Row],[Recency Score]:[Monetary Score]])</f>
        <v>15</v>
      </c>
      <c r="BC648">
        <f>(_xlfn.PERCENTRANK.INC(ifood_data[[#All],[RFM]],ifood_data[[#This Row],[RFM]],1))*10</f>
        <v>4</v>
      </c>
      <c r="BD648" t="str">
        <f>VLOOKUP(ifood_data[[#This Row],[RFM Score]],'RFM Analysis'!$A$3:$B$14,2,FALSE)</f>
        <v>At Risk</v>
      </c>
      <c r="BE648">
        <f>'Regression Models'!$B$101+'Regression Models'!$B$102*ifood_data[[#This Row],[Income]]+'Regression Models'!$B$103*ifood_data[[#This Row],[Age]]+'Regression Models'!$B$104*ifood_data[[#This Row],[Family]]</f>
        <v>765.2697890147889</v>
      </c>
      <c r="BF648" t="str">
        <f>IF(ifood_data[[#This Row],[AcceptedCmpOverall]]=1,"Campaign Respondent","Non-respondent")</f>
        <v>Non-respondent</v>
      </c>
    </row>
    <row r="649" spans="1:58" x14ac:dyDescent="0.35">
      <c r="A649">
        <v>1531</v>
      </c>
      <c r="B649">
        <v>64892</v>
      </c>
      <c r="C649">
        <v>0</v>
      </c>
      <c r="D649">
        <v>1</v>
      </c>
      <c r="E649">
        <v>77</v>
      </c>
      <c r="F649">
        <v>527</v>
      </c>
      <c r="G649">
        <v>24</v>
      </c>
      <c r="H649">
        <v>230</v>
      </c>
      <c r="I649">
        <v>32</v>
      </c>
      <c r="J649">
        <v>24</v>
      </c>
      <c r="K649">
        <v>65</v>
      </c>
      <c r="L649">
        <v>2</v>
      </c>
      <c r="M649">
        <v>6</v>
      </c>
      <c r="N649">
        <v>4</v>
      </c>
      <c r="O649">
        <v>12</v>
      </c>
      <c r="P649">
        <v>4</v>
      </c>
      <c r="Q649">
        <v>0</v>
      </c>
      <c r="R649">
        <v>0</v>
      </c>
      <c r="S649">
        <v>0</v>
      </c>
      <c r="T649">
        <v>0</v>
      </c>
      <c r="U649">
        <v>0</v>
      </c>
      <c r="V649">
        <f>IF(SUM(ifood_data[[#This Row],[AcceptedCmp1]:[AcceptedCmp5]])&gt;0,1,0)</f>
        <v>0</v>
      </c>
      <c r="W649">
        <v>0</v>
      </c>
      <c r="X649">
        <v>3</v>
      </c>
      <c r="Y649">
        <v>11</v>
      </c>
      <c r="Z649">
        <v>0</v>
      </c>
      <c r="AA649">
        <v>44</v>
      </c>
      <c r="AB649">
        <v>2190</v>
      </c>
      <c r="AC649" s="28">
        <f>ifood_data[[#This Row],[Customer_Days]]/365</f>
        <v>6</v>
      </c>
      <c r="AD649">
        <v>1</v>
      </c>
      <c r="AE649">
        <v>0</v>
      </c>
      <c r="AF649">
        <v>0</v>
      </c>
      <c r="AG649">
        <v>0</v>
      </c>
      <c r="AH649">
        <v>0</v>
      </c>
      <c r="AI649">
        <v>0</v>
      </c>
      <c r="AJ649">
        <v>0</v>
      </c>
      <c r="AK649">
        <v>1</v>
      </c>
      <c r="AL649">
        <v>0</v>
      </c>
      <c r="AM649">
        <v>0</v>
      </c>
      <c r="AN649">
        <v>837</v>
      </c>
      <c r="AO649">
        <v>772</v>
      </c>
      <c r="AP649">
        <f>ifood_data[[#This Row],[MntTotal]]-ifood_data[[#This Row],[MntRegularProds]]</f>
        <v>65</v>
      </c>
      <c r="AQ649">
        <v>0</v>
      </c>
      <c r="AR649">
        <f>IF(SUM(ifood_data[[#This Row],[Kidhome]:[Teenhome]])&gt;0,1,0)</f>
        <v>1</v>
      </c>
      <c r="AS649" t="str">
        <f>IF(SUM(ifood_data[[#This Row],[Kidhome]:[Teenhome]])&gt;0,"Has Family","No Family")</f>
        <v>Has Family</v>
      </c>
      <c r="AT649" t="str">
        <f>IF(ifood_data[[#This Row],[marital_Married]]=1,"Married", (IF(ifood_data[[#This Row],[marital_Single]]=1,"Single",(IF(ifood_data[[#This Row],[marital_Divorced]]=1,"Divorced",(IF(ifood_data[[#This Row],[marital_Together]]=1,"Living Together",(IF(ifood_data[[#This Row],[marital_Widow]]=1,"Widow","Other")))))))))</f>
        <v>Divorced</v>
      </c>
      <c r="AU649" t="str">
        <f>IF(ifood_data[[#This Row],[education_Basic]]=1,"High School",(IF(ifood_data[[#This Row],[education_Graduation]]=1,"Undergraduate Degree",(IF(SUM(AM649,AL649,AI649)&gt;0,"Master's Degree or Higher","Other")))))</f>
        <v>Undergraduate Degree</v>
      </c>
      <c r="AV649" t="str">
        <f>IF(ifood_data[[#All],[Income]]&gt;75000,"75K+",(IF(ifood_data[[#All],[Income]]&gt;50000,"50K-75K",(IF(ifood_data[[#All],[Income]]&gt;35000,"35K-50K","&lt;35K")))))</f>
        <v>50K-75K</v>
      </c>
      <c r="AW649" t="str">
        <f>IF(ifood_data[[#All],[Age]]&gt;60,"60+",(IF(ifood_data[[#All],[Age]]&gt;50,"50-60",(IF(ifood_data[[#All],[Age]]&gt;40,"40-50",(IF(ifood_data[[#All],[Age]]&gt;30,"30-40","&lt;30")))))))</f>
        <v>40-50</v>
      </c>
      <c r="AX649">
        <f t="shared" si="40"/>
        <v>28</v>
      </c>
      <c r="AY649">
        <f t="shared" si="41"/>
        <v>3.0000000000000004</v>
      </c>
      <c r="AZ649">
        <f t="shared" si="42"/>
        <v>8</v>
      </c>
      <c r="BA649">
        <f t="shared" si="43"/>
        <v>6</v>
      </c>
      <c r="BB649">
        <f>SUM(ifood_data[[#This Row],[Recency Score]:[Monetary Score]])</f>
        <v>17</v>
      </c>
      <c r="BC649">
        <f>(_xlfn.PERCENTRANK.INC(ifood_data[[#All],[RFM]],ifood_data[[#This Row],[RFM]],1))*10</f>
        <v>6</v>
      </c>
      <c r="BD649" t="str">
        <f>VLOOKUP(ifood_data[[#This Row],[RFM Score]],'RFM Analysis'!$A$3:$B$14,2,FALSE)</f>
        <v>Promising</v>
      </c>
      <c r="BE649">
        <f>'Regression Models'!$B$101+'Regression Models'!$B$102*ifood_data[[#This Row],[Income]]+'Regression Models'!$B$103*ifood_data[[#This Row],[Age]]+'Regression Models'!$B$104*ifood_data[[#This Row],[Family]]</f>
        <v>764.8357355750569</v>
      </c>
      <c r="BF649" t="str">
        <f>IF(ifood_data[[#This Row],[AcceptedCmpOverall]]=1,"Campaign Respondent","Non-respondent")</f>
        <v>Non-respondent</v>
      </c>
    </row>
    <row r="650" spans="1:58" x14ac:dyDescent="0.35">
      <c r="A650">
        <v>1761</v>
      </c>
      <c r="B650">
        <v>67472</v>
      </c>
      <c r="C650">
        <v>0</v>
      </c>
      <c r="D650">
        <v>1</v>
      </c>
      <c r="E650">
        <v>93</v>
      </c>
      <c r="F650">
        <v>162</v>
      </c>
      <c r="G650">
        <v>31</v>
      </c>
      <c r="H650">
        <v>127</v>
      </c>
      <c r="I650">
        <v>8</v>
      </c>
      <c r="J650">
        <v>17</v>
      </c>
      <c r="K650">
        <v>69</v>
      </c>
      <c r="L650">
        <v>2</v>
      </c>
      <c r="M650">
        <v>4</v>
      </c>
      <c r="N650">
        <v>2</v>
      </c>
      <c r="O650">
        <v>7</v>
      </c>
      <c r="P650">
        <v>3</v>
      </c>
      <c r="Q650">
        <v>0</v>
      </c>
      <c r="R650">
        <v>0</v>
      </c>
      <c r="S650">
        <v>0</v>
      </c>
      <c r="T650">
        <v>0</v>
      </c>
      <c r="U650">
        <v>0</v>
      </c>
      <c r="V650">
        <f>IF(SUM(ifood_data[[#This Row],[AcceptedCmp1]:[AcceptedCmp5]])&gt;0,1,0)</f>
        <v>0</v>
      </c>
      <c r="W650">
        <v>0</v>
      </c>
      <c r="X650">
        <v>3</v>
      </c>
      <c r="Y650">
        <v>11</v>
      </c>
      <c r="Z650">
        <v>0</v>
      </c>
      <c r="AA650">
        <v>73</v>
      </c>
      <c r="AB650">
        <v>2433</v>
      </c>
      <c r="AC650" s="28">
        <f>ifood_data[[#This Row],[Customer_Days]]/365</f>
        <v>6.6657534246575345</v>
      </c>
      <c r="AD650">
        <v>0</v>
      </c>
      <c r="AE650">
        <v>1</v>
      </c>
      <c r="AF650">
        <v>0</v>
      </c>
      <c r="AG650">
        <v>0</v>
      </c>
      <c r="AH650">
        <v>0</v>
      </c>
      <c r="AI650">
        <v>0</v>
      </c>
      <c r="AJ650">
        <v>0</v>
      </c>
      <c r="AK650">
        <v>0</v>
      </c>
      <c r="AL650">
        <v>0</v>
      </c>
      <c r="AM650">
        <v>1</v>
      </c>
      <c r="AN650">
        <v>345</v>
      </c>
      <c r="AO650">
        <v>276</v>
      </c>
      <c r="AP650">
        <f>ifood_data[[#This Row],[MntTotal]]-ifood_data[[#This Row],[MntRegularProds]]</f>
        <v>69</v>
      </c>
      <c r="AQ650">
        <v>0</v>
      </c>
      <c r="AR650">
        <f>IF(SUM(ifood_data[[#This Row],[Kidhome]:[Teenhome]])&gt;0,1,0)</f>
        <v>1</v>
      </c>
      <c r="AS650" t="str">
        <f>IF(SUM(ifood_data[[#This Row],[Kidhome]:[Teenhome]])&gt;0,"Has Family","No Family")</f>
        <v>Has Family</v>
      </c>
      <c r="AT650" t="str">
        <f>IF(ifood_data[[#This Row],[marital_Married]]=1,"Married", (IF(ifood_data[[#This Row],[marital_Single]]=1,"Single",(IF(ifood_data[[#This Row],[marital_Divorced]]=1,"Divorced",(IF(ifood_data[[#This Row],[marital_Together]]=1,"Living Together",(IF(ifood_data[[#This Row],[marital_Widow]]=1,"Widow","Other")))))))))</f>
        <v>Married</v>
      </c>
      <c r="AU650" t="str">
        <f>IF(ifood_data[[#This Row],[education_Basic]]=1,"High School",(IF(ifood_data[[#This Row],[education_Graduation]]=1,"Undergraduate Degree",(IF(SUM(AM650,AL650,AI650)&gt;0,"Master's Degree or Higher","Other")))))</f>
        <v>Master's Degree or Higher</v>
      </c>
      <c r="AV650" t="str">
        <f>IF(ifood_data[[#All],[Income]]&gt;75000,"75K+",(IF(ifood_data[[#All],[Income]]&gt;50000,"50K-75K",(IF(ifood_data[[#All],[Income]]&gt;35000,"35K-50K","&lt;35K")))))</f>
        <v>50K-75K</v>
      </c>
      <c r="AW650" t="str">
        <f>IF(ifood_data[[#All],[Age]]&gt;60,"60+",(IF(ifood_data[[#All],[Age]]&gt;50,"50-60",(IF(ifood_data[[#All],[Age]]&gt;40,"40-50",(IF(ifood_data[[#All],[Age]]&gt;30,"30-40","&lt;30")))))))</f>
        <v>60+</v>
      </c>
      <c r="AX650">
        <f t="shared" si="40"/>
        <v>18</v>
      </c>
      <c r="AY650">
        <f t="shared" si="41"/>
        <v>0.99999999999999978</v>
      </c>
      <c r="AZ650">
        <f t="shared" si="42"/>
        <v>4</v>
      </c>
      <c r="BA650">
        <f t="shared" si="43"/>
        <v>5</v>
      </c>
      <c r="BB650">
        <f>SUM(ifood_data[[#This Row],[Recency Score]:[Monetary Score]])</f>
        <v>10</v>
      </c>
      <c r="BC650">
        <f>(_xlfn.PERCENTRANK.INC(ifood_data[[#All],[RFM]],ifood_data[[#This Row],[RFM]],1))*10</f>
        <v>2</v>
      </c>
      <c r="BD650" t="str">
        <f>VLOOKUP(ifood_data[[#This Row],[RFM Score]],'RFM Analysis'!$A$3:$B$14,2,FALSE)</f>
        <v>At Risk</v>
      </c>
      <c r="BE650">
        <f>'Regression Models'!$B$101+'Regression Models'!$B$102*ifood_data[[#This Row],[Income]]+'Regression Models'!$B$103*ifood_data[[#This Row],[Age]]+'Regression Models'!$B$104*ifood_data[[#This Row],[Family]]</f>
        <v>764.18202409838193</v>
      </c>
      <c r="BF650" t="str">
        <f>IF(ifood_data[[#This Row],[AcceptedCmpOverall]]=1,"Campaign Respondent","Non-respondent")</f>
        <v>Non-respondent</v>
      </c>
    </row>
    <row r="651" spans="1:58" x14ac:dyDescent="0.35">
      <c r="A651">
        <v>1880</v>
      </c>
      <c r="B651">
        <v>67046</v>
      </c>
      <c r="C651">
        <v>0</v>
      </c>
      <c r="D651">
        <v>1</v>
      </c>
      <c r="E651">
        <v>92</v>
      </c>
      <c r="F651">
        <v>544</v>
      </c>
      <c r="G651">
        <v>35</v>
      </c>
      <c r="H651">
        <v>133</v>
      </c>
      <c r="I651">
        <v>23</v>
      </c>
      <c r="J651">
        <v>151</v>
      </c>
      <c r="K651">
        <v>107</v>
      </c>
      <c r="L651">
        <v>2</v>
      </c>
      <c r="M651">
        <v>4</v>
      </c>
      <c r="N651">
        <v>5</v>
      </c>
      <c r="O651">
        <v>4</v>
      </c>
      <c r="P651">
        <v>2</v>
      </c>
      <c r="Q651">
        <v>0</v>
      </c>
      <c r="R651">
        <v>0</v>
      </c>
      <c r="S651">
        <v>0</v>
      </c>
      <c r="T651">
        <v>0</v>
      </c>
      <c r="U651">
        <v>0</v>
      </c>
      <c r="V651">
        <f>IF(SUM(ifood_data[[#This Row],[AcceptedCmp1]:[AcceptedCmp5]])&gt;0,1,0)</f>
        <v>0</v>
      </c>
      <c r="W651">
        <v>0</v>
      </c>
      <c r="X651">
        <v>3</v>
      </c>
      <c r="Y651">
        <v>11</v>
      </c>
      <c r="Z651">
        <v>0</v>
      </c>
      <c r="AA651">
        <v>69</v>
      </c>
      <c r="AB651">
        <v>2698</v>
      </c>
      <c r="AC651" s="28">
        <f>ifood_data[[#This Row],[Customer_Days]]/365</f>
        <v>7.3917808219178083</v>
      </c>
      <c r="AD651">
        <v>0</v>
      </c>
      <c r="AE651">
        <v>0</v>
      </c>
      <c r="AF651">
        <v>0</v>
      </c>
      <c r="AG651">
        <v>0</v>
      </c>
      <c r="AH651">
        <v>1</v>
      </c>
      <c r="AI651">
        <v>0</v>
      </c>
      <c r="AJ651">
        <v>0</v>
      </c>
      <c r="AK651">
        <v>1</v>
      </c>
      <c r="AL651">
        <v>0</v>
      </c>
      <c r="AM651">
        <v>0</v>
      </c>
      <c r="AN651">
        <v>886</v>
      </c>
      <c r="AO651">
        <v>779</v>
      </c>
      <c r="AP651">
        <f>ifood_data[[#This Row],[MntTotal]]-ifood_data[[#This Row],[MntRegularProds]]</f>
        <v>107</v>
      </c>
      <c r="AQ651">
        <v>0</v>
      </c>
      <c r="AR651">
        <f>IF(SUM(ifood_data[[#This Row],[Kidhome]:[Teenhome]])&gt;0,1,0)</f>
        <v>1</v>
      </c>
      <c r="AS651" t="str">
        <f>IF(SUM(ifood_data[[#This Row],[Kidhome]:[Teenhome]])&gt;0,"Has Family","No Family")</f>
        <v>Has Family</v>
      </c>
      <c r="AT651" t="str">
        <f>IF(ifood_data[[#This Row],[marital_Married]]=1,"Married", (IF(ifood_data[[#This Row],[marital_Single]]=1,"Single",(IF(ifood_data[[#This Row],[marital_Divorced]]=1,"Divorced",(IF(ifood_data[[#This Row],[marital_Together]]=1,"Living Together",(IF(ifood_data[[#This Row],[marital_Widow]]=1,"Widow","Other")))))))))</f>
        <v>Widow</v>
      </c>
      <c r="AU651" t="str">
        <f>IF(ifood_data[[#This Row],[education_Basic]]=1,"High School",(IF(ifood_data[[#This Row],[education_Graduation]]=1,"Undergraduate Degree",(IF(SUM(AM651,AL651,AI651)&gt;0,"Master's Degree or Higher","Other")))))</f>
        <v>Undergraduate Degree</v>
      </c>
      <c r="AV651" t="str">
        <f>IF(ifood_data[[#All],[Income]]&gt;75000,"75K+",(IF(ifood_data[[#All],[Income]]&gt;50000,"50K-75K",(IF(ifood_data[[#All],[Income]]&gt;35000,"35K-50K","&lt;35K")))))</f>
        <v>50K-75K</v>
      </c>
      <c r="AW651" t="str">
        <f>IF(ifood_data[[#All],[Age]]&gt;60,"60+",(IF(ifood_data[[#All],[Age]]&gt;50,"50-60",(IF(ifood_data[[#All],[Age]]&gt;40,"40-50",(IF(ifood_data[[#All],[Age]]&gt;30,"30-40","&lt;30")))))))</f>
        <v>60+</v>
      </c>
      <c r="AX651">
        <f t="shared" si="40"/>
        <v>17</v>
      </c>
      <c r="AY651">
        <f t="shared" si="41"/>
        <v>0.99999999999999978</v>
      </c>
      <c r="AZ651">
        <f t="shared" si="42"/>
        <v>3</v>
      </c>
      <c r="BA651">
        <f t="shared" si="43"/>
        <v>7</v>
      </c>
      <c r="BB651">
        <f>SUM(ifood_data[[#This Row],[Recency Score]:[Monetary Score]])</f>
        <v>11</v>
      </c>
      <c r="BC651">
        <f>(_xlfn.PERCENTRANK.INC(ifood_data[[#All],[RFM]],ifood_data[[#This Row],[RFM]],1))*10</f>
        <v>2</v>
      </c>
      <c r="BD651" t="str">
        <f>VLOOKUP(ifood_data[[#This Row],[RFM Score]],'RFM Analysis'!$A$3:$B$14,2,FALSE)</f>
        <v>At Risk</v>
      </c>
      <c r="BE651">
        <f>'Regression Models'!$B$101+'Regression Models'!$B$102*ifood_data[[#This Row],[Income]]+'Regression Models'!$B$103*ifood_data[[#This Row],[Age]]+'Regression Models'!$B$104*ifood_data[[#This Row],[Family]]</f>
        <v>762.8421651846578</v>
      </c>
      <c r="BF651" t="str">
        <f>IF(ifood_data[[#This Row],[AcceptedCmpOverall]]=1,"Campaign Respondent","Non-respondent")</f>
        <v>Non-respondent</v>
      </c>
    </row>
    <row r="652" spans="1:58" x14ac:dyDescent="0.35">
      <c r="A652">
        <v>1685</v>
      </c>
      <c r="B652">
        <v>65735</v>
      </c>
      <c r="C652">
        <v>1</v>
      </c>
      <c r="D652">
        <v>1</v>
      </c>
      <c r="E652">
        <v>37</v>
      </c>
      <c r="F652">
        <v>239</v>
      </c>
      <c r="G652">
        <v>7</v>
      </c>
      <c r="H652">
        <v>119</v>
      </c>
      <c r="I652">
        <v>4</v>
      </c>
      <c r="J652">
        <v>15</v>
      </c>
      <c r="K652">
        <v>11</v>
      </c>
      <c r="L652">
        <v>5</v>
      </c>
      <c r="M652">
        <v>6</v>
      </c>
      <c r="N652">
        <v>2</v>
      </c>
      <c r="O652">
        <v>6</v>
      </c>
      <c r="P652">
        <v>7</v>
      </c>
      <c r="Q652">
        <v>0</v>
      </c>
      <c r="R652">
        <v>0</v>
      </c>
      <c r="S652">
        <v>0</v>
      </c>
      <c r="T652">
        <v>0</v>
      </c>
      <c r="U652">
        <v>0</v>
      </c>
      <c r="V652">
        <f>IF(SUM(ifood_data[[#This Row],[AcceptedCmp1]:[AcceptedCmp5]])&gt;0,1,0)</f>
        <v>0</v>
      </c>
      <c r="W652">
        <v>0</v>
      </c>
      <c r="X652">
        <v>3</v>
      </c>
      <c r="Y652">
        <v>11</v>
      </c>
      <c r="Z652">
        <v>0</v>
      </c>
      <c r="AA652">
        <v>55</v>
      </c>
      <c r="AB652">
        <v>2363</v>
      </c>
      <c r="AC652" s="28">
        <f>ifood_data[[#This Row],[Customer_Days]]/365</f>
        <v>6.4739726027397264</v>
      </c>
      <c r="AD652">
        <v>0</v>
      </c>
      <c r="AE652">
        <v>0</v>
      </c>
      <c r="AF652">
        <v>0</v>
      </c>
      <c r="AG652">
        <v>1</v>
      </c>
      <c r="AH652">
        <v>0</v>
      </c>
      <c r="AI652">
        <v>0</v>
      </c>
      <c r="AJ652">
        <v>0</v>
      </c>
      <c r="AK652">
        <v>0</v>
      </c>
      <c r="AL652">
        <v>1</v>
      </c>
      <c r="AM652">
        <v>0</v>
      </c>
      <c r="AN652">
        <v>384</v>
      </c>
      <c r="AO652">
        <v>373</v>
      </c>
      <c r="AP652">
        <f>ifood_data[[#This Row],[MntTotal]]-ifood_data[[#This Row],[MntRegularProds]]</f>
        <v>11</v>
      </c>
      <c r="AQ652">
        <v>0</v>
      </c>
      <c r="AR652">
        <f>IF(SUM(ifood_data[[#This Row],[Kidhome]:[Teenhome]])&gt;0,1,0)</f>
        <v>1</v>
      </c>
      <c r="AS652" t="str">
        <f>IF(SUM(ifood_data[[#This Row],[Kidhome]:[Teenhome]])&gt;0,"Has Family","No Family")</f>
        <v>Has Family</v>
      </c>
      <c r="AT652" t="str">
        <f>IF(ifood_data[[#This Row],[marital_Married]]=1,"Married", (IF(ifood_data[[#This Row],[marital_Single]]=1,"Single",(IF(ifood_data[[#This Row],[marital_Divorced]]=1,"Divorced",(IF(ifood_data[[#This Row],[marital_Together]]=1,"Living Together",(IF(ifood_data[[#This Row],[marital_Widow]]=1,"Widow","Other")))))))))</f>
        <v>Living Together</v>
      </c>
      <c r="AU652" t="str">
        <f>IF(ifood_data[[#This Row],[education_Basic]]=1,"High School",(IF(ifood_data[[#This Row],[education_Graduation]]=1,"Undergraduate Degree",(IF(SUM(AM652,AL652,AI652)&gt;0,"Master's Degree or Higher","Other")))))</f>
        <v>Master's Degree or Higher</v>
      </c>
      <c r="AV652" t="str">
        <f>IF(ifood_data[[#All],[Income]]&gt;75000,"75K+",(IF(ifood_data[[#All],[Income]]&gt;50000,"50K-75K",(IF(ifood_data[[#All],[Income]]&gt;35000,"35K-50K","&lt;35K")))))</f>
        <v>50K-75K</v>
      </c>
      <c r="AW652" t="str">
        <f>IF(ifood_data[[#All],[Age]]&gt;60,"60+",(IF(ifood_data[[#All],[Age]]&gt;50,"50-60",(IF(ifood_data[[#All],[Age]]&gt;40,"40-50",(IF(ifood_data[[#All],[Age]]&gt;30,"30-40","&lt;30")))))))</f>
        <v>50-60</v>
      </c>
      <c r="AX652">
        <f t="shared" si="40"/>
        <v>26</v>
      </c>
      <c r="AY652">
        <f t="shared" si="41"/>
        <v>7</v>
      </c>
      <c r="AZ652">
        <f t="shared" si="42"/>
        <v>7</v>
      </c>
      <c r="BA652">
        <f t="shared" si="43"/>
        <v>5</v>
      </c>
      <c r="BB652">
        <f>SUM(ifood_data[[#This Row],[Recency Score]:[Monetary Score]])</f>
        <v>19</v>
      </c>
      <c r="BC652">
        <f>(_xlfn.PERCENTRANK.INC(ifood_data[[#All],[RFM]],ifood_data[[#This Row],[RFM]],1))*10</f>
        <v>7</v>
      </c>
      <c r="BD652" t="str">
        <f>VLOOKUP(ifood_data[[#This Row],[RFM Score]],'RFM Analysis'!$A$3:$B$14,2,FALSE)</f>
        <v>Loyal Customer</v>
      </c>
      <c r="BE652">
        <f>'Regression Models'!$B$101+'Regression Models'!$B$102*ifood_data[[#This Row],[Income]]+'Regression Models'!$B$103*ifood_data[[#This Row],[Age]]+'Regression Models'!$B$104*ifood_data[[#This Row],[Family]]</f>
        <v>761.82263725252653</v>
      </c>
      <c r="BF652" t="str">
        <f>IF(ifood_data[[#This Row],[AcceptedCmpOverall]]=1,"Campaign Respondent","Non-respondent")</f>
        <v>Non-respondent</v>
      </c>
    </row>
    <row r="653" spans="1:58" x14ac:dyDescent="0.35">
      <c r="A653">
        <v>501</v>
      </c>
      <c r="B653">
        <v>50353</v>
      </c>
      <c r="C653">
        <v>0</v>
      </c>
      <c r="D653">
        <v>0</v>
      </c>
      <c r="E653">
        <v>72</v>
      </c>
      <c r="F653">
        <v>141</v>
      </c>
      <c r="G653">
        <v>15</v>
      </c>
      <c r="H653">
        <v>153</v>
      </c>
      <c r="I653">
        <v>67</v>
      </c>
      <c r="J653">
        <v>31</v>
      </c>
      <c r="K653">
        <v>35</v>
      </c>
      <c r="L653">
        <v>1</v>
      </c>
      <c r="M653">
        <v>4</v>
      </c>
      <c r="N653">
        <v>4</v>
      </c>
      <c r="O653">
        <v>6</v>
      </c>
      <c r="P653">
        <v>3</v>
      </c>
      <c r="Q653">
        <v>0</v>
      </c>
      <c r="R653">
        <v>0</v>
      </c>
      <c r="S653">
        <v>0</v>
      </c>
      <c r="T653">
        <v>0</v>
      </c>
      <c r="U653">
        <v>0</v>
      </c>
      <c r="V653">
        <f>IF(SUM(ifood_data[[#This Row],[AcceptedCmp1]:[AcceptedCmp5]])&gt;0,1,0)</f>
        <v>0</v>
      </c>
      <c r="W653">
        <v>0</v>
      </c>
      <c r="X653">
        <v>3</v>
      </c>
      <c r="Y653">
        <v>11</v>
      </c>
      <c r="Z653">
        <v>0</v>
      </c>
      <c r="AA653">
        <v>43</v>
      </c>
      <c r="AB653">
        <v>2180</v>
      </c>
      <c r="AC653" s="28">
        <f>ifood_data[[#This Row],[Customer_Days]]/365</f>
        <v>5.9726027397260273</v>
      </c>
      <c r="AD653">
        <v>0</v>
      </c>
      <c r="AE653">
        <v>1</v>
      </c>
      <c r="AF653">
        <v>0</v>
      </c>
      <c r="AG653">
        <v>0</v>
      </c>
      <c r="AH653">
        <v>0</v>
      </c>
      <c r="AI653">
        <v>0</v>
      </c>
      <c r="AJ653">
        <v>0</v>
      </c>
      <c r="AK653">
        <v>0</v>
      </c>
      <c r="AL653">
        <v>1</v>
      </c>
      <c r="AM653">
        <v>0</v>
      </c>
      <c r="AN653">
        <v>407</v>
      </c>
      <c r="AO653">
        <v>372</v>
      </c>
      <c r="AP653">
        <f>ifood_data[[#This Row],[MntTotal]]-ifood_data[[#This Row],[MntRegularProds]]</f>
        <v>35</v>
      </c>
      <c r="AQ653">
        <v>0</v>
      </c>
      <c r="AR653">
        <f>IF(SUM(ifood_data[[#This Row],[Kidhome]:[Teenhome]])&gt;0,1,0)</f>
        <v>0</v>
      </c>
      <c r="AS653" t="str">
        <f>IF(SUM(ifood_data[[#This Row],[Kidhome]:[Teenhome]])&gt;0,"Has Family","No Family")</f>
        <v>No Family</v>
      </c>
      <c r="AT653" t="str">
        <f>IF(ifood_data[[#This Row],[marital_Married]]=1,"Married", (IF(ifood_data[[#This Row],[marital_Single]]=1,"Single",(IF(ifood_data[[#This Row],[marital_Divorced]]=1,"Divorced",(IF(ifood_data[[#This Row],[marital_Together]]=1,"Living Together",(IF(ifood_data[[#This Row],[marital_Widow]]=1,"Widow","Other")))))))))</f>
        <v>Married</v>
      </c>
      <c r="AU653" t="str">
        <f>IF(ifood_data[[#This Row],[education_Basic]]=1,"High School",(IF(ifood_data[[#This Row],[education_Graduation]]=1,"Undergraduate Degree",(IF(SUM(AM653,AL653,AI653)&gt;0,"Master's Degree or Higher","Other")))))</f>
        <v>Master's Degree or Higher</v>
      </c>
      <c r="AV653" t="str">
        <f>IF(ifood_data[[#All],[Income]]&gt;75000,"75K+",(IF(ifood_data[[#All],[Income]]&gt;50000,"50K-75K",(IF(ifood_data[[#All],[Income]]&gt;35000,"35K-50K","&lt;35K")))))</f>
        <v>50K-75K</v>
      </c>
      <c r="AW653" t="str">
        <f>IF(ifood_data[[#All],[Age]]&gt;60,"60+",(IF(ifood_data[[#All],[Age]]&gt;50,"50-60",(IF(ifood_data[[#All],[Age]]&gt;40,"40-50",(IF(ifood_data[[#All],[Age]]&gt;30,"30-40","&lt;30")))))))</f>
        <v>40-50</v>
      </c>
      <c r="AX653">
        <f t="shared" si="40"/>
        <v>18</v>
      </c>
      <c r="AY653">
        <f t="shared" si="41"/>
        <v>3.0000000000000004</v>
      </c>
      <c r="AZ653">
        <f t="shared" si="42"/>
        <v>4</v>
      </c>
      <c r="BA653">
        <f t="shared" si="43"/>
        <v>5</v>
      </c>
      <c r="BB653">
        <f>SUM(ifood_data[[#This Row],[Recency Score]:[Monetary Score]])</f>
        <v>12</v>
      </c>
      <c r="BC653">
        <f>(_xlfn.PERCENTRANK.INC(ifood_data[[#All],[RFM]],ifood_data[[#This Row],[RFM]],1))*10</f>
        <v>3</v>
      </c>
      <c r="BD653" t="str">
        <f>VLOOKUP(ifood_data[[#This Row],[RFM Score]],'RFM Analysis'!$A$3:$B$14,2,FALSE)</f>
        <v>At Risk</v>
      </c>
      <c r="BE653">
        <f>'Regression Models'!$B$101+'Regression Models'!$B$102*ifood_data[[#This Row],[Income]]+'Regression Models'!$B$103*ifood_data[[#This Row],[Age]]+'Regression Models'!$B$104*ifood_data[[#This Row],[Family]]</f>
        <v>759.85350568282047</v>
      </c>
      <c r="BF653" t="str">
        <f>IF(ifood_data[[#This Row],[AcceptedCmpOverall]]=1,"Campaign Respondent","Non-respondent")</f>
        <v>Non-respondent</v>
      </c>
    </row>
    <row r="654" spans="1:58" x14ac:dyDescent="0.35">
      <c r="A654">
        <v>390</v>
      </c>
      <c r="B654">
        <v>66465</v>
      </c>
      <c r="C654">
        <v>0</v>
      </c>
      <c r="D654">
        <v>1</v>
      </c>
      <c r="E654">
        <v>1</v>
      </c>
      <c r="F654">
        <v>1200</v>
      </c>
      <c r="G654">
        <v>0</v>
      </c>
      <c r="H654">
        <v>204</v>
      </c>
      <c r="I654">
        <v>38</v>
      </c>
      <c r="J654">
        <v>29</v>
      </c>
      <c r="K654">
        <v>14</v>
      </c>
      <c r="L654">
        <v>3</v>
      </c>
      <c r="M654">
        <v>11</v>
      </c>
      <c r="N654">
        <v>9</v>
      </c>
      <c r="O654">
        <v>12</v>
      </c>
      <c r="P654">
        <v>6</v>
      </c>
      <c r="Q654">
        <v>1</v>
      </c>
      <c r="R654">
        <v>0</v>
      </c>
      <c r="S654">
        <v>0</v>
      </c>
      <c r="T654">
        <v>0</v>
      </c>
      <c r="U654">
        <v>0</v>
      </c>
      <c r="V654">
        <f>IF(SUM(ifood_data[[#This Row],[AcceptedCmp1]:[AcceptedCmp5]])&gt;0,1,0)</f>
        <v>1</v>
      </c>
      <c r="W654">
        <v>0</v>
      </c>
      <c r="X654">
        <v>3</v>
      </c>
      <c r="Y654">
        <v>11</v>
      </c>
      <c r="Z654">
        <v>0</v>
      </c>
      <c r="AA654">
        <v>65</v>
      </c>
      <c r="AB654">
        <v>2615</v>
      </c>
      <c r="AC654" s="28">
        <f>ifood_data[[#This Row],[Customer_Days]]/365</f>
        <v>7.1643835616438354</v>
      </c>
      <c r="AD654">
        <v>0</v>
      </c>
      <c r="AE654">
        <v>1</v>
      </c>
      <c r="AF654">
        <v>0</v>
      </c>
      <c r="AG654">
        <v>0</v>
      </c>
      <c r="AH654">
        <v>0</v>
      </c>
      <c r="AI654">
        <v>0</v>
      </c>
      <c r="AJ654">
        <v>0</v>
      </c>
      <c r="AK654">
        <v>0</v>
      </c>
      <c r="AL654">
        <v>0</v>
      </c>
      <c r="AM654">
        <v>1</v>
      </c>
      <c r="AN654">
        <v>1471</v>
      </c>
      <c r="AO654">
        <v>1457</v>
      </c>
      <c r="AP654">
        <f>ifood_data[[#This Row],[MntTotal]]-ifood_data[[#This Row],[MntRegularProds]]</f>
        <v>14</v>
      </c>
      <c r="AQ654">
        <v>1</v>
      </c>
      <c r="AR654">
        <f>IF(SUM(ifood_data[[#This Row],[Kidhome]:[Teenhome]])&gt;0,1,0)</f>
        <v>1</v>
      </c>
      <c r="AS654" t="str">
        <f>IF(SUM(ifood_data[[#This Row],[Kidhome]:[Teenhome]])&gt;0,"Has Family","No Family")</f>
        <v>Has Family</v>
      </c>
      <c r="AT654" t="str">
        <f>IF(ifood_data[[#This Row],[marital_Married]]=1,"Married", (IF(ifood_data[[#This Row],[marital_Single]]=1,"Single",(IF(ifood_data[[#This Row],[marital_Divorced]]=1,"Divorced",(IF(ifood_data[[#This Row],[marital_Together]]=1,"Living Together",(IF(ifood_data[[#This Row],[marital_Widow]]=1,"Widow","Other")))))))))</f>
        <v>Married</v>
      </c>
      <c r="AU654" t="str">
        <f>IF(ifood_data[[#This Row],[education_Basic]]=1,"High School",(IF(ifood_data[[#This Row],[education_Graduation]]=1,"Undergraduate Degree",(IF(SUM(AM654,AL654,AI654)&gt;0,"Master's Degree or Higher","Other")))))</f>
        <v>Master's Degree or Higher</v>
      </c>
      <c r="AV654" t="str">
        <f>IF(ifood_data[[#All],[Income]]&gt;75000,"75K+",(IF(ifood_data[[#All],[Income]]&gt;50000,"50K-75K",(IF(ifood_data[[#All],[Income]]&gt;35000,"35K-50K","&lt;35K")))))</f>
        <v>50K-75K</v>
      </c>
      <c r="AW654" t="str">
        <f>IF(ifood_data[[#All],[Age]]&gt;60,"60+",(IF(ifood_data[[#All],[Age]]&gt;50,"50-60",(IF(ifood_data[[#All],[Age]]&gt;40,"40-50",(IF(ifood_data[[#All],[Age]]&gt;30,"30-40","&lt;30")))))))</f>
        <v>60+</v>
      </c>
      <c r="AX654">
        <f t="shared" si="40"/>
        <v>41</v>
      </c>
      <c r="AY654">
        <f t="shared" si="41"/>
        <v>10</v>
      </c>
      <c r="AZ654">
        <f t="shared" si="42"/>
        <v>9</v>
      </c>
      <c r="BA654">
        <f t="shared" si="43"/>
        <v>9</v>
      </c>
      <c r="BB654">
        <f>SUM(ifood_data[[#This Row],[Recency Score]:[Monetary Score]])</f>
        <v>28</v>
      </c>
      <c r="BC654">
        <f>(_xlfn.PERCENTRANK.INC(ifood_data[[#All],[RFM]],ifood_data[[#This Row],[RFM]],1))*10</f>
        <v>9</v>
      </c>
      <c r="BD654" t="str">
        <f>VLOOKUP(ifood_data[[#This Row],[RFM Score]],'RFM Analysis'!$A$3:$B$14,2,FALSE)</f>
        <v>Top Customer</v>
      </c>
      <c r="BE654">
        <f>'Regression Models'!$B$101+'Regression Models'!$B$102*ifood_data[[#This Row],[Income]]+'Regression Models'!$B$103*ifood_data[[#This Row],[Age]]+'Regression Models'!$B$104*ifood_data[[#This Row],[Family]]</f>
        <v>758.34204720862988</v>
      </c>
      <c r="BF654" t="str">
        <f>IF(ifood_data[[#This Row],[AcceptedCmpOverall]]=1,"Campaign Respondent","Non-respondent")</f>
        <v>Campaign Respondent</v>
      </c>
    </row>
    <row r="655" spans="1:58" x14ac:dyDescent="0.35">
      <c r="A655">
        <v>234</v>
      </c>
      <c r="B655">
        <v>65176</v>
      </c>
      <c r="C655">
        <v>0</v>
      </c>
      <c r="D655">
        <v>1</v>
      </c>
      <c r="E655">
        <v>57</v>
      </c>
      <c r="F655">
        <v>960</v>
      </c>
      <c r="G655">
        <v>28</v>
      </c>
      <c r="H655">
        <v>183</v>
      </c>
      <c r="I655">
        <v>220</v>
      </c>
      <c r="J655">
        <v>70</v>
      </c>
      <c r="K655">
        <v>70</v>
      </c>
      <c r="L655">
        <v>4</v>
      </c>
      <c r="M655">
        <v>9</v>
      </c>
      <c r="N655">
        <v>6</v>
      </c>
      <c r="O655">
        <v>6</v>
      </c>
      <c r="P655">
        <v>6</v>
      </c>
      <c r="Q655">
        <v>0</v>
      </c>
      <c r="R655">
        <v>0</v>
      </c>
      <c r="S655">
        <v>0</v>
      </c>
      <c r="T655">
        <v>0</v>
      </c>
      <c r="U655">
        <v>0</v>
      </c>
      <c r="V655">
        <f>IF(SUM(ifood_data[[#This Row],[AcceptedCmp1]:[AcceptedCmp5]])&gt;0,1,0)</f>
        <v>0</v>
      </c>
      <c r="W655">
        <v>0</v>
      </c>
      <c r="X655">
        <v>3</v>
      </c>
      <c r="Y655">
        <v>11</v>
      </c>
      <c r="Z655">
        <v>0</v>
      </c>
      <c r="AA655">
        <v>51</v>
      </c>
      <c r="AB655">
        <v>2767</v>
      </c>
      <c r="AC655" s="28">
        <f>ifood_data[[#This Row],[Customer_Days]]/365</f>
        <v>7.580821917808219</v>
      </c>
      <c r="AD655">
        <v>0</v>
      </c>
      <c r="AE655">
        <v>0</v>
      </c>
      <c r="AF655">
        <v>0</v>
      </c>
      <c r="AG655">
        <v>1</v>
      </c>
      <c r="AH655">
        <v>0</v>
      </c>
      <c r="AI655">
        <v>0</v>
      </c>
      <c r="AJ655">
        <v>0</v>
      </c>
      <c r="AK655">
        <v>0</v>
      </c>
      <c r="AL655">
        <v>1</v>
      </c>
      <c r="AM655">
        <v>0</v>
      </c>
      <c r="AN655">
        <v>1461</v>
      </c>
      <c r="AO655">
        <v>1391</v>
      </c>
      <c r="AP655">
        <f>ifood_data[[#This Row],[MntTotal]]-ifood_data[[#This Row],[MntRegularProds]]</f>
        <v>70</v>
      </c>
      <c r="AQ655">
        <v>0</v>
      </c>
      <c r="AR655">
        <f>IF(SUM(ifood_data[[#This Row],[Kidhome]:[Teenhome]])&gt;0,1,0)</f>
        <v>1</v>
      </c>
      <c r="AS655" t="str">
        <f>IF(SUM(ifood_data[[#This Row],[Kidhome]:[Teenhome]])&gt;0,"Has Family","No Family")</f>
        <v>Has Family</v>
      </c>
      <c r="AT655" t="str">
        <f>IF(ifood_data[[#This Row],[marital_Married]]=1,"Married", (IF(ifood_data[[#This Row],[marital_Single]]=1,"Single",(IF(ifood_data[[#This Row],[marital_Divorced]]=1,"Divorced",(IF(ifood_data[[#This Row],[marital_Together]]=1,"Living Together",(IF(ifood_data[[#This Row],[marital_Widow]]=1,"Widow","Other")))))))))</f>
        <v>Living Together</v>
      </c>
      <c r="AU655" t="str">
        <f>IF(ifood_data[[#This Row],[education_Basic]]=1,"High School",(IF(ifood_data[[#This Row],[education_Graduation]]=1,"Undergraduate Degree",(IF(SUM(AM655,AL655,AI655)&gt;0,"Master's Degree or Higher","Other")))))</f>
        <v>Master's Degree or Higher</v>
      </c>
      <c r="AV655" t="str">
        <f>IF(ifood_data[[#All],[Income]]&gt;75000,"75K+",(IF(ifood_data[[#All],[Income]]&gt;50000,"50K-75K",(IF(ifood_data[[#All],[Income]]&gt;35000,"35K-50K","&lt;35K")))))</f>
        <v>50K-75K</v>
      </c>
      <c r="AW655" t="str">
        <f>IF(ifood_data[[#All],[Age]]&gt;60,"60+",(IF(ifood_data[[#All],[Age]]&gt;50,"50-60",(IF(ifood_data[[#All],[Age]]&gt;40,"40-50",(IF(ifood_data[[#All],[Age]]&gt;30,"30-40","&lt;30")))))))</f>
        <v>50-60</v>
      </c>
      <c r="AX655">
        <f t="shared" si="40"/>
        <v>31</v>
      </c>
      <c r="AY655">
        <f t="shared" si="41"/>
        <v>5</v>
      </c>
      <c r="AZ655">
        <f t="shared" si="42"/>
        <v>9</v>
      </c>
      <c r="BA655">
        <f t="shared" si="43"/>
        <v>8</v>
      </c>
      <c r="BB655">
        <f>SUM(ifood_data[[#This Row],[Recency Score]:[Monetary Score]])</f>
        <v>22</v>
      </c>
      <c r="BC655">
        <f>(_xlfn.PERCENTRANK.INC(ifood_data[[#All],[RFM]],ifood_data[[#This Row],[RFM]],1))*10</f>
        <v>8</v>
      </c>
      <c r="BD655" t="str">
        <f>VLOOKUP(ifood_data[[#This Row],[RFM Score]],'RFM Analysis'!$A$3:$B$14,2,FALSE)</f>
        <v>Loyal Customer</v>
      </c>
      <c r="BE655">
        <f>'Regression Models'!$B$101+'Regression Models'!$B$102*ifood_data[[#This Row],[Income]]+'Regression Models'!$B$103*ifood_data[[#This Row],[Age]]+'Regression Models'!$B$104*ifood_data[[#This Row],[Family]]</f>
        <v>757.77107217566402</v>
      </c>
      <c r="BF655" t="str">
        <f>IF(ifood_data[[#This Row],[AcceptedCmpOverall]]=1,"Campaign Respondent","Non-respondent")</f>
        <v>Non-respondent</v>
      </c>
    </row>
    <row r="656" spans="1:58" x14ac:dyDescent="0.35">
      <c r="A656">
        <v>313</v>
      </c>
      <c r="B656">
        <v>66334</v>
      </c>
      <c r="C656">
        <v>0</v>
      </c>
      <c r="D656">
        <v>1</v>
      </c>
      <c r="E656">
        <v>82</v>
      </c>
      <c r="F656">
        <v>909</v>
      </c>
      <c r="G656">
        <v>11</v>
      </c>
      <c r="H656">
        <v>218</v>
      </c>
      <c r="I656">
        <v>0</v>
      </c>
      <c r="J656">
        <v>0</v>
      </c>
      <c r="K656">
        <v>23</v>
      </c>
      <c r="L656">
        <v>2</v>
      </c>
      <c r="M656">
        <v>9</v>
      </c>
      <c r="N656">
        <v>3</v>
      </c>
      <c r="O656">
        <v>5</v>
      </c>
      <c r="P656">
        <v>5</v>
      </c>
      <c r="Q656">
        <v>0</v>
      </c>
      <c r="R656">
        <v>0</v>
      </c>
      <c r="S656">
        <v>0</v>
      </c>
      <c r="T656">
        <v>0</v>
      </c>
      <c r="U656">
        <v>0</v>
      </c>
      <c r="V656">
        <f>IF(SUM(ifood_data[[#This Row],[AcceptedCmp1]:[AcceptedCmp5]])&gt;0,1,0)</f>
        <v>0</v>
      </c>
      <c r="W656">
        <v>0</v>
      </c>
      <c r="X656">
        <v>3</v>
      </c>
      <c r="Y656">
        <v>11</v>
      </c>
      <c r="Z656">
        <v>1</v>
      </c>
      <c r="AA656">
        <v>64</v>
      </c>
      <c r="AB656">
        <v>2611</v>
      </c>
      <c r="AC656" s="28">
        <f>ifood_data[[#This Row],[Customer_Days]]/365</f>
        <v>7.1534246575342468</v>
      </c>
      <c r="AD656">
        <v>0</v>
      </c>
      <c r="AE656">
        <v>1</v>
      </c>
      <c r="AF656">
        <v>0</v>
      </c>
      <c r="AG656">
        <v>0</v>
      </c>
      <c r="AH656">
        <v>0</v>
      </c>
      <c r="AI656">
        <v>0</v>
      </c>
      <c r="AJ656">
        <v>0</v>
      </c>
      <c r="AK656">
        <v>0</v>
      </c>
      <c r="AL656">
        <v>0</v>
      </c>
      <c r="AM656">
        <v>1</v>
      </c>
      <c r="AN656">
        <v>1138</v>
      </c>
      <c r="AO656">
        <v>1115</v>
      </c>
      <c r="AP656">
        <f>ifood_data[[#This Row],[MntTotal]]-ifood_data[[#This Row],[MntRegularProds]]</f>
        <v>23</v>
      </c>
      <c r="AQ656">
        <v>0</v>
      </c>
      <c r="AR656">
        <f>IF(SUM(ifood_data[[#This Row],[Kidhome]:[Teenhome]])&gt;0,1,0)</f>
        <v>1</v>
      </c>
      <c r="AS656" t="str">
        <f>IF(SUM(ifood_data[[#This Row],[Kidhome]:[Teenhome]])&gt;0,"Has Family","No Family")</f>
        <v>Has Family</v>
      </c>
      <c r="AT656" t="str">
        <f>IF(ifood_data[[#This Row],[marital_Married]]=1,"Married", (IF(ifood_data[[#This Row],[marital_Single]]=1,"Single",(IF(ifood_data[[#This Row],[marital_Divorced]]=1,"Divorced",(IF(ifood_data[[#This Row],[marital_Together]]=1,"Living Together",(IF(ifood_data[[#This Row],[marital_Widow]]=1,"Widow","Other")))))))))</f>
        <v>Married</v>
      </c>
      <c r="AU656" t="str">
        <f>IF(ifood_data[[#This Row],[education_Basic]]=1,"High School",(IF(ifood_data[[#This Row],[education_Graduation]]=1,"Undergraduate Degree",(IF(SUM(AM656,AL656,AI656)&gt;0,"Master's Degree or Higher","Other")))))</f>
        <v>Master's Degree or Higher</v>
      </c>
      <c r="AV656" t="str">
        <f>IF(ifood_data[[#All],[Income]]&gt;75000,"75K+",(IF(ifood_data[[#All],[Income]]&gt;50000,"50K-75K",(IF(ifood_data[[#All],[Income]]&gt;35000,"35K-50K","&lt;35K")))))</f>
        <v>50K-75K</v>
      </c>
      <c r="AW656" t="str">
        <f>IF(ifood_data[[#All],[Age]]&gt;60,"60+",(IF(ifood_data[[#All],[Age]]&gt;50,"50-60",(IF(ifood_data[[#All],[Age]]&gt;40,"40-50",(IF(ifood_data[[#All],[Age]]&gt;30,"30-40","&lt;30")))))))</f>
        <v>60+</v>
      </c>
      <c r="AX656">
        <f t="shared" si="40"/>
        <v>24</v>
      </c>
      <c r="AY656">
        <f t="shared" si="41"/>
        <v>1.9999999999999996</v>
      </c>
      <c r="AZ656">
        <f t="shared" si="42"/>
        <v>6</v>
      </c>
      <c r="BA656">
        <f t="shared" si="43"/>
        <v>8</v>
      </c>
      <c r="BB656">
        <f>SUM(ifood_data[[#This Row],[Recency Score]:[Monetary Score]])</f>
        <v>16</v>
      </c>
      <c r="BC656">
        <f>(_xlfn.PERCENTRANK.INC(ifood_data[[#All],[RFM]],ifood_data[[#This Row],[RFM]],1))*10</f>
        <v>5</v>
      </c>
      <c r="BD656" t="str">
        <f>VLOOKUP(ifood_data[[#This Row],[RFM Score]],'RFM Analysis'!$A$3:$B$14,2,FALSE)</f>
        <v>Promising</v>
      </c>
      <c r="BE656">
        <f>'Regression Models'!$B$101+'Regression Models'!$B$102*ifood_data[[#This Row],[Income]]+'Regression Models'!$B$103*ifood_data[[#This Row],[Age]]+'Regression Models'!$B$104*ifood_data[[#This Row],[Family]]</f>
        <v>757.50755766067311</v>
      </c>
      <c r="BF656" t="str">
        <f>IF(ifood_data[[#This Row],[AcceptedCmpOverall]]=1,"Campaign Respondent","Non-respondent")</f>
        <v>Non-respondent</v>
      </c>
    </row>
    <row r="657" spans="1:58" x14ac:dyDescent="0.35">
      <c r="A657">
        <v>1345</v>
      </c>
      <c r="B657">
        <v>51876</v>
      </c>
      <c r="C657">
        <v>0</v>
      </c>
      <c r="D657">
        <v>0</v>
      </c>
      <c r="E657">
        <v>88</v>
      </c>
      <c r="F657">
        <v>99</v>
      </c>
      <c r="G657">
        <v>27</v>
      </c>
      <c r="H657">
        <v>102</v>
      </c>
      <c r="I657">
        <v>28</v>
      </c>
      <c r="J657">
        <v>48</v>
      </c>
      <c r="K657">
        <v>6</v>
      </c>
      <c r="L657">
        <v>1</v>
      </c>
      <c r="M657">
        <v>2</v>
      </c>
      <c r="N657">
        <v>2</v>
      </c>
      <c r="O657">
        <v>8</v>
      </c>
      <c r="P657">
        <v>1</v>
      </c>
      <c r="Q657">
        <v>0</v>
      </c>
      <c r="R657">
        <v>0</v>
      </c>
      <c r="S657">
        <v>0</v>
      </c>
      <c r="T657">
        <v>0</v>
      </c>
      <c r="U657">
        <v>0</v>
      </c>
      <c r="V657">
        <f>IF(SUM(ifood_data[[#This Row],[AcceptedCmp1]:[AcceptedCmp5]])&gt;0,1,0)</f>
        <v>0</v>
      </c>
      <c r="W657">
        <v>0</v>
      </c>
      <c r="X657">
        <v>3</v>
      </c>
      <c r="Y657">
        <v>11</v>
      </c>
      <c r="Z657">
        <v>0</v>
      </c>
      <c r="AA657">
        <v>62</v>
      </c>
      <c r="AB657">
        <v>2416</v>
      </c>
      <c r="AC657" s="28">
        <f>ifood_data[[#This Row],[Customer_Days]]/365</f>
        <v>6.6191780821917812</v>
      </c>
      <c r="AD657">
        <v>0</v>
      </c>
      <c r="AE657">
        <v>1</v>
      </c>
      <c r="AF657">
        <v>0</v>
      </c>
      <c r="AG657">
        <v>0</v>
      </c>
      <c r="AH657">
        <v>0</v>
      </c>
      <c r="AI657">
        <v>0</v>
      </c>
      <c r="AJ657">
        <v>0</v>
      </c>
      <c r="AK657">
        <v>1</v>
      </c>
      <c r="AL657">
        <v>0</v>
      </c>
      <c r="AM657">
        <v>0</v>
      </c>
      <c r="AN657">
        <v>304</v>
      </c>
      <c r="AO657">
        <v>298</v>
      </c>
      <c r="AP657">
        <f>ifood_data[[#This Row],[MntTotal]]-ifood_data[[#This Row],[MntRegularProds]]</f>
        <v>6</v>
      </c>
      <c r="AQ657">
        <v>0</v>
      </c>
      <c r="AR657">
        <f>IF(SUM(ifood_data[[#This Row],[Kidhome]:[Teenhome]])&gt;0,1,0)</f>
        <v>0</v>
      </c>
      <c r="AS657" t="str">
        <f>IF(SUM(ifood_data[[#This Row],[Kidhome]:[Teenhome]])&gt;0,"Has Family","No Family")</f>
        <v>No Family</v>
      </c>
      <c r="AT657" t="str">
        <f>IF(ifood_data[[#This Row],[marital_Married]]=1,"Married", (IF(ifood_data[[#This Row],[marital_Single]]=1,"Single",(IF(ifood_data[[#This Row],[marital_Divorced]]=1,"Divorced",(IF(ifood_data[[#This Row],[marital_Together]]=1,"Living Together",(IF(ifood_data[[#This Row],[marital_Widow]]=1,"Widow","Other")))))))))</f>
        <v>Married</v>
      </c>
      <c r="AU657" t="str">
        <f>IF(ifood_data[[#This Row],[education_Basic]]=1,"High School",(IF(ifood_data[[#This Row],[education_Graduation]]=1,"Undergraduate Degree",(IF(SUM(AM657,AL657,AI657)&gt;0,"Master's Degree or Higher","Other")))))</f>
        <v>Undergraduate Degree</v>
      </c>
      <c r="AV657" t="str">
        <f>IF(ifood_data[[#All],[Income]]&gt;75000,"75K+",(IF(ifood_data[[#All],[Income]]&gt;50000,"50K-75K",(IF(ifood_data[[#All],[Income]]&gt;35000,"35K-50K","&lt;35K")))))</f>
        <v>50K-75K</v>
      </c>
      <c r="AW657" t="str">
        <f>IF(ifood_data[[#All],[Age]]&gt;60,"60+",(IF(ifood_data[[#All],[Age]]&gt;50,"50-60",(IF(ifood_data[[#All],[Age]]&gt;40,"40-50",(IF(ifood_data[[#All],[Age]]&gt;30,"30-40","&lt;30")))))))</f>
        <v>60+</v>
      </c>
      <c r="AX657">
        <f t="shared" si="40"/>
        <v>14</v>
      </c>
      <c r="AY657">
        <f t="shared" si="41"/>
        <v>1.9999999999999996</v>
      </c>
      <c r="AZ657">
        <f t="shared" si="42"/>
        <v>2</v>
      </c>
      <c r="BA657">
        <f t="shared" si="43"/>
        <v>4</v>
      </c>
      <c r="BB657">
        <f>SUM(ifood_data[[#This Row],[Recency Score]:[Monetary Score]])</f>
        <v>8</v>
      </c>
      <c r="BC657">
        <f>(_xlfn.PERCENTRANK.INC(ifood_data[[#All],[RFM]],ifood_data[[#This Row],[RFM]],1))*10</f>
        <v>1</v>
      </c>
      <c r="BD657" t="str">
        <f>VLOOKUP(ifood_data[[#This Row],[RFM Score]],'RFM Analysis'!$A$3:$B$14,2,FALSE)</f>
        <v>At Risk</v>
      </c>
      <c r="BE657">
        <f>'Regression Models'!$B$101+'Regression Models'!$B$102*ifood_data[[#This Row],[Income]]+'Regression Models'!$B$103*ifood_data[[#This Row],[Age]]+'Regression Models'!$B$104*ifood_data[[#This Row],[Family]]</f>
        <v>756.01325706698708</v>
      </c>
      <c r="BF657" t="str">
        <f>IF(ifood_data[[#This Row],[AcceptedCmpOverall]]=1,"Campaign Respondent","Non-respondent")</f>
        <v>Non-respondent</v>
      </c>
    </row>
    <row r="658" spans="1:58" x14ac:dyDescent="0.35">
      <c r="A658">
        <v>1006</v>
      </c>
      <c r="B658">
        <v>65526</v>
      </c>
      <c r="C658">
        <v>0</v>
      </c>
      <c r="D658">
        <v>1</v>
      </c>
      <c r="E658">
        <v>22</v>
      </c>
      <c r="F658">
        <v>397</v>
      </c>
      <c r="G658">
        <v>19</v>
      </c>
      <c r="H658">
        <v>69</v>
      </c>
      <c r="I658">
        <v>12</v>
      </c>
      <c r="J658">
        <v>0</v>
      </c>
      <c r="K658">
        <v>9</v>
      </c>
      <c r="L658">
        <v>1</v>
      </c>
      <c r="M658">
        <v>4</v>
      </c>
      <c r="N658">
        <v>4</v>
      </c>
      <c r="O658">
        <v>8</v>
      </c>
      <c r="P658">
        <v>2</v>
      </c>
      <c r="Q658">
        <v>0</v>
      </c>
      <c r="R658">
        <v>0</v>
      </c>
      <c r="S658">
        <v>0</v>
      </c>
      <c r="T658">
        <v>0</v>
      </c>
      <c r="U658">
        <v>0</v>
      </c>
      <c r="V658">
        <f>IF(SUM(ifood_data[[#This Row],[AcceptedCmp1]:[AcceptedCmp5]])&gt;0,1,0)</f>
        <v>0</v>
      </c>
      <c r="W658">
        <v>0</v>
      </c>
      <c r="X658">
        <v>3</v>
      </c>
      <c r="Y658">
        <v>11</v>
      </c>
      <c r="Z658">
        <v>0</v>
      </c>
      <c r="AA658">
        <v>56</v>
      </c>
      <c r="AB658">
        <v>2238</v>
      </c>
      <c r="AC658" s="28">
        <f>ifood_data[[#This Row],[Customer_Days]]/365</f>
        <v>6.1315068493150688</v>
      </c>
      <c r="AD658">
        <v>0</v>
      </c>
      <c r="AE658">
        <v>1</v>
      </c>
      <c r="AF658">
        <v>0</v>
      </c>
      <c r="AG658">
        <v>0</v>
      </c>
      <c r="AH658">
        <v>0</v>
      </c>
      <c r="AI658">
        <v>0</v>
      </c>
      <c r="AJ658">
        <v>0</v>
      </c>
      <c r="AK658">
        <v>0</v>
      </c>
      <c r="AL658">
        <v>0</v>
      </c>
      <c r="AM658">
        <v>1</v>
      </c>
      <c r="AN658">
        <v>497</v>
      </c>
      <c r="AO658">
        <v>488</v>
      </c>
      <c r="AP658">
        <f>ifood_data[[#This Row],[MntTotal]]-ifood_data[[#This Row],[MntRegularProds]]</f>
        <v>9</v>
      </c>
      <c r="AQ658">
        <v>0</v>
      </c>
      <c r="AR658">
        <f>IF(SUM(ifood_data[[#This Row],[Kidhome]:[Teenhome]])&gt;0,1,0)</f>
        <v>1</v>
      </c>
      <c r="AS658" t="str">
        <f>IF(SUM(ifood_data[[#This Row],[Kidhome]:[Teenhome]])&gt;0,"Has Family","No Family")</f>
        <v>Has Family</v>
      </c>
      <c r="AT658" t="str">
        <f>IF(ifood_data[[#This Row],[marital_Married]]=1,"Married", (IF(ifood_data[[#This Row],[marital_Single]]=1,"Single",(IF(ifood_data[[#This Row],[marital_Divorced]]=1,"Divorced",(IF(ifood_data[[#This Row],[marital_Together]]=1,"Living Together",(IF(ifood_data[[#This Row],[marital_Widow]]=1,"Widow","Other")))))))))</f>
        <v>Married</v>
      </c>
      <c r="AU658" t="str">
        <f>IF(ifood_data[[#This Row],[education_Basic]]=1,"High School",(IF(ifood_data[[#This Row],[education_Graduation]]=1,"Undergraduate Degree",(IF(SUM(AM658,AL658,AI658)&gt;0,"Master's Degree or Higher","Other")))))</f>
        <v>Master's Degree or Higher</v>
      </c>
      <c r="AV658" t="str">
        <f>IF(ifood_data[[#All],[Income]]&gt;75000,"75K+",(IF(ifood_data[[#All],[Income]]&gt;50000,"50K-75K",(IF(ifood_data[[#All],[Income]]&gt;35000,"35K-50K","&lt;35K")))))</f>
        <v>50K-75K</v>
      </c>
      <c r="AW658" t="str">
        <f>IF(ifood_data[[#All],[Age]]&gt;60,"60+",(IF(ifood_data[[#All],[Age]]&gt;50,"50-60",(IF(ifood_data[[#All],[Age]]&gt;40,"40-50",(IF(ifood_data[[#All],[Age]]&gt;30,"30-40","&lt;30")))))))</f>
        <v>50-60</v>
      </c>
      <c r="AX658">
        <f t="shared" si="40"/>
        <v>19</v>
      </c>
      <c r="AY658">
        <f t="shared" si="41"/>
        <v>8</v>
      </c>
      <c r="AZ658">
        <f t="shared" si="42"/>
        <v>4</v>
      </c>
      <c r="BA658">
        <f t="shared" si="43"/>
        <v>5</v>
      </c>
      <c r="BB658">
        <f>SUM(ifood_data[[#This Row],[Recency Score]:[Monetary Score]])</f>
        <v>17</v>
      </c>
      <c r="BC658">
        <f>(_xlfn.PERCENTRANK.INC(ifood_data[[#All],[RFM]],ifood_data[[#This Row],[RFM]],1))*10</f>
        <v>6</v>
      </c>
      <c r="BD658" t="str">
        <f>VLOOKUP(ifood_data[[#This Row],[RFM Score]],'RFM Analysis'!$A$3:$B$14,2,FALSE)</f>
        <v>Promising</v>
      </c>
      <c r="BE658">
        <f>'Regression Models'!$B$101+'Regression Models'!$B$102*ifood_data[[#This Row],[Income]]+'Regression Models'!$B$103*ifood_data[[#This Row],[Age]]+'Regression Models'!$B$104*ifood_data[[#This Row],[Family]]</f>
        <v>755.72494563155726</v>
      </c>
      <c r="BF658" t="str">
        <f>IF(ifood_data[[#This Row],[AcceptedCmpOverall]]=1,"Campaign Respondent","Non-respondent")</f>
        <v>Non-respondent</v>
      </c>
    </row>
    <row r="659" spans="1:58" x14ac:dyDescent="0.35">
      <c r="A659">
        <v>787</v>
      </c>
      <c r="B659">
        <v>48789</v>
      </c>
      <c r="C659">
        <v>0</v>
      </c>
      <c r="D659">
        <v>0</v>
      </c>
      <c r="E659">
        <v>94</v>
      </c>
      <c r="F659">
        <v>351</v>
      </c>
      <c r="G659">
        <v>16</v>
      </c>
      <c r="H659">
        <v>156</v>
      </c>
      <c r="I659">
        <v>7</v>
      </c>
      <c r="J659">
        <v>5</v>
      </c>
      <c r="K659">
        <v>145</v>
      </c>
      <c r="L659">
        <v>1</v>
      </c>
      <c r="M659">
        <v>6</v>
      </c>
      <c r="N659">
        <v>4</v>
      </c>
      <c r="O659">
        <v>7</v>
      </c>
      <c r="P659">
        <v>6</v>
      </c>
      <c r="Q659">
        <v>0</v>
      </c>
      <c r="R659">
        <v>0</v>
      </c>
      <c r="S659">
        <v>0</v>
      </c>
      <c r="T659">
        <v>0</v>
      </c>
      <c r="U659">
        <v>0</v>
      </c>
      <c r="V659">
        <f>IF(SUM(ifood_data[[#This Row],[AcceptedCmp1]:[AcceptedCmp5]])&gt;0,1,0)</f>
        <v>0</v>
      </c>
      <c r="W659">
        <v>0</v>
      </c>
      <c r="X659">
        <v>3</v>
      </c>
      <c r="Y659">
        <v>11</v>
      </c>
      <c r="Z659">
        <v>0</v>
      </c>
      <c r="AA659">
        <v>28</v>
      </c>
      <c r="AB659">
        <v>2816</v>
      </c>
      <c r="AC659" s="28">
        <f>ifood_data[[#This Row],[Customer_Days]]/365</f>
        <v>7.7150684931506852</v>
      </c>
      <c r="AD659">
        <v>0</v>
      </c>
      <c r="AE659">
        <v>0</v>
      </c>
      <c r="AF659">
        <v>1</v>
      </c>
      <c r="AG659">
        <v>0</v>
      </c>
      <c r="AH659">
        <v>0</v>
      </c>
      <c r="AI659">
        <v>0</v>
      </c>
      <c r="AJ659">
        <v>0</v>
      </c>
      <c r="AK659">
        <v>1</v>
      </c>
      <c r="AL659">
        <v>0</v>
      </c>
      <c r="AM659">
        <v>0</v>
      </c>
      <c r="AN659">
        <v>535</v>
      </c>
      <c r="AO659">
        <v>390</v>
      </c>
      <c r="AP659">
        <f>ifood_data[[#This Row],[MntTotal]]-ifood_data[[#This Row],[MntRegularProds]]</f>
        <v>145</v>
      </c>
      <c r="AQ659">
        <v>0</v>
      </c>
      <c r="AR659">
        <f>IF(SUM(ifood_data[[#This Row],[Kidhome]:[Teenhome]])&gt;0,1,0)</f>
        <v>0</v>
      </c>
      <c r="AS659" t="str">
        <f>IF(SUM(ifood_data[[#This Row],[Kidhome]:[Teenhome]])&gt;0,"Has Family","No Family")</f>
        <v>No Family</v>
      </c>
      <c r="AT659" t="str">
        <f>IF(ifood_data[[#This Row],[marital_Married]]=1,"Married", (IF(ifood_data[[#This Row],[marital_Single]]=1,"Single",(IF(ifood_data[[#This Row],[marital_Divorced]]=1,"Divorced",(IF(ifood_data[[#This Row],[marital_Together]]=1,"Living Together",(IF(ifood_data[[#This Row],[marital_Widow]]=1,"Widow","Other")))))))))</f>
        <v>Single</v>
      </c>
      <c r="AU659" t="str">
        <f>IF(ifood_data[[#This Row],[education_Basic]]=1,"High School",(IF(ifood_data[[#This Row],[education_Graduation]]=1,"Undergraduate Degree",(IF(SUM(AM659,AL659,AI659)&gt;0,"Master's Degree or Higher","Other")))))</f>
        <v>Undergraduate Degree</v>
      </c>
      <c r="AV659" t="str">
        <f>IF(ifood_data[[#All],[Income]]&gt;75000,"75K+",(IF(ifood_data[[#All],[Income]]&gt;50000,"50K-75K",(IF(ifood_data[[#All],[Income]]&gt;35000,"35K-50K","&lt;35K")))))</f>
        <v>35K-50K</v>
      </c>
      <c r="AW659" t="str">
        <f>IF(ifood_data[[#All],[Age]]&gt;60,"60+",(IF(ifood_data[[#All],[Age]]&gt;50,"50-60",(IF(ifood_data[[#All],[Age]]&gt;40,"40-50",(IF(ifood_data[[#All],[Age]]&gt;30,"30-40","&lt;30")))))))</f>
        <v>&lt;30</v>
      </c>
      <c r="AX659">
        <f t="shared" si="40"/>
        <v>24</v>
      </c>
      <c r="AY659">
        <f t="shared" si="41"/>
        <v>0.99999999999999978</v>
      </c>
      <c r="AZ659">
        <f t="shared" si="42"/>
        <v>6</v>
      </c>
      <c r="BA659">
        <f t="shared" si="43"/>
        <v>5</v>
      </c>
      <c r="BB659">
        <f>SUM(ifood_data[[#This Row],[Recency Score]:[Monetary Score]])</f>
        <v>12</v>
      </c>
      <c r="BC659">
        <f>(_xlfn.PERCENTRANK.INC(ifood_data[[#All],[RFM]],ifood_data[[#This Row],[RFM]],1))*10</f>
        <v>3</v>
      </c>
      <c r="BD659" t="str">
        <f>VLOOKUP(ifood_data[[#This Row],[RFM Score]],'RFM Analysis'!$A$3:$B$14,2,FALSE)</f>
        <v>At Risk</v>
      </c>
      <c r="BE659">
        <f>'Regression Models'!$B$101+'Regression Models'!$B$102*ifood_data[[#This Row],[Income]]+'Regression Models'!$B$103*ifood_data[[#This Row],[Age]]+'Regression Models'!$B$104*ifood_data[[#This Row],[Family]]</f>
        <v>755.51205848917675</v>
      </c>
      <c r="BF659" t="str">
        <f>IF(ifood_data[[#This Row],[AcceptedCmpOverall]]=1,"Campaign Respondent","Non-respondent")</f>
        <v>Non-respondent</v>
      </c>
    </row>
    <row r="660" spans="1:58" x14ac:dyDescent="0.35">
      <c r="A660">
        <v>301</v>
      </c>
      <c r="B660">
        <v>64795</v>
      </c>
      <c r="C660">
        <v>0</v>
      </c>
      <c r="D660">
        <v>1</v>
      </c>
      <c r="E660">
        <v>23</v>
      </c>
      <c r="F660">
        <v>412</v>
      </c>
      <c r="G660">
        <v>5</v>
      </c>
      <c r="H660">
        <v>119</v>
      </c>
      <c r="I660">
        <v>38</v>
      </c>
      <c r="J660">
        <v>29</v>
      </c>
      <c r="K660">
        <v>77</v>
      </c>
      <c r="L660">
        <v>3</v>
      </c>
      <c r="M660">
        <v>3</v>
      </c>
      <c r="N660">
        <v>3</v>
      </c>
      <c r="O660">
        <v>12</v>
      </c>
      <c r="P660">
        <v>2</v>
      </c>
      <c r="Q660">
        <v>0</v>
      </c>
      <c r="R660">
        <v>0</v>
      </c>
      <c r="S660">
        <v>0</v>
      </c>
      <c r="T660">
        <v>0</v>
      </c>
      <c r="U660">
        <v>0</v>
      </c>
      <c r="V660">
        <f>IF(SUM(ifood_data[[#This Row],[AcceptedCmp1]:[AcceptedCmp5]])&gt;0,1,0)</f>
        <v>0</v>
      </c>
      <c r="W660">
        <v>0</v>
      </c>
      <c r="X660">
        <v>3</v>
      </c>
      <c r="Y660">
        <v>11</v>
      </c>
      <c r="Z660">
        <v>0</v>
      </c>
      <c r="AA660">
        <v>49</v>
      </c>
      <c r="AB660">
        <v>2687</v>
      </c>
      <c r="AC660" s="28">
        <f>ifood_data[[#This Row],[Customer_Days]]/365</f>
        <v>7.3616438356164382</v>
      </c>
      <c r="AD660">
        <v>0</v>
      </c>
      <c r="AE660">
        <v>1</v>
      </c>
      <c r="AF660">
        <v>0</v>
      </c>
      <c r="AG660">
        <v>0</v>
      </c>
      <c r="AH660">
        <v>0</v>
      </c>
      <c r="AI660">
        <v>0</v>
      </c>
      <c r="AJ660">
        <v>0</v>
      </c>
      <c r="AK660">
        <v>1</v>
      </c>
      <c r="AL660">
        <v>0</v>
      </c>
      <c r="AM660">
        <v>0</v>
      </c>
      <c r="AN660">
        <v>603</v>
      </c>
      <c r="AO660">
        <v>526</v>
      </c>
      <c r="AP660">
        <f>ifood_data[[#This Row],[MntTotal]]-ifood_data[[#This Row],[MntRegularProds]]</f>
        <v>77</v>
      </c>
      <c r="AQ660">
        <v>0</v>
      </c>
      <c r="AR660">
        <f>IF(SUM(ifood_data[[#This Row],[Kidhome]:[Teenhome]])&gt;0,1,0)</f>
        <v>1</v>
      </c>
      <c r="AS660" t="str">
        <f>IF(SUM(ifood_data[[#This Row],[Kidhome]:[Teenhome]])&gt;0,"Has Family","No Family")</f>
        <v>Has Family</v>
      </c>
      <c r="AT660" t="str">
        <f>IF(ifood_data[[#This Row],[marital_Married]]=1,"Married", (IF(ifood_data[[#This Row],[marital_Single]]=1,"Single",(IF(ifood_data[[#This Row],[marital_Divorced]]=1,"Divorced",(IF(ifood_data[[#This Row],[marital_Together]]=1,"Living Together",(IF(ifood_data[[#This Row],[marital_Widow]]=1,"Widow","Other")))))))))</f>
        <v>Married</v>
      </c>
      <c r="AU660" t="str">
        <f>IF(ifood_data[[#This Row],[education_Basic]]=1,"High School",(IF(ifood_data[[#This Row],[education_Graduation]]=1,"Undergraduate Degree",(IF(SUM(AM660,AL660,AI660)&gt;0,"Master's Degree or Higher","Other")))))</f>
        <v>Undergraduate Degree</v>
      </c>
      <c r="AV660" t="str">
        <f>IF(ifood_data[[#All],[Income]]&gt;75000,"75K+",(IF(ifood_data[[#All],[Income]]&gt;50000,"50K-75K",(IF(ifood_data[[#All],[Income]]&gt;35000,"35K-50K","&lt;35K")))))</f>
        <v>50K-75K</v>
      </c>
      <c r="AW660" t="str">
        <f>IF(ifood_data[[#All],[Age]]&gt;60,"60+",(IF(ifood_data[[#All],[Age]]&gt;50,"50-60",(IF(ifood_data[[#All],[Age]]&gt;40,"40-50",(IF(ifood_data[[#All],[Age]]&gt;30,"30-40","&lt;30")))))))</f>
        <v>40-50</v>
      </c>
      <c r="AX660">
        <f t="shared" si="40"/>
        <v>23</v>
      </c>
      <c r="AY660">
        <f t="shared" si="41"/>
        <v>8</v>
      </c>
      <c r="AZ660">
        <f t="shared" si="42"/>
        <v>6</v>
      </c>
      <c r="BA660">
        <f t="shared" si="43"/>
        <v>6</v>
      </c>
      <c r="BB660">
        <f>SUM(ifood_data[[#This Row],[Recency Score]:[Monetary Score]])</f>
        <v>20</v>
      </c>
      <c r="BC660">
        <f>(_xlfn.PERCENTRANK.INC(ifood_data[[#All],[RFM]],ifood_data[[#This Row],[RFM]],1))*10</f>
        <v>7</v>
      </c>
      <c r="BD660" t="str">
        <f>VLOOKUP(ifood_data[[#This Row],[RFM Score]],'RFM Analysis'!$A$3:$B$14,2,FALSE)</f>
        <v>Loyal Customer</v>
      </c>
      <c r="BE660">
        <f>'Regression Models'!$B$101+'Regression Models'!$B$102*ifood_data[[#This Row],[Income]]+'Regression Models'!$B$103*ifood_data[[#This Row],[Age]]+'Regression Models'!$B$104*ifood_data[[#This Row],[Family]]</f>
        <v>753.67582967062719</v>
      </c>
      <c r="BF660" t="str">
        <f>IF(ifood_data[[#This Row],[AcceptedCmpOverall]]=1,"Campaign Respondent","Non-respondent")</f>
        <v>Non-respondent</v>
      </c>
    </row>
    <row r="661" spans="1:58" x14ac:dyDescent="0.35">
      <c r="A661">
        <v>1436</v>
      </c>
      <c r="B661">
        <v>66033</v>
      </c>
      <c r="C661">
        <v>0</v>
      </c>
      <c r="D661">
        <v>1</v>
      </c>
      <c r="E661">
        <v>76</v>
      </c>
      <c r="F661">
        <v>293</v>
      </c>
      <c r="G661">
        <v>35</v>
      </c>
      <c r="H661">
        <v>179</v>
      </c>
      <c r="I661">
        <v>46</v>
      </c>
      <c r="J661">
        <v>59</v>
      </c>
      <c r="K661">
        <v>65</v>
      </c>
      <c r="L661">
        <v>2</v>
      </c>
      <c r="M661">
        <v>8</v>
      </c>
      <c r="N661">
        <v>3</v>
      </c>
      <c r="O661">
        <v>7</v>
      </c>
      <c r="P661">
        <v>7</v>
      </c>
      <c r="Q661">
        <v>0</v>
      </c>
      <c r="R661">
        <v>0</v>
      </c>
      <c r="S661">
        <v>0</v>
      </c>
      <c r="T661">
        <v>0</v>
      </c>
      <c r="U661">
        <v>0</v>
      </c>
      <c r="V661">
        <f>IF(SUM(ifood_data[[#This Row],[AcceptedCmp1]:[AcceptedCmp5]])&gt;0,1,0)</f>
        <v>0</v>
      </c>
      <c r="W661">
        <v>0</v>
      </c>
      <c r="X661">
        <v>3</v>
      </c>
      <c r="Y661">
        <v>11</v>
      </c>
      <c r="Z661">
        <v>0</v>
      </c>
      <c r="AA661">
        <v>63</v>
      </c>
      <c r="AB661">
        <v>2684</v>
      </c>
      <c r="AC661" s="28">
        <f>ifood_data[[#This Row],[Customer_Days]]/365</f>
        <v>7.353424657534247</v>
      </c>
      <c r="AD661">
        <v>0</v>
      </c>
      <c r="AE661">
        <v>0</v>
      </c>
      <c r="AF661">
        <v>0</v>
      </c>
      <c r="AG661">
        <v>0</v>
      </c>
      <c r="AH661">
        <v>1</v>
      </c>
      <c r="AI661">
        <v>0</v>
      </c>
      <c r="AJ661">
        <v>0</v>
      </c>
      <c r="AK661">
        <v>1</v>
      </c>
      <c r="AL661">
        <v>0</v>
      </c>
      <c r="AM661">
        <v>0</v>
      </c>
      <c r="AN661">
        <v>612</v>
      </c>
      <c r="AO661">
        <v>547</v>
      </c>
      <c r="AP661">
        <f>ifood_data[[#This Row],[MntTotal]]-ifood_data[[#This Row],[MntRegularProds]]</f>
        <v>65</v>
      </c>
      <c r="AQ661">
        <v>0</v>
      </c>
      <c r="AR661">
        <f>IF(SUM(ifood_data[[#This Row],[Kidhome]:[Teenhome]])&gt;0,1,0)</f>
        <v>1</v>
      </c>
      <c r="AS661" t="str">
        <f>IF(SUM(ifood_data[[#This Row],[Kidhome]:[Teenhome]])&gt;0,"Has Family","No Family")</f>
        <v>Has Family</v>
      </c>
      <c r="AT661" t="str">
        <f>IF(ifood_data[[#This Row],[marital_Married]]=1,"Married", (IF(ifood_data[[#This Row],[marital_Single]]=1,"Single",(IF(ifood_data[[#This Row],[marital_Divorced]]=1,"Divorced",(IF(ifood_data[[#This Row],[marital_Together]]=1,"Living Together",(IF(ifood_data[[#This Row],[marital_Widow]]=1,"Widow","Other")))))))))</f>
        <v>Widow</v>
      </c>
      <c r="AU661" t="str">
        <f>IF(ifood_data[[#This Row],[education_Basic]]=1,"High School",(IF(ifood_data[[#This Row],[education_Graduation]]=1,"Undergraduate Degree",(IF(SUM(AM661,AL661,AI661)&gt;0,"Master's Degree or Higher","Other")))))</f>
        <v>Undergraduate Degree</v>
      </c>
      <c r="AV661" t="str">
        <f>IF(ifood_data[[#All],[Income]]&gt;75000,"75K+",(IF(ifood_data[[#All],[Income]]&gt;50000,"50K-75K",(IF(ifood_data[[#All],[Income]]&gt;35000,"35K-50K","&lt;35K")))))</f>
        <v>50K-75K</v>
      </c>
      <c r="AW661" t="str">
        <f>IF(ifood_data[[#All],[Age]]&gt;60,"60+",(IF(ifood_data[[#All],[Age]]&gt;50,"50-60",(IF(ifood_data[[#All],[Age]]&gt;40,"40-50",(IF(ifood_data[[#All],[Age]]&gt;30,"30-40","&lt;30")))))))</f>
        <v>60+</v>
      </c>
      <c r="AX661">
        <f t="shared" si="40"/>
        <v>27</v>
      </c>
      <c r="AY661">
        <f t="shared" si="41"/>
        <v>3.0000000000000004</v>
      </c>
      <c r="AZ661">
        <f t="shared" si="42"/>
        <v>7</v>
      </c>
      <c r="BA661">
        <f t="shared" si="43"/>
        <v>6</v>
      </c>
      <c r="BB661">
        <f>SUM(ifood_data[[#This Row],[Recency Score]:[Monetary Score]])</f>
        <v>16</v>
      </c>
      <c r="BC661">
        <f>(_xlfn.PERCENTRANK.INC(ifood_data[[#All],[RFM]],ifood_data[[#This Row],[RFM]],1))*10</f>
        <v>5</v>
      </c>
      <c r="BD661" t="str">
        <f>VLOOKUP(ifood_data[[#This Row],[RFM Score]],'RFM Analysis'!$A$3:$B$14,2,FALSE)</f>
        <v>Promising</v>
      </c>
      <c r="BE661">
        <f>'Regression Models'!$B$101+'Regression Models'!$B$102*ifood_data[[#This Row],[Income]]+'Regression Models'!$B$103*ifood_data[[#This Row],[Age]]+'Regression Models'!$B$104*ifood_data[[#This Row],[Family]]</f>
        <v>753.20697752825379</v>
      </c>
      <c r="BF661" t="str">
        <f>IF(ifood_data[[#This Row],[AcceptedCmpOverall]]=1,"Campaign Respondent","Non-respondent")</f>
        <v>Non-respondent</v>
      </c>
    </row>
    <row r="662" spans="1:58" x14ac:dyDescent="0.35">
      <c r="A662">
        <v>1164</v>
      </c>
      <c r="B662">
        <v>64722</v>
      </c>
      <c r="C662">
        <v>1</v>
      </c>
      <c r="D662">
        <v>0</v>
      </c>
      <c r="E662">
        <v>47</v>
      </c>
      <c r="F662">
        <v>303</v>
      </c>
      <c r="G662">
        <v>0</v>
      </c>
      <c r="H662">
        <v>280</v>
      </c>
      <c r="I662">
        <v>60</v>
      </c>
      <c r="J662">
        <v>147</v>
      </c>
      <c r="K662">
        <v>15</v>
      </c>
      <c r="L662">
        <v>4</v>
      </c>
      <c r="M662">
        <v>8</v>
      </c>
      <c r="N662">
        <v>2</v>
      </c>
      <c r="O662">
        <v>11</v>
      </c>
      <c r="P662">
        <v>6</v>
      </c>
      <c r="Q662">
        <v>0</v>
      </c>
      <c r="R662">
        <v>0</v>
      </c>
      <c r="S662">
        <v>0</v>
      </c>
      <c r="T662">
        <v>0</v>
      </c>
      <c r="U662">
        <v>0</v>
      </c>
      <c r="V662">
        <f>IF(SUM(ifood_data[[#This Row],[AcceptedCmp1]:[AcceptedCmp5]])&gt;0,1,0)</f>
        <v>0</v>
      </c>
      <c r="W662">
        <v>0</v>
      </c>
      <c r="X662">
        <v>3</v>
      </c>
      <c r="Y662">
        <v>11</v>
      </c>
      <c r="Z662">
        <v>0</v>
      </c>
      <c r="AA662">
        <v>49</v>
      </c>
      <c r="AB662">
        <v>2193</v>
      </c>
      <c r="AC662" s="28">
        <f>ifood_data[[#This Row],[Customer_Days]]/365</f>
        <v>6.0082191780821921</v>
      </c>
      <c r="AD662">
        <v>0</v>
      </c>
      <c r="AE662">
        <v>1</v>
      </c>
      <c r="AF662">
        <v>0</v>
      </c>
      <c r="AG662">
        <v>0</v>
      </c>
      <c r="AH662">
        <v>0</v>
      </c>
      <c r="AI662">
        <v>0</v>
      </c>
      <c r="AJ662">
        <v>0</v>
      </c>
      <c r="AK662">
        <v>1</v>
      </c>
      <c r="AL662">
        <v>0</v>
      </c>
      <c r="AM662">
        <v>0</v>
      </c>
      <c r="AN662">
        <v>790</v>
      </c>
      <c r="AO662">
        <v>775</v>
      </c>
      <c r="AP662">
        <f>ifood_data[[#This Row],[MntTotal]]-ifood_data[[#This Row],[MntRegularProds]]</f>
        <v>15</v>
      </c>
      <c r="AQ662">
        <v>0</v>
      </c>
      <c r="AR662">
        <f>IF(SUM(ifood_data[[#This Row],[Kidhome]:[Teenhome]])&gt;0,1,0)</f>
        <v>1</v>
      </c>
      <c r="AS662" t="str">
        <f>IF(SUM(ifood_data[[#This Row],[Kidhome]:[Teenhome]])&gt;0,"Has Family","No Family")</f>
        <v>Has Family</v>
      </c>
      <c r="AT662" t="str">
        <f>IF(ifood_data[[#This Row],[marital_Married]]=1,"Married", (IF(ifood_data[[#This Row],[marital_Single]]=1,"Single",(IF(ifood_data[[#This Row],[marital_Divorced]]=1,"Divorced",(IF(ifood_data[[#This Row],[marital_Together]]=1,"Living Together",(IF(ifood_data[[#This Row],[marital_Widow]]=1,"Widow","Other")))))))))</f>
        <v>Married</v>
      </c>
      <c r="AU662" t="str">
        <f>IF(ifood_data[[#This Row],[education_Basic]]=1,"High School",(IF(ifood_data[[#This Row],[education_Graduation]]=1,"Undergraduate Degree",(IF(SUM(AM662,AL662,AI662)&gt;0,"Master's Degree or Higher","Other")))))</f>
        <v>Undergraduate Degree</v>
      </c>
      <c r="AV662" t="str">
        <f>IF(ifood_data[[#All],[Income]]&gt;75000,"75K+",(IF(ifood_data[[#All],[Income]]&gt;50000,"50K-75K",(IF(ifood_data[[#All],[Income]]&gt;35000,"35K-50K","&lt;35K")))))</f>
        <v>50K-75K</v>
      </c>
      <c r="AW662" t="str">
        <f>IF(ifood_data[[#All],[Age]]&gt;60,"60+",(IF(ifood_data[[#All],[Age]]&gt;50,"50-60",(IF(ifood_data[[#All],[Age]]&gt;40,"40-50",(IF(ifood_data[[#All],[Age]]&gt;30,"30-40","&lt;30")))))))</f>
        <v>40-50</v>
      </c>
      <c r="AX662">
        <f t="shared" si="40"/>
        <v>31</v>
      </c>
      <c r="AY662">
        <f t="shared" si="41"/>
        <v>6</v>
      </c>
      <c r="AZ662">
        <f t="shared" si="42"/>
        <v>9</v>
      </c>
      <c r="BA662">
        <f t="shared" si="43"/>
        <v>6</v>
      </c>
      <c r="BB662">
        <f>SUM(ifood_data[[#This Row],[Recency Score]:[Monetary Score]])</f>
        <v>21</v>
      </c>
      <c r="BC662">
        <f>(_xlfn.PERCENTRANK.INC(ifood_data[[#All],[RFM]],ifood_data[[#This Row],[RFM]],1))*10</f>
        <v>8</v>
      </c>
      <c r="BD662" t="str">
        <f>VLOOKUP(ifood_data[[#This Row],[RFM Score]],'RFM Analysis'!$A$3:$B$14,2,FALSE)</f>
        <v>Loyal Customer</v>
      </c>
      <c r="BE662">
        <f>'Regression Models'!$B$101+'Regression Models'!$B$102*ifood_data[[#This Row],[Income]]+'Regression Models'!$B$103*ifood_data[[#This Row],[Age]]+'Regression Models'!$B$104*ifood_data[[#This Row],[Family]]</f>
        <v>752.18744959612252</v>
      </c>
      <c r="BF662" t="str">
        <f>IF(ifood_data[[#This Row],[AcceptedCmpOverall]]=1,"Campaign Respondent","Non-respondent")</f>
        <v>Non-respondent</v>
      </c>
    </row>
    <row r="663" spans="1:58" x14ac:dyDescent="0.35">
      <c r="A663">
        <v>1232</v>
      </c>
      <c r="B663">
        <v>65695</v>
      </c>
      <c r="C663">
        <v>0</v>
      </c>
      <c r="D663">
        <v>1</v>
      </c>
      <c r="E663">
        <v>50</v>
      </c>
      <c r="F663">
        <v>371</v>
      </c>
      <c r="G663">
        <v>32</v>
      </c>
      <c r="H663">
        <v>189</v>
      </c>
      <c r="I663">
        <v>0</v>
      </c>
      <c r="J663">
        <v>58</v>
      </c>
      <c r="K663">
        <v>6</v>
      </c>
      <c r="L663">
        <v>2</v>
      </c>
      <c r="M663">
        <v>5</v>
      </c>
      <c r="N663">
        <v>4</v>
      </c>
      <c r="O663">
        <v>10</v>
      </c>
      <c r="P663">
        <v>4</v>
      </c>
      <c r="Q663">
        <v>0</v>
      </c>
      <c r="R663">
        <v>0</v>
      </c>
      <c r="S663">
        <v>0</v>
      </c>
      <c r="T663">
        <v>0</v>
      </c>
      <c r="U663">
        <v>0</v>
      </c>
      <c r="V663">
        <f>IF(SUM(ifood_data[[#This Row],[AcceptedCmp1]:[AcceptedCmp5]])&gt;0,1,0)</f>
        <v>0</v>
      </c>
      <c r="W663">
        <v>0</v>
      </c>
      <c r="X663">
        <v>3</v>
      </c>
      <c r="Y663">
        <v>11</v>
      </c>
      <c r="Z663">
        <v>0</v>
      </c>
      <c r="AA663">
        <v>60</v>
      </c>
      <c r="AB663">
        <v>2308</v>
      </c>
      <c r="AC663" s="28">
        <f>ifood_data[[#This Row],[Customer_Days]]/365</f>
        <v>6.3232876712328769</v>
      </c>
      <c r="AD663">
        <v>0</v>
      </c>
      <c r="AE663">
        <v>1</v>
      </c>
      <c r="AF663">
        <v>0</v>
      </c>
      <c r="AG663">
        <v>0</v>
      </c>
      <c r="AH663">
        <v>0</v>
      </c>
      <c r="AI663">
        <v>0</v>
      </c>
      <c r="AJ663">
        <v>0</v>
      </c>
      <c r="AK663">
        <v>0</v>
      </c>
      <c r="AL663">
        <v>0</v>
      </c>
      <c r="AM663">
        <v>1</v>
      </c>
      <c r="AN663">
        <v>650</v>
      </c>
      <c r="AO663">
        <v>644</v>
      </c>
      <c r="AP663">
        <f>ifood_data[[#This Row],[MntTotal]]-ifood_data[[#This Row],[MntRegularProds]]</f>
        <v>6</v>
      </c>
      <c r="AQ663">
        <v>0</v>
      </c>
      <c r="AR663">
        <f>IF(SUM(ifood_data[[#This Row],[Kidhome]:[Teenhome]])&gt;0,1,0)</f>
        <v>1</v>
      </c>
      <c r="AS663" t="str">
        <f>IF(SUM(ifood_data[[#This Row],[Kidhome]:[Teenhome]])&gt;0,"Has Family","No Family")</f>
        <v>Has Family</v>
      </c>
      <c r="AT663" t="str">
        <f>IF(ifood_data[[#This Row],[marital_Married]]=1,"Married", (IF(ifood_data[[#This Row],[marital_Single]]=1,"Single",(IF(ifood_data[[#This Row],[marital_Divorced]]=1,"Divorced",(IF(ifood_data[[#This Row],[marital_Together]]=1,"Living Together",(IF(ifood_data[[#This Row],[marital_Widow]]=1,"Widow","Other")))))))))</f>
        <v>Married</v>
      </c>
      <c r="AU663" t="str">
        <f>IF(ifood_data[[#This Row],[education_Basic]]=1,"High School",(IF(ifood_data[[#This Row],[education_Graduation]]=1,"Undergraduate Degree",(IF(SUM(AM663,AL663,AI663)&gt;0,"Master's Degree or Higher","Other")))))</f>
        <v>Master's Degree or Higher</v>
      </c>
      <c r="AV663" t="str">
        <f>IF(ifood_data[[#All],[Income]]&gt;75000,"75K+",(IF(ifood_data[[#All],[Income]]&gt;50000,"50K-75K",(IF(ifood_data[[#All],[Income]]&gt;35000,"35K-50K","&lt;35K")))))</f>
        <v>50K-75K</v>
      </c>
      <c r="AW663" t="str">
        <f>IF(ifood_data[[#All],[Age]]&gt;60,"60+",(IF(ifood_data[[#All],[Age]]&gt;50,"50-60",(IF(ifood_data[[#All],[Age]]&gt;40,"40-50",(IF(ifood_data[[#All],[Age]]&gt;30,"30-40","&lt;30")))))))</f>
        <v>50-60</v>
      </c>
      <c r="AX663">
        <f t="shared" si="40"/>
        <v>25</v>
      </c>
      <c r="AY663">
        <f t="shared" si="41"/>
        <v>5</v>
      </c>
      <c r="AZ663">
        <f t="shared" si="42"/>
        <v>7</v>
      </c>
      <c r="BA663">
        <f t="shared" si="43"/>
        <v>6</v>
      </c>
      <c r="BB663">
        <f>SUM(ifood_data[[#This Row],[Recency Score]:[Monetary Score]])</f>
        <v>18</v>
      </c>
      <c r="BC663">
        <f>(_xlfn.PERCENTRANK.INC(ifood_data[[#All],[RFM]],ifood_data[[#This Row],[RFM]],1))*10</f>
        <v>6</v>
      </c>
      <c r="BD663" t="str">
        <f>VLOOKUP(ifood_data[[#This Row],[RFM Score]],'RFM Analysis'!$A$3:$B$14,2,FALSE)</f>
        <v>Promising</v>
      </c>
      <c r="BE663">
        <f>'Regression Models'!$B$101+'Regression Models'!$B$102*ifood_data[[#This Row],[Income]]+'Regression Models'!$B$103*ifood_data[[#This Row],[Age]]+'Regression Models'!$B$104*ifood_data[[#This Row],[Family]]</f>
        <v>751.82489113229906</v>
      </c>
      <c r="BF663" t="str">
        <f>IF(ifood_data[[#This Row],[AcceptedCmpOverall]]=1,"Campaign Respondent","Non-respondent")</f>
        <v>Non-respondent</v>
      </c>
    </row>
    <row r="664" spans="1:58" x14ac:dyDescent="0.35">
      <c r="A664">
        <v>1888</v>
      </c>
      <c r="B664">
        <v>64713</v>
      </c>
      <c r="C664">
        <v>1</v>
      </c>
      <c r="D664">
        <v>0</v>
      </c>
      <c r="E664">
        <v>11</v>
      </c>
      <c r="F664">
        <v>180</v>
      </c>
      <c r="G664">
        <v>60</v>
      </c>
      <c r="H664">
        <v>241</v>
      </c>
      <c r="I664">
        <v>13</v>
      </c>
      <c r="J664">
        <v>54</v>
      </c>
      <c r="K664">
        <v>54</v>
      </c>
      <c r="L664">
        <v>2</v>
      </c>
      <c r="M664">
        <v>5</v>
      </c>
      <c r="N664">
        <v>5</v>
      </c>
      <c r="O664">
        <v>7</v>
      </c>
      <c r="P664">
        <v>4</v>
      </c>
      <c r="Q664">
        <v>0</v>
      </c>
      <c r="R664">
        <v>0</v>
      </c>
      <c r="S664">
        <v>0</v>
      </c>
      <c r="T664">
        <v>0</v>
      </c>
      <c r="U664">
        <v>0</v>
      </c>
      <c r="V664">
        <f>IF(SUM(ifood_data[[#This Row],[AcceptedCmp1]:[AcceptedCmp5]])&gt;0,1,0)</f>
        <v>0</v>
      </c>
      <c r="W664">
        <v>0</v>
      </c>
      <c r="X664">
        <v>3</v>
      </c>
      <c r="Y664">
        <v>11</v>
      </c>
      <c r="Z664">
        <v>1</v>
      </c>
      <c r="AA664">
        <v>50</v>
      </c>
      <c r="AB664">
        <v>2301</v>
      </c>
      <c r="AC664" s="28">
        <f>ifood_data[[#This Row],[Customer_Days]]/365</f>
        <v>6.3041095890410963</v>
      </c>
      <c r="AD664">
        <v>1</v>
      </c>
      <c r="AE664">
        <v>0</v>
      </c>
      <c r="AF664">
        <v>0</v>
      </c>
      <c r="AG664">
        <v>0</v>
      </c>
      <c r="AH664">
        <v>0</v>
      </c>
      <c r="AI664">
        <v>0</v>
      </c>
      <c r="AJ664">
        <v>0</v>
      </c>
      <c r="AK664">
        <v>1</v>
      </c>
      <c r="AL664">
        <v>0</v>
      </c>
      <c r="AM664">
        <v>0</v>
      </c>
      <c r="AN664">
        <v>548</v>
      </c>
      <c r="AO664">
        <v>494</v>
      </c>
      <c r="AP664">
        <f>ifood_data[[#This Row],[MntTotal]]-ifood_data[[#This Row],[MntRegularProds]]</f>
        <v>54</v>
      </c>
      <c r="AQ664">
        <v>0</v>
      </c>
      <c r="AR664">
        <f>IF(SUM(ifood_data[[#This Row],[Kidhome]:[Teenhome]])&gt;0,1,0)</f>
        <v>1</v>
      </c>
      <c r="AS664" t="str">
        <f>IF(SUM(ifood_data[[#This Row],[Kidhome]:[Teenhome]])&gt;0,"Has Family","No Family")</f>
        <v>Has Family</v>
      </c>
      <c r="AT664" t="str">
        <f>IF(ifood_data[[#This Row],[marital_Married]]=1,"Married", (IF(ifood_data[[#This Row],[marital_Single]]=1,"Single",(IF(ifood_data[[#This Row],[marital_Divorced]]=1,"Divorced",(IF(ifood_data[[#This Row],[marital_Together]]=1,"Living Together",(IF(ifood_data[[#This Row],[marital_Widow]]=1,"Widow","Other")))))))))</f>
        <v>Divorced</v>
      </c>
      <c r="AU664" t="str">
        <f>IF(ifood_data[[#This Row],[education_Basic]]=1,"High School",(IF(ifood_data[[#This Row],[education_Graduation]]=1,"Undergraduate Degree",(IF(SUM(AM664,AL664,AI664)&gt;0,"Master's Degree or Higher","Other")))))</f>
        <v>Undergraduate Degree</v>
      </c>
      <c r="AV664" t="str">
        <f>IF(ifood_data[[#All],[Income]]&gt;75000,"75K+",(IF(ifood_data[[#All],[Income]]&gt;50000,"50K-75K",(IF(ifood_data[[#All],[Income]]&gt;35000,"35K-50K","&lt;35K")))))</f>
        <v>50K-75K</v>
      </c>
      <c r="AW664" t="str">
        <f>IF(ifood_data[[#All],[Age]]&gt;60,"60+",(IF(ifood_data[[#All],[Age]]&gt;50,"50-60",(IF(ifood_data[[#All],[Age]]&gt;40,"40-50",(IF(ifood_data[[#All],[Age]]&gt;30,"30-40","&lt;30")))))))</f>
        <v>40-50</v>
      </c>
      <c r="AX664">
        <f t="shared" si="40"/>
        <v>23</v>
      </c>
      <c r="AY664">
        <f t="shared" si="41"/>
        <v>9</v>
      </c>
      <c r="AZ664">
        <f t="shared" si="42"/>
        <v>6</v>
      </c>
      <c r="BA664">
        <f t="shared" si="43"/>
        <v>5</v>
      </c>
      <c r="BB664">
        <f>SUM(ifood_data[[#This Row],[Recency Score]:[Monetary Score]])</f>
        <v>20</v>
      </c>
      <c r="BC664">
        <f>(_xlfn.PERCENTRANK.INC(ifood_data[[#All],[RFM]],ifood_data[[#This Row],[RFM]],1))*10</f>
        <v>7</v>
      </c>
      <c r="BD664" t="str">
        <f>VLOOKUP(ifood_data[[#This Row],[RFM Score]],'RFM Analysis'!$A$3:$B$14,2,FALSE)</f>
        <v>Loyal Customer</v>
      </c>
      <c r="BE664">
        <f>'Regression Models'!$B$101+'Regression Models'!$B$102*ifood_data[[#This Row],[Income]]+'Regression Models'!$B$103*ifood_data[[#This Row],[Age]]+'Regression Models'!$B$104*ifood_data[[#This Row],[Family]]</f>
        <v>750.16751160393335</v>
      </c>
      <c r="BF664" t="str">
        <f>IF(ifood_data[[#This Row],[AcceptedCmpOverall]]=1,"Campaign Respondent","Non-respondent")</f>
        <v>Non-respondent</v>
      </c>
    </row>
    <row r="665" spans="1:58" x14ac:dyDescent="0.35">
      <c r="A665">
        <v>1794</v>
      </c>
      <c r="B665">
        <v>64474</v>
      </c>
      <c r="C665">
        <v>0</v>
      </c>
      <c r="D665">
        <v>1</v>
      </c>
      <c r="E665">
        <v>59</v>
      </c>
      <c r="F665">
        <v>381</v>
      </c>
      <c r="G665">
        <v>35</v>
      </c>
      <c r="H665">
        <v>172</v>
      </c>
      <c r="I665">
        <v>56</v>
      </c>
      <c r="J665">
        <v>86</v>
      </c>
      <c r="K665">
        <v>93</v>
      </c>
      <c r="L665">
        <v>2</v>
      </c>
      <c r="M665">
        <v>8</v>
      </c>
      <c r="N665">
        <v>2</v>
      </c>
      <c r="O665">
        <v>10</v>
      </c>
      <c r="P665">
        <v>5</v>
      </c>
      <c r="Q665">
        <v>0</v>
      </c>
      <c r="R665">
        <v>0</v>
      </c>
      <c r="S665">
        <v>0</v>
      </c>
      <c r="T665">
        <v>0</v>
      </c>
      <c r="U665">
        <v>0</v>
      </c>
      <c r="V665">
        <f>IF(SUM(ifood_data[[#This Row],[AcceptedCmp1]:[AcceptedCmp5]])&gt;0,1,0)</f>
        <v>0</v>
      </c>
      <c r="W665">
        <v>0</v>
      </c>
      <c r="X665">
        <v>3</v>
      </c>
      <c r="Y665">
        <v>11</v>
      </c>
      <c r="Z665">
        <v>0</v>
      </c>
      <c r="AA665">
        <v>48</v>
      </c>
      <c r="AB665">
        <v>2409</v>
      </c>
      <c r="AC665" s="28">
        <f>ifood_data[[#This Row],[Customer_Days]]/365</f>
        <v>6.6</v>
      </c>
      <c r="AD665">
        <v>0</v>
      </c>
      <c r="AE665">
        <v>0</v>
      </c>
      <c r="AF665">
        <v>0</v>
      </c>
      <c r="AG665">
        <v>1</v>
      </c>
      <c r="AH665">
        <v>0</v>
      </c>
      <c r="AI665">
        <v>0</v>
      </c>
      <c r="AJ665">
        <v>0</v>
      </c>
      <c r="AK665">
        <v>1</v>
      </c>
      <c r="AL665">
        <v>0</v>
      </c>
      <c r="AM665">
        <v>0</v>
      </c>
      <c r="AN665">
        <v>730</v>
      </c>
      <c r="AO665">
        <v>637</v>
      </c>
      <c r="AP665">
        <f>ifood_data[[#This Row],[MntTotal]]-ifood_data[[#This Row],[MntRegularProds]]</f>
        <v>93</v>
      </c>
      <c r="AQ665">
        <v>0</v>
      </c>
      <c r="AR665">
        <f>IF(SUM(ifood_data[[#This Row],[Kidhome]:[Teenhome]])&gt;0,1,0)</f>
        <v>1</v>
      </c>
      <c r="AS665" t="str">
        <f>IF(SUM(ifood_data[[#This Row],[Kidhome]:[Teenhome]])&gt;0,"Has Family","No Family")</f>
        <v>Has Family</v>
      </c>
      <c r="AT665" t="str">
        <f>IF(ifood_data[[#This Row],[marital_Married]]=1,"Married", (IF(ifood_data[[#This Row],[marital_Single]]=1,"Single",(IF(ifood_data[[#This Row],[marital_Divorced]]=1,"Divorced",(IF(ifood_data[[#This Row],[marital_Together]]=1,"Living Together",(IF(ifood_data[[#This Row],[marital_Widow]]=1,"Widow","Other")))))))))</f>
        <v>Living Together</v>
      </c>
      <c r="AU665" t="str">
        <f>IF(ifood_data[[#This Row],[education_Basic]]=1,"High School",(IF(ifood_data[[#This Row],[education_Graduation]]=1,"Undergraduate Degree",(IF(SUM(AM665,AL665,AI665)&gt;0,"Master's Degree or Higher","Other")))))</f>
        <v>Undergraduate Degree</v>
      </c>
      <c r="AV665" t="str">
        <f>IF(ifood_data[[#All],[Income]]&gt;75000,"75K+",(IF(ifood_data[[#All],[Income]]&gt;50000,"50K-75K",(IF(ifood_data[[#All],[Income]]&gt;35000,"35K-50K","&lt;35K")))))</f>
        <v>50K-75K</v>
      </c>
      <c r="AW665" t="str">
        <f>IF(ifood_data[[#All],[Age]]&gt;60,"60+",(IF(ifood_data[[#All],[Age]]&gt;50,"50-60",(IF(ifood_data[[#All],[Age]]&gt;40,"40-50",(IF(ifood_data[[#All],[Age]]&gt;30,"30-40","&lt;30")))))))</f>
        <v>40-50</v>
      </c>
      <c r="AX665">
        <f t="shared" si="40"/>
        <v>27</v>
      </c>
      <c r="AY665">
        <f t="shared" si="41"/>
        <v>4</v>
      </c>
      <c r="AZ665">
        <f t="shared" si="42"/>
        <v>7</v>
      </c>
      <c r="BA665">
        <f t="shared" si="43"/>
        <v>6</v>
      </c>
      <c r="BB665">
        <f>SUM(ifood_data[[#This Row],[Recency Score]:[Monetary Score]])</f>
        <v>17</v>
      </c>
      <c r="BC665">
        <f>(_xlfn.PERCENTRANK.INC(ifood_data[[#All],[RFM]],ifood_data[[#This Row],[RFM]],1))*10</f>
        <v>6</v>
      </c>
      <c r="BD665" t="str">
        <f>VLOOKUP(ifood_data[[#This Row],[RFM Score]],'RFM Analysis'!$A$3:$B$14,2,FALSE)</f>
        <v>Promising</v>
      </c>
      <c r="BE665">
        <f>'Regression Models'!$B$101+'Regression Models'!$B$102*ifood_data[[#This Row],[Income]]+'Regression Models'!$B$103*ifood_data[[#This Row],[Age]]+'Regression Models'!$B$104*ifood_data[[#This Row],[Family]]</f>
        <v>748.96747417532981</v>
      </c>
      <c r="BF665" t="str">
        <f>IF(ifood_data[[#This Row],[AcceptedCmpOverall]]=1,"Campaign Respondent","Non-respondent")</f>
        <v>Non-respondent</v>
      </c>
    </row>
    <row r="666" spans="1:58" x14ac:dyDescent="0.35">
      <c r="A666">
        <v>1281</v>
      </c>
      <c r="B666">
        <v>52203</v>
      </c>
      <c r="C666">
        <v>0</v>
      </c>
      <c r="D666">
        <v>0</v>
      </c>
      <c r="E666">
        <v>36</v>
      </c>
      <c r="F666">
        <v>488</v>
      </c>
      <c r="G666">
        <v>21</v>
      </c>
      <c r="H666">
        <v>238</v>
      </c>
      <c r="I666">
        <v>56</v>
      </c>
      <c r="J666">
        <v>108</v>
      </c>
      <c r="K666">
        <v>28</v>
      </c>
      <c r="L666">
        <v>1</v>
      </c>
      <c r="M666">
        <v>8</v>
      </c>
      <c r="N666">
        <v>7</v>
      </c>
      <c r="O666">
        <v>11</v>
      </c>
      <c r="P666">
        <v>6</v>
      </c>
      <c r="Q666">
        <v>0</v>
      </c>
      <c r="R666">
        <v>0</v>
      </c>
      <c r="S666">
        <v>0</v>
      </c>
      <c r="T666">
        <v>0</v>
      </c>
      <c r="U666">
        <v>0</v>
      </c>
      <c r="V666">
        <f>IF(SUM(ifood_data[[#This Row],[AcceptedCmp1]:[AcceptedCmp5]])&gt;0,1,0)</f>
        <v>0</v>
      </c>
      <c r="W666">
        <v>0</v>
      </c>
      <c r="X666">
        <v>3</v>
      </c>
      <c r="Y666">
        <v>11</v>
      </c>
      <c r="Z666">
        <v>0</v>
      </c>
      <c r="AA666">
        <v>70</v>
      </c>
      <c r="AB666">
        <v>2857</v>
      </c>
      <c r="AC666" s="28">
        <f>ifood_data[[#This Row],[Customer_Days]]/365</f>
        <v>7.8273972602739725</v>
      </c>
      <c r="AD666">
        <v>0</v>
      </c>
      <c r="AE666">
        <v>0</v>
      </c>
      <c r="AF666">
        <v>0</v>
      </c>
      <c r="AG666">
        <v>1</v>
      </c>
      <c r="AH666">
        <v>0</v>
      </c>
      <c r="AI666">
        <v>1</v>
      </c>
      <c r="AJ666">
        <v>0</v>
      </c>
      <c r="AK666">
        <v>0</v>
      </c>
      <c r="AL666">
        <v>0</v>
      </c>
      <c r="AM666">
        <v>0</v>
      </c>
      <c r="AN666">
        <v>911</v>
      </c>
      <c r="AO666">
        <v>883</v>
      </c>
      <c r="AP666">
        <f>ifood_data[[#This Row],[MntTotal]]-ifood_data[[#This Row],[MntRegularProds]]</f>
        <v>28</v>
      </c>
      <c r="AQ666">
        <v>0</v>
      </c>
      <c r="AR666">
        <f>IF(SUM(ifood_data[[#This Row],[Kidhome]:[Teenhome]])&gt;0,1,0)</f>
        <v>0</v>
      </c>
      <c r="AS666" t="str">
        <f>IF(SUM(ifood_data[[#This Row],[Kidhome]:[Teenhome]])&gt;0,"Has Family","No Family")</f>
        <v>No Family</v>
      </c>
      <c r="AT666" t="str">
        <f>IF(ifood_data[[#This Row],[marital_Married]]=1,"Married", (IF(ifood_data[[#This Row],[marital_Single]]=1,"Single",(IF(ifood_data[[#This Row],[marital_Divorced]]=1,"Divorced",(IF(ifood_data[[#This Row],[marital_Together]]=1,"Living Together",(IF(ifood_data[[#This Row],[marital_Widow]]=1,"Widow","Other")))))))))</f>
        <v>Living Together</v>
      </c>
      <c r="AU666" t="str">
        <f>IF(ifood_data[[#This Row],[education_Basic]]=1,"High School",(IF(ifood_data[[#This Row],[education_Graduation]]=1,"Undergraduate Degree",(IF(SUM(AM666,AL666,AI666)&gt;0,"Master's Degree or Higher","Other")))))</f>
        <v>Master's Degree or Higher</v>
      </c>
      <c r="AV666" t="str">
        <f>IF(ifood_data[[#All],[Income]]&gt;75000,"75K+",(IF(ifood_data[[#All],[Income]]&gt;50000,"50K-75K",(IF(ifood_data[[#All],[Income]]&gt;35000,"35K-50K","&lt;35K")))))</f>
        <v>50K-75K</v>
      </c>
      <c r="AW666" t="str">
        <f>IF(ifood_data[[#All],[Age]]&gt;60,"60+",(IF(ifood_data[[#All],[Age]]&gt;50,"50-60",(IF(ifood_data[[#All],[Age]]&gt;40,"40-50",(IF(ifood_data[[#All],[Age]]&gt;30,"30-40","&lt;30")))))))</f>
        <v>60+</v>
      </c>
      <c r="AX666">
        <f t="shared" si="40"/>
        <v>33</v>
      </c>
      <c r="AY666">
        <f t="shared" si="41"/>
        <v>7</v>
      </c>
      <c r="AZ666">
        <f t="shared" si="42"/>
        <v>9</v>
      </c>
      <c r="BA666">
        <f t="shared" si="43"/>
        <v>7</v>
      </c>
      <c r="BB666">
        <f>SUM(ifood_data[[#This Row],[Recency Score]:[Monetary Score]])</f>
        <v>23</v>
      </c>
      <c r="BC666">
        <f>(_xlfn.PERCENTRANK.INC(ifood_data[[#All],[RFM]],ifood_data[[#This Row],[RFM]],1))*10</f>
        <v>8</v>
      </c>
      <c r="BD666" t="str">
        <f>VLOOKUP(ifood_data[[#This Row],[RFM Score]],'RFM Analysis'!$A$3:$B$14,2,FALSE)</f>
        <v>Loyal Customer</v>
      </c>
      <c r="BE666">
        <f>'Regression Models'!$B$101+'Regression Models'!$B$102*ifood_data[[#This Row],[Income]]+'Regression Models'!$B$103*ifood_data[[#This Row],[Age]]+'Regression Models'!$B$104*ifood_data[[#This Row],[Family]]</f>
        <v>747.98887161888797</v>
      </c>
      <c r="BF666" t="str">
        <f>IF(ifood_data[[#This Row],[AcceptedCmpOverall]]=1,"Campaign Respondent","Non-respondent")</f>
        <v>Non-respondent</v>
      </c>
    </row>
    <row r="667" spans="1:58" x14ac:dyDescent="0.35">
      <c r="A667">
        <v>507</v>
      </c>
      <c r="B667">
        <v>65316</v>
      </c>
      <c r="C667">
        <v>1</v>
      </c>
      <c r="D667">
        <v>1</v>
      </c>
      <c r="E667">
        <v>65</v>
      </c>
      <c r="F667">
        <v>112</v>
      </c>
      <c r="G667">
        <v>6</v>
      </c>
      <c r="H667">
        <v>92</v>
      </c>
      <c r="I667">
        <v>3</v>
      </c>
      <c r="J667">
        <v>9</v>
      </c>
      <c r="K667">
        <v>38</v>
      </c>
      <c r="L667">
        <v>2</v>
      </c>
      <c r="M667">
        <v>3</v>
      </c>
      <c r="N667">
        <v>2</v>
      </c>
      <c r="O667">
        <v>5</v>
      </c>
      <c r="P667">
        <v>4</v>
      </c>
      <c r="Q667">
        <v>0</v>
      </c>
      <c r="R667">
        <v>0</v>
      </c>
      <c r="S667">
        <v>0</v>
      </c>
      <c r="T667">
        <v>0</v>
      </c>
      <c r="U667">
        <v>0</v>
      </c>
      <c r="V667">
        <f>IF(SUM(ifood_data[[#This Row],[AcceptedCmp1]:[AcceptedCmp5]])&gt;0,1,0)</f>
        <v>0</v>
      </c>
      <c r="W667">
        <v>0</v>
      </c>
      <c r="X667">
        <v>3</v>
      </c>
      <c r="Y667">
        <v>11</v>
      </c>
      <c r="Z667">
        <v>0</v>
      </c>
      <c r="AA667">
        <v>58</v>
      </c>
      <c r="AB667">
        <v>2590</v>
      </c>
      <c r="AC667" s="28">
        <f>ifood_data[[#This Row],[Customer_Days]]/365</f>
        <v>7.095890410958904</v>
      </c>
      <c r="AD667">
        <v>0</v>
      </c>
      <c r="AE667">
        <v>1</v>
      </c>
      <c r="AF667">
        <v>0</v>
      </c>
      <c r="AG667">
        <v>0</v>
      </c>
      <c r="AH667">
        <v>0</v>
      </c>
      <c r="AI667">
        <v>0</v>
      </c>
      <c r="AJ667">
        <v>0</v>
      </c>
      <c r="AK667">
        <v>1</v>
      </c>
      <c r="AL667">
        <v>0</v>
      </c>
      <c r="AM667">
        <v>0</v>
      </c>
      <c r="AN667">
        <v>222</v>
      </c>
      <c r="AO667">
        <v>184</v>
      </c>
      <c r="AP667">
        <f>ifood_data[[#This Row],[MntTotal]]-ifood_data[[#This Row],[MntRegularProds]]</f>
        <v>38</v>
      </c>
      <c r="AQ667">
        <v>0</v>
      </c>
      <c r="AR667">
        <f>IF(SUM(ifood_data[[#This Row],[Kidhome]:[Teenhome]])&gt;0,1,0)</f>
        <v>1</v>
      </c>
      <c r="AS667" t="str">
        <f>IF(SUM(ifood_data[[#This Row],[Kidhome]:[Teenhome]])&gt;0,"Has Family","No Family")</f>
        <v>Has Family</v>
      </c>
      <c r="AT667" t="str">
        <f>IF(ifood_data[[#This Row],[marital_Married]]=1,"Married", (IF(ifood_data[[#This Row],[marital_Single]]=1,"Single",(IF(ifood_data[[#This Row],[marital_Divorced]]=1,"Divorced",(IF(ifood_data[[#This Row],[marital_Together]]=1,"Living Together",(IF(ifood_data[[#This Row],[marital_Widow]]=1,"Widow","Other")))))))))</f>
        <v>Married</v>
      </c>
      <c r="AU667" t="str">
        <f>IF(ifood_data[[#This Row],[education_Basic]]=1,"High School",(IF(ifood_data[[#This Row],[education_Graduation]]=1,"Undergraduate Degree",(IF(SUM(AM667,AL667,AI667)&gt;0,"Master's Degree or Higher","Other")))))</f>
        <v>Undergraduate Degree</v>
      </c>
      <c r="AV667" t="str">
        <f>IF(ifood_data[[#All],[Income]]&gt;75000,"75K+",(IF(ifood_data[[#All],[Income]]&gt;50000,"50K-75K",(IF(ifood_data[[#All],[Income]]&gt;35000,"35K-50K","&lt;35K")))))</f>
        <v>50K-75K</v>
      </c>
      <c r="AW667" t="str">
        <f>IF(ifood_data[[#All],[Age]]&gt;60,"60+",(IF(ifood_data[[#All],[Age]]&gt;50,"50-60",(IF(ifood_data[[#All],[Age]]&gt;40,"40-50",(IF(ifood_data[[#All],[Age]]&gt;30,"30-40","&lt;30")))))))</f>
        <v>50-60</v>
      </c>
      <c r="AX667">
        <f t="shared" si="40"/>
        <v>16</v>
      </c>
      <c r="AY667">
        <f t="shared" si="41"/>
        <v>4</v>
      </c>
      <c r="AZ667">
        <f t="shared" si="42"/>
        <v>3</v>
      </c>
      <c r="BA667">
        <f t="shared" si="43"/>
        <v>4</v>
      </c>
      <c r="BB667">
        <f>SUM(ifood_data[[#This Row],[Recency Score]:[Monetary Score]])</f>
        <v>11</v>
      </c>
      <c r="BC667">
        <f>(_xlfn.PERCENTRANK.INC(ifood_data[[#All],[RFM]],ifood_data[[#This Row],[RFM]],1))*10</f>
        <v>2</v>
      </c>
      <c r="BD667" t="str">
        <f>VLOOKUP(ifood_data[[#This Row],[RFM Score]],'RFM Analysis'!$A$3:$B$14,2,FALSE)</f>
        <v>At Risk</v>
      </c>
      <c r="BE667">
        <f>'Regression Models'!$B$101+'Regression Models'!$B$102*ifood_data[[#This Row],[Income]]+'Regression Models'!$B$103*ifood_data[[#This Row],[Age]]+'Regression Models'!$B$104*ifood_data[[#This Row],[Family]]</f>
        <v>747.77042616355004</v>
      </c>
      <c r="BF667" t="str">
        <f>IF(ifood_data[[#This Row],[AcceptedCmpOverall]]=1,"Campaign Respondent","Non-respondent")</f>
        <v>Non-respondent</v>
      </c>
    </row>
    <row r="668" spans="1:58" x14ac:dyDescent="0.35">
      <c r="A668">
        <v>2012</v>
      </c>
      <c r="B668">
        <v>63777</v>
      </c>
      <c r="C668">
        <v>1</v>
      </c>
      <c r="D668">
        <v>1</v>
      </c>
      <c r="E668">
        <v>87</v>
      </c>
      <c r="F668">
        <v>457</v>
      </c>
      <c r="G668">
        <v>5</v>
      </c>
      <c r="H668">
        <v>106</v>
      </c>
      <c r="I668">
        <v>15</v>
      </c>
      <c r="J668">
        <v>17</v>
      </c>
      <c r="K668">
        <v>53</v>
      </c>
      <c r="L668">
        <v>8</v>
      </c>
      <c r="M668">
        <v>11</v>
      </c>
      <c r="N668">
        <v>1</v>
      </c>
      <c r="O668">
        <v>6</v>
      </c>
      <c r="P668">
        <v>8</v>
      </c>
      <c r="Q668">
        <v>0</v>
      </c>
      <c r="R668">
        <v>0</v>
      </c>
      <c r="S668">
        <v>0</v>
      </c>
      <c r="T668">
        <v>0</v>
      </c>
      <c r="U668">
        <v>0</v>
      </c>
      <c r="V668">
        <f>IF(SUM(ifood_data[[#This Row],[AcceptedCmp1]:[AcceptedCmp5]])&gt;0,1,0)</f>
        <v>0</v>
      </c>
      <c r="W668">
        <v>0</v>
      </c>
      <c r="X668">
        <v>3</v>
      </c>
      <c r="Y668">
        <v>11</v>
      </c>
      <c r="Z668">
        <v>0</v>
      </c>
      <c r="AA668">
        <v>41</v>
      </c>
      <c r="AB668">
        <v>2621</v>
      </c>
      <c r="AC668" s="28">
        <f>ifood_data[[#This Row],[Customer_Days]]/365</f>
        <v>7.1808219178082195</v>
      </c>
      <c r="AD668">
        <v>0</v>
      </c>
      <c r="AE668">
        <v>1</v>
      </c>
      <c r="AF668">
        <v>0</v>
      </c>
      <c r="AG668">
        <v>0</v>
      </c>
      <c r="AH668">
        <v>0</v>
      </c>
      <c r="AI668">
        <v>0</v>
      </c>
      <c r="AJ668">
        <v>0</v>
      </c>
      <c r="AK668">
        <v>1</v>
      </c>
      <c r="AL668">
        <v>0</v>
      </c>
      <c r="AM668">
        <v>0</v>
      </c>
      <c r="AN668">
        <v>600</v>
      </c>
      <c r="AO668">
        <v>547</v>
      </c>
      <c r="AP668">
        <f>ifood_data[[#This Row],[MntTotal]]-ifood_data[[#This Row],[MntRegularProds]]</f>
        <v>53</v>
      </c>
      <c r="AQ668">
        <v>0</v>
      </c>
      <c r="AR668">
        <f>IF(SUM(ifood_data[[#This Row],[Kidhome]:[Teenhome]])&gt;0,1,0)</f>
        <v>1</v>
      </c>
      <c r="AS668" t="str">
        <f>IF(SUM(ifood_data[[#This Row],[Kidhome]:[Teenhome]])&gt;0,"Has Family","No Family")</f>
        <v>Has Family</v>
      </c>
      <c r="AT668" t="str">
        <f>IF(ifood_data[[#This Row],[marital_Married]]=1,"Married", (IF(ifood_data[[#This Row],[marital_Single]]=1,"Single",(IF(ifood_data[[#This Row],[marital_Divorced]]=1,"Divorced",(IF(ifood_data[[#This Row],[marital_Together]]=1,"Living Together",(IF(ifood_data[[#This Row],[marital_Widow]]=1,"Widow","Other")))))))))</f>
        <v>Married</v>
      </c>
      <c r="AU668" t="str">
        <f>IF(ifood_data[[#This Row],[education_Basic]]=1,"High School",(IF(ifood_data[[#This Row],[education_Graduation]]=1,"Undergraduate Degree",(IF(SUM(AM668,AL668,AI668)&gt;0,"Master's Degree or Higher","Other")))))</f>
        <v>Undergraduate Degree</v>
      </c>
      <c r="AV668" t="str">
        <f>IF(ifood_data[[#All],[Income]]&gt;75000,"75K+",(IF(ifood_data[[#All],[Income]]&gt;50000,"50K-75K",(IF(ifood_data[[#All],[Income]]&gt;35000,"35K-50K","&lt;35K")))))</f>
        <v>50K-75K</v>
      </c>
      <c r="AW668" t="str">
        <f>IF(ifood_data[[#All],[Age]]&gt;60,"60+",(IF(ifood_data[[#All],[Age]]&gt;50,"50-60",(IF(ifood_data[[#All],[Age]]&gt;40,"40-50",(IF(ifood_data[[#All],[Age]]&gt;30,"30-40","&lt;30")))))))</f>
        <v>40-50</v>
      </c>
      <c r="AX668">
        <f t="shared" si="40"/>
        <v>34</v>
      </c>
      <c r="AY668">
        <f t="shared" si="41"/>
        <v>1.9999999999999996</v>
      </c>
      <c r="AZ668">
        <f t="shared" si="42"/>
        <v>9</v>
      </c>
      <c r="BA668">
        <f t="shared" si="43"/>
        <v>6</v>
      </c>
      <c r="BB668">
        <f>SUM(ifood_data[[#This Row],[Recency Score]:[Monetary Score]])</f>
        <v>17</v>
      </c>
      <c r="BC668">
        <f>(_xlfn.PERCENTRANK.INC(ifood_data[[#All],[RFM]],ifood_data[[#This Row],[RFM]],1))*10</f>
        <v>6</v>
      </c>
      <c r="BD668" t="str">
        <f>VLOOKUP(ifood_data[[#This Row],[RFM Score]],'RFM Analysis'!$A$3:$B$14,2,FALSE)</f>
        <v>Promising</v>
      </c>
      <c r="BE668">
        <f>'Regression Models'!$B$101+'Regression Models'!$B$102*ifood_data[[#This Row],[Income]]+'Regression Models'!$B$103*ifood_data[[#This Row],[Age]]+'Regression Models'!$B$104*ifood_data[[#This Row],[Family]]</f>
        <v>747.61157633129244</v>
      </c>
      <c r="BF668" t="str">
        <f>IF(ifood_data[[#This Row],[AcceptedCmpOverall]]=1,"Campaign Respondent","Non-respondent")</f>
        <v>Non-respondent</v>
      </c>
    </row>
    <row r="669" spans="1:58" x14ac:dyDescent="0.35">
      <c r="A669">
        <v>188</v>
      </c>
      <c r="B669">
        <v>63693</v>
      </c>
      <c r="C669">
        <v>0</v>
      </c>
      <c r="D669">
        <v>1</v>
      </c>
      <c r="E669">
        <v>63</v>
      </c>
      <c r="F669">
        <v>587</v>
      </c>
      <c r="G669">
        <v>43</v>
      </c>
      <c r="H669">
        <v>337</v>
      </c>
      <c r="I669">
        <v>42</v>
      </c>
      <c r="J669">
        <v>87</v>
      </c>
      <c r="K669">
        <v>54</v>
      </c>
      <c r="L669">
        <v>3</v>
      </c>
      <c r="M669">
        <v>11</v>
      </c>
      <c r="N669">
        <v>6</v>
      </c>
      <c r="O669">
        <v>9</v>
      </c>
      <c r="P669">
        <v>6</v>
      </c>
      <c r="Q669">
        <v>0</v>
      </c>
      <c r="R669">
        <v>0</v>
      </c>
      <c r="S669">
        <v>0</v>
      </c>
      <c r="T669">
        <v>0</v>
      </c>
      <c r="U669">
        <v>0</v>
      </c>
      <c r="V669">
        <f>IF(SUM(ifood_data[[#This Row],[AcceptedCmp1]:[AcceptedCmp5]])&gt;0,1,0)</f>
        <v>0</v>
      </c>
      <c r="W669">
        <v>0</v>
      </c>
      <c r="X669">
        <v>3</v>
      </c>
      <c r="Y669">
        <v>11</v>
      </c>
      <c r="Z669">
        <v>0</v>
      </c>
      <c r="AA669">
        <v>42</v>
      </c>
      <c r="AB669">
        <v>2417</v>
      </c>
      <c r="AC669" s="28">
        <f>ifood_data[[#This Row],[Customer_Days]]/365</f>
        <v>6.6219178082191785</v>
      </c>
      <c r="AD669">
        <v>1</v>
      </c>
      <c r="AE669">
        <v>0</v>
      </c>
      <c r="AF669">
        <v>0</v>
      </c>
      <c r="AG669">
        <v>0</v>
      </c>
      <c r="AH669">
        <v>0</v>
      </c>
      <c r="AI669">
        <v>0</v>
      </c>
      <c r="AJ669">
        <v>0</v>
      </c>
      <c r="AK669">
        <v>1</v>
      </c>
      <c r="AL669">
        <v>0</v>
      </c>
      <c r="AM669">
        <v>0</v>
      </c>
      <c r="AN669">
        <v>1096</v>
      </c>
      <c r="AO669">
        <v>1042</v>
      </c>
      <c r="AP669">
        <f>ifood_data[[#This Row],[MntTotal]]-ifood_data[[#This Row],[MntRegularProds]]</f>
        <v>54</v>
      </c>
      <c r="AQ669">
        <v>0</v>
      </c>
      <c r="AR669">
        <f>IF(SUM(ifood_data[[#This Row],[Kidhome]:[Teenhome]])&gt;0,1,0)</f>
        <v>1</v>
      </c>
      <c r="AS669" t="str">
        <f>IF(SUM(ifood_data[[#This Row],[Kidhome]:[Teenhome]])&gt;0,"Has Family","No Family")</f>
        <v>Has Family</v>
      </c>
      <c r="AT669" t="str">
        <f>IF(ifood_data[[#This Row],[marital_Married]]=1,"Married", (IF(ifood_data[[#This Row],[marital_Single]]=1,"Single",(IF(ifood_data[[#This Row],[marital_Divorced]]=1,"Divorced",(IF(ifood_data[[#This Row],[marital_Together]]=1,"Living Together",(IF(ifood_data[[#This Row],[marital_Widow]]=1,"Widow","Other")))))))))</f>
        <v>Divorced</v>
      </c>
      <c r="AU669" t="str">
        <f>IF(ifood_data[[#This Row],[education_Basic]]=1,"High School",(IF(ifood_data[[#This Row],[education_Graduation]]=1,"Undergraduate Degree",(IF(SUM(AM669,AL669,AI669)&gt;0,"Master's Degree or Higher","Other")))))</f>
        <v>Undergraduate Degree</v>
      </c>
      <c r="AV669" t="str">
        <f>IF(ifood_data[[#All],[Income]]&gt;75000,"75K+",(IF(ifood_data[[#All],[Income]]&gt;50000,"50K-75K",(IF(ifood_data[[#All],[Income]]&gt;35000,"35K-50K","&lt;35K")))))</f>
        <v>50K-75K</v>
      </c>
      <c r="AW669" t="str">
        <f>IF(ifood_data[[#All],[Age]]&gt;60,"60+",(IF(ifood_data[[#All],[Age]]&gt;50,"50-60",(IF(ifood_data[[#All],[Age]]&gt;40,"40-50",(IF(ifood_data[[#All],[Age]]&gt;30,"30-40","&lt;30")))))))</f>
        <v>40-50</v>
      </c>
      <c r="AX669">
        <f t="shared" si="40"/>
        <v>35</v>
      </c>
      <c r="AY669">
        <f t="shared" si="41"/>
        <v>4</v>
      </c>
      <c r="AZ669">
        <f t="shared" si="42"/>
        <v>9</v>
      </c>
      <c r="BA669">
        <f t="shared" si="43"/>
        <v>7</v>
      </c>
      <c r="BB669">
        <f>SUM(ifood_data[[#This Row],[Recency Score]:[Monetary Score]])</f>
        <v>20</v>
      </c>
      <c r="BC669">
        <f>(_xlfn.PERCENTRANK.INC(ifood_data[[#All],[RFM]],ifood_data[[#This Row],[RFM]],1))*10</f>
        <v>7</v>
      </c>
      <c r="BD669" t="str">
        <f>VLOOKUP(ifood_data[[#This Row],[RFM Score]],'RFM Analysis'!$A$3:$B$14,2,FALSE)</f>
        <v>Loyal Customer</v>
      </c>
      <c r="BE669">
        <f>'Regression Models'!$B$101+'Regression Models'!$B$102*ifood_data[[#This Row],[Income]]+'Regression Models'!$B$103*ifood_data[[#This Row],[Age]]+'Regression Models'!$B$104*ifood_data[[#This Row],[Family]]</f>
        <v>744.06248072831079</v>
      </c>
      <c r="BF669" t="str">
        <f>IF(ifood_data[[#This Row],[AcceptedCmpOverall]]=1,"Campaign Respondent","Non-respondent")</f>
        <v>Non-respondent</v>
      </c>
    </row>
    <row r="670" spans="1:58" x14ac:dyDescent="0.35">
      <c r="A670">
        <v>547</v>
      </c>
      <c r="B670">
        <v>64413</v>
      </c>
      <c r="C670">
        <v>0</v>
      </c>
      <c r="D670">
        <v>1</v>
      </c>
      <c r="E670">
        <v>27</v>
      </c>
      <c r="F670">
        <v>200</v>
      </c>
      <c r="G670">
        <v>5</v>
      </c>
      <c r="H670">
        <v>44</v>
      </c>
      <c r="I670">
        <v>0</v>
      </c>
      <c r="J670">
        <v>10</v>
      </c>
      <c r="K670">
        <v>20</v>
      </c>
      <c r="L670">
        <v>1</v>
      </c>
      <c r="M670">
        <v>5</v>
      </c>
      <c r="N670">
        <v>1</v>
      </c>
      <c r="O670">
        <v>5</v>
      </c>
      <c r="P670">
        <v>5</v>
      </c>
      <c r="Q670">
        <v>0</v>
      </c>
      <c r="R670">
        <v>0</v>
      </c>
      <c r="S670">
        <v>0</v>
      </c>
      <c r="T670">
        <v>0</v>
      </c>
      <c r="U670">
        <v>0</v>
      </c>
      <c r="V670">
        <f>IF(SUM(ifood_data[[#This Row],[AcceptedCmp1]:[AcceptedCmp5]])&gt;0,1,0)</f>
        <v>0</v>
      </c>
      <c r="W670">
        <v>0</v>
      </c>
      <c r="X670">
        <v>3</v>
      </c>
      <c r="Y670">
        <v>11</v>
      </c>
      <c r="Z670">
        <v>0</v>
      </c>
      <c r="AA670">
        <v>50</v>
      </c>
      <c r="AB670">
        <v>2491</v>
      </c>
      <c r="AC670" s="28">
        <f>ifood_data[[#This Row],[Customer_Days]]/365</f>
        <v>6.8246575342465752</v>
      </c>
      <c r="AD670">
        <v>0</v>
      </c>
      <c r="AE670">
        <v>0</v>
      </c>
      <c r="AF670">
        <v>0</v>
      </c>
      <c r="AG670">
        <v>1</v>
      </c>
      <c r="AH670">
        <v>0</v>
      </c>
      <c r="AI670">
        <v>0</v>
      </c>
      <c r="AJ670">
        <v>0</v>
      </c>
      <c r="AK670">
        <v>0</v>
      </c>
      <c r="AL670">
        <v>0</v>
      </c>
      <c r="AM670">
        <v>1</v>
      </c>
      <c r="AN670">
        <v>259</v>
      </c>
      <c r="AO670">
        <v>239</v>
      </c>
      <c r="AP670">
        <f>ifood_data[[#This Row],[MntTotal]]-ifood_data[[#This Row],[MntRegularProds]]</f>
        <v>20</v>
      </c>
      <c r="AQ670">
        <v>0</v>
      </c>
      <c r="AR670">
        <f>IF(SUM(ifood_data[[#This Row],[Kidhome]:[Teenhome]])&gt;0,1,0)</f>
        <v>1</v>
      </c>
      <c r="AS670" t="str">
        <f>IF(SUM(ifood_data[[#This Row],[Kidhome]:[Teenhome]])&gt;0,"Has Family","No Family")</f>
        <v>Has Family</v>
      </c>
      <c r="AT670" t="str">
        <f>IF(ifood_data[[#This Row],[marital_Married]]=1,"Married", (IF(ifood_data[[#This Row],[marital_Single]]=1,"Single",(IF(ifood_data[[#This Row],[marital_Divorced]]=1,"Divorced",(IF(ifood_data[[#This Row],[marital_Together]]=1,"Living Together",(IF(ifood_data[[#This Row],[marital_Widow]]=1,"Widow","Other")))))))))</f>
        <v>Living Together</v>
      </c>
      <c r="AU670" t="str">
        <f>IF(ifood_data[[#This Row],[education_Basic]]=1,"High School",(IF(ifood_data[[#This Row],[education_Graduation]]=1,"Undergraduate Degree",(IF(SUM(AM670,AL670,AI670)&gt;0,"Master's Degree or Higher","Other")))))</f>
        <v>Master's Degree or Higher</v>
      </c>
      <c r="AV670" t="str">
        <f>IF(ifood_data[[#All],[Income]]&gt;75000,"75K+",(IF(ifood_data[[#All],[Income]]&gt;50000,"50K-75K",(IF(ifood_data[[#All],[Income]]&gt;35000,"35K-50K","&lt;35K")))))</f>
        <v>50K-75K</v>
      </c>
      <c r="AW670" t="str">
        <f>IF(ifood_data[[#All],[Age]]&gt;60,"60+",(IF(ifood_data[[#All],[Age]]&gt;50,"50-60",(IF(ifood_data[[#All],[Age]]&gt;40,"40-50",(IF(ifood_data[[#All],[Age]]&gt;30,"30-40","&lt;30")))))))</f>
        <v>40-50</v>
      </c>
      <c r="AX670">
        <f t="shared" si="40"/>
        <v>17</v>
      </c>
      <c r="AY670">
        <f t="shared" si="41"/>
        <v>8</v>
      </c>
      <c r="AZ670">
        <f t="shared" si="42"/>
        <v>3</v>
      </c>
      <c r="BA670">
        <f t="shared" si="43"/>
        <v>4</v>
      </c>
      <c r="BB670">
        <f>SUM(ifood_data[[#This Row],[Recency Score]:[Monetary Score]])</f>
        <v>15</v>
      </c>
      <c r="BC670">
        <f>(_xlfn.PERCENTRANK.INC(ifood_data[[#All],[RFM]],ifood_data[[#This Row],[RFM]],1))*10</f>
        <v>4</v>
      </c>
      <c r="BD670" t="str">
        <f>VLOOKUP(ifood_data[[#This Row],[RFM Score]],'RFM Analysis'!$A$3:$B$14,2,FALSE)</f>
        <v>At Risk</v>
      </c>
      <c r="BE670">
        <f>'Regression Models'!$B$101+'Regression Models'!$B$102*ifood_data[[#This Row],[Income]]+'Regression Models'!$B$103*ifood_data[[#This Row],[Age]]+'Regression Models'!$B$104*ifood_data[[#This Row],[Family]]</f>
        <v>744.05088116076342</v>
      </c>
      <c r="BF670" t="str">
        <f>IF(ifood_data[[#This Row],[AcceptedCmpOverall]]=1,"Campaign Respondent","Non-respondent")</f>
        <v>Non-respondent</v>
      </c>
    </row>
    <row r="671" spans="1:58" x14ac:dyDescent="0.35">
      <c r="A671">
        <v>1141</v>
      </c>
      <c r="B671">
        <v>65748</v>
      </c>
      <c r="C671">
        <v>0</v>
      </c>
      <c r="D671">
        <v>1</v>
      </c>
      <c r="E671">
        <v>58</v>
      </c>
      <c r="F671">
        <v>172</v>
      </c>
      <c r="G671">
        <v>73</v>
      </c>
      <c r="H671">
        <v>93</v>
      </c>
      <c r="I671">
        <v>95</v>
      </c>
      <c r="J671">
        <v>78</v>
      </c>
      <c r="K671">
        <v>34</v>
      </c>
      <c r="L671">
        <v>2</v>
      </c>
      <c r="M671">
        <v>2</v>
      </c>
      <c r="N671">
        <v>4</v>
      </c>
      <c r="O671">
        <v>10</v>
      </c>
      <c r="P671">
        <v>1</v>
      </c>
      <c r="Q671">
        <v>0</v>
      </c>
      <c r="R671">
        <v>0</v>
      </c>
      <c r="S671">
        <v>0</v>
      </c>
      <c r="T671">
        <v>0</v>
      </c>
      <c r="U671">
        <v>0</v>
      </c>
      <c r="V671">
        <f>IF(SUM(ifood_data[[#This Row],[AcceptedCmp1]:[AcceptedCmp5]])&gt;0,1,0)</f>
        <v>0</v>
      </c>
      <c r="W671">
        <v>1</v>
      </c>
      <c r="X671">
        <v>3</v>
      </c>
      <c r="Y671">
        <v>11</v>
      </c>
      <c r="Z671">
        <v>0</v>
      </c>
      <c r="AA671">
        <v>65</v>
      </c>
      <c r="AB671">
        <v>2599</v>
      </c>
      <c r="AC671" s="28">
        <f>ifood_data[[#This Row],[Customer_Days]]/365</f>
        <v>7.1205479452054794</v>
      </c>
      <c r="AD671">
        <v>0</v>
      </c>
      <c r="AE671">
        <v>0</v>
      </c>
      <c r="AF671">
        <v>0</v>
      </c>
      <c r="AG671">
        <v>1</v>
      </c>
      <c r="AH671">
        <v>0</v>
      </c>
      <c r="AI671">
        <v>0</v>
      </c>
      <c r="AJ671">
        <v>0</v>
      </c>
      <c r="AK671">
        <v>1</v>
      </c>
      <c r="AL671">
        <v>0</v>
      </c>
      <c r="AM671">
        <v>0</v>
      </c>
      <c r="AN671">
        <v>511</v>
      </c>
      <c r="AO671">
        <v>477</v>
      </c>
      <c r="AP671">
        <f>ifood_data[[#This Row],[MntTotal]]-ifood_data[[#This Row],[MntRegularProds]]</f>
        <v>34</v>
      </c>
      <c r="AQ671">
        <v>0</v>
      </c>
      <c r="AR671">
        <f>IF(SUM(ifood_data[[#This Row],[Kidhome]:[Teenhome]])&gt;0,1,0)</f>
        <v>1</v>
      </c>
      <c r="AS671" t="str">
        <f>IF(SUM(ifood_data[[#This Row],[Kidhome]:[Teenhome]])&gt;0,"Has Family","No Family")</f>
        <v>Has Family</v>
      </c>
      <c r="AT671" t="str">
        <f>IF(ifood_data[[#This Row],[marital_Married]]=1,"Married", (IF(ifood_data[[#This Row],[marital_Single]]=1,"Single",(IF(ifood_data[[#This Row],[marital_Divorced]]=1,"Divorced",(IF(ifood_data[[#This Row],[marital_Together]]=1,"Living Together",(IF(ifood_data[[#This Row],[marital_Widow]]=1,"Widow","Other")))))))))</f>
        <v>Living Together</v>
      </c>
      <c r="AU671" t="str">
        <f>IF(ifood_data[[#This Row],[education_Basic]]=1,"High School",(IF(ifood_data[[#This Row],[education_Graduation]]=1,"Undergraduate Degree",(IF(SUM(AM671,AL671,AI671)&gt;0,"Master's Degree or Higher","Other")))))</f>
        <v>Undergraduate Degree</v>
      </c>
      <c r="AV671" t="str">
        <f>IF(ifood_data[[#All],[Income]]&gt;75000,"75K+",(IF(ifood_data[[#All],[Income]]&gt;50000,"50K-75K",(IF(ifood_data[[#All],[Income]]&gt;35000,"35K-50K","&lt;35K")))))</f>
        <v>50K-75K</v>
      </c>
      <c r="AW671" t="str">
        <f>IF(ifood_data[[#All],[Age]]&gt;60,"60+",(IF(ifood_data[[#All],[Age]]&gt;50,"50-60",(IF(ifood_data[[#All],[Age]]&gt;40,"40-50",(IF(ifood_data[[#All],[Age]]&gt;30,"30-40","&lt;30")))))))</f>
        <v>60+</v>
      </c>
      <c r="AX671">
        <f t="shared" si="40"/>
        <v>19</v>
      </c>
      <c r="AY671">
        <f t="shared" si="41"/>
        <v>5</v>
      </c>
      <c r="AZ671">
        <f t="shared" si="42"/>
        <v>4</v>
      </c>
      <c r="BA671">
        <f t="shared" si="43"/>
        <v>5</v>
      </c>
      <c r="BB671">
        <f>SUM(ifood_data[[#This Row],[Recency Score]:[Monetary Score]])</f>
        <v>14</v>
      </c>
      <c r="BC671">
        <f>(_xlfn.PERCENTRANK.INC(ifood_data[[#All],[RFM]],ifood_data[[#This Row],[RFM]],1))*10</f>
        <v>4</v>
      </c>
      <c r="BD671" t="str">
        <f>VLOOKUP(ifood_data[[#This Row],[RFM Score]],'RFM Analysis'!$A$3:$B$14,2,FALSE)</f>
        <v>At Risk</v>
      </c>
      <c r="BE671">
        <f>'Regression Models'!$B$101+'Regression Models'!$B$102*ifood_data[[#This Row],[Income]]+'Regression Models'!$B$103*ifood_data[[#This Row],[Age]]+'Regression Models'!$B$104*ifood_data[[#This Row],[Family]]</f>
        <v>743.72330044945409</v>
      </c>
      <c r="BF671" t="str">
        <f>IF(ifood_data[[#This Row],[AcceptedCmpOverall]]=1,"Campaign Respondent","Non-respondent")</f>
        <v>Non-respondent</v>
      </c>
    </row>
    <row r="672" spans="1:58" x14ac:dyDescent="0.35">
      <c r="A672">
        <v>670</v>
      </c>
      <c r="B672">
        <v>66375</v>
      </c>
      <c r="C672">
        <v>0</v>
      </c>
      <c r="D672">
        <v>1</v>
      </c>
      <c r="E672">
        <v>96</v>
      </c>
      <c r="F672">
        <v>712</v>
      </c>
      <c r="G672">
        <v>0</v>
      </c>
      <c r="H672">
        <v>45</v>
      </c>
      <c r="I672">
        <v>0</v>
      </c>
      <c r="J672">
        <v>0</v>
      </c>
      <c r="K672">
        <v>191</v>
      </c>
      <c r="L672">
        <v>3</v>
      </c>
      <c r="M672">
        <v>2</v>
      </c>
      <c r="N672">
        <v>4</v>
      </c>
      <c r="O672">
        <v>5</v>
      </c>
      <c r="P672">
        <v>7</v>
      </c>
      <c r="Q672">
        <v>0</v>
      </c>
      <c r="R672">
        <v>0</v>
      </c>
      <c r="S672">
        <v>1</v>
      </c>
      <c r="T672">
        <v>0</v>
      </c>
      <c r="U672">
        <v>0</v>
      </c>
      <c r="V672">
        <f>IF(SUM(ifood_data[[#This Row],[AcceptedCmp1]:[AcceptedCmp5]])&gt;0,1,0)</f>
        <v>1</v>
      </c>
      <c r="W672">
        <v>0</v>
      </c>
      <c r="X672">
        <v>3</v>
      </c>
      <c r="Y672">
        <v>11</v>
      </c>
      <c r="Z672">
        <v>0</v>
      </c>
      <c r="AA672">
        <v>72</v>
      </c>
      <c r="AB672">
        <v>2379</v>
      </c>
      <c r="AC672" s="28">
        <f>ifood_data[[#This Row],[Customer_Days]]/365</f>
        <v>6.5178082191780824</v>
      </c>
      <c r="AD672">
        <v>0</v>
      </c>
      <c r="AE672">
        <v>0</v>
      </c>
      <c r="AF672">
        <v>0</v>
      </c>
      <c r="AG672">
        <v>1</v>
      </c>
      <c r="AH672">
        <v>0</v>
      </c>
      <c r="AI672">
        <v>0</v>
      </c>
      <c r="AJ672">
        <v>0</v>
      </c>
      <c r="AK672">
        <v>0</v>
      </c>
      <c r="AL672">
        <v>0</v>
      </c>
      <c r="AM672">
        <v>1</v>
      </c>
      <c r="AN672">
        <v>757</v>
      </c>
      <c r="AO672">
        <v>566</v>
      </c>
      <c r="AP672">
        <f>ifood_data[[#This Row],[MntTotal]]-ifood_data[[#This Row],[MntRegularProds]]</f>
        <v>191</v>
      </c>
      <c r="AQ672">
        <v>1</v>
      </c>
      <c r="AR672">
        <f>IF(SUM(ifood_data[[#This Row],[Kidhome]:[Teenhome]])&gt;0,1,0)</f>
        <v>1</v>
      </c>
      <c r="AS672" t="str">
        <f>IF(SUM(ifood_data[[#This Row],[Kidhome]:[Teenhome]])&gt;0,"Has Family","No Family")</f>
        <v>Has Family</v>
      </c>
      <c r="AT672" t="str">
        <f>IF(ifood_data[[#This Row],[marital_Married]]=1,"Married", (IF(ifood_data[[#This Row],[marital_Single]]=1,"Single",(IF(ifood_data[[#This Row],[marital_Divorced]]=1,"Divorced",(IF(ifood_data[[#This Row],[marital_Together]]=1,"Living Together",(IF(ifood_data[[#This Row],[marital_Widow]]=1,"Widow","Other")))))))))</f>
        <v>Living Together</v>
      </c>
      <c r="AU672" t="str">
        <f>IF(ifood_data[[#This Row],[education_Basic]]=1,"High School",(IF(ifood_data[[#This Row],[education_Graduation]]=1,"Undergraduate Degree",(IF(SUM(AM672,AL672,AI672)&gt;0,"Master's Degree or Higher","Other")))))</f>
        <v>Master's Degree or Higher</v>
      </c>
      <c r="AV672" t="str">
        <f>IF(ifood_data[[#All],[Income]]&gt;75000,"75K+",(IF(ifood_data[[#All],[Income]]&gt;50000,"50K-75K",(IF(ifood_data[[#All],[Income]]&gt;35000,"35K-50K","&lt;35K")))))</f>
        <v>50K-75K</v>
      </c>
      <c r="AW672" t="str">
        <f>IF(ifood_data[[#All],[Age]]&gt;60,"60+",(IF(ifood_data[[#All],[Age]]&gt;50,"50-60",(IF(ifood_data[[#All],[Age]]&gt;40,"40-50",(IF(ifood_data[[#All],[Age]]&gt;30,"30-40","&lt;30")))))))</f>
        <v>60+</v>
      </c>
      <c r="AX672">
        <f t="shared" si="40"/>
        <v>21</v>
      </c>
      <c r="AY672">
        <f t="shared" si="41"/>
        <v>0.99999999999999978</v>
      </c>
      <c r="AZ672">
        <f t="shared" si="42"/>
        <v>5</v>
      </c>
      <c r="BA672">
        <f t="shared" si="43"/>
        <v>6</v>
      </c>
      <c r="BB672">
        <f>SUM(ifood_data[[#This Row],[Recency Score]:[Monetary Score]])</f>
        <v>12</v>
      </c>
      <c r="BC672">
        <f>(_xlfn.PERCENTRANK.INC(ifood_data[[#All],[RFM]],ifood_data[[#This Row],[RFM]],1))*10</f>
        <v>3</v>
      </c>
      <c r="BD672" t="str">
        <f>VLOOKUP(ifood_data[[#This Row],[RFM Score]],'RFM Analysis'!$A$3:$B$14,2,FALSE)</f>
        <v>At Risk</v>
      </c>
      <c r="BE672">
        <f>'Regression Models'!$B$101+'Regression Models'!$B$102*ifood_data[[#This Row],[Income]]+'Regression Models'!$B$103*ifood_data[[#This Row],[Age]]+'Regression Models'!$B$104*ifood_data[[#This Row],[Family]]</f>
        <v>743.65198452341917</v>
      </c>
      <c r="BF672" t="str">
        <f>IF(ifood_data[[#This Row],[AcceptedCmpOverall]]=1,"Campaign Respondent","Non-respondent")</f>
        <v>Campaign Respondent</v>
      </c>
    </row>
    <row r="673" spans="1:58" x14ac:dyDescent="0.35">
      <c r="A673">
        <v>47</v>
      </c>
      <c r="B673">
        <v>65486</v>
      </c>
      <c r="C673">
        <v>0</v>
      </c>
      <c r="D673">
        <v>1</v>
      </c>
      <c r="E673">
        <v>29</v>
      </c>
      <c r="F673">
        <v>245</v>
      </c>
      <c r="G673">
        <v>19</v>
      </c>
      <c r="H673">
        <v>125</v>
      </c>
      <c r="I673">
        <v>37</v>
      </c>
      <c r="J673">
        <v>67</v>
      </c>
      <c r="K673">
        <v>14</v>
      </c>
      <c r="L673">
        <v>1</v>
      </c>
      <c r="M673">
        <v>4</v>
      </c>
      <c r="N673">
        <v>2</v>
      </c>
      <c r="O673">
        <v>10</v>
      </c>
      <c r="P673">
        <v>2</v>
      </c>
      <c r="Q673">
        <v>0</v>
      </c>
      <c r="R673">
        <v>0</v>
      </c>
      <c r="S673">
        <v>0</v>
      </c>
      <c r="T673">
        <v>0</v>
      </c>
      <c r="U673">
        <v>0</v>
      </c>
      <c r="V673">
        <f>IF(SUM(ifood_data[[#This Row],[AcceptedCmp1]:[AcceptedCmp5]])&gt;0,1,0)</f>
        <v>0</v>
      </c>
      <c r="W673">
        <v>0</v>
      </c>
      <c r="X673">
        <v>3</v>
      </c>
      <c r="Y673">
        <v>11</v>
      </c>
      <c r="Z673">
        <v>0</v>
      </c>
      <c r="AA673">
        <v>63</v>
      </c>
      <c r="AB673">
        <v>2207</v>
      </c>
      <c r="AC673" s="28">
        <f>ifood_data[[#This Row],[Customer_Days]]/365</f>
        <v>6.0465753424657533</v>
      </c>
      <c r="AD673">
        <v>0</v>
      </c>
      <c r="AE673">
        <v>0</v>
      </c>
      <c r="AF673">
        <v>0</v>
      </c>
      <c r="AG673">
        <v>0</v>
      </c>
      <c r="AH673">
        <v>1</v>
      </c>
      <c r="AI673">
        <v>0</v>
      </c>
      <c r="AJ673">
        <v>0</v>
      </c>
      <c r="AK673">
        <v>1</v>
      </c>
      <c r="AL673">
        <v>0</v>
      </c>
      <c r="AM673">
        <v>0</v>
      </c>
      <c r="AN673">
        <v>493</v>
      </c>
      <c r="AO673">
        <v>479</v>
      </c>
      <c r="AP673">
        <f>ifood_data[[#This Row],[MntTotal]]-ifood_data[[#This Row],[MntRegularProds]]</f>
        <v>14</v>
      </c>
      <c r="AQ673">
        <v>0</v>
      </c>
      <c r="AR673">
        <f>IF(SUM(ifood_data[[#This Row],[Kidhome]:[Teenhome]])&gt;0,1,0)</f>
        <v>1</v>
      </c>
      <c r="AS673" t="str">
        <f>IF(SUM(ifood_data[[#This Row],[Kidhome]:[Teenhome]])&gt;0,"Has Family","No Family")</f>
        <v>Has Family</v>
      </c>
      <c r="AT673" t="str">
        <f>IF(ifood_data[[#This Row],[marital_Married]]=1,"Married", (IF(ifood_data[[#This Row],[marital_Single]]=1,"Single",(IF(ifood_data[[#This Row],[marital_Divorced]]=1,"Divorced",(IF(ifood_data[[#This Row],[marital_Together]]=1,"Living Together",(IF(ifood_data[[#This Row],[marital_Widow]]=1,"Widow","Other")))))))))</f>
        <v>Widow</v>
      </c>
      <c r="AU673" t="str">
        <f>IF(ifood_data[[#This Row],[education_Basic]]=1,"High School",(IF(ifood_data[[#This Row],[education_Graduation]]=1,"Undergraduate Degree",(IF(SUM(AM673,AL673,AI673)&gt;0,"Master's Degree or Higher","Other")))))</f>
        <v>Undergraduate Degree</v>
      </c>
      <c r="AV673" t="str">
        <f>IF(ifood_data[[#All],[Income]]&gt;75000,"75K+",(IF(ifood_data[[#All],[Income]]&gt;50000,"50K-75K",(IF(ifood_data[[#All],[Income]]&gt;35000,"35K-50K","&lt;35K")))))</f>
        <v>50K-75K</v>
      </c>
      <c r="AW673" t="str">
        <f>IF(ifood_data[[#All],[Age]]&gt;60,"60+",(IF(ifood_data[[#All],[Age]]&gt;50,"50-60",(IF(ifood_data[[#All],[Age]]&gt;40,"40-50",(IF(ifood_data[[#All],[Age]]&gt;30,"30-40","&lt;30")))))))</f>
        <v>60+</v>
      </c>
      <c r="AX673">
        <f t="shared" si="40"/>
        <v>19</v>
      </c>
      <c r="AY673">
        <f t="shared" si="41"/>
        <v>8</v>
      </c>
      <c r="AZ673">
        <f t="shared" si="42"/>
        <v>4</v>
      </c>
      <c r="BA673">
        <f t="shared" si="43"/>
        <v>5</v>
      </c>
      <c r="BB673">
        <f>SUM(ifood_data[[#This Row],[Recency Score]:[Monetary Score]])</f>
        <v>17</v>
      </c>
      <c r="BC673">
        <f>(_xlfn.PERCENTRANK.INC(ifood_data[[#All],[RFM]],ifood_data[[#This Row],[RFM]],1))*10</f>
        <v>6</v>
      </c>
      <c r="BD673" t="str">
        <f>VLOOKUP(ifood_data[[#This Row],[RFM Score]],'RFM Analysis'!$A$3:$B$14,2,FALSE)</f>
        <v>Promising</v>
      </c>
      <c r="BE673">
        <f>'Regression Models'!$B$101+'Regression Models'!$B$102*ifood_data[[#This Row],[Income]]+'Regression Models'!$B$103*ifood_data[[#This Row],[Age]]+'Regression Models'!$B$104*ifood_data[[#This Row],[Family]]</f>
        <v>742.05432135354147</v>
      </c>
      <c r="BF673" t="str">
        <f>IF(ifood_data[[#This Row],[AcceptedCmpOverall]]=1,"Campaign Respondent","Non-respondent")</f>
        <v>Non-respondent</v>
      </c>
    </row>
    <row r="674" spans="1:58" x14ac:dyDescent="0.35">
      <c r="A674">
        <v>1003</v>
      </c>
      <c r="B674">
        <v>65196</v>
      </c>
      <c r="C674">
        <v>0</v>
      </c>
      <c r="D674">
        <v>2</v>
      </c>
      <c r="E674">
        <v>34</v>
      </c>
      <c r="F674">
        <v>743</v>
      </c>
      <c r="G674">
        <v>19</v>
      </c>
      <c r="H674">
        <v>181</v>
      </c>
      <c r="I674">
        <v>12</v>
      </c>
      <c r="J674">
        <v>0</v>
      </c>
      <c r="K674">
        <v>200</v>
      </c>
      <c r="L674">
        <v>2</v>
      </c>
      <c r="M674">
        <v>7</v>
      </c>
      <c r="N674">
        <v>6</v>
      </c>
      <c r="O674">
        <v>11</v>
      </c>
      <c r="P674">
        <v>5</v>
      </c>
      <c r="Q674">
        <v>0</v>
      </c>
      <c r="R674">
        <v>0</v>
      </c>
      <c r="S674">
        <v>1</v>
      </c>
      <c r="T674">
        <v>0</v>
      </c>
      <c r="U674">
        <v>0</v>
      </c>
      <c r="V674">
        <f>IF(SUM(ifood_data[[#This Row],[AcceptedCmp1]:[AcceptedCmp5]])&gt;0,1,0)</f>
        <v>1</v>
      </c>
      <c r="W674">
        <v>0</v>
      </c>
      <c r="X674">
        <v>3</v>
      </c>
      <c r="Y674">
        <v>11</v>
      </c>
      <c r="Z674">
        <v>0</v>
      </c>
      <c r="AA674">
        <v>62</v>
      </c>
      <c r="AB674">
        <v>2498</v>
      </c>
      <c r="AC674" s="28">
        <f>ifood_data[[#This Row],[Customer_Days]]/365</f>
        <v>6.8438356164383558</v>
      </c>
      <c r="AD674">
        <v>0</v>
      </c>
      <c r="AE674">
        <v>0</v>
      </c>
      <c r="AF674">
        <v>0</v>
      </c>
      <c r="AG674">
        <v>1</v>
      </c>
      <c r="AH674">
        <v>0</v>
      </c>
      <c r="AI674">
        <v>0</v>
      </c>
      <c r="AJ674">
        <v>0</v>
      </c>
      <c r="AK674">
        <v>1</v>
      </c>
      <c r="AL674">
        <v>0</v>
      </c>
      <c r="AM674">
        <v>0</v>
      </c>
      <c r="AN674">
        <v>955</v>
      </c>
      <c r="AO674">
        <v>755</v>
      </c>
      <c r="AP674">
        <f>ifood_data[[#This Row],[MntTotal]]-ifood_data[[#This Row],[MntRegularProds]]</f>
        <v>200</v>
      </c>
      <c r="AQ674">
        <v>1</v>
      </c>
      <c r="AR674">
        <f>IF(SUM(ifood_data[[#This Row],[Kidhome]:[Teenhome]])&gt;0,1,0)</f>
        <v>1</v>
      </c>
      <c r="AS674" t="str">
        <f>IF(SUM(ifood_data[[#This Row],[Kidhome]:[Teenhome]])&gt;0,"Has Family","No Family")</f>
        <v>Has Family</v>
      </c>
      <c r="AT674" t="str">
        <f>IF(ifood_data[[#This Row],[marital_Married]]=1,"Married", (IF(ifood_data[[#This Row],[marital_Single]]=1,"Single",(IF(ifood_data[[#This Row],[marital_Divorced]]=1,"Divorced",(IF(ifood_data[[#This Row],[marital_Together]]=1,"Living Together",(IF(ifood_data[[#This Row],[marital_Widow]]=1,"Widow","Other")))))))))</f>
        <v>Living Together</v>
      </c>
      <c r="AU674" t="str">
        <f>IF(ifood_data[[#This Row],[education_Basic]]=1,"High School",(IF(ifood_data[[#This Row],[education_Graduation]]=1,"Undergraduate Degree",(IF(SUM(AM674,AL674,AI674)&gt;0,"Master's Degree or Higher","Other")))))</f>
        <v>Undergraduate Degree</v>
      </c>
      <c r="AV674" t="str">
        <f>IF(ifood_data[[#All],[Income]]&gt;75000,"75K+",(IF(ifood_data[[#All],[Income]]&gt;50000,"50K-75K",(IF(ifood_data[[#All],[Income]]&gt;35000,"35K-50K","&lt;35K")))))</f>
        <v>50K-75K</v>
      </c>
      <c r="AW674" t="str">
        <f>IF(ifood_data[[#All],[Age]]&gt;60,"60+",(IF(ifood_data[[#All],[Age]]&gt;50,"50-60",(IF(ifood_data[[#All],[Age]]&gt;40,"40-50",(IF(ifood_data[[#All],[Age]]&gt;30,"30-40","&lt;30")))))))</f>
        <v>60+</v>
      </c>
      <c r="AX674">
        <f t="shared" si="40"/>
        <v>31</v>
      </c>
      <c r="AY674">
        <f t="shared" si="41"/>
        <v>7</v>
      </c>
      <c r="AZ674">
        <f t="shared" si="42"/>
        <v>9</v>
      </c>
      <c r="BA674">
        <f t="shared" si="43"/>
        <v>7</v>
      </c>
      <c r="BB674">
        <f>SUM(ifood_data[[#This Row],[Recency Score]:[Monetary Score]])</f>
        <v>23</v>
      </c>
      <c r="BC674">
        <f>(_xlfn.PERCENTRANK.INC(ifood_data[[#All],[RFM]],ifood_data[[#This Row],[RFM]],1))*10</f>
        <v>8</v>
      </c>
      <c r="BD674" t="str">
        <f>VLOOKUP(ifood_data[[#This Row],[RFM Score]],'RFM Analysis'!$A$3:$B$14,2,FALSE)</f>
        <v>Loyal Customer</v>
      </c>
      <c r="BE674">
        <f>'Regression Models'!$B$101+'Regression Models'!$B$102*ifood_data[[#This Row],[Income]]+'Regression Models'!$B$103*ifood_data[[#This Row],[Age]]+'Regression Models'!$B$104*ifood_data[[#This Row],[Family]]</f>
        <v>737.97801767070484</v>
      </c>
      <c r="BF674" t="str">
        <f>IF(ifood_data[[#This Row],[AcceptedCmpOverall]]=1,"Campaign Respondent","Non-respondent")</f>
        <v>Campaign Respondent</v>
      </c>
    </row>
    <row r="675" spans="1:58" x14ac:dyDescent="0.35">
      <c r="A675">
        <v>1371</v>
      </c>
      <c r="B675">
        <v>65148</v>
      </c>
      <c r="C675">
        <v>0</v>
      </c>
      <c r="D675">
        <v>1</v>
      </c>
      <c r="E675">
        <v>9</v>
      </c>
      <c r="F675">
        <v>460</v>
      </c>
      <c r="G675">
        <v>35</v>
      </c>
      <c r="H675">
        <v>422</v>
      </c>
      <c r="I675">
        <v>33</v>
      </c>
      <c r="J675">
        <v>12</v>
      </c>
      <c r="K675">
        <v>153</v>
      </c>
      <c r="L675">
        <v>2</v>
      </c>
      <c r="M675">
        <v>6</v>
      </c>
      <c r="N675">
        <v>6</v>
      </c>
      <c r="O675">
        <v>7</v>
      </c>
      <c r="P675">
        <v>4</v>
      </c>
      <c r="Q675">
        <v>0</v>
      </c>
      <c r="R675">
        <v>0</v>
      </c>
      <c r="S675">
        <v>0</v>
      </c>
      <c r="T675">
        <v>0</v>
      </c>
      <c r="U675">
        <v>0</v>
      </c>
      <c r="V675">
        <f>IF(SUM(ifood_data[[#This Row],[AcceptedCmp1]:[AcceptedCmp5]])&gt;0,1,0)</f>
        <v>0</v>
      </c>
      <c r="W675">
        <v>0</v>
      </c>
      <c r="X675">
        <v>3</v>
      </c>
      <c r="Y675">
        <v>11</v>
      </c>
      <c r="Z675">
        <v>0</v>
      </c>
      <c r="AA675">
        <v>62</v>
      </c>
      <c r="AB675">
        <v>2749</v>
      </c>
      <c r="AC675" s="28">
        <f>ifood_data[[#This Row],[Customer_Days]]/365</f>
        <v>7.5315068493150683</v>
      </c>
      <c r="AD675">
        <v>0</v>
      </c>
      <c r="AE675">
        <v>1</v>
      </c>
      <c r="AF675">
        <v>0</v>
      </c>
      <c r="AG675">
        <v>0</v>
      </c>
      <c r="AH675">
        <v>0</v>
      </c>
      <c r="AI675">
        <v>0</v>
      </c>
      <c r="AJ675">
        <v>0</v>
      </c>
      <c r="AK675">
        <v>1</v>
      </c>
      <c r="AL675">
        <v>0</v>
      </c>
      <c r="AM675">
        <v>0</v>
      </c>
      <c r="AN675">
        <v>962</v>
      </c>
      <c r="AO675">
        <v>809</v>
      </c>
      <c r="AP675">
        <f>ifood_data[[#This Row],[MntTotal]]-ifood_data[[#This Row],[MntRegularProds]]</f>
        <v>153</v>
      </c>
      <c r="AQ675">
        <v>0</v>
      </c>
      <c r="AR675">
        <f>IF(SUM(ifood_data[[#This Row],[Kidhome]:[Teenhome]])&gt;0,1,0)</f>
        <v>1</v>
      </c>
      <c r="AS675" t="str">
        <f>IF(SUM(ifood_data[[#This Row],[Kidhome]:[Teenhome]])&gt;0,"Has Family","No Family")</f>
        <v>Has Family</v>
      </c>
      <c r="AT675" t="str">
        <f>IF(ifood_data[[#This Row],[marital_Married]]=1,"Married", (IF(ifood_data[[#This Row],[marital_Single]]=1,"Single",(IF(ifood_data[[#This Row],[marital_Divorced]]=1,"Divorced",(IF(ifood_data[[#This Row],[marital_Together]]=1,"Living Together",(IF(ifood_data[[#This Row],[marital_Widow]]=1,"Widow","Other")))))))))</f>
        <v>Married</v>
      </c>
      <c r="AU675" t="str">
        <f>IF(ifood_data[[#This Row],[education_Basic]]=1,"High School",(IF(ifood_data[[#This Row],[education_Graduation]]=1,"Undergraduate Degree",(IF(SUM(AM675,AL675,AI675)&gt;0,"Master's Degree or Higher","Other")))))</f>
        <v>Undergraduate Degree</v>
      </c>
      <c r="AV675" t="str">
        <f>IF(ifood_data[[#All],[Income]]&gt;75000,"75K+",(IF(ifood_data[[#All],[Income]]&gt;50000,"50K-75K",(IF(ifood_data[[#All],[Income]]&gt;35000,"35K-50K","&lt;35K")))))</f>
        <v>50K-75K</v>
      </c>
      <c r="AW675" t="str">
        <f>IF(ifood_data[[#All],[Age]]&gt;60,"60+",(IF(ifood_data[[#All],[Age]]&gt;50,"50-60",(IF(ifood_data[[#All],[Age]]&gt;40,"40-50",(IF(ifood_data[[#All],[Age]]&gt;30,"30-40","&lt;30")))))))</f>
        <v>60+</v>
      </c>
      <c r="AX675">
        <f t="shared" si="40"/>
        <v>25</v>
      </c>
      <c r="AY675">
        <f t="shared" si="41"/>
        <v>10</v>
      </c>
      <c r="AZ675">
        <f t="shared" si="42"/>
        <v>7</v>
      </c>
      <c r="BA675">
        <f t="shared" si="43"/>
        <v>7</v>
      </c>
      <c r="BB675">
        <f>SUM(ifood_data[[#This Row],[Recency Score]:[Monetary Score]])</f>
        <v>24</v>
      </c>
      <c r="BC675">
        <f>(_xlfn.PERCENTRANK.INC(ifood_data[[#All],[RFM]],ifood_data[[#This Row],[RFM]],1))*10</f>
        <v>9</v>
      </c>
      <c r="BD675" t="str">
        <f>VLOOKUP(ifood_data[[#This Row],[RFM Score]],'RFM Analysis'!$A$3:$B$14,2,FALSE)</f>
        <v>Top Customer</v>
      </c>
      <c r="BE675">
        <f>'Regression Models'!$B$101+'Regression Models'!$B$102*ifood_data[[#This Row],[Income]]+'Regression Models'!$B$103*ifood_data[[#This Row],[Age]]+'Regression Models'!$B$104*ifood_data[[#This Row],[Family]]</f>
        <v>736.99935679979797</v>
      </c>
      <c r="BF675" t="str">
        <f>IF(ifood_data[[#This Row],[AcceptedCmpOverall]]=1,"Campaign Respondent","Non-respondent")</f>
        <v>Non-respondent</v>
      </c>
    </row>
    <row r="676" spans="1:58" x14ac:dyDescent="0.35">
      <c r="A676">
        <v>67</v>
      </c>
      <c r="B676">
        <v>65031</v>
      </c>
      <c r="C676">
        <v>0</v>
      </c>
      <c r="D676">
        <v>1</v>
      </c>
      <c r="E676">
        <v>29</v>
      </c>
      <c r="F676">
        <v>258</v>
      </c>
      <c r="G676">
        <v>107</v>
      </c>
      <c r="H676">
        <v>291</v>
      </c>
      <c r="I676">
        <v>84</v>
      </c>
      <c r="J676">
        <v>37</v>
      </c>
      <c r="K676">
        <v>86</v>
      </c>
      <c r="L676">
        <v>4</v>
      </c>
      <c r="M676">
        <v>10</v>
      </c>
      <c r="N676">
        <v>3</v>
      </c>
      <c r="O676">
        <v>13</v>
      </c>
      <c r="P676">
        <v>7</v>
      </c>
      <c r="Q676">
        <v>0</v>
      </c>
      <c r="R676">
        <v>0</v>
      </c>
      <c r="S676">
        <v>0</v>
      </c>
      <c r="T676">
        <v>0</v>
      </c>
      <c r="U676">
        <v>0</v>
      </c>
      <c r="V676">
        <f>IF(SUM(ifood_data[[#This Row],[AcceptedCmp1]:[AcceptedCmp5]])&gt;0,1,0)</f>
        <v>0</v>
      </c>
      <c r="W676">
        <v>0</v>
      </c>
      <c r="X676">
        <v>3</v>
      </c>
      <c r="Y676">
        <v>11</v>
      </c>
      <c r="Z676">
        <v>0</v>
      </c>
      <c r="AA676">
        <v>61</v>
      </c>
      <c r="AB676">
        <v>2628</v>
      </c>
      <c r="AC676" s="28">
        <f>ifood_data[[#This Row],[Customer_Days]]/365</f>
        <v>7.2</v>
      </c>
      <c r="AD676">
        <v>0</v>
      </c>
      <c r="AE676">
        <v>1</v>
      </c>
      <c r="AF676">
        <v>0</v>
      </c>
      <c r="AG676">
        <v>0</v>
      </c>
      <c r="AH676">
        <v>0</v>
      </c>
      <c r="AI676">
        <v>0</v>
      </c>
      <c r="AJ676">
        <v>0</v>
      </c>
      <c r="AK676">
        <v>1</v>
      </c>
      <c r="AL676">
        <v>0</v>
      </c>
      <c r="AM676">
        <v>0</v>
      </c>
      <c r="AN676">
        <v>777</v>
      </c>
      <c r="AO676">
        <v>691</v>
      </c>
      <c r="AP676">
        <f>ifood_data[[#This Row],[MntTotal]]-ifood_data[[#This Row],[MntRegularProds]]</f>
        <v>86</v>
      </c>
      <c r="AQ676">
        <v>0</v>
      </c>
      <c r="AR676">
        <f>IF(SUM(ifood_data[[#This Row],[Kidhome]:[Teenhome]])&gt;0,1,0)</f>
        <v>1</v>
      </c>
      <c r="AS676" t="str">
        <f>IF(SUM(ifood_data[[#This Row],[Kidhome]:[Teenhome]])&gt;0,"Has Family","No Family")</f>
        <v>Has Family</v>
      </c>
      <c r="AT676" t="str">
        <f>IF(ifood_data[[#This Row],[marital_Married]]=1,"Married", (IF(ifood_data[[#This Row],[marital_Single]]=1,"Single",(IF(ifood_data[[#This Row],[marital_Divorced]]=1,"Divorced",(IF(ifood_data[[#This Row],[marital_Together]]=1,"Living Together",(IF(ifood_data[[#This Row],[marital_Widow]]=1,"Widow","Other")))))))))</f>
        <v>Married</v>
      </c>
      <c r="AU676" t="str">
        <f>IF(ifood_data[[#This Row],[education_Basic]]=1,"High School",(IF(ifood_data[[#This Row],[education_Graduation]]=1,"Undergraduate Degree",(IF(SUM(AM676,AL676,AI676)&gt;0,"Master's Degree or Higher","Other")))))</f>
        <v>Undergraduate Degree</v>
      </c>
      <c r="AV676" t="str">
        <f>IF(ifood_data[[#All],[Income]]&gt;75000,"75K+",(IF(ifood_data[[#All],[Income]]&gt;50000,"50K-75K",(IF(ifood_data[[#All],[Income]]&gt;35000,"35K-50K","&lt;35K")))))</f>
        <v>50K-75K</v>
      </c>
      <c r="AW676" t="str">
        <f>IF(ifood_data[[#All],[Age]]&gt;60,"60+",(IF(ifood_data[[#All],[Age]]&gt;50,"50-60",(IF(ifood_data[[#All],[Age]]&gt;40,"40-50",(IF(ifood_data[[#All],[Age]]&gt;30,"30-40","&lt;30")))))))</f>
        <v>60+</v>
      </c>
      <c r="AX676">
        <f t="shared" si="40"/>
        <v>37</v>
      </c>
      <c r="AY676">
        <f t="shared" si="41"/>
        <v>8</v>
      </c>
      <c r="AZ676">
        <f t="shared" si="42"/>
        <v>9</v>
      </c>
      <c r="BA676">
        <f t="shared" si="43"/>
        <v>6</v>
      </c>
      <c r="BB676">
        <f>SUM(ifood_data[[#This Row],[Recency Score]:[Monetary Score]])</f>
        <v>23</v>
      </c>
      <c r="BC676">
        <f>(_xlfn.PERCENTRANK.INC(ifood_data[[#All],[RFM]],ifood_data[[#This Row],[RFM]],1))*10</f>
        <v>8</v>
      </c>
      <c r="BD676" t="str">
        <f>VLOOKUP(ifood_data[[#This Row],[RFM Score]],'RFM Analysis'!$A$3:$B$14,2,FALSE)</f>
        <v>Loyal Customer</v>
      </c>
      <c r="BE676">
        <f>'Regression Models'!$B$101+'Regression Models'!$B$102*ifood_data[[#This Row],[Income]]+'Regression Models'!$B$103*ifood_data[[#This Row],[Age]]+'Regression Models'!$B$104*ifood_data[[#This Row],[Family]]</f>
        <v>736.45031000585584</v>
      </c>
      <c r="BF676" t="str">
        <f>IF(ifood_data[[#This Row],[AcceptedCmpOverall]]=1,"Campaign Respondent","Non-respondent")</f>
        <v>Non-respondent</v>
      </c>
    </row>
    <row r="677" spans="1:58" x14ac:dyDescent="0.35">
      <c r="A677">
        <v>951</v>
      </c>
      <c r="B677">
        <v>65569</v>
      </c>
      <c r="C677">
        <v>0</v>
      </c>
      <c r="D677">
        <v>1</v>
      </c>
      <c r="E677">
        <v>96</v>
      </c>
      <c r="F677">
        <v>397</v>
      </c>
      <c r="G677">
        <v>46</v>
      </c>
      <c r="H677">
        <v>288</v>
      </c>
      <c r="I677">
        <v>20</v>
      </c>
      <c r="J677">
        <v>38</v>
      </c>
      <c r="K677">
        <v>70</v>
      </c>
      <c r="L677">
        <v>2</v>
      </c>
      <c r="M677">
        <v>6</v>
      </c>
      <c r="N677">
        <v>5</v>
      </c>
      <c r="O677">
        <v>10</v>
      </c>
      <c r="P677">
        <v>3</v>
      </c>
      <c r="Q677">
        <v>0</v>
      </c>
      <c r="R677">
        <v>0</v>
      </c>
      <c r="S677">
        <v>0</v>
      </c>
      <c r="T677">
        <v>0</v>
      </c>
      <c r="U677">
        <v>0</v>
      </c>
      <c r="V677">
        <f>IF(SUM(ifood_data[[#This Row],[AcceptedCmp1]:[AcceptedCmp5]])&gt;0,1,0)</f>
        <v>0</v>
      </c>
      <c r="W677">
        <v>0</v>
      </c>
      <c r="X677">
        <v>3</v>
      </c>
      <c r="Y677">
        <v>11</v>
      </c>
      <c r="Z677">
        <v>0</v>
      </c>
      <c r="AA677">
        <v>67</v>
      </c>
      <c r="AB677">
        <v>2760</v>
      </c>
      <c r="AC677" s="28">
        <f>ifood_data[[#This Row],[Customer_Days]]/365</f>
        <v>7.5616438356164384</v>
      </c>
      <c r="AD677">
        <v>0</v>
      </c>
      <c r="AE677">
        <v>1</v>
      </c>
      <c r="AF677">
        <v>0</v>
      </c>
      <c r="AG677">
        <v>0</v>
      </c>
      <c r="AH677">
        <v>0</v>
      </c>
      <c r="AI677">
        <v>0</v>
      </c>
      <c r="AJ677">
        <v>0</v>
      </c>
      <c r="AK677">
        <v>0</v>
      </c>
      <c r="AL677">
        <v>1</v>
      </c>
      <c r="AM677">
        <v>0</v>
      </c>
      <c r="AN677">
        <v>789</v>
      </c>
      <c r="AO677">
        <v>719</v>
      </c>
      <c r="AP677">
        <f>ifood_data[[#This Row],[MntTotal]]-ifood_data[[#This Row],[MntRegularProds]]</f>
        <v>70</v>
      </c>
      <c r="AQ677">
        <v>0</v>
      </c>
      <c r="AR677">
        <f>IF(SUM(ifood_data[[#This Row],[Kidhome]:[Teenhome]])&gt;0,1,0)</f>
        <v>1</v>
      </c>
      <c r="AS677" t="str">
        <f>IF(SUM(ifood_data[[#This Row],[Kidhome]:[Teenhome]])&gt;0,"Has Family","No Family")</f>
        <v>Has Family</v>
      </c>
      <c r="AT677" t="str">
        <f>IF(ifood_data[[#This Row],[marital_Married]]=1,"Married", (IF(ifood_data[[#This Row],[marital_Single]]=1,"Single",(IF(ifood_data[[#This Row],[marital_Divorced]]=1,"Divorced",(IF(ifood_data[[#This Row],[marital_Together]]=1,"Living Together",(IF(ifood_data[[#This Row],[marital_Widow]]=1,"Widow","Other")))))))))</f>
        <v>Married</v>
      </c>
      <c r="AU677" t="str">
        <f>IF(ifood_data[[#This Row],[education_Basic]]=1,"High School",(IF(ifood_data[[#This Row],[education_Graduation]]=1,"Undergraduate Degree",(IF(SUM(AM677,AL677,AI677)&gt;0,"Master's Degree or Higher","Other")))))</f>
        <v>Master's Degree or Higher</v>
      </c>
      <c r="AV677" t="str">
        <f>IF(ifood_data[[#All],[Income]]&gt;75000,"75K+",(IF(ifood_data[[#All],[Income]]&gt;50000,"50K-75K",(IF(ifood_data[[#All],[Income]]&gt;35000,"35K-50K","&lt;35K")))))</f>
        <v>50K-75K</v>
      </c>
      <c r="AW677" t="str">
        <f>IF(ifood_data[[#All],[Age]]&gt;60,"60+",(IF(ifood_data[[#All],[Age]]&gt;50,"50-60",(IF(ifood_data[[#All],[Age]]&gt;40,"40-50",(IF(ifood_data[[#All],[Age]]&gt;30,"30-40","&lt;30")))))))</f>
        <v>60+</v>
      </c>
      <c r="AX677">
        <f t="shared" si="40"/>
        <v>26</v>
      </c>
      <c r="AY677">
        <f t="shared" si="41"/>
        <v>0.99999999999999978</v>
      </c>
      <c r="AZ677">
        <f t="shared" si="42"/>
        <v>7</v>
      </c>
      <c r="BA677">
        <f t="shared" si="43"/>
        <v>6</v>
      </c>
      <c r="BB677">
        <f>SUM(ifood_data[[#This Row],[Recency Score]:[Monetary Score]])</f>
        <v>14</v>
      </c>
      <c r="BC677">
        <f>(_xlfn.PERCENTRANK.INC(ifood_data[[#All],[RFM]],ifood_data[[#This Row],[RFM]],1))*10</f>
        <v>4</v>
      </c>
      <c r="BD677" t="str">
        <f>VLOOKUP(ifood_data[[#This Row],[RFM Score]],'RFM Analysis'!$A$3:$B$14,2,FALSE)</f>
        <v>At Risk</v>
      </c>
      <c r="BE677">
        <f>'Regression Models'!$B$101+'Regression Models'!$B$102*ifood_data[[#This Row],[Income]]+'Regression Models'!$B$103*ifood_data[[#This Row],[Age]]+'Regression Models'!$B$104*ifood_data[[#This Row],[Family]]</f>
        <v>736.40083279390763</v>
      </c>
      <c r="BF677" t="str">
        <f>IF(ifood_data[[#This Row],[AcceptedCmpOverall]]=1,"Campaign Respondent","Non-respondent")</f>
        <v>Non-respondent</v>
      </c>
    </row>
    <row r="678" spans="1:58" x14ac:dyDescent="0.35">
      <c r="A678">
        <v>1957</v>
      </c>
      <c r="B678">
        <v>62994</v>
      </c>
      <c r="C678">
        <v>1</v>
      </c>
      <c r="D678">
        <v>0</v>
      </c>
      <c r="E678">
        <v>74</v>
      </c>
      <c r="F678">
        <v>224</v>
      </c>
      <c r="G678">
        <v>12</v>
      </c>
      <c r="H678">
        <v>48</v>
      </c>
      <c r="I678">
        <v>4</v>
      </c>
      <c r="J678">
        <v>12</v>
      </c>
      <c r="K678">
        <v>12</v>
      </c>
      <c r="L678">
        <v>1</v>
      </c>
      <c r="M678">
        <v>6</v>
      </c>
      <c r="N678">
        <v>2</v>
      </c>
      <c r="O678">
        <v>4</v>
      </c>
      <c r="P678">
        <v>6</v>
      </c>
      <c r="Q678">
        <v>0</v>
      </c>
      <c r="R678">
        <v>0</v>
      </c>
      <c r="S678">
        <v>0</v>
      </c>
      <c r="T678">
        <v>0</v>
      </c>
      <c r="U678">
        <v>0</v>
      </c>
      <c r="V678">
        <f>IF(SUM(ifood_data[[#This Row],[AcceptedCmp1]:[AcceptedCmp5]])&gt;0,1,0)</f>
        <v>0</v>
      </c>
      <c r="W678">
        <v>0</v>
      </c>
      <c r="X678">
        <v>3</v>
      </c>
      <c r="Y678">
        <v>11</v>
      </c>
      <c r="Z678">
        <v>0</v>
      </c>
      <c r="AA678">
        <v>40</v>
      </c>
      <c r="AB678">
        <v>2276</v>
      </c>
      <c r="AC678" s="28">
        <f>ifood_data[[#This Row],[Customer_Days]]/365</f>
        <v>6.2356164383561641</v>
      </c>
      <c r="AD678">
        <v>0</v>
      </c>
      <c r="AE678">
        <v>0</v>
      </c>
      <c r="AF678">
        <v>0</v>
      </c>
      <c r="AG678">
        <v>1</v>
      </c>
      <c r="AH678">
        <v>0</v>
      </c>
      <c r="AI678">
        <v>0</v>
      </c>
      <c r="AJ678">
        <v>0</v>
      </c>
      <c r="AK678">
        <v>1</v>
      </c>
      <c r="AL678">
        <v>0</v>
      </c>
      <c r="AM678">
        <v>0</v>
      </c>
      <c r="AN678">
        <v>300</v>
      </c>
      <c r="AO678">
        <v>288</v>
      </c>
      <c r="AP678">
        <f>ifood_data[[#This Row],[MntTotal]]-ifood_data[[#This Row],[MntRegularProds]]</f>
        <v>12</v>
      </c>
      <c r="AQ678">
        <v>0</v>
      </c>
      <c r="AR678">
        <f>IF(SUM(ifood_data[[#This Row],[Kidhome]:[Teenhome]])&gt;0,1,0)</f>
        <v>1</v>
      </c>
      <c r="AS678" t="str">
        <f>IF(SUM(ifood_data[[#This Row],[Kidhome]:[Teenhome]])&gt;0,"Has Family","No Family")</f>
        <v>Has Family</v>
      </c>
      <c r="AT678" t="str">
        <f>IF(ifood_data[[#This Row],[marital_Married]]=1,"Married", (IF(ifood_data[[#This Row],[marital_Single]]=1,"Single",(IF(ifood_data[[#This Row],[marital_Divorced]]=1,"Divorced",(IF(ifood_data[[#This Row],[marital_Together]]=1,"Living Together",(IF(ifood_data[[#This Row],[marital_Widow]]=1,"Widow","Other")))))))))</f>
        <v>Living Together</v>
      </c>
      <c r="AU678" t="str">
        <f>IF(ifood_data[[#This Row],[education_Basic]]=1,"High School",(IF(ifood_data[[#This Row],[education_Graduation]]=1,"Undergraduate Degree",(IF(SUM(AM678,AL678,AI678)&gt;0,"Master's Degree or Higher","Other")))))</f>
        <v>Undergraduate Degree</v>
      </c>
      <c r="AV678" t="str">
        <f>IF(ifood_data[[#All],[Income]]&gt;75000,"75K+",(IF(ifood_data[[#All],[Income]]&gt;50000,"50K-75K",(IF(ifood_data[[#All],[Income]]&gt;35000,"35K-50K","&lt;35K")))))</f>
        <v>50K-75K</v>
      </c>
      <c r="AW678" t="str">
        <f>IF(ifood_data[[#All],[Age]]&gt;60,"60+",(IF(ifood_data[[#All],[Age]]&gt;50,"50-60",(IF(ifood_data[[#All],[Age]]&gt;40,"40-50",(IF(ifood_data[[#All],[Age]]&gt;30,"30-40","&lt;30")))))))</f>
        <v>30-40</v>
      </c>
      <c r="AX678">
        <f t="shared" si="40"/>
        <v>19</v>
      </c>
      <c r="AY678">
        <f t="shared" si="41"/>
        <v>3.0000000000000004</v>
      </c>
      <c r="AZ678">
        <f t="shared" si="42"/>
        <v>4</v>
      </c>
      <c r="BA678">
        <f t="shared" si="43"/>
        <v>4</v>
      </c>
      <c r="BB678">
        <f>SUM(ifood_data[[#This Row],[Recency Score]:[Monetary Score]])</f>
        <v>11</v>
      </c>
      <c r="BC678">
        <f>(_xlfn.PERCENTRANK.INC(ifood_data[[#All],[RFM]],ifood_data[[#This Row],[RFM]],1))*10</f>
        <v>2</v>
      </c>
      <c r="BD678" t="str">
        <f>VLOOKUP(ifood_data[[#This Row],[RFM Score]],'RFM Analysis'!$A$3:$B$14,2,FALSE)</f>
        <v>At Risk</v>
      </c>
      <c r="BE678">
        <f>'Regression Models'!$B$101+'Regression Models'!$B$102*ifood_data[[#This Row],[Income]]+'Regression Models'!$B$103*ifood_data[[#This Row],[Age]]+'Regression Models'!$B$104*ifood_data[[#This Row],[Family]]</f>
        <v>733.48360995351368</v>
      </c>
      <c r="BF678" t="str">
        <f>IF(ifood_data[[#This Row],[AcceptedCmpOverall]]=1,"Campaign Respondent","Non-respondent")</f>
        <v>Non-respondent</v>
      </c>
    </row>
    <row r="679" spans="1:58" x14ac:dyDescent="0.35">
      <c r="A679">
        <v>23</v>
      </c>
      <c r="B679">
        <v>65324</v>
      </c>
      <c r="C679">
        <v>0</v>
      </c>
      <c r="D679">
        <v>1</v>
      </c>
      <c r="E679">
        <v>0</v>
      </c>
      <c r="F679">
        <v>384</v>
      </c>
      <c r="G679">
        <v>0</v>
      </c>
      <c r="H679">
        <v>102</v>
      </c>
      <c r="I679">
        <v>21</v>
      </c>
      <c r="J679">
        <v>32</v>
      </c>
      <c r="K679">
        <v>5</v>
      </c>
      <c r="L679">
        <v>3</v>
      </c>
      <c r="M679">
        <v>6</v>
      </c>
      <c r="N679">
        <v>2</v>
      </c>
      <c r="O679">
        <v>9</v>
      </c>
      <c r="P679">
        <v>4</v>
      </c>
      <c r="Q679">
        <v>0</v>
      </c>
      <c r="R679">
        <v>0</v>
      </c>
      <c r="S679">
        <v>0</v>
      </c>
      <c r="T679">
        <v>0</v>
      </c>
      <c r="U679">
        <v>0</v>
      </c>
      <c r="V679">
        <f>IF(SUM(ifood_data[[#This Row],[AcceptedCmp1]:[AcceptedCmp5]])&gt;0,1,0)</f>
        <v>0</v>
      </c>
      <c r="W679">
        <v>0</v>
      </c>
      <c r="X679">
        <v>3</v>
      </c>
      <c r="Y679">
        <v>11</v>
      </c>
      <c r="Z679">
        <v>0</v>
      </c>
      <c r="AA679">
        <v>66</v>
      </c>
      <c r="AB679">
        <v>2328</v>
      </c>
      <c r="AC679" s="28">
        <f>ifood_data[[#This Row],[Customer_Days]]/365</f>
        <v>6.3780821917808215</v>
      </c>
      <c r="AD679">
        <v>0</v>
      </c>
      <c r="AE679">
        <v>1</v>
      </c>
      <c r="AF679">
        <v>0</v>
      </c>
      <c r="AG679">
        <v>0</v>
      </c>
      <c r="AH679">
        <v>0</v>
      </c>
      <c r="AI679">
        <v>0</v>
      </c>
      <c r="AJ679">
        <v>0</v>
      </c>
      <c r="AK679">
        <v>0</v>
      </c>
      <c r="AL679">
        <v>0</v>
      </c>
      <c r="AM679">
        <v>1</v>
      </c>
      <c r="AN679">
        <v>539</v>
      </c>
      <c r="AO679">
        <v>534</v>
      </c>
      <c r="AP679">
        <f>ifood_data[[#This Row],[MntTotal]]-ifood_data[[#This Row],[MntRegularProds]]</f>
        <v>5</v>
      </c>
      <c r="AQ679">
        <v>0</v>
      </c>
      <c r="AR679">
        <f>IF(SUM(ifood_data[[#This Row],[Kidhome]:[Teenhome]])&gt;0,1,0)</f>
        <v>1</v>
      </c>
      <c r="AS679" t="str">
        <f>IF(SUM(ifood_data[[#This Row],[Kidhome]:[Teenhome]])&gt;0,"Has Family","No Family")</f>
        <v>Has Family</v>
      </c>
      <c r="AT679" t="str">
        <f>IF(ifood_data[[#This Row],[marital_Married]]=1,"Married", (IF(ifood_data[[#This Row],[marital_Single]]=1,"Single",(IF(ifood_data[[#This Row],[marital_Divorced]]=1,"Divorced",(IF(ifood_data[[#This Row],[marital_Together]]=1,"Living Together",(IF(ifood_data[[#This Row],[marital_Widow]]=1,"Widow","Other")))))))))</f>
        <v>Married</v>
      </c>
      <c r="AU679" t="str">
        <f>IF(ifood_data[[#This Row],[education_Basic]]=1,"High School",(IF(ifood_data[[#This Row],[education_Graduation]]=1,"Undergraduate Degree",(IF(SUM(AM679,AL679,AI679)&gt;0,"Master's Degree or Higher","Other")))))</f>
        <v>Master's Degree or Higher</v>
      </c>
      <c r="AV679" t="str">
        <f>IF(ifood_data[[#All],[Income]]&gt;75000,"75K+",(IF(ifood_data[[#All],[Income]]&gt;50000,"50K-75K",(IF(ifood_data[[#All],[Income]]&gt;35000,"35K-50K","&lt;35K")))))</f>
        <v>50K-75K</v>
      </c>
      <c r="AW679" t="str">
        <f>IF(ifood_data[[#All],[Age]]&gt;60,"60+",(IF(ifood_data[[#All],[Age]]&gt;50,"50-60",(IF(ifood_data[[#All],[Age]]&gt;40,"40-50",(IF(ifood_data[[#All],[Age]]&gt;30,"30-40","&lt;30")))))))</f>
        <v>60+</v>
      </c>
      <c r="AX679">
        <f t="shared" si="40"/>
        <v>24</v>
      </c>
      <c r="AY679">
        <f t="shared" si="41"/>
        <v>10</v>
      </c>
      <c r="AZ679">
        <f t="shared" si="42"/>
        <v>6</v>
      </c>
      <c r="BA679">
        <f t="shared" si="43"/>
        <v>5</v>
      </c>
      <c r="BB679">
        <f>SUM(ifood_data[[#This Row],[Recency Score]:[Monetary Score]])</f>
        <v>21</v>
      </c>
      <c r="BC679">
        <f>(_xlfn.PERCENTRANK.INC(ifood_data[[#All],[RFM]],ifood_data[[#This Row],[RFM]],1))*10</f>
        <v>8</v>
      </c>
      <c r="BD679" t="str">
        <f>VLOOKUP(ifood_data[[#This Row],[RFM Score]],'RFM Analysis'!$A$3:$B$14,2,FALSE)</f>
        <v>Loyal Customer</v>
      </c>
      <c r="BE679">
        <f>'Regression Models'!$B$101+'Regression Models'!$B$102*ifood_data[[#This Row],[Income]]+'Regression Models'!$B$103*ifood_data[[#This Row],[Age]]+'Regression Models'!$B$104*ifood_data[[#This Row],[Family]]</f>
        <v>733.24202367754697</v>
      </c>
      <c r="BF679" t="str">
        <f>IF(ifood_data[[#This Row],[AcceptedCmpOverall]]=1,"Campaign Respondent","Non-respondent")</f>
        <v>Non-respondent</v>
      </c>
    </row>
    <row r="680" spans="1:58" x14ac:dyDescent="0.35">
      <c r="A680">
        <v>226</v>
      </c>
      <c r="B680">
        <v>64961</v>
      </c>
      <c r="C680">
        <v>0</v>
      </c>
      <c r="D680">
        <v>1</v>
      </c>
      <c r="E680">
        <v>97</v>
      </c>
      <c r="F680">
        <v>382</v>
      </c>
      <c r="G680">
        <v>114</v>
      </c>
      <c r="H680">
        <v>276</v>
      </c>
      <c r="I680">
        <v>75</v>
      </c>
      <c r="J680">
        <v>124</v>
      </c>
      <c r="K680">
        <v>38</v>
      </c>
      <c r="L680">
        <v>2</v>
      </c>
      <c r="M680">
        <v>6</v>
      </c>
      <c r="N680">
        <v>4</v>
      </c>
      <c r="O680">
        <v>4</v>
      </c>
      <c r="P680">
        <v>3</v>
      </c>
      <c r="Q680">
        <v>0</v>
      </c>
      <c r="R680">
        <v>0</v>
      </c>
      <c r="S680">
        <v>0</v>
      </c>
      <c r="T680">
        <v>0</v>
      </c>
      <c r="U680">
        <v>0</v>
      </c>
      <c r="V680">
        <f>IF(SUM(ifood_data[[#This Row],[AcceptedCmp1]:[AcceptedCmp5]])&gt;0,1,0)</f>
        <v>0</v>
      </c>
      <c r="W680">
        <v>0</v>
      </c>
      <c r="X680">
        <v>3</v>
      </c>
      <c r="Y680">
        <v>11</v>
      </c>
      <c r="Z680">
        <v>0</v>
      </c>
      <c r="AA680">
        <v>62</v>
      </c>
      <c r="AB680">
        <v>2712</v>
      </c>
      <c r="AC680" s="28">
        <f>ifood_data[[#This Row],[Customer_Days]]/365</f>
        <v>7.4301369863013695</v>
      </c>
      <c r="AD680">
        <v>0</v>
      </c>
      <c r="AE680">
        <v>0</v>
      </c>
      <c r="AF680">
        <v>0</v>
      </c>
      <c r="AG680">
        <v>1</v>
      </c>
      <c r="AH680">
        <v>0</v>
      </c>
      <c r="AI680">
        <v>0</v>
      </c>
      <c r="AJ680">
        <v>0</v>
      </c>
      <c r="AK680">
        <v>1</v>
      </c>
      <c r="AL680">
        <v>0</v>
      </c>
      <c r="AM680">
        <v>0</v>
      </c>
      <c r="AN680">
        <v>971</v>
      </c>
      <c r="AO680">
        <v>933</v>
      </c>
      <c r="AP680">
        <f>ifood_data[[#This Row],[MntTotal]]-ifood_data[[#This Row],[MntRegularProds]]</f>
        <v>38</v>
      </c>
      <c r="AQ680">
        <v>0</v>
      </c>
      <c r="AR680">
        <f>IF(SUM(ifood_data[[#This Row],[Kidhome]:[Teenhome]])&gt;0,1,0)</f>
        <v>1</v>
      </c>
      <c r="AS680" t="str">
        <f>IF(SUM(ifood_data[[#This Row],[Kidhome]:[Teenhome]])&gt;0,"Has Family","No Family")</f>
        <v>Has Family</v>
      </c>
      <c r="AT680" t="str">
        <f>IF(ifood_data[[#This Row],[marital_Married]]=1,"Married", (IF(ifood_data[[#This Row],[marital_Single]]=1,"Single",(IF(ifood_data[[#This Row],[marital_Divorced]]=1,"Divorced",(IF(ifood_data[[#This Row],[marital_Together]]=1,"Living Together",(IF(ifood_data[[#This Row],[marital_Widow]]=1,"Widow","Other")))))))))</f>
        <v>Living Together</v>
      </c>
      <c r="AU680" t="str">
        <f>IF(ifood_data[[#This Row],[education_Basic]]=1,"High School",(IF(ifood_data[[#This Row],[education_Graduation]]=1,"Undergraduate Degree",(IF(SUM(AM680,AL680,AI680)&gt;0,"Master's Degree or Higher","Other")))))</f>
        <v>Undergraduate Degree</v>
      </c>
      <c r="AV680" t="str">
        <f>IF(ifood_data[[#All],[Income]]&gt;75000,"75K+",(IF(ifood_data[[#All],[Income]]&gt;50000,"50K-75K",(IF(ifood_data[[#All],[Income]]&gt;35000,"35K-50K","&lt;35K")))))</f>
        <v>50K-75K</v>
      </c>
      <c r="AW680" t="str">
        <f>IF(ifood_data[[#All],[Age]]&gt;60,"60+",(IF(ifood_data[[#All],[Age]]&gt;50,"50-60",(IF(ifood_data[[#All],[Age]]&gt;40,"40-50",(IF(ifood_data[[#All],[Age]]&gt;30,"30-40","&lt;30")))))))</f>
        <v>60+</v>
      </c>
      <c r="AX680">
        <f t="shared" si="40"/>
        <v>19</v>
      </c>
      <c r="AY680">
        <f t="shared" si="41"/>
        <v>0.99999999999999978</v>
      </c>
      <c r="AZ680">
        <f t="shared" si="42"/>
        <v>4</v>
      </c>
      <c r="BA680">
        <f t="shared" si="43"/>
        <v>7</v>
      </c>
      <c r="BB680">
        <f>SUM(ifood_data[[#This Row],[Recency Score]:[Monetary Score]])</f>
        <v>12</v>
      </c>
      <c r="BC680">
        <f>(_xlfn.PERCENTRANK.INC(ifood_data[[#All],[RFM]],ifood_data[[#This Row],[RFM]],1))*10</f>
        <v>3</v>
      </c>
      <c r="BD680" t="str">
        <f>VLOOKUP(ifood_data[[#This Row],[RFM Score]],'RFM Analysis'!$A$3:$B$14,2,FALSE)</f>
        <v>At Risk</v>
      </c>
      <c r="BE680">
        <f>'Regression Models'!$B$101+'Regression Models'!$B$102*ifood_data[[#This Row],[Income]]+'Regression Models'!$B$103*ifood_data[[#This Row],[Age]]+'Regression Models'!$B$104*ifood_data[[#This Row],[Family]]</f>
        <v>733.18665715688894</v>
      </c>
      <c r="BF680" t="str">
        <f>IF(ifood_data[[#This Row],[AcceptedCmpOverall]]=1,"Campaign Respondent","Non-respondent")</f>
        <v>Non-respondent</v>
      </c>
    </row>
    <row r="681" spans="1:58" x14ac:dyDescent="0.35">
      <c r="A681">
        <v>1969</v>
      </c>
      <c r="B681">
        <v>65210</v>
      </c>
      <c r="C681">
        <v>0</v>
      </c>
      <c r="D681">
        <v>1</v>
      </c>
      <c r="E681">
        <v>25</v>
      </c>
      <c r="F681">
        <v>626</v>
      </c>
      <c r="G681">
        <v>0</v>
      </c>
      <c r="H681">
        <v>70</v>
      </c>
      <c r="I681">
        <v>0</v>
      </c>
      <c r="J681">
        <v>7</v>
      </c>
      <c r="K681">
        <v>28</v>
      </c>
      <c r="L681">
        <v>2</v>
      </c>
      <c r="M681">
        <v>9</v>
      </c>
      <c r="N681">
        <v>3</v>
      </c>
      <c r="O681">
        <v>8</v>
      </c>
      <c r="P681">
        <v>6</v>
      </c>
      <c r="Q681">
        <v>1</v>
      </c>
      <c r="R681">
        <v>0</v>
      </c>
      <c r="S681">
        <v>0</v>
      </c>
      <c r="T681">
        <v>1</v>
      </c>
      <c r="U681">
        <v>0</v>
      </c>
      <c r="V681">
        <f>IF(SUM(ifood_data[[#This Row],[AcceptedCmp1]:[AcceptedCmp5]])&gt;0,1,0)</f>
        <v>1</v>
      </c>
      <c r="W681">
        <v>0</v>
      </c>
      <c r="X681">
        <v>3</v>
      </c>
      <c r="Y681">
        <v>11</v>
      </c>
      <c r="Z681">
        <v>0</v>
      </c>
      <c r="AA681">
        <v>65</v>
      </c>
      <c r="AB681">
        <v>2270</v>
      </c>
      <c r="AC681" s="28">
        <f>ifood_data[[#This Row],[Customer_Days]]/365</f>
        <v>6.2191780821917808</v>
      </c>
      <c r="AD681">
        <v>0</v>
      </c>
      <c r="AE681">
        <v>1</v>
      </c>
      <c r="AF681">
        <v>0</v>
      </c>
      <c r="AG681">
        <v>0</v>
      </c>
      <c r="AH681">
        <v>0</v>
      </c>
      <c r="AI681">
        <v>0</v>
      </c>
      <c r="AJ681">
        <v>0</v>
      </c>
      <c r="AK681">
        <v>1</v>
      </c>
      <c r="AL681">
        <v>0</v>
      </c>
      <c r="AM681">
        <v>0</v>
      </c>
      <c r="AN681">
        <v>703</v>
      </c>
      <c r="AO681">
        <v>675</v>
      </c>
      <c r="AP681">
        <f>ifood_data[[#This Row],[MntTotal]]-ifood_data[[#This Row],[MntRegularProds]]</f>
        <v>28</v>
      </c>
      <c r="AQ681">
        <v>2</v>
      </c>
      <c r="AR681">
        <f>IF(SUM(ifood_data[[#This Row],[Kidhome]:[Teenhome]])&gt;0,1,0)</f>
        <v>1</v>
      </c>
      <c r="AS681" t="str">
        <f>IF(SUM(ifood_data[[#This Row],[Kidhome]:[Teenhome]])&gt;0,"Has Family","No Family")</f>
        <v>Has Family</v>
      </c>
      <c r="AT681" t="str">
        <f>IF(ifood_data[[#This Row],[marital_Married]]=1,"Married", (IF(ifood_data[[#This Row],[marital_Single]]=1,"Single",(IF(ifood_data[[#This Row],[marital_Divorced]]=1,"Divorced",(IF(ifood_data[[#This Row],[marital_Together]]=1,"Living Together",(IF(ifood_data[[#This Row],[marital_Widow]]=1,"Widow","Other")))))))))</f>
        <v>Married</v>
      </c>
      <c r="AU681" t="str">
        <f>IF(ifood_data[[#This Row],[education_Basic]]=1,"High School",(IF(ifood_data[[#This Row],[education_Graduation]]=1,"Undergraduate Degree",(IF(SUM(AM681,AL681,AI681)&gt;0,"Master's Degree or Higher","Other")))))</f>
        <v>Undergraduate Degree</v>
      </c>
      <c r="AV681" t="str">
        <f>IF(ifood_data[[#All],[Income]]&gt;75000,"75K+",(IF(ifood_data[[#All],[Income]]&gt;50000,"50K-75K",(IF(ifood_data[[#All],[Income]]&gt;35000,"35K-50K","&lt;35K")))))</f>
        <v>50K-75K</v>
      </c>
      <c r="AW681" t="str">
        <f>IF(ifood_data[[#All],[Age]]&gt;60,"60+",(IF(ifood_data[[#All],[Age]]&gt;50,"50-60",(IF(ifood_data[[#All],[Age]]&gt;40,"40-50",(IF(ifood_data[[#All],[Age]]&gt;30,"30-40","&lt;30")))))))</f>
        <v>60+</v>
      </c>
      <c r="AX681">
        <f t="shared" si="40"/>
        <v>28</v>
      </c>
      <c r="AY681">
        <f t="shared" si="41"/>
        <v>8</v>
      </c>
      <c r="AZ681">
        <f t="shared" si="42"/>
        <v>8</v>
      </c>
      <c r="BA681">
        <f t="shared" si="43"/>
        <v>6</v>
      </c>
      <c r="BB681">
        <f>SUM(ifood_data[[#This Row],[Recency Score]:[Monetary Score]])</f>
        <v>22</v>
      </c>
      <c r="BC681">
        <f>(_xlfn.PERCENTRANK.INC(ifood_data[[#All],[RFM]],ifood_data[[#This Row],[RFM]],1))*10</f>
        <v>8</v>
      </c>
      <c r="BD681" t="str">
        <f>VLOOKUP(ifood_data[[#This Row],[RFM Score]],'RFM Analysis'!$A$3:$B$14,2,FALSE)</f>
        <v>Loyal Customer</v>
      </c>
      <c r="BE681">
        <f>'Regression Models'!$B$101+'Regression Models'!$B$102*ifood_data[[#This Row],[Income]]+'Regression Models'!$B$103*ifood_data[[#This Row],[Age]]+'Regression Models'!$B$104*ifood_data[[#This Row],[Family]]</f>
        <v>732.75414318803678</v>
      </c>
      <c r="BF681" t="str">
        <f>IF(ifood_data[[#This Row],[AcceptedCmpOverall]]=1,"Campaign Respondent","Non-respondent")</f>
        <v>Campaign Respondent</v>
      </c>
    </row>
    <row r="682" spans="1:58" x14ac:dyDescent="0.35">
      <c r="A682">
        <v>1664</v>
      </c>
      <c r="B682">
        <v>63967</v>
      </c>
      <c r="C682">
        <v>0</v>
      </c>
      <c r="D682">
        <v>1</v>
      </c>
      <c r="E682">
        <v>57</v>
      </c>
      <c r="F682">
        <v>387</v>
      </c>
      <c r="G682">
        <v>84</v>
      </c>
      <c r="H682">
        <v>141</v>
      </c>
      <c r="I682">
        <v>73</v>
      </c>
      <c r="J682">
        <v>35</v>
      </c>
      <c r="K682">
        <v>162</v>
      </c>
      <c r="L682">
        <v>3</v>
      </c>
      <c r="M682">
        <v>4</v>
      </c>
      <c r="N682">
        <v>4</v>
      </c>
      <c r="O682">
        <v>12</v>
      </c>
      <c r="P682">
        <v>2</v>
      </c>
      <c r="Q682">
        <v>0</v>
      </c>
      <c r="R682">
        <v>0</v>
      </c>
      <c r="S682">
        <v>0</v>
      </c>
      <c r="T682">
        <v>0</v>
      </c>
      <c r="U682">
        <v>0</v>
      </c>
      <c r="V682">
        <f>IF(SUM(ifood_data[[#This Row],[AcceptedCmp1]:[AcceptedCmp5]])&gt;0,1,0)</f>
        <v>0</v>
      </c>
      <c r="W682">
        <v>0</v>
      </c>
      <c r="X682">
        <v>3</v>
      </c>
      <c r="Y682">
        <v>11</v>
      </c>
      <c r="Z682">
        <v>0</v>
      </c>
      <c r="AA682">
        <v>52</v>
      </c>
      <c r="AB682">
        <v>2483</v>
      </c>
      <c r="AC682" s="28">
        <f>ifood_data[[#This Row],[Customer_Days]]/365</f>
        <v>6.8027397260273972</v>
      </c>
      <c r="AD682">
        <v>0</v>
      </c>
      <c r="AE682">
        <v>1</v>
      </c>
      <c r="AF682">
        <v>0</v>
      </c>
      <c r="AG682">
        <v>0</v>
      </c>
      <c r="AH682">
        <v>0</v>
      </c>
      <c r="AI682">
        <v>0</v>
      </c>
      <c r="AJ682">
        <v>0</v>
      </c>
      <c r="AK682">
        <v>1</v>
      </c>
      <c r="AL682">
        <v>0</v>
      </c>
      <c r="AM682">
        <v>0</v>
      </c>
      <c r="AN682">
        <v>720</v>
      </c>
      <c r="AO682">
        <v>558</v>
      </c>
      <c r="AP682">
        <f>ifood_data[[#This Row],[MntTotal]]-ifood_data[[#This Row],[MntRegularProds]]</f>
        <v>162</v>
      </c>
      <c r="AQ682">
        <v>0</v>
      </c>
      <c r="AR682">
        <f>IF(SUM(ifood_data[[#This Row],[Kidhome]:[Teenhome]])&gt;0,1,0)</f>
        <v>1</v>
      </c>
      <c r="AS682" t="str">
        <f>IF(SUM(ifood_data[[#This Row],[Kidhome]:[Teenhome]])&gt;0,"Has Family","No Family")</f>
        <v>Has Family</v>
      </c>
      <c r="AT682" t="str">
        <f>IF(ifood_data[[#This Row],[marital_Married]]=1,"Married", (IF(ifood_data[[#This Row],[marital_Single]]=1,"Single",(IF(ifood_data[[#This Row],[marital_Divorced]]=1,"Divorced",(IF(ifood_data[[#This Row],[marital_Together]]=1,"Living Together",(IF(ifood_data[[#This Row],[marital_Widow]]=1,"Widow","Other")))))))))</f>
        <v>Married</v>
      </c>
      <c r="AU682" t="str">
        <f>IF(ifood_data[[#This Row],[education_Basic]]=1,"High School",(IF(ifood_data[[#This Row],[education_Graduation]]=1,"Undergraduate Degree",(IF(SUM(AM682,AL682,AI682)&gt;0,"Master's Degree or Higher","Other")))))</f>
        <v>Undergraduate Degree</v>
      </c>
      <c r="AV682" t="str">
        <f>IF(ifood_data[[#All],[Income]]&gt;75000,"75K+",(IF(ifood_data[[#All],[Income]]&gt;50000,"50K-75K",(IF(ifood_data[[#All],[Income]]&gt;35000,"35K-50K","&lt;35K")))))</f>
        <v>50K-75K</v>
      </c>
      <c r="AW682" t="str">
        <f>IF(ifood_data[[#All],[Age]]&gt;60,"60+",(IF(ifood_data[[#All],[Age]]&gt;50,"50-60",(IF(ifood_data[[#All],[Age]]&gt;40,"40-50",(IF(ifood_data[[#All],[Age]]&gt;30,"30-40","&lt;30")))))))</f>
        <v>50-60</v>
      </c>
      <c r="AX682">
        <f t="shared" si="40"/>
        <v>25</v>
      </c>
      <c r="AY682">
        <f t="shared" si="41"/>
        <v>5</v>
      </c>
      <c r="AZ682">
        <f t="shared" si="42"/>
        <v>7</v>
      </c>
      <c r="BA682">
        <f t="shared" si="43"/>
        <v>6</v>
      </c>
      <c r="BB682">
        <f>SUM(ifood_data[[#This Row],[Recency Score]:[Monetary Score]])</f>
        <v>18</v>
      </c>
      <c r="BC682">
        <f>(_xlfn.PERCENTRANK.INC(ifood_data[[#All],[RFM]],ifood_data[[#This Row],[RFM]],1))*10</f>
        <v>6</v>
      </c>
      <c r="BD682" t="str">
        <f>VLOOKUP(ifood_data[[#This Row],[RFM Score]],'RFM Analysis'!$A$3:$B$14,2,FALSE)</f>
        <v>Promising</v>
      </c>
      <c r="BE682">
        <f>'Regression Models'!$B$101+'Regression Models'!$B$102*ifood_data[[#This Row],[Income]]+'Regression Models'!$B$103*ifood_data[[#This Row],[Age]]+'Regression Models'!$B$104*ifood_data[[#This Row],[Family]]</f>
        <v>731.28461241079594</v>
      </c>
      <c r="BF682" t="str">
        <f>IF(ifood_data[[#This Row],[AcceptedCmpOverall]]=1,"Campaign Respondent","Non-respondent")</f>
        <v>Non-respondent</v>
      </c>
    </row>
    <row r="683" spans="1:58" x14ac:dyDescent="0.35">
      <c r="A683">
        <v>1946</v>
      </c>
      <c r="B683">
        <v>63516</v>
      </c>
      <c r="C683">
        <v>1</v>
      </c>
      <c r="D683">
        <v>1</v>
      </c>
      <c r="E683">
        <v>30</v>
      </c>
      <c r="F683">
        <v>141</v>
      </c>
      <c r="G683">
        <v>11</v>
      </c>
      <c r="H683">
        <v>114</v>
      </c>
      <c r="I683">
        <v>15</v>
      </c>
      <c r="J683">
        <v>14</v>
      </c>
      <c r="K683">
        <v>5</v>
      </c>
      <c r="L683">
        <v>4</v>
      </c>
      <c r="M683">
        <v>4</v>
      </c>
      <c r="N683">
        <v>1</v>
      </c>
      <c r="O683">
        <v>7</v>
      </c>
      <c r="P683">
        <v>5</v>
      </c>
      <c r="Q683">
        <v>0</v>
      </c>
      <c r="R683">
        <v>0</v>
      </c>
      <c r="S683">
        <v>0</v>
      </c>
      <c r="T683">
        <v>0</v>
      </c>
      <c r="U683">
        <v>0</v>
      </c>
      <c r="V683">
        <f>IF(SUM(ifood_data[[#This Row],[AcceptedCmp1]:[AcceptedCmp5]])&gt;0,1,0)</f>
        <v>0</v>
      </c>
      <c r="W683">
        <v>0</v>
      </c>
      <c r="X683">
        <v>3</v>
      </c>
      <c r="Y683">
        <v>11</v>
      </c>
      <c r="Z683">
        <v>0</v>
      </c>
      <c r="AA683">
        <v>47</v>
      </c>
      <c r="AB683">
        <v>2517</v>
      </c>
      <c r="AC683" s="28">
        <f>ifood_data[[#This Row],[Customer_Days]]/365</f>
        <v>6.8958904109589039</v>
      </c>
      <c r="AD683">
        <v>0</v>
      </c>
      <c r="AE683">
        <v>0</v>
      </c>
      <c r="AF683">
        <v>0</v>
      </c>
      <c r="AG683">
        <v>1</v>
      </c>
      <c r="AH683">
        <v>0</v>
      </c>
      <c r="AI683">
        <v>0</v>
      </c>
      <c r="AJ683">
        <v>0</v>
      </c>
      <c r="AK683">
        <v>0</v>
      </c>
      <c r="AL683">
        <v>0</v>
      </c>
      <c r="AM683">
        <v>1</v>
      </c>
      <c r="AN683">
        <v>295</v>
      </c>
      <c r="AO683">
        <v>290</v>
      </c>
      <c r="AP683">
        <f>ifood_data[[#This Row],[MntTotal]]-ifood_data[[#This Row],[MntRegularProds]]</f>
        <v>5</v>
      </c>
      <c r="AQ683">
        <v>0</v>
      </c>
      <c r="AR683">
        <f>IF(SUM(ifood_data[[#This Row],[Kidhome]:[Teenhome]])&gt;0,1,0)</f>
        <v>1</v>
      </c>
      <c r="AS683" t="str">
        <f>IF(SUM(ifood_data[[#This Row],[Kidhome]:[Teenhome]])&gt;0,"Has Family","No Family")</f>
        <v>Has Family</v>
      </c>
      <c r="AT683" t="str">
        <f>IF(ifood_data[[#This Row],[marital_Married]]=1,"Married", (IF(ifood_data[[#This Row],[marital_Single]]=1,"Single",(IF(ifood_data[[#This Row],[marital_Divorced]]=1,"Divorced",(IF(ifood_data[[#This Row],[marital_Together]]=1,"Living Together",(IF(ifood_data[[#This Row],[marital_Widow]]=1,"Widow","Other")))))))))</f>
        <v>Living Together</v>
      </c>
      <c r="AU683" t="str">
        <f>IF(ifood_data[[#This Row],[education_Basic]]=1,"High School",(IF(ifood_data[[#This Row],[education_Graduation]]=1,"Undergraduate Degree",(IF(SUM(AM683,AL683,AI683)&gt;0,"Master's Degree or Higher","Other")))))</f>
        <v>Master's Degree or Higher</v>
      </c>
      <c r="AV683" t="str">
        <f>IF(ifood_data[[#All],[Income]]&gt;75000,"75K+",(IF(ifood_data[[#All],[Income]]&gt;50000,"50K-75K",(IF(ifood_data[[#All],[Income]]&gt;35000,"35K-50K","&lt;35K")))))</f>
        <v>50K-75K</v>
      </c>
      <c r="AW683" t="str">
        <f>IF(ifood_data[[#All],[Age]]&gt;60,"60+",(IF(ifood_data[[#All],[Age]]&gt;50,"50-60",(IF(ifood_data[[#All],[Age]]&gt;40,"40-50",(IF(ifood_data[[#All],[Age]]&gt;30,"30-40","&lt;30")))))))</f>
        <v>40-50</v>
      </c>
      <c r="AX683">
        <f t="shared" si="40"/>
        <v>21</v>
      </c>
      <c r="AY683">
        <f t="shared" si="41"/>
        <v>7</v>
      </c>
      <c r="AZ683">
        <f t="shared" si="42"/>
        <v>5</v>
      </c>
      <c r="BA683">
        <f t="shared" si="43"/>
        <v>4</v>
      </c>
      <c r="BB683">
        <f>SUM(ifood_data[[#This Row],[Recency Score]:[Monetary Score]])</f>
        <v>16</v>
      </c>
      <c r="BC683">
        <f>(_xlfn.PERCENTRANK.INC(ifood_data[[#All],[RFM]],ifood_data[[#This Row],[RFM]],1))*10</f>
        <v>5</v>
      </c>
      <c r="BD683" t="str">
        <f>VLOOKUP(ifood_data[[#This Row],[RFM Score]],'RFM Analysis'!$A$3:$B$14,2,FALSE)</f>
        <v>Promising</v>
      </c>
      <c r="BE683">
        <f>'Regression Models'!$B$101+'Regression Models'!$B$102*ifood_data[[#This Row],[Income]]+'Regression Models'!$B$103*ifood_data[[#This Row],[Age]]+'Regression Models'!$B$104*ifood_data[[#This Row],[Family]]</f>
        <v>731.2714733723692</v>
      </c>
      <c r="BF683" t="str">
        <f>IF(ifood_data[[#This Row],[AcceptedCmpOverall]]=1,"Campaign Respondent","Non-respondent")</f>
        <v>Non-respondent</v>
      </c>
    </row>
    <row r="684" spans="1:58" x14ac:dyDescent="0.35">
      <c r="A684">
        <v>1009</v>
      </c>
      <c r="B684">
        <v>64176</v>
      </c>
      <c r="C684">
        <v>0</v>
      </c>
      <c r="D684">
        <v>1</v>
      </c>
      <c r="E684">
        <v>52</v>
      </c>
      <c r="F684">
        <v>1215</v>
      </c>
      <c r="G684">
        <v>33</v>
      </c>
      <c r="H684">
        <v>249</v>
      </c>
      <c r="I684">
        <v>64</v>
      </c>
      <c r="J684">
        <v>116</v>
      </c>
      <c r="K684">
        <v>149</v>
      </c>
      <c r="L684">
        <v>8</v>
      </c>
      <c r="M684">
        <v>8</v>
      </c>
      <c r="N684">
        <v>9</v>
      </c>
      <c r="O684">
        <v>8</v>
      </c>
      <c r="P684">
        <v>6</v>
      </c>
      <c r="Q684">
        <v>0</v>
      </c>
      <c r="R684">
        <v>0</v>
      </c>
      <c r="S684">
        <v>0</v>
      </c>
      <c r="T684">
        <v>0</v>
      </c>
      <c r="U684">
        <v>0</v>
      </c>
      <c r="V684">
        <f>IF(SUM(ifood_data[[#This Row],[AcceptedCmp1]:[AcceptedCmp5]])&gt;0,1,0)</f>
        <v>0</v>
      </c>
      <c r="W684">
        <v>0</v>
      </c>
      <c r="X684">
        <v>3</v>
      </c>
      <c r="Y684">
        <v>11</v>
      </c>
      <c r="Z684">
        <v>0</v>
      </c>
      <c r="AA684">
        <v>55</v>
      </c>
      <c r="AB684">
        <v>2854</v>
      </c>
      <c r="AC684" s="28">
        <f>ifood_data[[#This Row],[Customer_Days]]/365</f>
        <v>7.8191780821917805</v>
      </c>
      <c r="AD684">
        <v>1</v>
      </c>
      <c r="AE684">
        <v>0</v>
      </c>
      <c r="AF684">
        <v>0</v>
      </c>
      <c r="AG684">
        <v>0</v>
      </c>
      <c r="AH684">
        <v>0</v>
      </c>
      <c r="AI684">
        <v>1</v>
      </c>
      <c r="AJ684">
        <v>0</v>
      </c>
      <c r="AK684">
        <v>0</v>
      </c>
      <c r="AL684">
        <v>0</v>
      </c>
      <c r="AM684">
        <v>0</v>
      </c>
      <c r="AN684">
        <v>1677</v>
      </c>
      <c r="AO684">
        <v>1528</v>
      </c>
      <c r="AP684">
        <f>ifood_data[[#This Row],[MntTotal]]-ifood_data[[#This Row],[MntRegularProds]]</f>
        <v>149</v>
      </c>
      <c r="AQ684">
        <v>0</v>
      </c>
      <c r="AR684">
        <f>IF(SUM(ifood_data[[#This Row],[Kidhome]:[Teenhome]])&gt;0,1,0)</f>
        <v>1</v>
      </c>
      <c r="AS684" t="str">
        <f>IF(SUM(ifood_data[[#This Row],[Kidhome]:[Teenhome]])&gt;0,"Has Family","No Family")</f>
        <v>Has Family</v>
      </c>
      <c r="AT684" t="str">
        <f>IF(ifood_data[[#This Row],[marital_Married]]=1,"Married", (IF(ifood_data[[#This Row],[marital_Single]]=1,"Single",(IF(ifood_data[[#This Row],[marital_Divorced]]=1,"Divorced",(IF(ifood_data[[#This Row],[marital_Together]]=1,"Living Together",(IF(ifood_data[[#This Row],[marital_Widow]]=1,"Widow","Other")))))))))</f>
        <v>Divorced</v>
      </c>
      <c r="AU684" t="str">
        <f>IF(ifood_data[[#This Row],[education_Basic]]=1,"High School",(IF(ifood_data[[#This Row],[education_Graduation]]=1,"Undergraduate Degree",(IF(SUM(AM684,AL684,AI684)&gt;0,"Master's Degree or Higher","Other")))))</f>
        <v>Master's Degree or Higher</v>
      </c>
      <c r="AV684" t="str">
        <f>IF(ifood_data[[#All],[Income]]&gt;75000,"75K+",(IF(ifood_data[[#All],[Income]]&gt;50000,"50K-75K",(IF(ifood_data[[#All],[Income]]&gt;35000,"35K-50K","&lt;35K")))))</f>
        <v>50K-75K</v>
      </c>
      <c r="AW684" t="str">
        <f>IF(ifood_data[[#All],[Age]]&gt;60,"60+",(IF(ifood_data[[#All],[Age]]&gt;50,"50-60",(IF(ifood_data[[#All],[Age]]&gt;40,"40-50",(IF(ifood_data[[#All],[Age]]&gt;30,"30-40","&lt;30")))))))</f>
        <v>50-60</v>
      </c>
      <c r="AX684">
        <f t="shared" si="40"/>
        <v>39</v>
      </c>
      <c r="AY684">
        <f t="shared" si="41"/>
        <v>5</v>
      </c>
      <c r="AZ684">
        <f t="shared" si="42"/>
        <v>9</v>
      </c>
      <c r="BA684">
        <f t="shared" si="43"/>
        <v>9</v>
      </c>
      <c r="BB684">
        <f>SUM(ifood_data[[#This Row],[Recency Score]:[Monetary Score]])</f>
        <v>23</v>
      </c>
      <c r="BC684">
        <f>(_xlfn.PERCENTRANK.INC(ifood_data[[#All],[RFM]],ifood_data[[#This Row],[RFM]],1))*10</f>
        <v>8</v>
      </c>
      <c r="BD684" t="str">
        <f>VLOOKUP(ifood_data[[#This Row],[RFM Score]],'RFM Analysis'!$A$3:$B$14,2,FALSE)</f>
        <v>Loyal Customer</v>
      </c>
      <c r="BE684">
        <f>'Regression Models'!$B$101+'Regression Models'!$B$102*ifood_data[[#This Row],[Income]]+'Regression Models'!$B$103*ifood_data[[#This Row],[Age]]+'Regression Models'!$B$104*ifood_data[[#This Row],[Family]]</f>
        <v>730.03654771618812</v>
      </c>
      <c r="BF684" t="str">
        <f>IF(ifood_data[[#This Row],[AcceptedCmpOverall]]=1,"Campaign Respondent","Non-respondent")</f>
        <v>Non-respondent</v>
      </c>
    </row>
    <row r="685" spans="1:58" x14ac:dyDescent="0.35">
      <c r="A685">
        <v>1829</v>
      </c>
      <c r="B685">
        <v>63684</v>
      </c>
      <c r="C685">
        <v>0</v>
      </c>
      <c r="D685">
        <v>1</v>
      </c>
      <c r="E685">
        <v>61</v>
      </c>
      <c r="F685">
        <v>575</v>
      </c>
      <c r="G685">
        <v>80</v>
      </c>
      <c r="H685">
        <v>428</v>
      </c>
      <c r="I685">
        <v>208</v>
      </c>
      <c r="J685">
        <v>93</v>
      </c>
      <c r="K685">
        <v>80</v>
      </c>
      <c r="L685">
        <v>3</v>
      </c>
      <c r="M685">
        <v>8</v>
      </c>
      <c r="N685">
        <v>4</v>
      </c>
      <c r="O685">
        <v>8</v>
      </c>
      <c r="P685">
        <v>5</v>
      </c>
      <c r="Q685">
        <v>0</v>
      </c>
      <c r="R685">
        <v>0</v>
      </c>
      <c r="S685">
        <v>0</v>
      </c>
      <c r="T685">
        <v>0</v>
      </c>
      <c r="U685">
        <v>0</v>
      </c>
      <c r="V685">
        <f>IF(SUM(ifood_data[[#This Row],[AcceptedCmp1]:[AcceptedCmp5]])&gt;0,1,0)</f>
        <v>0</v>
      </c>
      <c r="W685">
        <v>0</v>
      </c>
      <c r="X685">
        <v>3</v>
      </c>
      <c r="Y685">
        <v>11</v>
      </c>
      <c r="Z685">
        <v>0</v>
      </c>
      <c r="AA685">
        <v>50</v>
      </c>
      <c r="AB685">
        <v>2739</v>
      </c>
      <c r="AC685" s="28">
        <f>ifood_data[[#This Row],[Customer_Days]]/365</f>
        <v>7.5041095890410956</v>
      </c>
      <c r="AD685">
        <v>0</v>
      </c>
      <c r="AE685">
        <v>1</v>
      </c>
      <c r="AF685">
        <v>0</v>
      </c>
      <c r="AG685">
        <v>0</v>
      </c>
      <c r="AH685">
        <v>0</v>
      </c>
      <c r="AI685">
        <v>0</v>
      </c>
      <c r="AJ685">
        <v>0</v>
      </c>
      <c r="AK685">
        <v>1</v>
      </c>
      <c r="AL685">
        <v>0</v>
      </c>
      <c r="AM685">
        <v>0</v>
      </c>
      <c r="AN685">
        <v>1384</v>
      </c>
      <c r="AO685">
        <v>1304</v>
      </c>
      <c r="AP685">
        <f>ifood_data[[#This Row],[MntTotal]]-ifood_data[[#This Row],[MntRegularProds]]</f>
        <v>80</v>
      </c>
      <c r="AQ685">
        <v>0</v>
      </c>
      <c r="AR685">
        <f>IF(SUM(ifood_data[[#This Row],[Kidhome]:[Teenhome]])&gt;0,1,0)</f>
        <v>1</v>
      </c>
      <c r="AS685" t="str">
        <f>IF(SUM(ifood_data[[#This Row],[Kidhome]:[Teenhome]])&gt;0,"Has Family","No Family")</f>
        <v>Has Family</v>
      </c>
      <c r="AT685" t="str">
        <f>IF(ifood_data[[#This Row],[marital_Married]]=1,"Married", (IF(ifood_data[[#This Row],[marital_Single]]=1,"Single",(IF(ifood_data[[#This Row],[marital_Divorced]]=1,"Divorced",(IF(ifood_data[[#This Row],[marital_Together]]=1,"Living Together",(IF(ifood_data[[#This Row],[marital_Widow]]=1,"Widow","Other")))))))))</f>
        <v>Married</v>
      </c>
      <c r="AU685" t="str">
        <f>IF(ifood_data[[#This Row],[education_Basic]]=1,"High School",(IF(ifood_data[[#This Row],[education_Graduation]]=1,"Undergraduate Degree",(IF(SUM(AM685,AL685,AI685)&gt;0,"Master's Degree or Higher","Other")))))</f>
        <v>Undergraduate Degree</v>
      </c>
      <c r="AV685" t="str">
        <f>IF(ifood_data[[#All],[Income]]&gt;75000,"75K+",(IF(ifood_data[[#All],[Income]]&gt;50000,"50K-75K",(IF(ifood_data[[#All],[Income]]&gt;35000,"35K-50K","&lt;35K")))))</f>
        <v>50K-75K</v>
      </c>
      <c r="AW685" t="str">
        <f>IF(ifood_data[[#All],[Age]]&gt;60,"60+",(IF(ifood_data[[#All],[Age]]&gt;50,"50-60",(IF(ifood_data[[#All],[Age]]&gt;40,"40-50",(IF(ifood_data[[#All],[Age]]&gt;30,"30-40","&lt;30")))))))</f>
        <v>40-50</v>
      </c>
      <c r="AX685">
        <f t="shared" si="40"/>
        <v>28</v>
      </c>
      <c r="AY685">
        <f t="shared" si="41"/>
        <v>4</v>
      </c>
      <c r="AZ685">
        <f t="shared" si="42"/>
        <v>8</v>
      </c>
      <c r="BA685">
        <f t="shared" si="43"/>
        <v>8</v>
      </c>
      <c r="BB685">
        <f>SUM(ifood_data[[#This Row],[Recency Score]:[Monetary Score]])</f>
        <v>20</v>
      </c>
      <c r="BC685">
        <f>(_xlfn.PERCENTRANK.INC(ifood_data[[#All],[RFM]],ifood_data[[#This Row],[RFM]],1))*10</f>
        <v>7</v>
      </c>
      <c r="BD685" t="str">
        <f>VLOOKUP(ifood_data[[#This Row],[RFM Score]],'RFM Analysis'!$A$3:$B$14,2,FALSE)</f>
        <v>Loyal Customer</v>
      </c>
      <c r="BE685">
        <f>'Regression Models'!$B$101+'Regression Models'!$B$102*ifood_data[[#This Row],[Income]]+'Regression Models'!$B$103*ifood_data[[#This Row],[Age]]+'Regression Models'!$B$104*ifood_data[[#This Row],[Family]]</f>
        <v>729.18746918386114</v>
      </c>
      <c r="BF685" t="str">
        <f>IF(ifood_data[[#This Row],[AcceptedCmpOverall]]=1,"Campaign Respondent","Non-respondent")</f>
        <v>Non-respondent</v>
      </c>
    </row>
    <row r="686" spans="1:58" x14ac:dyDescent="0.35">
      <c r="A686">
        <v>264</v>
      </c>
      <c r="B686">
        <v>63841</v>
      </c>
      <c r="C686">
        <v>0</v>
      </c>
      <c r="D686">
        <v>1</v>
      </c>
      <c r="E686">
        <v>64</v>
      </c>
      <c r="F686">
        <v>635</v>
      </c>
      <c r="G686">
        <v>15</v>
      </c>
      <c r="H686">
        <v>100</v>
      </c>
      <c r="I686">
        <v>20</v>
      </c>
      <c r="J686">
        <v>7</v>
      </c>
      <c r="K686">
        <v>131</v>
      </c>
      <c r="L686">
        <v>1</v>
      </c>
      <c r="M686">
        <v>9</v>
      </c>
      <c r="N686">
        <v>3</v>
      </c>
      <c r="O686">
        <v>9</v>
      </c>
      <c r="P686">
        <v>6</v>
      </c>
      <c r="Q686">
        <v>0</v>
      </c>
      <c r="R686">
        <v>0</v>
      </c>
      <c r="S686">
        <v>0</v>
      </c>
      <c r="T686">
        <v>0</v>
      </c>
      <c r="U686">
        <v>0</v>
      </c>
      <c r="V686">
        <f>IF(SUM(ifood_data[[#This Row],[AcceptedCmp1]:[AcceptedCmp5]])&gt;0,1,0)</f>
        <v>0</v>
      </c>
      <c r="W686">
        <v>0</v>
      </c>
      <c r="X686">
        <v>3</v>
      </c>
      <c r="Y686">
        <v>11</v>
      </c>
      <c r="Z686">
        <v>0</v>
      </c>
      <c r="AA686">
        <v>52</v>
      </c>
      <c r="AB686">
        <v>2593</v>
      </c>
      <c r="AC686" s="28">
        <f>ifood_data[[#This Row],[Customer_Days]]/365</f>
        <v>7.1041095890410961</v>
      </c>
      <c r="AD686">
        <v>1</v>
      </c>
      <c r="AE686">
        <v>0</v>
      </c>
      <c r="AF686">
        <v>0</v>
      </c>
      <c r="AG686">
        <v>0</v>
      </c>
      <c r="AH686">
        <v>0</v>
      </c>
      <c r="AI686">
        <v>0</v>
      </c>
      <c r="AJ686">
        <v>0</v>
      </c>
      <c r="AK686">
        <v>0</v>
      </c>
      <c r="AL686">
        <v>1</v>
      </c>
      <c r="AM686">
        <v>0</v>
      </c>
      <c r="AN686">
        <v>777</v>
      </c>
      <c r="AO686">
        <v>646</v>
      </c>
      <c r="AP686">
        <f>ifood_data[[#This Row],[MntTotal]]-ifood_data[[#This Row],[MntRegularProds]]</f>
        <v>131</v>
      </c>
      <c r="AQ686">
        <v>0</v>
      </c>
      <c r="AR686">
        <f>IF(SUM(ifood_data[[#This Row],[Kidhome]:[Teenhome]])&gt;0,1,0)</f>
        <v>1</v>
      </c>
      <c r="AS686" t="str">
        <f>IF(SUM(ifood_data[[#This Row],[Kidhome]:[Teenhome]])&gt;0,"Has Family","No Family")</f>
        <v>Has Family</v>
      </c>
      <c r="AT686" t="str">
        <f>IF(ifood_data[[#This Row],[marital_Married]]=1,"Married", (IF(ifood_data[[#This Row],[marital_Single]]=1,"Single",(IF(ifood_data[[#This Row],[marital_Divorced]]=1,"Divorced",(IF(ifood_data[[#This Row],[marital_Together]]=1,"Living Together",(IF(ifood_data[[#This Row],[marital_Widow]]=1,"Widow","Other")))))))))</f>
        <v>Divorced</v>
      </c>
      <c r="AU686" t="str">
        <f>IF(ifood_data[[#This Row],[education_Basic]]=1,"High School",(IF(ifood_data[[#This Row],[education_Graduation]]=1,"Undergraduate Degree",(IF(SUM(AM686,AL686,AI686)&gt;0,"Master's Degree or Higher","Other")))))</f>
        <v>Master's Degree or Higher</v>
      </c>
      <c r="AV686" t="str">
        <f>IF(ifood_data[[#All],[Income]]&gt;75000,"75K+",(IF(ifood_data[[#All],[Income]]&gt;50000,"50K-75K",(IF(ifood_data[[#All],[Income]]&gt;35000,"35K-50K","&lt;35K")))))</f>
        <v>50K-75K</v>
      </c>
      <c r="AW686" t="str">
        <f>IF(ifood_data[[#All],[Age]]&gt;60,"60+",(IF(ifood_data[[#All],[Age]]&gt;50,"50-60",(IF(ifood_data[[#All],[Age]]&gt;40,"40-50",(IF(ifood_data[[#All],[Age]]&gt;30,"30-40","&lt;30")))))))</f>
        <v>50-60</v>
      </c>
      <c r="AX686">
        <f t="shared" si="40"/>
        <v>28</v>
      </c>
      <c r="AY686">
        <f t="shared" si="41"/>
        <v>4</v>
      </c>
      <c r="AZ686">
        <f t="shared" si="42"/>
        <v>8</v>
      </c>
      <c r="BA686">
        <f t="shared" si="43"/>
        <v>6</v>
      </c>
      <c r="BB686">
        <f>SUM(ifood_data[[#This Row],[Recency Score]:[Monetary Score]])</f>
        <v>18</v>
      </c>
      <c r="BC686">
        <f>(_xlfn.PERCENTRANK.INC(ifood_data[[#All],[RFM]],ifood_data[[#This Row],[RFM]],1))*10</f>
        <v>6</v>
      </c>
      <c r="BD686" t="str">
        <f>VLOOKUP(ifood_data[[#This Row],[RFM Score]],'RFM Analysis'!$A$3:$B$14,2,FALSE)</f>
        <v>Promising</v>
      </c>
      <c r="BE686">
        <f>'Regression Models'!$B$101+'Regression Models'!$B$102*ifood_data[[#This Row],[Income]]+'Regression Models'!$B$103*ifood_data[[#This Row],[Age]]+'Regression Models'!$B$104*ifood_data[[#This Row],[Family]]</f>
        <v>728.71562762466465</v>
      </c>
      <c r="BF686" t="str">
        <f>IF(ifood_data[[#This Row],[AcceptedCmpOverall]]=1,"Campaign Respondent","Non-respondent")</f>
        <v>Non-respondent</v>
      </c>
    </row>
    <row r="687" spans="1:58" x14ac:dyDescent="0.35">
      <c r="A687">
        <v>1512</v>
      </c>
      <c r="B687">
        <v>64140</v>
      </c>
      <c r="C687">
        <v>0</v>
      </c>
      <c r="D687">
        <v>2</v>
      </c>
      <c r="E687">
        <v>71</v>
      </c>
      <c r="F687">
        <v>1459</v>
      </c>
      <c r="G687">
        <v>0</v>
      </c>
      <c r="H687">
        <v>61</v>
      </c>
      <c r="I687">
        <v>0</v>
      </c>
      <c r="J687">
        <v>15</v>
      </c>
      <c r="K687">
        <v>215</v>
      </c>
      <c r="L687">
        <v>5</v>
      </c>
      <c r="M687">
        <v>2</v>
      </c>
      <c r="N687">
        <v>5</v>
      </c>
      <c r="O687">
        <v>6</v>
      </c>
      <c r="P687">
        <v>5</v>
      </c>
      <c r="Q687">
        <v>0</v>
      </c>
      <c r="R687">
        <v>1</v>
      </c>
      <c r="S687">
        <v>1</v>
      </c>
      <c r="T687">
        <v>0</v>
      </c>
      <c r="U687">
        <v>1</v>
      </c>
      <c r="V687">
        <f>IF(SUM(ifood_data[[#This Row],[AcceptedCmp1]:[AcceptedCmp5]])&gt;0,1,0)</f>
        <v>1</v>
      </c>
      <c r="W687">
        <v>0</v>
      </c>
      <c r="X687">
        <v>3</v>
      </c>
      <c r="Y687">
        <v>11</v>
      </c>
      <c r="Z687">
        <v>1</v>
      </c>
      <c r="AA687">
        <v>56</v>
      </c>
      <c r="AB687">
        <v>2438</v>
      </c>
      <c r="AC687" s="28">
        <f>ifood_data[[#This Row],[Customer_Days]]/365</f>
        <v>6.6794520547945204</v>
      </c>
      <c r="AD687">
        <v>1</v>
      </c>
      <c r="AE687">
        <v>0</v>
      </c>
      <c r="AF687">
        <v>0</v>
      </c>
      <c r="AG687">
        <v>0</v>
      </c>
      <c r="AH687">
        <v>0</v>
      </c>
      <c r="AI687">
        <v>0</v>
      </c>
      <c r="AJ687">
        <v>0</v>
      </c>
      <c r="AK687">
        <v>0</v>
      </c>
      <c r="AL687">
        <v>0</v>
      </c>
      <c r="AM687">
        <v>1</v>
      </c>
      <c r="AN687">
        <v>1535</v>
      </c>
      <c r="AO687">
        <v>1320</v>
      </c>
      <c r="AP687">
        <f>ifood_data[[#This Row],[MntTotal]]-ifood_data[[#This Row],[MntRegularProds]]</f>
        <v>215</v>
      </c>
      <c r="AQ687">
        <v>3</v>
      </c>
      <c r="AR687">
        <f>IF(SUM(ifood_data[[#This Row],[Kidhome]:[Teenhome]])&gt;0,1,0)</f>
        <v>1</v>
      </c>
      <c r="AS687" t="str">
        <f>IF(SUM(ifood_data[[#This Row],[Kidhome]:[Teenhome]])&gt;0,"Has Family","No Family")</f>
        <v>Has Family</v>
      </c>
      <c r="AT687" t="str">
        <f>IF(ifood_data[[#This Row],[marital_Married]]=1,"Married", (IF(ifood_data[[#This Row],[marital_Single]]=1,"Single",(IF(ifood_data[[#This Row],[marital_Divorced]]=1,"Divorced",(IF(ifood_data[[#This Row],[marital_Together]]=1,"Living Together",(IF(ifood_data[[#This Row],[marital_Widow]]=1,"Widow","Other")))))))))</f>
        <v>Divorced</v>
      </c>
      <c r="AU687" t="str">
        <f>IF(ifood_data[[#This Row],[education_Basic]]=1,"High School",(IF(ifood_data[[#This Row],[education_Graduation]]=1,"Undergraduate Degree",(IF(SUM(AM687,AL687,AI687)&gt;0,"Master's Degree or Higher","Other")))))</f>
        <v>Master's Degree or Higher</v>
      </c>
      <c r="AV687" t="str">
        <f>IF(ifood_data[[#All],[Income]]&gt;75000,"75K+",(IF(ifood_data[[#All],[Income]]&gt;50000,"50K-75K",(IF(ifood_data[[#All],[Income]]&gt;35000,"35K-50K","&lt;35K")))))</f>
        <v>50K-75K</v>
      </c>
      <c r="AW687" t="str">
        <f>IF(ifood_data[[#All],[Age]]&gt;60,"60+",(IF(ifood_data[[#All],[Age]]&gt;50,"50-60",(IF(ifood_data[[#All],[Age]]&gt;40,"40-50",(IF(ifood_data[[#All],[Age]]&gt;30,"30-40","&lt;30")))))))</f>
        <v>50-60</v>
      </c>
      <c r="AX687">
        <f t="shared" si="40"/>
        <v>23</v>
      </c>
      <c r="AY687">
        <f t="shared" si="41"/>
        <v>3.0000000000000004</v>
      </c>
      <c r="AZ687">
        <f t="shared" si="42"/>
        <v>6</v>
      </c>
      <c r="BA687">
        <f t="shared" si="43"/>
        <v>9</v>
      </c>
      <c r="BB687">
        <f>SUM(ifood_data[[#This Row],[Recency Score]:[Monetary Score]])</f>
        <v>18</v>
      </c>
      <c r="BC687">
        <f>(_xlfn.PERCENTRANK.INC(ifood_data[[#All],[RFM]],ifood_data[[#This Row],[RFM]],1))*10</f>
        <v>6</v>
      </c>
      <c r="BD687" t="str">
        <f>VLOOKUP(ifood_data[[#This Row],[RFM Score]],'RFM Analysis'!$A$3:$B$14,2,FALSE)</f>
        <v>Promising</v>
      </c>
      <c r="BE687">
        <f>'Regression Models'!$B$101+'Regression Models'!$B$102*ifood_data[[#This Row],[Income]]+'Regression Models'!$B$103*ifood_data[[#This Row],[Age]]+'Regression Models'!$B$104*ifood_data[[#This Row],[Family]]</f>
        <v>727.46611298411335</v>
      </c>
      <c r="BF687" t="str">
        <f>IF(ifood_data[[#This Row],[AcceptedCmpOverall]]=1,"Campaign Respondent","Non-respondent")</f>
        <v>Campaign Respondent</v>
      </c>
    </row>
    <row r="688" spans="1:58" x14ac:dyDescent="0.35">
      <c r="A688">
        <v>1196</v>
      </c>
      <c r="B688">
        <v>64191</v>
      </c>
      <c r="C688">
        <v>0</v>
      </c>
      <c r="D688">
        <v>1</v>
      </c>
      <c r="E688">
        <v>30</v>
      </c>
      <c r="F688">
        <v>420</v>
      </c>
      <c r="G688">
        <v>15</v>
      </c>
      <c r="H688">
        <v>186</v>
      </c>
      <c r="I688">
        <v>151</v>
      </c>
      <c r="J688">
        <v>38</v>
      </c>
      <c r="K688">
        <v>15</v>
      </c>
      <c r="L688">
        <v>3</v>
      </c>
      <c r="M688">
        <v>5</v>
      </c>
      <c r="N688">
        <v>3</v>
      </c>
      <c r="O688">
        <v>13</v>
      </c>
      <c r="P688">
        <v>3</v>
      </c>
      <c r="Q688">
        <v>0</v>
      </c>
      <c r="R688">
        <v>0</v>
      </c>
      <c r="S688">
        <v>0</v>
      </c>
      <c r="T688">
        <v>0</v>
      </c>
      <c r="U688">
        <v>0</v>
      </c>
      <c r="V688">
        <f>IF(SUM(ifood_data[[#This Row],[AcceptedCmp1]:[AcceptedCmp5]])&gt;0,1,0)</f>
        <v>0</v>
      </c>
      <c r="W688">
        <v>0</v>
      </c>
      <c r="X688">
        <v>3</v>
      </c>
      <c r="Y688">
        <v>11</v>
      </c>
      <c r="Z688">
        <v>0</v>
      </c>
      <c r="AA688">
        <v>57</v>
      </c>
      <c r="AB688">
        <v>2682</v>
      </c>
      <c r="AC688" s="28">
        <f>ifood_data[[#This Row],[Customer_Days]]/365</f>
        <v>7.3479452054794523</v>
      </c>
      <c r="AD688">
        <v>0</v>
      </c>
      <c r="AE688">
        <v>0</v>
      </c>
      <c r="AF688">
        <v>1</v>
      </c>
      <c r="AG688">
        <v>0</v>
      </c>
      <c r="AH688">
        <v>0</v>
      </c>
      <c r="AI688">
        <v>0</v>
      </c>
      <c r="AJ688">
        <v>0</v>
      </c>
      <c r="AK688">
        <v>0</v>
      </c>
      <c r="AL688">
        <v>1</v>
      </c>
      <c r="AM688">
        <v>0</v>
      </c>
      <c r="AN688">
        <v>810</v>
      </c>
      <c r="AO688">
        <v>795</v>
      </c>
      <c r="AP688">
        <f>ifood_data[[#This Row],[MntTotal]]-ifood_data[[#This Row],[MntRegularProds]]</f>
        <v>15</v>
      </c>
      <c r="AQ688">
        <v>0</v>
      </c>
      <c r="AR688">
        <f>IF(SUM(ifood_data[[#This Row],[Kidhome]:[Teenhome]])&gt;0,1,0)</f>
        <v>1</v>
      </c>
      <c r="AS688" t="str">
        <f>IF(SUM(ifood_data[[#This Row],[Kidhome]:[Teenhome]])&gt;0,"Has Family","No Family")</f>
        <v>Has Family</v>
      </c>
      <c r="AT688" t="str">
        <f>IF(ifood_data[[#This Row],[marital_Married]]=1,"Married", (IF(ifood_data[[#This Row],[marital_Single]]=1,"Single",(IF(ifood_data[[#This Row],[marital_Divorced]]=1,"Divorced",(IF(ifood_data[[#This Row],[marital_Together]]=1,"Living Together",(IF(ifood_data[[#This Row],[marital_Widow]]=1,"Widow","Other")))))))))</f>
        <v>Single</v>
      </c>
      <c r="AU688" t="str">
        <f>IF(ifood_data[[#This Row],[education_Basic]]=1,"High School",(IF(ifood_data[[#This Row],[education_Graduation]]=1,"Undergraduate Degree",(IF(SUM(AM688,AL688,AI688)&gt;0,"Master's Degree or Higher","Other")))))</f>
        <v>Master's Degree or Higher</v>
      </c>
      <c r="AV688" t="str">
        <f>IF(ifood_data[[#All],[Income]]&gt;75000,"75K+",(IF(ifood_data[[#All],[Income]]&gt;50000,"50K-75K",(IF(ifood_data[[#All],[Income]]&gt;35000,"35K-50K","&lt;35K")))))</f>
        <v>50K-75K</v>
      </c>
      <c r="AW688" t="str">
        <f>IF(ifood_data[[#All],[Age]]&gt;60,"60+",(IF(ifood_data[[#All],[Age]]&gt;50,"50-60",(IF(ifood_data[[#All],[Age]]&gt;40,"40-50",(IF(ifood_data[[#All],[Age]]&gt;30,"30-40","&lt;30")))))))</f>
        <v>50-60</v>
      </c>
      <c r="AX688">
        <f t="shared" si="40"/>
        <v>27</v>
      </c>
      <c r="AY688">
        <f t="shared" si="41"/>
        <v>7</v>
      </c>
      <c r="AZ688">
        <f t="shared" si="42"/>
        <v>7</v>
      </c>
      <c r="BA688">
        <f t="shared" si="43"/>
        <v>6</v>
      </c>
      <c r="BB688">
        <f>SUM(ifood_data[[#This Row],[Recency Score]:[Monetary Score]])</f>
        <v>20</v>
      </c>
      <c r="BC688">
        <f>(_xlfn.PERCENTRANK.INC(ifood_data[[#All],[RFM]],ifood_data[[#This Row],[RFM]],1))*10</f>
        <v>7</v>
      </c>
      <c r="BD688" t="str">
        <f>VLOOKUP(ifood_data[[#This Row],[RFM Score]],'RFM Analysis'!$A$3:$B$14,2,FALSE)</f>
        <v>Loyal Customer</v>
      </c>
      <c r="BE688">
        <f>'Regression Models'!$B$101+'Regression Models'!$B$102*ifood_data[[#This Row],[Income]]+'Regression Models'!$B$103*ifood_data[[#This Row],[Age]]+'Regression Models'!$B$104*ifood_data[[#This Row],[Family]]</f>
        <v>726.66950108055789</v>
      </c>
      <c r="BF688" t="str">
        <f>IF(ifood_data[[#This Row],[AcceptedCmpOverall]]=1,"Campaign Respondent","Non-respondent")</f>
        <v>Non-respondent</v>
      </c>
    </row>
    <row r="689" spans="1:58" x14ac:dyDescent="0.35">
      <c r="A689">
        <v>291</v>
      </c>
      <c r="B689">
        <v>64100</v>
      </c>
      <c r="C689">
        <v>0</v>
      </c>
      <c r="D689">
        <v>1</v>
      </c>
      <c r="E689">
        <v>93</v>
      </c>
      <c r="F689">
        <v>509</v>
      </c>
      <c r="G689">
        <v>0</v>
      </c>
      <c r="H689">
        <v>27</v>
      </c>
      <c r="I689">
        <v>0</v>
      </c>
      <c r="J689">
        <v>0</v>
      </c>
      <c r="K689">
        <v>10</v>
      </c>
      <c r="L689">
        <v>1</v>
      </c>
      <c r="M689">
        <v>8</v>
      </c>
      <c r="N689">
        <v>3</v>
      </c>
      <c r="O689">
        <v>6</v>
      </c>
      <c r="P689">
        <v>7</v>
      </c>
      <c r="Q689">
        <v>0</v>
      </c>
      <c r="R689">
        <v>0</v>
      </c>
      <c r="S689">
        <v>0</v>
      </c>
      <c r="T689">
        <v>1</v>
      </c>
      <c r="U689">
        <v>0</v>
      </c>
      <c r="V689">
        <f>IF(SUM(ifood_data[[#This Row],[AcceptedCmp1]:[AcceptedCmp5]])&gt;0,1,0)</f>
        <v>1</v>
      </c>
      <c r="W689">
        <v>0</v>
      </c>
      <c r="X689">
        <v>3</v>
      </c>
      <c r="Y689">
        <v>11</v>
      </c>
      <c r="Z689">
        <v>0</v>
      </c>
      <c r="AA689">
        <v>56</v>
      </c>
      <c r="AB689">
        <v>2451</v>
      </c>
      <c r="AC689" s="28">
        <f>ifood_data[[#This Row],[Customer_Days]]/365</f>
        <v>6.7150684931506852</v>
      </c>
      <c r="AD689">
        <v>0</v>
      </c>
      <c r="AE689">
        <v>1</v>
      </c>
      <c r="AF689">
        <v>0</v>
      </c>
      <c r="AG689">
        <v>0</v>
      </c>
      <c r="AH689">
        <v>0</v>
      </c>
      <c r="AI689">
        <v>0</v>
      </c>
      <c r="AJ689">
        <v>0</v>
      </c>
      <c r="AK689">
        <v>0</v>
      </c>
      <c r="AL689">
        <v>1</v>
      </c>
      <c r="AM689">
        <v>0</v>
      </c>
      <c r="AN689">
        <v>536</v>
      </c>
      <c r="AO689">
        <v>526</v>
      </c>
      <c r="AP689">
        <f>ifood_data[[#This Row],[MntTotal]]-ifood_data[[#This Row],[MntRegularProds]]</f>
        <v>10</v>
      </c>
      <c r="AQ689">
        <v>1</v>
      </c>
      <c r="AR689">
        <f>IF(SUM(ifood_data[[#This Row],[Kidhome]:[Teenhome]])&gt;0,1,0)</f>
        <v>1</v>
      </c>
      <c r="AS689" t="str">
        <f>IF(SUM(ifood_data[[#This Row],[Kidhome]:[Teenhome]])&gt;0,"Has Family","No Family")</f>
        <v>Has Family</v>
      </c>
      <c r="AT689" t="str">
        <f>IF(ifood_data[[#This Row],[marital_Married]]=1,"Married", (IF(ifood_data[[#This Row],[marital_Single]]=1,"Single",(IF(ifood_data[[#This Row],[marital_Divorced]]=1,"Divorced",(IF(ifood_data[[#This Row],[marital_Together]]=1,"Living Together",(IF(ifood_data[[#This Row],[marital_Widow]]=1,"Widow","Other")))))))))</f>
        <v>Married</v>
      </c>
      <c r="AU689" t="str">
        <f>IF(ifood_data[[#This Row],[education_Basic]]=1,"High School",(IF(ifood_data[[#This Row],[education_Graduation]]=1,"Undergraduate Degree",(IF(SUM(AM689,AL689,AI689)&gt;0,"Master's Degree or Higher","Other")))))</f>
        <v>Master's Degree or Higher</v>
      </c>
      <c r="AV689" t="str">
        <f>IF(ifood_data[[#All],[Income]]&gt;75000,"75K+",(IF(ifood_data[[#All],[Income]]&gt;50000,"50K-75K",(IF(ifood_data[[#All],[Income]]&gt;35000,"35K-50K","&lt;35K")))))</f>
        <v>50K-75K</v>
      </c>
      <c r="AW689" t="str">
        <f>IF(ifood_data[[#All],[Age]]&gt;60,"60+",(IF(ifood_data[[#All],[Age]]&gt;50,"50-60",(IF(ifood_data[[#All],[Age]]&gt;40,"40-50",(IF(ifood_data[[#All],[Age]]&gt;30,"30-40","&lt;30")))))))</f>
        <v>50-60</v>
      </c>
      <c r="AX689">
        <f t="shared" si="40"/>
        <v>25</v>
      </c>
      <c r="AY689">
        <f t="shared" si="41"/>
        <v>0.99999999999999978</v>
      </c>
      <c r="AZ689">
        <f t="shared" si="42"/>
        <v>7</v>
      </c>
      <c r="BA689">
        <f t="shared" si="43"/>
        <v>5</v>
      </c>
      <c r="BB689">
        <f>SUM(ifood_data[[#This Row],[Recency Score]:[Monetary Score]])</f>
        <v>13</v>
      </c>
      <c r="BC689">
        <f>(_xlfn.PERCENTRANK.INC(ifood_data[[#All],[RFM]],ifood_data[[#This Row],[RFM]],1))*10</f>
        <v>3</v>
      </c>
      <c r="BD689" t="str">
        <f>VLOOKUP(ifood_data[[#This Row],[RFM Score]],'RFM Analysis'!$A$3:$B$14,2,FALSE)</f>
        <v>At Risk</v>
      </c>
      <c r="BE689">
        <f>'Regression Models'!$B$101+'Regression Models'!$B$102*ifood_data[[#This Row],[Income]]+'Regression Models'!$B$103*ifood_data[[#This Row],[Age]]+'Regression Models'!$B$104*ifood_data[[#This Row],[Family]]</f>
        <v>726.6505622583577</v>
      </c>
      <c r="BF689" t="str">
        <f>IF(ifood_data[[#This Row],[AcceptedCmpOverall]]=1,"Campaign Respondent","Non-respondent")</f>
        <v>Campaign Respondent</v>
      </c>
    </row>
    <row r="690" spans="1:58" x14ac:dyDescent="0.35">
      <c r="A690">
        <v>1322</v>
      </c>
      <c r="B690">
        <v>51315</v>
      </c>
      <c r="C690">
        <v>0</v>
      </c>
      <c r="D690">
        <v>0</v>
      </c>
      <c r="E690">
        <v>45</v>
      </c>
      <c r="F690">
        <v>68</v>
      </c>
      <c r="G690">
        <v>28</v>
      </c>
      <c r="H690">
        <v>39</v>
      </c>
      <c r="I690">
        <v>16</v>
      </c>
      <c r="J690">
        <v>30</v>
      </c>
      <c r="K690">
        <v>41</v>
      </c>
      <c r="L690">
        <v>1</v>
      </c>
      <c r="M690">
        <v>2</v>
      </c>
      <c r="N690">
        <v>2</v>
      </c>
      <c r="O690">
        <v>5</v>
      </c>
      <c r="P690">
        <v>2</v>
      </c>
      <c r="Q690">
        <v>0</v>
      </c>
      <c r="R690">
        <v>0</v>
      </c>
      <c r="S690">
        <v>0</v>
      </c>
      <c r="T690">
        <v>0</v>
      </c>
      <c r="U690">
        <v>0</v>
      </c>
      <c r="V690">
        <f>IF(SUM(ifood_data[[#This Row],[AcceptedCmp1]:[AcceptedCmp5]])&gt;0,1,0)</f>
        <v>0</v>
      </c>
      <c r="W690">
        <v>0</v>
      </c>
      <c r="X690">
        <v>3</v>
      </c>
      <c r="Y690">
        <v>11</v>
      </c>
      <c r="Z690">
        <v>0</v>
      </c>
      <c r="AA690">
        <v>72</v>
      </c>
      <c r="AB690">
        <v>2285</v>
      </c>
      <c r="AC690" s="28">
        <f>ifood_data[[#This Row],[Customer_Days]]/365</f>
        <v>6.2602739726027394</v>
      </c>
      <c r="AD690">
        <v>0</v>
      </c>
      <c r="AE690">
        <v>0</v>
      </c>
      <c r="AF690">
        <v>0</v>
      </c>
      <c r="AG690">
        <v>1</v>
      </c>
      <c r="AH690">
        <v>0</v>
      </c>
      <c r="AI690">
        <v>0</v>
      </c>
      <c r="AJ690">
        <v>0</v>
      </c>
      <c r="AK690">
        <v>1</v>
      </c>
      <c r="AL690">
        <v>0</v>
      </c>
      <c r="AM690">
        <v>0</v>
      </c>
      <c r="AN690">
        <v>181</v>
      </c>
      <c r="AO690">
        <v>140</v>
      </c>
      <c r="AP690">
        <f>ifood_data[[#This Row],[MntTotal]]-ifood_data[[#This Row],[MntRegularProds]]</f>
        <v>41</v>
      </c>
      <c r="AQ690">
        <v>0</v>
      </c>
      <c r="AR690">
        <f>IF(SUM(ifood_data[[#This Row],[Kidhome]:[Teenhome]])&gt;0,1,0)</f>
        <v>0</v>
      </c>
      <c r="AS690" t="str">
        <f>IF(SUM(ifood_data[[#This Row],[Kidhome]:[Teenhome]])&gt;0,"Has Family","No Family")</f>
        <v>No Family</v>
      </c>
      <c r="AT690" t="str">
        <f>IF(ifood_data[[#This Row],[marital_Married]]=1,"Married", (IF(ifood_data[[#This Row],[marital_Single]]=1,"Single",(IF(ifood_data[[#This Row],[marital_Divorced]]=1,"Divorced",(IF(ifood_data[[#This Row],[marital_Together]]=1,"Living Together",(IF(ifood_data[[#This Row],[marital_Widow]]=1,"Widow","Other")))))))))</f>
        <v>Living Together</v>
      </c>
      <c r="AU690" t="str">
        <f>IF(ifood_data[[#This Row],[education_Basic]]=1,"High School",(IF(ifood_data[[#This Row],[education_Graduation]]=1,"Undergraduate Degree",(IF(SUM(AM690,AL690,AI690)&gt;0,"Master's Degree or Higher","Other")))))</f>
        <v>Undergraduate Degree</v>
      </c>
      <c r="AV690" t="str">
        <f>IF(ifood_data[[#All],[Income]]&gt;75000,"75K+",(IF(ifood_data[[#All],[Income]]&gt;50000,"50K-75K",(IF(ifood_data[[#All],[Income]]&gt;35000,"35K-50K","&lt;35K")))))</f>
        <v>50K-75K</v>
      </c>
      <c r="AW690" t="str">
        <f>IF(ifood_data[[#All],[Age]]&gt;60,"60+",(IF(ifood_data[[#All],[Age]]&gt;50,"50-60",(IF(ifood_data[[#All],[Age]]&gt;40,"40-50",(IF(ifood_data[[#All],[Age]]&gt;30,"30-40","&lt;30")))))))</f>
        <v>60+</v>
      </c>
      <c r="AX690">
        <f t="shared" si="40"/>
        <v>12</v>
      </c>
      <c r="AY690">
        <f t="shared" si="41"/>
        <v>6</v>
      </c>
      <c r="AZ690">
        <f t="shared" si="42"/>
        <v>1</v>
      </c>
      <c r="BA690">
        <f t="shared" si="43"/>
        <v>3</v>
      </c>
      <c r="BB690">
        <f>SUM(ifood_data[[#This Row],[Recency Score]:[Monetary Score]])</f>
        <v>10</v>
      </c>
      <c r="BC690">
        <f>(_xlfn.PERCENTRANK.INC(ifood_data[[#All],[RFM]],ifood_data[[#This Row],[RFM]],1))*10</f>
        <v>2</v>
      </c>
      <c r="BD690" t="str">
        <f>VLOOKUP(ifood_data[[#This Row],[RFM Score]],'RFM Analysis'!$A$3:$B$14,2,FALSE)</f>
        <v>At Risk</v>
      </c>
      <c r="BE690">
        <f>'Regression Models'!$B$101+'Regression Models'!$B$102*ifood_data[[#This Row],[Income]]+'Regression Models'!$B$103*ifood_data[[#This Row],[Age]]+'Regression Models'!$B$104*ifood_data[[#This Row],[Family]]</f>
        <v>726.21076734931717</v>
      </c>
      <c r="BF690" t="str">
        <f>IF(ifood_data[[#This Row],[AcceptedCmpOverall]]=1,"Campaign Respondent","Non-respondent")</f>
        <v>Non-respondent</v>
      </c>
    </row>
    <row r="691" spans="1:58" x14ac:dyDescent="0.35">
      <c r="A691">
        <v>304</v>
      </c>
      <c r="B691">
        <v>64325</v>
      </c>
      <c r="C691">
        <v>0</v>
      </c>
      <c r="D691">
        <v>1</v>
      </c>
      <c r="E691">
        <v>41</v>
      </c>
      <c r="F691">
        <v>731</v>
      </c>
      <c r="G691">
        <v>60</v>
      </c>
      <c r="H691">
        <v>353</v>
      </c>
      <c r="I691">
        <v>78</v>
      </c>
      <c r="J691">
        <v>12</v>
      </c>
      <c r="K691">
        <v>73</v>
      </c>
      <c r="L691">
        <v>5</v>
      </c>
      <c r="M691">
        <v>10</v>
      </c>
      <c r="N691">
        <v>3</v>
      </c>
      <c r="O691">
        <v>5</v>
      </c>
      <c r="P691">
        <v>7</v>
      </c>
      <c r="Q691">
        <v>0</v>
      </c>
      <c r="R691">
        <v>0</v>
      </c>
      <c r="S691">
        <v>0</v>
      </c>
      <c r="T691">
        <v>0</v>
      </c>
      <c r="U691">
        <v>0</v>
      </c>
      <c r="V691">
        <f>IF(SUM(ifood_data[[#This Row],[AcceptedCmp1]:[AcceptedCmp5]])&gt;0,1,0)</f>
        <v>0</v>
      </c>
      <c r="W691">
        <v>0</v>
      </c>
      <c r="X691">
        <v>3</v>
      </c>
      <c r="Y691">
        <v>11</v>
      </c>
      <c r="Z691">
        <v>0</v>
      </c>
      <c r="AA691">
        <v>59</v>
      </c>
      <c r="AB691">
        <v>2666</v>
      </c>
      <c r="AC691" s="28">
        <f>ifood_data[[#This Row],[Customer_Days]]/365</f>
        <v>7.3041095890410963</v>
      </c>
      <c r="AD691">
        <v>1</v>
      </c>
      <c r="AE691">
        <v>0</v>
      </c>
      <c r="AF691">
        <v>0</v>
      </c>
      <c r="AG691">
        <v>0</v>
      </c>
      <c r="AH691">
        <v>0</v>
      </c>
      <c r="AI691">
        <v>0</v>
      </c>
      <c r="AJ691">
        <v>0</v>
      </c>
      <c r="AK691">
        <v>0</v>
      </c>
      <c r="AL691">
        <v>0</v>
      </c>
      <c r="AM691">
        <v>1</v>
      </c>
      <c r="AN691">
        <v>1234</v>
      </c>
      <c r="AO691">
        <v>1161</v>
      </c>
      <c r="AP691">
        <f>ifood_data[[#This Row],[MntTotal]]-ifood_data[[#This Row],[MntRegularProds]]</f>
        <v>73</v>
      </c>
      <c r="AQ691">
        <v>0</v>
      </c>
      <c r="AR691">
        <f>IF(SUM(ifood_data[[#This Row],[Kidhome]:[Teenhome]])&gt;0,1,0)</f>
        <v>1</v>
      </c>
      <c r="AS691" t="str">
        <f>IF(SUM(ifood_data[[#This Row],[Kidhome]:[Teenhome]])&gt;0,"Has Family","No Family")</f>
        <v>Has Family</v>
      </c>
      <c r="AT691" t="str">
        <f>IF(ifood_data[[#This Row],[marital_Married]]=1,"Married", (IF(ifood_data[[#This Row],[marital_Single]]=1,"Single",(IF(ifood_data[[#This Row],[marital_Divorced]]=1,"Divorced",(IF(ifood_data[[#This Row],[marital_Together]]=1,"Living Together",(IF(ifood_data[[#This Row],[marital_Widow]]=1,"Widow","Other")))))))))</f>
        <v>Divorced</v>
      </c>
      <c r="AU691" t="str">
        <f>IF(ifood_data[[#This Row],[education_Basic]]=1,"High School",(IF(ifood_data[[#This Row],[education_Graduation]]=1,"Undergraduate Degree",(IF(SUM(AM691,AL691,AI691)&gt;0,"Master's Degree or Higher","Other")))))</f>
        <v>Master's Degree or Higher</v>
      </c>
      <c r="AV691" t="str">
        <f>IF(ifood_data[[#All],[Income]]&gt;75000,"75K+",(IF(ifood_data[[#All],[Income]]&gt;50000,"50K-75K",(IF(ifood_data[[#All],[Income]]&gt;35000,"35K-50K","&lt;35K")))))</f>
        <v>50K-75K</v>
      </c>
      <c r="AW691" t="str">
        <f>IF(ifood_data[[#All],[Age]]&gt;60,"60+",(IF(ifood_data[[#All],[Age]]&gt;50,"50-60",(IF(ifood_data[[#All],[Age]]&gt;40,"40-50",(IF(ifood_data[[#All],[Age]]&gt;30,"30-40","&lt;30")))))))</f>
        <v>50-60</v>
      </c>
      <c r="AX691">
        <f t="shared" si="40"/>
        <v>30</v>
      </c>
      <c r="AY691">
        <f t="shared" si="41"/>
        <v>6</v>
      </c>
      <c r="AZ691">
        <f t="shared" si="42"/>
        <v>8</v>
      </c>
      <c r="BA691">
        <f t="shared" si="43"/>
        <v>8</v>
      </c>
      <c r="BB691">
        <f>SUM(ifood_data[[#This Row],[Recency Score]:[Monetary Score]])</f>
        <v>22</v>
      </c>
      <c r="BC691">
        <f>(_xlfn.PERCENTRANK.INC(ifood_data[[#All],[RFM]],ifood_data[[#This Row],[RFM]],1))*10</f>
        <v>8</v>
      </c>
      <c r="BD691" t="str">
        <f>VLOOKUP(ifood_data[[#This Row],[RFM Score]],'RFM Analysis'!$A$3:$B$14,2,FALSE)</f>
        <v>Loyal Customer</v>
      </c>
      <c r="BE691">
        <f>'Regression Models'!$B$101+'Regression Models'!$B$102*ifood_data[[#This Row],[Income]]+'Regression Models'!$B$103*ifood_data[[#This Row],[Age]]+'Regression Models'!$B$104*ifood_data[[#This Row],[Family]]</f>
        <v>725.72871785405187</v>
      </c>
      <c r="BF691" t="str">
        <f>IF(ifood_data[[#This Row],[AcceptedCmpOverall]]=1,"Campaign Respondent","Non-respondent")</f>
        <v>Non-respondent</v>
      </c>
    </row>
    <row r="692" spans="1:58" x14ac:dyDescent="0.35">
      <c r="A692">
        <v>352</v>
      </c>
      <c r="B692">
        <v>63810</v>
      </c>
      <c r="C692">
        <v>0</v>
      </c>
      <c r="D692">
        <v>1</v>
      </c>
      <c r="E692">
        <v>45</v>
      </c>
      <c r="F692">
        <v>977</v>
      </c>
      <c r="G692">
        <v>12</v>
      </c>
      <c r="H692">
        <v>253</v>
      </c>
      <c r="I692">
        <v>16</v>
      </c>
      <c r="J692">
        <v>12</v>
      </c>
      <c r="K692">
        <v>101</v>
      </c>
      <c r="L692">
        <v>4</v>
      </c>
      <c r="M692">
        <v>4</v>
      </c>
      <c r="N692">
        <v>3</v>
      </c>
      <c r="O692">
        <v>12</v>
      </c>
      <c r="P692">
        <v>8</v>
      </c>
      <c r="Q692">
        <v>0</v>
      </c>
      <c r="R692">
        <v>0</v>
      </c>
      <c r="S692">
        <v>0</v>
      </c>
      <c r="T692">
        <v>1</v>
      </c>
      <c r="U692">
        <v>0</v>
      </c>
      <c r="V692">
        <f>IF(SUM(ifood_data[[#This Row],[AcceptedCmp1]:[AcceptedCmp5]])&gt;0,1,0)</f>
        <v>1</v>
      </c>
      <c r="W692">
        <v>0</v>
      </c>
      <c r="X692">
        <v>3</v>
      </c>
      <c r="Y692">
        <v>11</v>
      </c>
      <c r="Z692">
        <v>0</v>
      </c>
      <c r="AA692">
        <v>54</v>
      </c>
      <c r="AB692">
        <v>2754</v>
      </c>
      <c r="AC692" s="28">
        <f>ifood_data[[#This Row],[Customer_Days]]/365</f>
        <v>7.5452054794520551</v>
      </c>
      <c r="AD692">
        <v>0</v>
      </c>
      <c r="AE692">
        <v>0</v>
      </c>
      <c r="AF692">
        <v>1</v>
      </c>
      <c r="AG692">
        <v>0</v>
      </c>
      <c r="AH692">
        <v>0</v>
      </c>
      <c r="AI692">
        <v>0</v>
      </c>
      <c r="AJ692">
        <v>0</v>
      </c>
      <c r="AK692">
        <v>1</v>
      </c>
      <c r="AL692">
        <v>0</v>
      </c>
      <c r="AM692">
        <v>0</v>
      </c>
      <c r="AN692">
        <v>1270</v>
      </c>
      <c r="AO692">
        <v>1169</v>
      </c>
      <c r="AP692">
        <f>ifood_data[[#This Row],[MntTotal]]-ifood_data[[#This Row],[MntRegularProds]]</f>
        <v>101</v>
      </c>
      <c r="AQ692">
        <v>1</v>
      </c>
      <c r="AR692">
        <f>IF(SUM(ifood_data[[#This Row],[Kidhome]:[Teenhome]])&gt;0,1,0)</f>
        <v>1</v>
      </c>
      <c r="AS692" t="str">
        <f>IF(SUM(ifood_data[[#This Row],[Kidhome]:[Teenhome]])&gt;0,"Has Family","No Family")</f>
        <v>Has Family</v>
      </c>
      <c r="AT692" t="str">
        <f>IF(ifood_data[[#This Row],[marital_Married]]=1,"Married", (IF(ifood_data[[#This Row],[marital_Single]]=1,"Single",(IF(ifood_data[[#This Row],[marital_Divorced]]=1,"Divorced",(IF(ifood_data[[#This Row],[marital_Together]]=1,"Living Together",(IF(ifood_data[[#This Row],[marital_Widow]]=1,"Widow","Other")))))))))</f>
        <v>Single</v>
      </c>
      <c r="AU692" t="str">
        <f>IF(ifood_data[[#This Row],[education_Basic]]=1,"High School",(IF(ifood_data[[#This Row],[education_Graduation]]=1,"Undergraduate Degree",(IF(SUM(AM692,AL692,AI692)&gt;0,"Master's Degree or Higher","Other")))))</f>
        <v>Undergraduate Degree</v>
      </c>
      <c r="AV692" t="str">
        <f>IF(ifood_data[[#All],[Income]]&gt;75000,"75K+",(IF(ifood_data[[#All],[Income]]&gt;50000,"50K-75K",(IF(ifood_data[[#All],[Income]]&gt;35000,"35K-50K","&lt;35K")))))</f>
        <v>50K-75K</v>
      </c>
      <c r="AW692" t="str">
        <f>IF(ifood_data[[#All],[Age]]&gt;60,"60+",(IF(ifood_data[[#All],[Age]]&gt;50,"50-60",(IF(ifood_data[[#All],[Age]]&gt;40,"40-50",(IF(ifood_data[[#All],[Age]]&gt;30,"30-40","&lt;30")))))))</f>
        <v>50-60</v>
      </c>
      <c r="AX692">
        <f t="shared" si="40"/>
        <v>31</v>
      </c>
      <c r="AY692">
        <f t="shared" si="41"/>
        <v>6</v>
      </c>
      <c r="AZ692">
        <f t="shared" si="42"/>
        <v>9</v>
      </c>
      <c r="BA692">
        <f t="shared" si="43"/>
        <v>8</v>
      </c>
      <c r="BB692">
        <f>SUM(ifood_data[[#This Row],[Recency Score]:[Monetary Score]])</f>
        <v>23</v>
      </c>
      <c r="BC692">
        <f>(_xlfn.PERCENTRANK.INC(ifood_data[[#All],[RFM]],ifood_data[[#This Row],[RFM]],1))*10</f>
        <v>8</v>
      </c>
      <c r="BD692" t="str">
        <f>VLOOKUP(ifood_data[[#This Row],[RFM Score]],'RFM Analysis'!$A$3:$B$14,2,FALSE)</f>
        <v>Loyal Customer</v>
      </c>
      <c r="BE692">
        <f>'Regression Models'!$B$101+'Regression Models'!$B$102*ifood_data[[#This Row],[Income]]+'Regression Models'!$B$103*ifood_data[[#This Row],[Age]]+'Regression Models'!$B$104*ifood_data[[#This Row],[Family]]</f>
        <v>724.41069765441534</v>
      </c>
      <c r="BF692" t="str">
        <f>IF(ifood_data[[#This Row],[AcceptedCmpOverall]]=1,"Campaign Respondent","Non-respondent")</f>
        <v>Campaign Respondent</v>
      </c>
    </row>
    <row r="693" spans="1:58" x14ac:dyDescent="0.35">
      <c r="A693">
        <v>138</v>
      </c>
      <c r="B693">
        <v>49605</v>
      </c>
      <c r="C693">
        <v>0</v>
      </c>
      <c r="D693">
        <v>0</v>
      </c>
      <c r="E693">
        <v>65</v>
      </c>
      <c r="F693">
        <v>42</v>
      </c>
      <c r="G693">
        <v>16</v>
      </c>
      <c r="H693">
        <v>29</v>
      </c>
      <c r="I693">
        <v>12</v>
      </c>
      <c r="J693">
        <v>20</v>
      </c>
      <c r="K693">
        <v>8</v>
      </c>
      <c r="L693">
        <v>1</v>
      </c>
      <c r="M693">
        <v>2</v>
      </c>
      <c r="N693">
        <v>1</v>
      </c>
      <c r="O693">
        <v>4</v>
      </c>
      <c r="P693">
        <v>3</v>
      </c>
      <c r="Q693">
        <v>0</v>
      </c>
      <c r="R693">
        <v>0</v>
      </c>
      <c r="S693">
        <v>0</v>
      </c>
      <c r="T693">
        <v>0</v>
      </c>
      <c r="U693">
        <v>0</v>
      </c>
      <c r="V693">
        <f>IF(SUM(ifood_data[[#This Row],[AcceptedCmp1]:[AcceptedCmp5]])&gt;0,1,0)</f>
        <v>0</v>
      </c>
      <c r="W693">
        <v>0</v>
      </c>
      <c r="X693">
        <v>3</v>
      </c>
      <c r="Y693">
        <v>11</v>
      </c>
      <c r="Z693">
        <v>0</v>
      </c>
      <c r="AA693">
        <v>54</v>
      </c>
      <c r="AB693">
        <v>2167</v>
      </c>
      <c r="AC693" s="28">
        <f>ifood_data[[#This Row],[Customer_Days]]/365</f>
        <v>5.9369863013698634</v>
      </c>
      <c r="AD693">
        <v>0</v>
      </c>
      <c r="AE693">
        <v>1</v>
      </c>
      <c r="AF693">
        <v>0</v>
      </c>
      <c r="AG693">
        <v>0</v>
      </c>
      <c r="AH693">
        <v>0</v>
      </c>
      <c r="AI693">
        <v>0</v>
      </c>
      <c r="AJ693">
        <v>0</v>
      </c>
      <c r="AK693">
        <v>0</v>
      </c>
      <c r="AL693">
        <v>1</v>
      </c>
      <c r="AM693">
        <v>0</v>
      </c>
      <c r="AN693">
        <v>119</v>
      </c>
      <c r="AO693">
        <v>111</v>
      </c>
      <c r="AP693">
        <f>ifood_data[[#This Row],[MntTotal]]-ifood_data[[#This Row],[MntRegularProds]]</f>
        <v>8</v>
      </c>
      <c r="AQ693">
        <v>0</v>
      </c>
      <c r="AR693">
        <f>IF(SUM(ifood_data[[#This Row],[Kidhome]:[Teenhome]])&gt;0,1,0)</f>
        <v>0</v>
      </c>
      <c r="AS693" t="str">
        <f>IF(SUM(ifood_data[[#This Row],[Kidhome]:[Teenhome]])&gt;0,"Has Family","No Family")</f>
        <v>No Family</v>
      </c>
      <c r="AT693" t="str">
        <f>IF(ifood_data[[#This Row],[marital_Married]]=1,"Married", (IF(ifood_data[[#This Row],[marital_Single]]=1,"Single",(IF(ifood_data[[#This Row],[marital_Divorced]]=1,"Divorced",(IF(ifood_data[[#This Row],[marital_Together]]=1,"Living Together",(IF(ifood_data[[#This Row],[marital_Widow]]=1,"Widow","Other")))))))))</f>
        <v>Married</v>
      </c>
      <c r="AU693" t="str">
        <f>IF(ifood_data[[#This Row],[education_Basic]]=1,"High School",(IF(ifood_data[[#This Row],[education_Graduation]]=1,"Undergraduate Degree",(IF(SUM(AM693,AL693,AI693)&gt;0,"Master's Degree or Higher","Other")))))</f>
        <v>Master's Degree or Higher</v>
      </c>
      <c r="AV693" t="str">
        <f>IF(ifood_data[[#All],[Income]]&gt;75000,"75K+",(IF(ifood_data[[#All],[Income]]&gt;50000,"50K-75K",(IF(ifood_data[[#All],[Income]]&gt;35000,"35K-50K","&lt;35K")))))</f>
        <v>35K-50K</v>
      </c>
      <c r="AW693" t="str">
        <f>IF(ifood_data[[#All],[Age]]&gt;60,"60+",(IF(ifood_data[[#All],[Age]]&gt;50,"50-60",(IF(ifood_data[[#All],[Age]]&gt;40,"40-50",(IF(ifood_data[[#All],[Age]]&gt;30,"30-40","&lt;30")))))))</f>
        <v>50-60</v>
      </c>
      <c r="AX693">
        <f t="shared" si="40"/>
        <v>11</v>
      </c>
      <c r="AY693">
        <f t="shared" si="41"/>
        <v>4</v>
      </c>
      <c r="AZ693">
        <f t="shared" si="42"/>
        <v>0</v>
      </c>
      <c r="BA693">
        <f t="shared" si="43"/>
        <v>3</v>
      </c>
      <c r="BB693">
        <f>SUM(ifood_data[[#This Row],[Recency Score]:[Monetary Score]])</f>
        <v>7</v>
      </c>
      <c r="BC693">
        <f>(_xlfn.PERCENTRANK.INC(ifood_data[[#All],[RFM]],ifood_data[[#This Row],[RFM]],1))*10</f>
        <v>1</v>
      </c>
      <c r="BD693" t="str">
        <f>VLOOKUP(ifood_data[[#This Row],[RFM Score]],'RFM Analysis'!$A$3:$B$14,2,FALSE)</f>
        <v>At Risk</v>
      </c>
      <c r="BE693">
        <f>'Regression Models'!$B$101+'Regression Models'!$B$102*ifood_data[[#This Row],[Income]]+'Regression Models'!$B$103*ifood_data[[#This Row],[Age]]+'Regression Models'!$B$104*ifood_data[[#This Row],[Family]]</f>
        <v>724.40187724334703</v>
      </c>
      <c r="BF693" t="str">
        <f>IF(ifood_data[[#This Row],[AcceptedCmpOverall]]=1,"Campaign Respondent","Non-respondent")</f>
        <v>Non-respondent</v>
      </c>
    </row>
    <row r="694" spans="1:58" x14ac:dyDescent="0.35">
      <c r="A694">
        <v>1450</v>
      </c>
      <c r="B694">
        <v>63972</v>
      </c>
      <c r="C694">
        <v>0</v>
      </c>
      <c r="D694">
        <v>1</v>
      </c>
      <c r="E694">
        <v>93</v>
      </c>
      <c r="F694">
        <v>928</v>
      </c>
      <c r="G694">
        <v>63</v>
      </c>
      <c r="H694">
        <v>254</v>
      </c>
      <c r="I694">
        <v>0</v>
      </c>
      <c r="J694">
        <v>12</v>
      </c>
      <c r="K694">
        <v>12</v>
      </c>
      <c r="L694">
        <v>4</v>
      </c>
      <c r="M694">
        <v>5</v>
      </c>
      <c r="N694">
        <v>4</v>
      </c>
      <c r="O694">
        <v>10</v>
      </c>
      <c r="P694">
        <v>4</v>
      </c>
      <c r="Q694">
        <v>0</v>
      </c>
      <c r="R694">
        <v>0</v>
      </c>
      <c r="S694">
        <v>0</v>
      </c>
      <c r="T694">
        <v>1</v>
      </c>
      <c r="U694">
        <v>0</v>
      </c>
      <c r="V694">
        <f>IF(SUM(ifood_data[[#This Row],[AcceptedCmp1]:[AcceptedCmp5]])&gt;0,1,0)</f>
        <v>1</v>
      </c>
      <c r="W694">
        <v>0</v>
      </c>
      <c r="X694">
        <v>3</v>
      </c>
      <c r="Y694">
        <v>11</v>
      </c>
      <c r="Z694">
        <v>0</v>
      </c>
      <c r="AA694">
        <v>56</v>
      </c>
      <c r="AB694">
        <v>2733</v>
      </c>
      <c r="AC694" s="28">
        <f>ifood_data[[#This Row],[Customer_Days]]/365</f>
        <v>7.4876712328767123</v>
      </c>
      <c r="AD694">
        <v>0</v>
      </c>
      <c r="AE694">
        <v>0</v>
      </c>
      <c r="AF694">
        <v>1</v>
      </c>
      <c r="AG694">
        <v>0</v>
      </c>
      <c r="AH694">
        <v>0</v>
      </c>
      <c r="AI694">
        <v>0</v>
      </c>
      <c r="AJ694">
        <v>0</v>
      </c>
      <c r="AK694">
        <v>0</v>
      </c>
      <c r="AL694">
        <v>1</v>
      </c>
      <c r="AM694">
        <v>0</v>
      </c>
      <c r="AN694">
        <v>1257</v>
      </c>
      <c r="AO694">
        <v>1245</v>
      </c>
      <c r="AP694">
        <f>ifood_data[[#This Row],[MntTotal]]-ifood_data[[#This Row],[MntRegularProds]]</f>
        <v>12</v>
      </c>
      <c r="AQ694">
        <v>1</v>
      </c>
      <c r="AR694">
        <f>IF(SUM(ifood_data[[#This Row],[Kidhome]:[Teenhome]])&gt;0,1,0)</f>
        <v>1</v>
      </c>
      <c r="AS694" t="str">
        <f>IF(SUM(ifood_data[[#This Row],[Kidhome]:[Teenhome]])&gt;0,"Has Family","No Family")</f>
        <v>Has Family</v>
      </c>
      <c r="AT694" t="str">
        <f>IF(ifood_data[[#This Row],[marital_Married]]=1,"Married", (IF(ifood_data[[#This Row],[marital_Single]]=1,"Single",(IF(ifood_data[[#This Row],[marital_Divorced]]=1,"Divorced",(IF(ifood_data[[#This Row],[marital_Together]]=1,"Living Together",(IF(ifood_data[[#This Row],[marital_Widow]]=1,"Widow","Other")))))))))</f>
        <v>Single</v>
      </c>
      <c r="AU694" t="str">
        <f>IF(ifood_data[[#This Row],[education_Basic]]=1,"High School",(IF(ifood_data[[#This Row],[education_Graduation]]=1,"Undergraduate Degree",(IF(SUM(AM694,AL694,AI694)&gt;0,"Master's Degree or Higher","Other")))))</f>
        <v>Master's Degree or Higher</v>
      </c>
      <c r="AV694" t="str">
        <f>IF(ifood_data[[#All],[Income]]&gt;75000,"75K+",(IF(ifood_data[[#All],[Income]]&gt;50000,"50K-75K",(IF(ifood_data[[#All],[Income]]&gt;35000,"35K-50K","&lt;35K")))))</f>
        <v>50K-75K</v>
      </c>
      <c r="AW694" t="str">
        <f>IF(ifood_data[[#All],[Age]]&gt;60,"60+",(IF(ifood_data[[#All],[Age]]&gt;50,"50-60",(IF(ifood_data[[#All],[Age]]&gt;40,"40-50",(IF(ifood_data[[#All],[Age]]&gt;30,"30-40","&lt;30")))))))</f>
        <v>50-60</v>
      </c>
      <c r="AX694">
        <f t="shared" si="40"/>
        <v>27</v>
      </c>
      <c r="AY694">
        <f t="shared" si="41"/>
        <v>0.99999999999999978</v>
      </c>
      <c r="AZ694">
        <f t="shared" si="42"/>
        <v>7</v>
      </c>
      <c r="BA694">
        <f t="shared" si="43"/>
        <v>8</v>
      </c>
      <c r="BB694">
        <f>SUM(ifood_data[[#This Row],[Recency Score]:[Monetary Score]])</f>
        <v>16</v>
      </c>
      <c r="BC694">
        <f>(_xlfn.PERCENTRANK.INC(ifood_data[[#All],[RFM]],ifood_data[[#This Row],[RFM]],1))*10</f>
        <v>5</v>
      </c>
      <c r="BD694" t="str">
        <f>VLOOKUP(ifood_data[[#This Row],[RFM Score]],'RFM Analysis'!$A$3:$B$14,2,FALSE)</f>
        <v>Promising</v>
      </c>
      <c r="BE694">
        <f>'Regression Models'!$B$101+'Regression Models'!$B$102*ifood_data[[#This Row],[Income]]+'Regression Models'!$B$103*ifood_data[[#This Row],[Age]]+'Regression Models'!$B$104*ifood_data[[#This Row],[Family]]</f>
        <v>724.04079993593859</v>
      </c>
      <c r="BF694" t="str">
        <f>IF(ifood_data[[#This Row],[AcceptedCmpOverall]]=1,"Campaign Respondent","Non-respondent")</f>
        <v>Campaign Respondent</v>
      </c>
    </row>
    <row r="695" spans="1:58" x14ac:dyDescent="0.35">
      <c r="A695">
        <v>1206</v>
      </c>
      <c r="B695">
        <v>49118</v>
      </c>
      <c r="C695">
        <v>0</v>
      </c>
      <c r="D695">
        <v>0</v>
      </c>
      <c r="E695">
        <v>90</v>
      </c>
      <c r="F695">
        <v>620</v>
      </c>
      <c r="G695">
        <v>54</v>
      </c>
      <c r="H695">
        <v>239</v>
      </c>
      <c r="I695">
        <v>99</v>
      </c>
      <c r="J695">
        <v>98</v>
      </c>
      <c r="K695">
        <v>119</v>
      </c>
      <c r="L695">
        <v>2</v>
      </c>
      <c r="M695">
        <v>9</v>
      </c>
      <c r="N695">
        <v>7</v>
      </c>
      <c r="O695">
        <v>10</v>
      </c>
      <c r="P695">
        <v>7</v>
      </c>
      <c r="Q695">
        <v>0</v>
      </c>
      <c r="R695">
        <v>1</v>
      </c>
      <c r="S695">
        <v>0</v>
      </c>
      <c r="T695">
        <v>1</v>
      </c>
      <c r="U695">
        <v>0</v>
      </c>
      <c r="V695">
        <f>IF(SUM(ifood_data[[#This Row],[AcceptedCmp1]:[AcceptedCmp5]])&gt;0,1,0)</f>
        <v>1</v>
      </c>
      <c r="W695">
        <v>0</v>
      </c>
      <c r="X695">
        <v>3</v>
      </c>
      <c r="Y695">
        <v>11</v>
      </c>
      <c r="Z695">
        <v>1</v>
      </c>
      <c r="AA695">
        <v>49</v>
      </c>
      <c r="AB695">
        <v>2839</v>
      </c>
      <c r="AC695" s="28">
        <f>ifood_data[[#This Row],[Customer_Days]]/365</f>
        <v>7.7780821917808218</v>
      </c>
      <c r="AD695">
        <v>1</v>
      </c>
      <c r="AE695">
        <v>0</v>
      </c>
      <c r="AF695">
        <v>0</v>
      </c>
      <c r="AG695">
        <v>0</v>
      </c>
      <c r="AH695">
        <v>0</v>
      </c>
      <c r="AI695">
        <v>1</v>
      </c>
      <c r="AJ695">
        <v>0</v>
      </c>
      <c r="AK695">
        <v>0</v>
      </c>
      <c r="AL695">
        <v>0</v>
      </c>
      <c r="AM695">
        <v>0</v>
      </c>
      <c r="AN695">
        <v>1110</v>
      </c>
      <c r="AO695">
        <v>991</v>
      </c>
      <c r="AP695">
        <f>ifood_data[[#This Row],[MntTotal]]-ifood_data[[#This Row],[MntRegularProds]]</f>
        <v>119</v>
      </c>
      <c r="AQ695">
        <v>2</v>
      </c>
      <c r="AR695">
        <f>IF(SUM(ifood_data[[#This Row],[Kidhome]:[Teenhome]])&gt;0,1,0)</f>
        <v>0</v>
      </c>
      <c r="AS695" t="str">
        <f>IF(SUM(ifood_data[[#This Row],[Kidhome]:[Teenhome]])&gt;0,"Has Family","No Family")</f>
        <v>No Family</v>
      </c>
      <c r="AT695" t="str">
        <f>IF(ifood_data[[#This Row],[marital_Married]]=1,"Married", (IF(ifood_data[[#This Row],[marital_Single]]=1,"Single",(IF(ifood_data[[#This Row],[marital_Divorced]]=1,"Divorced",(IF(ifood_data[[#This Row],[marital_Together]]=1,"Living Together",(IF(ifood_data[[#This Row],[marital_Widow]]=1,"Widow","Other")))))))))</f>
        <v>Divorced</v>
      </c>
      <c r="AU695" t="str">
        <f>IF(ifood_data[[#This Row],[education_Basic]]=1,"High School",(IF(ifood_data[[#This Row],[education_Graduation]]=1,"Undergraduate Degree",(IF(SUM(AM695,AL695,AI695)&gt;0,"Master's Degree or Higher","Other")))))</f>
        <v>Master's Degree or Higher</v>
      </c>
      <c r="AV695" t="str">
        <f>IF(ifood_data[[#All],[Income]]&gt;75000,"75K+",(IF(ifood_data[[#All],[Income]]&gt;50000,"50K-75K",(IF(ifood_data[[#All],[Income]]&gt;35000,"35K-50K","&lt;35K")))))</f>
        <v>35K-50K</v>
      </c>
      <c r="AW695" t="str">
        <f>IF(ifood_data[[#All],[Age]]&gt;60,"60+",(IF(ifood_data[[#All],[Age]]&gt;50,"50-60",(IF(ifood_data[[#All],[Age]]&gt;40,"40-50",(IF(ifood_data[[#All],[Age]]&gt;30,"30-40","&lt;30")))))))</f>
        <v>40-50</v>
      </c>
      <c r="AX695">
        <f t="shared" si="40"/>
        <v>35</v>
      </c>
      <c r="AY695">
        <f t="shared" si="41"/>
        <v>0.99999999999999978</v>
      </c>
      <c r="AZ695">
        <f t="shared" si="42"/>
        <v>9</v>
      </c>
      <c r="BA695">
        <f t="shared" si="43"/>
        <v>8</v>
      </c>
      <c r="BB695">
        <f>SUM(ifood_data[[#This Row],[Recency Score]:[Monetary Score]])</f>
        <v>18</v>
      </c>
      <c r="BC695">
        <f>(_xlfn.PERCENTRANK.INC(ifood_data[[#All],[RFM]],ifood_data[[#This Row],[RFM]],1))*10</f>
        <v>6</v>
      </c>
      <c r="BD695" t="str">
        <f>VLOOKUP(ifood_data[[#This Row],[RFM Score]],'RFM Analysis'!$A$3:$B$14,2,FALSE)</f>
        <v>Promising</v>
      </c>
      <c r="BE695">
        <f>'Regression Models'!$B$101+'Regression Models'!$B$102*ifood_data[[#This Row],[Income]]+'Regression Models'!$B$103*ifood_data[[#This Row],[Age]]+'Regression Models'!$B$104*ifood_data[[#This Row],[Family]]</f>
        <v>723.65474255173967</v>
      </c>
      <c r="BF695" t="str">
        <f>IF(ifood_data[[#This Row],[AcceptedCmpOverall]]=1,"Campaign Respondent","Non-respondent")</f>
        <v>Campaign Respondent</v>
      </c>
    </row>
    <row r="696" spans="1:58" x14ac:dyDescent="0.35">
      <c r="A696">
        <v>369</v>
      </c>
      <c r="B696">
        <v>62499</v>
      </c>
      <c r="C696">
        <v>1</v>
      </c>
      <c r="D696">
        <v>0</v>
      </c>
      <c r="E696">
        <v>0</v>
      </c>
      <c r="F696">
        <v>140</v>
      </c>
      <c r="G696">
        <v>4</v>
      </c>
      <c r="H696">
        <v>61</v>
      </c>
      <c r="I696">
        <v>0</v>
      </c>
      <c r="J696">
        <v>13</v>
      </c>
      <c r="K696">
        <v>4</v>
      </c>
      <c r="L696">
        <v>2</v>
      </c>
      <c r="M696">
        <v>3</v>
      </c>
      <c r="N696">
        <v>1</v>
      </c>
      <c r="O696">
        <v>6</v>
      </c>
      <c r="P696">
        <v>4</v>
      </c>
      <c r="Q696">
        <v>0</v>
      </c>
      <c r="R696">
        <v>0</v>
      </c>
      <c r="S696">
        <v>0</v>
      </c>
      <c r="T696">
        <v>0</v>
      </c>
      <c r="U696">
        <v>0</v>
      </c>
      <c r="V696">
        <f>IF(SUM(ifood_data[[#This Row],[AcceptedCmp1]:[AcceptedCmp5]])&gt;0,1,0)</f>
        <v>0</v>
      </c>
      <c r="W696">
        <v>0</v>
      </c>
      <c r="X696">
        <v>3</v>
      </c>
      <c r="Y696">
        <v>11</v>
      </c>
      <c r="Z696">
        <v>0</v>
      </c>
      <c r="AA696">
        <v>41</v>
      </c>
      <c r="AB696">
        <v>2361</v>
      </c>
      <c r="AC696" s="28">
        <f>ifood_data[[#This Row],[Customer_Days]]/365</f>
        <v>6.4684931506849317</v>
      </c>
      <c r="AD696">
        <v>0</v>
      </c>
      <c r="AE696">
        <v>0</v>
      </c>
      <c r="AF696">
        <v>0</v>
      </c>
      <c r="AG696">
        <v>1</v>
      </c>
      <c r="AH696">
        <v>0</v>
      </c>
      <c r="AI696">
        <v>0</v>
      </c>
      <c r="AJ696">
        <v>0</v>
      </c>
      <c r="AK696">
        <v>0</v>
      </c>
      <c r="AL696">
        <v>1</v>
      </c>
      <c r="AM696">
        <v>0</v>
      </c>
      <c r="AN696">
        <v>218</v>
      </c>
      <c r="AO696">
        <v>214</v>
      </c>
      <c r="AP696">
        <f>ifood_data[[#This Row],[MntTotal]]-ifood_data[[#This Row],[MntRegularProds]]</f>
        <v>4</v>
      </c>
      <c r="AQ696">
        <v>0</v>
      </c>
      <c r="AR696">
        <f>IF(SUM(ifood_data[[#This Row],[Kidhome]:[Teenhome]])&gt;0,1,0)</f>
        <v>1</v>
      </c>
      <c r="AS696" t="str">
        <f>IF(SUM(ifood_data[[#This Row],[Kidhome]:[Teenhome]])&gt;0,"Has Family","No Family")</f>
        <v>Has Family</v>
      </c>
      <c r="AT696" t="str">
        <f>IF(ifood_data[[#This Row],[marital_Married]]=1,"Married", (IF(ifood_data[[#This Row],[marital_Single]]=1,"Single",(IF(ifood_data[[#This Row],[marital_Divorced]]=1,"Divorced",(IF(ifood_data[[#This Row],[marital_Together]]=1,"Living Together",(IF(ifood_data[[#This Row],[marital_Widow]]=1,"Widow","Other")))))))))</f>
        <v>Living Together</v>
      </c>
      <c r="AU696" t="str">
        <f>IF(ifood_data[[#This Row],[education_Basic]]=1,"High School",(IF(ifood_data[[#This Row],[education_Graduation]]=1,"Undergraduate Degree",(IF(SUM(AM696,AL696,AI696)&gt;0,"Master's Degree or Higher","Other")))))</f>
        <v>Master's Degree or Higher</v>
      </c>
      <c r="AV696" t="str">
        <f>IF(ifood_data[[#All],[Income]]&gt;75000,"75K+",(IF(ifood_data[[#All],[Income]]&gt;50000,"50K-75K",(IF(ifood_data[[#All],[Income]]&gt;35000,"35K-50K","&lt;35K")))))</f>
        <v>50K-75K</v>
      </c>
      <c r="AW696" t="str">
        <f>IF(ifood_data[[#All],[Age]]&gt;60,"60+",(IF(ifood_data[[#All],[Age]]&gt;50,"50-60",(IF(ifood_data[[#All],[Age]]&gt;40,"40-50",(IF(ifood_data[[#All],[Age]]&gt;30,"30-40","&lt;30")))))))</f>
        <v>40-50</v>
      </c>
      <c r="AX696">
        <f t="shared" si="40"/>
        <v>16</v>
      </c>
      <c r="AY696">
        <f t="shared" si="41"/>
        <v>10</v>
      </c>
      <c r="AZ696">
        <f t="shared" si="42"/>
        <v>3</v>
      </c>
      <c r="BA696">
        <f t="shared" si="43"/>
        <v>4</v>
      </c>
      <c r="BB696">
        <f>SUM(ifood_data[[#This Row],[Recency Score]:[Monetary Score]])</f>
        <v>17</v>
      </c>
      <c r="BC696">
        <f>(_xlfn.PERCENTRANK.INC(ifood_data[[#All],[RFM]],ifood_data[[#This Row],[RFM]],1))*10</f>
        <v>6</v>
      </c>
      <c r="BD696" t="str">
        <f>VLOOKUP(ifood_data[[#This Row],[RFM Score]],'RFM Analysis'!$A$3:$B$14,2,FALSE)</f>
        <v>Promising</v>
      </c>
      <c r="BE696">
        <f>'Regression Models'!$B$101+'Regression Models'!$B$102*ifood_data[[#This Row],[Income]]+'Regression Models'!$B$103*ifood_data[[#This Row],[Age]]+'Regression Models'!$B$104*ifood_data[[#This Row],[Family]]</f>
        <v>721.55473064338958</v>
      </c>
      <c r="BF696" t="str">
        <f>IF(ifood_data[[#This Row],[AcceptedCmpOverall]]=1,"Campaign Respondent","Non-respondent")</f>
        <v>Non-respondent</v>
      </c>
    </row>
    <row r="697" spans="1:58" x14ac:dyDescent="0.35">
      <c r="A697">
        <v>882</v>
      </c>
      <c r="B697">
        <v>64950</v>
      </c>
      <c r="C697">
        <v>0</v>
      </c>
      <c r="D697">
        <v>1</v>
      </c>
      <c r="E697">
        <v>29</v>
      </c>
      <c r="F697">
        <v>819</v>
      </c>
      <c r="G697">
        <v>0</v>
      </c>
      <c r="H697">
        <v>72</v>
      </c>
      <c r="I697">
        <v>12</v>
      </c>
      <c r="J697">
        <v>0</v>
      </c>
      <c r="K697">
        <v>63</v>
      </c>
      <c r="L697">
        <v>2</v>
      </c>
      <c r="M697">
        <v>11</v>
      </c>
      <c r="N697">
        <v>2</v>
      </c>
      <c r="O697">
        <v>10</v>
      </c>
      <c r="P697">
        <v>7</v>
      </c>
      <c r="Q697">
        <v>0</v>
      </c>
      <c r="R697">
        <v>0</v>
      </c>
      <c r="S697">
        <v>0</v>
      </c>
      <c r="T697">
        <v>1</v>
      </c>
      <c r="U697">
        <v>0</v>
      </c>
      <c r="V697">
        <f>IF(SUM(ifood_data[[#This Row],[AcceptedCmp1]:[AcceptedCmp5]])&gt;0,1,0)</f>
        <v>1</v>
      </c>
      <c r="W697">
        <v>0</v>
      </c>
      <c r="X697">
        <v>3</v>
      </c>
      <c r="Y697">
        <v>11</v>
      </c>
      <c r="Z697">
        <v>0</v>
      </c>
      <c r="AA697">
        <v>69</v>
      </c>
      <c r="AB697">
        <v>2845</v>
      </c>
      <c r="AC697" s="28">
        <f>ifood_data[[#This Row],[Customer_Days]]/365</f>
        <v>7.7945205479452051</v>
      </c>
      <c r="AD697">
        <v>0</v>
      </c>
      <c r="AE697">
        <v>0</v>
      </c>
      <c r="AF697">
        <v>1</v>
      </c>
      <c r="AG697">
        <v>0</v>
      </c>
      <c r="AH697">
        <v>0</v>
      </c>
      <c r="AI697">
        <v>0</v>
      </c>
      <c r="AJ697">
        <v>0</v>
      </c>
      <c r="AK697">
        <v>0</v>
      </c>
      <c r="AL697">
        <v>0</v>
      </c>
      <c r="AM697">
        <v>1</v>
      </c>
      <c r="AN697">
        <v>903</v>
      </c>
      <c r="AO697">
        <v>840</v>
      </c>
      <c r="AP697">
        <f>ifood_data[[#This Row],[MntTotal]]-ifood_data[[#This Row],[MntRegularProds]]</f>
        <v>63</v>
      </c>
      <c r="AQ697">
        <v>1</v>
      </c>
      <c r="AR697">
        <f>IF(SUM(ifood_data[[#This Row],[Kidhome]:[Teenhome]])&gt;0,1,0)</f>
        <v>1</v>
      </c>
      <c r="AS697" t="str">
        <f>IF(SUM(ifood_data[[#This Row],[Kidhome]:[Teenhome]])&gt;0,"Has Family","No Family")</f>
        <v>Has Family</v>
      </c>
      <c r="AT697" t="str">
        <f>IF(ifood_data[[#This Row],[marital_Married]]=1,"Married", (IF(ifood_data[[#This Row],[marital_Single]]=1,"Single",(IF(ifood_data[[#This Row],[marital_Divorced]]=1,"Divorced",(IF(ifood_data[[#This Row],[marital_Together]]=1,"Living Together",(IF(ifood_data[[#This Row],[marital_Widow]]=1,"Widow","Other")))))))))</f>
        <v>Single</v>
      </c>
      <c r="AU697" t="str">
        <f>IF(ifood_data[[#This Row],[education_Basic]]=1,"High School",(IF(ifood_data[[#This Row],[education_Graduation]]=1,"Undergraduate Degree",(IF(SUM(AM697,AL697,AI697)&gt;0,"Master's Degree or Higher","Other")))))</f>
        <v>Master's Degree or Higher</v>
      </c>
      <c r="AV697" t="str">
        <f>IF(ifood_data[[#All],[Income]]&gt;75000,"75K+",(IF(ifood_data[[#All],[Income]]&gt;50000,"50K-75K",(IF(ifood_data[[#All],[Income]]&gt;35000,"35K-50K","&lt;35K")))))</f>
        <v>50K-75K</v>
      </c>
      <c r="AW697" t="str">
        <f>IF(ifood_data[[#All],[Age]]&gt;60,"60+",(IF(ifood_data[[#All],[Age]]&gt;50,"50-60",(IF(ifood_data[[#All],[Age]]&gt;40,"40-50",(IF(ifood_data[[#All],[Age]]&gt;30,"30-40","&lt;30")))))))</f>
        <v>60+</v>
      </c>
      <c r="AX697">
        <f t="shared" si="40"/>
        <v>32</v>
      </c>
      <c r="AY697">
        <f t="shared" si="41"/>
        <v>8</v>
      </c>
      <c r="AZ697">
        <f t="shared" si="42"/>
        <v>9</v>
      </c>
      <c r="BA697">
        <f t="shared" si="43"/>
        <v>7</v>
      </c>
      <c r="BB697">
        <f>SUM(ifood_data[[#This Row],[Recency Score]:[Monetary Score]])</f>
        <v>24</v>
      </c>
      <c r="BC697">
        <f>(_xlfn.PERCENTRANK.INC(ifood_data[[#All],[RFM]],ifood_data[[#This Row],[RFM]],1))*10</f>
        <v>9</v>
      </c>
      <c r="BD697" t="str">
        <f>VLOOKUP(ifood_data[[#This Row],[RFM Score]],'RFM Analysis'!$A$3:$B$14,2,FALSE)</f>
        <v>Top Customer</v>
      </c>
      <c r="BE697">
        <f>'Regression Models'!$B$101+'Regression Models'!$B$102*ifood_data[[#This Row],[Income]]+'Regression Models'!$B$103*ifood_data[[#This Row],[Age]]+'Regression Models'!$B$104*ifood_data[[#This Row],[Family]]</f>
        <v>720.10730715504587</v>
      </c>
      <c r="BF697" t="str">
        <f>IF(ifood_data[[#This Row],[AcceptedCmpOverall]]=1,"Campaign Respondent","Non-respondent")</f>
        <v>Campaign Respondent</v>
      </c>
    </row>
    <row r="698" spans="1:58" x14ac:dyDescent="0.35">
      <c r="A698">
        <v>889</v>
      </c>
      <c r="B698">
        <v>64831</v>
      </c>
      <c r="C698">
        <v>1</v>
      </c>
      <c r="D698">
        <v>1</v>
      </c>
      <c r="E698">
        <v>51</v>
      </c>
      <c r="F698">
        <v>480</v>
      </c>
      <c r="G698">
        <v>86</v>
      </c>
      <c r="H698">
        <v>249</v>
      </c>
      <c r="I698">
        <v>75</v>
      </c>
      <c r="J698">
        <v>86</v>
      </c>
      <c r="K698">
        <v>144</v>
      </c>
      <c r="L698">
        <v>8</v>
      </c>
      <c r="M698">
        <v>6</v>
      </c>
      <c r="N698">
        <v>3</v>
      </c>
      <c r="O698">
        <v>5</v>
      </c>
      <c r="P698">
        <v>6</v>
      </c>
      <c r="Q698">
        <v>0</v>
      </c>
      <c r="R698">
        <v>0</v>
      </c>
      <c r="S698">
        <v>0</v>
      </c>
      <c r="T698">
        <v>0</v>
      </c>
      <c r="U698">
        <v>0</v>
      </c>
      <c r="V698">
        <f>IF(SUM(ifood_data[[#This Row],[AcceptedCmp1]:[AcceptedCmp5]])&gt;0,1,0)</f>
        <v>0</v>
      </c>
      <c r="W698">
        <v>0</v>
      </c>
      <c r="X698">
        <v>3</v>
      </c>
      <c r="Y698">
        <v>11</v>
      </c>
      <c r="Z698">
        <v>0</v>
      </c>
      <c r="AA698">
        <v>68</v>
      </c>
      <c r="AB698">
        <v>2543</v>
      </c>
      <c r="AC698" s="28">
        <f>ifood_data[[#This Row],[Customer_Days]]/365</f>
        <v>6.9671232876712326</v>
      </c>
      <c r="AD698">
        <v>0</v>
      </c>
      <c r="AE698">
        <v>0</v>
      </c>
      <c r="AF698">
        <v>1</v>
      </c>
      <c r="AG698">
        <v>0</v>
      </c>
      <c r="AH698">
        <v>0</v>
      </c>
      <c r="AI698">
        <v>1</v>
      </c>
      <c r="AJ698">
        <v>0</v>
      </c>
      <c r="AK698">
        <v>0</v>
      </c>
      <c r="AL698">
        <v>0</v>
      </c>
      <c r="AM698">
        <v>0</v>
      </c>
      <c r="AN698">
        <v>976</v>
      </c>
      <c r="AO698">
        <v>832</v>
      </c>
      <c r="AP698">
        <f>ifood_data[[#This Row],[MntTotal]]-ifood_data[[#This Row],[MntRegularProds]]</f>
        <v>144</v>
      </c>
      <c r="AQ698">
        <v>0</v>
      </c>
      <c r="AR698">
        <f>IF(SUM(ifood_data[[#This Row],[Kidhome]:[Teenhome]])&gt;0,1,0)</f>
        <v>1</v>
      </c>
      <c r="AS698" t="str">
        <f>IF(SUM(ifood_data[[#This Row],[Kidhome]:[Teenhome]])&gt;0,"Has Family","No Family")</f>
        <v>Has Family</v>
      </c>
      <c r="AT698" t="str">
        <f>IF(ifood_data[[#This Row],[marital_Married]]=1,"Married", (IF(ifood_data[[#This Row],[marital_Single]]=1,"Single",(IF(ifood_data[[#This Row],[marital_Divorced]]=1,"Divorced",(IF(ifood_data[[#This Row],[marital_Together]]=1,"Living Together",(IF(ifood_data[[#This Row],[marital_Widow]]=1,"Widow","Other")))))))))</f>
        <v>Single</v>
      </c>
      <c r="AU698" t="str">
        <f>IF(ifood_data[[#This Row],[education_Basic]]=1,"High School",(IF(ifood_data[[#This Row],[education_Graduation]]=1,"Undergraduate Degree",(IF(SUM(AM698,AL698,AI698)&gt;0,"Master's Degree or Higher","Other")))))</f>
        <v>Master's Degree or Higher</v>
      </c>
      <c r="AV698" t="str">
        <f>IF(ifood_data[[#All],[Income]]&gt;75000,"75K+",(IF(ifood_data[[#All],[Income]]&gt;50000,"50K-75K",(IF(ifood_data[[#All],[Income]]&gt;35000,"35K-50K","&lt;35K")))))</f>
        <v>50K-75K</v>
      </c>
      <c r="AW698" t="str">
        <f>IF(ifood_data[[#All],[Age]]&gt;60,"60+",(IF(ifood_data[[#All],[Age]]&gt;50,"50-60",(IF(ifood_data[[#All],[Age]]&gt;40,"40-50",(IF(ifood_data[[#All],[Age]]&gt;30,"30-40","&lt;30")))))))</f>
        <v>60+</v>
      </c>
      <c r="AX698">
        <f t="shared" si="40"/>
        <v>28</v>
      </c>
      <c r="AY698">
        <f t="shared" si="41"/>
        <v>5</v>
      </c>
      <c r="AZ698">
        <f t="shared" si="42"/>
        <v>8</v>
      </c>
      <c r="BA698">
        <f t="shared" si="43"/>
        <v>7</v>
      </c>
      <c r="BB698">
        <f>SUM(ifood_data[[#This Row],[Recency Score]:[Monetary Score]])</f>
        <v>20</v>
      </c>
      <c r="BC698">
        <f>(_xlfn.PERCENTRANK.INC(ifood_data[[#All],[RFM]],ifood_data[[#This Row],[RFM]],1))*10</f>
        <v>7</v>
      </c>
      <c r="BD698" t="str">
        <f>VLOOKUP(ifood_data[[#This Row],[RFM Score]],'RFM Analysis'!$A$3:$B$14,2,FALSE)</f>
        <v>Loyal Customer</v>
      </c>
      <c r="BE698">
        <f>'Regression Models'!$B$101+'Regression Models'!$B$102*ifood_data[[#This Row],[Income]]+'Regression Models'!$B$103*ifood_data[[#This Row],[Age]]+'Regression Models'!$B$104*ifood_data[[#This Row],[Family]]</f>
        <v>719.5174828248164</v>
      </c>
      <c r="BF698" t="str">
        <f>IF(ifood_data[[#This Row],[AcceptedCmpOverall]]=1,"Campaign Respondent","Non-respondent")</f>
        <v>Non-respondent</v>
      </c>
    </row>
    <row r="699" spans="1:58" x14ac:dyDescent="0.35">
      <c r="A699">
        <v>210</v>
      </c>
      <c r="B699">
        <v>63887</v>
      </c>
      <c r="C699">
        <v>0</v>
      </c>
      <c r="D699">
        <v>1</v>
      </c>
      <c r="E699">
        <v>38</v>
      </c>
      <c r="F699">
        <v>897</v>
      </c>
      <c r="G699">
        <v>23</v>
      </c>
      <c r="H699">
        <v>207</v>
      </c>
      <c r="I699">
        <v>15</v>
      </c>
      <c r="J699">
        <v>11</v>
      </c>
      <c r="K699">
        <v>92</v>
      </c>
      <c r="L699">
        <v>5</v>
      </c>
      <c r="M699">
        <v>9</v>
      </c>
      <c r="N699">
        <v>6</v>
      </c>
      <c r="O699">
        <v>12</v>
      </c>
      <c r="P699">
        <v>6</v>
      </c>
      <c r="Q699">
        <v>0</v>
      </c>
      <c r="R699">
        <v>0</v>
      </c>
      <c r="S699">
        <v>0</v>
      </c>
      <c r="T699">
        <v>0</v>
      </c>
      <c r="U699">
        <v>0</v>
      </c>
      <c r="V699">
        <f>IF(SUM(ifood_data[[#This Row],[AcceptedCmp1]:[AcceptedCmp5]])&gt;0,1,0)</f>
        <v>0</v>
      </c>
      <c r="W699">
        <v>0</v>
      </c>
      <c r="X699">
        <v>3</v>
      </c>
      <c r="Y699">
        <v>11</v>
      </c>
      <c r="Z699">
        <v>0</v>
      </c>
      <c r="AA699">
        <v>58</v>
      </c>
      <c r="AB699">
        <v>2818</v>
      </c>
      <c r="AC699" s="28">
        <f>ifood_data[[#This Row],[Customer_Days]]/365</f>
        <v>7.720547945205479</v>
      </c>
      <c r="AD699">
        <v>1</v>
      </c>
      <c r="AE699">
        <v>0</v>
      </c>
      <c r="AF699">
        <v>0</v>
      </c>
      <c r="AG699">
        <v>0</v>
      </c>
      <c r="AH699">
        <v>0</v>
      </c>
      <c r="AI699">
        <v>0</v>
      </c>
      <c r="AJ699">
        <v>0</v>
      </c>
      <c r="AK699">
        <v>1</v>
      </c>
      <c r="AL699">
        <v>0</v>
      </c>
      <c r="AM699">
        <v>0</v>
      </c>
      <c r="AN699">
        <v>1153</v>
      </c>
      <c r="AO699">
        <v>1061</v>
      </c>
      <c r="AP699">
        <f>ifood_data[[#This Row],[MntTotal]]-ifood_data[[#This Row],[MntRegularProds]]</f>
        <v>92</v>
      </c>
      <c r="AQ699">
        <v>0</v>
      </c>
      <c r="AR699">
        <f>IF(SUM(ifood_data[[#This Row],[Kidhome]:[Teenhome]])&gt;0,1,0)</f>
        <v>1</v>
      </c>
      <c r="AS699" t="str">
        <f>IF(SUM(ifood_data[[#This Row],[Kidhome]:[Teenhome]])&gt;0,"Has Family","No Family")</f>
        <v>Has Family</v>
      </c>
      <c r="AT699" t="str">
        <f>IF(ifood_data[[#This Row],[marital_Married]]=1,"Married", (IF(ifood_data[[#This Row],[marital_Single]]=1,"Single",(IF(ifood_data[[#This Row],[marital_Divorced]]=1,"Divorced",(IF(ifood_data[[#This Row],[marital_Together]]=1,"Living Together",(IF(ifood_data[[#This Row],[marital_Widow]]=1,"Widow","Other")))))))))</f>
        <v>Divorced</v>
      </c>
      <c r="AU699" t="str">
        <f>IF(ifood_data[[#This Row],[education_Basic]]=1,"High School",(IF(ifood_data[[#This Row],[education_Graduation]]=1,"Undergraduate Degree",(IF(SUM(AM699,AL699,AI699)&gt;0,"Master's Degree or Higher","Other")))))</f>
        <v>Undergraduate Degree</v>
      </c>
      <c r="AV699" t="str">
        <f>IF(ifood_data[[#All],[Income]]&gt;75000,"75K+",(IF(ifood_data[[#All],[Income]]&gt;50000,"50K-75K",(IF(ifood_data[[#All],[Income]]&gt;35000,"35K-50K","&lt;35K")))))</f>
        <v>50K-75K</v>
      </c>
      <c r="AW699" t="str">
        <f>IF(ifood_data[[#All],[Age]]&gt;60,"60+",(IF(ifood_data[[#All],[Age]]&gt;50,"50-60",(IF(ifood_data[[#All],[Age]]&gt;40,"40-50",(IF(ifood_data[[#All],[Age]]&gt;30,"30-40","&lt;30")))))))</f>
        <v>50-60</v>
      </c>
      <c r="AX699">
        <f t="shared" si="40"/>
        <v>38</v>
      </c>
      <c r="AY699">
        <f t="shared" si="41"/>
        <v>7</v>
      </c>
      <c r="AZ699">
        <f t="shared" si="42"/>
        <v>9</v>
      </c>
      <c r="BA699">
        <f t="shared" si="43"/>
        <v>8</v>
      </c>
      <c r="BB699">
        <f>SUM(ifood_data[[#This Row],[Recency Score]:[Monetary Score]])</f>
        <v>24</v>
      </c>
      <c r="BC699">
        <f>(_xlfn.PERCENTRANK.INC(ifood_data[[#All],[RFM]],ifood_data[[#This Row],[RFM]],1))*10</f>
        <v>9</v>
      </c>
      <c r="BD699" t="str">
        <f>VLOOKUP(ifood_data[[#This Row],[RFM Score]],'RFM Analysis'!$A$3:$B$14,2,FALSE)</f>
        <v>Top Customer</v>
      </c>
      <c r="BE699">
        <f>'Regression Models'!$B$101+'Regression Models'!$B$102*ifood_data[[#This Row],[Income]]+'Regression Models'!$B$103*ifood_data[[#This Row],[Age]]+'Regression Models'!$B$104*ifood_data[[#This Row],[Family]]</f>
        <v>718.63487648591854</v>
      </c>
      <c r="BF699" t="str">
        <f>IF(ifood_data[[#This Row],[AcceptedCmpOverall]]=1,"Campaign Respondent","Non-respondent")</f>
        <v>Non-respondent</v>
      </c>
    </row>
    <row r="700" spans="1:58" x14ac:dyDescent="0.35">
      <c r="A700">
        <v>941</v>
      </c>
      <c r="B700">
        <v>64587</v>
      </c>
      <c r="C700">
        <v>1</v>
      </c>
      <c r="D700">
        <v>1</v>
      </c>
      <c r="E700">
        <v>49</v>
      </c>
      <c r="F700">
        <v>66</v>
      </c>
      <c r="G700">
        <v>0</v>
      </c>
      <c r="H700">
        <v>16</v>
      </c>
      <c r="I700">
        <v>0</v>
      </c>
      <c r="J700">
        <v>6</v>
      </c>
      <c r="K700">
        <v>20</v>
      </c>
      <c r="L700">
        <v>2</v>
      </c>
      <c r="M700">
        <v>1</v>
      </c>
      <c r="N700">
        <v>1</v>
      </c>
      <c r="O700">
        <v>4</v>
      </c>
      <c r="P700">
        <v>3</v>
      </c>
      <c r="Q700">
        <v>0</v>
      </c>
      <c r="R700">
        <v>0</v>
      </c>
      <c r="S700">
        <v>0</v>
      </c>
      <c r="T700">
        <v>0</v>
      </c>
      <c r="U700">
        <v>0</v>
      </c>
      <c r="V700">
        <f>IF(SUM(ifood_data[[#This Row],[AcceptedCmp1]:[AcceptedCmp5]])&gt;0,1,0)</f>
        <v>0</v>
      </c>
      <c r="W700">
        <v>0</v>
      </c>
      <c r="X700">
        <v>3</v>
      </c>
      <c r="Y700">
        <v>11</v>
      </c>
      <c r="Z700">
        <v>0</v>
      </c>
      <c r="AA700">
        <v>66</v>
      </c>
      <c r="AB700">
        <v>2166</v>
      </c>
      <c r="AC700" s="28">
        <f>ifood_data[[#This Row],[Customer_Days]]/365</f>
        <v>5.934246575342466</v>
      </c>
      <c r="AD700">
        <v>1</v>
      </c>
      <c r="AE700">
        <v>0</v>
      </c>
      <c r="AF700">
        <v>0</v>
      </c>
      <c r="AG700">
        <v>0</v>
      </c>
      <c r="AH700">
        <v>0</v>
      </c>
      <c r="AI700">
        <v>0</v>
      </c>
      <c r="AJ700">
        <v>0</v>
      </c>
      <c r="AK700">
        <v>1</v>
      </c>
      <c r="AL700">
        <v>0</v>
      </c>
      <c r="AM700">
        <v>0</v>
      </c>
      <c r="AN700">
        <v>88</v>
      </c>
      <c r="AO700">
        <v>68</v>
      </c>
      <c r="AP700">
        <f>ifood_data[[#This Row],[MntTotal]]-ifood_data[[#This Row],[MntRegularProds]]</f>
        <v>20</v>
      </c>
      <c r="AQ700">
        <v>0</v>
      </c>
      <c r="AR700">
        <f>IF(SUM(ifood_data[[#This Row],[Kidhome]:[Teenhome]])&gt;0,1,0)</f>
        <v>1</v>
      </c>
      <c r="AS700" t="str">
        <f>IF(SUM(ifood_data[[#This Row],[Kidhome]:[Teenhome]])&gt;0,"Has Family","No Family")</f>
        <v>Has Family</v>
      </c>
      <c r="AT700" t="str">
        <f>IF(ifood_data[[#This Row],[marital_Married]]=1,"Married", (IF(ifood_data[[#This Row],[marital_Single]]=1,"Single",(IF(ifood_data[[#This Row],[marital_Divorced]]=1,"Divorced",(IF(ifood_data[[#This Row],[marital_Together]]=1,"Living Together",(IF(ifood_data[[#This Row],[marital_Widow]]=1,"Widow","Other")))))))))</f>
        <v>Divorced</v>
      </c>
      <c r="AU700" t="str">
        <f>IF(ifood_data[[#This Row],[education_Basic]]=1,"High School",(IF(ifood_data[[#This Row],[education_Graduation]]=1,"Undergraduate Degree",(IF(SUM(AM700,AL700,AI700)&gt;0,"Master's Degree or Higher","Other")))))</f>
        <v>Undergraduate Degree</v>
      </c>
      <c r="AV700" t="str">
        <f>IF(ifood_data[[#All],[Income]]&gt;75000,"75K+",(IF(ifood_data[[#All],[Income]]&gt;50000,"50K-75K",(IF(ifood_data[[#All],[Income]]&gt;35000,"35K-50K","&lt;35K")))))</f>
        <v>50K-75K</v>
      </c>
      <c r="AW700" t="str">
        <f>IF(ifood_data[[#All],[Age]]&gt;60,"60+",(IF(ifood_data[[#All],[Age]]&gt;50,"50-60",(IF(ifood_data[[#All],[Age]]&gt;40,"40-50",(IF(ifood_data[[#All],[Age]]&gt;30,"30-40","&lt;30")))))))</f>
        <v>60+</v>
      </c>
      <c r="AX700">
        <f t="shared" si="40"/>
        <v>11</v>
      </c>
      <c r="AY700">
        <f t="shared" si="41"/>
        <v>6</v>
      </c>
      <c r="AZ700">
        <f t="shared" si="42"/>
        <v>0</v>
      </c>
      <c r="BA700">
        <f t="shared" si="43"/>
        <v>3</v>
      </c>
      <c r="BB700">
        <f>SUM(ifood_data[[#This Row],[Recency Score]:[Monetary Score]])</f>
        <v>9</v>
      </c>
      <c r="BC700">
        <f>(_xlfn.PERCENTRANK.INC(ifood_data[[#All],[RFM]],ifood_data[[#This Row],[RFM]],1))*10</f>
        <v>1</v>
      </c>
      <c r="BD700" t="str">
        <f>VLOOKUP(ifood_data[[#This Row],[RFM Score]],'RFM Analysis'!$A$3:$B$14,2,FALSE)</f>
        <v>At Risk</v>
      </c>
      <c r="BE700">
        <f>'Regression Models'!$B$101+'Regression Models'!$B$102*ifood_data[[#This Row],[Income]]+'Regression Models'!$B$103*ifood_data[[#This Row],[Age]]+'Regression Models'!$B$104*ifood_data[[#This Row],[Family]]</f>
        <v>718.21550155549357</v>
      </c>
      <c r="BF700" t="str">
        <f>IF(ifood_data[[#This Row],[AcceptedCmpOverall]]=1,"Campaign Respondent","Non-respondent")</f>
        <v>Non-respondent</v>
      </c>
    </row>
    <row r="701" spans="1:58" x14ac:dyDescent="0.35">
      <c r="A701">
        <v>1359</v>
      </c>
      <c r="B701">
        <v>64866</v>
      </c>
      <c r="C701">
        <v>0</v>
      </c>
      <c r="D701">
        <v>1</v>
      </c>
      <c r="E701">
        <v>9</v>
      </c>
      <c r="F701">
        <v>508</v>
      </c>
      <c r="G701">
        <v>5</v>
      </c>
      <c r="H701">
        <v>21</v>
      </c>
      <c r="I701">
        <v>7</v>
      </c>
      <c r="J701">
        <v>5</v>
      </c>
      <c r="K701">
        <v>10</v>
      </c>
      <c r="L701">
        <v>4</v>
      </c>
      <c r="M701">
        <v>7</v>
      </c>
      <c r="N701">
        <v>3</v>
      </c>
      <c r="O701">
        <v>7</v>
      </c>
      <c r="P701">
        <v>5</v>
      </c>
      <c r="Q701">
        <v>0</v>
      </c>
      <c r="R701">
        <v>0</v>
      </c>
      <c r="S701">
        <v>0</v>
      </c>
      <c r="T701">
        <v>1</v>
      </c>
      <c r="U701">
        <v>0</v>
      </c>
      <c r="V701">
        <f>IF(SUM(ifood_data[[#This Row],[AcceptedCmp1]:[AcceptedCmp5]])&gt;0,1,0)</f>
        <v>1</v>
      </c>
      <c r="W701">
        <v>0</v>
      </c>
      <c r="X701">
        <v>3</v>
      </c>
      <c r="Y701">
        <v>11</v>
      </c>
      <c r="Z701">
        <v>0</v>
      </c>
      <c r="AA701">
        <v>70</v>
      </c>
      <c r="AB701">
        <v>2313</v>
      </c>
      <c r="AC701" s="28">
        <f>ifood_data[[#This Row],[Customer_Days]]/365</f>
        <v>6.3369863013698629</v>
      </c>
      <c r="AD701">
        <v>0</v>
      </c>
      <c r="AE701">
        <v>0</v>
      </c>
      <c r="AF701">
        <v>0</v>
      </c>
      <c r="AG701">
        <v>0</v>
      </c>
      <c r="AH701">
        <v>1</v>
      </c>
      <c r="AI701">
        <v>0</v>
      </c>
      <c r="AJ701">
        <v>0</v>
      </c>
      <c r="AK701">
        <v>0</v>
      </c>
      <c r="AL701">
        <v>1</v>
      </c>
      <c r="AM701">
        <v>0</v>
      </c>
      <c r="AN701">
        <v>546</v>
      </c>
      <c r="AO701">
        <v>536</v>
      </c>
      <c r="AP701">
        <f>ifood_data[[#This Row],[MntTotal]]-ifood_data[[#This Row],[MntRegularProds]]</f>
        <v>10</v>
      </c>
      <c r="AQ701">
        <v>1</v>
      </c>
      <c r="AR701">
        <f>IF(SUM(ifood_data[[#This Row],[Kidhome]:[Teenhome]])&gt;0,1,0)</f>
        <v>1</v>
      </c>
      <c r="AS701" t="str">
        <f>IF(SUM(ifood_data[[#This Row],[Kidhome]:[Teenhome]])&gt;0,"Has Family","No Family")</f>
        <v>Has Family</v>
      </c>
      <c r="AT701" t="str">
        <f>IF(ifood_data[[#This Row],[marital_Married]]=1,"Married", (IF(ifood_data[[#This Row],[marital_Single]]=1,"Single",(IF(ifood_data[[#This Row],[marital_Divorced]]=1,"Divorced",(IF(ifood_data[[#This Row],[marital_Together]]=1,"Living Together",(IF(ifood_data[[#This Row],[marital_Widow]]=1,"Widow","Other")))))))))</f>
        <v>Widow</v>
      </c>
      <c r="AU701" t="str">
        <f>IF(ifood_data[[#This Row],[education_Basic]]=1,"High School",(IF(ifood_data[[#This Row],[education_Graduation]]=1,"Undergraduate Degree",(IF(SUM(AM701,AL701,AI701)&gt;0,"Master's Degree or Higher","Other")))))</f>
        <v>Master's Degree or Higher</v>
      </c>
      <c r="AV701" t="str">
        <f>IF(ifood_data[[#All],[Income]]&gt;75000,"75K+",(IF(ifood_data[[#All],[Income]]&gt;50000,"50K-75K",(IF(ifood_data[[#All],[Income]]&gt;35000,"35K-50K","&lt;35K")))))</f>
        <v>50K-75K</v>
      </c>
      <c r="AW701" t="str">
        <f>IF(ifood_data[[#All],[Age]]&gt;60,"60+",(IF(ifood_data[[#All],[Age]]&gt;50,"50-60",(IF(ifood_data[[#All],[Age]]&gt;40,"40-50",(IF(ifood_data[[#All],[Age]]&gt;30,"30-40","&lt;30")))))))</f>
        <v>60+</v>
      </c>
      <c r="AX701">
        <f t="shared" si="40"/>
        <v>26</v>
      </c>
      <c r="AY701">
        <f t="shared" si="41"/>
        <v>10</v>
      </c>
      <c r="AZ701">
        <f t="shared" si="42"/>
        <v>7</v>
      </c>
      <c r="BA701">
        <f t="shared" si="43"/>
        <v>5</v>
      </c>
      <c r="BB701">
        <f>SUM(ifood_data[[#This Row],[Recency Score]:[Monetary Score]])</f>
        <v>22</v>
      </c>
      <c r="BC701">
        <f>(_xlfn.PERCENTRANK.INC(ifood_data[[#All],[RFM]],ifood_data[[#This Row],[RFM]],1))*10</f>
        <v>8</v>
      </c>
      <c r="BD701" t="str">
        <f>VLOOKUP(ifood_data[[#This Row],[RFM Score]],'RFM Analysis'!$A$3:$B$14,2,FALSE)</f>
        <v>Loyal Customer</v>
      </c>
      <c r="BE701">
        <f>'Regression Models'!$B$101+'Regression Models'!$B$102*ifood_data[[#This Row],[Income]]+'Regression Models'!$B$103*ifood_data[[#This Row],[Age]]+'Regression Models'!$B$104*ifood_data[[#This Row],[Family]]</f>
        <v>716.55821155206422</v>
      </c>
      <c r="BF701" t="str">
        <f>IF(ifood_data[[#This Row],[AcceptedCmpOverall]]=1,"Campaign Respondent","Non-respondent")</f>
        <v>Campaign Respondent</v>
      </c>
    </row>
    <row r="702" spans="1:58" x14ac:dyDescent="0.35">
      <c r="A702">
        <v>195</v>
      </c>
      <c r="B702">
        <v>64497</v>
      </c>
      <c r="C702">
        <v>0</v>
      </c>
      <c r="D702">
        <v>1</v>
      </c>
      <c r="E702">
        <v>17</v>
      </c>
      <c r="F702">
        <v>1170</v>
      </c>
      <c r="G702">
        <v>48</v>
      </c>
      <c r="H702">
        <v>320</v>
      </c>
      <c r="I702">
        <v>42</v>
      </c>
      <c r="J702">
        <v>32</v>
      </c>
      <c r="K702">
        <v>192</v>
      </c>
      <c r="L702">
        <v>5</v>
      </c>
      <c r="M702">
        <v>11</v>
      </c>
      <c r="N702">
        <v>4</v>
      </c>
      <c r="O702">
        <v>9</v>
      </c>
      <c r="P702">
        <v>8</v>
      </c>
      <c r="Q702">
        <v>0</v>
      </c>
      <c r="R702">
        <v>0</v>
      </c>
      <c r="S702">
        <v>1</v>
      </c>
      <c r="T702">
        <v>0</v>
      </c>
      <c r="U702">
        <v>0</v>
      </c>
      <c r="V702">
        <f>IF(SUM(ifood_data[[#This Row],[AcceptedCmp1]:[AcceptedCmp5]])&gt;0,1,0)</f>
        <v>1</v>
      </c>
      <c r="W702">
        <v>0</v>
      </c>
      <c r="X702">
        <v>3</v>
      </c>
      <c r="Y702">
        <v>11</v>
      </c>
      <c r="Z702">
        <v>1</v>
      </c>
      <c r="AA702">
        <v>66</v>
      </c>
      <c r="AB702">
        <v>2816</v>
      </c>
      <c r="AC702" s="28">
        <f>ifood_data[[#This Row],[Customer_Days]]/365</f>
        <v>7.7150684931506852</v>
      </c>
      <c r="AD702">
        <v>1</v>
      </c>
      <c r="AE702">
        <v>0</v>
      </c>
      <c r="AF702">
        <v>0</v>
      </c>
      <c r="AG702">
        <v>0</v>
      </c>
      <c r="AH702">
        <v>0</v>
      </c>
      <c r="AI702">
        <v>0</v>
      </c>
      <c r="AJ702">
        <v>0</v>
      </c>
      <c r="AK702">
        <v>1</v>
      </c>
      <c r="AL702">
        <v>0</v>
      </c>
      <c r="AM702">
        <v>0</v>
      </c>
      <c r="AN702">
        <v>1612</v>
      </c>
      <c r="AO702">
        <v>1420</v>
      </c>
      <c r="AP702">
        <f>ifood_data[[#This Row],[MntTotal]]-ifood_data[[#This Row],[MntRegularProds]]</f>
        <v>192</v>
      </c>
      <c r="AQ702">
        <v>1</v>
      </c>
      <c r="AR702">
        <f>IF(SUM(ifood_data[[#This Row],[Kidhome]:[Teenhome]])&gt;0,1,0)</f>
        <v>1</v>
      </c>
      <c r="AS702" t="str">
        <f>IF(SUM(ifood_data[[#This Row],[Kidhome]:[Teenhome]])&gt;0,"Has Family","No Family")</f>
        <v>Has Family</v>
      </c>
      <c r="AT702" t="str">
        <f>IF(ifood_data[[#This Row],[marital_Married]]=1,"Married", (IF(ifood_data[[#This Row],[marital_Single]]=1,"Single",(IF(ifood_data[[#This Row],[marital_Divorced]]=1,"Divorced",(IF(ifood_data[[#This Row],[marital_Together]]=1,"Living Together",(IF(ifood_data[[#This Row],[marital_Widow]]=1,"Widow","Other")))))))))</f>
        <v>Divorced</v>
      </c>
      <c r="AU702" t="str">
        <f>IF(ifood_data[[#This Row],[education_Basic]]=1,"High School",(IF(ifood_data[[#This Row],[education_Graduation]]=1,"Undergraduate Degree",(IF(SUM(AM702,AL702,AI702)&gt;0,"Master's Degree or Higher","Other")))))</f>
        <v>Undergraduate Degree</v>
      </c>
      <c r="AV702" t="str">
        <f>IF(ifood_data[[#All],[Income]]&gt;75000,"75K+",(IF(ifood_data[[#All],[Income]]&gt;50000,"50K-75K",(IF(ifood_data[[#All],[Income]]&gt;35000,"35K-50K","&lt;35K")))))</f>
        <v>50K-75K</v>
      </c>
      <c r="AW702" t="str">
        <f>IF(ifood_data[[#All],[Age]]&gt;60,"60+",(IF(ifood_data[[#All],[Age]]&gt;50,"50-60",(IF(ifood_data[[#All],[Age]]&gt;40,"40-50",(IF(ifood_data[[#All],[Age]]&gt;30,"30-40","&lt;30")))))))</f>
        <v>60+</v>
      </c>
      <c r="AX702">
        <f t="shared" si="40"/>
        <v>37</v>
      </c>
      <c r="AY702">
        <f t="shared" si="41"/>
        <v>9</v>
      </c>
      <c r="AZ702">
        <f t="shared" si="42"/>
        <v>9</v>
      </c>
      <c r="BA702">
        <f t="shared" si="43"/>
        <v>9</v>
      </c>
      <c r="BB702">
        <f>SUM(ifood_data[[#This Row],[Recency Score]:[Monetary Score]])</f>
        <v>27</v>
      </c>
      <c r="BC702">
        <f>(_xlfn.PERCENTRANK.INC(ifood_data[[#All],[RFM]],ifood_data[[#This Row],[RFM]],1))*10</f>
        <v>9</v>
      </c>
      <c r="BD702" t="str">
        <f>VLOOKUP(ifood_data[[#This Row],[RFM Score]],'RFM Analysis'!$A$3:$B$14,2,FALSE)</f>
        <v>Top Customer</v>
      </c>
      <c r="BE702">
        <f>'Regression Models'!$B$101+'Regression Models'!$B$102*ifood_data[[#This Row],[Income]]+'Regression Models'!$B$103*ifood_data[[#This Row],[Age]]+'Regression Models'!$B$104*ifood_data[[#This Row],[Family]]</f>
        <v>716.38051242254278</v>
      </c>
      <c r="BF702" t="str">
        <f>IF(ifood_data[[#This Row],[AcceptedCmpOverall]]=1,"Campaign Respondent","Non-respondent")</f>
        <v>Campaign Respondent</v>
      </c>
    </row>
    <row r="703" spans="1:58" x14ac:dyDescent="0.35">
      <c r="A703">
        <v>371</v>
      </c>
      <c r="B703">
        <v>51012</v>
      </c>
      <c r="C703">
        <v>0</v>
      </c>
      <c r="D703">
        <v>0</v>
      </c>
      <c r="E703">
        <v>86</v>
      </c>
      <c r="F703">
        <v>102</v>
      </c>
      <c r="G703">
        <v>9</v>
      </c>
      <c r="H703">
        <v>63</v>
      </c>
      <c r="I703">
        <v>2</v>
      </c>
      <c r="J703">
        <v>9</v>
      </c>
      <c r="K703">
        <v>24</v>
      </c>
      <c r="L703">
        <v>1</v>
      </c>
      <c r="M703">
        <v>4</v>
      </c>
      <c r="N703">
        <v>1</v>
      </c>
      <c r="O703">
        <v>4</v>
      </c>
      <c r="P703">
        <v>6</v>
      </c>
      <c r="Q703">
        <v>0</v>
      </c>
      <c r="R703">
        <v>0</v>
      </c>
      <c r="S703">
        <v>0</v>
      </c>
      <c r="T703">
        <v>0</v>
      </c>
      <c r="U703">
        <v>0</v>
      </c>
      <c r="V703">
        <f>IF(SUM(ifood_data[[#This Row],[AcceptedCmp1]:[AcceptedCmp5]])&gt;0,1,0)</f>
        <v>0</v>
      </c>
      <c r="W703">
        <v>0</v>
      </c>
      <c r="X703">
        <v>3</v>
      </c>
      <c r="Y703">
        <v>11</v>
      </c>
      <c r="Z703">
        <v>0</v>
      </c>
      <c r="AA703">
        <v>74</v>
      </c>
      <c r="AB703">
        <v>2596</v>
      </c>
      <c r="AC703" s="28">
        <f>ifood_data[[#This Row],[Customer_Days]]/365</f>
        <v>7.1123287671232873</v>
      </c>
      <c r="AD703">
        <v>0</v>
      </c>
      <c r="AE703">
        <v>1</v>
      </c>
      <c r="AF703">
        <v>0</v>
      </c>
      <c r="AG703">
        <v>0</v>
      </c>
      <c r="AH703">
        <v>0</v>
      </c>
      <c r="AI703">
        <v>0</v>
      </c>
      <c r="AJ703">
        <v>0</v>
      </c>
      <c r="AK703">
        <v>0</v>
      </c>
      <c r="AL703">
        <v>0</v>
      </c>
      <c r="AM703">
        <v>1</v>
      </c>
      <c r="AN703">
        <v>185</v>
      </c>
      <c r="AO703">
        <v>161</v>
      </c>
      <c r="AP703">
        <f>ifood_data[[#This Row],[MntTotal]]-ifood_data[[#This Row],[MntRegularProds]]</f>
        <v>24</v>
      </c>
      <c r="AQ703">
        <v>0</v>
      </c>
      <c r="AR703">
        <f>IF(SUM(ifood_data[[#This Row],[Kidhome]:[Teenhome]])&gt;0,1,0)</f>
        <v>0</v>
      </c>
      <c r="AS703" t="str">
        <f>IF(SUM(ifood_data[[#This Row],[Kidhome]:[Teenhome]])&gt;0,"Has Family","No Family")</f>
        <v>No Family</v>
      </c>
      <c r="AT703" t="str">
        <f>IF(ifood_data[[#This Row],[marital_Married]]=1,"Married", (IF(ifood_data[[#This Row],[marital_Single]]=1,"Single",(IF(ifood_data[[#This Row],[marital_Divorced]]=1,"Divorced",(IF(ifood_data[[#This Row],[marital_Together]]=1,"Living Together",(IF(ifood_data[[#This Row],[marital_Widow]]=1,"Widow","Other")))))))))</f>
        <v>Married</v>
      </c>
      <c r="AU703" t="str">
        <f>IF(ifood_data[[#This Row],[education_Basic]]=1,"High School",(IF(ifood_data[[#This Row],[education_Graduation]]=1,"Undergraduate Degree",(IF(SUM(AM703,AL703,AI703)&gt;0,"Master's Degree or Higher","Other")))))</f>
        <v>Master's Degree or Higher</v>
      </c>
      <c r="AV703" t="str">
        <f>IF(ifood_data[[#All],[Income]]&gt;75000,"75K+",(IF(ifood_data[[#All],[Income]]&gt;50000,"50K-75K",(IF(ifood_data[[#All],[Income]]&gt;35000,"35K-50K","&lt;35K")))))</f>
        <v>50K-75K</v>
      </c>
      <c r="AW703" t="str">
        <f>IF(ifood_data[[#All],[Age]]&gt;60,"60+",(IF(ifood_data[[#All],[Age]]&gt;50,"50-60",(IF(ifood_data[[#All],[Age]]&gt;40,"40-50",(IF(ifood_data[[#All],[Age]]&gt;30,"30-40","&lt;30")))))))</f>
        <v>60+</v>
      </c>
      <c r="AX703">
        <f t="shared" si="40"/>
        <v>16</v>
      </c>
      <c r="AY703">
        <f t="shared" si="41"/>
        <v>1.9999999999999996</v>
      </c>
      <c r="AZ703">
        <f t="shared" si="42"/>
        <v>3</v>
      </c>
      <c r="BA703">
        <f t="shared" si="43"/>
        <v>4</v>
      </c>
      <c r="BB703">
        <f>SUM(ifood_data[[#This Row],[Recency Score]:[Monetary Score]])</f>
        <v>9</v>
      </c>
      <c r="BC703">
        <f>(_xlfn.PERCENTRANK.INC(ifood_data[[#All],[RFM]],ifood_data[[#This Row],[RFM]],1))*10</f>
        <v>1</v>
      </c>
      <c r="BD703" t="str">
        <f>VLOOKUP(ifood_data[[#This Row],[RFM Score]],'RFM Analysis'!$A$3:$B$14,2,FALSE)</f>
        <v>At Risk</v>
      </c>
      <c r="BE703">
        <f>'Regression Models'!$B$101+'Regression Models'!$B$102*ifood_data[[#This Row],[Income]]+'Regression Models'!$B$103*ifood_data[[#This Row],[Age]]+'Regression Models'!$B$104*ifood_data[[#This Row],[Family]]</f>
        <v>716.36009244392721</v>
      </c>
      <c r="BF703" t="str">
        <f>IF(ifood_data[[#This Row],[AcceptedCmpOverall]]=1,"Campaign Respondent","Non-respondent")</f>
        <v>Non-respondent</v>
      </c>
    </row>
    <row r="704" spans="1:58" x14ac:dyDescent="0.35">
      <c r="A704">
        <v>1534</v>
      </c>
      <c r="B704">
        <v>63246</v>
      </c>
      <c r="C704">
        <v>0</v>
      </c>
      <c r="D704">
        <v>2</v>
      </c>
      <c r="E704">
        <v>60</v>
      </c>
      <c r="F704">
        <v>593</v>
      </c>
      <c r="G704">
        <v>30</v>
      </c>
      <c r="H704">
        <v>91</v>
      </c>
      <c r="I704">
        <v>29</v>
      </c>
      <c r="J704">
        <v>22</v>
      </c>
      <c r="K704">
        <v>7</v>
      </c>
      <c r="L704">
        <v>1</v>
      </c>
      <c r="M704">
        <v>6</v>
      </c>
      <c r="N704">
        <v>3</v>
      </c>
      <c r="O704">
        <v>12</v>
      </c>
      <c r="P704">
        <v>4</v>
      </c>
      <c r="Q704">
        <v>0</v>
      </c>
      <c r="R704">
        <v>0</v>
      </c>
      <c r="S704">
        <v>0</v>
      </c>
      <c r="T704">
        <v>0</v>
      </c>
      <c r="U704">
        <v>0</v>
      </c>
      <c r="V704">
        <f>IF(SUM(ifood_data[[#This Row],[AcceptedCmp1]:[AcceptedCmp5]])&gt;0,1,0)</f>
        <v>0</v>
      </c>
      <c r="W704">
        <v>0</v>
      </c>
      <c r="X704">
        <v>3</v>
      </c>
      <c r="Y704">
        <v>11</v>
      </c>
      <c r="Z704">
        <v>0</v>
      </c>
      <c r="AA704">
        <v>53</v>
      </c>
      <c r="AB704">
        <v>2472</v>
      </c>
      <c r="AC704" s="28">
        <f>ifood_data[[#This Row],[Customer_Days]]/365</f>
        <v>6.7726027397260271</v>
      </c>
      <c r="AD704">
        <v>0</v>
      </c>
      <c r="AE704">
        <v>1</v>
      </c>
      <c r="AF704">
        <v>0</v>
      </c>
      <c r="AG704">
        <v>0</v>
      </c>
      <c r="AH704">
        <v>0</v>
      </c>
      <c r="AI704">
        <v>0</v>
      </c>
      <c r="AJ704">
        <v>0</v>
      </c>
      <c r="AK704">
        <v>0</v>
      </c>
      <c r="AL704">
        <v>0</v>
      </c>
      <c r="AM704">
        <v>1</v>
      </c>
      <c r="AN704">
        <v>765</v>
      </c>
      <c r="AO704">
        <v>758</v>
      </c>
      <c r="AP704">
        <f>ifood_data[[#This Row],[MntTotal]]-ifood_data[[#This Row],[MntRegularProds]]</f>
        <v>7</v>
      </c>
      <c r="AQ704">
        <v>0</v>
      </c>
      <c r="AR704">
        <f>IF(SUM(ifood_data[[#This Row],[Kidhome]:[Teenhome]])&gt;0,1,0)</f>
        <v>1</v>
      </c>
      <c r="AS704" t="str">
        <f>IF(SUM(ifood_data[[#This Row],[Kidhome]:[Teenhome]])&gt;0,"Has Family","No Family")</f>
        <v>Has Family</v>
      </c>
      <c r="AT704" t="str">
        <f>IF(ifood_data[[#This Row],[marital_Married]]=1,"Married", (IF(ifood_data[[#This Row],[marital_Single]]=1,"Single",(IF(ifood_data[[#This Row],[marital_Divorced]]=1,"Divorced",(IF(ifood_data[[#This Row],[marital_Together]]=1,"Living Together",(IF(ifood_data[[#This Row],[marital_Widow]]=1,"Widow","Other")))))))))</f>
        <v>Married</v>
      </c>
      <c r="AU704" t="str">
        <f>IF(ifood_data[[#This Row],[education_Basic]]=1,"High School",(IF(ifood_data[[#This Row],[education_Graduation]]=1,"Undergraduate Degree",(IF(SUM(AM704,AL704,AI704)&gt;0,"Master's Degree or Higher","Other")))))</f>
        <v>Master's Degree or Higher</v>
      </c>
      <c r="AV704" t="str">
        <f>IF(ifood_data[[#All],[Income]]&gt;75000,"75K+",(IF(ifood_data[[#All],[Income]]&gt;50000,"50K-75K",(IF(ifood_data[[#All],[Income]]&gt;35000,"35K-50K","&lt;35K")))))</f>
        <v>50K-75K</v>
      </c>
      <c r="AW704" t="str">
        <f>IF(ifood_data[[#All],[Age]]&gt;60,"60+",(IF(ifood_data[[#All],[Age]]&gt;50,"50-60",(IF(ifood_data[[#All],[Age]]&gt;40,"40-50",(IF(ifood_data[[#All],[Age]]&gt;30,"30-40","&lt;30")))))))</f>
        <v>50-60</v>
      </c>
      <c r="AX704">
        <f t="shared" si="40"/>
        <v>26</v>
      </c>
      <c r="AY704">
        <f t="shared" si="41"/>
        <v>4</v>
      </c>
      <c r="AZ704">
        <f t="shared" si="42"/>
        <v>7</v>
      </c>
      <c r="BA704">
        <f t="shared" si="43"/>
        <v>6</v>
      </c>
      <c r="BB704">
        <f>SUM(ifood_data[[#This Row],[Recency Score]:[Monetary Score]])</f>
        <v>17</v>
      </c>
      <c r="BC704">
        <f>(_xlfn.PERCENTRANK.INC(ifood_data[[#All],[RFM]],ifood_data[[#This Row],[RFM]],1))*10</f>
        <v>6</v>
      </c>
      <c r="BD704" t="str">
        <f>VLOOKUP(ifood_data[[#This Row],[RFM Score]],'RFM Analysis'!$A$3:$B$14,2,FALSE)</f>
        <v>Promising</v>
      </c>
      <c r="BE704">
        <f>'Regression Models'!$B$101+'Regression Models'!$B$102*ifood_data[[#This Row],[Income]]+'Regression Models'!$B$103*ifood_data[[#This Row],[Age]]+'Regression Models'!$B$104*ifood_data[[#This Row],[Family]]</f>
        <v>714.74787150015072</v>
      </c>
      <c r="BF704" t="str">
        <f>IF(ifood_data[[#This Row],[AcceptedCmpOverall]]=1,"Campaign Respondent","Non-respondent")</f>
        <v>Non-respondent</v>
      </c>
    </row>
    <row r="705" spans="1:58" x14ac:dyDescent="0.35">
      <c r="A705">
        <v>966</v>
      </c>
      <c r="B705">
        <v>64504</v>
      </c>
      <c r="C705">
        <v>1</v>
      </c>
      <c r="D705">
        <v>2</v>
      </c>
      <c r="E705">
        <v>81</v>
      </c>
      <c r="F705">
        <v>986</v>
      </c>
      <c r="G705">
        <v>36</v>
      </c>
      <c r="H705">
        <v>168</v>
      </c>
      <c r="I705">
        <v>16</v>
      </c>
      <c r="J705">
        <v>0</v>
      </c>
      <c r="K705">
        <v>108</v>
      </c>
      <c r="L705">
        <v>7</v>
      </c>
      <c r="M705">
        <v>11</v>
      </c>
      <c r="N705">
        <v>3</v>
      </c>
      <c r="O705">
        <v>4</v>
      </c>
      <c r="P705">
        <v>7</v>
      </c>
      <c r="Q705">
        <v>0</v>
      </c>
      <c r="R705">
        <v>0</v>
      </c>
      <c r="S705">
        <v>0</v>
      </c>
      <c r="T705">
        <v>0</v>
      </c>
      <c r="U705">
        <v>0</v>
      </c>
      <c r="V705">
        <f>IF(SUM(ifood_data[[#This Row],[AcceptedCmp1]:[AcceptedCmp5]])&gt;0,1,0)</f>
        <v>0</v>
      </c>
      <c r="W705">
        <v>0</v>
      </c>
      <c r="X705">
        <v>3</v>
      </c>
      <c r="Y705">
        <v>11</v>
      </c>
      <c r="Z705">
        <v>1</v>
      </c>
      <c r="AA705">
        <v>67</v>
      </c>
      <c r="AB705">
        <v>2641</v>
      </c>
      <c r="AC705" s="28">
        <f>ifood_data[[#This Row],[Customer_Days]]/365</f>
        <v>7.2356164383561641</v>
      </c>
      <c r="AD705">
        <v>0</v>
      </c>
      <c r="AE705">
        <v>0</v>
      </c>
      <c r="AF705">
        <v>0</v>
      </c>
      <c r="AG705">
        <v>1</v>
      </c>
      <c r="AH705">
        <v>0</v>
      </c>
      <c r="AI705">
        <v>0</v>
      </c>
      <c r="AJ705">
        <v>0</v>
      </c>
      <c r="AK705">
        <v>0</v>
      </c>
      <c r="AL705">
        <v>0</v>
      </c>
      <c r="AM705">
        <v>1</v>
      </c>
      <c r="AN705">
        <v>1206</v>
      </c>
      <c r="AO705">
        <v>1098</v>
      </c>
      <c r="AP705">
        <f>ifood_data[[#This Row],[MntTotal]]-ifood_data[[#This Row],[MntRegularProds]]</f>
        <v>108</v>
      </c>
      <c r="AQ705">
        <v>0</v>
      </c>
      <c r="AR705">
        <f>IF(SUM(ifood_data[[#This Row],[Kidhome]:[Teenhome]])&gt;0,1,0)</f>
        <v>1</v>
      </c>
      <c r="AS705" t="str">
        <f>IF(SUM(ifood_data[[#This Row],[Kidhome]:[Teenhome]])&gt;0,"Has Family","No Family")</f>
        <v>Has Family</v>
      </c>
      <c r="AT705" t="str">
        <f>IF(ifood_data[[#This Row],[marital_Married]]=1,"Married", (IF(ifood_data[[#This Row],[marital_Single]]=1,"Single",(IF(ifood_data[[#This Row],[marital_Divorced]]=1,"Divorced",(IF(ifood_data[[#This Row],[marital_Together]]=1,"Living Together",(IF(ifood_data[[#This Row],[marital_Widow]]=1,"Widow","Other")))))))))</f>
        <v>Living Together</v>
      </c>
      <c r="AU705" t="str">
        <f>IF(ifood_data[[#This Row],[education_Basic]]=1,"High School",(IF(ifood_data[[#This Row],[education_Graduation]]=1,"Undergraduate Degree",(IF(SUM(AM705,AL705,AI705)&gt;0,"Master's Degree or Higher","Other")))))</f>
        <v>Master's Degree or Higher</v>
      </c>
      <c r="AV705" t="str">
        <f>IF(ifood_data[[#All],[Income]]&gt;75000,"75K+",(IF(ifood_data[[#All],[Income]]&gt;50000,"50K-75K",(IF(ifood_data[[#All],[Income]]&gt;35000,"35K-50K","&lt;35K")))))</f>
        <v>50K-75K</v>
      </c>
      <c r="AW705" t="str">
        <f>IF(ifood_data[[#All],[Age]]&gt;60,"60+",(IF(ifood_data[[#All],[Age]]&gt;50,"50-60",(IF(ifood_data[[#All],[Age]]&gt;40,"40-50",(IF(ifood_data[[#All],[Age]]&gt;30,"30-40","&lt;30")))))))</f>
        <v>60+</v>
      </c>
      <c r="AX705">
        <f t="shared" si="40"/>
        <v>32</v>
      </c>
      <c r="AY705">
        <f t="shared" si="41"/>
        <v>1.9999999999999996</v>
      </c>
      <c r="AZ705">
        <f t="shared" si="42"/>
        <v>9</v>
      </c>
      <c r="BA705">
        <f t="shared" si="43"/>
        <v>8</v>
      </c>
      <c r="BB705">
        <f>SUM(ifood_data[[#This Row],[Recency Score]:[Monetary Score]])</f>
        <v>19</v>
      </c>
      <c r="BC705">
        <f>(_xlfn.PERCENTRANK.INC(ifood_data[[#All],[RFM]],ifood_data[[#This Row],[RFM]],1))*10</f>
        <v>7</v>
      </c>
      <c r="BD705" t="str">
        <f>VLOOKUP(ifood_data[[#This Row],[RFM Score]],'RFM Analysis'!$A$3:$B$14,2,FALSE)</f>
        <v>Loyal Customer</v>
      </c>
      <c r="BE705">
        <f>'Regression Models'!$B$101+'Regression Models'!$B$102*ifood_data[[#This Row],[Income]]+'Regression Models'!$B$103*ifood_data[[#This Row],[Age]]+'Regression Models'!$B$104*ifood_data[[#This Row],[Family]]</f>
        <v>714.6867947206556</v>
      </c>
      <c r="BF705" t="str">
        <f>IF(ifood_data[[#This Row],[AcceptedCmpOverall]]=1,"Campaign Respondent","Non-respondent")</f>
        <v>Non-respondent</v>
      </c>
    </row>
    <row r="706" spans="1:58" x14ac:dyDescent="0.35">
      <c r="A706">
        <v>1100</v>
      </c>
      <c r="B706">
        <v>62710</v>
      </c>
      <c r="C706">
        <v>0</v>
      </c>
      <c r="D706">
        <v>1</v>
      </c>
      <c r="E706">
        <v>53</v>
      </c>
      <c r="F706">
        <v>441</v>
      </c>
      <c r="G706">
        <v>35</v>
      </c>
      <c r="H706">
        <v>83</v>
      </c>
      <c r="I706">
        <v>7</v>
      </c>
      <c r="J706">
        <v>29</v>
      </c>
      <c r="K706">
        <v>11</v>
      </c>
      <c r="L706">
        <v>4</v>
      </c>
      <c r="M706">
        <v>4</v>
      </c>
      <c r="N706">
        <v>2</v>
      </c>
      <c r="O706">
        <v>12</v>
      </c>
      <c r="P706">
        <v>4</v>
      </c>
      <c r="Q706">
        <v>0</v>
      </c>
      <c r="R706">
        <v>0</v>
      </c>
      <c r="S706">
        <v>0</v>
      </c>
      <c r="T706">
        <v>0</v>
      </c>
      <c r="U706">
        <v>0</v>
      </c>
      <c r="V706">
        <f>IF(SUM(ifood_data[[#This Row],[AcceptedCmp1]:[AcceptedCmp5]])&gt;0,1,0)</f>
        <v>0</v>
      </c>
      <c r="W706">
        <v>0</v>
      </c>
      <c r="X706">
        <v>3</v>
      </c>
      <c r="Y706">
        <v>11</v>
      </c>
      <c r="Z706">
        <v>0</v>
      </c>
      <c r="AA706">
        <v>48</v>
      </c>
      <c r="AB706">
        <v>2561</v>
      </c>
      <c r="AC706" s="28">
        <f>ifood_data[[#This Row],[Customer_Days]]/365</f>
        <v>7.0164383561643833</v>
      </c>
      <c r="AD706">
        <v>0</v>
      </c>
      <c r="AE706">
        <v>1</v>
      </c>
      <c r="AF706">
        <v>0</v>
      </c>
      <c r="AG706">
        <v>0</v>
      </c>
      <c r="AH706">
        <v>0</v>
      </c>
      <c r="AI706">
        <v>0</v>
      </c>
      <c r="AJ706">
        <v>0</v>
      </c>
      <c r="AK706">
        <v>1</v>
      </c>
      <c r="AL706">
        <v>0</v>
      </c>
      <c r="AM706">
        <v>0</v>
      </c>
      <c r="AN706">
        <v>595</v>
      </c>
      <c r="AO706">
        <v>584</v>
      </c>
      <c r="AP706">
        <f>ifood_data[[#This Row],[MntTotal]]-ifood_data[[#This Row],[MntRegularProds]]</f>
        <v>11</v>
      </c>
      <c r="AQ706">
        <v>0</v>
      </c>
      <c r="AR706">
        <f>IF(SUM(ifood_data[[#This Row],[Kidhome]:[Teenhome]])&gt;0,1,0)</f>
        <v>1</v>
      </c>
      <c r="AS706" t="str">
        <f>IF(SUM(ifood_data[[#This Row],[Kidhome]:[Teenhome]])&gt;0,"Has Family","No Family")</f>
        <v>Has Family</v>
      </c>
      <c r="AT706" t="str">
        <f>IF(ifood_data[[#This Row],[marital_Married]]=1,"Married", (IF(ifood_data[[#This Row],[marital_Single]]=1,"Single",(IF(ifood_data[[#This Row],[marital_Divorced]]=1,"Divorced",(IF(ifood_data[[#This Row],[marital_Together]]=1,"Living Together",(IF(ifood_data[[#This Row],[marital_Widow]]=1,"Widow","Other")))))))))</f>
        <v>Married</v>
      </c>
      <c r="AU706" t="str">
        <f>IF(ifood_data[[#This Row],[education_Basic]]=1,"High School",(IF(ifood_data[[#This Row],[education_Graduation]]=1,"Undergraduate Degree",(IF(SUM(AM706,AL706,AI706)&gt;0,"Master's Degree or Higher","Other")))))</f>
        <v>Undergraduate Degree</v>
      </c>
      <c r="AV706" t="str">
        <f>IF(ifood_data[[#All],[Income]]&gt;75000,"75K+",(IF(ifood_data[[#All],[Income]]&gt;50000,"50K-75K",(IF(ifood_data[[#All],[Income]]&gt;35000,"35K-50K","&lt;35K")))))</f>
        <v>50K-75K</v>
      </c>
      <c r="AW706" t="str">
        <f>IF(ifood_data[[#All],[Age]]&gt;60,"60+",(IF(ifood_data[[#All],[Age]]&gt;50,"50-60",(IF(ifood_data[[#All],[Age]]&gt;40,"40-50",(IF(ifood_data[[#All],[Age]]&gt;30,"30-40","&lt;30")))))))</f>
        <v>40-50</v>
      </c>
      <c r="AX706">
        <f t="shared" ref="AX706:AX769" si="44">SUM(L706:P706)</f>
        <v>26</v>
      </c>
      <c r="AY706">
        <f t="shared" ref="AY706:AY769" si="45">(1-_xlfn.PERCENTRANK.INC($E$2:$E$2022,E706,1))*10</f>
        <v>5</v>
      </c>
      <c r="AZ706">
        <f t="shared" ref="AZ706:AZ769" si="46">_xlfn.PERCENTRANK.INC($AX$2:$AX$2022,AX706,1)*10</f>
        <v>7</v>
      </c>
      <c r="BA706">
        <f t="shared" ref="BA706:BA769" si="47">_xlfn.PERCENTRANK.INC($AN$2:$AN$2022,AN706,1)*10</f>
        <v>6</v>
      </c>
      <c r="BB706">
        <f>SUM(ifood_data[[#This Row],[Recency Score]:[Monetary Score]])</f>
        <v>18</v>
      </c>
      <c r="BC706">
        <f>(_xlfn.PERCENTRANK.INC(ifood_data[[#All],[RFM]],ifood_data[[#This Row],[RFM]],1))*10</f>
        <v>6</v>
      </c>
      <c r="BD706" t="str">
        <f>VLOOKUP(ifood_data[[#This Row],[RFM Score]],'RFM Analysis'!$A$3:$B$14,2,FALSE)</f>
        <v>Promising</v>
      </c>
      <c r="BE706">
        <f>'Regression Models'!$B$101+'Regression Models'!$B$102*ifood_data[[#This Row],[Income]]+'Regression Models'!$B$103*ifood_data[[#This Row],[Age]]+'Regression Models'!$B$104*ifood_data[[#This Row],[Family]]</f>
        <v>713.00168716949247</v>
      </c>
      <c r="BF706" t="str">
        <f>IF(ifood_data[[#This Row],[AcceptedCmpOverall]]=1,"Campaign Respondent","Non-respondent")</f>
        <v>Non-respondent</v>
      </c>
    </row>
    <row r="707" spans="1:58" x14ac:dyDescent="0.35">
      <c r="A707">
        <v>1645</v>
      </c>
      <c r="B707">
        <v>63404</v>
      </c>
      <c r="C707">
        <v>0</v>
      </c>
      <c r="D707">
        <v>2</v>
      </c>
      <c r="E707">
        <v>97</v>
      </c>
      <c r="F707">
        <v>734</v>
      </c>
      <c r="G707">
        <v>26</v>
      </c>
      <c r="H707">
        <v>70</v>
      </c>
      <c r="I707">
        <v>11</v>
      </c>
      <c r="J707">
        <v>44</v>
      </c>
      <c r="K707">
        <v>17</v>
      </c>
      <c r="L707">
        <v>2</v>
      </c>
      <c r="M707">
        <v>6</v>
      </c>
      <c r="N707">
        <v>3</v>
      </c>
      <c r="O707">
        <v>4</v>
      </c>
      <c r="P707">
        <v>4</v>
      </c>
      <c r="Q707">
        <v>1</v>
      </c>
      <c r="R707">
        <v>0</v>
      </c>
      <c r="S707">
        <v>0</v>
      </c>
      <c r="T707">
        <v>0</v>
      </c>
      <c r="U707">
        <v>0</v>
      </c>
      <c r="V707">
        <f>IF(SUM(ifood_data[[#This Row],[AcceptedCmp1]:[AcceptedCmp5]])&gt;0,1,0)</f>
        <v>1</v>
      </c>
      <c r="W707">
        <v>0</v>
      </c>
      <c r="X707">
        <v>3</v>
      </c>
      <c r="Y707">
        <v>11</v>
      </c>
      <c r="Z707">
        <v>0</v>
      </c>
      <c r="AA707">
        <v>56</v>
      </c>
      <c r="AB707">
        <v>2182</v>
      </c>
      <c r="AC707" s="28">
        <f>ifood_data[[#This Row],[Customer_Days]]/365</f>
        <v>5.978082191780822</v>
      </c>
      <c r="AD707">
        <v>0</v>
      </c>
      <c r="AE707">
        <v>0</v>
      </c>
      <c r="AF707">
        <v>0</v>
      </c>
      <c r="AG707">
        <v>1</v>
      </c>
      <c r="AH707">
        <v>0</v>
      </c>
      <c r="AI707">
        <v>0</v>
      </c>
      <c r="AJ707">
        <v>0</v>
      </c>
      <c r="AK707">
        <v>1</v>
      </c>
      <c r="AL707">
        <v>0</v>
      </c>
      <c r="AM707">
        <v>0</v>
      </c>
      <c r="AN707">
        <v>885</v>
      </c>
      <c r="AO707">
        <v>868</v>
      </c>
      <c r="AP707">
        <f>ifood_data[[#This Row],[MntTotal]]-ifood_data[[#This Row],[MntRegularProds]]</f>
        <v>17</v>
      </c>
      <c r="AQ707">
        <v>1</v>
      </c>
      <c r="AR707">
        <f>IF(SUM(ifood_data[[#This Row],[Kidhome]:[Teenhome]])&gt;0,1,0)</f>
        <v>1</v>
      </c>
      <c r="AS707" t="str">
        <f>IF(SUM(ifood_data[[#This Row],[Kidhome]:[Teenhome]])&gt;0,"Has Family","No Family")</f>
        <v>Has Family</v>
      </c>
      <c r="AT707" t="str">
        <f>IF(ifood_data[[#This Row],[marital_Married]]=1,"Married", (IF(ifood_data[[#This Row],[marital_Single]]=1,"Single",(IF(ifood_data[[#This Row],[marital_Divorced]]=1,"Divorced",(IF(ifood_data[[#This Row],[marital_Together]]=1,"Living Together",(IF(ifood_data[[#This Row],[marital_Widow]]=1,"Widow","Other")))))))))</f>
        <v>Living Together</v>
      </c>
      <c r="AU707" t="str">
        <f>IF(ifood_data[[#This Row],[education_Basic]]=1,"High School",(IF(ifood_data[[#This Row],[education_Graduation]]=1,"Undergraduate Degree",(IF(SUM(AM707,AL707,AI707)&gt;0,"Master's Degree or Higher","Other")))))</f>
        <v>Undergraduate Degree</v>
      </c>
      <c r="AV707" t="str">
        <f>IF(ifood_data[[#All],[Income]]&gt;75000,"75K+",(IF(ifood_data[[#All],[Income]]&gt;50000,"50K-75K",(IF(ifood_data[[#All],[Income]]&gt;35000,"35K-50K","&lt;35K")))))</f>
        <v>50K-75K</v>
      </c>
      <c r="AW707" t="str">
        <f>IF(ifood_data[[#All],[Age]]&gt;60,"60+",(IF(ifood_data[[#All],[Age]]&gt;50,"50-60",(IF(ifood_data[[#All],[Age]]&gt;40,"40-50",(IF(ifood_data[[#All],[Age]]&gt;30,"30-40","&lt;30")))))))</f>
        <v>50-60</v>
      </c>
      <c r="AX707">
        <f t="shared" si="44"/>
        <v>19</v>
      </c>
      <c r="AY707">
        <f t="shared" si="45"/>
        <v>0.99999999999999978</v>
      </c>
      <c r="AZ707">
        <f t="shared" si="46"/>
        <v>4</v>
      </c>
      <c r="BA707">
        <f t="shared" si="47"/>
        <v>7</v>
      </c>
      <c r="BB707">
        <f>SUM(ifood_data[[#This Row],[Recency Score]:[Monetary Score]])</f>
        <v>12</v>
      </c>
      <c r="BC707">
        <f>(_xlfn.PERCENTRANK.INC(ifood_data[[#All],[RFM]],ifood_data[[#This Row],[RFM]],1))*10</f>
        <v>3</v>
      </c>
      <c r="BD707" t="str">
        <f>VLOOKUP(ifood_data[[#This Row],[RFM Score]],'RFM Analysis'!$A$3:$B$14,2,FALSE)</f>
        <v>At Risk</v>
      </c>
      <c r="BE707">
        <f>'Regression Models'!$B$101+'Regression Models'!$B$102*ifood_data[[#This Row],[Income]]+'Regression Models'!$B$103*ifood_data[[#This Row],[Age]]+'Regression Models'!$B$104*ifood_data[[#This Row],[Family]]</f>
        <v>712.45997963020409</v>
      </c>
      <c r="BF707" t="str">
        <f>IF(ifood_data[[#This Row],[AcceptedCmpOverall]]=1,"Campaign Respondent","Non-respondent")</f>
        <v>Campaign Respondent</v>
      </c>
    </row>
    <row r="708" spans="1:58" x14ac:dyDescent="0.35">
      <c r="A708">
        <v>848</v>
      </c>
      <c r="B708">
        <v>64090</v>
      </c>
      <c r="C708">
        <v>0</v>
      </c>
      <c r="D708">
        <v>1</v>
      </c>
      <c r="E708">
        <v>8</v>
      </c>
      <c r="F708">
        <v>316</v>
      </c>
      <c r="G708">
        <v>58</v>
      </c>
      <c r="H708">
        <v>161</v>
      </c>
      <c r="I708">
        <v>76</v>
      </c>
      <c r="J708">
        <v>51</v>
      </c>
      <c r="K708">
        <v>135</v>
      </c>
      <c r="L708">
        <v>1</v>
      </c>
      <c r="M708">
        <v>6</v>
      </c>
      <c r="N708">
        <v>9</v>
      </c>
      <c r="O708">
        <v>4</v>
      </c>
      <c r="P708">
        <v>5</v>
      </c>
      <c r="Q708">
        <v>0</v>
      </c>
      <c r="R708">
        <v>0</v>
      </c>
      <c r="S708">
        <v>0</v>
      </c>
      <c r="T708">
        <v>0</v>
      </c>
      <c r="U708">
        <v>0</v>
      </c>
      <c r="V708">
        <f>IF(SUM(ifood_data[[#This Row],[AcceptedCmp1]:[AcceptedCmp5]])&gt;0,1,0)</f>
        <v>0</v>
      </c>
      <c r="W708">
        <v>0</v>
      </c>
      <c r="X708">
        <v>3</v>
      </c>
      <c r="Y708">
        <v>11</v>
      </c>
      <c r="Z708">
        <v>1</v>
      </c>
      <c r="AA708">
        <v>64</v>
      </c>
      <c r="AB708">
        <v>2485</v>
      </c>
      <c r="AC708" s="28">
        <f>ifood_data[[#This Row],[Customer_Days]]/365</f>
        <v>6.8082191780821919</v>
      </c>
      <c r="AD708">
        <v>0</v>
      </c>
      <c r="AE708">
        <v>0</v>
      </c>
      <c r="AF708">
        <v>0</v>
      </c>
      <c r="AG708">
        <v>1</v>
      </c>
      <c r="AH708">
        <v>0</v>
      </c>
      <c r="AI708">
        <v>0</v>
      </c>
      <c r="AJ708">
        <v>0</v>
      </c>
      <c r="AK708">
        <v>1</v>
      </c>
      <c r="AL708">
        <v>0</v>
      </c>
      <c r="AM708">
        <v>0</v>
      </c>
      <c r="AN708">
        <v>662</v>
      </c>
      <c r="AO708">
        <v>527</v>
      </c>
      <c r="AP708">
        <f>ifood_data[[#This Row],[MntTotal]]-ifood_data[[#This Row],[MntRegularProds]]</f>
        <v>135</v>
      </c>
      <c r="AQ708">
        <v>0</v>
      </c>
      <c r="AR708">
        <f>IF(SUM(ifood_data[[#This Row],[Kidhome]:[Teenhome]])&gt;0,1,0)</f>
        <v>1</v>
      </c>
      <c r="AS708" t="str">
        <f>IF(SUM(ifood_data[[#This Row],[Kidhome]:[Teenhome]])&gt;0,"Has Family","No Family")</f>
        <v>Has Family</v>
      </c>
      <c r="AT708" t="str">
        <f>IF(ifood_data[[#This Row],[marital_Married]]=1,"Married", (IF(ifood_data[[#This Row],[marital_Single]]=1,"Single",(IF(ifood_data[[#This Row],[marital_Divorced]]=1,"Divorced",(IF(ifood_data[[#This Row],[marital_Together]]=1,"Living Together",(IF(ifood_data[[#This Row],[marital_Widow]]=1,"Widow","Other")))))))))</f>
        <v>Living Together</v>
      </c>
      <c r="AU708" t="str">
        <f>IF(ifood_data[[#This Row],[education_Basic]]=1,"High School",(IF(ifood_data[[#This Row],[education_Graduation]]=1,"Undergraduate Degree",(IF(SUM(AM708,AL708,AI708)&gt;0,"Master's Degree or Higher","Other")))))</f>
        <v>Undergraduate Degree</v>
      </c>
      <c r="AV708" t="str">
        <f>IF(ifood_data[[#All],[Income]]&gt;75000,"75K+",(IF(ifood_data[[#All],[Income]]&gt;50000,"50K-75K",(IF(ifood_data[[#All],[Income]]&gt;35000,"35K-50K","&lt;35K")))))</f>
        <v>50K-75K</v>
      </c>
      <c r="AW708" t="str">
        <f>IF(ifood_data[[#All],[Age]]&gt;60,"60+",(IF(ifood_data[[#All],[Age]]&gt;50,"50-60",(IF(ifood_data[[#All],[Age]]&gt;40,"40-50",(IF(ifood_data[[#All],[Age]]&gt;30,"30-40","&lt;30")))))))</f>
        <v>60+</v>
      </c>
      <c r="AX708">
        <f t="shared" si="44"/>
        <v>25</v>
      </c>
      <c r="AY708">
        <f t="shared" si="45"/>
        <v>10</v>
      </c>
      <c r="AZ708">
        <f t="shared" si="46"/>
        <v>7</v>
      </c>
      <c r="BA708">
        <f t="shared" si="47"/>
        <v>6</v>
      </c>
      <c r="BB708">
        <f>SUM(ifood_data[[#This Row],[Recency Score]:[Monetary Score]])</f>
        <v>23</v>
      </c>
      <c r="BC708">
        <f>(_xlfn.PERCENTRANK.INC(ifood_data[[#All],[RFM]],ifood_data[[#This Row],[RFM]],1))*10</f>
        <v>8</v>
      </c>
      <c r="BD708" t="str">
        <f>VLOOKUP(ifood_data[[#This Row],[RFM Score]],'RFM Analysis'!$A$3:$B$14,2,FALSE)</f>
        <v>Loyal Customer</v>
      </c>
      <c r="BE708">
        <f>'Regression Models'!$B$101+'Regression Models'!$B$102*ifood_data[[#This Row],[Income]]+'Regression Models'!$B$103*ifood_data[[#This Row],[Age]]+'Regression Models'!$B$104*ifood_data[[#This Row],[Family]]</f>
        <v>711.75516194576448</v>
      </c>
      <c r="BF708" t="str">
        <f>IF(ifood_data[[#This Row],[AcceptedCmpOverall]]=1,"Campaign Respondent","Non-respondent")</f>
        <v>Non-respondent</v>
      </c>
    </row>
    <row r="709" spans="1:58" x14ac:dyDescent="0.35">
      <c r="A709">
        <v>698</v>
      </c>
      <c r="B709">
        <v>62882</v>
      </c>
      <c r="C709">
        <v>0</v>
      </c>
      <c r="D709">
        <v>1</v>
      </c>
      <c r="E709">
        <v>26</v>
      </c>
      <c r="F709">
        <v>509</v>
      </c>
      <c r="G709">
        <v>133</v>
      </c>
      <c r="H709">
        <v>497</v>
      </c>
      <c r="I709">
        <v>78</v>
      </c>
      <c r="J709">
        <v>24</v>
      </c>
      <c r="K709">
        <v>97</v>
      </c>
      <c r="L709">
        <v>2</v>
      </c>
      <c r="M709">
        <v>7</v>
      </c>
      <c r="N709">
        <v>5</v>
      </c>
      <c r="O709">
        <v>6</v>
      </c>
      <c r="P709">
        <v>4</v>
      </c>
      <c r="Q709">
        <v>0</v>
      </c>
      <c r="R709">
        <v>0</v>
      </c>
      <c r="S709">
        <v>0</v>
      </c>
      <c r="T709">
        <v>0</v>
      </c>
      <c r="U709">
        <v>0</v>
      </c>
      <c r="V709">
        <f>IF(SUM(ifood_data[[#This Row],[AcceptedCmp1]:[AcceptedCmp5]])&gt;0,1,0)</f>
        <v>0</v>
      </c>
      <c r="W709">
        <v>0</v>
      </c>
      <c r="X709">
        <v>3</v>
      </c>
      <c r="Y709">
        <v>11</v>
      </c>
      <c r="Z709">
        <v>0</v>
      </c>
      <c r="AA709">
        <v>51</v>
      </c>
      <c r="AB709">
        <v>2848</v>
      </c>
      <c r="AC709" s="28">
        <f>ifood_data[[#This Row],[Customer_Days]]/365</f>
        <v>7.8027397260273972</v>
      </c>
      <c r="AD709">
        <v>0</v>
      </c>
      <c r="AE709">
        <v>0</v>
      </c>
      <c r="AF709">
        <v>0</v>
      </c>
      <c r="AG709">
        <v>1</v>
      </c>
      <c r="AH709">
        <v>0</v>
      </c>
      <c r="AI709">
        <v>0</v>
      </c>
      <c r="AJ709">
        <v>0</v>
      </c>
      <c r="AK709">
        <v>1</v>
      </c>
      <c r="AL709">
        <v>0</v>
      </c>
      <c r="AM709">
        <v>0</v>
      </c>
      <c r="AN709">
        <v>1241</v>
      </c>
      <c r="AO709">
        <v>1144</v>
      </c>
      <c r="AP709">
        <f>ifood_data[[#This Row],[MntTotal]]-ifood_data[[#This Row],[MntRegularProds]]</f>
        <v>97</v>
      </c>
      <c r="AQ709">
        <v>0</v>
      </c>
      <c r="AR709">
        <f>IF(SUM(ifood_data[[#This Row],[Kidhome]:[Teenhome]])&gt;0,1,0)</f>
        <v>1</v>
      </c>
      <c r="AS709" t="str">
        <f>IF(SUM(ifood_data[[#This Row],[Kidhome]:[Teenhome]])&gt;0,"Has Family","No Family")</f>
        <v>Has Family</v>
      </c>
      <c r="AT709" t="str">
        <f>IF(ifood_data[[#This Row],[marital_Married]]=1,"Married", (IF(ifood_data[[#This Row],[marital_Single]]=1,"Single",(IF(ifood_data[[#This Row],[marital_Divorced]]=1,"Divorced",(IF(ifood_data[[#This Row],[marital_Together]]=1,"Living Together",(IF(ifood_data[[#This Row],[marital_Widow]]=1,"Widow","Other")))))))))</f>
        <v>Living Together</v>
      </c>
      <c r="AU709" t="str">
        <f>IF(ifood_data[[#This Row],[education_Basic]]=1,"High School",(IF(ifood_data[[#This Row],[education_Graduation]]=1,"Undergraduate Degree",(IF(SUM(AM709,AL709,AI709)&gt;0,"Master's Degree or Higher","Other")))))</f>
        <v>Undergraduate Degree</v>
      </c>
      <c r="AV709" t="str">
        <f>IF(ifood_data[[#All],[Income]]&gt;75000,"75K+",(IF(ifood_data[[#All],[Income]]&gt;50000,"50K-75K",(IF(ifood_data[[#All],[Income]]&gt;35000,"35K-50K","&lt;35K")))))</f>
        <v>50K-75K</v>
      </c>
      <c r="AW709" t="str">
        <f>IF(ifood_data[[#All],[Age]]&gt;60,"60+",(IF(ifood_data[[#All],[Age]]&gt;50,"50-60",(IF(ifood_data[[#All],[Age]]&gt;40,"40-50",(IF(ifood_data[[#All],[Age]]&gt;30,"30-40","&lt;30")))))))</f>
        <v>50-60</v>
      </c>
      <c r="AX709">
        <f t="shared" si="44"/>
        <v>24</v>
      </c>
      <c r="AY709">
        <f t="shared" si="45"/>
        <v>8</v>
      </c>
      <c r="AZ709">
        <f t="shared" si="46"/>
        <v>6</v>
      </c>
      <c r="BA709">
        <f t="shared" si="47"/>
        <v>8</v>
      </c>
      <c r="BB709">
        <f>SUM(ifood_data[[#This Row],[Recency Score]:[Monetary Score]])</f>
        <v>22</v>
      </c>
      <c r="BC709">
        <f>(_xlfn.PERCENTRANK.INC(ifood_data[[#All],[RFM]],ifood_data[[#This Row],[RFM]],1))*10</f>
        <v>8</v>
      </c>
      <c r="BD709" t="str">
        <f>VLOOKUP(ifood_data[[#This Row],[RFM Score]],'RFM Analysis'!$A$3:$B$14,2,FALSE)</f>
        <v>Loyal Customer</v>
      </c>
      <c r="BE709">
        <f>'Regression Models'!$B$101+'Regression Models'!$B$102*ifood_data[[#This Row],[Income]]+'Regression Models'!$B$103*ifood_data[[#This Row],[Age]]+'Regression Models'!$B$104*ifood_data[[#This Row],[Family]]</f>
        <v>710.99923805356002</v>
      </c>
      <c r="BF709" t="str">
        <f>IF(ifood_data[[#This Row],[AcceptedCmpOverall]]=1,"Campaign Respondent","Non-respondent")</f>
        <v>Non-respondent</v>
      </c>
    </row>
    <row r="710" spans="1:58" x14ac:dyDescent="0.35">
      <c r="A710">
        <v>1440</v>
      </c>
      <c r="B710">
        <v>63943</v>
      </c>
      <c r="C710">
        <v>0</v>
      </c>
      <c r="D710">
        <v>1</v>
      </c>
      <c r="E710">
        <v>50</v>
      </c>
      <c r="F710">
        <v>423</v>
      </c>
      <c r="G710">
        <v>184</v>
      </c>
      <c r="H710">
        <v>368</v>
      </c>
      <c r="I710">
        <v>13</v>
      </c>
      <c r="J710">
        <v>97</v>
      </c>
      <c r="K710">
        <v>21</v>
      </c>
      <c r="L710">
        <v>1</v>
      </c>
      <c r="M710">
        <v>6</v>
      </c>
      <c r="N710">
        <v>4</v>
      </c>
      <c r="O710">
        <v>6</v>
      </c>
      <c r="P710">
        <v>5</v>
      </c>
      <c r="Q710">
        <v>0</v>
      </c>
      <c r="R710">
        <v>0</v>
      </c>
      <c r="S710">
        <v>0</v>
      </c>
      <c r="T710">
        <v>0</v>
      </c>
      <c r="U710">
        <v>0</v>
      </c>
      <c r="V710">
        <f>IF(SUM(ifood_data[[#This Row],[AcceptedCmp1]:[AcceptedCmp5]])&gt;0,1,0)</f>
        <v>0</v>
      </c>
      <c r="W710">
        <v>0</v>
      </c>
      <c r="X710">
        <v>3</v>
      </c>
      <c r="Y710">
        <v>11</v>
      </c>
      <c r="Z710">
        <v>0</v>
      </c>
      <c r="AA710">
        <v>64</v>
      </c>
      <c r="AB710">
        <v>2824</v>
      </c>
      <c r="AC710" s="28">
        <f>ifood_data[[#This Row],[Customer_Days]]/365</f>
        <v>7.7369863013698632</v>
      </c>
      <c r="AD710">
        <v>0</v>
      </c>
      <c r="AE710">
        <v>1</v>
      </c>
      <c r="AF710">
        <v>0</v>
      </c>
      <c r="AG710">
        <v>0</v>
      </c>
      <c r="AH710">
        <v>0</v>
      </c>
      <c r="AI710">
        <v>0</v>
      </c>
      <c r="AJ710">
        <v>0</v>
      </c>
      <c r="AK710">
        <v>1</v>
      </c>
      <c r="AL710">
        <v>0</v>
      </c>
      <c r="AM710">
        <v>0</v>
      </c>
      <c r="AN710">
        <v>1085</v>
      </c>
      <c r="AO710">
        <v>1064</v>
      </c>
      <c r="AP710">
        <f>ifood_data[[#This Row],[MntTotal]]-ifood_data[[#This Row],[MntRegularProds]]</f>
        <v>21</v>
      </c>
      <c r="AQ710">
        <v>0</v>
      </c>
      <c r="AR710">
        <f>IF(SUM(ifood_data[[#This Row],[Kidhome]:[Teenhome]])&gt;0,1,0)</f>
        <v>1</v>
      </c>
      <c r="AS710" t="str">
        <f>IF(SUM(ifood_data[[#This Row],[Kidhome]:[Teenhome]])&gt;0,"Has Family","No Family")</f>
        <v>Has Family</v>
      </c>
      <c r="AT710" t="str">
        <f>IF(ifood_data[[#This Row],[marital_Married]]=1,"Married", (IF(ifood_data[[#This Row],[marital_Single]]=1,"Single",(IF(ifood_data[[#This Row],[marital_Divorced]]=1,"Divorced",(IF(ifood_data[[#This Row],[marital_Together]]=1,"Living Together",(IF(ifood_data[[#This Row],[marital_Widow]]=1,"Widow","Other")))))))))</f>
        <v>Married</v>
      </c>
      <c r="AU710" t="str">
        <f>IF(ifood_data[[#This Row],[education_Basic]]=1,"High School",(IF(ifood_data[[#This Row],[education_Graduation]]=1,"Undergraduate Degree",(IF(SUM(AM710,AL710,AI710)&gt;0,"Master's Degree or Higher","Other")))))</f>
        <v>Undergraduate Degree</v>
      </c>
      <c r="AV710" t="str">
        <f>IF(ifood_data[[#All],[Income]]&gt;75000,"75K+",(IF(ifood_data[[#All],[Income]]&gt;50000,"50K-75K",(IF(ifood_data[[#All],[Income]]&gt;35000,"35K-50K","&lt;35K")))))</f>
        <v>50K-75K</v>
      </c>
      <c r="AW710" t="str">
        <f>IF(ifood_data[[#All],[Age]]&gt;60,"60+",(IF(ifood_data[[#All],[Age]]&gt;50,"50-60",(IF(ifood_data[[#All],[Age]]&gt;40,"40-50",(IF(ifood_data[[#All],[Age]]&gt;30,"30-40","&lt;30")))))))</f>
        <v>60+</v>
      </c>
      <c r="AX710">
        <f t="shared" si="44"/>
        <v>22</v>
      </c>
      <c r="AY710">
        <f t="shared" si="45"/>
        <v>5</v>
      </c>
      <c r="AZ710">
        <f t="shared" si="46"/>
        <v>5</v>
      </c>
      <c r="BA710">
        <f t="shared" si="47"/>
        <v>7</v>
      </c>
      <c r="BB710">
        <f>SUM(ifood_data[[#This Row],[Recency Score]:[Monetary Score]])</f>
        <v>17</v>
      </c>
      <c r="BC710">
        <f>(_xlfn.PERCENTRANK.INC(ifood_data[[#All],[RFM]],ifood_data[[#This Row],[RFM]],1))*10</f>
        <v>6</v>
      </c>
      <c r="BD710" t="str">
        <f>VLOOKUP(ifood_data[[#This Row],[RFM Score]],'RFM Analysis'!$A$3:$B$14,2,FALSE)</f>
        <v>Promising</v>
      </c>
      <c r="BE710">
        <f>'Regression Models'!$B$101+'Regression Models'!$B$102*ifood_data[[#This Row],[Income]]+'Regression Models'!$B$103*ifood_data[[#This Row],[Age]]+'Regression Models'!$B$104*ifood_data[[#This Row],[Family]]</f>
        <v>708.758013028611</v>
      </c>
      <c r="BF710" t="str">
        <f>IF(ifood_data[[#This Row],[AcceptedCmpOverall]]=1,"Campaign Respondent","Non-respondent")</f>
        <v>Non-respondent</v>
      </c>
    </row>
    <row r="711" spans="1:58" x14ac:dyDescent="0.35">
      <c r="A711">
        <v>1722</v>
      </c>
      <c r="B711">
        <v>62772</v>
      </c>
      <c r="C711">
        <v>0</v>
      </c>
      <c r="D711">
        <v>1</v>
      </c>
      <c r="E711">
        <v>74</v>
      </c>
      <c r="F711">
        <v>581</v>
      </c>
      <c r="G711">
        <v>49</v>
      </c>
      <c r="H711">
        <v>157</v>
      </c>
      <c r="I711">
        <v>43</v>
      </c>
      <c r="J711">
        <v>8</v>
      </c>
      <c r="K711">
        <v>108</v>
      </c>
      <c r="L711">
        <v>1</v>
      </c>
      <c r="M711">
        <v>5</v>
      </c>
      <c r="N711">
        <v>6</v>
      </c>
      <c r="O711">
        <v>11</v>
      </c>
      <c r="P711">
        <v>2</v>
      </c>
      <c r="Q711">
        <v>0</v>
      </c>
      <c r="R711">
        <v>0</v>
      </c>
      <c r="S711">
        <v>0</v>
      </c>
      <c r="T711">
        <v>1</v>
      </c>
      <c r="U711">
        <v>0</v>
      </c>
      <c r="V711">
        <f>IF(SUM(ifood_data[[#This Row],[AcceptedCmp1]:[AcceptedCmp5]])&gt;0,1,0)</f>
        <v>1</v>
      </c>
      <c r="W711">
        <v>0</v>
      </c>
      <c r="X711">
        <v>3</v>
      </c>
      <c r="Y711">
        <v>11</v>
      </c>
      <c r="Z711">
        <v>0</v>
      </c>
      <c r="AA711">
        <v>51</v>
      </c>
      <c r="AB711">
        <v>2565</v>
      </c>
      <c r="AC711" s="28">
        <f>ifood_data[[#This Row],[Customer_Days]]/365</f>
        <v>7.0273972602739727</v>
      </c>
      <c r="AD711">
        <v>0</v>
      </c>
      <c r="AE711">
        <v>0</v>
      </c>
      <c r="AF711">
        <v>1</v>
      </c>
      <c r="AG711">
        <v>0</v>
      </c>
      <c r="AH711">
        <v>0</v>
      </c>
      <c r="AI711">
        <v>0</v>
      </c>
      <c r="AJ711">
        <v>0</v>
      </c>
      <c r="AK711">
        <v>0</v>
      </c>
      <c r="AL711">
        <v>1</v>
      </c>
      <c r="AM711">
        <v>0</v>
      </c>
      <c r="AN711">
        <v>838</v>
      </c>
      <c r="AO711">
        <v>730</v>
      </c>
      <c r="AP711">
        <f>ifood_data[[#This Row],[MntTotal]]-ifood_data[[#This Row],[MntRegularProds]]</f>
        <v>108</v>
      </c>
      <c r="AQ711">
        <v>1</v>
      </c>
      <c r="AR711">
        <f>IF(SUM(ifood_data[[#This Row],[Kidhome]:[Teenhome]])&gt;0,1,0)</f>
        <v>1</v>
      </c>
      <c r="AS711" t="str">
        <f>IF(SUM(ifood_data[[#This Row],[Kidhome]:[Teenhome]])&gt;0,"Has Family","No Family")</f>
        <v>Has Family</v>
      </c>
      <c r="AT711" t="str">
        <f>IF(ifood_data[[#This Row],[marital_Married]]=1,"Married", (IF(ifood_data[[#This Row],[marital_Single]]=1,"Single",(IF(ifood_data[[#This Row],[marital_Divorced]]=1,"Divorced",(IF(ifood_data[[#This Row],[marital_Together]]=1,"Living Together",(IF(ifood_data[[#This Row],[marital_Widow]]=1,"Widow","Other")))))))))</f>
        <v>Single</v>
      </c>
      <c r="AU711" t="str">
        <f>IF(ifood_data[[#This Row],[education_Basic]]=1,"High School",(IF(ifood_data[[#This Row],[education_Graduation]]=1,"Undergraduate Degree",(IF(SUM(AM711,AL711,AI711)&gt;0,"Master's Degree or Higher","Other")))))</f>
        <v>Master's Degree or Higher</v>
      </c>
      <c r="AV711" t="str">
        <f>IF(ifood_data[[#All],[Income]]&gt;75000,"75K+",(IF(ifood_data[[#All],[Income]]&gt;50000,"50K-75K",(IF(ifood_data[[#All],[Income]]&gt;35000,"35K-50K","&lt;35K")))))</f>
        <v>50K-75K</v>
      </c>
      <c r="AW711" t="str">
        <f>IF(ifood_data[[#All],[Age]]&gt;60,"60+",(IF(ifood_data[[#All],[Age]]&gt;50,"50-60",(IF(ifood_data[[#All],[Age]]&gt;40,"40-50",(IF(ifood_data[[#All],[Age]]&gt;30,"30-40","&lt;30")))))))</f>
        <v>50-60</v>
      </c>
      <c r="AX711">
        <f t="shared" si="44"/>
        <v>25</v>
      </c>
      <c r="AY711">
        <f t="shared" si="45"/>
        <v>3.0000000000000004</v>
      </c>
      <c r="AZ711">
        <f t="shared" si="46"/>
        <v>7</v>
      </c>
      <c r="BA711">
        <f t="shared" si="47"/>
        <v>6</v>
      </c>
      <c r="BB711">
        <f>SUM(ifood_data[[#This Row],[Recency Score]:[Monetary Score]])</f>
        <v>16</v>
      </c>
      <c r="BC711">
        <f>(_xlfn.PERCENTRANK.INC(ifood_data[[#All],[RFM]],ifood_data[[#This Row],[RFM]],1))*10</f>
        <v>5</v>
      </c>
      <c r="BD711" t="str">
        <f>VLOOKUP(ifood_data[[#This Row],[RFM Score]],'RFM Analysis'!$A$3:$B$14,2,FALSE)</f>
        <v>Promising</v>
      </c>
      <c r="BE711">
        <f>'Regression Models'!$B$101+'Regression Models'!$B$102*ifood_data[[#This Row],[Income]]+'Regression Models'!$B$103*ifood_data[[#This Row],[Age]]+'Regression Models'!$B$104*ifood_data[[#This Row],[Family]]</f>
        <v>708.75647355773117</v>
      </c>
      <c r="BF711" t="str">
        <f>IF(ifood_data[[#This Row],[AcceptedCmpOverall]]=1,"Campaign Respondent","Non-respondent")</f>
        <v>Campaign Respondent</v>
      </c>
    </row>
    <row r="712" spans="1:58" x14ac:dyDescent="0.35">
      <c r="A712">
        <v>1305</v>
      </c>
      <c r="B712">
        <v>63915</v>
      </c>
      <c r="C712">
        <v>0</v>
      </c>
      <c r="D712">
        <v>2</v>
      </c>
      <c r="E712">
        <v>2</v>
      </c>
      <c r="F712">
        <v>622</v>
      </c>
      <c r="G712">
        <v>7</v>
      </c>
      <c r="H712">
        <v>115</v>
      </c>
      <c r="I712">
        <v>30</v>
      </c>
      <c r="J712">
        <v>0</v>
      </c>
      <c r="K712">
        <v>15</v>
      </c>
      <c r="L712">
        <v>2</v>
      </c>
      <c r="M712">
        <v>6</v>
      </c>
      <c r="N712">
        <v>3</v>
      </c>
      <c r="O712">
        <v>12</v>
      </c>
      <c r="P712">
        <v>5</v>
      </c>
      <c r="Q712">
        <v>0</v>
      </c>
      <c r="R712">
        <v>0</v>
      </c>
      <c r="S712">
        <v>0</v>
      </c>
      <c r="T712">
        <v>0</v>
      </c>
      <c r="U712">
        <v>0</v>
      </c>
      <c r="V712">
        <f>IF(SUM(ifood_data[[#This Row],[AcceptedCmp1]:[AcceptedCmp5]])&gt;0,1,0)</f>
        <v>0</v>
      </c>
      <c r="W712">
        <v>0</v>
      </c>
      <c r="X712">
        <v>3</v>
      </c>
      <c r="Y712">
        <v>11</v>
      </c>
      <c r="Z712">
        <v>0</v>
      </c>
      <c r="AA712">
        <v>64</v>
      </c>
      <c r="AB712">
        <v>2493</v>
      </c>
      <c r="AC712" s="28">
        <f>ifood_data[[#This Row],[Customer_Days]]/365</f>
        <v>6.8301369863013699</v>
      </c>
      <c r="AD712">
        <v>0</v>
      </c>
      <c r="AE712">
        <v>1</v>
      </c>
      <c r="AF712">
        <v>0</v>
      </c>
      <c r="AG712">
        <v>0</v>
      </c>
      <c r="AH712">
        <v>0</v>
      </c>
      <c r="AI712">
        <v>0</v>
      </c>
      <c r="AJ712">
        <v>0</v>
      </c>
      <c r="AK712">
        <v>0</v>
      </c>
      <c r="AL712">
        <v>1</v>
      </c>
      <c r="AM712">
        <v>0</v>
      </c>
      <c r="AN712">
        <v>774</v>
      </c>
      <c r="AO712">
        <v>759</v>
      </c>
      <c r="AP712">
        <f>ifood_data[[#This Row],[MntTotal]]-ifood_data[[#This Row],[MntRegularProds]]</f>
        <v>15</v>
      </c>
      <c r="AQ712">
        <v>0</v>
      </c>
      <c r="AR712">
        <f>IF(SUM(ifood_data[[#This Row],[Kidhome]:[Teenhome]])&gt;0,1,0)</f>
        <v>1</v>
      </c>
      <c r="AS712" t="str">
        <f>IF(SUM(ifood_data[[#This Row],[Kidhome]:[Teenhome]])&gt;0,"Has Family","No Family")</f>
        <v>Has Family</v>
      </c>
      <c r="AT712" t="str">
        <f>IF(ifood_data[[#This Row],[marital_Married]]=1,"Married", (IF(ifood_data[[#This Row],[marital_Single]]=1,"Single",(IF(ifood_data[[#This Row],[marital_Divorced]]=1,"Divorced",(IF(ifood_data[[#This Row],[marital_Together]]=1,"Living Together",(IF(ifood_data[[#This Row],[marital_Widow]]=1,"Widow","Other")))))))))</f>
        <v>Married</v>
      </c>
      <c r="AU712" t="str">
        <f>IF(ifood_data[[#This Row],[education_Basic]]=1,"High School",(IF(ifood_data[[#This Row],[education_Graduation]]=1,"Undergraduate Degree",(IF(SUM(AM712,AL712,AI712)&gt;0,"Master's Degree or Higher","Other")))))</f>
        <v>Master's Degree or Higher</v>
      </c>
      <c r="AV712" t="str">
        <f>IF(ifood_data[[#All],[Income]]&gt;75000,"75K+",(IF(ifood_data[[#All],[Income]]&gt;50000,"50K-75K",(IF(ifood_data[[#All],[Income]]&gt;35000,"35K-50K","&lt;35K")))))</f>
        <v>50K-75K</v>
      </c>
      <c r="AW712" t="str">
        <f>IF(ifood_data[[#All],[Age]]&gt;60,"60+",(IF(ifood_data[[#All],[Age]]&gt;50,"50-60",(IF(ifood_data[[#All],[Age]]&gt;40,"40-50",(IF(ifood_data[[#All],[Age]]&gt;30,"30-40","&lt;30")))))))</f>
        <v>60+</v>
      </c>
      <c r="AX712">
        <f t="shared" si="44"/>
        <v>28</v>
      </c>
      <c r="AY712">
        <f t="shared" si="45"/>
        <v>10</v>
      </c>
      <c r="AZ712">
        <f t="shared" si="46"/>
        <v>8</v>
      </c>
      <c r="BA712">
        <f t="shared" si="47"/>
        <v>6</v>
      </c>
      <c r="BB712">
        <f>SUM(ifood_data[[#This Row],[Recency Score]:[Monetary Score]])</f>
        <v>24</v>
      </c>
      <c r="BC712">
        <f>(_xlfn.PERCENTRANK.INC(ifood_data[[#All],[RFM]],ifood_data[[#This Row],[RFM]],1))*10</f>
        <v>9</v>
      </c>
      <c r="BD712" t="str">
        <f>VLOOKUP(ifood_data[[#This Row],[RFM Score]],'RFM Analysis'!$A$3:$B$14,2,FALSE)</f>
        <v>Top Customer</v>
      </c>
      <c r="BE712">
        <f>'Regression Models'!$B$101+'Regression Models'!$B$102*ifood_data[[#This Row],[Income]]+'Regression Models'!$B$103*ifood_data[[#This Row],[Age]]+'Regression Models'!$B$104*ifood_data[[#This Row],[Family]]</f>
        <v>708.18712752058218</v>
      </c>
      <c r="BF712" t="str">
        <f>IF(ifood_data[[#This Row],[AcceptedCmpOverall]]=1,"Campaign Respondent","Non-respondent")</f>
        <v>Non-respondent</v>
      </c>
    </row>
    <row r="713" spans="1:58" x14ac:dyDescent="0.35">
      <c r="A713">
        <v>1779</v>
      </c>
      <c r="B713">
        <v>51141</v>
      </c>
      <c r="C713">
        <v>0</v>
      </c>
      <c r="D713">
        <v>0</v>
      </c>
      <c r="E713">
        <v>96</v>
      </c>
      <c r="F713">
        <v>144</v>
      </c>
      <c r="G713">
        <v>0</v>
      </c>
      <c r="H713">
        <v>7</v>
      </c>
      <c r="I713">
        <v>0</v>
      </c>
      <c r="J713">
        <v>0</v>
      </c>
      <c r="K713">
        <v>6</v>
      </c>
      <c r="L713">
        <v>1</v>
      </c>
      <c r="M713">
        <v>3</v>
      </c>
      <c r="N713">
        <v>1</v>
      </c>
      <c r="O713">
        <v>4</v>
      </c>
      <c r="P713">
        <v>5</v>
      </c>
      <c r="Q713">
        <v>0</v>
      </c>
      <c r="R713">
        <v>0</v>
      </c>
      <c r="S713">
        <v>0</v>
      </c>
      <c r="T713">
        <v>0</v>
      </c>
      <c r="U713">
        <v>0</v>
      </c>
      <c r="V713">
        <f>IF(SUM(ifood_data[[#This Row],[AcceptedCmp1]:[AcceptedCmp5]])&gt;0,1,0)</f>
        <v>0</v>
      </c>
      <c r="W713">
        <v>0</v>
      </c>
      <c r="X713">
        <v>3</v>
      </c>
      <c r="Y713">
        <v>11</v>
      </c>
      <c r="Z713">
        <v>0</v>
      </c>
      <c r="AA713">
        <v>80</v>
      </c>
      <c r="AB713">
        <v>2515</v>
      </c>
      <c r="AC713" s="28">
        <f>ifood_data[[#This Row],[Customer_Days]]/365</f>
        <v>6.8904109589041092</v>
      </c>
      <c r="AD713">
        <v>0</v>
      </c>
      <c r="AE713">
        <v>0</v>
      </c>
      <c r="AF713">
        <v>1</v>
      </c>
      <c r="AG713">
        <v>0</v>
      </c>
      <c r="AH713">
        <v>0</v>
      </c>
      <c r="AI713">
        <v>0</v>
      </c>
      <c r="AJ713">
        <v>0</v>
      </c>
      <c r="AK713">
        <v>0</v>
      </c>
      <c r="AL713">
        <v>0</v>
      </c>
      <c r="AM713">
        <v>1</v>
      </c>
      <c r="AN713">
        <v>151</v>
      </c>
      <c r="AO713">
        <v>145</v>
      </c>
      <c r="AP713">
        <f>ifood_data[[#This Row],[MntTotal]]-ifood_data[[#This Row],[MntRegularProds]]</f>
        <v>6</v>
      </c>
      <c r="AQ713">
        <v>0</v>
      </c>
      <c r="AR713">
        <f>IF(SUM(ifood_data[[#This Row],[Kidhome]:[Teenhome]])&gt;0,1,0)</f>
        <v>0</v>
      </c>
      <c r="AS713" t="str">
        <f>IF(SUM(ifood_data[[#This Row],[Kidhome]:[Teenhome]])&gt;0,"Has Family","No Family")</f>
        <v>No Family</v>
      </c>
      <c r="AT713" t="str">
        <f>IF(ifood_data[[#This Row],[marital_Married]]=1,"Married", (IF(ifood_data[[#This Row],[marital_Single]]=1,"Single",(IF(ifood_data[[#This Row],[marital_Divorced]]=1,"Divorced",(IF(ifood_data[[#This Row],[marital_Together]]=1,"Living Together",(IF(ifood_data[[#This Row],[marital_Widow]]=1,"Widow","Other")))))))))</f>
        <v>Single</v>
      </c>
      <c r="AU713" t="str">
        <f>IF(ifood_data[[#This Row],[education_Basic]]=1,"High School",(IF(ifood_data[[#This Row],[education_Graduation]]=1,"Undergraduate Degree",(IF(SUM(AM713,AL713,AI713)&gt;0,"Master's Degree or Higher","Other")))))</f>
        <v>Master's Degree or Higher</v>
      </c>
      <c r="AV713" t="str">
        <f>IF(ifood_data[[#All],[Income]]&gt;75000,"75K+",(IF(ifood_data[[#All],[Income]]&gt;50000,"50K-75K",(IF(ifood_data[[#All],[Income]]&gt;35000,"35K-50K","&lt;35K")))))</f>
        <v>50K-75K</v>
      </c>
      <c r="AW713" t="str">
        <f>IF(ifood_data[[#All],[Age]]&gt;60,"60+",(IF(ifood_data[[#All],[Age]]&gt;50,"50-60",(IF(ifood_data[[#All],[Age]]&gt;40,"40-50",(IF(ifood_data[[#All],[Age]]&gt;30,"30-40","&lt;30")))))))</f>
        <v>60+</v>
      </c>
      <c r="AX713">
        <f t="shared" si="44"/>
        <v>14</v>
      </c>
      <c r="AY713">
        <f t="shared" si="45"/>
        <v>0.99999999999999978</v>
      </c>
      <c r="AZ713">
        <f t="shared" si="46"/>
        <v>2</v>
      </c>
      <c r="BA713">
        <f t="shared" si="47"/>
        <v>3</v>
      </c>
      <c r="BB713">
        <f>SUM(ifood_data[[#This Row],[Recency Score]:[Monetary Score]])</f>
        <v>6</v>
      </c>
      <c r="BC713">
        <f>(_xlfn.PERCENTRANK.INC(ifood_data[[#All],[RFM]],ifood_data[[#This Row],[RFM]],1))*10</f>
        <v>0</v>
      </c>
      <c r="BD713" t="str">
        <f>VLOOKUP(ifood_data[[#This Row],[RFM Score]],'RFM Analysis'!$A$3:$B$14,2,FALSE)</f>
        <v>Lost</v>
      </c>
      <c r="BE713">
        <f>'Regression Models'!$B$101+'Regression Models'!$B$102*ifood_data[[#This Row],[Income]]+'Regression Models'!$B$103*ifood_data[[#This Row],[Age]]+'Regression Models'!$B$104*ifood_data[[#This Row],[Family]]</f>
        <v>707.97160906112458</v>
      </c>
      <c r="BF713" t="str">
        <f>IF(ifood_data[[#This Row],[AcceptedCmpOverall]]=1,"Campaign Respondent","Non-respondent")</f>
        <v>Non-respondent</v>
      </c>
    </row>
    <row r="714" spans="1:58" x14ac:dyDescent="0.35">
      <c r="A714">
        <v>1035</v>
      </c>
      <c r="B714">
        <v>61825</v>
      </c>
      <c r="C714">
        <v>0</v>
      </c>
      <c r="D714">
        <v>1</v>
      </c>
      <c r="E714">
        <v>56</v>
      </c>
      <c r="F714">
        <v>162</v>
      </c>
      <c r="G714">
        <v>50</v>
      </c>
      <c r="H714">
        <v>100</v>
      </c>
      <c r="I714">
        <v>55</v>
      </c>
      <c r="J714">
        <v>30</v>
      </c>
      <c r="K714">
        <v>27</v>
      </c>
      <c r="L714">
        <v>1</v>
      </c>
      <c r="M714">
        <v>4</v>
      </c>
      <c r="N714">
        <v>2</v>
      </c>
      <c r="O714">
        <v>8</v>
      </c>
      <c r="P714">
        <v>4</v>
      </c>
      <c r="Q714">
        <v>0</v>
      </c>
      <c r="R714">
        <v>0</v>
      </c>
      <c r="S714">
        <v>0</v>
      </c>
      <c r="T714">
        <v>0</v>
      </c>
      <c r="U714">
        <v>0</v>
      </c>
      <c r="V714">
        <f>IF(SUM(ifood_data[[#This Row],[AcceptedCmp1]:[AcceptedCmp5]])&gt;0,1,0)</f>
        <v>0</v>
      </c>
      <c r="W714">
        <v>0</v>
      </c>
      <c r="X714">
        <v>3</v>
      </c>
      <c r="Y714">
        <v>11</v>
      </c>
      <c r="Z714">
        <v>0</v>
      </c>
      <c r="AA714">
        <v>41</v>
      </c>
      <c r="AB714">
        <v>2485</v>
      </c>
      <c r="AC714" s="28">
        <f>ifood_data[[#This Row],[Customer_Days]]/365</f>
        <v>6.8082191780821919</v>
      </c>
      <c r="AD714">
        <v>0</v>
      </c>
      <c r="AE714">
        <v>0</v>
      </c>
      <c r="AF714">
        <v>1</v>
      </c>
      <c r="AG714">
        <v>0</v>
      </c>
      <c r="AH714">
        <v>0</v>
      </c>
      <c r="AI714">
        <v>0</v>
      </c>
      <c r="AJ714">
        <v>0</v>
      </c>
      <c r="AK714">
        <v>1</v>
      </c>
      <c r="AL714">
        <v>0</v>
      </c>
      <c r="AM714">
        <v>0</v>
      </c>
      <c r="AN714">
        <v>397</v>
      </c>
      <c r="AO714">
        <v>370</v>
      </c>
      <c r="AP714">
        <f>ifood_data[[#This Row],[MntTotal]]-ifood_data[[#This Row],[MntRegularProds]]</f>
        <v>27</v>
      </c>
      <c r="AQ714">
        <v>0</v>
      </c>
      <c r="AR714">
        <f>IF(SUM(ifood_data[[#This Row],[Kidhome]:[Teenhome]])&gt;0,1,0)</f>
        <v>1</v>
      </c>
      <c r="AS714" t="str">
        <f>IF(SUM(ifood_data[[#This Row],[Kidhome]:[Teenhome]])&gt;0,"Has Family","No Family")</f>
        <v>Has Family</v>
      </c>
      <c r="AT714" t="str">
        <f>IF(ifood_data[[#This Row],[marital_Married]]=1,"Married", (IF(ifood_data[[#This Row],[marital_Single]]=1,"Single",(IF(ifood_data[[#This Row],[marital_Divorced]]=1,"Divorced",(IF(ifood_data[[#This Row],[marital_Together]]=1,"Living Together",(IF(ifood_data[[#This Row],[marital_Widow]]=1,"Widow","Other")))))))))</f>
        <v>Single</v>
      </c>
      <c r="AU714" t="str">
        <f>IF(ifood_data[[#This Row],[education_Basic]]=1,"High School",(IF(ifood_data[[#This Row],[education_Graduation]]=1,"Undergraduate Degree",(IF(SUM(AM714,AL714,AI714)&gt;0,"Master's Degree or Higher","Other")))))</f>
        <v>Undergraduate Degree</v>
      </c>
      <c r="AV714" t="str">
        <f>IF(ifood_data[[#All],[Income]]&gt;75000,"75K+",(IF(ifood_data[[#All],[Income]]&gt;50000,"50K-75K",(IF(ifood_data[[#All],[Income]]&gt;35000,"35K-50K","&lt;35K")))))</f>
        <v>50K-75K</v>
      </c>
      <c r="AW714" t="str">
        <f>IF(ifood_data[[#All],[Age]]&gt;60,"60+",(IF(ifood_data[[#All],[Age]]&gt;50,"50-60",(IF(ifood_data[[#All],[Age]]&gt;40,"40-50",(IF(ifood_data[[#All],[Age]]&gt;30,"30-40","&lt;30")))))))</f>
        <v>40-50</v>
      </c>
      <c r="AX714">
        <f t="shared" si="44"/>
        <v>19</v>
      </c>
      <c r="AY714">
        <f t="shared" si="45"/>
        <v>5</v>
      </c>
      <c r="AZ714">
        <f t="shared" si="46"/>
        <v>4</v>
      </c>
      <c r="BA714">
        <f t="shared" si="47"/>
        <v>5</v>
      </c>
      <c r="BB714">
        <f>SUM(ifood_data[[#This Row],[Recency Score]:[Monetary Score]])</f>
        <v>14</v>
      </c>
      <c r="BC714">
        <f>(_xlfn.PERCENTRANK.INC(ifood_data[[#All],[RFM]],ifood_data[[#This Row],[RFM]],1))*10</f>
        <v>4</v>
      </c>
      <c r="BD714" t="str">
        <f>VLOOKUP(ifood_data[[#This Row],[RFM Score]],'RFM Analysis'!$A$3:$B$14,2,FALSE)</f>
        <v>At Risk</v>
      </c>
      <c r="BE714">
        <f>'Regression Models'!$B$101+'Regression Models'!$B$102*ifood_data[[#This Row],[Income]]+'Regression Models'!$B$103*ifood_data[[#This Row],[Age]]+'Regression Models'!$B$104*ifood_data[[#This Row],[Family]]</f>
        <v>707.81270091440183</v>
      </c>
      <c r="BF714" t="str">
        <f>IF(ifood_data[[#This Row],[AcceptedCmpOverall]]=1,"Campaign Respondent","Non-respondent")</f>
        <v>Non-respondent</v>
      </c>
    </row>
    <row r="715" spans="1:58" x14ac:dyDescent="0.35">
      <c r="A715">
        <v>549</v>
      </c>
      <c r="B715">
        <v>61996</v>
      </c>
      <c r="C715">
        <v>0</v>
      </c>
      <c r="D715">
        <v>1</v>
      </c>
      <c r="E715">
        <v>27</v>
      </c>
      <c r="F715">
        <v>1050</v>
      </c>
      <c r="G715">
        <v>12</v>
      </c>
      <c r="H715">
        <v>144</v>
      </c>
      <c r="I715">
        <v>0</v>
      </c>
      <c r="J715">
        <v>0</v>
      </c>
      <c r="K715">
        <v>24</v>
      </c>
      <c r="L715">
        <v>3</v>
      </c>
      <c r="M715">
        <v>6</v>
      </c>
      <c r="N715">
        <v>4</v>
      </c>
      <c r="O715">
        <v>8</v>
      </c>
      <c r="P715">
        <v>5</v>
      </c>
      <c r="Q715">
        <v>1</v>
      </c>
      <c r="R715">
        <v>1</v>
      </c>
      <c r="S715">
        <v>0</v>
      </c>
      <c r="T715">
        <v>1</v>
      </c>
      <c r="U715">
        <v>0</v>
      </c>
      <c r="V715">
        <f>IF(SUM(ifood_data[[#This Row],[AcceptedCmp1]:[AcceptedCmp5]])&gt;0,1,0)</f>
        <v>1</v>
      </c>
      <c r="W715">
        <v>0</v>
      </c>
      <c r="X715">
        <v>3</v>
      </c>
      <c r="Y715">
        <v>11</v>
      </c>
      <c r="Z715">
        <v>1</v>
      </c>
      <c r="AA715">
        <v>43</v>
      </c>
      <c r="AB715">
        <v>2673</v>
      </c>
      <c r="AC715" s="28">
        <f>ifood_data[[#This Row],[Customer_Days]]/365</f>
        <v>7.3232876712328769</v>
      </c>
      <c r="AD715">
        <v>0</v>
      </c>
      <c r="AE715">
        <v>1</v>
      </c>
      <c r="AF715">
        <v>0</v>
      </c>
      <c r="AG715">
        <v>0</v>
      </c>
      <c r="AH715">
        <v>0</v>
      </c>
      <c r="AI715">
        <v>0</v>
      </c>
      <c r="AJ715">
        <v>0</v>
      </c>
      <c r="AK715">
        <v>0</v>
      </c>
      <c r="AL715">
        <v>0</v>
      </c>
      <c r="AM715">
        <v>1</v>
      </c>
      <c r="AN715">
        <v>1206</v>
      </c>
      <c r="AO715">
        <v>1182</v>
      </c>
      <c r="AP715">
        <f>ifood_data[[#This Row],[MntTotal]]-ifood_data[[#This Row],[MntRegularProds]]</f>
        <v>24</v>
      </c>
      <c r="AQ715">
        <v>3</v>
      </c>
      <c r="AR715">
        <f>IF(SUM(ifood_data[[#This Row],[Kidhome]:[Teenhome]])&gt;0,1,0)</f>
        <v>1</v>
      </c>
      <c r="AS715" t="str">
        <f>IF(SUM(ifood_data[[#This Row],[Kidhome]:[Teenhome]])&gt;0,"Has Family","No Family")</f>
        <v>Has Family</v>
      </c>
      <c r="AT715" t="str">
        <f>IF(ifood_data[[#This Row],[marital_Married]]=1,"Married", (IF(ifood_data[[#This Row],[marital_Single]]=1,"Single",(IF(ifood_data[[#This Row],[marital_Divorced]]=1,"Divorced",(IF(ifood_data[[#This Row],[marital_Together]]=1,"Living Together",(IF(ifood_data[[#This Row],[marital_Widow]]=1,"Widow","Other")))))))))</f>
        <v>Married</v>
      </c>
      <c r="AU715" t="str">
        <f>IF(ifood_data[[#This Row],[education_Basic]]=1,"High School",(IF(ifood_data[[#This Row],[education_Graduation]]=1,"Undergraduate Degree",(IF(SUM(AM715,AL715,AI715)&gt;0,"Master's Degree or Higher","Other")))))</f>
        <v>Master's Degree or Higher</v>
      </c>
      <c r="AV715" t="str">
        <f>IF(ifood_data[[#All],[Income]]&gt;75000,"75K+",(IF(ifood_data[[#All],[Income]]&gt;50000,"50K-75K",(IF(ifood_data[[#All],[Income]]&gt;35000,"35K-50K","&lt;35K")))))</f>
        <v>50K-75K</v>
      </c>
      <c r="AW715" t="str">
        <f>IF(ifood_data[[#All],[Age]]&gt;60,"60+",(IF(ifood_data[[#All],[Age]]&gt;50,"50-60",(IF(ifood_data[[#All],[Age]]&gt;40,"40-50",(IF(ifood_data[[#All],[Age]]&gt;30,"30-40","&lt;30")))))))</f>
        <v>40-50</v>
      </c>
      <c r="AX715">
        <f t="shared" si="44"/>
        <v>26</v>
      </c>
      <c r="AY715">
        <f t="shared" si="45"/>
        <v>8</v>
      </c>
      <c r="AZ715">
        <f t="shared" si="46"/>
        <v>7</v>
      </c>
      <c r="BA715">
        <f t="shared" si="47"/>
        <v>8</v>
      </c>
      <c r="BB715">
        <f>SUM(ifood_data[[#This Row],[Recency Score]:[Monetary Score]])</f>
        <v>23</v>
      </c>
      <c r="BC715">
        <f>(_xlfn.PERCENTRANK.INC(ifood_data[[#All],[RFM]],ifood_data[[#This Row],[RFM]],1))*10</f>
        <v>8</v>
      </c>
      <c r="BD715" t="str">
        <f>VLOOKUP(ifood_data[[#This Row],[RFM Score]],'RFM Analysis'!$A$3:$B$14,2,FALSE)</f>
        <v>Loyal Customer</v>
      </c>
      <c r="BE715">
        <f>'Regression Models'!$B$101+'Regression Models'!$B$102*ifood_data[[#This Row],[Income]]+'Regression Models'!$B$103*ifood_data[[#This Row],[Age]]+'Regression Models'!$B$104*ifood_data[[#This Row],[Family]]</f>
        <v>707.62630210921998</v>
      </c>
      <c r="BF715" t="str">
        <f>IF(ifood_data[[#This Row],[AcceptedCmpOverall]]=1,"Campaign Respondent","Non-respondent")</f>
        <v>Campaign Respondent</v>
      </c>
    </row>
    <row r="716" spans="1:58" x14ac:dyDescent="0.35">
      <c r="A716">
        <v>1267</v>
      </c>
      <c r="B716">
        <v>62061</v>
      </c>
      <c r="C716">
        <v>0</v>
      </c>
      <c r="D716">
        <v>1</v>
      </c>
      <c r="E716">
        <v>12</v>
      </c>
      <c r="F716">
        <v>641</v>
      </c>
      <c r="G716">
        <v>7</v>
      </c>
      <c r="H716">
        <v>84</v>
      </c>
      <c r="I716">
        <v>0</v>
      </c>
      <c r="J716">
        <v>30</v>
      </c>
      <c r="K716">
        <v>38</v>
      </c>
      <c r="L716">
        <v>3</v>
      </c>
      <c r="M716">
        <v>10</v>
      </c>
      <c r="N716">
        <v>4</v>
      </c>
      <c r="O716">
        <v>7</v>
      </c>
      <c r="P716">
        <v>6</v>
      </c>
      <c r="Q716">
        <v>0</v>
      </c>
      <c r="R716">
        <v>0</v>
      </c>
      <c r="S716">
        <v>0</v>
      </c>
      <c r="T716">
        <v>1</v>
      </c>
      <c r="U716">
        <v>0</v>
      </c>
      <c r="V716">
        <f>IF(SUM(ifood_data[[#This Row],[AcceptedCmp1]:[AcceptedCmp5]])&gt;0,1,0)</f>
        <v>1</v>
      </c>
      <c r="W716">
        <v>0</v>
      </c>
      <c r="X716">
        <v>3</v>
      </c>
      <c r="Y716">
        <v>11</v>
      </c>
      <c r="Z716">
        <v>0</v>
      </c>
      <c r="AA716">
        <v>44</v>
      </c>
      <c r="AB716">
        <v>2461</v>
      </c>
      <c r="AC716" s="28">
        <f>ifood_data[[#This Row],[Customer_Days]]/365</f>
        <v>6.7424657534246579</v>
      </c>
      <c r="AD716">
        <v>0</v>
      </c>
      <c r="AE716">
        <v>0</v>
      </c>
      <c r="AF716">
        <v>0</v>
      </c>
      <c r="AG716">
        <v>1</v>
      </c>
      <c r="AH716">
        <v>0</v>
      </c>
      <c r="AI716">
        <v>0</v>
      </c>
      <c r="AJ716">
        <v>0</v>
      </c>
      <c r="AK716">
        <v>1</v>
      </c>
      <c r="AL716">
        <v>0</v>
      </c>
      <c r="AM716">
        <v>0</v>
      </c>
      <c r="AN716">
        <v>762</v>
      </c>
      <c r="AO716">
        <v>724</v>
      </c>
      <c r="AP716">
        <f>ifood_data[[#This Row],[MntTotal]]-ifood_data[[#This Row],[MntRegularProds]]</f>
        <v>38</v>
      </c>
      <c r="AQ716">
        <v>1</v>
      </c>
      <c r="AR716">
        <f>IF(SUM(ifood_data[[#This Row],[Kidhome]:[Teenhome]])&gt;0,1,0)</f>
        <v>1</v>
      </c>
      <c r="AS716" t="str">
        <f>IF(SUM(ifood_data[[#This Row],[Kidhome]:[Teenhome]])&gt;0,"Has Family","No Family")</f>
        <v>Has Family</v>
      </c>
      <c r="AT716" t="str">
        <f>IF(ifood_data[[#This Row],[marital_Married]]=1,"Married", (IF(ifood_data[[#This Row],[marital_Single]]=1,"Single",(IF(ifood_data[[#This Row],[marital_Divorced]]=1,"Divorced",(IF(ifood_data[[#This Row],[marital_Together]]=1,"Living Together",(IF(ifood_data[[#This Row],[marital_Widow]]=1,"Widow","Other")))))))))</f>
        <v>Living Together</v>
      </c>
      <c r="AU716" t="str">
        <f>IF(ifood_data[[#This Row],[education_Basic]]=1,"High School",(IF(ifood_data[[#This Row],[education_Graduation]]=1,"Undergraduate Degree",(IF(SUM(AM716,AL716,AI716)&gt;0,"Master's Degree or Higher","Other")))))</f>
        <v>Undergraduate Degree</v>
      </c>
      <c r="AV716" t="str">
        <f>IF(ifood_data[[#All],[Income]]&gt;75000,"75K+",(IF(ifood_data[[#All],[Income]]&gt;50000,"50K-75K",(IF(ifood_data[[#All],[Income]]&gt;35000,"35K-50K","&lt;35K")))))</f>
        <v>50K-75K</v>
      </c>
      <c r="AW716" t="str">
        <f>IF(ifood_data[[#All],[Age]]&gt;60,"60+",(IF(ifood_data[[#All],[Age]]&gt;50,"50-60",(IF(ifood_data[[#All],[Age]]&gt;40,"40-50",(IF(ifood_data[[#All],[Age]]&gt;30,"30-40","&lt;30")))))))</f>
        <v>40-50</v>
      </c>
      <c r="AX716">
        <f t="shared" si="44"/>
        <v>30</v>
      </c>
      <c r="AY716">
        <f t="shared" si="45"/>
        <v>9</v>
      </c>
      <c r="AZ716">
        <f t="shared" si="46"/>
        <v>8</v>
      </c>
      <c r="BA716">
        <f t="shared" si="47"/>
        <v>6</v>
      </c>
      <c r="BB716">
        <f>SUM(ifood_data[[#This Row],[Recency Score]:[Monetary Score]])</f>
        <v>23</v>
      </c>
      <c r="BC716">
        <f>(_xlfn.PERCENTRANK.INC(ifood_data[[#All],[RFM]],ifood_data[[#This Row],[RFM]],1))*10</f>
        <v>8</v>
      </c>
      <c r="BD716" t="str">
        <f>VLOOKUP(ifood_data[[#This Row],[RFM Score]],'RFM Analysis'!$A$3:$B$14,2,FALSE)</f>
        <v>Loyal Customer</v>
      </c>
      <c r="BE716">
        <f>'Regression Models'!$B$101+'Regression Models'!$B$102*ifood_data[[#This Row],[Income]]+'Regression Models'!$B$103*ifood_data[[#This Row],[Age]]+'Regression Models'!$B$104*ifood_data[[#This Row],[Family]]</f>
        <v>707.11513295967916</v>
      </c>
      <c r="BF716" t="str">
        <f>IF(ifood_data[[#This Row],[AcceptedCmpOverall]]=1,"Campaign Respondent","Non-respondent")</f>
        <v>Campaign Respondent</v>
      </c>
    </row>
    <row r="717" spans="1:58" x14ac:dyDescent="0.35">
      <c r="A717">
        <v>699</v>
      </c>
      <c r="B717">
        <v>64108</v>
      </c>
      <c r="C717">
        <v>0</v>
      </c>
      <c r="D717">
        <v>1</v>
      </c>
      <c r="E717">
        <v>8</v>
      </c>
      <c r="F717">
        <v>948</v>
      </c>
      <c r="G717">
        <v>10</v>
      </c>
      <c r="H717">
        <v>86</v>
      </c>
      <c r="I717">
        <v>13</v>
      </c>
      <c r="J717">
        <v>21</v>
      </c>
      <c r="K717">
        <v>21</v>
      </c>
      <c r="L717">
        <v>4</v>
      </c>
      <c r="M717">
        <v>6</v>
      </c>
      <c r="N717">
        <v>9</v>
      </c>
      <c r="O717">
        <v>11</v>
      </c>
      <c r="P717">
        <v>5</v>
      </c>
      <c r="Q717">
        <v>0</v>
      </c>
      <c r="R717">
        <v>0</v>
      </c>
      <c r="S717">
        <v>0</v>
      </c>
      <c r="T717">
        <v>0</v>
      </c>
      <c r="U717">
        <v>0</v>
      </c>
      <c r="V717">
        <f>IF(SUM(ifood_data[[#This Row],[AcceptedCmp1]:[AcceptedCmp5]])&gt;0,1,0)</f>
        <v>0</v>
      </c>
      <c r="W717">
        <v>0</v>
      </c>
      <c r="X717">
        <v>3</v>
      </c>
      <c r="Y717">
        <v>11</v>
      </c>
      <c r="Z717">
        <v>0</v>
      </c>
      <c r="AA717">
        <v>67</v>
      </c>
      <c r="AB717">
        <v>2622</v>
      </c>
      <c r="AC717" s="28">
        <f>ifood_data[[#This Row],[Customer_Days]]/365</f>
        <v>7.183561643835616</v>
      </c>
      <c r="AD717">
        <v>0</v>
      </c>
      <c r="AE717">
        <v>0</v>
      </c>
      <c r="AF717">
        <v>1</v>
      </c>
      <c r="AG717">
        <v>0</v>
      </c>
      <c r="AH717">
        <v>0</v>
      </c>
      <c r="AI717">
        <v>0</v>
      </c>
      <c r="AJ717">
        <v>0</v>
      </c>
      <c r="AK717">
        <v>0</v>
      </c>
      <c r="AL717">
        <v>0</v>
      </c>
      <c r="AM717">
        <v>1</v>
      </c>
      <c r="AN717">
        <v>1078</v>
      </c>
      <c r="AO717">
        <v>1057</v>
      </c>
      <c r="AP717">
        <f>ifood_data[[#This Row],[MntTotal]]-ifood_data[[#This Row],[MntRegularProds]]</f>
        <v>21</v>
      </c>
      <c r="AQ717">
        <v>0</v>
      </c>
      <c r="AR717">
        <f>IF(SUM(ifood_data[[#This Row],[Kidhome]:[Teenhome]])&gt;0,1,0)</f>
        <v>1</v>
      </c>
      <c r="AS717" t="str">
        <f>IF(SUM(ifood_data[[#This Row],[Kidhome]:[Teenhome]])&gt;0,"Has Family","No Family")</f>
        <v>Has Family</v>
      </c>
      <c r="AT717" t="str">
        <f>IF(ifood_data[[#This Row],[marital_Married]]=1,"Married", (IF(ifood_data[[#This Row],[marital_Single]]=1,"Single",(IF(ifood_data[[#This Row],[marital_Divorced]]=1,"Divorced",(IF(ifood_data[[#This Row],[marital_Together]]=1,"Living Together",(IF(ifood_data[[#This Row],[marital_Widow]]=1,"Widow","Other")))))))))</f>
        <v>Single</v>
      </c>
      <c r="AU717" t="str">
        <f>IF(ifood_data[[#This Row],[education_Basic]]=1,"High School",(IF(ifood_data[[#This Row],[education_Graduation]]=1,"Undergraduate Degree",(IF(SUM(AM717,AL717,AI717)&gt;0,"Master's Degree or Higher","Other")))))</f>
        <v>Master's Degree or Higher</v>
      </c>
      <c r="AV717" t="str">
        <f>IF(ifood_data[[#All],[Income]]&gt;75000,"75K+",(IF(ifood_data[[#All],[Income]]&gt;50000,"50K-75K",(IF(ifood_data[[#All],[Income]]&gt;35000,"35K-50K","&lt;35K")))))</f>
        <v>50K-75K</v>
      </c>
      <c r="AW717" t="str">
        <f>IF(ifood_data[[#All],[Age]]&gt;60,"60+",(IF(ifood_data[[#All],[Age]]&gt;50,"50-60",(IF(ifood_data[[#All],[Age]]&gt;40,"40-50",(IF(ifood_data[[#All],[Age]]&gt;30,"30-40","&lt;30")))))))</f>
        <v>60+</v>
      </c>
      <c r="AX717">
        <f t="shared" si="44"/>
        <v>35</v>
      </c>
      <c r="AY717">
        <f t="shared" si="45"/>
        <v>10</v>
      </c>
      <c r="AZ717">
        <f t="shared" si="46"/>
        <v>9</v>
      </c>
      <c r="BA717">
        <f t="shared" si="47"/>
        <v>7</v>
      </c>
      <c r="BB717">
        <f>SUM(ifood_data[[#This Row],[Recency Score]:[Monetary Score]])</f>
        <v>26</v>
      </c>
      <c r="BC717">
        <f>(_xlfn.PERCENTRANK.INC(ifood_data[[#All],[RFM]],ifood_data[[#This Row],[RFM]],1))*10</f>
        <v>9</v>
      </c>
      <c r="BD717" t="str">
        <f>VLOOKUP(ifood_data[[#This Row],[RFM Score]],'RFM Analysis'!$A$3:$B$14,2,FALSE)</f>
        <v>Top Customer</v>
      </c>
      <c r="BE717">
        <f>'Regression Models'!$B$101+'Regression Models'!$B$102*ifood_data[[#This Row],[Income]]+'Regression Models'!$B$103*ifood_data[[#This Row],[Age]]+'Regression Models'!$B$104*ifood_data[[#This Row],[Family]]</f>
        <v>706.61284253567192</v>
      </c>
      <c r="BF717" t="str">
        <f>IF(ifood_data[[#This Row],[AcceptedCmpOverall]]=1,"Campaign Respondent","Non-respondent")</f>
        <v>Non-respondent</v>
      </c>
    </row>
    <row r="718" spans="1:58" x14ac:dyDescent="0.35">
      <c r="A718">
        <v>241</v>
      </c>
      <c r="B718">
        <v>63342</v>
      </c>
      <c r="C718">
        <v>0</v>
      </c>
      <c r="D718">
        <v>1</v>
      </c>
      <c r="E718">
        <v>48</v>
      </c>
      <c r="F718">
        <v>918</v>
      </c>
      <c r="G718">
        <v>21</v>
      </c>
      <c r="H718">
        <v>118</v>
      </c>
      <c r="I718">
        <v>13</v>
      </c>
      <c r="J718">
        <v>10</v>
      </c>
      <c r="K718">
        <v>21</v>
      </c>
      <c r="L718">
        <v>3</v>
      </c>
      <c r="M718">
        <v>8</v>
      </c>
      <c r="N718">
        <v>3</v>
      </c>
      <c r="O718">
        <v>5</v>
      </c>
      <c r="P718">
        <v>6</v>
      </c>
      <c r="Q718">
        <v>0</v>
      </c>
      <c r="R718">
        <v>0</v>
      </c>
      <c r="S718">
        <v>0</v>
      </c>
      <c r="T718">
        <v>1</v>
      </c>
      <c r="U718">
        <v>0</v>
      </c>
      <c r="V718">
        <f>IF(SUM(ifood_data[[#This Row],[AcceptedCmp1]:[AcceptedCmp5]])&gt;0,1,0)</f>
        <v>1</v>
      </c>
      <c r="W718">
        <v>0</v>
      </c>
      <c r="X718">
        <v>3</v>
      </c>
      <c r="Y718">
        <v>11</v>
      </c>
      <c r="Z718">
        <v>0</v>
      </c>
      <c r="AA718">
        <v>59</v>
      </c>
      <c r="AB718">
        <v>2780</v>
      </c>
      <c r="AC718" s="28">
        <f>ifood_data[[#This Row],[Customer_Days]]/365</f>
        <v>7.6164383561643838</v>
      </c>
      <c r="AD718">
        <v>0</v>
      </c>
      <c r="AE718">
        <v>0</v>
      </c>
      <c r="AF718">
        <v>0</v>
      </c>
      <c r="AG718">
        <v>1</v>
      </c>
      <c r="AH718">
        <v>0</v>
      </c>
      <c r="AI718">
        <v>0</v>
      </c>
      <c r="AJ718">
        <v>0</v>
      </c>
      <c r="AK718">
        <v>0</v>
      </c>
      <c r="AL718">
        <v>0</v>
      </c>
      <c r="AM718">
        <v>1</v>
      </c>
      <c r="AN718">
        <v>1080</v>
      </c>
      <c r="AO718">
        <v>1059</v>
      </c>
      <c r="AP718">
        <f>ifood_data[[#This Row],[MntTotal]]-ifood_data[[#This Row],[MntRegularProds]]</f>
        <v>21</v>
      </c>
      <c r="AQ718">
        <v>1</v>
      </c>
      <c r="AR718">
        <f>IF(SUM(ifood_data[[#This Row],[Kidhome]:[Teenhome]])&gt;0,1,0)</f>
        <v>1</v>
      </c>
      <c r="AS718" t="str">
        <f>IF(SUM(ifood_data[[#This Row],[Kidhome]:[Teenhome]])&gt;0,"Has Family","No Family")</f>
        <v>Has Family</v>
      </c>
      <c r="AT718" t="str">
        <f>IF(ifood_data[[#This Row],[marital_Married]]=1,"Married", (IF(ifood_data[[#This Row],[marital_Single]]=1,"Single",(IF(ifood_data[[#This Row],[marital_Divorced]]=1,"Divorced",(IF(ifood_data[[#This Row],[marital_Together]]=1,"Living Together",(IF(ifood_data[[#This Row],[marital_Widow]]=1,"Widow","Other")))))))))</f>
        <v>Living Together</v>
      </c>
      <c r="AU718" t="str">
        <f>IF(ifood_data[[#This Row],[education_Basic]]=1,"High School",(IF(ifood_data[[#This Row],[education_Graduation]]=1,"Undergraduate Degree",(IF(SUM(AM718,AL718,AI718)&gt;0,"Master's Degree or Higher","Other")))))</f>
        <v>Master's Degree or Higher</v>
      </c>
      <c r="AV718" t="str">
        <f>IF(ifood_data[[#All],[Income]]&gt;75000,"75K+",(IF(ifood_data[[#All],[Income]]&gt;50000,"50K-75K",(IF(ifood_data[[#All],[Income]]&gt;35000,"35K-50K","&lt;35K")))))</f>
        <v>50K-75K</v>
      </c>
      <c r="AW718" t="str">
        <f>IF(ifood_data[[#All],[Age]]&gt;60,"60+",(IF(ifood_data[[#All],[Age]]&gt;50,"50-60",(IF(ifood_data[[#All],[Age]]&gt;40,"40-50",(IF(ifood_data[[#All],[Age]]&gt;30,"30-40","&lt;30")))))))</f>
        <v>50-60</v>
      </c>
      <c r="AX718">
        <f t="shared" si="44"/>
        <v>25</v>
      </c>
      <c r="AY718">
        <f t="shared" si="45"/>
        <v>6</v>
      </c>
      <c r="AZ718">
        <f t="shared" si="46"/>
        <v>7</v>
      </c>
      <c r="BA718">
        <f t="shared" si="47"/>
        <v>7</v>
      </c>
      <c r="BB718">
        <f>SUM(ifood_data[[#This Row],[Recency Score]:[Monetary Score]])</f>
        <v>20</v>
      </c>
      <c r="BC718">
        <f>(_xlfn.PERCENTRANK.INC(ifood_data[[#All],[RFM]],ifood_data[[#This Row],[RFM]],1))*10</f>
        <v>7</v>
      </c>
      <c r="BD718" t="str">
        <f>VLOOKUP(ifood_data[[#This Row],[RFM Score]],'RFM Analysis'!$A$3:$B$14,2,FALSE)</f>
        <v>Loyal Customer</v>
      </c>
      <c r="BE718">
        <f>'Regression Models'!$B$101+'Regression Models'!$B$102*ifood_data[[#This Row],[Income]]+'Regression Models'!$B$103*ifood_data[[#This Row],[Age]]+'Regression Models'!$B$104*ifood_data[[#This Row],[Family]]</f>
        <v>705.6865587685993</v>
      </c>
      <c r="BF718" t="str">
        <f>IF(ifood_data[[#This Row],[AcceptedCmpOverall]]=1,"Campaign Respondent","Non-respondent")</f>
        <v>Campaign Respondent</v>
      </c>
    </row>
    <row r="719" spans="1:58" x14ac:dyDescent="0.35">
      <c r="A719">
        <v>1609</v>
      </c>
      <c r="B719">
        <v>63342</v>
      </c>
      <c r="C719">
        <v>0</v>
      </c>
      <c r="D719">
        <v>1</v>
      </c>
      <c r="E719">
        <v>48</v>
      </c>
      <c r="F719">
        <v>918</v>
      </c>
      <c r="G719">
        <v>21</v>
      </c>
      <c r="H719">
        <v>118</v>
      </c>
      <c r="I719">
        <v>13</v>
      </c>
      <c r="J719">
        <v>10</v>
      </c>
      <c r="K719">
        <v>21</v>
      </c>
      <c r="L719">
        <v>3</v>
      </c>
      <c r="M719">
        <v>8</v>
      </c>
      <c r="N719">
        <v>3</v>
      </c>
      <c r="O719">
        <v>5</v>
      </c>
      <c r="P719">
        <v>6</v>
      </c>
      <c r="Q719">
        <v>0</v>
      </c>
      <c r="R719">
        <v>0</v>
      </c>
      <c r="S719">
        <v>0</v>
      </c>
      <c r="T719">
        <v>1</v>
      </c>
      <c r="U719">
        <v>0</v>
      </c>
      <c r="V719">
        <f>IF(SUM(ifood_data[[#This Row],[AcceptedCmp1]:[AcceptedCmp5]])&gt;0,1,0)</f>
        <v>1</v>
      </c>
      <c r="W719">
        <v>0</v>
      </c>
      <c r="X719">
        <v>3</v>
      </c>
      <c r="Y719">
        <v>11</v>
      </c>
      <c r="Z719">
        <v>1</v>
      </c>
      <c r="AA719">
        <v>59</v>
      </c>
      <c r="AB719">
        <v>2780</v>
      </c>
      <c r="AC719" s="28">
        <f>ifood_data[[#This Row],[Customer_Days]]/365</f>
        <v>7.6164383561643838</v>
      </c>
      <c r="AD719">
        <v>0</v>
      </c>
      <c r="AE719">
        <v>0</v>
      </c>
      <c r="AF719">
        <v>0</v>
      </c>
      <c r="AG719">
        <v>1</v>
      </c>
      <c r="AH719">
        <v>0</v>
      </c>
      <c r="AI719">
        <v>0</v>
      </c>
      <c r="AJ719">
        <v>0</v>
      </c>
      <c r="AK719">
        <v>0</v>
      </c>
      <c r="AL719">
        <v>0</v>
      </c>
      <c r="AM719">
        <v>1</v>
      </c>
      <c r="AN719">
        <v>1080</v>
      </c>
      <c r="AO719">
        <v>1059</v>
      </c>
      <c r="AP719">
        <f>ifood_data[[#This Row],[MntTotal]]-ifood_data[[#This Row],[MntRegularProds]]</f>
        <v>21</v>
      </c>
      <c r="AQ719">
        <v>1</v>
      </c>
      <c r="AR719">
        <f>IF(SUM(ifood_data[[#This Row],[Kidhome]:[Teenhome]])&gt;0,1,0)</f>
        <v>1</v>
      </c>
      <c r="AS719" t="str">
        <f>IF(SUM(ifood_data[[#This Row],[Kidhome]:[Teenhome]])&gt;0,"Has Family","No Family")</f>
        <v>Has Family</v>
      </c>
      <c r="AT719" t="str">
        <f>IF(ifood_data[[#This Row],[marital_Married]]=1,"Married", (IF(ifood_data[[#This Row],[marital_Single]]=1,"Single",(IF(ifood_data[[#This Row],[marital_Divorced]]=1,"Divorced",(IF(ifood_data[[#This Row],[marital_Together]]=1,"Living Together",(IF(ifood_data[[#This Row],[marital_Widow]]=1,"Widow","Other")))))))))</f>
        <v>Living Together</v>
      </c>
      <c r="AU719" t="str">
        <f>IF(ifood_data[[#This Row],[education_Basic]]=1,"High School",(IF(ifood_data[[#This Row],[education_Graduation]]=1,"Undergraduate Degree",(IF(SUM(AM719,AL719,AI719)&gt;0,"Master's Degree or Higher","Other")))))</f>
        <v>Master's Degree or Higher</v>
      </c>
      <c r="AV719" t="str">
        <f>IF(ifood_data[[#All],[Income]]&gt;75000,"75K+",(IF(ifood_data[[#All],[Income]]&gt;50000,"50K-75K",(IF(ifood_data[[#All],[Income]]&gt;35000,"35K-50K","&lt;35K")))))</f>
        <v>50K-75K</v>
      </c>
      <c r="AW719" t="str">
        <f>IF(ifood_data[[#All],[Age]]&gt;60,"60+",(IF(ifood_data[[#All],[Age]]&gt;50,"50-60",(IF(ifood_data[[#All],[Age]]&gt;40,"40-50",(IF(ifood_data[[#All],[Age]]&gt;30,"30-40","&lt;30")))))))</f>
        <v>50-60</v>
      </c>
      <c r="AX719">
        <f t="shared" si="44"/>
        <v>25</v>
      </c>
      <c r="AY719">
        <f t="shared" si="45"/>
        <v>6</v>
      </c>
      <c r="AZ719">
        <f t="shared" si="46"/>
        <v>7</v>
      </c>
      <c r="BA719">
        <f t="shared" si="47"/>
        <v>7</v>
      </c>
      <c r="BB719">
        <f>SUM(ifood_data[[#This Row],[Recency Score]:[Monetary Score]])</f>
        <v>20</v>
      </c>
      <c r="BC719">
        <f>(_xlfn.PERCENTRANK.INC(ifood_data[[#All],[RFM]],ifood_data[[#This Row],[RFM]],1))*10</f>
        <v>7</v>
      </c>
      <c r="BD719" t="str">
        <f>VLOOKUP(ifood_data[[#This Row],[RFM Score]],'RFM Analysis'!$A$3:$B$14,2,FALSE)</f>
        <v>Loyal Customer</v>
      </c>
      <c r="BE719">
        <f>'Regression Models'!$B$101+'Regression Models'!$B$102*ifood_data[[#This Row],[Income]]+'Regression Models'!$B$103*ifood_data[[#This Row],[Age]]+'Regression Models'!$B$104*ifood_data[[#This Row],[Family]]</f>
        <v>705.6865587685993</v>
      </c>
      <c r="BF719" t="str">
        <f>IF(ifood_data[[#This Row],[AcceptedCmpOverall]]=1,"Campaign Respondent","Non-respondent")</f>
        <v>Campaign Respondent</v>
      </c>
    </row>
    <row r="720" spans="1:58" x14ac:dyDescent="0.35">
      <c r="A720">
        <v>1397</v>
      </c>
      <c r="B720">
        <v>49667</v>
      </c>
      <c r="C720">
        <v>0</v>
      </c>
      <c r="D720">
        <v>0</v>
      </c>
      <c r="E720">
        <v>35</v>
      </c>
      <c r="F720">
        <v>1181</v>
      </c>
      <c r="G720">
        <v>26</v>
      </c>
      <c r="H720">
        <v>120</v>
      </c>
      <c r="I720">
        <v>17</v>
      </c>
      <c r="J720">
        <v>13</v>
      </c>
      <c r="K720">
        <v>39</v>
      </c>
      <c r="L720">
        <v>2</v>
      </c>
      <c r="M720">
        <v>5</v>
      </c>
      <c r="N720">
        <v>10</v>
      </c>
      <c r="O720">
        <v>5</v>
      </c>
      <c r="P720">
        <v>8</v>
      </c>
      <c r="Q720">
        <v>0</v>
      </c>
      <c r="R720">
        <v>0</v>
      </c>
      <c r="S720">
        <v>1</v>
      </c>
      <c r="T720">
        <v>0</v>
      </c>
      <c r="U720">
        <v>0</v>
      </c>
      <c r="V720">
        <f>IF(SUM(ifood_data[[#This Row],[AcceptedCmp1]:[AcceptedCmp5]])&gt;0,1,0)</f>
        <v>1</v>
      </c>
      <c r="W720">
        <v>0</v>
      </c>
      <c r="X720">
        <v>3</v>
      </c>
      <c r="Y720">
        <v>11</v>
      </c>
      <c r="Z720">
        <v>1</v>
      </c>
      <c r="AA720">
        <v>65</v>
      </c>
      <c r="AB720">
        <v>2837</v>
      </c>
      <c r="AC720" s="28">
        <f>ifood_data[[#This Row],[Customer_Days]]/365</f>
        <v>7.7726027397260271</v>
      </c>
      <c r="AD720">
        <v>0</v>
      </c>
      <c r="AE720">
        <v>0</v>
      </c>
      <c r="AF720">
        <v>1</v>
      </c>
      <c r="AG720">
        <v>0</v>
      </c>
      <c r="AH720">
        <v>0</v>
      </c>
      <c r="AI720">
        <v>0</v>
      </c>
      <c r="AJ720">
        <v>0</v>
      </c>
      <c r="AK720">
        <v>0</v>
      </c>
      <c r="AL720">
        <v>0</v>
      </c>
      <c r="AM720">
        <v>1</v>
      </c>
      <c r="AN720">
        <v>1357</v>
      </c>
      <c r="AO720">
        <v>1318</v>
      </c>
      <c r="AP720">
        <f>ifood_data[[#This Row],[MntTotal]]-ifood_data[[#This Row],[MntRegularProds]]</f>
        <v>39</v>
      </c>
      <c r="AQ720">
        <v>1</v>
      </c>
      <c r="AR720">
        <f>IF(SUM(ifood_data[[#This Row],[Kidhome]:[Teenhome]])&gt;0,1,0)</f>
        <v>0</v>
      </c>
      <c r="AS720" t="str">
        <f>IF(SUM(ifood_data[[#This Row],[Kidhome]:[Teenhome]])&gt;0,"Has Family","No Family")</f>
        <v>No Family</v>
      </c>
      <c r="AT720" t="str">
        <f>IF(ifood_data[[#This Row],[marital_Married]]=1,"Married", (IF(ifood_data[[#This Row],[marital_Single]]=1,"Single",(IF(ifood_data[[#This Row],[marital_Divorced]]=1,"Divorced",(IF(ifood_data[[#This Row],[marital_Together]]=1,"Living Together",(IF(ifood_data[[#This Row],[marital_Widow]]=1,"Widow","Other")))))))))</f>
        <v>Single</v>
      </c>
      <c r="AU720" t="str">
        <f>IF(ifood_data[[#This Row],[education_Basic]]=1,"High School",(IF(ifood_data[[#This Row],[education_Graduation]]=1,"Undergraduate Degree",(IF(SUM(AM720,AL720,AI720)&gt;0,"Master's Degree or Higher","Other")))))</f>
        <v>Master's Degree or Higher</v>
      </c>
      <c r="AV720" t="str">
        <f>IF(ifood_data[[#All],[Income]]&gt;75000,"75K+",(IF(ifood_data[[#All],[Income]]&gt;50000,"50K-75K",(IF(ifood_data[[#All],[Income]]&gt;35000,"35K-50K","&lt;35K")))))</f>
        <v>35K-50K</v>
      </c>
      <c r="AW720" t="str">
        <f>IF(ifood_data[[#All],[Age]]&gt;60,"60+",(IF(ifood_data[[#All],[Age]]&gt;50,"50-60",(IF(ifood_data[[#All],[Age]]&gt;40,"40-50",(IF(ifood_data[[#All],[Age]]&gt;30,"30-40","&lt;30")))))))</f>
        <v>60+</v>
      </c>
      <c r="AX720">
        <f t="shared" si="44"/>
        <v>30</v>
      </c>
      <c r="AY720">
        <f t="shared" si="45"/>
        <v>7</v>
      </c>
      <c r="AZ720">
        <f t="shared" si="46"/>
        <v>8</v>
      </c>
      <c r="BA720">
        <f t="shared" si="47"/>
        <v>8</v>
      </c>
      <c r="BB720">
        <f>SUM(ifood_data[[#This Row],[Recency Score]:[Monetary Score]])</f>
        <v>23</v>
      </c>
      <c r="BC720">
        <f>(_xlfn.PERCENTRANK.INC(ifood_data[[#All],[RFM]],ifood_data[[#This Row],[RFM]],1))*10</f>
        <v>8</v>
      </c>
      <c r="BD720" t="str">
        <f>VLOOKUP(ifood_data[[#This Row],[RFM Score]],'RFM Analysis'!$A$3:$B$14,2,FALSE)</f>
        <v>Loyal Customer</v>
      </c>
      <c r="BE720">
        <f>'Regression Models'!$B$101+'Regression Models'!$B$102*ifood_data[[#This Row],[Income]]+'Regression Models'!$B$103*ifood_data[[#This Row],[Age]]+'Regression Models'!$B$104*ifood_data[[#This Row],[Family]]</f>
        <v>705.46515100043177</v>
      </c>
      <c r="BF720" t="str">
        <f>IF(ifood_data[[#This Row],[AcceptedCmpOverall]]=1,"Campaign Respondent","Non-respondent")</f>
        <v>Campaign Respondent</v>
      </c>
    </row>
    <row r="721" spans="1:58" x14ac:dyDescent="0.35">
      <c r="A721">
        <v>365</v>
      </c>
      <c r="B721">
        <v>63381</v>
      </c>
      <c r="C721">
        <v>0</v>
      </c>
      <c r="D721">
        <v>1</v>
      </c>
      <c r="E721">
        <v>78</v>
      </c>
      <c r="F721">
        <v>571</v>
      </c>
      <c r="G721">
        <v>50</v>
      </c>
      <c r="H721">
        <v>142</v>
      </c>
      <c r="I721">
        <v>33</v>
      </c>
      <c r="J721">
        <v>50</v>
      </c>
      <c r="K721">
        <v>159</v>
      </c>
      <c r="L721">
        <v>4</v>
      </c>
      <c r="M721">
        <v>4</v>
      </c>
      <c r="N721">
        <v>5</v>
      </c>
      <c r="O721">
        <v>13</v>
      </c>
      <c r="P721">
        <v>2</v>
      </c>
      <c r="Q721">
        <v>0</v>
      </c>
      <c r="R721">
        <v>0</v>
      </c>
      <c r="S721">
        <v>0</v>
      </c>
      <c r="T721">
        <v>0</v>
      </c>
      <c r="U721">
        <v>0</v>
      </c>
      <c r="V721">
        <f>IF(SUM(ifood_data[[#This Row],[AcceptedCmp1]:[AcceptedCmp5]])&gt;0,1,0)</f>
        <v>0</v>
      </c>
      <c r="W721">
        <v>0</v>
      </c>
      <c r="X721">
        <v>3</v>
      </c>
      <c r="Y721">
        <v>11</v>
      </c>
      <c r="Z721">
        <v>0</v>
      </c>
      <c r="AA721">
        <v>60</v>
      </c>
      <c r="AB721">
        <v>2791</v>
      </c>
      <c r="AC721" s="28">
        <f>ifood_data[[#This Row],[Customer_Days]]/365</f>
        <v>7.646575342465753</v>
      </c>
      <c r="AD721">
        <v>0</v>
      </c>
      <c r="AE721">
        <v>0</v>
      </c>
      <c r="AF721">
        <v>0</v>
      </c>
      <c r="AG721">
        <v>1</v>
      </c>
      <c r="AH721">
        <v>0</v>
      </c>
      <c r="AI721">
        <v>0</v>
      </c>
      <c r="AJ721">
        <v>0</v>
      </c>
      <c r="AK721">
        <v>1</v>
      </c>
      <c r="AL721">
        <v>0</v>
      </c>
      <c r="AM721">
        <v>0</v>
      </c>
      <c r="AN721">
        <v>846</v>
      </c>
      <c r="AO721">
        <v>687</v>
      </c>
      <c r="AP721">
        <f>ifood_data[[#This Row],[MntTotal]]-ifood_data[[#This Row],[MntRegularProds]]</f>
        <v>159</v>
      </c>
      <c r="AQ721">
        <v>0</v>
      </c>
      <c r="AR721">
        <f>IF(SUM(ifood_data[[#This Row],[Kidhome]:[Teenhome]])&gt;0,1,0)</f>
        <v>1</v>
      </c>
      <c r="AS721" t="str">
        <f>IF(SUM(ifood_data[[#This Row],[Kidhome]:[Teenhome]])&gt;0,"Has Family","No Family")</f>
        <v>Has Family</v>
      </c>
      <c r="AT721" t="str">
        <f>IF(ifood_data[[#This Row],[marital_Married]]=1,"Married", (IF(ifood_data[[#This Row],[marital_Single]]=1,"Single",(IF(ifood_data[[#This Row],[marital_Divorced]]=1,"Divorced",(IF(ifood_data[[#This Row],[marital_Together]]=1,"Living Together",(IF(ifood_data[[#This Row],[marital_Widow]]=1,"Widow","Other")))))))))</f>
        <v>Living Together</v>
      </c>
      <c r="AU721" t="str">
        <f>IF(ifood_data[[#This Row],[education_Basic]]=1,"High School",(IF(ifood_data[[#This Row],[education_Graduation]]=1,"Undergraduate Degree",(IF(SUM(AM721,AL721,AI721)&gt;0,"Master's Degree or Higher","Other")))))</f>
        <v>Undergraduate Degree</v>
      </c>
      <c r="AV721" t="str">
        <f>IF(ifood_data[[#All],[Income]]&gt;75000,"75K+",(IF(ifood_data[[#All],[Income]]&gt;50000,"50K-75K",(IF(ifood_data[[#All],[Income]]&gt;35000,"35K-50K","&lt;35K")))))</f>
        <v>50K-75K</v>
      </c>
      <c r="AW721" t="str">
        <f>IF(ifood_data[[#All],[Age]]&gt;60,"60+",(IF(ifood_data[[#All],[Age]]&gt;50,"50-60",(IF(ifood_data[[#All],[Age]]&gt;40,"40-50",(IF(ifood_data[[#All],[Age]]&gt;30,"30-40","&lt;30")))))))</f>
        <v>50-60</v>
      </c>
      <c r="AX721">
        <f t="shared" si="44"/>
        <v>28</v>
      </c>
      <c r="AY721">
        <f t="shared" si="45"/>
        <v>3.0000000000000004</v>
      </c>
      <c r="AZ721">
        <f t="shared" si="46"/>
        <v>8</v>
      </c>
      <c r="BA721">
        <f t="shared" si="47"/>
        <v>6</v>
      </c>
      <c r="BB721">
        <f>SUM(ifood_data[[#This Row],[Recency Score]:[Monetary Score]])</f>
        <v>17</v>
      </c>
      <c r="BC721">
        <f>(_xlfn.PERCENTRANK.INC(ifood_data[[#All],[RFM]],ifood_data[[#This Row],[RFM]],1))*10</f>
        <v>6</v>
      </c>
      <c r="BD721" t="str">
        <f>VLOOKUP(ifood_data[[#This Row],[RFM Score]],'RFM Analysis'!$A$3:$B$14,2,FALSE)</f>
        <v>Promising</v>
      </c>
      <c r="BE721">
        <f>'Regression Models'!$B$101+'Regression Models'!$B$102*ifood_data[[#This Row],[Income]]+'Regression Models'!$B$103*ifood_data[[#This Row],[Age]]+'Regression Models'!$B$104*ifood_data[[#This Row],[Family]]</f>
        <v>704.64528164731701</v>
      </c>
      <c r="BF721" t="str">
        <f>IF(ifood_data[[#This Row],[AcceptedCmpOverall]]=1,"Campaign Respondent","Non-respondent")</f>
        <v>Non-respondent</v>
      </c>
    </row>
    <row r="722" spans="1:58" x14ac:dyDescent="0.35">
      <c r="A722">
        <v>537</v>
      </c>
      <c r="B722">
        <v>62466</v>
      </c>
      <c r="C722">
        <v>0</v>
      </c>
      <c r="D722">
        <v>1</v>
      </c>
      <c r="E722">
        <v>13</v>
      </c>
      <c r="F722">
        <v>129</v>
      </c>
      <c r="G722">
        <v>129</v>
      </c>
      <c r="H722">
        <v>259</v>
      </c>
      <c r="I722">
        <v>168</v>
      </c>
      <c r="J722">
        <v>121</v>
      </c>
      <c r="K722">
        <v>83</v>
      </c>
      <c r="L722">
        <v>5</v>
      </c>
      <c r="M722">
        <v>6</v>
      </c>
      <c r="N722">
        <v>3</v>
      </c>
      <c r="O722">
        <v>12</v>
      </c>
      <c r="P722">
        <v>4</v>
      </c>
      <c r="Q722">
        <v>0</v>
      </c>
      <c r="R722">
        <v>0</v>
      </c>
      <c r="S722">
        <v>0</v>
      </c>
      <c r="T722">
        <v>0</v>
      </c>
      <c r="U722">
        <v>0</v>
      </c>
      <c r="V722">
        <f>IF(SUM(ifood_data[[#This Row],[AcceptedCmp1]:[AcceptedCmp5]])&gt;0,1,0)</f>
        <v>0</v>
      </c>
      <c r="W722">
        <v>0</v>
      </c>
      <c r="X722">
        <v>3</v>
      </c>
      <c r="Y722">
        <v>11</v>
      </c>
      <c r="Z722">
        <v>0</v>
      </c>
      <c r="AA722">
        <v>50</v>
      </c>
      <c r="AB722">
        <v>2324</v>
      </c>
      <c r="AC722" s="28">
        <f>ifood_data[[#This Row],[Customer_Days]]/365</f>
        <v>6.3671232876712329</v>
      </c>
      <c r="AD722">
        <v>0</v>
      </c>
      <c r="AE722">
        <v>1</v>
      </c>
      <c r="AF722">
        <v>0</v>
      </c>
      <c r="AG722">
        <v>0</v>
      </c>
      <c r="AH722">
        <v>0</v>
      </c>
      <c r="AI722">
        <v>1</v>
      </c>
      <c r="AJ722">
        <v>0</v>
      </c>
      <c r="AK722">
        <v>0</v>
      </c>
      <c r="AL722">
        <v>0</v>
      </c>
      <c r="AM722">
        <v>0</v>
      </c>
      <c r="AN722">
        <v>806</v>
      </c>
      <c r="AO722">
        <v>723</v>
      </c>
      <c r="AP722">
        <f>ifood_data[[#This Row],[MntTotal]]-ifood_data[[#This Row],[MntRegularProds]]</f>
        <v>83</v>
      </c>
      <c r="AQ722">
        <v>0</v>
      </c>
      <c r="AR722">
        <f>IF(SUM(ifood_data[[#This Row],[Kidhome]:[Teenhome]])&gt;0,1,0)</f>
        <v>1</v>
      </c>
      <c r="AS722" t="str">
        <f>IF(SUM(ifood_data[[#This Row],[Kidhome]:[Teenhome]])&gt;0,"Has Family","No Family")</f>
        <v>Has Family</v>
      </c>
      <c r="AT722" t="str">
        <f>IF(ifood_data[[#This Row],[marital_Married]]=1,"Married", (IF(ifood_data[[#This Row],[marital_Single]]=1,"Single",(IF(ifood_data[[#This Row],[marital_Divorced]]=1,"Divorced",(IF(ifood_data[[#This Row],[marital_Together]]=1,"Living Together",(IF(ifood_data[[#This Row],[marital_Widow]]=1,"Widow","Other")))))))))</f>
        <v>Married</v>
      </c>
      <c r="AU722" t="str">
        <f>IF(ifood_data[[#This Row],[education_Basic]]=1,"High School",(IF(ifood_data[[#This Row],[education_Graduation]]=1,"Undergraduate Degree",(IF(SUM(AM722,AL722,AI722)&gt;0,"Master's Degree or Higher","Other")))))</f>
        <v>Master's Degree or Higher</v>
      </c>
      <c r="AV722" t="str">
        <f>IF(ifood_data[[#All],[Income]]&gt;75000,"75K+",(IF(ifood_data[[#All],[Income]]&gt;50000,"50K-75K",(IF(ifood_data[[#All],[Income]]&gt;35000,"35K-50K","&lt;35K")))))</f>
        <v>50K-75K</v>
      </c>
      <c r="AW722" t="str">
        <f>IF(ifood_data[[#All],[Age]]&gt;60,"60+",(IF(ifood_data[[#All],[Age]]&gt;50,"50-60",(IF(ifood_data[[#All],[Age]]&gt;40,"40-50",(IF(ifood_data[[#All],[Age]]&gt;30,"30-40","&lt;30")))))))</f>
        <v>40-50</v>
      </c>
      <c r="AX722">
        <f t="shared" si="44"/>
        <v>30</v>
      </c>
      <c r="AY722">
        <f t="shared" si="45"/>
        <v>9</v>
      </c>
      <c r="AZ722">
        <f t="shared" si="46"/>
        <v>8</v>
      </c>
      <c r="BA722">
        <f t="shared" si="47"/>
        <v>6</v>
      </c>
      <c r="BB722">
        <f>SUM(ifood_data[[#This Row],[Recency Score]:[Monetary Score]])</f>
        <v>23</v>
      </c>
      <c r="BC722">
        <f>(_xlfn.PERCENTRANK.INC(ifood_data[[#All],[RFM]],ifood_data[[#This Row],[RFM]],1))*10</f>
        <v>8</v>
      </c>
      <c r="BD722" t="str">
        <f>VLOOKUP(ifood_data[[#This Row],[RFM Score]],'RFM Analysis'!$A$3:$B$14,2,FALSE)</f>
        <v>Loyal Customer</v>
      </c>
      <c r="BE722">
        <f>'Regression Models'!$B$101+'Regression Models'!$B$102*ifood_data[[#This Row],[Income]]+'Regression Models'!$B$103*ifood_data[[#This Row],[Age]]+'Regression Models'!$B$104*ifood_data[[#This Row],[Family]]</f>
        <v>704.35394958459256</v>
      </c>
      <c r="BF722" t="str">
        <f>IF(ifood_data[[#This Row],[AcceptedCmpOverall]]=1,"Campaign Respondent","Non-respondent")</f>
        <v>Non-respondent</v>
      </c>
    </row>
    <row r="723" spans="1:58" x14ac:dyDescent="0.35">
      <c r="A723">
        <v>714</v>
      </c>
      <c r="B723">
        <v>62220</v>
      </c>
      <c r="C723">
        <v>0</v>
      </c>
      <c r="D723">
        <v>1</v>
      </c>
      <c r="E723">
        <v>55</v>
      </c>
      <c r="F723">
        <v>799</v>
      </c>
      <c r="G723">
        <v>12</v>
      </c>
      <c r="H723">
        <v>375</v>
      </c>
      <c r="I723">
        <v>16</v>
      </c>
      <c r="J723">
        <v>12</v>
      </c>
      <c r="K723">
        <v>12</v>
      </c>
      <c r="L723">
        <v>5</v>
      </c>
      <c r="M723">
        <v>7</v>
      </c>
      <c r="N723">
        <v>6</v>
      </c>
      <c r="O723">
        <v>5</v>
      </c>
      <c r="P723">
        <v>6</v>
      </c>
      <c r="Q723">
        <v>0</v>
      </c>
      <c r="R723">
        <v>0</v>
      </c>
      <c r="S723">
        <v>0</v>
      </c>
      <c r="T723">
        <v>0</v>
      </c>
      <c r="U723">
        <v>0</v>
      </c>
      <c r="V723">
        <f>IF(SUM(ifood_data[[#This Row],[AcceptedCmp1]:[AcceptedCmp5]])&gt;0,1,0)</f>
        <v>0</v>
      </c>
      <c r="W723">
        <v>0</v>
      </c>
      <c r="X723">
        <v>3</v>
      </c>
      <c r="Y723">
        <v>11</v>
      </c>
      <c r="Z723">
        <v>1</v>
      </c>
      <c r="AA723">
        <v>48</v>
      </c>
      <c r="AB723">
        <v>2846</v>
      </c>
      <c r="AC723" s="28">
        <f>ifood_data[[#This Row],[Customer_Days]]/365</f>
        <v>7.7972602739726025</v>
      </c>
      <c r="AD723">
        <v>0</v>
      </c>
      <c r="AE723">
        <v>0</v>
      </c>
      <c r="AF723">
        <v>0</v>
      </c>
      <c r="AG723">
        <v>1</v>
      </c>
      <c r="AH723">
        <v>0</v>
      </c>
      <c r="AI723">
        <v>0</v>
      </c>
      <c r="AJ723">
        <v>0</v>
      </c>
      <c r="AK723">
        <v>0</v>
      </c>
      <c r="AL723">
        <v>0</v>
      </c>
      <c r="AM723">
        <v>1</v>
      </c>
      <c r="AN723">
        <v>1214</v>
      </c>
      <c r="AO723">
        <v>1202</v>
      </c>
      <c r="AP723">
        <f>ifood_data[[#This Row],[MntTotal]]-ifood_data[[#This Row],[MntRegularProds]]</f>
        <v>12</v>
      </c>
      <c r="AQ723">
        <v>0</v>
      </c>
      <c r="AR723">
        <f>IF(SUM(ifood_data[[#This Row],[Kidhome]:[Teenhome]])&gt;0,1,0)</f>
        <v>1</v>
      </c>
      <c r="AS723" t="str">
        <f>IF(SUM(ifood_data[[#This Row],[Kidhome]:[Teenhome]])&gt;0,"Has Family","No Family")</f>
        <v>Has Family</v>
      </c>
      <c r="AT723" t="str">
        <f>IF(ifood_data[[#This Row],[marital_Married]]=1,"Married", (IF(ifood_data[[#This Row],[marital_Single]]=1,"Single",(IF(ifood_data[[#This Row],[marital_Divorced]]=1,"Divorced",(IF(ifood_data[[#This Row],[marital_Together]]=1,"Living Together",(IF(ifood_data[[#This Row],[marital_Widow]]=1,"Widow","Other")))))))))</f>
        <v>Living Together</v>
      </c>
      <c r="AU723" t="str">
        <f>IF(ifood_data[[#This Row],[education_Basic]]=1,"High School",(IF(ifood_data[[#This Row],[education_Graduation]]=1,"Undergraduate Degree",(IF(SUM(AM723,AL723,AI723)&gt;0,"Master's Degree or Higher","Other")))))</f>
        <v>Master's Degree or Higher</v>
      </c>
      <c r="AV723" t="str">
        <f>IF(ifood_data[[#All],[Income]]&gt;75000,"75K+",(IF(ifood_data[[#All],[Income]]&gt;50000,"50K-75K",(IF(ifood_data[[#All],[Income]]&gt;35000,"35K-50K","&lt;35K")))))</f>
        <v>50K-75K</v>
      </c>
      <c r="AW723" t="str">
        <f>IF(ifood_data[[#All],[Age]]&gt;60,"60+",(IF(ifood_data[[#All],[Age]]&gt;50,"50-60",(IF(ifood_data[[#All],[Age]]&gt;40,"40-50",(IF(ifood_data[[#All],[Age]]&gt;30,"30-40","&lt;30")))))))</f>
        <v>40-50</v>
      </c>
      <c r="AX723">
        <f t="shared" si="44"/>
        <v>29</v>
      </c>
      <c r="AY723">
        <f t="shared" si="45"/>
        <v>5</v>
      </c>
      <c r="AZ723">
        <f t="shared" si="46"/>
        <v>8</v>
      </c>
      <c r="BA723">
        <f t="shared" si="47"/>
        <v>8</v>
      </c>
      <c r="BB723">
        <f>SUM(ifood_data[[#This Row],[Recency Score]:[Monetary Score]])</f>
        <v>21</v>
      </c>
      <c r="BC723">
        <f>(_xlfn.PERCENTRANK.INC(ifood_data[[#All],[RFM]],ifood_data[[#This Row],[RFM]],1))*10</f>
        <v>8</v>
      </c>
      <c r="BD723" t="str">
        <f>VLOOKUP(ifood_data[[#This Row],[RFM Score]],'RFM Analysis'!$A$3:$B$14,2,FALSE)</f>
        <v>Loyal Customer</v>
      </c>
      <c r="BE723">
        <f>'Regression Models'!$B$101+'Regression Models'!$B$102*ifood_data[[#This Row],[Income]]+'Regression Models'!$B$103*ifood_data[[#This Row],[Age]]+'Regression Models'!$B$104*ifood_data[[#This Row],[Family]]</f>
        <v>703.01119077898193</v>
      </c>
      <c r="BF723" t="str">
        <f>IF(ifood_data[[#This Row],[AcceptedCmpOverall]]=1,"Campaign Respondent","Non-respondent")</f>
        <v>Non-respondent</v>
      </c>
    </row>
    <row r="724" spans="1:58" x14ac:dyDescent="0.35">
      <c r="A724">
        <v>1617</v>
      </c>
      <c r="B724">
        <v>62905</v>
      </c>
      <c r="C724">
        <v>0</v>
      </c>
      <c r="D724">
        <v>1</v>
      </c>
      <c r="E724">
        <v>68</v>
      </c>
      <c r="F724">
        <v>166</v>
      </c>
      <c r="G724">
        <v>75</v>
      </c>
      <c r="H724">
        <v>96</v>
      </c>
      <c r="I724">
        <v>119</v>
      </c>
      <c r="J724">
        <v>107</v>
      </c>
      <c r="K724">
        <v>59</v>
      </c>
      <c r="L724">
        <v>3</v>
      </c>
      <c r="M724">
        <v>7</v>
      </c>
      <c r="N724">
        <v>2</v>
      </c>
      <c r="O724">
        <v>8</v>
      </c>
      <c r="P724">
        <v>4</v>
      </c>
      <c r="Q724">
        <v>0</v>
      </c>
      <c r="R724">
        <v>0</v>
      </c>
      <c r="S724">
        <v>0</v>
      </c>
      <c r="T724">
        <v>0</v>
      </c>
      <c r="U724">
        <v>0</v>
      </c>
      <c r="V724">
        <f>IF(SUM(ifood_data[[#This Row],[AcceptedCmp1]:[AcceptedCmp5]])&gt;0,1,0)</f>
        <v>0</v>
      </c>
      <c r="W724">
        <v>0</v>
      </c>
      <c r="X724">
        <v>3</v>
      </c>
      <c r="Y724">
        <v>11</v>
      </c>
      <c r="Z724">
        <v>0</v>
      </c>
      <c r="AA724">
        <v>56</v>
      </c>
      <c r="AB724">
        <v>2451</v>
      </c>
      <c r="AC724" s="28">
        <f>ifood_data[[#This Row],[Customer_Days]]/365</f>
        <v>6.7150684931506852</v>
      </c>
      <c r="AD724">
        <v>0</v>
      </c>
      <c r="AE724">
        <v>1</v>
      </c>
      <c r="AF724">
        <v>0</v>
      </c>
      <c r="AG724">
        <v>0</v>
      </c>
      <c r="AH724">
        <v>0</v>
      </c>
      <c r="AI724">
        <v>1</v>
      </c>
      <c r="AJ724">
        <v>0</v>
      </c>
      <c r="AK724">
        <v>0</v>
      </c>
      <c r="AL724">
        <v>0</v>
      </c>
      <c r="AM724">
        <v>0</v>
      </c>
      <c r="AN724">
        <v>563</v>
      </c>
      <c r="AO724">
        <v>504</v>
      </c>
      <c r="AP724">
        <f>ifood_data[[#This Row],[MntTotal]]-ifood_data[[#This Row],[MntRegularProds]]</f>
        <v>59</v>
      </c>
      <c r="AQ724">
        <v>0</v>
      </c>
      <c r="AR724">
        <f>IF(SUM(ifood_data[[#This Row],[Kidhome]:[Teenhome]])&gt;0,1,0)</f>
        <v>1</v>
      </c>
      <c r="AS724" t="str">
        <f>IF(SUM(ifood_data[[#This Row],[Kidhome]:[Teenhome]])&gt;0,"Has Family","No Family")</f>
        <v>Has Family</v>
      </c>
      <c r="AT724" t="str">
        <f>IF(ifood_data[[#This Row],[marital_Married]]=1,"Married", (IF(ifood_data[[#This Row],[marital_Single]]=1,"Single",(IF(ifood_data[[#This Row],[marital_Divorced]]=1,"Divorced",(IF(ifood_data[[#This Row],[marital_Together]]=1,"Living Together",(IF(ifood_data[[#This Row],[marital_Widow]]=1,"Widow","Other")))))))))</f>
        <v>Married</v>
      </c>
      <c r="AU724" t="str">
        <f>IF(ifood_data[[#This Row],[education_Basic]]=1,"High School",(IF(ifood_data[[#This Row],[education_Graduation]]=1,"Undergraduate Degree",(IF(SUM(AM724,AL724,AI724)&gt;0,"Master's Degree or Higher","Other")))))</f>
        <v>Master's Degree or Higher</v>
      </c>
      <c r="AV724" t="str">
        <f>IF(ifood_data[[#All],[Income]]&gt;75000,"75K+",(IF(ifood_data[[#All],[Income]]&gt;50000,"50K-75K",(IF(ifood_data[[#All],[Income]]&gt;35000,"35K-50K","&lt;35K")))))</f>
        <v>50K-75K</v>
      </c>
      <c r="AW724" t="str">
        <f>IF(ifood_data[[#All],[Age]]&gt;60,"60+",(IF(ifood_data[[#All],[Age]]&gt;50,"50-60",(IF(ifood_data[[#All],[Age]]&gt;40,"40-50",(IF(ifood_data[[#All],[Age]]&gt;30,"30-40","&lt;30")))))))</f>
        <v>50-60</v>
      </c>
      <c r="AX724">
        <f t="shared" si="44"/>
        <v>24</v>
      </c>
      <c r="AY724">
        <f t="shared" si="45"/>
        <v>4</v>
      </c>
      <c r="AZ724">
        <f t="shared" si="46"/>
        <v>6</v>
      </c>
      <c r="BA724">
        <f t="shared" si="47"/>
        <v>5</v>
      </c>
      <c r="BB724">
        <f>SUM(ifood_data[[#This Row],[Recency Score]:[Monetary Score]])</f>
        <v>15</v>
      </c>
      <c r="BC724">
        <f>(_xlfn.PERCENTRANK.INC(ifood_data[[#All],[RFM]],ifood_data[[#This Row],[RFM]],1))*10</f>
        <v>4</v>
      </c>
      <c r="BD724" t="str">
        <f>VLOOKUP(ifood_data[[#This Row],[RFM Score]],'RFM Analysis'!$A$3:$B$14,2,FALSE)</f>
        <v>At Risk</v>
      </c>
      <c r="BE724">
        <f>'Regression Models'!$B$101+'Regression Models'!$B$102*ifood_data[[#This Row],[Income]]+'Regression Models'!$B$103*ifood_data[[#This Row],[Age]]+'Regression Models'!$B$104*ifood_data[[#This Row],[Family]]</f>
        <v>702.28598432639819</v>
      </c>
      <c r="BF724" t="str">
        <f>IF(ifood_data[[#This Row],[AcceptedCmpOverall]]=1,"Campaign Respondent","Non-respondent")</f>
        <v>Non-respondent</v>
      </c>
    </row>
    <row r="725" spans="1:58" x14ac:dyDescent="0.35">
      <c r="A725">
        <v>257</v>
      </c>
      <c r="B725">
        <v>61905</v>
      </c>
      <c r="C725">
        <v>0</v>
      </c>
      <c r="D725">
        <v>1</v>
      </c>
      <c r="E725">
        <v>2</v>
      </c>
      <c r="F725">
        <v>167</v>
      </c>
      <c r="G725">
        <v>0</v>
      </c>
      <c r="H725">
        <v>43</v>
      </c>
      <c r="I725">
        <v>6</v>
      </c>
      <c r="J725">
        <v>2</v>
      </c>
      <c r="K725">
        <v>13</v>
      </c>
      <c r="L725">
        <v>2</v>
      </c>
      <c r="M725">
        <v>4</v>
      </c>
      <c r="N725">
        <v>2</v>
      </c>
      <c r="O725">
        <v>4</v>
      </c>
      <c r="P725">
        <v>5</v>
      </c>
      <c r="Q725">
        <v>0</v>
      </c>
      <c r="R725">
        <v>0</v>
      </c>
      <c r="S725">
        <v>0</v>
      </c>
      <c r="T725">
        <v>0</v>
      </c>
      <c r="U725">
        <v>0</v>
      </c>
      <c r="V725">
        <f>IF(SUM(ifood_data[[#This Row],[AcceptedCmp1]:[AcceptedCmp5]])&gt;0,1,0)</f>
        <v>0</v>
      </c>
      <c r="W725">
        <v>0</v>
      </c>
      <c r="X725">
        <v>3</v>
      </c>
      <c r="Y725">
        <v>11</v>
      </c>
      <c r="Z725">
        <v>0</v>
      </c>
      <c r="AA725">
        <v>45</v>
      </c>
      <c r="AB725">
        <v>2304</v>
      </c>
      <c r="AC725" s="28">
        <f>ifood_data[[#This Row],[Customer_Days]]/365</f>
        <v>6.3123287671232875</v>
      </c>
      <c r="AD725">
        <v>0</v>
      </c>
      <c r="AE725">
        <v>0</v>
      </c>
      <c r="AF725">
        <v>0</v>
      </c>
      <c r="AG725">
        <v>1</v>
      </c>
      <c r="AH725">
        <v>0</v>
      </c>
      <c r="AI725">
        <v>0</v>
      </c>
      <c r="AJ725">
        <v>0</v>
      </c>
      <c r="AK725">
        <v>0</v>
      </c>
      <c r="AL725">
        <v>0</v>
      </c>
      <c r="AM725">
        <v>1</v>
      </c>
      <c r="AN725">
        <v>218</v>
      </c>
      <c r="AO725">
        <v>205</v>
      </c>
      <c r="AP725">
        <f>ifood_data[[#This Row],[MntTotal]]-ifood_data[[#This Row],[MntRegularProds]]</f>
        <v>13</v>
      </c>
      <c r="AQ725">
        <v>0</v>
      </c>
      <c r="AR725">
        <f>IF(SUM(ifood_data[[#This Row],[Kidhome]:[Teenhome]])&gt;0,1,0)</f>
        <v>1</v>
      </c>
      <c r="AS725" t="str">
        <f>IF(SUM(ifood_data[[#This Row],[Kidhome]:[Teenhome]])&gt;0,"Has Family","No Family")</f>
        <v>Has Family</v>
      </c>
      <c r="AT725" t="str">
        <f>IF(ifood_data[[#This Row],[marital_Married]]=1,"Married", (IF(ifood_data[[#This Row],[marital_Single]]=1,"Single",(IF(ifood_data[[#This Row],[marital_Divorced]]=1,"Divorced",(IF(ifood_data[[#This Row],[marital_Together]]=1,"Living Together",(IF(ifood_data[[#This Row],[marital_Widow]]=1,"Widow","Other")))))))))</f>
        <v>Living Together</v>
      </c>
      <c r="AU725" t="str">
        <f>IF(ifood_data[[#This Row],[education_Basic]]=1,"High School",(IF(ifood_data[[#This Row],[education_Graduation]]=1,"Undergraduate Degree",(IF(SUM(AM725,AL725,AI725)&gt;0,"Master's Degree or Higher","Other")))))</f>
        <v>Master's Degree or Higher</v>
      </c>
      <c r="AV725" t="str">
        <f>IF(ifood_data[[#All],[Income]]&gt;75000,"75K+",(IF(ifood_data[[#All],[Income]]&gt;50000,"50K-75K",(IF(ifood_data[[#All],[Income]]&gt;35000,"35K-50K","&lt;35K")))))</f>
        <v>50K-75K</v>
      </c>
      <c r="AW725" t="str">
        <f>IF(ifood_data[[#All],[Age]]&gt;60,"60+",(IF(ifood_data[[#All],[Age]]&gt;50,"50-60",(IF(ifood_data[[#All],[Age]]&gt;40,"40-50",(IF(ifood_data[[#All],[Age]]&gt;30,"30-40","&lt;30")))))))</f>
        <v>40-50</v>
      </c>
      <c r="AX725">
        <f t="shared" si="44"/>
        <v>17</v>
      </c>
      <c r="AY725">
        <f t="shared" si="45"/>
        <v>10</v>
      </c>
      <c r="AZ725">
        <f t="shared" si="46"/>
        <v>3</v>
      </c>
      <c r="BA725">
        <f t="shared" si="47"/>
        <v>4</v>
      </c>
      <c r="BB725">
        <f>SUM(ifood_data[[#This Row],[Recency Score]:[Monetary Score]])</f>
        <v>17</v>
      </c>
      <c r="BC725">
        <f>(_xlfn.PERCENTRANK.INC(ifood_data[[#All],[RFM]],ifood_data[[#This Row],[RFM]],1))*10</f>
        <v>6</v>
      </c>
      <c r="BD725" t="str">
        <f>VLOOKUP(ifood_data[[#This Row],[RFM Score]],'RFM Analysis'!$A$3:$B$14,2,FALSE)</f>
        <v>Promising</v>
      </c>
      <c r="BE725">
        <f>'Regression Models'!$B$101+'Regression Models'!$B$102*ifood_data[[#This Row],[Income]]+'Regression Models'!$B$103*ifood_data[[#This Row],[Age]]+'Regression Models'!$B$104*ifood_data[[#This Row],[Family]]</f>
        <v>702.09804605033651</v>
      </c>
      <c r="BF725" t="str">
        <f>IF(ifood_data[[#This Row],[AcceptedCmpOverall]]=1,"Campaign Respondent","Non-respondent")</f>
        <v>Non-respondent</v>
      </c>
    </row>
    <row r="726" spans="1:58" x14ac:dyDescent="0.35">
      <c r="A726">
        <v>585</v>
      </c>
      <c r="B726">
        <v>48240</v>
      </c>
      <c r="C726">
        <v>0</v>
      </c>
      <c r="D726">
        <v>0</v>
      </c>
      <c r="E726">
        <v>73</v>
      </c>
      <c r="F726">
        <v>389</v>
      </c>
      <c r="G726">
        <v>91</v>
      </c>
      <c r="H726">
        <v>248</v>
      </c>
      <c r="I726">
        <v>64</v>
      </c>
      <c r="J726">
        <v>49</v>
      </c>
      <c r="K726">
        <v>41</v>
      </c>
      <c r="L726">
        <v>3</v>
      </c>
      <c r="M726">
        <v>6</v>
      </c>
      <c r="N726">
        <v>3</v>
      </c>
      <c r="O726">
        <v>13</v>
      </c>
      <c r="P726">
        <v>5</v>
      </c>
      <c r="Q726">
        <v>0</v>
      </c>
      <c r="R726">
        <v>0</v>
      </c>
      <c r="S726">
        <v>0</v>
      </c>
      <c r="T726">
        <v>0</v>
      </c>
      <c r="U726">
        <v>0</v>
      </c>
      <c r="V726">
        <f>IF(SUM(ifood_data[[#This Row],[AcceptedCmp1]:[AcceptedCmp5]])&gt;0,1,0)</f>
        <v>0</v>
      </c>
      <c r="W726">
        <v>0</v>
      </c>
      <c r="X726">
        <v>3</v>
      </c>
      <c r="Y726">
        <v>11</v>
      </c>
      <c r="Z726">
        <v>1</v>
      </c>
      <c r="AA726">
        <v>51</v>
      </c>
      <c r="AB726">
        <v>2756</v>
      </c>
      <c r="AC726" s="28">
        <f>ifood_data[[#This Row],[Customer_Days]]/365</f>
        <v>7.5506849315068489</v>
      </c>
      <c r="AD726">
        <v>0</v>
      </c>
      <c r="AE726">
        <v>0</v>
      </c>
      <c r="AF726">
        <v>1</v>
      </c>
      <c r="AG726">
        <v>0</v>
      </c>
      <c r="AH726">
        <v>0</v>
      </c>
      <c r="AI726">
        <v>0</v>
      </c>
      <c r="AJ726">
        <v>0</v>
      </c>
      <c r="AK726">
        <v>0</v>
      </c>
      <c r="AL726">
        <v>0</v>
      </c>
      <c r="AM726">
        <v>1</v>
      </c>
      <c r="AN726">
        <v>841</v>
      </c>
      <c r="AO726">
        <v>800</v>
      </c>
      <c r="AP726">
        <f>ifood_data[[#This Row],[MntTotal]]-ifood_data[[#This Row],[MntRegularProds]]</f>
        <v>41</v>
      </c>
      <c r="AQ726">
        <v>0</v>
      </c>
      <c r="AR726">
        <f>IF(SUM(ifood_data[[#This Row],[Kidhome]:[Teenhome]])&gt;0,1,0)</f>
        <v>0</v>
      </c>
      <c r="AS726" t="str">
        <f>IF(SUM(ifood_data[[#This Row],[Kidhome]:[Teenhome]])&gt;0,"Has Family","No Family")</f>
        <v>No Family</v>
      </c>
      <c r="AT726" t="str">
        <f>IF(ifood_data[[#This Row],[marital_Married]]=1,"Married", (IF(ifood_data[[#This Row],[marital_Single]]=1,"Single",(IF(ifood_data[[#This Row],[marital_Divorced]]=1,"Divorced",(IF(ifood_data[[#This Row],[marital_Together]]=1,"Living Together",(IF(ifood_data[[#This Row],[marital_Widow]]=1,"Widow","Other")))))))))</f>
        <v>Single</v>
      </c>
      <c r="AU726" t="str">
        <f>IF(ifood_data[[#This Row],[education_Basic]]=1,"High School",(IF(ifood_data[[#This Row],[education_Graduation]]=1,"Undergraduate Degree",(IF(SUM(AM726,AL726,AI726)&gt;0,"Master's Degree or Higher","Other")))))</f>
        <v>Master's Degree or Higher</v>
      </c>
      <c r="AV726" t="str">
        <f>IF(ifood_data[[#All],[Income]]&gt;75000,"75K+",(IF(ifood_data[[#All],[Income]]&gt;50000,"50K-75K",(IF(ifood_data[[#All],[Income]]&gt;35000,"35K-50K","&lt;35K")))))</f>
        <v>35K-50K</v>
      </c>
      <c r="AW726" t="str">
        <f>IF(ifood_data[[#All],[Age]]&gt;60,"60+",(IF(ifood_data[[#All],[Age]]&gt;50,"50-60",(IF(ifood_data[[#All],[Age]]&gt;40,"40-50",(IF(ifood_data[[#All],[Age]]&gt;30,"30-40","&lt;30")))))))</f>
        <v>50-60</v>
      </c>
      <c r="AX726">
        <f t="shared" si="44"/>
        <v>30</v>
      </c>
      <c r="AY726">
        <f t="shared" si="45"/>
        <v>3.0000000000000004</v>
      </c>
      <c r="AZ726">
        <f t="shared" si="46"/>
        <v>8</v>
      </c>
      <c r="BA726">
        <f t="shared" si="47"/>
        <v>6</v>
      </c>
      <c r="BB726">
        <f>SUM(ifood_data[[#This Row],[Recency Score]:[Monetary Score]])</f>
        <v>17</v>
      </c>
      <c r="BC726">
        <f>(_xlfn.PERCENTRANK.INC(ifood_data[[#All],[RFM]],ifood_data[[#This Row],[RFM]],1))*10</f>
        <v>6</v>
      </c>
      <c r="BD726" t="str">
        <f>VLOOKUP(ifood_data[[#This Row],[RFM Score]],'RFM Analysis'!$A$3:$B$14,2,FALSE)</f>
        <v>Promising</v>
      </c>
      <c r="BE726">
        <f>'Regression Models'!$B$101+'Regression Models'!$B$102*ifood_data[[#This Row],[Income]]+'Regression Models'!$B$103*ifood_data[[#This Row],[Age]]+'Regression Models'!$B$104*ifood_data[[#This Row],[Family]]</f>
        <v>702.0805259636079</v>
      </c>
      <c r="BF726" t="str">
        <f>IF(ifood_data[[#This Row],[AcceptedCmpOverall]]=1,"Campaign Respondent","Non-respondent")</f>
        <v>Non-respondent</v>
      </c>
    </row>
    <row r="727" spans="1:58" x14ac:dyDescent="0.35">
      <c r="A727">
        <v>220</v>
      </c>
      <c r="B727">
        <v>62745</v>
      </c>
      <c r="C727">
        <v>0</v>
      </c>
      <c r="D727">
        <v>1</v>
      </c>
      <c r="E727">
        <v>89</v>
      </c>
      <c r="F727">
        <v>562</v>
      </c>
      <c r="G727">
        <v>21</v>
      </c>
      <c r="H727">
        <v>464</v>
      </c>
      <c r="I727">
        <v>28</v>
      </c>
      <c r="J727">
        <v>10</v>
      </c>
      <c r="K727">
        <v>32</v>
      </c>
      <c r="L727">
        <v>3</v>
      </c>
      <c r="M727">
        <v>7</v>
      </c>
      <c r="N727">
        <v>8</v>
      </c>
      <c r="O727">
        <v>11</v>
      </c>
      <c r="P727">
        <v>5</v>
      </c>
      <c r="Q727">
        <v>0</v>
      </c>
      <c r="R727">
        <v>0</v>
      </c>
      <c r="S727">
        <v>0</v>
      </c>
      <c r="T727">
        <v>0</v>
      </c>
      <c r="U727">
        <v>0</v>
      </c>
      <c r="V727">
        <f>IF(SUM(ifood_data[[#This Row],[AcceptedCmp1]:[AcceptedCmp5]])&gt;0,1,0)</f>
        <v>0</v>
      </c>
      <c r="W727">
        <v>0</v>
      </c>
      <c r="X727">
        <v>3</v>
      </c>
      <c r="Y727">
        <v>11</v>
      </c>
      <c r="Z727">
        <v>0</v>
      </c>
      <c r="AA727">
        <v>55</v>
      </c>
      <c r="AB727">
        <v>2622</v>
      </c>
      <c r="AC727" s="28">
        <f>ifood_data[[#This Row],[Customer_Days]]/365</f>
        <v>7.183561643835616</v>
      </c>
      <c r="AD727">
        <v>0</v>
      </c>
      <c r="AE727">
        <v>1</v>
      </c>
      <c r="AF727">
        <v>0</v>
      </c>
      <c r="AG727">
        <v>0</v>
      </c>
      <c r="AH727">
        <v>0</v>
      </c>
      <c r="AI727">
        <v>0</v>
      </c>
      <c r="AJ727">
        <v>0</v>
      </c>
      <c r="AK727">
        <v>0</v>
      </c>
      <c r="AL727">
        <v>0</v>
      </c>
      <c r="AM727">
        <v>1</v>
      </c>
      <c r="AN727">
        <v>1085</v>
      </c>
      <c r="AO727">
        <v>1053</v>
      </c>
      <c r="AP727">
        <f>ifood_data[[#This Row],[MntTotal]]-ifood_data[[#This Row],[MntRegularProds]]</f>
        <v>32</v>
      </c>
      <c r="AQ727">
        <v>0</v>
      </c>
      <c r="AR727">
        <f>IF(SUM(ifood_data[[#This Row],[Kidhome]:[Teenhome]])&gt;0,1,0)</f>
        <v>1</v>
      </c>
      <c r="AS727" t="str">
        <f>IF(SUM(ifood_data[[#This Row],[Kidhome]:[Teenhome]])&gt;0,"Has Family","No Family")</f>
        <v>Has Family</v>
      </c>
      <c r="AT727" t="str">
        <f>IF(ifood_data[[#This Row],[marital_Married]]=1,"Married", (IF(ifood_data[[#This Row],[marital_Single]]=1,"Single",(IF(ifood_data[[#This Row],[marital_Divorced]]=1,"Divorced",(IF(ifood_data[[#This Row],[marital_Together]]=1,"Living Together",(IF(ifood_data[[#This Row],[marital_Widow]]=1,"Widow","Other")))))))))</f>
        <v>Married</v>
      </c>
      <c r="AU727" t="str">
        <f>IF(ifood_data[[#This Row],[education_Basic]]=1,"High School",(IF(ifood_data[[#This Row],[education_Graduation]]=1,"Undergraduate Degree",(IF(SUM(AM727,AL727,AI727)&gt;0,"Master's Degree or Higher","Other")))))</f>
        <v>Master's Degree or Higher</v>
      </c>
      <c r="AV727" t="str">
        <f>IF(ifood_data[[#All],[Income]]&gt;75000,"75K+",(IF(ifood_data[[#All],[Income]]&gt;50000,"50K-75K",(IF(ifood_data[[#All],[Income]]&gt;35000,"35K-50K","&lt;35K")))))</f>
        <v>50K-75K</v>
      </c>
      <c r="AW727" t="str">
        <f>IF(ifood_data[[#All],[Age]]&gt;60,"60+",(IF(ifood_data[[#All],[Age]]&gt;50,"50-60",(IF(ifood_data[[#All],[Age]]&gt;40,"40-50",(IF(ifood_data[[#All],[Age]]&gt;30,"30-40","&lt;30")))))))</f>
        <v>50-60</v>
      </c>
      <c r="AX727">
        <f t="shared" si="44"/>
        <v>34</v>
      </c>
      <c r="AY727">
        <f t="shared" si="45"/>
        <v>1.9999999999999996</v>
      </c>
      <c r="AZ727">
        <f t="shared" si="46"/>
        <v>9</v>
      </c>
      <c r="BA727">
        <f t="shared" si="47"/>
        <v>7</v>
      </c>
      <c r="BB727">
        <f>SUM(ifood_data[[#This Row],[Recency Score]:[Monetary Score]])</f>
        <v>18</v>
      </c>
      <c r="BC727">
        <f>(_xlfn.PERCENTRANK.INC(ifood_data[[#All],[RFM]],ifood_data[[#This Row],[RFM]],1))*10</f>
        <v>6</v>
      </c>
      <c r="BD727" t="str">
        <f>VLOOKUP(ifood_data[[#This Row],[RFM Score]],'RFM Analysis'!$A$3:$B$14,2,FALSE)</f>
        <v>Promising</v>
      </c>
      <c r="BE727">
        <f>'Regression Models'!$B$101+'Regression Models'!$B$102*ifood_data[[#This Row],[Income]]+'Regression Models'!$B$103*ifood_data[[#This Row],[Age]]+'Regression Models'!$B$104*ifood_data[[#This Row],[Family]]</f>
        <v>700.86022050226893</v>
      </c>
      <c r="BF727" t="str">
        <f>IF(ifood_data[[#This Row],[AcceptedCmpOverall]]=1,"Campaign Respondent","Non-respondent")</f>
        <v>Non-respondent</v>
      </c>
    </row>
    <row r="728" spans="1:58" x14ac:dyDescent="0.35">
      <c r="A728">
        <v>1760</v>
      </c>
      <c r="B728">
        <v>61917</v>
      </c>
      <c r="C728">
        <v>1</v>
      </c>
      <c r="D728">
        <v>1</v>
      </c>
      <c r="E728">
        <v>83</v>
      </c>
      <c r="F728">
        <v>46</v>
      </c>
      <c r="G728">
        <v>4</v>
      </c>
      <c r="H728">
        <v>36</v>
      </c>
      <c r="I728">
        <v>2</v>
      </c>
      <c r="J728">
        <v>2</v>
      </c>
      <c r="K728">
        <v>1</v>
      </c>
      <c r="L728">
        <v>1</v>
      </c>
      <c r="M728">
        <v>2</v>
      </c>
      <c r="N728">
        <v>0</v>
      </c>
      <c r="O728">
        <v>4</v>
      </c>
      <c r="P728">
        <v>5</v>
      </c>
      <c r="Q728">
        <v>0</v>
      </c>
      <c r="R728">
        <v>0</v>
      </c>
      <c r="S728">
        <v>0</v>
      </c>
      <c r="T728">
        <v>0</v>
      </c>
      <c r="U728">
        <v>0</v>
      </c>
      <c r="V728">
        <f>IF(SUM(ifood_data[[#This Row],[AcceptedCmp1]:[AcceptedCmp5]])&gt;0,1,0)</f>
        <v>0</v>
      </c>
      <c r="W728">
        <v>0</v>
      </c>
      <c r="X728">
        <v>3</v>
      </c>
      <c r="Y728">
        <v>11</v>
      </c>
      <c r="Z728">
        <v>0</v>
      </c>
      <c r="AA728">
        <v>46</v>
      </c>
      <c r="AB728">
        <v>2380</v>
      </c>
      <c r="AC728" s="28">
        <f>ifood_data[[#This Row],[Customer_Days]]/365</f>
        <v>6.5205479452054798</v>
      </c>
      <c r="AD728">
        <v>0</v>
      </c>
      <c r="AE728">
        <v>1</v>
      </c>
      <c r="AF728">
        <v>0</v>
      </c>
      <c r="AG728">
        <v>0</v>
      </c>
      <c r="AH728">
        <v>0</v>
      </c>
      <c r="AI728">
        <v>0</v>
      </c>
      <c r="AJ728">
        <v>0</v>
      </c>
      <c r="AK728">
        <v>0</v>
      </c>
      <c r="AL728">
        <v>0</v>
      </c>
      <c r="AM728">
        <v>1</v>
      </c>
      <c r="AN728">
        <v>90</v>
      </c>
      <c r="AO728">
        <v>89</v>
      </c>
      <c r="AP728">
        <f>ifood_data[[#This Row],[MntTotal]]-ifood_data[[#This Row],[MntRegularProds]]</f>
        <v>1</v>
      </c>
      <c r="AQ728">
        <v>0</v>
      </c>
      <c r="AR728">
        <f>IF(SUM(ifood_data[[#This Row],[Kidhome]:[Teenhome]])&gt;0,1,0)</f>
        <v>1</v>
      </c>
      <c r="AS728" t="str">
        <f>IF(SUM(ifood_data[[#This Row],[Kidhome]:[Teenhome]])&gt;0,"Has Family","No Family")</f>
        <v>Has Family</v>
      </c>
      <c r="AT728" t="str">
        <f>IF(ifood_data[[#This Row],[marital_Married]]=1,"Married", (IF(ifood_data[[#This Row],[marital_Single]]=1,"Single",(IF(ifood_data[[#This Row],[marital_Divorced]]=1,"Divorced",(IF(ifood_data[[#This Row],[marital_Together]]=1,"Living Together",(IF(ifood_data[[#This Row],[marital_Widow]]=1,"Widow","Other")))))))))</f>
        <v>Married</v>
      </c>
      <c r="AU728" t="str">
        <f>IF(ifood_data[[#This Row],[education_Basic]]=1,"High School",(IF(ifood_data[[#This Row],[education_Graduation]]=1,"Undergraduate Degree",(IF(SUM(AM728,AL728,AI728)&gt;0,"Master's Degree or Higher","Other")))))</f>
        <v>Master's Degree or Higher</v>
      </c>
      <c r="AV728" t="str">
        <f>IF(ifood_data[[#All],[Income]]&gt;75000,"75K+",(IF(ifood_data[[#All],[Income]]&gt;50000,"50K-75K",(IF(ifood_data[[#All],[Income]]&gt;35000,"35K-50K","&lt;35K")))))</f>
        <v>50K-75K</v>
      </c>
      <c r="AW728" t="str">
        <f>IF(ifood_data[[#All],[Age]]&gt;60,"60+",(IF(ifood_data[[#All],[Age]]&gt;50,"50-60",(IF(ifood_data[[#All],[Age]]&gt;40,"40-50",(IF(ifood_data[[#All],[Age]]&gt;30,"30-40","&lt;30")))))))</f>
        <v>40-50</v>
      </c>
      <c r="AX728">
        <f t="shared" si="44"/>
        <v>12</v>
      </c>
      <c r="AY728">
        <f t="shared" si="45"/>
        <v>1.9999999999999996</v>
      </c>
      <c r="AZ728">
        <f t="shared" si="46"/>
        <v>1</v>
      </c>
      <c r="BA728">
        <f t="shared" si="47"/>
        <v>3</v>
      </c>
      <c r="BB728">
        <f>SUM(ifood_data[[#This Row],[Recency Score]:[Monetary Score]])</f>
        <v>6</v>
      </c>
      <c r="BC728">
        <f>(_xlfn.PERCENTRANK.INC(ifood_data[[#All],[RFM]],ifood_data[[#This Row],[RFM]],1))*10</f>
        <v>0</v>
      </c>
      <c r="BD728" t="str">
        <f>VLOOKUP(ifood_data[[#This Row],[RFM Score]],'RFM Analysis'!$A$3:$B$14,2,FALSE)</f>
        <v>Lost</v>
      </c>
      <c r="BE728">
        <f>'Regression Models'!$B$101+'Regression Models'!$B$102*ifood_data[[#This Row],[Income]]+'Regression Models'!$B$103*ifood_data[[#This Row],[Age]]+'Regression Models'!$B$104*ifood_data[[#This Row],[Family]]</f>
        <v>700.50627218916907</v>
      </c>
      <c r="BF728" t="str">
        <f>IF(ifood_data[[#This Row],[AcceptedCmpOverall]]=1,"Campaign Respondent","Non-respondent")</f>
        <v>Non-respondent</v>
      </c>
    </row>
    <row r="729" spans="1:58" x14ac:dyDescent="0.35">
      <c r="A729">
        <v>1759</v>
      </c>
      <c r="B729">
        <v>62694</v>
      </c>
      <c r="C729">
        <v>1</v>
      </c>
      <c r="D729">
        <v>1</v>
      </c>
      <c r="E729">
        <v>29</v>
      </c>
      <c r="F729">
        <v>379</v>
      </c>
      <c r="G729">
        <v>6</v>
      </c>
      <c r="H729">
        <v>157</v>
      </c>
      <c r="I729">
        <v>25</v>
      </c>
      <c r="J729">
        <v>91</v>
      </c>
      <c r="K729">
        <v>91</v>
      </c>
      <c r="L729">
        <v>5</v>
      </c>
      <c r="M729">
        <v>9</v>
      </c>
      <c r="N729">
        <v>3</v>
      </c>
      <c r="O729">
        <v>7</v>
      </c>
      <c r="P729">
        <v>7</v>
      </c>
      <c r="Q729">
        <v>0</v>
      </c>
      <c r="R729">
        <v>0</v>
      </c>
      <c r="S729">
        <v>0</v>
      </c>
      <c r="T729">
        <v>0</v>
      </c>
      <c r="U729">
        <v>0</v>
      </c>
      <c r="V729">
        <f>IF(SUM(ifood_data[[#This Row],[AcceptedCmp1]:[AcceptedCmp5]])&gt;0,1,0)</f>
        <v>0</v>
      </c>
      <c r="W729">
        <v>0</v>
      </c>
      <c r="X729">
        <v>3</v>
      </c>
      <c r="Y729">
        <v>11</v>
      </c>
      <c r="Z729">
        <v>0</v>
      </c>
      <c r="AA729">
        <v>55</v>
      </c>
      <c r="AB729">
        <v>2536</v>
      </c>
      <c r="AC729" s="28">
        <f>ifood_data[[#This Row],[Customer_Days]]/365</f>
        <v>6.9479452054794519</v>
      </c>
      <c r="AD729">
        <v>0</v>
      </c>
      <c r="AE729">
        <v>1</v>
      </c>
      <c r="AF729">
        <v>0</v>
      </c>
      <c r="AG729">
        <v>0</v>
      </c>
      <c r="AH729">
        <v>0</v>
      </c>
      <c r="AI729">
        <v>0</v>
      </c>
      <c r="AJ729">
        <v>0</v>
      </c>
      <c r="AK729">
        <v>0</v>
      </c>
      <c r="AL729">
        <v>1</v>
      </c>
      <c r="AM729">
        <v>0</v>
      </c>
      <c r="AN729">
        <v>658</v>
      </c>
      <c r="AO729">
        <v>567</v>
      </c>
      <c r="AP729">
        <f>ifood_data[[#This Row],[MntTotal]]-ifood_data[[#This Row],[MntRegularProds]]</f>
        <v>91</v>
      </c>
      <c r="AQ729">
        <v>0</v>
      </c>
      <c r="AR729">
        <f>IF(SUM(ifood_data[[#This Row],[Kidhome]:[Teenhome]])&gt;0,1,0)</f>
        <v>1</v>
      </c>
      <c r="AS729" t="str">
        <f>IF(SUM(ifood_data[[#This Row],[Kidhome]:[Teenhome]])&gt;0,"Has Family","No Family")</f>
        <v>Has Family</v>
      </c>
      <c r="AT729" t="str">
        <f>IF(ifood_data[[#This Row],[marital_Married]]=1,"Married", (IF(ifood_data[[#This Row],[marital_Single]]=1,"Single",(IF(ifood_data[[#This Row],[marital_Divorced]]=1,"Divorced",(IF(ifood_data[[#This Row],[marital_Together]]=1,"Living Together",(IF(ifood_data[[#This Row],[marital_Widow]]=1,"Widow","Other")))))))))</f>
        <v>Married</v>
      </c>
      <c r="AU729" t="str">
        <f>IF(ifood_data[[#This Row],[education_Basic]]=1,"High School",(IF(ifood_data[[#This Row],[education_Graduation]]=1,"Undergraduate Degree",(IF(SUM(AM729,AL729,AI729)&gt;0,"Master's Degree or Higher","Other")))))</f>
        <v>Master's Degree or Higher</v>
      </c>
      <c r="AV729" t="str">
        <f>IF(ifood_data[[#All],[Income]]&gt;75000,"75K+",(IF(ifood_data[[#All],[Income]]&gt;50000,"50K-75K",(IF(ifood_data[[#All],[Income]]&gt;35000,"35K-50K","&lt;35K")))))</f>
        <v>50K-75K</v>
      </c>
      <c r="AW729" t="str">
        <f>IF(ifood_data[[#All],[Age]]&gt;60,"60+",(IF(ifood_data[[#All],[Age]]&gt;50,"50-60",(IF(ifood_data[[#All],[Age]]&gt;40,"40-50",(IF(ifood_data[[#All],[Age]]&gt;30,"30-40","&lt;30")))))))</f>
        <v>50-60</v>
      </c>
      <c r="AX729">
        <f t="shared" si="44"/>
        <v>31</v>
      </c>
      <c r="AY729">
        <f t="shared" si="45"/>
        <v>8</v>
      </c>
      <c r="AZ729">
        <f t="shared" si="46"/>
        <v>9</v>
      </c>
      <c r="BA729">
        <f t="shared" si="47"/>
        <v>6</v>
      </c>
      <c r="BB729">
        <f>SUM(ifood_data[[#This Row],[Recency Score]:[Monetary Score]])</f>
        <v>23</v>
      </c>
      <c r="BC729">
        <f>(_xlfn.PERCENTRANK.INC(ifood_data[[#All],[RFM]],ifood_data[[#This Row],[RFM]],1))*10</f>
        <v>8</v>
      </c>
      <c r="BD729" t="str">
        <f>VLOOKUP(ifood_data[[#This Row],[RFM Score]],'RFM Analysis'!$A$3:$B$14,2,FALSE)</f>
        <v>Loyal Customer</v>
      </c>
      <c r="BE729">
        <f>'Regression Models'!$B$101+'Regression Models'!$B$102*ifood_data[[#This Row],[Income]]+'Regression Models'!$B$103*ifood_data[[#This Row],[Age]]+'Regression Models'!$B$104*ifood_data[[#This Row],[Family]]</f>
        <v>699.82039332693012</v>
      </c>
      <c r="BF729" t="str">
        <f>IF(ifood_data[[#This Row],[AcceptedCmpOverall]]=1,"Campaign Respondent","Non-respondent")</f>
        <v>Non-respondent</v>
      </c>
    </row>
    <row r="730" spans="1:58" x14ac:dyDescent="0.35">
      <c r="A730">
        <v>6</v>
      </c>
      <c r="B730">
        <v>62513</v>
      </c>
      <c r="C730">
        <v>0</v>
      </c>
      <c r="D730">
        <v>1</v>
      </c>
      <c r="E730">
        <v>16</v>
      </c>
      <c r="F730">
        <v>520</v>
      </c>
      <c r="G730">
        <v>42</v>
      </c>
      <c r="H730">
        <v>98</v>
      </c>
      <c r="I730">
        <v>0</v>
      </c>
      <c r="J730">
        <v>42</v>
      </c>
      <c r="K730">
        <v>14</v>
      </c>
      <c r="L730">
        <v>2</v>
      </c>
      <c r="M730">
        <v>6</v>
      </c>
      <c r="N730">
        <v>4</v>
      </c>
      <c r="O730">
        <v>10</v>
      </c>
      <c r="P730">
        <v>6</v>
      </c>
      <c r="Q730">
        <v>0</v>
      </c>
      <c r="R730">
        <v>0</v>
      </c>
      <c r="S730">
        <v>0</v>
      </c>
      <c r="T730">
        <v>0</v>
      </c>
      <c r="U730">
        <v>0</v>
      </c>
      <c r="V730">
        <f>IF(SUM(ifood_data[[#This Row],[AcceptedCmp1]:[AcceptedCmp5]])&gt;0,1,0)</f>
        <v>0</v>
      </c>
      <c r="W730">
        <v>0</v>
      </c>
      <c r="X730">
        <v>3</v>
      </c>
      <c r="Y730">
        <v>11</v>
      </c>
      <c r="Z730">
        <v>0</v>
      </c>
      <c r="AA730">
        <v>53</v>
      </c>
      <c r="AB730">
        <v>2452</v>
      </c>
      <c r="AC730" s="28">
        <f>ifood_data[[#This Row],[Customer_Days]]/365</f>
        <v>6.7178082191780826</v>
      </c>
      <c r="AD730">
        <v>0</v>
      </c>
      <c r="AE730">
        <v>0</v>
      </c>
      <c r="AF730">
        <v>0</v>
      </c>
      <c r="AG730">
        <v>1</v>
      </c>
      <c r="AH730">
        <v>0</v>
      </c>
      <c r="AI730">
        <v>0</v>
      </c>
      <c r="AJ730">
        <v>0</v>
      </c>
      <c r="AK730">
        <v>0</v>
      </c>
      <c r="AL730">
        <v>1</v>
      </c>
      <c r="AM730">
        <v>0</v>
      </c>
      <c r="AN730">
        <v>702</v>
      </c>
      <c r="AO730">
        <v>688</v>
      </c>
      <c r="AP730">
        <f>ifood_data[[#This Row],[MntTotal]]-ifood_data[[#This Row],[MntRegularProds]]</f>
        <v>14</v>
      </c>
      <c r="AQ730">
        <v>0</v>
      </c>
      <c r="AR730">
        <f>IF(SUM(ifood_data[[#This Row],[Kidhome]:[Teenhome]])&gt;0,1,0)</f>
        <v>1</v>
      </c>
      <c r="AS730" t="str">
        <f>IF(SUM(ifood_data[[#This Row],[Kidhome]:[Teenhome]])&gt;0,"Has Family","No Family")</f>
        <v>Has Family</v>
      </c>
      <c r="AT730" t="str">
        <f>IF(ifood_data[[#This Row],[marital_Married]]=1,"Married", (IF(ifood_data[[#This Row],[marital_Single]]=1,"Single",(IF(ifood_data[[#This Row],[marital_Divorced]]=1,"Divorced",(IF(ifood_data[[#This Row],[marital_Together]]=1,"Living Together",(IF(ifood_data[[#This Row],[marital_Widow]]=1,"Widow","Other")))))))))</f>
        <v>Living Together</v>
      </c>
      <c r="AU730" t="str">
        <f>IF(ifood_data[[#This Row],[education_Basic]]=1,"High School",(IF(ifood_data[[#This Row],[education_Graduation]]=1,"Undergraduate Degree",(IF(SUM(AM730,AL730,AI730)&gt;0,"Master's Degree or Higher","Other")))))</f>
        <v>Master's Degree or Higher</v>
      </c>
      <c r="AV730" t="str">
        <f>IF(ifood_data[[#All],[Income]]&gt;75000,"75K+",(IF(ifood_data[[#All],[Income]]&gt;50000,"50K-75K",(IF(ifood_data[[#All],[Income]]&gt;35000,"35K-50K","&lt;35K")))))</f>
        <v>50K-75K</v>
      </c>
      <c r="AW730" t="str">
        <f>IF(ifood_data[[#All],[Age]]&gt;60,"60+",(IF(ifood_data[[#All],[Age]]&gt;50,"50-60",(IF(ifood_data[[#All],[Age]]&gt;40,"40-50",(IF(ifood_data[[#All],[Age]]&gt;30,"30-40","&lt;30")))))))</f>
        <v>50-60</v>
      </c>
      <c r="AX730">
        <f t="shared" si="44"/>
        <v>28</v>
      </c>
      <c r="AY730">
        <f t="shared" si="45"/>
        <v>9</v>
      </c>
      <c r="AZ730">
        <f t="shared" si="46"/>
        <v>8</v>
      </c>
      <c r="BA730">
        <f t="shared" si="47"/>
        <v>6</v>
      </c>
      <c r="BB730">
        <f>SUM(ifood_data[[#This Row],[Recency Score]:[Monetary Score]])</f>
        <v>23</v>
      </c>
      <c r="BC730">
        <f>(_xlfn.PERCENTRANK.INC(ifood_data[[#All],[RFM]],ifood_data[[#This Row],[RFM]],1))*10</f>
        <v>8</v>
      </c>
      <c r="BD730" t="str">
        <f>VLOOKUP(ifood_data[[#This Row],[RFM Score]],'RFM Analysis'!$A$3:$B$14,2,FALSE)</f>
        <v>Loyal Customer</v>
      </c>
      <c r="BE730">
        <f>'Regression Models'!$B$101+'Regression Models'!$B$102*ifood_data[[#This Row],[Income]]+'Regression Models'!$B$103*ifood_data[[#This Row],[Age]]+'Regression Models'!$B$104*ifood_data[[#This Row],[Family]]</f>
        <v>699.80290445067294</v>
      </c>
      <c r="BF730" t="str">
        <f>IF(ifood_data[[#This Row],[AcceptedCmpOverall]]=1,"Campaign Respondent","Non-respondent")</f>
        <v>Non-respondent</v>
      </c>
    </row>
    <row r="731" spans="1:58" x14ac:dyDescent="0.35">
      <c r="A731">
        <v>453</v>
      </c>
      <c r="B731">
        <v>62010</v>
      </c>
      <c r="C731">
        <v>0</v>
      </c>
      <c r="D731">
        <v>1</v>
      </c>
      <c r="E731">
        <v>93</v>
      </c>
      <c r="F731">
        <v>371</v>
      </c>
      <c r="G731">
        <v>22</v>
      </c>
      <c r="H731">
        <v>39</v>
      </c>
      <c r="I731">
        <v>6</v>
      </c>
      <c r="J731">
        <v>0</v>
      </c>
      <c r="K731">
        <v>92</v>
      </c>
      <c r="L731">
        <v>4</v>
      </c>
      <c r="M731">
        <v>6</v>
      </c>
      <c r="N731">
        <v>2</v>
      </c>
      <c r="O731">
        <v>7</v>
      </c>
      <c r="P731">
        <v>5</v>
      </c>
      <c r="Q731">
        <v>0</v>
      </c>
      <c r="R731">
        <v>0</v>
      </c>
      <c r="S731">
        <v>0</v>
      </c>
      <c r="T731">
        <v>0</v>
      </c>
      <c r="U731">
        <v>0</v>
      </c>
      <c r="V731">
        <f>IF(SUM(ifood_data[[#This Row],[AcceptedCmp1]:[AcceptedCmp5]])&gt;0,1,0)</f>
        <v>0</v>
      </c>
      <c r="W731">
        <v>0</v>
      </c>
      <c r="X731">
        <v>3</v>
      </c>
      <c r="Y731">
        <v>11</v>
      </c>
      <c r="Z731">
        <v>0</v>
      </c>
      <c r="AA731">
        <v>48</v>
      </c>
      <c r="AB731">
        <v>2773</v>
      </c>
      <c r="AC731" s="28">
        <f>ifood_data[[#This Row],[Customer_Days]]/365</f>
        <v>7.5972602739726032</v>
      </c>
      <c r="AD731">
        <v>0</v>
      </c>
      <c r="AE731">
        <v>1</v>
      </c>
      <c r="AF731">
        <v>0</v>
      </c>
      <c r="AG731">
        <v>0</v>
      </c>
      <c r="AH731">
        <v>0</v>
      </c>
      <c r="AI731">
        <v>0</v>
      </c>
      <c r="AJ731">
        <v>0</v>
      </c>
      <c r="AK731">
        <v>0</v>
      </c>
      <c r="AL731">
        <v>0</v>
      </c>
      <c r="AM731">
        <v>1</v>
      </c>
      <c r="AN731">
        <v>438</v>
      </c>
      <c r="AO731">
        <v>346</v>
      </c>
      <c r="AP731">
        <f>ifood_data[[#This Row],[MntTotal]]-ifood_data[[#This Row],[MntRegularProds]]</f>
        <v>92</v>
      </c>
      <c r="AQ731">
        <v>0</v>
      </c>
      <c r="AR731">
        <f>IF(SUM(ifood_data[[#This Row],[Kidhome]:[Teenhome]])&gt;0,1,0)</f>
        <v>1</v>
      </c>
      <c r="AS731" t="str">
        <f>IF(SUM(ifood_data[[#This Row],[Kidhome]:[Teenhome]])&gt;0,"Has Family","No Family")</f>
        <v>Has Family</v>
      </c>
      <c r="AT731" t="str">
        <f>IF(ifood_data[[#This Row],[marital_Married]]=1,"Married", (IF(ifood_data[[#This Row],[marital_Single]]=1,"Single",(IF(ifood_data[[#This Row],[marital_Divorced]]=1,"Divorced",(IF(ifood_data[[#This Row],[marital_Together]]=1,"Living Together",(IF(ifood_data[[#This Row],[marital_Widow]]=1,"Widow","Other")))))))))</f>
        <v>Married</v>
      </c>
      <c r="AU731" t="str">
        <f>IF(ifood_data[[#This Row],[education_Basic]]=1,"High School",(IF(ifood_data[[#This Row],[education_Graduation]]=1,"Undergraduate Degree",(IF(SUM(AM731,AL731,AI731)&gt;0,"Master's Degree or Higher","Other")))))</f>
        <v>Master's Degree or Higher</v>
      </c>
      <c r="AV731" t="str">
        <f>IF(ifood_data[[#All],[Income]]&gt;75000,"75K+",(IF(ifood_data[[#All],[Income]]&gt;50000,"50K-75K",(IF(ifood_data[[#All],[Income]]&gt;35000,"35K-50K","&lt;35K")))))</f>
        <v>50K-75K</v>
      </c>
      <c r="AW731" t="str">
        <f>IF(ifood_data[[#All],[Age]]&gt;60,"60+",(IF(ifood_data[[#All],[Age]]&gt;50,"50-60",(IF(ifood_data[[#All],[Age]]&gt;40,"40-50",(IF(ifood_data[[#All],[Age]]&gt;30,"30-40","&lt;30")))))))</f>
        <v>40-50</v>
      </c>
      <c r="AX731">
        <f t="shared" si="44"/>
        <v>24</v>
      </c>
      <c r="AY731">
        <f t="shared" si="45"/>
        <v>0.99999999999999978</v>
      </c>
      <c r="AZ731">
        <f t="shared" si="46"/>
        <v>6</v>
      </c>
      <c r="BA731">
        <f t="shared" si="47"/>
        <v>5</v>
      </c>
      <c r="BB731">
        <f>SUM(ifood_data[[#This Row],[Recency Score]:[Monetary Score]])</f>
        <v>12</v>
      </c>
      <c r="BC731">
        <f>(_xlfn.PERCENTRANK.INC(ifood_data[[#All],[RFM]],ifood_data[[#This Row],[RFM]],1))*10</f>
        <v>3</v>
      </c>
      <c r="BD731" t="str">
        <f>VLOOKUP(ifood_data[[#This Row],[RFM Score]],'RFM Analysis'!$A$3:$B$14,2,FALSE)</f>
        <v>At Risk</v>
      </c>
      <c r="BE731">
        <f>'Regression Models'!$B$101+'Regression Models'!$B$102*ifood_data[[#This Row],[Income]]+'Regression Models'!$B$103*ifood_data[[#This Row],[Age]]+'Regression Models'!$B$104*ifood_data[[#This Row],[Family]]</f>
        <v>698.72954946876325</v>
      </c>
      <c r="BF731" t="str">
        <f>IF(ifood_data[[#This Row],[AcceptedCmpOverall]]=1,"Campaign Respondent","Non-respondent")</f>
        <v>Non-respondent</v>
      </c>
    </row>
    <row r="732" spans="1:58" x14ac:dyDescent="0.35">
      <c r="A732">
        <v>341</v>
      </c>
      <c r="B732">
        <v>62187</v>
      </c>
      <c r="C732">
        <v>0</v>
      </c>
      <c r="D732">
        <v>1</v>
      </c>
      <c r="E732">
        <v>38</v>
      </c>
      <c r="F732">
        <v>512</v>
      </c>
      <c r="G732">
        <v>0</v>
      </c>
      <c r="H732">
        <v>83</v>
      </c>
      <c r="I732">
        <v>0</v>
      </c>
      <c r="J732">
        <v>0</v>
      </c>
      <c r="K732">
        <v>41</v>
      </c>
      <c r="L732">
        <v>3</v>
      </c>
      <c r="M732">
        <v>6</v>
      </c>
      <c r="N732">
        <v>2</v>
      </c>
      <c r="O732">
        <v>10</v>
      </c>
      <c r="P732">
        <v>4</v>
      </c>
      <c r="Q732">
        <v>0</v>
      </c>
      <c r="R732">
        <v>0</v>
      </c>
      <c r="S732">
        <v>0</v>
      </c>
      <c r="T732">
        <v>0</v>
      </c>
      <c r="U732">
        <v>0</v>
      </c>
      <c r="V732">
        <f>IF(SUM(ifood_data[[#This Row],[AcceptedCmp1]:[AcceptedCmp5]])&gt;0,1,0)</f>
        <v>0</v>
      </c>
      <c r="W732">
        <v>0</v>
      </c>
      <c r="X732">
        <v>3</v>
      </c>
      <c r="Y732">
        <v>11</v>
      </c>
      <c r="Z732">
        <v>0</v>
      </c>
      <c r="AA732">
        <v>51</v>
      </c>
      <c r="AB732">
        <v>2258</v>
      </c>
      <c r="AC732" s="28">
        <f>ifood_data[[#This Row],[Customer_Days]]/365</f>
        <v>6.1863013698630134</v>
      </c>
      <c r="AD732">
        <v>0</v>
      </c>
      <c r="AE732">
        <v>0</v>
      </c>
      <c r="AF732">
        <v>0</v>
      </c>
      <c r="AG732">
        <v>0</v>
      </c>
      <c r="AH732">
        <v>1</v>
      </c>
      <c r="AI732">
        <v>0</v>
      </c>
      <c r="AJ732">
        <v>0</v>
      </c>
      <c r="AK732">
        <v>0</v>
      </c>
      <c r="AL732">
        <v>0</v>
      </c>
      <c r="AM732">
        <v>1</v>
      </c>
      <c r="AN732">
        <v>595</v>
      </c>
      <c r="AO732">
        <v>554</v>
      </c>
      <c r="AP732">
        <f>ifood_data[[#This Row],[MntTotal]]-ifood_data[[#This Row],[MntRegularProds]]</f>
        <v>41</v>
      </c>
      <c r="AQ732">
        <v>0</v>
      </c>
      <c r="AR732">
        <f>IF(SUM(ifood_data[[#This Row],[Kidhome]:[Teenhome]])&gt;0,1,0)</f>
        <v>1</v>
      </c>
      <c r="AS732" t="str">
        <f>IF(SUM(ifood_data[[#This Row],[Kidhome]:[Teenhome]])&gt;0,"Has Family","No Family")</f>
        <v>Has Family</v>
      </c>
      <c r="AT732" t="str">
        <f>IF(ifood_data[[#This Row],[marital_Married]]=1,"Married", (IF(ifood_data[[#This Row],[marital_Single]]=1,"Single",(IF(ifood_data[[#This Row],[marital_Divorced]]=1,"Divorced",(IF(ifood_data[[#This Row],[marital_Together]]=1,"Living Together",(IF(ifood_data[[#This Row],[marital_Widow]]=1,"Widow","Other")))))))))</f>
        <v>Widow</v>
      </c>
      <c r="AU732" t="str">
        <f>IF(ifood_data[[#This Row],[education_Basic]]=1,"High School",(IF(ifood_data[[#This Row],[education_Graduation]]=1,"Undergraduate Degree",(IF(SUM(AM732,AL732,AI732)&gt;0,"Master's Degree or Higher","Other")))))</f>
        <v>Master's Degree or Higher</v>
      </c>
      <c r="AV732" t="str">
        <f>IF(ifood_data[[#All],[Income]]&gt;75000,"75K+",(IF(ifood_data[[#All],[Income]]&gt;50000,"50K-75K",(IF(ifood_data[[#All],[Income]]&gt;35000,"35K-50K","&lt;35K")))))</f>
        <v>50K-75K</v>
      </c>
      <c r="AW732" t="str">
        <f>IF(ifood_data[[#All],[Age]]&gt;60,"60+",(IF(ifood_data[[#All],[Age]]&gt;50,"50-60",(IF(ifood_data[[#All],[Age]]&gt;40,"40-50",(IF(ifood_data[[#All],[Age]]&gt;30,"30-40","&lt;30")))))))</f>
        <v>50-60</v>
      </c>
      <c r="AX732">
        <f t="shared" si="44"/>
        <v>25</v>
      </c>
      <c r="AY732">
        <f t="shared" si="45"/>
        <v>7</v>
      </c>
      <c r="AZ732">
        <f t="shared" si="46"/>
        <v>7</v>
      </c>
      <c r="BA732">
        <f t="shared" si="47"/>
        <v>6</v>
      </c>
      <c r="BB732">
        <f>SUM(ifood_data[[#This Row],[Recency Score]:[Monetary Score]])</f>
        <v>20</v>
      </c>
      <c r="BC732">
        <f>(_xlfn.PERCENTRANK.INC(ifood_data[[#All],[RFM]],ifood_data[[#This Row],[RFM]],1))*10</f>
        <v>7</v>
      </c>
      <c r="BD732" t="str">
        <f>VLOOKUP(ifood_data[[#This Row],[RFM Score]],'RFM Analysis'!$A$3:$B$14,2,FALSE)</f>
        <v>Loyal Customer</v>
      </c>
      <c r="BE732">
        <f>'Regression Models'!$B$101+'Regression Models'!$B$102*ifood_data[[#This Row],[Income]]+'Regression Models'!$B$103*ifood_data[[#This Row],[Age]]+'Regression Models'!$B$104*ifood_data[[#This Row],[Family]]</f>
        <v>696.82904419355009</v>
      </c>
      <c r="BF732" t="str">
        <f>IF(ifood_data[[#This Row],[AcceptedCmpOverall]]=1,"Campaign Respondent","Non-respondent")</f>
        <v>Non-respondent</v>
      </c>
    </row>
    <row r="733" spans="1:58" x14ac:dyDescent="0.35">
      <c r="A733">
        <v>828</v>
      </c>
      <c r="B733">
        <v>61346</v>
      </c>
      <c r="C733">
        <v>1</v>
      </c>
      <c r="D733">
        <v>0</v>
      </c>
      <c r="E733">
        <v>34</v>
      </c>
      <c r="F733">
        <v>562</v>
      </c>
      <c r="G733">
        <v>58</v>
      </c>
      <c r="H733">
        <v>168</v>
      </c>
      <c r="I733">
        <v>43</v>
      </c>
      <c r="J733">
        <v>16</v>
      </c>
      <c r="K733">
        <v>142</v>
      </c>
      <c r="L733">
        <v>1</v>
      </c>
      <c r="M733">
        <v>5</v>
      </c>
      <c r="N733">
        <v>7</v>
      </c>
      <c r="O733">
        <v>10</v>
      </c>
      <c r="P733">
        <v>3</v>
      </c>
      <c r="Q733">
        <v>0</v>
      </c>
      <c r="R733">
        <v>0</v>
      </c>
      <c r="S733">
        <v>0</v>
      </c>
      <c r="T733">
        <v>0</v>
      </c>
      <c r="U733">
        <v>0</v>
      </c>
      <c r="V733">
        <f>IF(SUM(ifood_data[[#This Row],[AcceptedCmp1]:[AcceptedCmp5]])&gt;0,1,0)</f>
        <v>0</v>
      </c>
      <c r="W733">
        <v>0</v>
      </c>
      <c r="X733">
        <v>3</v>
      </c>
      <c r="Y733">
        <v>11</v>
      </c>
      <c r="Z733">
        <v>0</v>
      </c>
      <c r="AA733">
        <v>42</v>
      </c>
      <c r="AB733">
        <v>2425</v>
      </c>
      <c r="AC733" s="28">
        <f>ifood_data[[#This Row],[Customer_Days]]/365</f>
        <v>6.6438356164383565</v>
      </c>
      <c r="AD733">
        <v>0</v>
      </c>
      <c r="AE733">
        <v>0</v>
      </c>
      <c r="AF733">
        <v>0</v>
      </c>
      <c r="AG733">
        <v>1</v>
      </c>
      <c r="AH733">
        <v>0</v>
      </c>
      <c r="AI733">
        <v>0</v>
      </c>
      <c r="AJ733">
        <v>0</v>
      </c>
      <c r="AK733">
        <v>0</v>
      </c>
      <c r="AL733">
        <v>1</v>
      </c>
      <c r="AM733">
        <v>0</v>
      </c>
      <c r="AN733">
        <v>847</v>
      </c>
      <c r="AO733">
        <v>705</v>
      </c>
      <c r="AP733">
        <f>ifood_data[[#This Row],[MntTotal]]-ifood_data[[#This Row],[MntRegularProds]]</f>
        <v>142</v>
      </c>
      <c r="AQ733">
        <v>0</v>
      </c>
      <c r="AR733">
        <f>IF(SUM(ifood_data[[#This Row],[Kidhome]:[Teenhome]])&gt;0,1,0)</f>
        <v>1</v>
      </c>
      <c r="AS733" t="str">
        <f>IF(SUM(ifood_data[[#This Row],[Kidhome]:[Teenhome]])&gt;0,"Has Family","No Family")</f>
        <v>Has Family</v>
      </c>
      <c r="AT733" t="str">
        <f>IF(ifood_data[[#This Row],[marital_Married]]=1,"Married", (IF(ifood_data[[#This Row],[marital_Single]]=1,"Single",(IF(ifood_data[[#This Row],[marital_Divorced]]=1,"Divorced",(IF(ifood_data[[#This Row],[marital_Together]]=1,"Living Together",(IF(ifood_data[[#This Row],[marital_Widow]]=1,"Widow","Other")))))))))</f>
        <v>Living Together</v>
      </c>
      <c r="AU733" t="str">
        <f>IF(ifood_data[[#This Row],[education_Basic]]=1,"High School",(IF(ifood_data[[#This Row],[education_Graduation]]=1,"Undergraduate Degree",(IF(SUM(AM733,AL733,AI733)&gt;0,"Master's Degree or Higher","Other")))))</f>
        <v>Master's Degree or Higher</v>
      </c>
      <c r="AV733" t="str">
        <f>IF(ifood_data[[#All],[Income]]&gt;75000,"75K+",(IF(ifood_data[[#All],[Income]]&gt;50000,"50K-75K",(IF(ifood_data[[#All],[Income]]&gt;35000,"35K-50K","&lt;35K")))))</f>
        <v>50K-75K</v>
      </c>
      <c r="AW733" t="str">
        <f>IF(ifood_data[[#All],[Age]]&gt;60,"60+",(IF(ifood_data[[#All],[Age]]&gt;50,"50-60",(IF(ifood_data[[#All],[Age]]&gt;40,"40-50",(IF(ifood_data[[#All],[Age]]&gt;30,"30-40","&lt;30")))))))</f>
        <v>40-50</v>
      </c>
      <c r="AX733">
        <f t="shared" si="44"/>
        <v>26</v>
      </c>
      <c r="AY733">
        <f t="shared" si="45"/>
        <v>7</v>
      </c>
      <c r="AZ733">
        <f t="shared" si="46"/>
        <v>7</v>
      </c>
      <c r="BA733">
        <f t="shared" si="47"/>
        <v>6</v>
      </c>
      <c r="BB733">
        <f>SUM(ifood_data[[#This Row],[Recency Score]:[Monetary Score]])</f>
        <v>20</v>
      </c>
      <c r="BC733">
        <f>(_xlfn.PERCENTRANK.INC(ifood_data[[#All],[RFM]],ifood_data[[#This Row],[RFM]],1))*10</f>
        <v>7</v>
      </c>
      <c r="BD733" t="str">
        <f>VLOOKUP(ifood_data[[#This Row],[RFM Score]],'RFM Analysis'!$A$3:$B$14,2,FALSE)</f>
        <v>Loyal Customer</v>
      </c>
      <c r="BE733">
        <f>'Regression Models'!$B$101+'Regression Models'!$B$102*ifood_data[[#This Row],[Income]]+'Regression Models'!$B$103*ifood_data[[#This Row],[Age]]+'Regression Models'!$B$104*ifood_data[[#This Row],[Family]]</f>
        <v>696.21004189457972</v>
      </c>
      <c r="BF733" t="str">
        <f>IF(ifood_data[[#This Row],[AcceptedCmpOverall]]=1,"Campaign Respondent","Non-respondent")</f>
        <v>Non-respondent</v>
      </c>
    </row>
    <row r="734" spans="1:58" x14ac:dyDescent="0.35">
      <c r="A734">
        <v>1997</v>
      </c>
      <c r="B734">
        <v>61014</v>
      </c>
      <c r="C734">
        <v>0</v>
      </c>
      <c r="D734">
        <v>1</v>
      </c>
      <c r="E734">
        <v>17</v>
      </c>
      <c r="F734">
        <v>269</v>
      </c>
      <c r="G734">
        <v>129</v>
      </c>
      <c r="H734">
        <v>495</v>
      </c>
      <c r="I734">
        <v>182</v>
      </c>
      <c r="J734">
        <v>43</v>
      </c>
      <c r="K734">
        <v>29</v>
      </c>
      <c r="L734">
        <v>4</v>
      </c>
      <c r="M734">
        <v>9</v>
      </c>
      <c r="N734">
        <v>3</v>
      </c>
      <c r="O734">
        <v>4</v>
      </c>
      <c r="P734">
        <v>7</v>
      </c>
      <c r="Q734">
        <v>0</v>
      </c>
      <c r="R734">
        <v>0</v>
      </c>
      <c r="S734">
        <v>0</v>
      </c>
      <c r="T734">
        <v>0</v>
      </c>
      <c r="U734">
        <v>0</v>
      </c>
      <c r="V734">
        <f>IF(SUM(ifood_data[[#This Row],[AcceptedCmp1]:[AcceptedCmp5]])&gt;0,1,0)</f>
        <v>0</v>
      </c>
      <c r="W734">
        <v>0</v>
      </c>
      <c r="X734">
        <v>3</v>
      </c>
      <c r="Y734">
        <v>11</v>
      </c>
      <c r="Z734">
        <v>0</v>
      </c>
      <c r="AA734">
        <v>40</v>
      </c>
      <c r="AB734">
        <v>2846</v>
      </c>
      <c r="AC734" s="28">
        <f>ifood_data[[#This Row],[Customer_Days]]/365</f>
        <v>7.7972602739726025</v>
      </c>
      <c r="AD734">
        <v>0</v>
      </c>
      <c r="AE734">
        <v>1</v>
      </c>
      <c r="AF734">
        <v>0</v>
      </c>
      <c r="AG734">
        <v>0</v>
      </c>
      <c r="AH734">
        <v>0</v>
      </c>
      <c r="AI734">
        <v>0</v>
      </c>
      <c r="AJ734">
        <v>0</v>
      </c>
      <c r="AK734">
        <v>1</v>
      </c>
      <c r="AL734">
        <v>0</v>
      </c>
      <c r="AM734">
        <v>0</v>
      </c>
      <c r="AN734">
        <v>1118</v>
      </c>
      <c r="AO734">
        <v>1089</v>
      </c>
      <c r="AP734">
        <f>ifood_data[[#This Row],[MntTotal]]-ifood_data[[#This Row],[MntRegularProds]]</f>
        <v>29</v>
      </c>
      <c r="AQ734">
        <v>0</v>
      </c>
      <c r="AR734">
        <f>IF(SUM(ifood_data[[#This Row],[Kidhome]:[Teenhome]])&gt;0,1,0)</f>
        <v>1</v>
      </c>
      <c r="AS734" t="str">
        <f>IF(SUM(ifood_data[[#This Row],[Kidhome]:[Teenhome]])&gt;0,"Has Family","No Family")</f>
        <v>Has Family</v>
      </c>
      <c r="AT734" t="str">
        <f>IF(ifood_data[[#This Row],[marital_Married]]=1,"Married", (IF(ifood_data[[#This Row],[marital_Single]]=1,"Single",(IF(ifood_data[[#This Row],[marital_Divorced]]=1,"Divorced",(IF(ifood_data[[#This Row],[marital_Together]]=1,"Living Together",(IF(ifood_data[[#This Row],[marital_Widow]]=1,"Widow","Other")))))))))</f>
        <v>Married</v>
      </c>
      <c r="AU734" t="str">
        <f>IF(ifood_data[[#This Row],[education_Basic]]=1,"High School",(IF(ifood_data[[#This Row],[education_Graduation]]=1,"Undergraduate Degree",(IF(SUM(AM734,AL734,AI734)&gt;0,"Master's Degree or Higher","Other")))))</f>
        <v>Undergraduate Degree</v>
      </c>
      <c r="AV734" t="str">
        <f>IF(ifood_data[[#All],[Income]]&gt;75000,"75K+",(IF(ifood_data[[#All],[Income]]&gt;50000,"50K-75K",(IF(ifood_data[[#All],[Income]]&gt;35000,"35K-50K","&lt;35K")))))</f>
        <v>50K-75K</v>
      </c>
      <c r="AW734" t="str">
        <f>IF(ifood_data[[#All],[Age]]&gt;60,"60+",(IF(ifood_data[[#All],[Age]]&gt;50,"50-60",(IF(ifood_data[[#All],[Age]]&gt;40,"40-50",(IF(ifood_data[[#All],[Age]]&gt;30,"30-40","&lt;30")))))))</f>
        <v>30-40</v>
      </c>
      <c r="AX734">
        <f t="shared" si="44"/>
        <v>27</v>
      </c>
      <c r="AY734">
        <f t="shared" si="45"/>
        <v>9</v>
      </c>
      <c r="AZ734">
        <f t="shared" si="46"/>
        <v>7</v>
      </c>
      <c r="BA734">
        <f t="shared" si="47"/>
        <v>8</v>
      </c>
      <c r="BB734">
        <f>SUM(ifood_data[[#This Row],[Recency Score]:[Monetary Score]])</f>
        <v>24</v>
      </c>
      <c r="BC734">
        <f>(_xlfn.PERCENTRANK.INC(ifood_data[[#All],[RFM]],ifood_data[[#This Row],[RFM]],1))*10</f>
        <v>9</v>
      </c>
      <c r="BD734" t="str">
        <f>VLOOKUP(ifood_data[[#This Row],[RFM Score]],'RFM Analysis'!$A$3:$B$14,2,FALSE)</f>
        <v>Top Customer</v>
      </c>
      <c r="BE734">
        <f>'Regression Models'!$B$101+'Regression Models'!$B$102*ifood_data[[#This Row],[Income]]+'Regression Models'!$B$103*ifood_data[[#This Row],[Age]]+'Regression Models'!$B$104*ifood_data[[#This Row],[Family]]</f>
        <v>693.1138490285939</v>
      </c>
      <c r="BF734" t="str">
        <f>IF(ifood_data[[#This Row],[AcceptedCmpOverall]]=1,"Campaign Respondent","Non-respondent")</f>
        <v>Non-respondent</v>
      </c>
    </row>
    <row r="735" spans="1:58" x14ac:dyDescent="0.35">
      <c r="A735">
        <v>445</v>
      </c>
      <c r="B735">
        <v>61456</v>
      </c>
      <c r="C735">
        <v>0</v>
      </c>
      <c r="D735">
        <v>1</v>
      </c>
      <c r="E735">
        <v>47</v>
      </c>
      <c r="F735">
        <v>563</v>
      </c>
      <c r="G735">
        <v>76</v>
      </c>
      <c r="H735">
        <v>384</v>
      </c>
      <c r="I735">
        <v>84</v>
      </c>
      <c r="J735">
        <v>192</v>
      </c>
      <c r="K735">
        <v>89</v>
      </c>
      <c r="L735">
        <v>4</v>
      </c>
      <c r="M735">
        <v>6</v>
      </c>
      <c r="N735">
        <v>10</v>
      </c>
      <c r="O735">
        <v>13</v>
      </c>
      <c r="P735">
        <v>4</v>
      </c>
      <c r="Q735">
        <v>0</v>
      </c>
      <c r="R735">
        <v>0</v>
      </c>
      <c r="S735">
        <v>0</v>
      </c>
      <c r="T735">
        <v>0</v>
      </c>
      <c r="U735">
        <v>0</v>
      </c>
      <c r="V735">
        <f>IF(SUM(ifood_data[[#This Row],[AcceptedCmp1]:[AcceptedCmp5]])&gt;0,1,0)</f>
        <v>0</v>
      </c>
      <c r="W735">
        <v>0</v>
      </c>
      <c r="X735">
        <v>3</v>
      </c>
      <c r="Y735">
        <v>11</v>
      </c>
      <c r="Z735">
        <v>0</v>
      </c>
      <c r="AA735">
        <v>45</v>
      </c>
      <c r="AB735">
        <v>2618</v>
      </c>
      <c r="AC735" s="28">
        <f>ifood_data[[#This Row],[Customer_Days]]/365</f>
        <v>7.1726027397260275</v>
      </c>
      <c r="AD735">
        <v>0</v>
      </c>
      <c r="AE735">
        <v>1</v>
      </c>
      <c r="AF735">
        <v>0</v>
      </c>
      <c r="AG735">
        <v>0</v>
      </c>
      <c r="AH735">
        <v>0</v>
      </c>
      <c r="AI735">
        <v>0</v>
      </c>
      <c r="AJ735">
        <v>0</v>
      </c>
      <c r="AK735">
        <v>1</v>
      </c>
      <c r="AL735">
        <v>0</v>
      </c>
      <c r="AM735">
        <v>0</v>
      </c>
      <c r="AN735">
        <v>1299</v>
      </c>
      <c r="AO735">
        <v>1210</v>
      </c>
      <c r="AP735">
        <f>ifood_data[[#This Row],[MntTotal]]-ifood_data[[#This Row],[MntRegularProds]]</f>
        <v>89</v>
      </c>
      <c r="AQ735">
        <v>0</v>
      </c>
      <c r="AR735">
        <f>IF(SUM(ifood_data[[#This Row],[Kidhome]:[Teenhome]])&gt;0,1,0)</f>
        <v>1</v>
      </c>
      <c r="AS735" t="str">
        <f>IF(SUM(ifood_data[[#This Row],[Kidhome]:[Teenhome]])&gt;0,"Has Family","No Family")</f>
        <v>Has Family</v>
      </c>
      <c r="AT735" t="str">
        <f>IF(ifood_data[[#This Row],[marital_Married]]=1,"Married", (IF(ifood_data[[#This Row],[marital_Single]]=1,"Single",(IF(ifood_data[[#This Row],[marital_Divorced]]=1,"Divorced",(IF(ifood_data[[#This Row],[marital_Together]]=1,"Living Together",(IF(ifood_data[[#This Row],[marital_Widow]]=1,"Widow","Other")))))))))</f>
        <v>Married</v>
      </c>
      <c r="AU735" t="str">
        <f>IF(ifood_data[[#This Row],[education_Basic]]=1,"High School",(IF(ifood_data[[#This Row],[education_Graduation]]=1,"Undergraduate Degree",(IF(SUM(AM735,AL735,AI735)&gt;0,"Master's Degree or Higher","Other")))))</f>
        <v>Undergraduate Degree</v>
      </c>
      <c r="AV735" t="str">
        <f>IF(ifood_data[[#All],[Income]]&gt;75000,"75K+",(IF(ifood_data[[#All],[Income]]&gt;50000,"50K-75K",(IF(ifood_data[[#All],[Income]]&gt;35000,"35K-50K","&lt;35K")))))</f>
        <v>50K-75K</v>
      </c>
      <c r="AW735" t="str">
        <f>IF(ifood_data[[#All],[Age]]&gt;60,"60+",(IF(ifood_data[[#All],[Age]]&gt;50,"50-60",(IF(ifood_data[[#All],[Age]]&gt;40,"40-50",(IF(ifood_data[[#All],[Age]]&gt;30,"30-40","&lt;30")))))))</f>
        <v>40-50</v>
      </c>
      <c r="AX735">
        <f t="shared" si="44"/>
        <v>37</v>
      </c>
      <c r="AY735">
        <f t="shared" si="45"/>
        <v>6</v>
      </c>
      <c r="AZ735">
        <f t="shared" si="46"/>
        <v>9</v>
      </c>
      <c r="BA735">
        <f t="shared" si="47"/>
        <v>8</v>
      </c>
      <c r="BB735">
        <f>SUM(ifood_data[[#This Row],[Recency Score]:[Monetary Score]])</f>
        <v>23</v>
      </c>
      <c r="BC735">
        <f>(_xlfn.PERCENTRANK.INC(ifood_data[[#All],[RFM]],ifood_data[[#This Row],[RFM]],1))*10</f>
        <v>8</v>
      </c>
      <c r="BD735" t="str">
        <f>VLOOKUP(ifood_data[[#This Row],[RFM Score]],'RFM Analysis'!$A$3:$B$14,2,FALSE)</f>
        <v>Loyal Customer</v>
      </c>
      <c r="BE735">
        <f>'Regression Models'!$B$101+'Regression Models'!$B$102*ifood_data[[#This Row],[Income]]+'Regression Models'!$B$103*ifood_data[[#This Row],[Age]]+'Regression Models'!$B$104*ifood_data[[#This Row],[Family]]</f>
        <v>692.94348915372575</v>
      </c>
      <c r="BF735" t="str">
        <f>IF(ifood_data[[#This Row],[AcceptedCmpOverall]]=1,"Campaign Respondent","Non-respondent")</f>
        <v>Non-respondent</v>
      </c>
    </row>
    <row r="736" spans="1:58" x14ac:dyDescent="0.35">
      <c r="A736">
        <v>574</v>
      </c>
      <c r="B736">
        <v>62807</v>
      </c>
      <c r="C736">
        <v>0</v>
      </c>
      <c r="D736">
        <v>1</v>
      </c>
      <c r="E736">
        <v>83</v>
      </c>
      <c r="F736">
        <v>526</v>
      </c>
      <c r="G736">
        <v>28</v>
      </c>
      <c r="H736">
        <v>135</v>
      </c>
      <c r="I736">
        <v>10</v>
      </c>
      <c r="J736">
        <v>21</v>
      </c>
      <c r="K736">
        <v>99</v>
      </c>
      <c r="L736">
        <v>3</v>
      </c>
      <c r="M736">
        <v>5</v>
      </c>
      <c r="N736">
        <v>3</v>
      </c>
      <c r="O736">
        <v>12</v>
      </c>
      <c r="P736">
        <v>5</v>
      </c>
      <c r="Q736">
        <v>0</v>
      </c>
      <c r="R736">
        <v>0</v>
      </c>
      <c r="S736">
        <v>0</v>
      </c>
      <c r="T736">
        <v>0</v>
      </c>
      <c r="U736">
        <v>0</v>
      </c>
      <c r="V736">
        <f>IF(SUM(ifood_data[[#This Row],[AcceptedCmp1]:[AcceptedCmp5]])&gt;0,1,0)</f>
        <v>0</v>
      </c>
      <c r="W736">
        <v>0</v>
      </c>
      <c r="X736">
        <v>3</v>
      </c>
      <c r="Y736">
        <v>11</v>
      </c>
      <c r="Z736">
        <v>0</v>
      </c>
      <c r="AA736">
        <v>60</v>
      </c>
      <c r="AB736">
        <v>2826</v>
      </c>
      <c r="AC736" s="28">
        <f>ifood_data[[#This Row],[Customer_Days]]/365</f>
        <v>7.7424657534246579</v>
      </c>
      <c r="AD736">
        <v>0</v>
      </c>
      <c r="AE736">
        <v>0</v>
      </c>
      <c r="AF736">
        <v>0</v>
      </c>
      <c r="AG736">
        <v>1</v>
      </c>
      <c r="AH736">
        <v>0</v>
      </c>
      <c r="AI736">
        <v>0</v>
      </c>
      <c r="AJ736">
        <v>0</v>
      </c>
      <c r="AK736">
        <v>1</v>
      </c>
      <c r="AL736">
        <v>0</v>
      </c>
      <c r="AM736">
        <v>0</v>
      </c>
      <c r="AN736">
        <v>720</v>
      </c>
      <c r="AO736">
        <v>621</v>
      </c>
      <c r="AP736">
        <f>ifood_data[[#This Row],[MntTotal]]-ifood_data[[#This Row],[MntRegularProds]]</f>
        <v>99</v>
      </c>
      <c r="AQ736">
        <v>0</v>
      </c>
      <c r="AR736">
        <f>IF(SUM(ifood_data[[#This Row],[Kidhome]:[Teenhome]])&gt;0,1,0)</f>
        <v>1</v>
      </c>
      <c r="AS736" t="str">
        <f>IF(SUM(ifood_data[[#This Row],[Kidhome]:[Teenhome]])&gt;0,"Has Family","No Family")</f>
        <v>Has Family</v>
      </c>
      <c r="AT736" t="str">
        <f>IF(ifood_data[[#This Row],[marital_Married]]=1,"Married", (IF(ifood_data[[#This Row],[marital_Single]]=1,"Single",(IF(ifood_data[[#This Row],[marital_Divorced]]=1,"Divorced",(IF(ifood_data[[#This Row],[marital_Together]]=1,"Living Together",(IF(ifood_data[[#This Row],[marital_Widow]]=1,"Widow","Other")))))))))</f>
        <v>Living Together</v>
      </c>
      <c r="AU736" t="str">
        <f>IF(ifood_data[[#This Row],[education_Basic]]=1,"High School",(IF(ifood_data[[#This Row],[education_Graduation]]=1,"Undergraduate Degree",(IF(SUM(AM736,AL736,AI736)&gt;0,"Master's Degree or Higher","Other")))))</f>
        <v>Undergraduate Degree</v>
      </c>
      <c r="AV736" t="str">
        <f>IF(ifood_data[[#All],[Income]]&gt;75000,"75K+",(IF(ifood_data[[#All],[Income]]&gt;50000,"50K-75K",(IF(ifood_data[[#All],[Income]]&gt;35000,"35K-50K","&lt;35K")))))</f>
        <v>50K-75K</v>
      </c>
      <c r="AW736" t="str">
        <f>IF(ifood_data[[#All],[Age]]&gt;60,"60+",(IF(ifood_data[[#All],[Age]]&gt;50,"50-60",(IF(ifood_data[[#All],[Age]]&gt;40,"40-50",(IF(ifood_data[[#All],[Age]]&gt;30,"30-40","&lt;30")))))))</f>
        <v>50-60</v>
      </c>
      <c r="AX736">
        <f t="shared" si="44"/>
        <v>28</v>
      </c>
      <c r="AY736">
        <f t="shared" si="45"/>
        <v>1.9999999999999996</v>
      </c>
      <c r="AZ736">
        <f t="shared" si="46"/>
        <v>8</v>
      </c>
      <c r="BA736">
        <f t="shared" si="47"/>
        <v>6</v>
      </c>
      <c r="BB736">
        <f>SUM(ifood_data[[#This Row],[Recency Score]:[Monetary Score]])</f>
        <v>16</v>
      </c>
      <c r="BC736">
        <f>(_xlfn.PERCENTRANK.INC(ifood_data[[#All],[RFM]],ifood_data[[#This Row],[RFM]],1))*10</f>
        <v>5</v>
      </c>
      <c r="BD736" t="str">
        <f>VLOOKUP(ifood_data[[#This Row],[RFM Score]],'RFM Analysis'!$A$3:$B$14,2,FALSE)</f>
        <v>Promising</v>
      </c>
      <c r="BE736">
        <f>'Regression Models'!$B$101+'Regression Models'!$B$102*ifood_data[[#This Row],[Income]]+'Regression Models'!$B$103*ifood_data[[#This Row],[Age]]+'Regression Models'!$B$104*ifood_data[[#This Row],[Family]]</f>
        <v>692.94212873271908</v>
      </c>
      <c r="BF736" t="str">
        <f>IF(ifood_data[[#This Row],[AcceptedCmpOverall]]=1,"Campaign Respondent","Non-respondent")</f>
        <v>Non-respondent</v>
      </c>
    </row>
    <row r="737" spans="1:58" x14ac:dyDescent="0.35">
      <c r="A737">
        <v>758</v>
      </c>
      <c r="B737">
        <v>61872</v>
      </c>
      <c r="C737">
        <v>0</v>
      </c>
      <c r="D737">
        <v>1</v>
      </c>
      <c r="E737">
        <v>81</v>
      </c>
      <c r="F737">
        <v>330</v>
      </c>
      <c r="G737">
        <v>5</v>
      </c>
      <c r="H737">
        <v>159</v>
      </c>
      <c r="I737">
        <v>36</v>
      </c>
      <c r="J737">
        <v>27</v>
      </c>
      <c r="K737">
        <v>16</v>
      </c>
      <c r="L737">
        <v>4</v>
      </c>
      <c r="M737">
        <v>4</v>
      </c>
      <c r="N737">
        <v>4</v>
      </c>
      <c r="O737">
        <v>9</v>
      </c>
      <c r="P737">
        <v>4</v>
      </c>
      <c r="Q737">
        <v>0</v>
      </c>
      <c r="R737">
        <v>0</v>
      </c>
      <c r="S737">
        <v>0</v>
      </c>
      <c r="T737">
        <v>0</v>
      </c>
      <c r="U737">
        <v>0</v>
      </c>
      <c r="V737">
        <f>IF(SUM(ifood_data[[#This Row],[AcceptedCmp1]:[AcceptedCmp5]])&gt;0,1,0)</f>
        <v>0</v>
      </c>
      <c r="W737">
        <v>0</v>
      </c>
      <c r="X737">
        <v>3</v>
      </c>
      <c r="Y737">
        <v>11</v>
      </c>
      <c r="Z737">
        <v>0</v>
      </c>
      <c r="AA737">
        <v>50</v>
      </c>
      <c r="AB737">
        <v>2357</v>
      </c>
      <c r="AC737" s="28">
        <f>ifood_data[[#This Row],[Customer_Days]]/365</f>
        <v>6.4575342465753423</v>
      </c>
      <c r="AD737">
        <v>0</v>
      </c>
      <c r="AE737">
        <v>1</v>
      </c>
      <c r="AF737">
        <v>0</v>
      </c>
      <c r="AG737">
        <v>0</v>
      </c>
      <c r="AH737">
        <v>0</v>
      </c>
      <c r="AI737">
        <v>0</v>
      </c>
      <c r="AJ737">
        <v>0</v>
      </c>
      <c r="AK737">
        <v>0</v>
      </c>
      <c r="AL737">
        <v>1</v>
      </c>
      <c r="AM737">
        <v>0</v>
      </c>
      <c r="AN737">
        <v>557</v>
      </c>
      <c r="AO737">
        <v>541</v>
      </c>
      <c r="AP737">
        <f>ifood_data[[#This Row],[MntTotal]]-ifood_data[[#This Row],[MntRegularProds]]</f>
        <v>16</v>
      </c>
      <c r="AQ737">
        <v>0</v>
      </c>
      <c r="AR737">
        <f>IF(SUM(ifood_data[[#This Row],[Kidhome]:[Teenhome]])&gt;0,1,0)</f>
        <v>1</v>
      </c>
      <c r="AS737" t="str">
        <f>IF(SUM(ifood_data[[#This Row],[Kidhome]:[Teenhome]])&gt;0,"Has Family","No Family")</f>
        <v>Has Family</v>
      </c>
      <c r="AT737" t="str">
        <f>IF(ifood_data[[#This Row],[marital_Married]]=1,"Married", (IF(ifood_data[[#This Row],[marital_Single]]=1,"Single",(IF(ifood_data[[#This Row],[marital_Divorced]]=1,"Divorced",(IF(ifood_data[[#This Row],[marital_Together]]=1,"Living Together",(IF(ifood_data[[#This Row],[marital_Widow]]=1,"Widow","Other")))))))))</f>
        <v>Married</v>
      </c>
      <c r="AU737" t="str">
        <f>IF(ifood_data[[#This Row],[education_Basic]]=1,"High School",(IF(ifood_data[[#This Row],[education_Graduation]]=1,"Undergraduate Degree",(IF(SUM(AM737,AL737,AI737)&gt;0,"Master's Degree or Higher","Other")))))</f>
        <v>Master's Degree or Higher</v>
      </c>
      <c r="AV737" t="str">
        <f>IF(ifood_data[[#All],[Income]]&gt;75000,"75K+",(IF(ifood_data[[#All],[Income]]&gt;50000,"50K-75K",(IF(ifood_data[[#All],[Income]]&gt;35000,"35K-50K","&lt;35K")))))</f>
        <v>50K-75K</v>
      </c>
      <c r="AW737" t="str">
        <f>IF(ifood_data[[#All],[Age]]&gt;60,"60+",(IF(ifood_data[[#All],[Age]]&gt;50,"50-60",(IF(ifood_data[[#All],[Age]]&gt;40,"40-50",(IF(ifood_data[[#All],[Age]]&gt;30,"30-40","&lt;30")))))))</f>
        <v>40-50</v>
      </c>
      <c r="AX737">
        <f t="shared" si="44"/>
        <v>25</v>
      </c>
      <c r="AY737">
        <f t="shared" si="45"/>
        <v>1.9999999999999996</v>
      </c>
      <c r="AZ737">
        <f t="shared" si="46"/>
        <v>7</v>
      </c>
      <c r="BA737">
        <f t="shared" si="47"/>
        <v>5</v>
      </c>
      <c r="BB737">
        <f>SUM(ifood_data[[#This Row],[Recency Score]:[Monetary Score]])</f>
        <v>14</v>
      </c>
      <c r="BC737">
        <f>(_xlfn.PERCENTRANK.INC(ifood_data[[#All],[RFM]],ifood_data[[#This Row],[RFM]],1))*10</f>
        <v>4</v>
      </c>
      <c r="BD737" t="str">
        <f>VLOOKUP(ifood_data[[#This Row],[RFM Score]],'RFM Analysis'!$A$3:$B$14,2,FALSE)</f>
        <v>At Risk</v>
      </c>
      <c r="BE737">
        <f>'Regression Models'!$B$101+'Regression Models'!$B$102*ifood_data[[#This Row],[Income]]+'Regression Models'!$B$103*ifood_data[[#This Row],[Age]]+'Regression Models'!$B$104*ifood_data[[#This Row],[Family]]</f>
        <v>692.24302130711658</v>
      </c>
      <c r="BF737" t="str">
        <f>IF(ifood_data[[#This Row],[AcceptedCmpOverall]]=1,"Campaign Respondent","Non-respondent")</f>
        <v>Non-respondent</v>
      </c>
    </row>
    <row r="738" spans="1:58" x14ac:dyDescent="0.35">
      <c r="A738">
        <v>610</v>
      </c>
      <c r="B738">
        <v>62859</v>
      </c>
      <c r="C738">
        <v>0</v>
      </c>
      <c r="D738">
        <v>1</v>
      </c>
      <c r="E738">
        <v>37</v>
      </c>
      <c r="F738">
        <v>1063</v>
      </c>
      <c r="G738">
        <v>89</v>
      </c>
      <c r="H738">
        <v>102</v>
      </c>
      <c r="I738">
        <v>16</v>
      </c>
      <c r="J738">
        <v>12</v>
      </c>
      <c r="K738">
        <v>25</v>
      </c>
      <c r="L738">
        <v>4</v>
      </c>
      <c r="M738">
        <v>9</v>
      </c>
      <c r="N738">
        <v>4</v>
      </c>
      <c r="O738">
        <v>6</v>
      </c>
      <c r="P738">
        <v>6</v>
      </c>
      <c r="Q738">
        <v>0</v>
      </c>
      <c r="R738">
        <v>0</v>
      </c>
      <c r="S738">
        <v>0</v>
      </c>
      <c r="T738">
        <v>0</v>
      </c>
      <c r="U738">
        <v>0</v>
      </c>
      <c r="V738">
        <f>IF(SUM(ifood_data[[#This Row],[AcceptedCmp1]:[AcceptedCmp5]])&gt;0,1,0)</f>
        <v>0</v>
      </c>
      <c r="W738">
        <v>0</v>
      </c>
      <c r="X738">
        <v>3</v>
      </c>
      <c r="Y738">
        <v>11</v>
      </c>
      <c r="Z738">
        <v>0</v>
      </c>
      <c r="AA738">
        <v>61</v>
      </c>
      <c r="AB738">
        <v>2705</v>
      </c>
      <c r="AC738" s="28">
        <f>ifood_data[[#This Row],[Customer_Days]]/365</f>
        <v>7.4109589041095889</v>
      </c>
      <c r="AD738">
        <v>1</v>
      </c>
      <c r="AE738">
        <v>0</v>
      </c>
      <c r="AF738">
        <v>0</v>
      </c>
      <c r="AG738">
        <v>0</v>
      </c>
      <c r="AH738">
        <v>0</v>
      </c>
      <c r="AI738">
        <v>0</v>
      </c>
      <c r="AJ738">
        <v>0</v>
      </c>
      <c r="AK738">
        <v>0</v>
      </c>
      <c r="AL738">
        <v>0</v>
      </c>
      <c r="AM738">
        <v>1</v>
      </c>
      <c r="AN738">
        <v>1282</v>
      </c>
      <c r="AO738">
        <v>1257</v>
      </c>
      <c r="AP738">
        <f>ifood_data[[#This Row],[MntTotal]]-ifood_data[[#This Row],[MntRegularProds]]</f>
        <v>25</v>
      </c>
      <c r="AQ738">
        <v>0</v>
      </c>
      <c r="AR738">
        <f>IF(SUM(ifood_data[[#This Row],[Kidhome]:[Teenhome]])&gt;0,1,0)</f>
        <v>1</v>
      </c>
      <c r="AS738" t="str">
        <f>IF(SUM(ifood_data[[#This Row],[Kidhome]:[Teenhome]])&gt;0,"Has Family","No Family")</f>
        <v>Has Family</v>
      </c>
      <c r="AT738" t="str">
        <f>IF(ifood_data[[#This Row],[marital_Married]]=1,"Married", (IF(ifood_data[[#This Row],[marital_Single]]=1,"Single",(IF(ifood_data[[#This Row],[marital_Divorced]]=1,"Divorced",(IF(ifood_data[[#This Row],[marital_Together]]=1,"Living Together",(IF(ifood_data[[#This Row],[marital_Widow]]=1,"Widow","Other")))))))))</f>
        <v>Divorced</v>
      </c>
      <c r="AU738" t="str">
        <f>IF(ifood_data[[#This Row],[education_Basic]]=1,"High School",(IF(ifood_data[[#This Row],[education_Graduation]]=1,"Undergraduate Degree",(IF(SUM(AM738,AL738,AI738)&gt;0,"Master's Degree or Higher","Other")))))</f>
        <v>Master's Degree or Higher</v>
      </c>
      <c r="AV738" t="str">
        <f>IF(ifood_data[[#All],[Income]]&gt;75000,"75K+",(IF(ifood_data[[#All],[Income]]&gt;50000,"50K-75K",(IF(ifood_data[[#All],[Income]]&gt;35000,"35K-50K","&lt;35K")))))</f>
        <v>50K-75K</v>
      </c>
      <c r="AW738" t="str">
        <f>IF(ifood_data[[#All],[Age]]&gt;60,"60+",(IF(ifood_data[[#All],[Age]]&gt;50,"50-60",(IF(ifood_data[[#All],[Age]]&gt;40,"40-50",(IF(ifood_data[[#All],[Age]]&gt;30,"30-40","&lt;30")))))))</f>
        <v>60+</v>
      </c>
      <c r="AX738">
        <f t="shared" si="44"/>
        <v>29</v>
      </c>
      <c r="AY738">
        <f t="shared" si="45"/>
        <v>7</v>
      </c>
      <c r="AZ738">
        <f t="shared" si="46"/>
        <v>8</v>
      </c>
      <c r="BA738">
        <f t="shared" si="47"/>
        <v>8</v>
      </c>
      <c r="BB738">
        <f>SUM(ifood_data[[#This Row],[Recency Score]:[Monetary Score]])</f>
        <v>23</v>
      </c>
      <c r="BC738">
        <f>(_xlfn.PERCENTRANK.INC(ifood_data[[#All],[RFM]],ifood_data[[#This Row],[RFM]],1))*10</f>
        <v>8</v>
      </c>
      <c r="BD738" t="str">
        <f>VLOOKUP(ifood_data[[#This Row],[RFM Score]],'RFM Analysis'!$A$3:$B$14,2,FALSE)</f>
        <v>Loyal Customer</v>
      </c>
      <c r="BE738">
        <f>'Regression Models'!$B$101+'Regression Models'!$B$102*ifood_data[[#This Row],[Income]]+'Regression Models'!$B$103*ifood_data[[#This Row],[Age]]+'Regression Models'!$B$104*ifood_data[[#This Row],[Family]]</f>
        <v>692.16590559730776</v>
      </c>
      <c r="BF738" t="str">
        <f>IF(ifood_data[[#This Row],[AcceptedCmpOverall]]=1,"Campaign Respondent","Non-respondent")</f>
        <v>Non-respondent</v>
      </c>
    </row>
    <row r="739" spans="1:58" x14ac:dyDescent="0.35">
      <c r="A739">
        <v>1381</v>
      </c>
      <c r="B739">
        <v>64014</v>
      </c>
      <c r="C739">
        <v>2</v>
      </c>
      <c r="D739">
        <v>1</v>
      </c>
      <c r="E739">
        <v>56</v>
      </c>
      <c r="F739">
        <v>406</v>
      </c>
      <c r="G739">
        <v>0</v>
      </c>
      <c r="H739">
        <v>30</v>
      </c>
      <c r="I739">
        <v>0</v>
      </c>
      <c r="J739">
        <v>0</v>
      </c>
      <c r="K739">
        <v>8</v>
      </c>
      <c r="L739">
        <v>7</v>
      </c>
      <c r="M739">
        <v>8</v>
      </c>
      <c r="N739">
        <v>2</v>
      </c>
      <c r="O739">
        <v>5</v>
      </c>
      <c r="P739">
        <v>7</v>
      </c>
      <c r="Q739">
        <v>1</v>
      </c>
      <c r="R739">
        <v>0</v>
      </c>
      <c r="S739">
        <v>0</v>
      </c>
      <c r="T739">
        <v>0</v>
      </c>
      <c r="U739">
        <v>0</v>
      </c>
      <c r="V739">
        <f>IF(SUM(ifood_data[[#This Row],[AcceptedCmp1]:[AcceptedCmp5]])&gt;0,1,0)</f>
        <v>1</v>
      </c>
      <c r="W739">
        <v>0</v>
      </c>
      <c r="X739">
        <v>3</v>
      </c>
      <c r="Y739">
        <v>11</v>
      </c>
      <c r="Z739">
        <v>0</v>
      </c>
      <c r="AA739">
        <v>74</v>
      </c>
      <c r="AB739">
        <v>2178</v>
      </c>
      <c r="AC739" s="28">
        <f>ifood_data[[#This Row],[Customer_Days]]/365</f>
        <v>5.9671232876712326</v>
      </c>
      <c r="AD739">
        <v>0</v>
      </c>
      <c r="AE739">
        <v>0</v>
      </c>
      <c r="AF739">
        <v>0</v>
      </c>
      <c r="AG739">
        <v>1</v>
      </c>
      <c r="AH739">
        <v>0</v>
      </c>
      <c r="AI739">
        <v>0</v>
      </c>
      <c r="AJ739">
        <v>0</v>
      </c>
      <c r="AK739">
        <v>0</v>
      </c>
      <c r="AL739">
        <v>0</v>
      </c>
      <c r="AM739">
        <v>1</v>
      </c>
      <c r="AN739">
        <v>436</v>
      </c>
      <c r="AO739">
        <v>428</v>
      </c>
      <c r="AP739">
        <f>ifood_data[[#This Row],[MntTotal]]-ifood_data[[#This Row],[MntRegularProds]]</f>
        <v>8</v>
      </c>
      <c r="AQ739">
        <v>1</v>
      </c>
      <c r="AR739">
        <f>IF(SUM(ifood_data[[#This Row],[Kidhome]:[Teenhome]])&gt;0,1,0)</f>
        <v>1</v>
      </c>
      <c r="AS739" t="str">
        <f>IF(SUM(ifood_data[[#This Row],[Kidhome]:[Teenhome]])&gt;0,"Has Family","No Family")</f>
        <v>Has Family</v>
      </c>
      <c r="AT739" t="str">
        <f>IF(ifood_data[[#This Row],[marital_Married]]=1,"Married", (IF(ifood_data[[#This Row],[marital_Single]]=1,"Single",(IF(ifood_data[[#This Row],[marital_Divorced]]=1,"Divorced",(IF(ifood_data[[#This Row],[marital_Together]]=1,"Living Together",(IF(ifood_data[[#This Row],[marital_Widow]]=1,"Widow","Other")))))))))</f>
        <v>Living Together</v>
      </c>
      <c r="AU739" t="str">
        <f>IF(ifood_data[[#This Row],[education_Basic]]=1,"High School",(IF(ifood_data[[#This Row],[education_Graduation]]=1,"Undergraduate Degree",(IF(SUM(AM739,AL739,AI739)&gt;0,"Master's Degree or Higher","Other")))))</f>
        <v>Master's Degree or Higher</v>
      </c>
      <c r="AV739" t="str">
        <f>IF(ifood_data[[#All],[Income]]&gt;75000,"75K+",(IF(ifood_data[[#All],[Income]]&gt;50000,"50K-75K",(IF(ifood_data[[#All],[Income]]&gt;35000,"35K-50K","&lt;35K")))))</f>
        <v>50K-75K</v>
      </c>
      <c r="AW739" t="str">
        <f>IF(ifood_data[[#All],[Age]]&gt;60,"60+",(IF(ifood_data[[#All],[Age]]&gt;50,"50-60",(IF(ifood_data[[#All],[Age]]&gt;40,"40-50",(IF(ifood_data[[#All],[Age]]&gt;30,"30-40","&lt;30")))))))</f>
        <v>60+</v>
      </c>
      <c r="AX739">
        <f t="shared" si="44"/>
        <v>29</v>
      </c>
      <c r="AY739">
        <f t="shared" si="45"/>
        <v>5</v>
      </c>
      <c r="AZ739">
        <f t="shared" si="46"/>
        <v>8</v>
      </c>
      <c r="BA739">
        <f t="shared" si="47"/>
        <v>5</v>
      </c>
      <c r="BB739">
        <f>SUM(ifood_data[[#This Row],[Recency Score]:[Monetary Score]])</f>
        <v>18</v>
      </c>
      <c r="BC739">
        <f>(_xlfn.PERCENTRANK.INC(ifood_data[[#All],[RFM]],ifood_data[[#This Row],[RFM]],1))*10</f>
        <v>6</v>
      </c>
      <c r="BD739" t="str">
        <f>VLOOKUP(ifood_data[[#This Row],[RFM Score]],'RFM Analysis'!$A$3:$B$14,2,FALSE)</f>
        <v>Promising</v>
      </c>
      <c r="BE739">
        <f>'Regression Models'!$B$101+'Regression Models'!$B$102*ifood_data[[#This Row],[Income]]+'Regression Models'!$B$103*ifood_data[[#This Row],[Age]]+'Regression Models'!$B$104*ifood_data[[#This Row],[Family]]</f>
        <v>691.84122477788515</v>
      </c>
      <c r="BF739" t="str">
        <f>IF(ifood_data[[#This Row],[AcceptedCmpOverall]]=1,"Campaign Respondent","Non-respondent")</f>
        <v>Campaign Respondent</v>
      </c>
    </row>
    <row r="740" spans="1:58" x14ac:dyDescent="0.35">
      <c r="A740">
        <v>1662</v>
      </c>
      <c r="B740">
        <v>62568</v>
      </c>
      <c r="C740">
        <v>0</v>
      </c>
      <c r="D740">
        <v>1</v>
      </c>
      <c r="E740">
        <v>99</v>
      </c>
      <c r="F740">
        <v>362</v>
      </c>
      <c r="G740">
        <v>17</v>
      </c>
      <c r="H740">
        <v>398</v>
      </c>
      <c r="I740">
        <v>80</v>
      </c>
      <c r="J740">
        <v>35</v>
      </c>
      <c r="K740">
        <v>61</v>
      </c>
      <c r="L740">
        <v>3</v>
      </c>
      <c r="M740">
        <v>5</v>
      </c>
      <c r="N740">
        <v>3</v>
      </c>
      <c r="O740">
        <v>5</v>
      </c>
      <c r="P740">
        <v>4</v>
      </c>
      <c r="Q740">
        <v>1</v>
      </c>
      <c r="R740">
        <v>0</v>
      </c>
      <c r="S740">
        <v>0</v>
      </c>
      <c r="T740">
        <v>0</v>
      </c>
      <c r="U740">
        <v>0</v>
      </c>
      <c r="V740">
        <f>IF(SUM(ifood_data[[#This Row],[AcceptedCmp1]:[AcceptedCmp5]])&gt;0,1,0)</f>
        <v>1</v>
      </c>
      <c r="W740">
        <v>0</v>
      </c>
      <c r="X740">
        <v>3</v>
      </c>
      <c r="Y740">
        <v>11</v>
      </c>
      <c r="Z740">
        <v>0</v>
      </c>
      <c r="AA740">
        <v>58</v>
      </c>
      <c r="AB740">
        <v>2242</v>
      </c>
      <c r="AC740" s="28">
        <f>ifood_data[[#This Row],[Customer_Days]]/365</f>
        <v>6.1424657534246574</v>
      </c>
      <c r="AD740">
        <v>0</v>
      </c>
      <c r="AE740">
        <v>0</v>
      </c>
      <c r="AF740">
        <v>0</v>
      </c>
      <c r="AG740">
        <v>1</v>
      </c>
      <c r="AH740">
        <v>0</v>
      </c>
      <c r="AI740">
        <v>0</v>
      </c>
      <c r="AJ740">
        <v>0</v>
      </c>
      <c r="AK740">
        <v>1</v>
      </c>
      <c r="AL740">
        <v>0</v>
      </c>
      <c r="AM740">
        <v>0</v>
      </c>
      <c r="AN740">
        <v>892</v>
      </c>
      <c r="AO740">
        <v>831</v>
      </c>
      <c r="AP740">
        <f>ifood_data[[#This Row],[MntTotal]]-ifood_data[[#This Row],[MntRegularProds]]</f>
        <v>61</v>
      </c>
      <c r="AQ740">
        <v>1</v>
      </c>
      <c r="AR740">
        <f>IF(SUM(ifood_data[[#This Row],[Kidhome]:[Teenhome]])&gt;0,1,0)</f>
        <v>1</v>
      </c>
      <c r="AS740" t="str">
        <f>IF(SUM(ifood_data[[#This Row],[Kidhome]:[Teenhome]])&gt;0,"Has Family","No Family")</f>
        <v>Has Family</v>
      </c>
      <c r="AT740" t="str">
        <f>IF(ifood_data[[#This Row],[marital_Married]]=1,"Married", (IF(ifood_data[[#This Row],[marital_Single]]=1,"Single",(IF(ifood_data[[#This Row],[marital_Divorced]]=1,"Divorced",(IF(ifood_data[[#This Row],[marital_Together]]=1,"Living Together",(IF(ifood_data[[#This Row],[marital_Widow]]=1,"Widow","Other")))))))))</f>
        <v>Living Together</v>
      </c>
      <c r="AU740" t="str">
        <f>IF(ifood_data[[#This Row],[education_Basic]]=1,"High School",(IF(ifood_data[[#This Row],[education_Graduation]]=1,"Undergraduate Degree",(IF(SUM(AM740,AL740,AI740)&gt;0,"Master's Degree or Higher","Other")))))</f>
        <v>Undergraduate Degree</v>
      </c>
      <c r="AV740" t="str">
        <f>IF(ifood_data[[#All],[Income]]&gt;75000,"75K+",(IF(ifood_data[[#All],[Income]]&gt;50000,"50K-75K",(IF(ifood_data[[#All],[Income]]&gt;35000,"35K-50K","&lt;35K")))))</f>
        <v>50K-75K</v>
      </c>
      <c r="AW740" t="str">
        <f>IF(ifood_data[[#All],[Age]]&gt;60,"60+",(IF(ifood_data[[#All],[Age]]&gt;50,"50-60",(IF(ifood_data[[#All],[Age]]&gt;40,"40-50",(IF(ifood_data[[#All],[Age]]&gt;30,"30-40","&lt;30")))))))</f>
        <v>50-60</v>
      </c>
      <c r="AX740">
        <f t="shared" si="44"/>
        <v>20</v>
      </c>
      <c r="AY740">
        <f t="shared" si="45"/>
        <v>0.99999999999999978</v>
      </c>
      <c r="AZ740">
        <f t="shared" si="46"/>
        <v>4</v>
      </c>
      <c r="BA740">
        <f t="shared" si="47"/>
        <v>7</v>
      </c>
      <c r="BB740">
        <f>SUM(ifood_data[[#This Row],[Recency Score]:[Monetary Score]])</f>
        <v>12</v>
      </c>
      <c r="BC740">
        <f>(_xlfn.PERCENTRANK.INC(ifood_data[[#All],[RFM]],ifood_data[[#This Row],[RFM]],1))*10</f>
        <v>3</v>
      </c>
      <c r="BD740" t="str">
        <f>VLOOKUP(ifood_data[[#This Row],[RFM Score]],'RFM Analysis'!$A$3:$B$14,2,FALSE)</f>
        <v>At Risk</v>
      </c>
      <c r="BE740">
        <f>'Regression Models'!$B$101+'Regression Models'!$B$102*ifood_data[[#This Row],[Income]]+'Regression Models'!$B$103*ifood_data[[#This Row],[Age]]+'Regression Models'!$B$104*ifood_data[[#This Row],[Family]]</f>
        <v>691.742091304116</v>
      </c>
      <c r="BF740" t="str">
        <f>IF(ifood_data[[#This Row],[AcceptedCmpOverall]]=1,"Campaign Respondent","Non-respondent")</f>
        <v>Campaign Respondent</v>
      </c>
    </row>
    <row r="741" spans="1:58" x14ac:dyDescent="0.35">
      <c r="A741">
        <v>1639</v>
      </c>
      <c r="B741">
        <v>60839</v>
      </c>
      <c r="C741">
        <v>1</v>
      </c>
      <c r="D741">
        <v>1</v>
      </c>
      <c r="E741">
        <v>72</v>
      </c>
      <c r="F741">
        <v>600</v>
      </c>
      <c r="G741">
        <v>21</v>
      </c>
      <c r="H741">
        <v>128</v>
      </c>
      <c r="I741">
        <v>223</v>
      </c>
      <c r="J741">
        <v>150</v>
      </c>
      <c r="K741">
        <v>128</v>
      </c>
      <c r="L741">
        <v>13</v>
      </c>
      <c r="M741">
        <v>2</v>
      </c>
      <c r="N741">
        <v>2</v>
      </c>
      <c r="O741">
        <v>12</v>
      </c>
      <c r="P741">
        <v>8</v>
      </c>
      <c r="Q741">
        <v>0</v>
      </c>
      <c r="R741">
        <v>0</v>
      </c>
      <c r="S741">
        <v>0</v>
      </c>
      <c r="T741">
        <v>0</v>
      </c>
      <c r="U741">
        <v>0</v>
      </c>
      <c r="V741">
        <f>IF(SUM(ifood_data[[#This Row],[AcceptedCmp1]:[AcceptedCmp5]])&gt;0,1,0)</f>
        <v>0</v>
      </c>
      <c r="W741">
        <v>0</v>
      </c>
      <c r="X741">
        <v>3</v>
      </c>
      <c r="Y741">
        <v>11</v>
      </c>
      <c r="Z741">
        <v>0</v>
      </c>
      <c r="AA741">
        <v>41</v>
      </c>
      <c r="AB741">
        <v>2829</v>
      </c>
      <c r="AC741" s="28">
        <f>ifood_data[[#This Row],[Customer_Days]]/365</f>
        <v>7.7506849315068491</v>
      </c>
      <c r="AD741">
        <v>0</v>
      </c>
      <c r="AE741">
        <v>0</v>
      </c>
      <c r="AF741">
        <v>0</v>
      </c>
      <c r="AG741">
        <v>1</v>
      </c>
      <c r="AH741">
        <v>0</v>
      </c>
      <c r="AI741">
        <v>1</v>
      </c>
      <c r="AJ741">
        <v>0</v>
      </c>
      <c r="AK741">
        <v>0</v>
      </c>
      <c r="AL741">
        <v>0</v>
      </c>
      <c r="AM741">
        <v>0</v>
      </c>
      <c r="AN741">
        <v>1122</v>
      </c>
      <c r="AO741">
        <v>994</v>
      </c>
      <c r="AP741">
        <f>ifood_data[[#This Row],[MntTotal]]-ifood_data[[#This Row],[MntRegularProds]]</f>
        <v>128</v>
      </c>
      <c r="AQ741">
        <v>0</v>
      </c>
      <c r="AR741">
        <f>IF(SUM(ifood_data[[#This Row],[Kidhome]:[Teenhome]])&gt;0,1,0)</f>
        <v>1</v>
      </c>
      <c r="AS741" t="str">
        <f>IF(SUM(ifood_data[[#This Row],[Kidhome]:[Teenhome]])&gt;0,"Has Family","No Family")</f>
        <v>Has Family</v>
      </c>
      <c r="AT741" t="str">
        <f>IF(ifood_data[[#This Row],[marital_Married]]=1,"Married", (IF(ifood_data[[#This Row],[marital_Single]]=1,"Single",(IF(ifood_data[[#This Row],[marital_Divorced]]=1,"Divorced",(IF(ifood_data[[#This Row],[marital_Together]]=1,"Living Together",(IF(ifood_data[[#This Row],[marital_Widow]]=1,"Widow","Other")))))))))</f>
        <v>Living Together</v>
      </c>
      <c r="AU741" t="str">
        <f>IF(ifood_data[[#This Row],[education_Basic]]=1,"High School",(IF(ifood_data[[#This Row],[education_Graduation]]=1,"Undergraduate Degree",(IF(SUM(AM741,AL741,AI741)&gt;0,"Master's Degree or Higher","Other")))))</f>
        <v>Master's Degree or Higher</v>
      </c>
      <c r="AV741" t="str">
        <f>IF(ifood_data[[#All],[Income]]&gt;75000,"75K+",(IF(ifood_data[[#All],[Income]]&gt;50000,"50K-75K",(IF(ifood_data[[#All],[Income]]&gt;35000,"35K-50K","&lt;35K")))))</f>
        <v>50K-75K</v>
      </c>
      <c r="AW741" t="str">
        <f>IF(ifood_data[[#All],[Age]]&gt;60,"60+",(IF(ifood_data[[#All],[Age]]&gt;50,"50-60",(IF(ifood_data[[#All],[Age]]&gt;40,"40-50",(IF(ifood_data[[#All],[Age]]&gt;30,"30-40","&lt;30")))))))</f>
        <v>40-50</v>
      </c>
      <c r="AX741">
        <f t="shared" si="44"/>
        <v>37</v>
      </c>
      <c r="AY741">
        <f t="shared" si="45"/>
        <v>3.0000000000000004</v>
      </c>
      <c r="AZ741">
        <f t="shared" si="46"/>
        <v>9</v>
      </c>
      <c r="BA741">
        <f t="shared" si="47"/>
        <v>8</v>
      </c>
      <c r="BB741">
        <f>SUM(ifood_data[[#This Row],[Recency Score]:[Monetary Score]])</f>
        <v>20</v>
      </c>
      <c r="BC741">
        <f>(_xlfn.PERCENTRANK.INC(ifood_data[[#All],[RFM]],ifood_data[[#This Row],[RFM]],1))*10</f>
        <v>7</v>
      </c>
      <c r="BD741" t="str">
        <f>VLOOKUP(ifood_data[[#This Row],[RFM Score]],'RFM Analysis'!$A$3:$B$14,2,FALSE)</f>
        <v>Loyal Customer</v>
      </c>
      <c r="BE741">
        <f>'Regression Models'!$B$101+'Regression Models'!$B$102*ifood_data[[#This Row],[Income]]+'Regression Models'!$B$103*ifood_data[[#This Row],[Age]]+'Regression Models'!$B$104*ifood_data[[#This Row],[Family]]</f>
        <v>687.70937552451733</v>
      </c>
      <c r="BF741" t="str">
        <f>IF(ifood_data[[#This Row],[AcceptedCmpOverall]]=1,"Campaign Respondent","Non-respondent")</f>
        <v>Non-respondent</v>
      </c>
    </row>
    <row r="742" spans="1:58" x14ac:dyDescent="0.35">
      <c r="A742">
        <v>1183</v>
      </c>
      <c r="B742">
        <v>62972</v>
      </c>
      <c r="C742">
        <v>0</v>
      </c>
      <c r="D742">
        <v>1</v>
      </c>
      <c r="E742">
        <v>39</v>
      </c>
      <c r="F742">
        <v>313</v>
      </c>
      <c r="G742">
        <v>15</v>
      </c>
      <c r="H742">
        <v>47</v>
      </c>
      <c r="I742">
        <v>20</v>
      </c>
      <c r="J742">
        <v>0</v>
      </c>
      <c r="K742">
        <v>192</v>
      </c>
      <c r="L742">
        <v>2</v>
      </c>
      <c r="M742">
        <v>7</v>
      </c>
      <c r="N742">
        <v>4</v>
      </c>
      <c r="O742">
        <v>3</v>
      </c>
      <c r="P742">
        <v>6</v>
      </c>
      <c r="Q742">
        <v>0</v>
      </c>
      <c r="R742">
        <v>0</v>
      </c>
      <c r="S742">
        <v>0</v>
      </c>
      <c r="T742">
        <v>0</v>
      </c>
      <c r="U742">
        <v>0</v>
      </c>
      <c r="V742">
        <f>IF(SUM(ifood_data[[#This Row],[AcceptedCmp1]:[AcceptedCmp5]])&gt;0,1,0)</f>
        <v>0</v>
      </c>
      <c r="W742">
        <v>0</v>
      </c>
      <c r="X742">
        <v>3</v>
      </c>
      <c r="Y742">
        <v>11</v>
      </c>
      <c r="Z742">
        <v>1</v>
      </c>
      <c r="AA742">
        <v>65</v>
      </c>
      <c r="AB742">
        <v>2854</v>
      </c>
      <c r="AC742" s="28">
        <f>ifood_data[[#This Row],[Customer_Days]]/365</f>
        <v>7.8191780821917805</v>
      </c>
      <c r="AD742">
        <v>0</v>
      </c>
      <c r="AE742">
        <v>1</v>
      </c>
      <c r="AF742">
        <v>0</v>
      </c>
      <c r="AG742">
        <v>0</v>
      </c>
      <c r="AH742">
        <v>0</v>
      </c>
      <c r="AI742">
        <v>1</v>
      </c>
      <c r="AJ742">
        <v>0</v>
      </c>
      <c r="AK742">
        <v>0</v>
      </c>
      <c r="AL742">
        <v>0</v>
      </c>
      <c r="AM742">
        <v>0</v>
      </c>
      <c r="AN742">
        <v>395</v>
      </c>
      <c r="AO742">
        <v>203</v>
      </c>
      <c r="AP742">
        <f>ifood_data[[#This Row],[MntTotal]]-ifood_data[[#This Row],[MntRegularProds]]</f>
        <v>192</v>
      </c>
      <c r="AQ742">
        <v>0</v>
      </c>
      <c r="AR742">
        <f>IF(SUM(ifood_data[[#This Row],[Kidhome]:[Teenhome]])&gt;0,1,0)</f>
        <v>1</v>
      </c>
      <c r="AS742" t="str">
        <f>IF(SUM(ifood_data[[#This Row],[Kidhome]:[Teenhome]])&gt;0,"Has Family","No Family")</f>
        <v>Has Family</v>
      </c>
      <c r="AT742" t="str">
        <f>IF(ifood_data[[#This Row],[marital_Married]]=1,"Married", (IF(ifood_data[[#This Row],[marital_Single]]=1,"Single",(IF(ifood_data[[#This Row],[marital_Divorced]]=1,"Divorced",(IF(ifood_data[[#This Row],[marital_Together]]=1,"Living Together",(IF(ifood_data[[#This Row],[marital_Widow]]=1,"Widow","Other")))))))))</f>
        <v>Married</v>
      </c>
      <c r="AU742" t="str">
        <f>IF(ifood_data[[#This Row],[education_Basic]]=1,"High School",(IF(ifood_data[[#This Row],[education_Graduation]]=1,"Undergraduate Degree",(IF(SUM(AM742,AL742,AI742)&gt;0,"Master's Degree or Higher","Other")))))</f>
        <v>Master's Degree or Higher</v>
      </c>
      <c r="AV742" t="str">
        <f>IF(ifood_data[[#All],[Income]]&gt;75000,"75K+",(IF(ifood_data[[#All],[Income]]&gt;50000,"50K-75K",(IF(ifood_data[[#All],[Income]]&gt;35000,"35K-50K","&lt;35K")))))</f>
        <v>50K-75K</v>
      </c>
      <c r="AW742" t="str">
        <f>IF(ifood_data[[#All],[Age]]&gt;60,"60+",(IF(ifood_data[[#All],[Age]]&gt;50,"50-60",(IF(ifood_data[[#All],[Age]]&gt;40,"40-50",(IF(ifood_data[[#All],[Age]]&gt;30,"30-40","&lt;30")))))))</f>
        <v>60+</v>
      </c>
      <c r="AX742">
        <f t="shared" si="44"/>
        <v>22</v>
      </c>
      <c r="AY742">
        <f t="shared" si="45"/>
        <v>7</v>
      </c>
      <c r="AZ742">
        <f t="shared" si="46"/>
        <v>5</v>
      </c>
      <c r="BA742">
        <f t="shared" si="47"/>
        <v>5</v>
      </c>
      <c r="BB742">
        <f>SUM(ifood_data[[#This Row],[Recency Score]:[Monetary Score]])</f>
        <v>17</v>
      </c>
      <c r="BC742">
        <f>(_xlfn.PERCENTRANK.INC(ifood_data[[#All],[RFM]],ifood_data[[#This Row],[RFM]],1))*10</f>
        <v>6</v>
      </c>
      <c r="BD742" t="str">
        <f>VLOOKUP(ifood_data[[#This Row],[RFM Score]],'RFM Analysis'!$A$3:$B$14,2,FALSE)</f>
        <v>Promising</v>
      </c>
      <c r="BE742">
        <f>'Regression Models'!$B$101+'Regression Models'!$B$102*ifood_data[[#This Row],[Income]]+'Regression Models'!$B$103*ifood_data[[#This Row],[Age]]+'Regression Models'!$B$104*ifood_data[[#This Row],[Family]]</f>
        <v>687.124080081991</v>
      </c>
      <c r="BF742" t="str">
        <f>IF(ifood_data[[#This Row],[AcceptedCmpOverall]]=1,"Campaign Respondent","Non-respondent")</f>
        <v>Non-respondent</v>
      </c>
    </row>
    <row r="743" spans="1:58" x14ac:dyDescent="0.35">
      <c r="A743">
        <v>1679</v>
      </c>
      <c r="B743">
        <v>62972</v>
      </c>
      <c r="C743">
        <v>0</v>
      </c>
      <c r="D743">
        <v>1</v>
      </c>
      <c r="E743">
        <v>39</v>
      </c>
      <c r="F743">
        <v>313</v>
      </c>
      <c r="G743">
        <v>15</v>
      </c>
      <c r="H743">
        <v>47</v>
      </c>
      <c r="I743">
        <v>20</v>
      </c>
      <c r="J743">
        <v>0</v>
      </c>
      <c r="K743">
        <v>192</v>
      </c>
      <c r="L743">
        <v>2</v>
      </c>
      <c r="M743">
        <v>7</v>
      </c>
      <c r="N743">
        <v>4</v>
      </c>
      <c r="O743">
        <v>3</v>
      </c>
      <c r="P743">
        <v>6</v>
      </c>
      <c r="Q743">
        <v>0</v>
      </c>
      <c r="R743">
        <v>0</v>
      </c>
      <c r="S743">
        <v>0</v>
      </c>
      <c r="T743">
        <v>0</v>
      </c>
      <c r="U743">
        <v>0</v>
      </c>
      <c r="V743">
        <f>IF(SUM(ifood_data[[#This Row],[AcceptedCmp1]:[AcceptedCmp5]])&gt;0,1,0)</f>
        <v>0</v>
      </c>
      <c r="W743">
        <v>0</v>
      </c>
      <c r="X743">
        <v>3</v>
      </c>
      <c r="Y743">
        <v>11</v>
      </c>
      <c r="Z743">
        <v>0</v>
      </c>
      <c r="AA743">
        <v>65</v>
      </c>
      <c r="AB743">
        <v>2854</v>
      </c>
      <c r="AC743" s="28">
        <f>ifood_data[[#This Row],[Customer_Days]]/365</f>
        <v>7.8191780821917805</v>
      </c>
      <c r="AD743">
        <v>0</v>
      </c>
      <c r="AE743">
        <v>1</v>
      </c>
      <c r="AF743">
        <v>0</v>
      </c>
      <c r="AG743">
        <v>0</v>
      </c>
      <c r="AH743">
        <v>0</v>
      </c>
      <c r="AI743">
        <v>1</v>
      </c>
      <c r="AJ743">
        <v>0</v>
      </c>
      <c r="AK743">
        <v>0</v>
      </c>
      <c r="AL743">
        <v>0</v>
      </c>
      <c r="AM743">
        <v>0</v>
      </c>
      <c r="AN743">
        <v>395</v>
      </c>
      <c r="AO743">
        <v>203</v>
      </c>
      <c r="AP743">
        <f>ifood_data[[#This Row],[MntTotal]]-ifood_data[[#This Row],[MntRegularProds]]</f>
        <v>192</v>
      </c>
      <c r="AQ743">
        <v>0</v>
      </c>
      <c r="AR743">
        <f>IF(SUM(ifood_data[[#This Row],[Kidhome]:[Teenhome]])&gt;0,1,0)</f>
        <v>1</v>
      </c>
      <c r="AS743" t="str">
        <f>IF(SUM(ifood_data[[#This Row],[Kidhome]:[Teenhome]])&gt;0,"Has Family","No Family")</f>
        <v>Has Family</v>
      </c>
      <c r="AT743" t="str">
        <f>IF(ifood_data[[#This Row],[marital_Married]]=1,"Married", (IF(ifood_data[[#This Row],[marital_Single]]=1,"Single",(IF(ifood_data[[#This Row],[marital_Divorced]]=1,"Divorced",(IF(ifood_data[[#This Row],[marital_Together]]=1,"Living Together",(IF(ifood_data[[#This Row],[marital_Widow]]=1,"Widow","Other")))))))))</f>
        <v>Married</v>
      </c>
      <c r="AU743" t="str">
        <f>IF(ifood_data[[#This Row],[education_Basic]]=1,"High School",(IF(ifood_data[[#This Row],[education_Graduation]]=1,"Undergraduate Degree",(IF(SUM(AM743,AL743,AI743)&gt;0,"Master's Degree or Higher","Other")))))</f>
        <v>Master's Degree or Higher</v>
      </c>
      <c r="AV743" t="str">
        <f>IF(ifood_data[[#All],[Income]]&gt;75000,"75K+",(IF(ifood_data[[#All],[Income]]&gt;50000,"50K-75K",(IF(ifood_data[[#All],[Income]]&gt;35000,"35K-50K","&lt;35K")))))</f>
        <v>50K-75K</v>
      </c>
      <c r="AW743" t="str">
        <f>IF(ifood_data[[#All],[Age]]&gt;60,"60+",(IF(ifood_data[[#All],[Age]]&gt;50,"50-60",(IF(ifood_data[[#All],[Age]]&gt;40,"40-50",(IF(ifood_data[[#All],[Age]]&gt;30,"30-40","&lt;30")))))))</f>
        <v>60+</v>
      </c>
      <c r="AX743">
        <f t="shared" si="44"/>
        <v>22</v>
      </c>
      <c r="AY743">
        <f t="shared" si="45"/>
        <v>7</v>
      </c>
      <c r="AZ743">
        <f t="shared" si="46"/>
        <v>5</v>
      </c>
      <c r="BA743">
        <f t="shared" si="47"/>
        <v>5</v>
      </c>
      <c r="BB743">
        <f>SUM(ifood_data[[#This Row],[Recency Score]:[Monetary Score]])</f>
        <v>17</v>
      </c>
      <c r="BC743">
        <f>(_xlfn.PERCENTRANK.INC(ifood_data[[#All],[RFM]],ifood_data[[#This Row],[RFM]],1))*10</f>
        <v>6</v>
      </c>
      <c r="BD743" t="str">
        <f>VLOOKUP(ifood_data[[#This Row],[RFM Score]],'RFM Analysis'!$A$3:$B$14,2,FALSE)</f>
        <v>Promising</v>
      </c>
      <c r="BE743">
        <f>'Regression Models'!$B$101+'Regression Models'!$B$102*ifood_data[[#This Row],[Income]]+'Regression Models'!$B$103*ifood_data[[#This Row],[Age]]+'Regression Models'!$B$104*ifood_data[[#This Row],[Family]]</f>
        <v>687.124080081991</v>
      </c>
      <c r="BF743" t="str">
        <f>IF(ifood_data[[#This Row],[AcceptedCmpOverall]]=1,"Campaign Respondent","Non-respondent")</f>
        <v>Non-respondent</v>
      </c>
    </row>
    <row r="744" spans="1:58" x14ac:dyDescent="0.35">
      <c r="A744">
        <v>1564</v>
      </c>
      <c r="B744">
        <v>61064</v>
      </c>
      <c r="C744">
        <v>0</v>
      </c>
      <c r="D744">
        <v>1</v>
      </c>
      <c r="E744">
        <v>80</v>
      </c>
      <c r="F744">
        <v>387</v>
      </c>
      <c r="G744">
        <v>126</v>
      </c>
      <c r="H744">
        <v>342</v>
      </c>
      <c r="I744">
        <v>0</v>
      </c>
      <c r="J744">
        <v>45</v>
      </c>
      <c r="K744">
        <v>180</v>
      </c>
      <c r="L744">
        <v>5</v>
      </c>
      <c r="M744">
        <v>8</v>
      </c>
      <c r="N744">
        <v>4</v>
      </c>
      <c r="O744">
        <v>11</v>
      </c>
      <c r="P744">
        <v>6</v>
      </c>
      <c r="Q744">
        <v>0</v>
      </c>
      <c r="R744">
        <v>0</v>
      </c>
      <c r="S744">
        <v>0</v>
      </c>
      <c r="T744">
        <v>0</v>
      </c>
      <c r="U744">
        <v>0</v>
      </c>
      <c r="V744">
        <f>IF(SUM(ifood_data[[#This Row],[AcceptedCmp1]:[AcceptedCmp5]])&gt;0,1,0)</f>
        <v>0</v>
      </c>
      <c r="W744">
        <v>0</v>
      </c>
      <c r="X744">
        <v>3</v>
      </c>
      <c r="Y744">
        <v>11</v>
      </c>
      <c r="Z744">
        <v>0</v>
      </c>
      <c r="AA744">
        <v>44</v>
      </c>
      <c r="AB744">
        <v>2826</v>
      </c>
      <c r="AC744" s="28">
        <f>ifood_data[[#This Row],[Customer_Days]]/365</f>
        <v>7.7424657534246579</v>
      </c>
      <c r="AD744">
        <v>0</v>
      </c>
      <c r="AE744">
        <v>1</v>
      </c>
      <c r="AF744">
        <v>0</v>
      </c>
      <c r="AG744">
        <v>0</v>
      </c>
      <c r="AH744">
        <v>0</v>
      </c>
      <c r="AI744">
        <v>0</v>
      </c>
      <c r="AJ744">
        <v>0</v>
      </c>
      <c r="AK744">
        <v>1</v>
      </c>
      <c r="AL744">
        <v>0</v>
      </c>
      <c r="AM744">
        <v>0</v>
      </c>
      <c r="AN744">
        <v>900</v>
      </c>
      <c r="AO744">
        <v>720</v>
      </c>
      <c r="AP744">
        <f>ifood_data[[#This Row],[MntTotal]]-ifood_data[[#This Row],[MntRegularProds]]</f>
        <v>180</v>
      </c>
      <c r="AQ744">
        <v>0</v>
      </c>
      <c r="AR744">
        <f>IF(SUM(ifood_data[[#This Row],[Kidhome]:[Teenhome]])&gt;0,1,0)</f>
        <v>1</v>
      </c>
      <c r="AS744" t="str">
        <f>IF(SUM(ifood_data[[#This Row],[Kidhome]:[Teenhome]])&gt;0,"Has Family","No Family")</f>
        <v>Has Family</v>
      </c>
      <c r="AT744" t="str">
        <f>IF(ifood_data[[#This Row],[marital_Married]]=1,"Married", (IF(ifood_data[[#This Row],[marital_Single]]=1,"Single",(IF(ifood_data[[#This Row],[marital_Divorced]]=1,"Divorced",(IF(ifood_data[[#This Row],[marital_Together]]=1,"Living Together",(IF(ifood_data[[#This Row],[marital_Widow]]=1,"Widow","Other")))))))))</f>
        <v>Married</v>
      </c>
      <c r="AU744" t="str">
        <f>IF(ifood_data[[#This Row],[education_Basic]]=1,"High School",(IF(ifood_data[[#This Row],[education_Graduation]]=1,"Undergraduate Degree",(IF(SUM(AM744,AL744,AI744)&gt;0,"Master's Degree or Higher","Other")))))</f>
        <v>Undergraduate Degree</v>
      </c>
      <c r="AV744" t="str">
        <f>IF(ifood_data[[#All],[Income]]&gt;75000,"75K+",(IF(ifood_data[[#All],[Income]]&gt;50000,"50K-75K",(IF(ifood_data[[#All],[Income]]&gt;35000,"35K-50K","&lt;35K")))))</f>
        <v>50K-75K</v>
      </c>
      <c r="AW744" t="str">
        <f>IF(ifood_data[[#All],[Age]]&gt;60,"60+",(IF(ifood_data[[#All],[Age]]&gt;50,"50-60",(IF(ifood_data[[#All],[Age]]&gt;40,"40-50",(IF(ifood_data[[#All],[Age]]&gt;30,"30-40","&lt;30")))))))</f>
        <v>40-50</v>
      </c>
      <c r="AX744">
        <f t="shared" si="44"/>
        <v>34</v>
      </c>
      <c r="AY744">
        <f t="shared" si="45"/>
        <v>1.9999999999999996</v>
      </c>
      <c r="AZ744">
        <f t="shared" si="46"/>
        <v>9</v>
      </c>
      <c r="BA744">
        <f t="shared" si="47"/>
        <v>7</v>
      </c>
      <c r="BB744">
        <f>SUM(ifood_data[[#This Row],[Recency Score]:[Monetary Score]])</f>
        <v>18</v>
      </c>
      <c r="BC744">
        <f>(_xlfn.PERCENTRANK.INC(ifood_data[[#All],[RFM]],ifood_data[[#This Row],[RFM]],1))*10</f>
        <v>6</v>
      </c>
      <c r="BD744" t="str">
        <f>VLOOKUP(ifood_data[[#This Row],[RFM Score]],'RFM Analysis'!$A$3:$B$14,2,FALSE)</f>
        <v>Promising</v>
      </c>
      <c r="BE744">
        <f>'Regression Models'!$B$101+'Regression Models'!$B$102*ifood_data[[#This Row],[Income]]+'Regression Models'!$B$103*ifood_data[[#This Row],[Age]]+'Regression Models'!$B$104*ifood_data[[#This Row],[Family]]</f>
        <v>686.78753112021195</v>
      </c>
      <c r="BF744" t="str">
        <f>IF(ifood_data[[#This Row],[AcceptedCmpOverall]]=1,"Campaign Respondent","Non-respondent")</f>
        <v>Non-respondent</v>
      </c>
    </row>
    <row r="745" spans="1:58" x14ac:dyDescent="0.35">
      <c r="A745">
        <v>861</v>
      </c>
      <c r="B745">
        <v>45921</v>
      </c>
      <c r="C745">
        <v>0</v>
      </c>
      <c r="D745">
        <v>0</v>
      </c>
      <c r="E745">
        <v>23</v>
      </c>
      <c r="F745">
        <v>102</v>
      </c>
      <c r="G745">
        <v>9</v>
      </c>
      <c r="H745">
        <v>49</v>
      </c>
      <c r="I745">
        <v>24</v>
      </c>
      <c r="J745">
        <v>3</v>
      </c>
      <c r="K745">
        <v>12</v>
      </c>
      <c r="L745">
        <v>1</v>
      </c>
      <c r="M745">
        <v>2</v>
      </c>
      <c r="N745">
        <v>1</v>
      </c>
      <c r="O745">
        <v>6</v>
      </c>
      <c r="P745">
        <v>4</v>
      </c>
      <c r="Q745">
        <v>0</v>
      </c>
      <c r="R745">
        <v>0</v>
      </c>
      <c r="S745">
        <v>0</v>
      </c>
      <c r="T745">
        <v>0</v>
      </c>
      <c r="U745">
        <v>0</v>
      </c>
      <c r="V745">
        <f>IF(SUM(ifood_data[[#This Row],[AcceptedCmp1]:[AcceptedCmp5]])&gt;0,1,0)</f>
        <v>0</v>
      </c>
      <c r="W745">
        <v>0</v>
      </c>
      <c r="X745">
        <v>3</v>
      </c>
      <c r="Y745">
        <v>11</v>
      </c>
      <c r="Z745">
        <v>0</v>
      </c>
      <c r="AA745">
        <v>34</v>
      </c>
      <c r="AB745">
        <v>2270</v>
      </c>
      <c r="AC745" s="28">
        <f>ifood_data[[#This Row],[Customer_Days]]/365</f>
        <v>6.2191780821917808</v>
      </c>
      <c r="AD745">
        <v>0</v>
      </c>
      <c r="AE745">
        <v>1</v>
      </c>
      <c r="AF745">
        <v>0</v>
      </c>
      <c r="AG745">
        <v>0</v>
      </c>
      <c r="AH745">
        <v>0</v>
      </c>
      <c r="AI745">
        <v>0</v>
      </c>
      <c r="AJ745">
        <v>0</v>
      </c>
      <c r="AK745">
        <v>0</v>
      </c>
      <c r="AL745">
        <v>0</v>
      </c>
      <c r="AM745">
        <v>1</v>
      </c>
      <c r="AN745">
        <v>187</v>
      </c>
      <c r="AO745">
        <v>175</v>
      </c>
      <c r="AP745">
        <f>ifood_data[[#This Row],[MntTotal]]-ifood_data[[#This Row],[MntRegularProds]]</f>
        <v>12</v>
      </c>
      <c r="AQ745">
        <v>0</v>
      </c>
      <c r="AR745">
        <f>IF(SUM(ifood_data[[#This Row],[Kidhome]:[Teenhome]])&gt;0,1,0)</f>
        <v>0</v>
      </c>
      <c r="AS745" t="str">
        <f>IF(SUM(ifood_data[[#This Row],[Kidhome]:[Teenhome]])&gt;0,"Has Family","No Family")</f>
        <v>No Family</v>
      </c>
      <c r="AT745" t="str">
        <f>IF(ifood_data[[#This Row],[marital_Married]]=1,"Married", (IF(ifood_data[[#This Row],[marital_Single]]=1,"Single",(IF(ifood_data[[#This Row],[marital_Divorced]]=1,"Divorced",(IF(ifood_data[[#This Row],[marital_Together]]=1,"Living Together",(IF(ifood_data[[#This Row],[marital_Widow]]=1,"Widow","Other")))))))))</f>
        <v>Married</v>
      </c>
      <c r="AU745" t="str">
        <f>IF(ifood_data[[#This Row],[education_Basic]]=1,"High School",(IF(ifood_data[[#This Row],[education_Graduation]]=1,"Undergraduate Degree",(IF(SUM(AM745,AL745,AI745)&gt;0,"Master's Degree or Higher","Other")))))</f>
        <v>Master's Degree or Higher</v>
      </c>
      <c r="AV745" t="str">
        <f>IF(ifood_data[[#All],[Income]]&gt;75000,"75K+",(IF(ifood_data[[#All],[Income]]&gt;50000,"50K-75K",(IF(ifood_data[[#All],[Income]]&gt;35000,"35K-50K","&lt;35K")))))</f>
        <v>35K-50K</v>
      </c>
      <c r="AW745" t="str">
        <f>IF(ifood_data[[#All],[Age]]&gt;60,"60+",(IF(ifood_data[[#All],[Age]]&gt;50,"50-60",(IF(ifood_data[[#All],[Age]]&gt;40,"40-50",(IF(ifood_data[[#All],[Age]]&gt;30,"30-40","&lt;30")))))))</f>
        <v>30-40</v>
      </c>
      <c r="AX745">
        <f t="shared" si="44"/>
        <v>14</v>
      </c>
      <c r="AY745">
        <f t="shared" si="45"/>
        <v>8</v>
      </c>
      <c r="AZ745">
        <f t="shared" si="46"/>
        <v>2</v>
      </c>
      <c r="BA745">
        <f t="shared" si="47"/>
        <v>4</v>
      </c>
      <c r="BB745">
        <f>SUM(ifood_data[[#This Row],[Recency Score]:[Monetary Score]])</f>
        <v>14</v>
      </c>
      <c r="BC745">
        <f>(_xlfn.PERCENTRANK.INC(ifood_data[[#All],[RFM]],ifood_data[[#This Row],[RFM]],1))*10</f>
        <v>4</v>
      </c>
      <c r="BD745" t="str">
        <f>VLOOKUP(ifood_data[[#This Row],[RFM Score]],'RFM Analysis'!$A$3:$B$14,2,FALSE)</f>
        <v>At Risk</v>
      </c>
      <c r="BE745">
        <f>'Regression Models'!$B$101+'Regression Models'!$B$102*ifood_data[[#This Row],[Income]]+'Regression Models'!$B$103*ifood_data[[#This Row],[Age]]+'Regression Models'!$B$104*ifood_data[[#This Row],[Family]]</f>
        <v>686.01843697910897</v>
      </c>
      <c r="BF745" t="str">
        <f>IF(ifood_data[[#This Row],[AcceptedCmpOverall]]=1,"Campaign Respondent","Non-respondent")</f>
        <v>Non-respondent</v>
      </c>
    </row>
    <row r="746" spans="1:58" x14ac:dyDescent="0.35">
      <c r="A746">
        <v>1731</v>
      </c>
      <c r="B746">
        <v>61671</v>
      </c>
      <c r="C746">
        <v>0</v>
      </c>
      <c r="D746">
        <v>1</v>
      </c>
      <c r="E746">
        <v>23</v>
      </c>
      <c r="F746">
        <v>641</v>
      </c>
      <c r="G746">
        <v>7</v>
      </c>
      <c r="H746">
        <v>56</v>
      </c>
      <c r="I746">
        <v>0</v>
      </c>
      <c r="J746">
        <v>0</v>
      </c>
      <c r="K746">
        <v>28</v>
      </c>
      <c r="L746">
        <v>8</v>
      </c>
      <c r="M746">
        <v>10</v>
      </c>
      <c r="N746">
        <v>4</v>
      </c>
      <c r="O746">
        <v>6</v>
      </c>
      <c r="P746">
        <v>8</v>
      </c>
      <c r="Q746">
        <v>1</v>
      </c>
      <c r="R746">
        <v>0</v>
      </c>
      <c r="S746">
        <v>0</v>
      </c>
      <c r="T746">
        <v>1</v>
      </c>
      <c r="U746">
        <v>0</v>
      </c>
      <c r="V746">
        <f>IF(SUM(ifood_data[[#This Row],[AcceptedCmp1]:[AcceptedCmp5]])&gt;0,1,0)</f>
        <v>1</v>
      </c>
      <c r="W746">
        <v>0</v>
      </c>
      <c r="X746">
        <v>3</v>
      </c>
      <c r="Y746">
        <v>11</v>
      </c>
      <c r="Z746">
        <v>0</v>
      </c>
      <c r="AA746">
        <v>52</v>
      </c>
      <c r="AB746">
        <v>2185</v>
      </c>
      <c r="AC746" s="28">
        <f>ifood_data[[#This Row],[Customer_Days]]/365</f>
        <v>5.9863013698630141</v>
      </c>
      <c r="AD746">
        <v>1</v>
      </c>
      <c r="AE746">
        <v>0</v>
      </c>
      <c r="AF746">
        <v>0</v>
      </c>
      <c r="AG746">
        <v>0</v>
      </c>
      <c r="AH746">
        <v>0</v>
      </c>
      <c r="AI746">
        <v>0</v>
      </c>
      <c r="AJ746">
        <v>0</v>
      </c>
      <c r="AK746">
        <v>1</v>
      </c>
      <c r="AL746">
        <v>0</v>
      </c>
      <c r="AM746">
        <v>0</v>
      </c>
      <c r="AN746">
        <v>704</v>
      </c>
      <c r="AO746">
        <v>676</v>
      </c>
      <c r="AP746">
        <f>ifood_data[[#This Row],[MntTotal]]-ifood_data[[#This Row],[MntRegularProds]]</f>
        <v>28</v>
      </c>
      <c r="AQ746">
        <v>2</v>
      </c>
      <c r="AR746">
        <f>IF(SUM(ifood_data[[#This Row],[Kidhome]:[Teenhome]])&gt;0,1,0)</f>
        <v>1</v>
      </c>
      <c r="AS746" t="str">
        <f>IF(SUM(ifood_data[[#This Row],[Kidhome]:[Teenhome]])&gt;0,"Has Family","No Family")</f>
        <v>Has Family</v>
      </c>
      <c r="AT746" t="str">
        <f>IF(ifood_data[[#This Row],[marital_Married]]=1,"Married", (IF(ifood_data[[#This Row],[marital_Single]]=1,"Single",(IF(ifood_data[[#This Row],[marital_Divorced]]=1,"Divorced",(IF(ifood_data[[#This Row],[marital_Together]]=1,"Living Together",(IF(ifood_data[[#This Row],[marital_Widow]]=1,"Widow","Other")))))))))</f>
        <v>Divorced</v>
      </c>
      <c r="AU746" t="str">
        <f>IF(ifood_data[[#This Row],[education_Basic]]=1,"High School",(IF(ifood_data[[#This Row],[education_Graduation]]=1,"Undergraduate Degree",(IF(SUM(AM746,AL746,AI746)&gt;0,"Master's Degree or Higher","Other")))))</f>
        <v>Undergraduate Degree</v>
      </c>
      <c r="AV746" t="str">
        <f>IF(ifood_data[[#All],[Income]]&gt;75000,"75K+",(IF(ifood_data[[#All],[Income]]&gt;50000,"50K-75K",(IF(ifood_data[[#All],[Income]]&gt;35000,"35K-50K","&lt;35K")))))</f>
        <v>50K-75K</v>
      </c>
      <c r="AW746" t="str">
        <f>IF(ifood_data[[#All],[Age]]&gt;60,"60+",(IF(ifood_data[[#All],[Age]]&gt;50,"50-60",(IF(ifood_data[[#All],[Age]]&gt;40,"40-50",(IF(ifood_data[[#All],[Age]]&gt;30,"30-40","&lt;30")))))))</f>
        <v>50-60</v>
      </c>
      <c r="AX746">
        <f t="shared" si="44"/>
        <v>36</v>
      </c>
      <c r="AY746">
        <f t="shared" si="45"/>
        <v>8</v>
      </c>
      <c r="AZ746">
        <f t="shared" si="46"/>
        <v>9</v>
      </c>
      <c r="BA746">
        <f t="shared" si="47"/>
        <v>6</v>
      </c>
      <c r="BB746">
        <f>SUM(ifood_data[[#This Row],[Recency Score]:[Monetary Score]])</f>
        <v>23</v>
      </c>
      <c r="BC746">
        <f>(_xlfn.PERCENTRANK.INC(ifood_data[[#All],[RFM]],ifood_data[[#This Row],[RFM]],1))*10</f>
        <v>8</v>
      </c>
      <c r="BD746" t="str">
        <f>VLOOKUP(ifood_data[[#This Row],[RFM Score]],'RFM Analysis'!$A$3:$B$14,2,FALSE)</f>
        <v>Loyal Customer</v>
      </c>
      <c r="BE746">
        <f>'Regression Models'!$B$101+'Regression Models'!$B$102*ifood_data[[#This Row],[Income]]+'Regression Models'!$B$103*ifood_data[[#This Row],[Age]]+'Regression Models'!$B$104*ifood_data[[#This Row],[Family]]</f>
        <v>684.47200075240426</v>
      </c>
      <c r="BF746" t="str">
        <f>IF(ifood_data[[#This Row],[AcceptedCmpOverall]]=1,"Campaign Respondent","Non-respondent")</f>
        <v>Campaign Respondent</v>
      </c>
    </row>
    <row r="747" spans="1:58" x14ac:dyDescent="0.35">
      <c r="A747">
        <v>825</v>
      </c>
      <c r="B747">
        <v>62450</v>
      </c>
      <c r="C747">
        <v>0</v>
      </c>
      <c r="D747">
        <v>1</v>
      </c>
      <c r="E747">
        <v>61</v>
      </c>
      <c r="F747">
        <v>515</v>
      </c>
      <c r="G747">
        <v>47</v>
      </c>
      <c r="H747">
        <v>267</v>
      </c>
      <c r="I747">
        <v>62</v>
      </c>
      <c r="J747">
        <v>66</v>
      </c>
      <c r="K747">
        <v>38</v>
      </c>
      <c r="L747">
        <v>2</v>
      </c>
      <c r="M747">
        <v>5</v>
      </c>
      <c r="N747">
        <v>5</v>
      </c>
      <c r="O747">
        <v>4</v>
      </c>
      <c r="P747">
        <v>3</v>
      </c>
      <c r="Q747">
        <v>0</v>
      </c>
      <c r="R747">
        <v>0</v>
      </c>
      <c r="S747">
        <v>0</v>
      </c>
      <c r="T747">
        <v>1</v>
      </c>
      <c r="U747">
        <v>0</v>
      </c>
      <c r="V747">
        <f>IF(SUM(ifood_data[[#This Row],[AcceptedCmp1]:[AcceptedCmp5]])&gt;0,1,0)</f>
        <v>1</v>
      </c>
      <c r="W747">
        <v>0</v>
      </c>
      <c r="X747">
        <v>3</v>
      </c>
      <c r="Y747">
        <v>11</v>
      </c>
      <c r="Z747">
        <v>0</v>
      </c>
      <c r="AA747">
        <v>61</v>
      </c>
      <c r="AB747">
        <v>2333</v>
      </c>
      <c r="AC747" s="28">
        <f>ifood_data[[#This Row],[Customer_Days]]/365</f>
        <v>6.3917808219178083</v>
      </c>
      <c r="AD747">
        <v>0</v>
      </c>
      <c r="AE747">
        <v>0</v>
      </c>
      <c r="AF747">
        <v>1</v>
      </c>
      <c r="AG747">
        <v>0</v>
      </c>
      <c r="AH747">
        <v>0</v>
      </c>
      <c r="AI747">
        <v>0</v>
      </c>
      <c r="AJ747">
        <v>0</v>
      </c>
      <c r="AK747">
        <v>1</v>
      </c>
      <c r="AL747">
        <v>0</v>
      </c>
      <c r="AM747">
        <v>0</v>
      </c>
      <c r="AN747">
        <v>957</v>
      </c>
      <c r="AO747">
        <v>919</v>
      </c>
      <c r="AP747">
        <f>ifood_data[[#This Row],[MntTotal]]-ifood_data[[#This Row],[MntRegularProds]]</f>
        <v>38</v>
      </c>
      <c r="AQ747">
        <v>1</v>
      </c>
      <c r="AR747">
        <f>IF(SUM(ifood_data[[#This Row],[Kidhome]:[Teenhome]])&gt;0,1,0)</f>
        <v>1</v>
      </c>
      <c r="AS747" t="str">
        <f>IF(SUM(ifood_data[[#This Row],[Kidhome]:[Teenhome]])&gt;0,"Has Family","No Family")</f>
        <v>Has Family</v>
      </c>
      <c r="AT747" t="str">
        <f>IF(ifood_data[[#This Row],[marital_Married]]=1,"Married", (IF(ifood_data[[#This Row],[marital_Single]]=1,"Single",(IF(ifood_data[[#This Row],[marital_Divorced]]=1,"Divorced",(IF(ifood_data[[#This Row],[marital_Together]]=1,"Living Together",(IF(ifood_data[[#This Row],[marital_Widow]]=1,"Widow","Other")))))))))</f>
        <v>Single</v>
      </c>
      <c r="AU747" t="str">
        <f>IF(ifood_data[[#This Row],[education_Basic]]=1,"High School",(IF(ifood_data[[#This Row],[education_Graduation]]=1,"Undergraduate Degree",(IF(SUM(AM747,AL747,AI747)&gt;0,"Master's Degree or Higher","Other")))))</f>
        <v>Undergraduate Degree</v>
      </c>
      <c r="AV747" t="str">
        <f>IF(ifood_data[[#All],[Income]]&gt;75000,"75K+",(IF(ifood_data[[#All],[Income]]&gt;50000,"50K-75K",(IF(ifood_data[[#All],[Income]]&gt;35000,"35K-50K","&lt;35K")))))</f>
        <v>50K-75K</v>
      </c>
      <c r="AW747" t="str">
        <f>IF(ifood_data[[#All],[Age]]&gt;60,"60+",(IF(ifood_data[[#All],[Age]]&gt;50,"50-60",(IF(ifood_data[[#All],[Age]]&gt;40,"40-50",(IF(ifood_data[[#All],[Age]]&gt;30,"30-40","&lt;30")))))))</f>
        <v>60+</v>
      </c>
      <c r="AX747">
        <f t="shared" si="44"/>
        <v>19</v>
      </c>
      <c r="AY747">
        <f t="shared" si="45"/>
        <v>4</v>
      </c>
      <c r="AZ747">
        <f t="shared" si="46"/>
        <v>4</v>
      </c>
      <c r="BA747">
        <f t="shared" si="47"/>
        <v>7</v>
      </c>
      <c r="BB747">
        <f>SUM(ifood_data[[#This Row],[Recency Score]:[Monetary Score]])</f>
        <v>15</v>
      </c>
      <c r="BC747">
        <f>(_xlfn.PERCENTRANK.INC(ifood_data[[#All],[RFM]],ifood_data[[#This Row],[RFM]],1))*10</f>
        <v>4</v>
      </c>
      <c r="BD747" t="str">
        <f>VLOOKUP(ifood_data[[#This Row],[RFM Score]],'RFM Analysis'!$A$3:$B$14,2,FALSE)</f>
        <v>At Risk</v>
      </c>
      <c r="BE747">
        <f>'Regression Models'!$B$101+'Regression Models'!$B$102*ifood_data[[#This Row],[Income]]+'Regression Models'!$B$103*ifood_data[[#This Row],[Age]]+'Regression Models'!$B$104*ifood_data[[#This Row],[Family]]</f>
        <v>683.82689942645311</v>
      </c>
      <c r="BF747" t="str">
        <f>IF(ifood_data[[#This Row],[AcceptedCmpOverall]]=1,"Campaign Respondent","Non-respondent")</f>
        <v>Campaign Respondent</v>
      </c>
    </row>
    <row r="748" spans="1:58" x14ac:dyDescent="0.35">
      <c r="A748">
        <v>1967</v>
      </c>
      <c r="B748">
        <v>60934</v>
      </c>
      <c r="C748">
        <v>0</v>
      </c>
      <c r="D748">
        <v>1</v>
      </c>
      <c r="E748">
        <v>41</v>
      </c>
      <c r="F748">
        <v>224</v>
      </c>
      <c r="G748">
        <v>155</v>
      </c>
      <c r="H748">
        <v>155</v>
      </c>
      <c r="I748">
        <v>192</v>
      </c>
      <c r="J748">
        <v>93</v>
      </c>
      <c r="K748">
        <v>54</v>
      </c>
      <c r="L748">
        <v>2</v>
      </c>
      <c r="M748">
        <v>6</v>
      </c>
      <c r="N748">
        <v>4</v>
      </c>
      <c r="O748">
        <v>11</v>
      </c>
      <c r="P748">
        <v>4</v>
      </c>
      <c r="Q748">
        <v>0</v>
      </c>
      <c r="R748">
        <v>0</v>
      </c>
      <c r="S748">
        <v>0</v>
      </c>
      <c r="T748">
        <v>0</v>
      </c>
      <c r="U748">
        <v>0</v>
      </c>
      <c r="V748">
        <f>IF(SUM(ifood_data[[#This Row],[AcceptedCmp1]:[AcceptedCmp5]])&gt;0,1,0)</f>
        <v>0</v>
      </c>
      <c r="W748">
        <v>0</v>
      </c>
      <c r="X748">
        <v>3</v>
      </c>
      <c r="Y748">
        <v>11</v>
      </c>
      <c r="Z748">
        <v>0</v>
      </c>
      <c r="AA748">
        <v>45</v>
      </c>
      <c r="AB748">
        <v>2322</v>
      </c>
      <c r="AC748" s="28">
        <f>ifood_data[[#This Row],[Customer_Days]]/365</f>
        <v>6.3616438356164382</v>
      </c>
      <c r="AD748">
        <v>0</v>
      </c>
      <c r="AE748">
        <v>0</v>
      </c>
      <c r="AF748">
        <v>0</v>
      </c>
      <c r="AG748">
        <v>1</v>
      </c>
      <c r="AH748">
        <v>0</v>
      </c>
      <c r="AI748">
        <v>0</v>
      </c>
      <c r="AJ748">
        <v>0</v>
      </c>
      <c r="AK748">
        <v>1</v>
      </c>
      <c r="AL748">
        <v>0</v>
      </c>
      <c r="AM748">
        <v>0</v>
      </c>
      <c r="AN748">
        <v>819</v>
      </c>
      <c r="AO748">
        <v>765</v>
      </c>
      <c r="AP748">
        <f>ifood_data[[#This Row],[MntTotal]]-ifood_data[[#This Row],[MntRegularProds]]</f>
        <v>54</v>
      </c>
      <c r="AQ748">
        <v>0</v>
      </c>
      <c r="AR748">
        <f>IF(SUM(ifood_data[[#This Row],[Kidhome]:[Teenhome]])&gt;0,1,0)</f>
        <v>1</v>
      </c>
      <c r="AS748" t="str">
        <f>IF(SUM(ifood_data[[#This Row],[Kidhome]:[Teenhome]])&gt;0,"Has Family","No Family")</f>
        <v>Has Family</v>
      </c>
      <c r="AT748" t="str">
        <f>IF(ifood_data[[#This Row],[marital_Married]]=1,"Married", (IF(ifood_data[[#This Row],[marital_Single]]=1,"Single",(IF(ifood_data[[#This Row],[marital_Divorced]]=1,"Divorced",(IF(ifood_data[[#This Row],[marital_Together]]=1,"Living Together",(IF(ifood_data[[#This Row],[marital_Widow]]=1,"Widow","Other")))))))))</f>
        <v>Living Together</v>
      </c>
      <c r="AU748" t="str">
        <f>IF(ifood_data[[#This Row],[education_Basic]]=1,"High School",(IF(ifood_data[[#This Row],[education_Graduation]]=1,"Undergraduate Degree",(IF(SUM(AM748,AL748,AI748)&gt;0,"Master's Degree or Higher","Other")))))</f>
        <v>Undergraduate Degree</v>
      </c>
      <c r="AV748" t="str">
        <f>IF(ifood_data[[#All],[Income]]&gt;75000,"75K+",(IF(ifood_data[[#All],[Income]]&gt;50000,"50K-75K",(IF(ifood_data[[#All],[Income]]&gt;35000,"35K-50K","&lt;35K")))))</f>
        <v>50K-75K</v>
      </c>
      <c r="AW748" t="str">
        <f>IF(ifood_data[[#All],[Age]]&gt;60,"60+",(IF(ifood_data[[#All],[Age]]&gt;50,"50-60",(IF(ifood_data[[#All],[Age]]&gt;40,"40-50",(IF(ifood_data[[#All],[Age]]&gt;30,"30-40","&lt;30")))))))</f>
        <v>40-50</v>
      </c>
      <c r="AX748">
        <f t="shared" si="44"/>
        <v>27</v>
      </c>
      <c r="AY748">
        <f t="shared" si="45"/>
        <v>6</v>
      </c>
      <c r="AZ748">
        <f t="shared" si="46"/>
        <v>7</v>
      </c>
      <c r="BA748">
        <f t="shared" si="47"/>
        <v>6</v>
      </c>
      <c r="BB748">
        <f>SUM(ifood_data[[#This Row],[Recency Score]:[Monetary Score]])</f>
        <v>19</v>
      </c>
      <c r="BC748">
        <f>(_xlfn.PERCENTRANK.INC(ifood_data[[#All],[RFM]],ifood_data[[#This Row],[RFM]],1))*10</f>
        <v>7</v>
      </c>
      <c r="BD748" t="str">
        <f>VLOOKUP(ifood_data[[#This Row],[RFM Score]],'RFM Analysis'!$A$3:$B$14,2,FALSE)</f>
        <v>Loyal Customer</v>
      </c>
      <c r="BE748">
        <f>'Regression Models'!$B$101+'Regression Models'!$B$102*ifood_data[[#This Row],[Income]]+'Regression Models'!$B$103*ifood_data[[#This Row],[Age]]+'Regression Models'!$B$104*ifood_data[[#This Row],[Family]]</f>
        <v>682.30055218261077</v>
      </c>
      <c r="BF748" t="str">
        <f>IF(ifood_data[[#This Row],[AcceptedCmpOverall]]=1,"Campaign Respondent","Non-respondent")</f>
        <v>Non-respondent</v>
      </c>
    </row>
    <row r="749" spans="1:58" x14ac:dyDescent="0.35">
      <c r="A749">
        <v>120</v>
      </c>
      <c r="B749">
        <v>62998</v>
      </c>
      <c r="C749">
        <v>0</v>
      </c>
      <c r="D749">
        <v>1</v>
      </c>
      <c r="E749">
        <v>10</v>
      </c>
      <c r="F749">
        <v>120</v>
      </c>
      <c r="G749">
        <v>58</v>
      </c>
      <c r="H749">
        <v>73</v>
      </c>
      <c r="I749">
        <v>65</v>
      </c>
      <c r="J749">
        <v>89</v>
      </c>
      <c r="K749">
        <v>58</v>
      </c>
      <c r="L749">
        <v>5</v>
      </c>
      <c r="M749">
        <v>5</v>
      </c>
      <c r="N749">
        <v>4</v>
      </c>
      <c r="O749">
        <v>5</v>
      </c>
      <c r="P749">
        <v>5</v>
      </c>
      <c r="Q749">
        <v>0</v>
      </c>
      <c r="R749">
        <v>0</v>
      </c>
      <c r="S749">
        <v>0</v>
      </c>
      <c r="T749">
        <v>0</v>
      </c>
      <c r="U749">
        <v>0</v>
      </c>
      <c r="V749">
        <f>IF(SUM(ifood_data[[#This Row],[AcceptedCmp1]:[AcceptedCmp5]])&gt;0,1,0)</f>
        <v>0</v>
      </c>
      <c r="W749">
        <v>0</v>
      </c>
      <c r="X749">
        <v>3</v>
      </c>
      <c r="Y749">
        <v>11</v>
      </c>
      <c r="Z749">
        <v>0</v>
      </c>
      <c r="AA749">
        <v>68</v>
      </c>
      <c r="AB749">
        <v>2431</v>
      </c>
      <c r="AC749" s="28">
        <f>ifood_data[[#This Row],[Customer_Days]]/365</f>
        <v>6.6602739726027398</v>
      </c>
      <c r="AD749">
        <v>0</v>
      </c>
      <c r="AE749">
        <v>1</v>
      </c>
      <c r="AF749">
        <v>0</v>
      </c>
      <c r="AG749">
        <v>0</v>
      </c>
      <c r="AH749">
        <v>0</v>
      </c>
      <c r="AI749">
        <v>0</v>
      </c>
      <c r="AJ749">
        <v>0</v>
      </c>
      <c r="AK749">
        <v>1</v>
      </c>
      <c r="AL749">
        <v>0</v>
      </c>
      <c r="AM749">
        <v>0</v>
      </c>
      <c r="AN749">
        <v>405</v>
      </c>
      <c r="AO749">
        <v>347</v>
      </c>
      <c r="AP749">
        <f>ifood_data[[#This Row],[MntTotal]]-ifood_data[[#This Row],[MntRegularProds]]</f>
        <v>58</v>
      </c>
      <c r="AQ749">
        <v>0</v>
      </c>
      <c r="AR749">
        <f>IF(SUM(ifood_data[[#This Row],[Kidhome]:[Teenhome]])&gt;0,1,0)</f>
        <v>1</v>
      </c>
      <c r="AS749" t="str">
        <f>IF(SUM(ifood_data[[#This Row],[Kidhome]:[Teenhome]])&gt;0,"Has Family","No Family")</f>
        <v>Has Family</v>
      </c>
      <c r="AT749" t="str">
        <f>IF(ifood_data[[#This Row],[marital_Married]]=1,"Married", (IF(ifood_data[[#This Row],[marital_Single]]=1,"Single",(IF(ifood_data[[#This Row],[marital_Divorced]]=1,"Divorced",(IF(ifood_data[[#This Row],[marital_Together]]=1,"Living Together",(IF(ifood_data[[#This Row],[marital_Widow]]=1,"Widow","Other")))))))))</f>
        <v>Married</v>
      </c>
      <c r="AU749" t="str">
        <f>IF(ifood_data[[#This Row],[education_Basic]]=1,"High School",(IF(ifood_data[[#This Row],[education_Graduation]]=1,"Undergraduate Degree",(IF(SUM(AM749,AL749,AI749)&gt;0,"Master's Degree or Higher","Other")))))</f>
        <v>Undergraduate Degree</v>
      </c>
      <c r="AV749" t="str">
        <f>IF(ifood_data[[#All],[Income]]&gt;75000,"75K+",(IF(ifood_data[[#All],[Income]]&gt;50000,"50K-75K",(IF(ifood_data[[#All],[Income]]&gt;35000,"35K-50K","&lt;35K")))))</f>
        <v>50K-75K</v>
      </c>
      <c r="AW749" t="str">
        <f>IF(ifood_data[[#All],[Age]]&gt;60,"60+",(IF(ifood_data[[#All],[Age]]&gt;50,"50-60",(IF(ifood_data[[#All],[Age]]&gt;40,"40-50",(IF(ifood_data[[#All],[Age]]&gt;30,"30-40","&lt;30")))))))</f>
        <v>60+</v>
      </c>
      <c r="AX749">
        <f t="shared" si="44"/>
        <v>24</v>
      </c>
      <c r="AY749">
        <f t="shared" si="45"/>
        <v>9</v>
      </c>
      <c r="AZ749">
        <f t="shared" si="46"/>
        <v>6</v>
      </c>
      <c r="BA749">
        <f t="shared" si="47"/>
        <v>5</v>
      </c>
      <c r="BB749">
        <f>SUM(ifood_data[[#This Row],[Recency Score]:[Monetary Score]])</f>
        <v>20</v>
      </c>
      <c r="BC749">
        <f>(_xlfn.PERCENTRANK.INC(ifood_data[[#All],[RFM]],ifood_data[[#This Row],[RFM]],1))*10</f>
        <v>7</v>
      </c>
      <c r="BD749" t="str">
        <f>VLOOKUP(ifood_data[[#This Row],[RFM Score]],'RFM Analysis'!$A$3:$B$14,2,FALSE)</f>
        <v>Loyal Customer</v>
      </c>
      <c r="BE749">
        <f>'Regression Models'!$B$101+'Regression Models'!$B$102*ifood_data[[#This Row],[Income]]+'Regression Models'!$B$103*ifood_data[[#This Row],[Age]]+'Regression Models'!$B$104*ifood_data[[#This Row],[Family]]</f>
        <v>682.14487081704965</v>
      </c>
      <c r="BF749" t="str">
        <f>IF(ifood_data[[#This Row],[AcceptedCmpOverall]]=1,"Campaign Respondent","Non-respondent")</f>
        <v>Non-respondent</v>
      </c>
    </row>
    <row r="750" spans="1:58" x14ac:dyDescent="0.35">
      <c r="A750">
        <v>607</v>
      </c>
      <c r="B750">
        <v>63120</v>
      </c>
      <c r="C750">
        <v>0</v>
      </c>
      <c r="D750">
        <v>1</v>
      </c>
      <c r="E750">
        <v>53</v>
      </c>
      <c r="F750">
        <v>965</v>
      </c>
      <c r="G750">
        <v>69</v>
      </c>
      <c r="H750">
        <v>279</v>
      </c>
      <c r="I750">
        <v>54</v>
      </c>
      <c r="J750">
        <v>41</v>
      </c>
      <c r="K750">
        <v>69</v>
      </c>
      <c r="L750">
        <v>5</v>
      </c>
      <c r="M750">
        <v>8</v>
      </c>
      <c r="N750">
        <v>4</v>
      </c>
      <c r="O750">
        <v>9</v>
      </c>
      <c r="P750">
        <v>7</v>
      </c>
      <c r="Q750">
        <v>0</v>
      </c>
      <c r="R750">
        <v>0</v>
      </c>
      <c r="S750">
        <v>0</v>
      </c>
      <c r="T750">
        <v>0</v>
      </c>
      <c r="U750">
        <v>0</v>
      </c>
      <c r="V750">
        <f>IF(SUM(ifood_data[[#This Row],[AcceptedCmp1]:[AcceptedCmp5]])&gt;0,1,0)</f>
        <v>0</v>
      </c>
      <c r="W750">
        <v>0</v>
      </c>
      <c r="X750">
        <v>3</v>
      </c>
      <c r="Y750">
        <v>11</v>
      </c>
      <c r="Z750">
        <v>1</v>
      </c>
      <c r="AA750">
        <v>70</v>
      </c>
      <c r="AB750">
        <v>2798</v>
      </c>
      <c r="AC750" s="28">
        <f>ifood_data[[#This Row],[Customer_Days]]/365</f>
        <v>7.6657534246575345</v>
      </c>
      <c r="AD750">
        <v>1</v>
      </c>
      <c r="AE750">
        <v>0</v>
      </c>
      <c r="AF750">
        <v>0</v>
      </c>
      <c r="AG750">
        <v>0</v>
      </c>
      <c r="AH750">
        <v>0</v>
      </c>
      <c r="AI750">
        <v>0</v>
      </c>
      <c r="AJ750">
        <v>0</v>
      </c>
      <c r="AK750">
        <v>0</v>
      </c>
      <c r="AL750">
        <v>1</v>
      </c>
      <c r="AM750">
        <v>0</v>
      </c>
      <c r="AN750">
        <v>1408</v>
      </c>
      <c r="AO750">
        <v>1339</v>
      </c>
      <c r="AP750">
        <f>ifood_data[[#This Row],[MntTotal]]-ifood_data[[#This Row],[MntRegularProds]]</f>
        <v>69</v>
      </c>
      <c r="AQ750">
        <v>0</v>
      </c>
      <c r="AR750">
        <f>IF(SUM(ifood_data[[#This Row],[Kidhome]:[Teenhome]])&gt;0,1,0)</f>
        <v>1</v>
      </c>
      <c r="AS750" t="str">
        <f>IF(SUM(ifood_data[[#This Row],[Kidhome]:[Teenhome]])&gt;0,"Has Family","No Family")</f>
        <v>Has Family</v>
      </c>
      <c r="AT750" t="str">
        <f>IF(ifood_data[[#This Row],[marital_Married]]=1,"Married", (IF(ifood_data[[#This Row],[marital_Single]]=1,"Single",(IF(ifood_data[[#This Row],[marital_Divorced]]=1,"Divorced",(IF(ifood_data[[#This Row],[marital_Together]]=1,"Living Together",(IF(ifood_data[[#This Row],[marital_Widow]]=1,"Widow","Other")))))))))</f>
        <v>Divorced</v>
      </c>
      <c r="AU750" t="str">
        <f>IF(ifood_data[[#This Row],[education_Basic]]=1,"High School",(IF(ifood_data[[#This Row],[education_Graduation]]=1,"Undergraduate Degree",(IF(SUM(AM750,AL750,AI750)&gt;0,"Master's Degree or Higher","Other")))))</f>
        <v>Master's Degree or Higher</v>
      </c>
      <c r="AV750" t="str">
        <f>IF(ifood_data[[#All],[Income]]&gt;75000,"75K+",(IF(ifood_data[[#All],[Income]]&gt;50000,"50K-75K",(IF(ifood_data[[#All],[Income]]&gt;35000,"35K-50K","&lt;35K")))))</f>
        <v>50K-75K</v>
      </c>
      <c r="AW750" t="str">
        <f>IF(ifood_data[[#All],[Age]]&gt;60,"60+",(IF(ifood_data[[#All],[Age]]&gt;50,"50-60",(IF(ifood_data[[#All],[Age]]&gt;40,"40-50",(IF(ifood_data[[#All],[Age]]&gt;30,"30-40","&lt;30")))))))</f>
        <v>60+</v>
      </c>
      <c r="AX750">
        <f t="shared" si="44"/>
        <v>33</v>
      </c>
      <c r="AY750">
        <f t="shared" si="45"/>
        <v>5</v>
      </c>
      <c r="AZ750">
        <f t="shared" si="46"/>
        <v>9</v>
      </c>
      <c r="BA750">
        <f t="shared" si="47"/>
        <v>8</v>
      </c>
      <c r="BB750">
        <f>SUM(ifood_data[[#This Row],[Recency Score]:[Monetary Score]])</f>
        <v>22</v>
      </c>
      <c r="BC750">
        <f>(_xlfn.PERCENTRANK.INC(ifood_data[[#All],[RFM]],ifood_data[[#This Row],[RFM]],1))*10</f>
        <v>8</v>
      </c>
      <c r="BD750" t="str">
        <f>VLOOKUP(ifood_data[[#This Row],[RFM Score]],'RFM Analysis'!$A$3:$B$14,2,FALSE)</f>
        <v>Loyal Customer</v>
      </c>
      <c r="BE750">
        <f>'Regression Models'!$B$101+'Regression Models'!$B$102*ifood_data[[#This Row],[Income]]+'Regression Models'!$B$103*ifood_data[[#This Row],[Age]]+'Regression Models'!$B$104*ifood_data[[#This Row],[Family]]</f>
        <v>680.95942237281679</v>
      </c>
      <c r="BF750" t="str">
        <f>IF(ifood_data[[#This Row],[AcceptedCmpOverall]]=1,"Campaign Respondent","Non-respondent")</f>
        <v>Non-respondent</v>
      </c>
    </row>
    <row r="751" spans="1:58" x14ac:dyDescent="0.35">
      <c r="A751">
        <v>762</v>
      </c>
      <c r="B751">
        <v>48192</v>
      </c>
      <c r="C751">
        <v>0</v>
      </c>
      <c r="D751">
        <v>0</v>
      </c>
      <c r="E751">
        <v>76</v>
      </c>
      <c r="F751">
        <v>1039</v>
      </c>
      <c r="G751">
        <v>43</v>
      </c>
      <c r="H751">
        <v>204</v>
      </c>
      <c r="I751">
        <v>153</v>
      </c>
      <c r="J751">
        <v>58</v>
      </c>
      <c r="K751">
        <v>29</v>
      </c>
      <c r="L751">
        <v>3</v>
      </c>
      <c r="M751">
        <v>2</v>
      </c>
      <c r="N751">
        <v>8</v>
      </c>
      <c r="O751">
        <v>12</v>
      </c>
      <c r="P751">
        <v>8</v>
      </c>
      <c r="Q751">
        <v>1</v>
      </c>
      <c r="R751">
        <v>1</v>
      </c>
      <c r="S751">
        <v>0</v>
      </c>
      <c r="T751">
        <v>1</v>
      </c>
      <c r="U751">
        <v>0</v>
      </c>
      <c r="V751">
        <f>IF(SUM(ifood_data[[#This Row],[AcceptedCmp1]:[AcceptedCmp5]])&gt;0,1,0)</f>
        <v>1</v>
      </c>
      <c r="W751">
        <v>0</v>
      </c>
      <c r="X751">
        <v>3</v>
      </c>
      <c r="Y751">
        <v>11</v>
      </c>
      <c r="Z751">
        <v>1</v>
      </c>
      <c r="AA751">
        <v>62</v>
      </c>
      <c r="AB751">
        <v>2608</v>
      </c>
      <c r="AC751" s="28">
        <f>ifood_data[[#This Row],[Customer_Days]]/365</f>
        <v>7.1452054794520548</v>
      </c>
      <c r="AD751">
        <v>0</v>
      </c>
      <c r="AE751">
        <v>1</v>
      </c>
      <c r="AF751">
        <v>0</v>
      </c>
      <c r="AG751">
        <v>0</v>
      </c>
      <c r="AH751">
        <v>0</v>
      </c>
      <c r="AI751">
        <v>0</v>
      </c>
      <c r="AJ751">
        <v>0</v>
      </c>
      <c r="AK751">
        <v>1</v>
      </c>
      <c r="AL751">
        <v>0</v>
      </c>
      <c r="AM751">
        <v>0</v>
      </c>
      <c r="AN751">
        <v>1497</v>
      </c>
      <c r="AO751">
        <v>1468</v>
      </c>
      <c r="AP751">
        <f>ifood_data[[#This Row],[MntTotal]]-ifood_data[[#This Row],[MntRegularProds]]</f>
        <v>29</v>
      </c>
      <c r="AQ751">
        <v>3</v>
      </c>
      <c r="AR751">
        <f>IF(SUM(ifood_data[[#This Row],[Kidhome]:[Teenhome]])&gt;0,1,0)</f>
        <v>0</v>
      </c>
      <c r="AS751" t="str">
        <f>IF(SUM(ifood_data[[#This Row],[Kidhome]:[Teenhome]])&gt;0,"Has Family","No Family")</f>
        <v>No Family</v>
      </c>
      <c r="AT751" t="str">
        <f>IF(ifood_data[[#This Row],[marital_Married]]=1,"Married", (IF(ifood_data[[#This Row],[marital_Single]]=1,"Single",(IF(ifood_data[[#This Row],[marital_Divorced]]=1,"Divorced",(IF(ifood_data[[#This Row],[marital_Together]]=1,"Living Together",(IF(ifood_data[[#This Row],[marital_Widow]]=1,"Widow","Other")))))))))</f>
        <v>Married</v>
      </c>
      <c r="AU751" t="str">
        <f>IF(ifood_data[[#This Row],[education_Basic]]=1,"High School",(IF(ifood_data[[#This Row],[education_Graduation]]=1,"Undergraduate Degree",(IF(SUM(AM751,AL751,AI751)&gt;0,"Master's Degree or Higher","Other")))))</f>
        <v>Undergraduate Degree</v>
      </c>
      <c r="AV751" t="str">
        <f>IF(ifood_data[[#All],[Income]]&gt;75000,"75K+",(IF(ifood_data[[#All],[Income]]&gt;50000,"50K-75K",(IF(ifood_data[[#All],[Income]]&gt;35000,"35K-50K","&lt;35K")))))</f>
        <v>35K-50K</v>
      </c>
      <c r="AW751" t="str">
        <f>IF(ifood_data[[#All],[Age]]&gt;60,"60+",(IF(ifood_data[[#All],[Age]]&gt;50,"50-60",(IF(ifood_data[[#All],[Age]]&gt;40,"40-50",(IF(ifood_data[[#All],[Age]]&gt;30,"30-40","&lt;30")))))))</f>
        <v>60+</v>
      </c>
      <c r="AX751">
        <f t="shared" si="44"/>
        <v>33</v>
      </c>
      <c r="AY751">
        <f t="shared" si="45"/>
        <v>3.0000000000000004</v>
      </c>
      <c r="AZ751">
        <f t="shared" si="46"/>
        <v>9</v>
      </c>
      <c r="BA751">
        <f t="shared" si="47"/>
        <v>9</v>
      </c>
      <c r="BB751">
        <f>SUM(ifood_data[[#This Row],[Recency Score]:[Monetary Score]])</f>
        <v>21</v>
      </c>
      <c r="BC751">
        <f>(_xlfn.PERCENTRANK.INC(ifood_data[[#All],[RFM]],ifood_data[[#This Row],[RFM]],1))*10</f>
        <v>8</v>
      </c>
      <c r="BD751" t="str">
        <f>VLOOKUP(ifood_data[[#This Row],[RFM Score]],'RFM Analysis'!$A$3:$B$14,2,FALSE)</f>
        <v>Loyal Customer</v>
      </c>
      <c r="BE751">
        <f>'Regression Models'!$B$101+'Regression Models'!$B$102*ifood_data[[#This Row],[Income]]+'Regression Models'!$B$103*ifood_data[[#This Row],[Age]]+'Regression Models'!$B$104*ifood_data[[#This Row],[Family]]</f>
        <v>680.90103522486368</v>
      </c>
      <c r="BF751" t="str">
        <f>IF(ifood_data[[#This Row],[AcceptedCmpOverall]]=1,"Campaign Respondent","Non-respondent")</f>
        <v>Campaign Respondent</v>
      </c>
    </row>
    <row r="752" spans="1:58" x14ac:dyDescent="0.35">
      <c r="A752">
        <v>316</v>
      </c>
      <c r="B752">
        <v>62204</v>
      </c>
      <c r="C752">
        <v>0</v>
      </c>
      <c r="D752">
        <v>2</v>
      </c>
      <c r="E752">
        <v>38</v>
      </c>
      <c r="F752">
        <v>317</v>
      </c>
      <c r="G752">
        <v>46</v>
      </c>
      <c r="H752">
        <v>247</v>
      </c>
      <c r="I752">
        <v>151</v>
      </c>
      <c r="J752">
        <v>46</v>
      </c>
      <c r="K752">
        <v>139</v>
      </c>
      <c r="L752">
        <v>1</v>
      </c>
      <c r="M752">
        <v>4</v>
      </c>
      <c r="N752">
        <v>5</v>
      </c>
      <c r="O752">
        <v>12</v>
      </c>
      <c r="P752">
        <v>3</v>
      </c>
      <c r="Q752">
        <v>0</v>
      </c>
      <c r="R752">
        <v>0</v>
      </c>
      <c r="S752">
        <v>0</v>
      </c>
      <c r="T752">
        <v>0</v>
      </c>
      <c r="U752">
        <v>0</v>
      </c>
      <c r="V752">
        <f>IF(SUM(ifood_data[[#This Row],[AcceptedCmp1]:[AcceptedCmp5]])&gt;0,1,0)</f>
        <v>0</v>
      </c>
      <c r="W752">
        <v>0</v>
      </c>
      <c r="X752">
        <v>3</v>
      </c>
      <c r="Y752">
        <v>11</v>
      </c>
      <c r="Z752">
        <v>0</v>
      </c>
      <c r="AA752">
        <v>60</v>
      </c>
      <c r="AB752">
        <v>2814</v>
      </c>
      <c r="AC752" s="28">
        <f>ifood_data[[#This Row],[Customer_Days]]/365</f>
        <v>7.7095890410958905</v>
      </c>
      <c r="AD752">
        <v>1</v>
      </c>
      <c r="AE752">
        <v>0</v>
      </c>
      <c r="AF752">
        <v>0</v>
      </c>
      <c r="AG752">
        <v>0</v>
      </c>
      <c r="AH752">
        <v>0</v>
      </c>
      <c r="AI752">
        <v>0</v>
      </c>
      <c r="AJ752">
        <v>0</v>
      </c>
      <c r="AK752">
        <v>1</v>
      </c>
      <c r="AL752">
        <v>0</v>
      </c>
      <c r="AM752">
        <v>0</v>
      </c>
      <c r="AN752">
        <v>807</v>
      </c>
      <c r="AO752">
        <v>668</v>
      </c>
      <c r="AP752">
        <f>ifood_data[[#This Row],[MntTotal]]-ifood_data[[#This Row],[MntRegularProds]]</f>
        <v>139</v>
      </c>
      <c r="AQ752">
        <v>0</v>
      </c>
      <c r="AR752">
        <f>IF(SUM(ifood_data[[#This Row],[Kidhome]:[Teenhome]])&gt;0,1,0)</f>
        <v>1</v>
      </c>
      <c r="AS752" t="str">
        <f>IF(SUM(ifood_data[[#This Row],[Kidhome]:[Teenhome]])&gt;0,"Has Family","No Family")</f>
        <v>Has Family</v>
      </c>
      <c r="AT752" t="str">
        <f>IF(ifood_data[[#This Row],[marital_Married]]=1,"Married", (IF(ifood_data[[#This Row],[marital_Single]]=1,"Single",(IF(ifood_data[[#This Row],[marital_Divorced]]=1,"Divorced",(IF(ifood_data[[#This Row],[marital_Together]]=1,"Living Together",(IF(ifood_data[[#This Row],[marital_Widow]]=1,"Widow","Other")))))))))</f>
        <v>Divorced</v>
      </c>
      <c r="AU752" t="str">
        <f>IF(ifood_data[[#This Row],[education_Basic]]=1,"High School",(IF(ifood_data[[#This Row],[education_Graduation]]=1,"Undergraduate Degree",(IF(SUM(AM752,AL752,AI752)&gt;0,"Master's Degree or Higher","Other")))))</f>
        <v>Undergraduate Degree</v>
      </c>
      <c r="AV752" t="str">
        <f>IF(ifood_data[[#All],[Income]]&gt;75000,"75K+",(IF(ifood_data[[#All],[Income]]&gt;50000,"50K-75K",(IF(ifood_data[[#All],[Income]]&gt;35000,"35K-50K","&lt;35K")))))</f>
        <v>50K-75K</v>
      </c>
      <c r="AW752" t="str">
        <f>IF(ifood_data[[#All],[Age]]&gt;60,"60+",(IF(ifood_data[[#All],[Age]]&gt;50,"50-60",(IF(ifood_data[[#All],[Age]]&gt;40,"40-50",(IF(ifood_data[[#All],[Age]]&gt;30,"30-40","&lt;30")))))))</f>
        <v>50-60</v>
      </c>
      <c r="AX752">
        <f t="shared" si="44"/>
        <v>25</v>
      </c>
      <c r="AY752">
        <f t="shared" si="45"/>
        <v>7</v>
      </c>
      <c r="AZ752">
        <f t="shared" si="46"/>
        <v>7</v>
      </c>
      <c r="BA752">
        <f t="shared" si="47"/>
        <v>6</v>
      </c>
      <c r="BB752">
        <f>SUM(ifood_data[[#This Row],[Recency Score]:[Monetary Score]])</f>
        <v>20</v>
      </c>
      <c r="BC752">
        <f>(_xlfn.PERCENTRANK.INC(ifood_data[[#All],[RFM]],ifood_data[[#This Row],[RFM]],1))*10</f>
        <v>7</v>
      </c>
      <c r="BD752" t="str">
        <f>VLOOKUP(ifood_data[[#This Row],[RFM Score]],'RFM Analysis'!$A$3:$B$14,2,FALSE)</f>
        <v>Loyal Customer</v>
      </c>
      <c r="BE752">
        <f>'Regression Models'!$B$101+'Regression Models'!$B$102*ifood_data[[#This Row],[Income]]+'Regression Models'!$B$103*ifood_data[[#This Row],[Age]]+'Regression Models'!$B$104*ifood_data[[#This Row],[Family]]</f>
        <v>680.64770154194821</v>
      </c>
      <c r="BF752" t="str">
        <f>IF(ifood_data[[#This Row],[AcceptedCmpOverall]]=1,"Campaign Respondent","Non-respondent")</f>
        <v>Non-respondent</v>
      </c>
    </row>
    <row r="753" spans="1:58" x14ac:dyDescent="0.35">
      <c r="A753">
        <v>809</v>
      </c>
      <c r="B753">
        <v>60474</v>
      </c>
      <c r="C753">
        <v>0</v>
      </c>
      <c r="D753">
        <v>1</v>
      </c>
      <c r="E753">
        <v>25</v>
      </c>
      <c r="F753">
        <v>265</v>
      </c>
      <c r="G753">
        <v>199</v>
      </c>
      <c r="H753">
        <v>303</v>
      </c>
      <c r="I753">
        <v>234</v>
      </c>
      <c r="J753">
        <v>9</v>
      </c>
      <c r="K753">
        <v>170</v>
      </c>
      <c r="L753">
        <v>7</v>
      </c>
      <c r="M753">
        <v>10</v>
      </c>
      <c r="N753">
        <v>2</v>
      </c>
      <c r="O753">
        <v>12</v>
      </c>
      <c r="P753">
        <v>7</v>
      </c>
      <c r="Q753">
        <v>0</v>
      </c>
      <c r="R753">
        <v>0</v>
      </c>
      <c r="S753">
        <v>0</v>
      </c>
      <c r="T753">
        <v>0</v>
      </c>
      <c r="U753">
        <v>0</v>
      </c>
      <c r="V753">
        <f>IF(SUM(ifood_data[[#This Row],[AcceptedCmp1]:[AcceptedCmp5]])&gt;0,1,0)</f>
        <v>0</v>
      </c>
      <c r="W753">
        <v>0</v>
      </c>
      <c r="X753">
        <v>3</v>
      </c>
      <c r="Y753">
        <v>11</v>
      </c>
      <c r="Z753">
        <v>0</v>
      </c>
      <c r="AA753">
        <v>41</v>
      </c>
      <c r="AB753">
        <v>2613</v>
      </c>
      <c r="AC753" s="28">
        <f>ifood_data[[#This Row],[Customer_Days]]/365</f>
        <v>7.1589041095890407</v>
      </c>
      <c r="AD753">
        <v>0</v>
      </c>
      <c r="AE753">
        <v>0</v>
      </c>
      <c r="AF753">
        <v>1</v>
      </c>
      <c r="AG753">
        <v>0</v>
      </c>
      <c r="AH753">
        <v>0</v>
      </c>
      <c r="AI753">
        <v>0</v>
      </c>
      <c r="AJ753">
        <v>0</v>
      </c>
      <c r="AK753">
        <v>1</v>
      </c>
      <c r="AL753">
        <v>0</v>
      </c>
      <c r="AM753">
        <v>0</v>
      </c>
      <c r="AN753">
        <v>1010</v>
      </c>
      <c r="AO753">
        <v>840</v>
      </c>
      <c r="AP753">
        <f>ifood_data[[#This Row],[MntTotal]]-ifood_data[[#This Row],[MntRegularProds]]</f>
        <v>170</v>
      </c>
      <c r="AQ753">
        <v>0</v>
      </c>
      <c r="AR753">
        <f>IF(SUM(ifood_data[[#This Row],[Kidhome]:[Teenhome]])&gt;0,1,0)</f>
        <v>1</v>
      </c>
      <c r="AS753" t="str">
        <f>IF(SUM(ifood_data[[#This Row],[Kidhome]:[Teenhome]])&gt;0,"Has Family","No Family")</f>
        <v>Has Family</v>
      </c>
      <c r="AT753" t="str">
        <f>IF(ifood_data[[#This Row],[marital_Married]]=1,"Married", (IF(ifood_data[[#This Row],[marital_Single]]=1,"Single",(IF(ifood_data[[#This Row],[marital_Divorced]]=1,"Divorced",(IF(ifood_data[[#This Row],[marital_Together]]=1,"Living Together",(IF(ifood_data[[#This Row],[marital_Widow]]=1,"Widow","Other")))))))))</f>
        <v>Single</v>
      </c>
      <c r="AU753" t="str">
        <f>IF(ifood_data[[#This Row],[education_Basic]]=1,"High School",(IF(ifood_data[[#This Row],[education_Graduation]]=1,"Undergraduate Degree",(IF(SUM(AM753,AL753,AI753)&gt;0,"Master's Degree or Higher","Other")))))</f>
        <v>Undergraduate Degree</v>
      </c>
      <c r="AV753" t="str">
        <f>IF(ifood_data[[#All],[Income]]&gt;75000,"75K+",(IF(ifood_data[[#All],[Income]]&gt;50000,"50K-75K",(IF(ifood_data[[#All],[Income]]&gt;35000,"35K-50K","&lt;35K")))))</f>
        <v>50K-75K</v>
      </c>
      <c r="AW753" t="str">
        <f>IF(ifood_data[[#All],[Age]]&gt;60,"60+",(IF(ifood_data[[#All],[Age]]&gt;50,"50-60",(IF(ifood_data[[#All],[Age]]&gt;40,"40-50",(IF(ifood_data[[#All],[Age]]&gt;30,"30-40","&lt;30")))))))</f>
        <v>40-50</v>
      </c>
      <c r="AX753">
        <f t="shared" si="44"/>
        <v>38</v>
      </c>
      <c r="AY753">
        <f t="shared" si="45"/>
        <v>8</v>
      </c>
      <c r="AZ753">
        <f t="shared" si="46"/>
        <v>9</v>
      </c>
      <c r="BA753">
        <f t="shared" si="47"/>
        <v>7</v>
      </c>
      <c r="BB753">
        <f>SUM(ifood_data[[#This Row],[Recency Score]:[Monetary Score]])</f>
        <v>24</v>
      </c>
      <c r="BC753">
        <f>(_xlfn.PERCENTRANK.INC(ifood_data[[#All],[RFM]],ifood_data[[#This Row],[RFM]],1))*10</f>
        <v>9</v>
      </c>
      <c r="BD753" t="str">
        <f>VLOOKUP(ifood_data[[#This Row],[RFM Score]],'RFM Analysis'!$A$3:$B$14,2,FALSE)</f>
        <v>Top Customer</v>
      </c>
      <c r="BE753">
        <f>'Regression Models'!$B$101+'Regression Models'!$B$102*ifood_data[[#This Row],[Income]]+'Regression Models'!$B$103*ifood_data[[#This Row],[Age]]+'Regression Models'!$B$104*ifood_data[[#This Row],[Family]]</f>
        <v>680.2674751519944</v>
      </c>
      <c r="BF753" t="str">
        <f>IF(ifood_data[[#This Row],[AcceptedCmpOverall]]=1,"Campaign Respondent","Non-respondent")</f>
        <v>Non-respondent</v>
      </c>
    </row>
    <row r="754" spans="1:58" x14ac:dyDescent="0.35">
      <c r="A754">
        <v>450</v>
      </c>
      <c r="B754">
        <v>62503</v>
      </c>
      <c r="C754">
        <v>0</v>
      </c>
      <c r="D754">
        <v>1</v>
      </c>
      <c r="E754">
        <v>40</v>
      </c>
      <c r="F754">
        <v>478</v>
      </c>
      <c r="G754">
        <v>0</v>
      </c>
      <c r="H754">
        <v>193</v>
      </c>
      <c r="I754">
        <v>110</v>
      </c>
      <c r="J754">
        <v>75</v>
      </c>
      <c r="K754">
        <v>117</v>
      </c>
      <c r="L754">
        <v>4</v>
      </c>
      <c r="M754">
        <v>8</v>
      </c>
      <c r="N754">
        <v>3</v>
      </c>
      <c r="O754">
        <v>11</v>
      </c>
      <c r="P754">
        <v>5</v>
      </c>
      <c r="Q754">
        <v>0</v>
      </c>
      <c r="R754">
        <v>0</v>
      </c>
      <c r="S754">
        <v>0</v>
      </c>
      <c r="T754">
        <v>0</v>
      </c>
      <c r="U754">
        <v>0</v>
      </c>
      <c r="V754">
        <f>IF(SUM(ifood_data[[#This Row],[AcceptedCmp1]:[AcceptedCmp5]])&gt;0,1,0)</f>
        <v>0</v>
      </c>
      <c r="W754">
        <v>0</v>
      </c>
      <c r="X754">
        <v>3</v>
      </c>
      <c r="Y754">
        <v>11</v>
      </c>
      <c r="Z754">
        <v>0</v>
      </c>
      <c r="AA754">
        <v>64</v>
      </c>
      <c r="AB754">
        <v>2655</v>
      </c>
      <c r="AC754" s="28">
        <f>ifood_data[[#This Row],[Customer_Days]]/365</f>
        <v>7.2739726027397262</v>
      </c>
      <c r="AD754">
        <v>0</v>
      </c>
      <c r="AE754">
        <v>1</v>
      </c>
      <c r="AF754">
        <v>0</v>
      </c>
      <c r="AG754">
        <v>0</v>
      </c>
      <c r="AH754">
        <v>0</v>
      </c>
      <c r="AI754">
        <v>0</v>
      </c>
      <c r="AJ754">
        <v>0</v>
      </c>
      <c r="AK754">
        <v>1</v>
      </c>
      <c r="AL754">
        <v>0</v>
      </c>
      <c r="AM754">
        <v>0</v>
      </c>
      <c r="AN754">
        <v>856</v>
      </c>
      <c r="AO754">
        <v>739</v>
      </c>
      <c r="AP754">
        <f>ifood_data[[#This Row],[MntTotal]]-ifood_data[[#This Row],[MntRegularProds]]</f>
        <v>117</v>
      </c>
      <c r="AQ754">
        <v>0</v>
      </c>
      <c r="AR754">
        <f>IF(SUM(ifood_data[[#This Row],[Kidhome]:[Teenhome]])&gt;0,1,0)</f>
        <v>1</v>
      </c>
      <c r="AS754" t="str">
        <f>IF(SUM(ifood_data[[#This Row],[Kidhome]:[Teenhome]])&gt;0,"Has Family","No Family")</f>
        <v>Has Family</v>
      </c>
      <c r="AT754" t="str">
        <f>IF(ifood_data[[#This Row],[marital_Married]]=1,"Married", (IF(ifood_data[[#This Row],[marital_Single]]=1,"Single",(IF(ifood_data[[#This Row],[marital_Divorced]]=1,"Divorced",(IF(ifood_data[[#This Row],[marital_Together]]=1,"Living Together",(IF(ifood_data[[#This Row],[marital_Widow]]=1,"Widow","Other")))))))))</f>
        <v>Married</v>
      </c>
      <c r="AU754" t="str">
        <f>IF(ifood_data[[#This Row],[education_Basic]]=1,"High School",(IF(ifood_data[[#This Row],[education_Graduation]]=1,"Undergraduate Degree",(IF(SUM(AM754,AL754,AI754)&gt;0,"Master's Degree or Higher","Other")))))</f>
        <v>Undergraduate Degree</v>
      </c>
      <c r="AV754" t="str">
        <f>IF(ifood_data[[#All],[Income]]&gt;75000,"75K+",(IF(ifood_data[[#All],[Income]]&gt;50000,"50K-75K",(IF(ifood_data[[#All],[Income]]&gt;35000,"35K-50K","&lt;35K")))))</f>
        <v>50K-75K</v>
      </c>
      <c r="AW754" t="str">
        <f>IF(ifood_data[[#All],[Age]]&gt;60,"60+",(IF(ifood_data[[#All],[Age]]&gt;50,"50-60",(IF(ifood_data[[#All],[Age]]&gt;40,"40-50",(IF(ifood_data[[#All],[Age]]&gt;30,"30-40","&lt;30")))))))</f>
        <v>60+</v>
      </c>
      <c r="AX754">
        <f t="shared" si="44"/>
        <v>31</v>
      </c>
      <c r="AY754">
        <f t="shared" si="45"/>
        <v>6</v>
      </c>
      <c r="AZ754">
        <f t="shared" si="46"/>
        <v>9</v>
      </c>
      <c r="BA754">
        <f t="shared" si="47"/>
        <v>7</v>
      </c>
      <c r="BB754">
        <f>SUM(ifood_data[[#This Row],[Recency Score]:[Monetary Score]])</f>
        <v>22</v>
      </c>
      <c r="BC754">
        <f>(_xlfn.PERCENTRANK.INC(ifood_data[[#All],[RFM]],ifood_data[[#This Row],[RFM]],1))*10</f>
        <v>8</v>
      </c>
      <c r="BD754" t="str">
        <f>VLOOKUP(ifood_data[[#This Row],[RFM Score]],'RFM Analysis'!$A$3:$B$14,2,FALSE)</f>
        <v>Loyal Customer</v>
      </c>
      <c r="BE754">
        <f>'Regression Models'!$B$101+'Regression Models'!$B$102*ifood_data[[#This Row],[Income]]+'Regression Models'!$B$103*ifood_data[[#This Row],[Age]]+'Regression Models'!$B$104*ifood_data[[#This Row],[Family]]</f>
        <v>679.39818690139691</v>
      </c>
      <c r="BF754" t="str">
        <f>IF(ifood_data[[#This Row],[AcceptedCmpOverall]]=1,"Campaign Respondent","Non-respondent")</f>
        <v>Non-respondent</v>
      </c>
    </row>
    <row r="755" spans="1:58" x14ac:dyDescent="0.35">
      <c r="A755">
        <v>1526</v>
      </c>
      <c r="B755">
        <v>62670</v>
      </c>
      <c r="C755">
        <v>0</v>
      </c>
      <c r="D755">
        <v>1</v>
      </c>
      <c r="E755">
        <v>57</v>
      </c>
      <c r="F755">
        <v>539</v>
      </c>
      <c r="G755">
        <v>30</v>
      </c>
      <c r="H755">
        <v>92</v>
      </c>
      <c r="I755">
        <v>80</v>
      </c>
      <c r="J755">
        <v>46</v>
      </c>
      <c r="K755">
        <v>38</v>
      </c>
      <c r="L755">
        <v>1</v>
      </c>
      <c r="M755">
        <v>5</v>
      </c>
      <c r="N755">
        <v>3</v>
      </c>
      <c r="O755">
        <v>13</v>
      </c>
      <c r="P755">
        <v>3</v>
      </c>
      <c r="Q755">
        <v>0</v>
      </c>
      <c r="R755">
        <v>0</v>
      </c>
      <c r="S755">
        <v>0</v>
      </c>
      <c r="T755">
        <v>0</v>
      </c>
      <c r="U755">
        <v>0</v>
      </c>
      <c r="V755">
        <f>IF(SUM(ifood_data[[#This Row],[AcceptedCmp1]:[AcceptedCmp5]])&gt;0,1,0)</f>
        <v>0</v>
      </c>
      <c r="W755">
        <v>0</v>
      </c>
      <c r="X755">
        <v>3</v>
      </c>
      <c r="Y755">
        <v>11</v>
      </c>
      <c r="Z755">
        <v>0</v>
      </c>
      <c r="AA755">
        <v>66</v>
      </c>
      <c r="AB755">
        <v>2306</v>
      </c>
      <c r="AC755" s="28">
        <f>ifood_data[[#This Row],[Customer_Days]]/365</f>
        <v>6.3178082191780822</v>
      </c>
      <c r="AD755">
        <v>0</v>
      </c>
      <c r="AE755">
        <v>1</v>
      </c>
      <c r="AF755">
        <v>0</v>
      </c>
      <c r="AG755">
        <v>0</v>
      </c>
      <c r="AH755">
        <v>0</v>
      </c>
      <c r="AI755">
        <v>0</v>
      </c>
      <c r="AJ755">
        <v>0</v>
      </c>
      <c r="AK755">
        <v>0</v>
      </c>
      <c r="AL755">
        <v>0</v>
      </c>
      <c r="AM755">
        <v>1</v>
      </c>
      <c r="AN755">
        <v>787</v>
      </c>
      <c r="AO755">
        <v>749</v>
      </c>
      <c r="AP755">
        <f>ifood_data[[#This Row],[MntTotal]]-ifood_data[[#This Row],[MntRegularProds]]</f>
        <v>38</v>
      </c>
      <c r="AQ755">
        <v>0</v>
      </c>
      <c r="AR755">
        <f>IF(SUM(ifood_data[[#This Row],[Kidhome]:[Teenhome]])&gt;0,1,0)</f>
        <v>1</v>
      </c>
      <c r="AS755" t="str">
        <f>IF(SUM(ifood_data[[#This Row],[Kidhome]:[Teenhome]])&gt;0,"Has Family","No Family")</f>
        <v>Has Family</v>
      </c>
      <c r="AT755" t="str">
        <f>IF(ifood_data[[#This Row],[marital_Married]]=1,"Married", (IF(ifood_data[[#This Row],[marital_Single]]=1,"Single",(IF(ifood_data[[#This Row],[marital_Divorced]]=1,"Divorced",(IF(ifood_data[[#This Row],[marital_Together]]=1,"Living Together",(IF(ifood_data[[#This Row],[marital_Widow]]=1,"Widow","Other")))))))))</f>
        <v>Married</v>
      </c>
      <c r="AU755" t="str">
        <f>IF(ifood_data[[#This Row],[education_Basic]]=1,"High School",(IF(ifood_data[[#This Row],[education_Graduation]]=1,"Undergraduate Degree",(IF(SUM(AM755,AL755,AI755)&gt;0,"Master's Degree or Higher","Other")))))</f>
        <v>Master's Degree or Higher</v>
      </c>
      <c r="AV755" t="str">
        <f>IF(ifood_data[[#All],[Income]]&gt;75000,"75K+",(IF(ifood_data[[#All],[Income]]&gt;50000,"50K-75K",(IF(ifood_data[[#All],[Income]]&gt;35000,"35K-50K","&lt;35K")))))</f>
        <v>50K-75K</v>
      </c>
      <c r="AW755" t="str">
        <f>IF(ifood_data[[#All],[Age]]&gt;60,"60+",(IF(ifood_data[[#All],[Age]]&gt;50,"50-60",(IF(ifood_data[[#All],[Age]]&gt;40,"40-50",(IF(ifood_data[[#All],[Age]]&gt;30,"30-40","&lt;30")))))))</f>
        <v>60+</v>
      </c>
      <c r="AX755">
        <f t="shared" si="44"/>
        <v>25</v>
      </c>
      <c r="AY755">
        <f t="shared" si="45"/>
        <v>5</v>
      </c>
      <c r="AZ755">
        <f t="shared" si="46"/>
        <v>7</v>
      </c>
      <c r="BA755">
        <f t="shared" si="47"/>
        <v>6</v>
      </c>
      <c r="BB755">
        <f>SUM(ifood_data[[#This Row],[Recency Score]:[Monetary Score]])</f>
        <v>18</v>
      </c>
      <c r="BC755">
        <f>(_xlfn.PERCENTRANK.INC(ifood_data[[#All],[RFM]],ifood_data[[#This Row],[RFM]],1))*10</f>
        <v>6</v>
      </c>
      <c r="BD755" t="str">
        <f>VLOOKUP(ifood_data[[#This Row],[RFM Score]],'RFM Analysis'!$A$3:$B$14,2,FALSE)</f>
        <v>Promising</v>
      </c>
      <c r="BE755">
        <f>'Regression Models'!$B$101+'Regression Models'!$B$102*ifood_data[[#This Row],[Income]]+'Regression Models'!$B$103*ifood_data[[#This Row],[Age]]+'Regression Models'!$B$104*ifood_data[[#This Row],[Family]]</f>
        <v>679.13023302363945</v>
      </c>
      <c r="BF755" t="str">
        <f>IF(ifood_data[[#This Row],[AcceptedCmpOverall]]=1,"Campaign Respondent","Non-respondent")</f>
        <v>Non-respondent</v>
      </c>
    </row>
    <row r="756" spans="1:58" x14ac:dyDescent="0.35">
      <c r="A756">
        <v>1936</v>
      </c>
      <c r="B756">
        <v>62637</v>
      </c>
      <c r="C756">
        <v>0</v>
      </c>
      <c r="D756">
        <v>1</v>
      </c>
      <c r="E756">
        <v>76</v>
      </c>
      <c r="F756">
        <v>104</v>
      </c>
      <c r="G756">
        <v>12</v>
      </c>
      <c r="H756">
        <v>48</v>
      </c>
      <c r="I756">
        <v>4</v>
      </c>
      <c r="J756">
        <v>12</v>
      </c>
      <c r="K756">
        <v>5</v>
      </c>
      <c r="L756">
        <v>1</v>
      </c>
      <c r="M756">
        <v>2</v>
      </c>
      <c r="N756">
        <v>2</v>
      </c>
      <c r="O756">
        <v>5</v>
      </c>
      <c r="P756">
        <v>2</v>
      </c>
      <c r="Q756">
        <v>0</v>
      </c>
      <c r="R756">
        <v>0</v>
      </c>
      <c r="S756">
        <v>0</v>
      </c>
      <c r="T756">
        <v>0</v>
      </c>
      <c r="U756">
        <v>0</v>
      </c>
      <c r="V756">
        <f>IF(SUM(ifood_data[[#This Row],[AcceptedCmp1]:[AcceptedCmp5]])&gt;0,1,0)</f>
        <v>0</v>
      </c>
      <c r="W756">
        <v>0</v>
      </c>
      <c r="X756">
        <v>3</v>
      </c>
      <c r="Y756">
        <v>11</v>
      </c>
      <c r="Z756">
        <v>0</v>
      </c>
      <c r="AA756">
        <v>66</v>
      </c>
      <c r="AB756">
        <v>2279</v>
      </c>
      <c r="AC756" s="28">
        <f>ifood_data[[#This Row],[Customer_Days]]/365</f>
        <v>6.2438356164383562</v>
      </c>
      <c r="AD756">
        <v>1</v>
      </c>
      <c r="AE756">
        <v>0</v>
      </c>
      <c r="AF756">
        <v>0</v>
      </c>
      <c r="AG756">
        <v>0</v>
      </c>
      <c r="AH756">
        <v>0</v>
      </c>
      <c r="AI756">
        <v>0</v>
      </c>
      <c r="AJ756">
        <v>0</v>
      </c>
      <c r="AK756">
        <v>0</v>
      </c>
      <c r="AL756">
        <v>1</v>
      </c>
      <c r="AM756">
        <v>0</v>
      </c>
      <c r="AN756">
        <v>180</v>
      </c>
      <c r="AO756">
        <v>175</v>
      </c>
      <c r="AP756">
        <f>ifood_data[[#This Row],[MntTotal]]-ifood_data[[#This Row],[MntRegularProds]]</f>
        <v>5</v>
      </c>
      <c r="AQ756">
        <v>0</v>
      </c>
      <c r="AR756">
        <f>IF(SUM(ifood_data[[#This Row],[Kidhome]:[Teenhome]])&gt;0,1,0)</f>
        <v>1</v>
      </c>
      <c r="AS756" t="str">
        <f>IF(SUM(ifood_data[[#This Row],[Kidhome]:[Teenhome]])&gt;0,"Has Family","No Family")</f>
        <v>Has Family</v>
      </c>
      <c r="AT756" t="str">
        <f>IF(ifood_data[[#This Row],[marital_Married]]=1,"Married", (IF(ifood_data[[#This Row],[marital_Single]]=1,"Single",(IF(ifood_data[[#This Row],[marital_Divorced]]=1,"Divorced",(IF(ifood_data[[#This Row],[marital_Together]]=1,"Living Together",(IF(ifood_data[[#This Row],[marital_Widow]]=1,"Widow","Other")))))))))</f>
        <v>Divorced</v>
      </c>
      <c r="AU756" t="str">
        <f>IF(ifood_data[[#This Row],[education_Basic]]=1,"High School",(IF(ifood_data[[#This Row],[education_Graduation]]=1,"Undergraduate Degree",(IF(SUM(AM756,AL756,AI756)&gt;0,"Master's Degree or Higher","Other")))))</f>
        <v>Master's Degree or Higher</v>
      </c>
      <c r="AV756" t="str">
        <f>IF(ifood_data[[#All],[Income]]&gt;75000,"75K+",(IF(ifood_data[[#All],[Income]]&gt;50000,"50K-75K",(IF(ifood_data[[#All],[Income]]&gt;35000,"35K-50K","&lt;35K")))))</f>
        <v>50K-75K</v>
      </c>
      <c r="AW756" t="str">
        <f>IF(ifood_data[[#All],[Age]]&gt;60,"60+",(IF(ifood_data[[#All],[Age]]&gt;50,"50-60",(IF(ifood_data[[#All],[Age]]&gt;40,"40-50",(IF(ifood_data[[#All],[Age]]&gt;30,"30-40","&lt;30")))))))</f>
        <v>60+</v>
      </c>
      <c r="AX756">
        <f t="shared" si="44"/>
        <v>12</v>
      </c>
      <c r="AY756">
        <f t="shared" si="45"/>
        <v>3.0000000000000004</v>
      </c>
      <c r="AZ756">
        <f t="shared" si="46"/>
        <v>1</v>
      </c>
      <c r="BA756">
        <f t="shared" si="47"/>
        <v>3</v>
      </c>
      <c r="BB756">
        <f>SUM(ifood_data[[#This Row],[Recency Score]:[Monetary Score]])</f>
        <v>7</v>
      </c>
      <c r="BC756">
        <f>(_xlfn.PERCENTRANK.INC(ifood_data[[#All],[RFM]],ifood_data[[#This Row],[RFM]],1))*10</f>
        <v>1</v>
      </c>
      <c r="BD756" t="str">
        <f>VLOOKUP(ifood_data[[#This Row],[RFM Score]],'RFM Analysis'!$A$3:$B$14,2,FALSE)</f>
        <v>At Risk</v>
      </c>
      <c r="BE756">
        <f>'Regression Models'!$B$101+'Regression Models'!$B$102*ifood_data[[#This Row],[Income]]+'Regression Models'!$B$103*ifood_data[[#This Row],[Age]]+'Regression Models'!$B$104*ifood_data[[#This Row],[Family]]</f>
        <v>678.45740367489088</v>
      </c>
      <c r="BF756" t="str">
        <f>IF(ifood_data[[#This Row],[AcceptedCmpOverall]]=1,"Campaign Respondent","Non-respondent")</f>
        <v>Non-respondent</v>
      </c>
    </row>
    <row r="757" spans="1:58" x14ac:dyDescent="0.35">
      <c r="A757">
        <v>1643</v>
      </c>
      <c r="B757">
        <v>62535</v>
      </c>
      <c r="C757">
        <v>0</v>
      </c>
      <c r="D757">
        <v>1</v>
      </c>
      <c r="E757">
        <v>13</v>
      </c>
      <c r="F757">
        <v>163</v>
      </c>
      <c r="G757">
        <v>48</v>
      </c>
      <c r="H757">
        <v>90</v>
      </c>
      <c r="I757">
        <v>0</v>
      </c>
      <c r="J757">
        <v>45</v>
      </c>
      <c r="K757">
        <v>52</v>
      </c>
      <c r="L757">
        <v>1</v>
      </c>
      <c r="M757">
        <v>3</v>
      </c>
      <c r="N757">
        <v>2</v>
      </c>
      <c r="O757">
        <v>8</v>
      </c>
      <c r="P757">
        <v>3</v>
      </c>
      <c r="Q757">
        <v>0</v>
      </c>
      <c r="R757">
        <v>0</v>
      </c>
      <c r="S757">
        <v>0</v>
      </c>
      <c r="T757">
        <v>0</v>
      </c>
      <c r="U757">
        <v>0</v>
      </c>
      <c r="V757">
        <f>IF(SUM(ifood_data[[#This Row],[AcceptedCmp1]:[AcceptedCmp5]])&gt;0,1,0)</f>
        <v>0</v>
      </c>
      <c r="W757">
        <v>0</v>
      </c>
      <c r="X757">
        <v>3</v>
      </c>
      <c r="Y757">
        <v>11</v>
      </c>
      <c r="Z757">
        <v>0</v>
      </c>
      <c r="AA757">
        <v>65</v>
      </c>
      <c r="AB757">
        <v>2428</v>
      </c>
      <c r="AC757" s="28">
        <f>ifood_data[[#This Row],[Customer_Days]]/365</f>
        <v>6.6520547945205477</v>
      </c>
      <c r="AD757">
        <v>0</v>
      </c>
      <c r="AE757">
        <v>0</v>
      </c>
      <c r="AF757">
        <v>1</v>
      </c>
      <c r="AG757">
        <v>0</v>
      </c>
      <c r="AH757">
        <v>0</v>
      </c>
      <c r="AI757">
        <v>0</v>
      </c>
      <c r="AJ757">
        <v>0</v>
      </c>
      <c r="AK757">
        <v>1</v>
      </c>
      <c r="AL757">
        <v>0</v>
      </c>
      <c r="AM757">
        <v>0</v>
      </c>
      <c r="AN757">
        <v>346</v>
      </c>
      <c r="AO757">
        <v>294</v>
      </c>
      <c r="AP757">
        <f>ifood_data[[#This Row],[MntTotal]]-ifood_data[[#This Row],[MntRegularProds]]</f>
        <v>52</v>
      </c>
      <c r="AQ757">
        <v>0</v>
      </c>
      <c r="AR757">
        <f>IF(SUM(ifood_data[[#This Row],[Kidhome]:[Teenhome]])&gt;0,1,0)</f>
        <v>1</v>
      </c>
      <c r="AS757" t="str">
        <f>IF(SUM(ifood_data[[#This Row],[Kidhome]:[Teenhome]])&gt;0,"Has Family","No Family")</f>
        <v>Has Family</v>
      </c>
      <c r="AT757" t="str">
        <f>IF(ifood_data[[#This Row],[marital_Married]]=1,"Married", (IF(ifood_data[[#This Row],[marital_Single]]=1,"Single",(IF(ifood_data[[#This Row],[marital_Divorced]]=1,"Divorced",(IF(ifood_data[[#This Row],[marital_Together]]=1,"Living Together",(IF(ifood_data[[#This Row],[marital_Widow]]=1,"Widow","Other")))))))))</f>
        <v>Single</v>
      </c>
      <c r="AU757" t="str">
        <f>IF(ifood_data[[#This Row],[education_Basic]]=1,"High School",(IF(ifood_data[[#This Row],[education_Graduation]]=1,"Undergraduate Degree",(IF(SUM(AM757,AL757,AI757)&gt;0,"Master's Degree or Higher","Other")))))</f>
        <v>Undergraduate Degree</v>
      </c>
      <c r="AV757" t="str">
        <f>IF(ifood_data[[#All],[Income]]&gt;75000,"75K+",(IF(ifood_data[[#All],[Income]]&gt;50000,"50K-75K",(IF(ifood_data[[#All],[Income]]&gt;35000,"35K-50K","&lt;35K")))))</f>
        <v>50K-75K</v>
      </c>
      <c r="AW757" t="str">
        <f>IF(ifood_data[[#All],[Age]]&gt;60,"60+",(IF(ifood_data[[#All],[Age]]&gt;50,"50-60",(IF(ifood_data[[#All],[Age]]&gt;40,"40-50",(IF(ifood_data[[#All],[Age]]&gt;30,"30-40","&lt;30")))))))</f>
        <v>60+</v>
      </c>
      <c r="AX757">
        <f t="shared" si="44"/>
        <v>17</v>
      </c>
      <c r="AY757">
        <f t="shared" si="45"/>
        <v>9</v>
      </c>
      <c r="AZ757">
        <f t="shared" si="46"/>
        <v>3</v>
      </c>
      <c r="BA757">
        <f t="shared" si="47"/>
        <v>5</v>
      </c>
      <c r="BB757">
        <f>SUM(ifood_data[[#This Row],[Recency Score]:[Monetary Score]])</f>
        <v>17</v>
      </c>
      <c r="BC757">
        <f>(_xlfn.PERCENTRANK.INC(ifood_data[[#All],[RFM]],ifood_data[[#This Row],[RFM]],1))*10</f>
        <v>6</v>
      </c>
      <c r="BD757" t="str">
        <f>VLOOKUP(ifood_data[[#This Row],[RFM Score]],'RFM Analysis'!$A$3:$B$14,2,FALSE)</f>
        <v>Promising</v>
      </c>
      <c r="BE757">
        <f>'Regression Models'!$B$101+'Regression Models'!$B$102*ifood_data[[#This Row],[Income]]+'Regression Models'!$B$103*ifood_data[[#This Row],[Age]]+'Regression Models'!$B$104*ifood_data[[#This Row],[Family]]</f>
        <v>678.21418840310753</v>
      </c>
      <c r="BF757" t="str">
        <f>IF(ifood_data[[#This Row],[AcceptedCmpOverall]]=1,"Campaign Respondent","Non-respondent")</f>
        <v>Non-respondent</v>
      </c>
    </row>
    <row r="758" spans="1:58" x14ac:dyDescent="0.35">
      <c r="A758">
        <v>406</v>
      </c>
      <c r="B758">
        <v>61314</v>
      </c>
      <c r="C758">
        <v>0</v>
      </c>
      <c r="D758">
        <v>1</v>
      </c>
      <c r="E758">
        <v>1</v>
      </c>
      <c r="F758">
        <v>378</v>
      </c>
      <c r="G758">
        <v>0</v>
      </c>
      <c r="H758">
        <v>189</v>
      </c>
      <c r="I758">
        <v>97</v>
      </c>
      <c r="J758">
        <v>172</v>
      </c>
      <c r="K758">
        <v>172</v>
      </c>
      <c r="L758">
        <v>2</v>
      </c>
      <c r="M758">
        <v>5</v>
      </c>
      <c r="N758">
        <v>5</v>
      </c>
      <c r="O758">
        <v>12</v>
      </c>
      <c r="P758">
        <v>3</v>
      </c>
      <c r="Q758">
        <v>0</v>
      </c>
      <c r="R758">
        <v>0</v>
      </c>
      <c r="S758">
        <v>0</v>
      </c>
      <c r="T758">
        <v>0</v>
      </c>
      <c r="U758">
        <v>0</v>
      </c>
      <c r="V758">
        <f>IF(SUM(ifood_data[[#This Row],[AcceptedCmp1]:[AcceptedCmp5]])&gt;0,1,0)</f>
        <v>0</v>
      </c>
      <c r="W758">
        <v>0</v>
      </c>
      <c r="X758">
        <v>3</v>
      </c>
      <c r="Y758">
        <v>11</v>
      </c>
      <c r="Z758">
        <v>0</v>
      </c>
      <c r="AA758">
        <v>52</v>
      </c>
      <c r="AB758">
        <v>2589</v>
      </c>
      <c r="AC758" s="28">
        <f>ifood_data[[#This Row],[Customer_Days]]/365</f>
        <v>7.0931506849315067</v>
      </c>
      <c r="AD758">
        <v>0</v>
      </c>
      <c r="AE758">
        <v>1</v>
      </c>
      <c r="AF758">
        <v>0</v>
      </c>
      <c r="AG758">
        <v>0</v>
      </c>
      <c r="AH758">
        <v>0</v>
      </c>
      <c r="AI758">
        <v>0</v>
      </c>
      <c r="AJ758">
        <v>0</v>
      </c>
      <c r="AK758">
        <v>1</v>
      </c>
      <c r="AL758">
        <v>0</v>
      </c>
      <c r="AM758">
        <v>0</v>
      </c>
      <c r="AN758">
        <v>836</v>
      </c>
      <c r="AO758">
        <v>664</v>
      </c>
      <c r="AP758">
        <f>ifood_data[[#This Row],[MntTotal]]-ifood_data[[#This Row],[MntRegularProds]]</f>
        <v>172</v>
      </c>
      <c r="AQ758">
        <v>0</v>
      </c>
      <c r="AR758">
        <f>IF(SUM(ifood_data[[#This Row],[Kidhome]:[Teenhome]])&gt;0,1,0)</f>
        <v>1</v>
      </c>
      <c r="AS758" t="str">
        <f>IF(SUM(ifood_data[[#This Row],[Kidhome]:[Teenhome]])&gt;0,"Has Family","No Family")</f>
        <v>Has Family</v>
      </c>
      <c r="AT758" t="str">
        <f>IF(ifood_data[[#This Row],[marital_Married]]=1,"Married", (IF(ifood_data[[#This Row],[marital_Single]]=1,"Single",(IF(ifood_data[[#This Row],[marital_Divorced]]=1,"Divorced",(IF(ifood_data[[#This Row],[marital_Together]]=1,"Living Together",(IF(ifood_data[[#This Row],[marital_Widow]]=1,"Widow","Other")))))))))</f>
        <v>Married</v>
      </c>
      <c r="AU758" t="str">
        <f>IF(ifood_data[[#This Row],[education_Basic]]=1,"High School",(IF(ifood_data[[#This Row],[education_Graduation]]=1,"Undergraduate Degree",(IF(SUM(AM758,AL758,AI758)&gt;0,"Master's Degree or Higher","Other")))))</f>
        <v>Undergraduate Degree</v>
      </c>
      <c r="AV758" t="str">
        <f>IF(ifood_data[[#All],[Income]]&gt;75000,"75K+",(IF(ifood_data[[#All],[Income]]&gt;50000,"50K-75K",(IF(ifood_data[[#All],[Income]]&gt;35000,"35K-50K","&lt;35K")))))</f>
        <v>50K-75K</v>
      </c>
      <c r="AW758" t="str">
        <f>IF(ifood_data[[#All],[Age]]&gt;60,"60+",(IF(ifood_data[[#All],[Age]]&gt;50,"50-60",(IF(ifood_data[[#All],[Age]]&gt;40,"40-50",(IF(ifood_data[[#All],[Age]]&gt;30,"30-40","&lt;30")))))))</f>
        <v>50-60</v>
      </c>
      <c r="AX758">
        <f t="shared" si="44"/>
        <v>27</v>
      </c>
      <c r="AY758">
        <f t="shared" si="45"/>
        <v>10</v>
      </c>
      <c r="AZ758">
        <f t="shared" si="46"/>
        <v>7</v>
      </c>
      <c r="BA758">
        <f t="shared" si="47"/>
        <v>6</v>
      </c>
      <c r="BB758">
        <f>SUM(ifood_data[[#This Row],[Recency Score]:[Monetary Score]])</f>
        <v>23</v>
      </c>
      <c r="BC758">
        <f>(_xlfn.PERCENTRANK.INC(ifood_data[[#All],[RFM]],ifood_data[[#This Row],[RFM]],1))*10</f>
        <v>8</v>
      </c>
      <c r="BD758" t="str">
        <f>VLOOKUP(ifood_data[[#This Row],[RFM Score]],'RFM Analysis'!$A$3:$B$14,2,FALSE)</f>
        <v>Loyal Customer</v>
      </c>
      <c r="BE758">
        <f>'Regression Models'!$B$101+'Regression Models'!$B$102*ifood_data[[#This Row],[Income]]+'Regression Models'!$B$103*ifood_data[[#This Row],[Age]]+'Regression Models'!$B$104*ifood_data[[#This Row],[Family]]</f>
        <v>677.1932105250321</v>
      </c>
      <c r="BF758" t="str">
        <f>IF(ifood_data[[#This Row],[AcceptedCmpOverall]]=1,"Campaign Respondent","Non-respondent")</f>
        <v>Non-respondent</v>
      </c>
    </row>
    <row r="759" spans="1:58" x14ac:dyDescent="0.35">
      <c r="A759">
        <v>658</v>
      </c>
      <c r="B759">
        <v>61923</v>
      </c>
      <c r="C759">
        <v>0</v>
      </c>
      <c r="D759">
        <v>2</v>
      </c>
      <c r="E759">
        <v>94</v>
      </c>
      <c r="F759">
        <v>92</v>
      </c>
      <c r="G759">
        <v>4</v>
      </c>
      <c r="H759">
        <v>18</v>
      </c>
      <c r="I759">
        <v>3</v>
      </c>
      <c r="J759">
        <v>3</v>
      </c>
      <c r="K759">
        <v>6</v>
      </c>
      <c r="L759">
        <v>1</v>
      </c>
      <c r="M759">
        <v>2</v>
      </c>
      <c r="N759">
        <v>1</v>
      </c>
      <c r="O759">
        <v>4</v>
      </c>
      <c r="P759">
        <v>3</v>
      </c>
      <c r="Q759">
        <v>0</v>
      </c>
      <c r="R759">
        <v>0</v>
      </c>
      <c r="S759">
        <v>0</v>
      </c>
      <c r="T759">
        <v>0</v>
      </c>
      <c r="U759">
        <v>0</v>
      </c>
      <c r="V759">
        <f>IF(SUM(ifood_data[[#This Row],[AcceptedCmp1]:[AcceptedCmp5]])&gt;0,1,0)</f>
        <v>0</v>
      </c>
      <c r="W759">
        <v>0</v>
      </c>
      <c r="X759">
        <v>3</v>
      </c>
      <c r="Y759">
        <v>11</v>
      </c>
      <c r="Z759">
        <v>0</v>
      </c>
      <c r="AA759">
        <v>59</v>
      </c>
      <c r="AB759">
        <v>2497</v>
      </c>
      <c r="AC759" s="28">
        <f>ifood_data[[#This Row],[Customer_Days]]/365</f>
        <v>6.8410958904109593</v>
      </c>
      <c r="AD759">
        <v>0</v>
      </c>
      <c r="AE759">
        <v>1</v>
      </c>
      <c r="AF759">
        <v>0</v>
      </c>
      <c r="AG759">
        <v>0</v>
      </c>
      <c r="AH759">
        <v>0</v>
      </c>
      <c r="AI759">
        <v>0</v>
      </c>
      <c r="AJ759">
        <v>0</v>
      </c>
      <c r="AK759">
        <v>0</v>
      </c>
      <c r="AL759">
        <v>1</v>
      </c>
      <c r="AM759">
        <v>0</v>
      </c>
      <c r="AN759">
        <v>120</v>
      </c>
      <c r="AO759">
        <v>114</v>
      </c>
      <c r="AP759">
        <f>ifood_data[[#This Row],[MntTotal]]-ifood_data[[#This Row],[MntRegularProds]]</f>
        <v>6</v>
      </c>
      <c r="AQ759">
        <v>0</v>
      </c>
      <c r="AR759">
        <f>IF(SUM(ifood_data[[#This Row],[Kidhome]:[Teenhome]])&gt;0,1,0)</f>
        <v>1</v>
      </c>
      <c r="AS759" t="str">
        <f>IF(SUM(ifood_data[[#This Row],[Kidhome]:[Teenhome]])&gt;0,"Has Family","No Family")</f>
        <v>Has Family</v>
      </c>
      <c r="AT759" t="str">
        <f>IF(ifood_data[[#This Row],[marital_Married]]=1,"Married", (IF(ifood_data[[#This Row],[marital_Single]]=1,"Single",(IF(ifood_data[[#This Row],[marital_Divorced]]=1,"Divorced",(IF(ifood_data[[#This Row],[marital_Together]]=1,"Living Together",(IF(ifood_data[[#This Row],[marital_Widow]]=1,"Widow","Other")))))))))</f>
        <v>Married</v>
      </c>
      <c r="AU759" t="str">
        <f>IF(ifood_data[[#This Row],[education_Basic]]=1,"High School",(IF(ifood_data[[#This Row],[education_Graduation]]=1,"Undergraduate Degree",(IF(SUM(AM759,AL759,AI759)&gt;0,"Master's Degree or Higher","Other")))))</f>
        <v>Master's Degree or Higher</v>
      </c>
      <c r="AV759" t="str">
        <f>IF(ifood_data[[#All],[Income]]&gt;75000,"75K+",(IF(ifood_data[[#All],[Income]]&gt;50000,"50K-75K",(IF(ifood_data[[#All],[Income]]&gt;35000,"35K-50K","&lt;35K")))))</f>
        <v>50K-75K</v>
      </c>
      <c r="AW759" t="str">
        <f>IF(ifood_data[[#All],[Age]]&gt;60,"60+",(IF(ifood_data[[#All],[Age]]&gt;50,"50-60",(IF(ifood_data[[#All],[Age]]&gt;40,"40-50",(IF(ifood_data[[#All],[Age]]&gt;30,"30-40","&lt;30")))))))</f>
        <v>50-60</v>
      </c>
      <c r="AX759">
        <f t="shared" si="44"/>
        <v>11</v>
      </c>
      <c r="AY759">
        <f t="shared" si="45"/>
        <v>0.99999999999999978</v>
      </c>
      <c r="AZ759">
        <f t="shared" si="46"/>
        <v>0</v>
      </c>
      <c r="BA759">
        <f t="shared" si="47"/>
        <v>3</v>
      </c>
      <c r="BB759">
        <f>SUM(ifood_data[[#This Row],[Recency Score]:[Monetary Score]])</f>
        <v>4</v>
      </c>
      <c r="BC759">
        <f>(_xlfn.PERCENTRANK.INC(ifood_data[[#All],[RFM]],ifood_data[[#This Row],[RFM]],1))*10</f>
        <v>0</v>
      </c>
      <c r="BD759" t="str">
        <f>VLOOKUP(ifood_data[[#This Row],[RFM Score]],'RFM Analysis'!$A$3:$B$14,2,FALSE)</f>
        <v>Lost</v>
      </c>
      <c r="BE759">
        <f>'Regression Models'!$B$101+'Regression Models'!$B$102*ifood_data[[#This Row],[Income]]+'Regression Models'!$B$103*ifood_data[[#This Row],[Age]]+'Regression Models'!$B$104*ifood_data[[#This Row],[Family]]</f>
        <v>676.75489677240694</v>
      </c>
      <c r="BF759" t="str">
        <f>IF(ifood_data[[#This Row],[AcceptedCmpOverall]]=1,"Campaign Respondent","Non-respondent")</f>
        <v>Non-respondent</v>
      </c>
    </row>
    <row r="760" spans="1:58" x14ac:dyDescent="0.35">
      <c r="A760">
        <v>1146</v>
      </c>
      <c r="B760">
        <v>61559</v>
      </c>
      <c r="C760">
        <v>0</v>
      </c>
      <c r="D760">
        <v>1</v>
      </c>
      <c r="E760">
        <v>8</v>
      </c>
      <c r="F760">
        <v>279</v>
      </c>
      <c r="G760">
        <v>83</v>
      </c>
      <c r="H760">
        <v>88</v>
      </c>
      <c r="I760">
        <v>32</v>
      </c>
      <c r="J760">
        <v>14</v>
      </c>
      <c r="K760">
        <v>34</v>
      </c>
      <c r="L760">
        <v>1</v>
      </c>
      <c r="M760">
        <v>4</v>
      </c>
      <c r="N760">
        <v>2</v>
      </c>
      <c r="O760">
        <v>10</v>
      </c>
      <c r="P760">
        <v>3</v>
      </c>
      <c r="Q760">
        <v>0</v>
      </c>
      <c r="R760">
        <v>0</v>
      </c>
      <c r="S760">
        <v>0</v>
      </c>
      <c r="T760">
        <v>0</v>
      </c>
      <c r="U760">
        <v>0</v>
      </c>
      <c r="V760">
        <f>IF(SUM(ifood_data[[#This Row],[AcceptedCmp1]:[AcceptedCmp5]])&gt;0,1,0)</f>
        <v>0</v>
      </c>
      <c r="W760">
        <v>0</v>
      </c>
      <c r="X760">
        <v>3</v>
      </c>
      <c r="Y760">
        <v>11</v>
      </c>
      <c r="Z760">
        <v>0</v>
      </c>
      <c r="AA760">
        <v>55</v>
      </c>
      <c r="AB760">
        <v>2506</v>
      </c>
      <c r="AC760" s="28">
        <f>ifood_data[[#This Row],[Customer_Days]]/365</f>
        <v>6.8657534246575347</v>
      </c>
      <c r="AD760">
        <v>0</v>
      </c>
      <c r="AE760">
        <v>0</v>
      </c>
      <c r="AF760">
        <v>1</v>
      </c>
      <c r="AG760">
        <v>0</v>
      </c>
      <c r="AH760">
        <v>0</v>
      </c>
      <c r="AI760">
        <v>0</v>
      </c>
      <c r="AJ760">
        <v>0</v>
      </c>
      <c r="AK760">
        <v>1</v>
      </c>
      <c r="AL760">
        <v>0</v>
      </c>
      <c r="AM760">
        <v>0</v>
      </c>
      <c r="AN760">
        <v>496</v>
      </c>
      <c r="AO760">
        <v>462</v>
      </c>
      <c r="AP760">
        <f>ifood_data[[#This Row],[MntTotal]]-ifood_data[[#This Row],[MntRegularProds]]</f>
        <v>34</v>
      </c>
      <c r="AQ760">
        <v>0</v>
      </c>
      <c r="AR760">
        <f>IF(SUM(ifood_data[[#This Row],[Kidhome]:[Teenhome]])&gt;0,1,0)</f>
        <v>1</v>
      </c>
      <c r="AS760" t="str">
        <f>IF(SUM(ifood_data[[#This Row],[Kidhome]:[Teenhome]])&gt;0,"Has Family","No Family")</f>
        <v>Has Family</v>
      </c>
      <c r="AT760" t="str">
        <f>IF(ifood_data[[#This Row],[marital_Married]]=1,"Married", (IF(ifood_data[[#This Row],[marital_Single]]=1,"Single",(IF(ifood_data[[#This Row],[marital_Divorced]]=1,"Divorced",(IF(ifood_data[[#This Row],[marital_Together]]=1,"Living Together",(IF(ifood_data[[#This Row],[marital_Widow]]=1,"Widow","Other")))))))))</f>
        <v>Single</v>
      </c>
      <c r="AU760" t="str">
        <f>IF(ifood_data[[#This Row],[education_Basic]]=1,"High School",(IF(ifood_data[[#This Row],[education_Graduation]]=1,"Undergraduate Degree",(IF(SUM(AM760,AL760,AI760)&gt;0,"Master's Degree or Higher","Other")))))</f>
        <v>Undergraduate Degree</v>
      </c>
      <c r="AV760" t="str">
        <f>IF(ifood_data[[#All],[Income]]&gt;75000,"75K+",(IF(ifood_data[[#All],[Income]]&gt;50000,"50K-75K",(IF(ifood_data[[#All],[Income]]&gt;35000,"35K-50K","&lt;35K")))))</f>
        <v>50K-75K</v>
      </c>
      <c r="AW760" t="str">
        <f>IF(ifood_data[[#All],[Age]]&gt;60,"60+",(IF(ifood_data[[#All],[Age]]&gt;50,"50-60",(IF(ifood_data[[#All],[Age]]&gt;40,"40-50",(IF(ifood_data[[#All],[Age]]&gt;30,"30-40","&lt;30")))))))</f>
        <v>50-60</v>
      </c>
      <c r="AX760">
        <f t="shared" si="44"/>
        <v>20</v>
      </c>
      <c r="AY760">
        <f t="shared" si="45"/>
        <v>10</v>
      </c>
      <c r="AZ760">
        <f t="shared" si="46"/>
        <v>4</v>
      </c>
      <c r="BA760">
        <f t="shared" si="47"/>
        <v>5</v>
      </c>
      <c r="BB760">
        <f>SUM(ifood_data[[#This Row],[Recency Score]:[Monetary Score]])</f>
        <v>19</v>
      </c>
      <c r="BC760">
        <f>(_xlfn.PERCENTRANK.INC(ifood_data[[#All],[RFM]],ifood_data[[#This Row],[RFM]],1))*10</f>
        <v>7</v>
      </c>
      <c r="BD760" t="str">
        <f>VLOOKUP(ifood_data[[#This Row],[RFM Score]],'RFM Analysis'!$A$3:$B$14,2,FALSE)</f>
        <v>Loyal Customer</v>
      </c>
      <c r="BE760">
        <f>'Regression Models'!$B$101+'Regression Models'!$B$102*ifood_data[[#This Row],[Income]]+'Regression Models'!$B$103*ifood_data[[#This Row],[Age]]+'Regression Models'!$B$104*ifood_data[[#This Row],[Family]]</f>
        <v>676.67914148360478</v>
      </c>
      <c r="BF760" t="str">
        <f>IF(ifood_data[[#This Row],[AcceptedCmpOverall]]=1,"Campaign Respondent","Non-respondent")</f>
        <v>Non-respondent</v>
      </c>
    </row>
    <row r="761" spans="1:58" x14ac:dyDescent="0.35">
      <c r="A761">
        <v>68</v>
      </c>
      <c r="B761">
        <v>60631</v>
      </c>
      <c r="C761">
        <v>1</v>
      </c>
      <c r="D761">
        <v>1</v>
      </c>
      <c r="E761">
        <v>88</v>
      </c>
      <c r="F761">
        <v>565</v>
      </c>
      <c r="G761">
        <v>6</v>
      </c>
      <c r="H761">
        <v>65</v>
      </c>
      <c r="I761">
        <v>0</v>
      </c>
      <c r="J761">
        <v>6</v>
      </c>
      <c r="K761">
        <v>19</v>
      </c>
      <c r="L761">
        <v>5</v>
      </c>
      <c r="M761">
        <v>9</v>
      </c>
      <c r="N761">
        <v>2</v>
      </c>
      <c r="O761">
        <v>8</v>
      </c>
      <c r="P761">
        <v>7</v>
      </c>
      <c r="Q761">
        <v>0</v>
      </c>
      <c r="R761">
        <v>0</v>
      </c>
      <c r="S761">
        <v>0</v>
      </c>
      <c r="T761">
        <v>1</v>
      </c>
      <c r="U761">
        <v>0</v>
      </c>
      <c r="V761">
        <f>IF(SUM(ifood_data[[#This Row],[AcceptedCmp1]:[AcceptedCmp5]])&gt;0,1,0)</f>
        <v>1</v>
      </c>
      <c r="W761">
        <v>0</v>
      </c>
      <c r="X761">
        <v>3</v>
      </c>
      <c r="Y761">
        <v>11</v>
      </c>
      <c r="Z761">
        <v>0</v>
      </c>
      <c r="AA761">
        <v>45</v>
      </c>
      <c r="AB761">
        <v>2609</v>
      </c>
      <c r="AC761" s="28">
        <f>ifood_data[[#This Row],[Customer_Days]]/365</f>
        <v>7.1479452054794521</v>
      </c>
      <c r="AD761">
        <v>0</v>
      </c>
      <c r="AE761">
        <v>1</v>
      </c>
      <c r="AF761">
        <v>0</v>
      </c>
      <c r="AG761">
        <v>0</v>
      </c>
      <c r="AH761">
        <v>0</v>
      </c>
      <c r="AI761">
        <v>0</v>
      </c>
      <c r="AJ761">
        <v>0</v>
      </c>
      <c r="AK761">
        <v>0</v>
      </c>
      <c r="AL761">
        <v>0</v>
      </c>
      <c r="AM761">
        <v>1</v>
      </c>
      <c r="AN761">
        <v>642</v>
      </c>
      <c r="AO761">
        <v>623</v>
      </c>
      <c r="AP761">
        <f>ifood_data[[#This Row],[MntTotal]]-ifood_data[[#This Row],[MntRegularProds]]</f>
        <v>19</v>
      </c>
      <c r="AQ761">
        <v>1</v>
      </c>
      <c r="AR761">
        <f>IF(SUM(ifood_data[[#This Row],[Kidhome]:[Teenhome]])&gt;0,1,0)</f>
        <v>1</v>
      </c>
      <c r="AS761" t="str">
        <f>IF(SUM(ifood_data[[#This Row],[Kidhome]:[Teenhome]])&gt;0,"Has Family","No Family")</f>
        <v>Has Family</v>
      </c>
      <c r="AT761" t="str">
        <f>IF(ifood_data[[#This Row],[marital_Married]]=1,"Married", (IF(ifood_data[[#This Row],[marital_Single]]=1,"Single",(IF(ifood_data[[#This Row],[marital_Divorced]]=1,"Divorced",(IF(ifood_data[[#This Row],[marital_Together]]=1,"Living Together",(IF(ifood_data[[#This Row],[marital_Widow]]=1,"Widow","Other")))))))))</f>
        <v>Married</v>
      </c>
      <c r="AU761" t="str">
        <f>IF(ifood_data[[#This Row],[education_Basic]]=1,"High School",(IF(ifood_data[[#This Row],[education_Graduation]]=1,"Undergraduate Degree",(IF(SUM(AM761,AL761,AI761)&gt;0,"Master's Degree or Higher","Other")))))</f>
        <v>Master's Degree or Higher</v>
      </c>
      <c r="AV761" t="str">
        <f>IF(ifood_data[[#All],[Income]]&gt;75000,"75K+",(IF(ifood_data[[#All],[Income]]&gt;50000,"50K-75K",(IF(ifood_data[[#All],[Income]]&gt;35000,"35K-50K","&lt;35K")))))</f>
        <v>50K-75K</v>
      </c>
      <c r="AW761" t="str">
        <f>IF(ifood_data[[#All],[Age]]&gt;60,"60+",(IF(ifood_data[[#All],[Age]]&gt;50,"50-60",(IF(ifood_data[[#All],[Age]]&gt;40,"40-50",(IF(ifood_data[[#All],[Age]]&gt;30,"30-40","&lt;30")))))))</f>
        <v>40-50</v>
      </c>
      <c r="AX761">
        <f t="shared" si="44"/>
        <v>31</v>
      </c>
      <c r="AY761">
        <f t="shared" si="45"/>
        <v>1.9999999999999996</v>
      </c>
      <c r="AZ761">
        <f t="shared" si="46"/>
        <v>9</v>
      </c>
      <c r="BA761">
        <f t="shared" si="47"/>
        <v>6</v>
      </c>
      <c r="BB761">
        <f>SUM(ifood_data[[#This Row],[Recency Score]:[Monetary Score]])</f>
        <v>17</v>
      </c>
      <c r="BC761">
        <f>(_xlfn.PERCENTRANK.INC(ifood_data[[#All],[RFM]],ifood_data[[#This Row],[RFM]],1))*10</f>
        <v>6</v>
      </c>
      <c r="BD761" t="str">
        <f>VLOOKUP(ifood_data[[#This Row],[RFM Score]],'RFM Analysis'!$A$3:$B$14,2,FALSE)</f>
        <v>Promising</v>
      </c>
      <c r="BE761">
        <f>'Regression Models'!$B$101+'Regression Models'!$B$102*ifood_data[[#This Row],[Income]]+'Regression Models'!$B$103*ifood_data[[#This Row],[Age]]+'Regression Models'!$B$104*ifood_data[[#This Row],[Family]]</f>
        <v>676.12275543500937</v>
      </c>
      <c r="BF761" t="str">
        <f>IF(ifood_data[[#This Row],[AcceptedCmpOverall]]=1,"Campaign Respondent","Non-respondent")</f>
        <v>Campaign Respondent</v>
      </c>
    </row>
    <row r="762" spans="1:58" x14ac:dyDescent="0.35">
      <c r="A762">
        <v>1459</v>
      </c>
      <c r="B762">
        <v>60482</v>
      </c>
      <c r="C762">
        <v>0</v>
      </c>
      <c r="D762">
        <v>1</v>
      </c>
      <c r="E762">
        <v>81</v>
      </c>
      <c r="F762">
        <v>255</v>
      </c>
      <c r="G762">
        <v>43</v>
      </c>
      <c r="H762">
        <v>134</v>
      </c>
      <c r="I762">
        <v>37</v>
      </c>
      <c r="J762">
        <v>14</v>
      </c>
      <c r="K762">
        <v>24</v>
      </c>
      <c r="L762">
        <v>1</v>
      </c>
      <c r="M762">
        <v>7</v>
      </c>
      <c r="N762">
        <v>2</v>
      </c>
      <c r="O762">
        <v>7</v>
      </c>
      <c r="P762">
        <v>7</v>
      </c>
      <c r="Q762">
        <v>0</v>
      </c>
      <c r="R762">
        <v>0</v>
      </c>
      <c r="S762">
        <v>0</v>
      </c>
      <c r="T762">
        <v>0</v>
      </c>
      <c r="U762">
        <v>0</v>
      </c>
      <c r="V762">
        <f>IF(SUM(ifood_data[[#This Row],[AcceptedCmp1]:[AcceptedCmp5]])&gt;0,1,0)</f>
        <v>0</v>
      </c>
      <c r="W762">
        <v>0</v>
      </c>
      <c r="X762">
        <v>3</v>
      </c>
      <c r="Y762">
        <v>11</v>
      </c>
      <c r="Z762">
        <v>0</v>
      </c>
      <c r="AA762">
        <v>44</v>
      </c>
      <c r="AB762">
        <v>2681</v>
      </c>
      <c r="AC762" s="28">
        <f>ifood_data[[#This Row],[Customer_Days]]/365</f>
        <v>7.3452054794520549</v>
      </c>
      <c r="AD762">
        <v>0</v>
      </c>
      <c r="AE762">
        <v>0</v>
      </c>
      <c r="AF762">
        <v>1</v>
      </c>
      <c r="AG762">
        <v>0</v>
      </c>
      <c r="AH762">
        <v>0</v>
      </c>
      <c r="AI762">
        <v>0</v>
      </c>
      <c r="AJ762">
        <v>0</v>
      </c>
      <c r="AK762">
        <v>0</v>
      </c>
      <c r="AL762">
        <v>1</v>
      </c>
      <c r="AM762">
        <v>0</v>
      </c>
      <c r="AN762">
        <v>483</v>
      </c>
      <c r="AO762">
        <v>459</v>
      </c>
      <c r="AP762">
        <f>ifood_data[[#This Row],[MntTotal]]-ifood_data[[#This Row],[MntRegularProds]]</f>
        <v>24</v>
      </c>
      <c r="AQ762">
        <v>0</v>
      </c>
      <c r="AR762">
        <f>IF(SUM(ifood_data[[#This Row],[Kidhome]:[Teenhome]])&gt;0,1,0)</f>
        <v>1</v>
      </c>
      <c r="AS762" t="str">
        <f>IF(SUM(ifood_data[[#This Row],[Kidhome]:[Teenhome]])&gt;0,"Has Family","No Family")</f>
        <v>Has Family</v>
      </c>
      <c r="AT762" t="str">
        <f>IF(ifood_data[[#This Row],[marital_Married]]=1,"Married", (IF(ifood_data[[#This Row],[marital_Single]]=1,"Single",(IF(ifood_data[[#This Row],[marital_Divorced]]=1,"Divorced",(IF(ifood_data[[#This Row],[marital_Together]]=1,"Living Together",(IF(ifood_data[[#This Row],[marital_Widow]]=1,"Widow","Other")))))))))</f>
        <v>Single</v>
      </c>
      <c r="AU762" t="str">
        <f>IF(ifood_data[[#This Row],[education_Basic]]=1,"High School",(IF(ifood_data[[#This Row],[education_Graduation]]=1,"Undergraduate Degree",(IF(SUM(AM762,AL762,AI762)&gt;0,"Master's Degree or Higher","Other")))))</f>
        <v>Master's Degree or Higher</v>
      </c>
      <c r="AV762" t="str">
        <f>IF(ifood_data[[#All],[Income]]&gt;75000,"75K+",(IF(ifood_data[[#All],[Income]]&gt;50000,"50K-75K",(IF(ifood_data[[#All],[Income]]&gt;35000,"35K-50K","&lt;35K")))))</f>
        <v>50K-75K</v>
      </c>
      <c r="AW762" t="str">
        <f>IF(ifood_data[[#All],[Age]]&gt;60,"60+",(IF(ifood_data[[#All],[Age]]&gt;50,"50-60",(IF(ifood_data[[#All],[Age]]&gt;40,"40-50",(IF(ifood_data[[#All],[Age]]&gt;30,"30-40","&lt;30")))))))</f>
        <v>40-50</v>
      </c>
      <c r="AX762">
        <f t="shared" si="44"/>
        <v>24</v>
      </c>
      <c r="AY762">
        <f t="shared" si="45"/>
        <v>1.9999999999999996</v>
      </c>
      <c r="AZ762">
        <f t="shared" si="46"/>
        <v>6</v>
      </c>
      <c r="BA762">
        <f t="shared" si="47"/>
        <v>5</v>
      </c>
      <c r="BB762">
        <f>SUM(ifood_data[[#This Row],[Recency Score]:[Monetary Score]])</f>
        <v>13</v>
      </c>
      <c r="BC762">
        <f>(_xlfn.PERCENTRANK.INC(ifood_data[[#All],[RFM]],ifood_data[[#This Row],[RFM]],1))*10</f>
        <v>3</v>
      </c>
      <c r="BD762" t="str">
        <f>VLOOKUP(ifood_data[[#This Row],[RFM Score]],'RFM Analysis'!$A$3:$B$14,2,FALSE)</f>
        <v>At Risk</v>
      </c>
      <c r="BE762">
        <f>'Regression Models'!$B$101+'Regression Models'!$B$102*ifood_data[[#This Row],[Income]]+'Regression Models'!$B$103*ifood_data[[#This Row],[Age]]+'Regression Models'!$B$104*ifood_data[[#This Row],[Family]]</f>
        <v>674.92126806046281</v>
      </c>
      <c r="BF762" t="str">
        <f>IF(ifood_data[[#This Row],[AcceptedCmpOverall]]=1,"Campaign Respondent","Non-respondent")</f>
        <v>Non-respondent</v>
      </c>
    </row>
    <row r="763" spans="1:58" x14ac:dyDescent="0.35">
      <c r="A763">
        <v>888</v>
      </c>
      <c r="B763">
        <v>60554</v>
      </c>
      <c r="C763">
        <v>1</v>
      </c>
      <c r="D763">
        <v>0</v>
      </c>
      <c r="E763">
        <v>8</v>
      </c>
      <c r="F763">
        <v>588</v>
      </c>
      <c r="G763">
        <v>7</v>
      </c>
      <c r="H763">
        <v>76</v>
      </c>
      <c r="I763">
        <v>110</v>
      </c>
      <c r="J763">
        <v>15</v>
      </c>
      <c r="K763">
        <v>15</v>
      </c>
      <c r="L763">
        <v>2</v>
      </c>
      <c r="M763">
        <v>8</v>
      </c>
      <c r="N763">
        <v>4</v>
      </c>
      <c r="O763">
        <v>9</v>
      </c>
      <c r="P763">
        <v>6</v>
      </c>
      <c r="Q763">
        <v>0</v>
      </c>
      <c r="R763">
        <v>0</v>
      </c>
      <c r="S763">
        <v>0</v>
      </c>
      <c r="T763">
        <v>0</v>
      </c>
      <c r="U763">
        <v>0</v>
      </c>
      <c r="V763">
        <f>IF(SUM(ifood_data[[#This Row],[AcceptedCmp1]:[AcceptedCmp5]])&gt;0,1,0)</f>
        <v>0</v>
      </c>
      <c r="W763">
        <v>0</v>
      </c>
      <c r="X763">
        <v>3</v>
      </c>
      <c r="Y763">
        <v>11</v>
      </c>
      <c r="Z763">
        <v>0</v>
      </c>
      <c r="AA763">
        <v>45</v>
      </c>
      <c r="AB763">
        <v>2483</v>
      </c>
      <c r="AC763" s="28">
        <f>ifood_data[[#This Row],[Customer_Days]]/365</f>
        <v>6.8027397260273972</v>
      </c>
      <c r="AD763">
        <v>1</v>
      </c>
      <c r="AE763">
        <v>0</v>
      </c>
      <c r="AF763">
        <v>0</v>
      </c>
      <c r="AG763">
        <v>0</v>
      </c>
      <c r="AH763">
        <v>0</v>
      </c>
      <c r="AI763">
        <v>0</v>
      </c>
      <c r="AJ763">
        <v>0</v>
      </c>
      <c r="AK763">
        <v>0</v>
      </c>
      <c r="AL763">
        <v>0</v>
      </c>
      <c r="AM763">
        <v>1</v>
      </c>
      <c r="AN763">
        <v>796</v>
      </c>
      <c r="AO763">
        <v>781</v>
      </c>
      <c r="AP763">
        <f>ifood_data[[#This Row],[MntTotal]]-ifood_data[[#This Row],[MntRegularProds]]</f>
        <v>15</v>
      </c>
      <c r="AQ763">
        <v>0</v>
      </c>
      <c r="AR763">
        <f>IF(SUM(ifood_data[[#This Row],[Kidhome]:[Teenhome]])&gt;0,1,0)</f>
        <v>1</v>
      </c>
      <c r="AS763" t="str">
        <f>IF(SUM(ifood_data[[#This Row],[Kidhome]:[Teenhome]])&gt;0,"Has Family","No Family")</f>
        <v>Has Family</v>
      </c>
      <c r="AT763" t="str">
        <f>IF(ifood_data[[#This Row],[marital_Married]]=1,"Married", (IF(ifood_data[[#This Row],[marital_Single]]=1,"Single",(IF(ifood_data[[#This Row],[marital_Divorced]]=1,"Divorced",(IF(ifood_data[[#This Row],[marital_Together]]=1,"Living Together",(IF(ifood_data[[#This Row],[marital_Widow]]=1,"Widow","Other")))))))))</f>
        <v>Divorced</v>
      </c>
      <c r="AU763" t="str">
        <f>IF(ifood_data[[#This Row],[education_Basic]]=1,"High School",(IF(ifood_data[[#This Row],[education_Graduation]]=1,"Undergraduate Degree",(IF(SUM(AM763,AL763,AI763)&gt;0,"Master's Degree or Higher","Other")))))</f>
        <v>Master's Degree or Higher</v>
      </c>
      <c r="AV763" t="str">
        <f>IF(ifood_data[[#All],[Income]]&gt;75000,"75K+",(IF(ifood_data[[#All],[Income]]&gt;50000,"50K-75K",(IF(ifood_data[[#All],[Income]]&gt;35000,"35K-50K","&lt;35K")))))</f>
        <v>50K-75K</v>
      </c>
      <c r="AW763" t="str">
        <f>IF(ifood_data[[#All],[Age]]&gt;60,"60+",(IF(ifood_data[[#All],[Age]]&gt;50,"50-60",(IF(ifood_data[[#All],[Age]]&gt;40,"40-50",(IF(ifood_data[[#All],[Age]]&gt;30,"30-40","&lt;30")))))))</f>
        <v>40-50</v>
      </c>
      <c r="AX763">
        <f t="shared" si="44"/>
        <v>29</v>
      </c>
      <c r="AY763">
        <f t="shared" si="45"/>
        <v>10</v>
      </c>
      <c r="AZ763">
        <f t="shared" si="46"/>
        <v>8</v>
      </c>
      <c r="BA763">
        <f t="shared" si="47"/>
        <v>6</v>
      </c>
      <c r="BB763">
        <f>SUM(ifood_data[[#This Row],[Recency Score]:[Monetary Score]])</f>
        <v>24</v>
      </c>
      <c r="BC763">
        <f>(_xlfn.PERCENTRANK.INC(ifood_data[[#All],[RFM]],ifood_data[[#This Row],[RFM]],1))*10</f>
        <v>9</v>
      </c>
      <c r="BD763" t="str">
        <f>VLOOKUP(ifood_data[[#This Row],[RFM Score]],'RFM Analysis'!$A$3:$B$14,2,FALSE)</f>
        <v>Top Customer</v>
      </c>
      <c r="BE763">
        <f>'Regression Models'!$B$101+'Regression Models'!$B$102*ifood_data[[#This Row],[Income]]+'Regression Models'!$B$103*ifood_data[[#This Row],[Age]]+'Regression Models'!$B$104*ifood_data[[#This Row],[Family]]</f>
        <v>674.55282028792908</v>
      </c>
      <c r="BF763" t="str">
        <f>IF(ifood_data[[#This Row],[AcceptedCmpOverall]]=1,"Campaign Respondent","Non-respondent")</f>
        <v>Non-respondent</v>
      </c>
    </row>
    <row r="764" spans="1:58" x14ac:dyDescent="0.35">
      <c r="A764">
        <v>560</v>
      </c>
      <c r="B764">
        <v>61794</v>
      </c>
      <c r="C764">
        <v>0</v>
      </c>
      <c r="D764">
        <v>1</v>
      </c>
      <c r="E764">
        <v>74</v>
      </c>
      <c r="F764">
        <v>264</v>
      </c>
      <c r="G764">
        <v>47</v>
      </c>
      <c r="H764">
        <v>188</v>
      </c>
      <c r="I764">
        <v>54</v>
      </c>
      <c r="J764">
        <v>47</v>
      </c>
      <c r="K764">
        <v>11</v>
      </c>
      <c r="L764">
        <v>2</v>
      </c>
      <c r="M764">
        <v>4</v>
      </c>
      <c r="N764">
        <v>4</v>
      </c>
      <c r="O764">
        <v>10</v>
      </c>
      <c r="P764">
        <v>2</v>
      </c>
      <c r="Q764">
        <v>0</v>
      </c>
      <c r="R764">
        <v>0</v>
      </c>
      <c r="S764">
        <v>0</v>
      </c>
      <c r="T764">
        <v>0</v>
      </c>
      <c r="U764">
        <v>0</v>
      </c>
      <c r="V764">
        <f>IF(SUM(ifood_data[[#This Row],[AcceptedCmp1]:[AcceptedCmp5]])&gt;0,1,0)</f>
        <v>0</v>
      </c>
      <c r="W764">
        <v>0</v>
      </c>
      <c r="X764">
        <v>3</v>
      </c>
      <c r="Y764">
        <v>11</v>
      </c>
      <c r="Z764">
        <v>0</v>
      </c>
      <c r="AA764">
        <v>59</v>
      </c>
      <c r="AB764">
        <v>2447</v>
      </c>
      <c r="AC764" s="28">
        <f>ifood_data[[#This Row],[Customer_Days]]/365</f>
        <v>6.7041095890410958</v>
      </c>
      <c r="AD764">
        <v>0</v>
      </c>
      <c r="AE764">
        <v>1</v>
      </c>
      <c r="AF764">
        <v>0</v>
      </c>
      <c r="AG764">
        <v>0</v>
      </c>
      <c r="AH764">
        <v>0</v>
      </c>
      <c r="AI764">
        <v>0</v>
      </c>
      <c r="AJ764">
        <v>0</v>
      </c>
      <c r="AK764">
        <v>0</v>
      </c>
      <c r="AL764">
        <v>1</v>
      </c>
      <c r="AM764">
        <v>0</v>
      </c>
      <c r="AN764">
        <v>600</v>
      </c>
      <c r="AO764">
        <v>589</v>
      </c>
      <c r="AP764">
        <f>ifood_data[[#This Row],[MntTotal]]-ifood_data[[#This Row],[MntRegularProds]]</f>
        <v>11</v>
      </c>
      <c r="AQ764">
        <v>0</v>
      </c>
      <c r="AR764">
        <f>IF(SUM(ifood_data[[#This Row],[Kidhome]:[Teenhome]])&gt;0,1,0)</f>
        <v>1</v>
      </c>
      <c r="AS764" t="str">
        <f>IF(SUM(ifood_data[[#This Row],[Kidhome]:[Teenhome]])&gt;0,"Has Family","No Family")</f>
        <v>Has Family</v>
      </c>
      <c r="AT764" t="str">
        <f>IF(ifood_data[[#This Row],[marital_Married]]=1,"Married", (IF(ifood_data[[#This Row],[marital_Single]]=1,"Single",(IF(ifood_data[[#This Row],[marital_Divorced]]=1,"Divorced",(IF(ifood_data[[#This Row],[marital_Together]]=1,"Living Together",(IF(ifood_data[[#This Row],[marital_Widow]]=1,"Widow","Other")))))))))</f>
        <v>Married</v>
      </c>
      <c r="AU764" t="str">
        <f>IF(ifood_data[[#This Row],[education_Basic]]=1,"High School",(IF(ifood_data[[#This Row],[education_Graduation]]=1,"Undergraduate Degree",(IF(SUM(AM764,AL764,AI764)&gt;0,"Master's Degree or Higher","Other")))))</f>
        <v>Master's Degree or Higher</v>
      </c>
      <c r="AV764" t="str">
        <f>IF(ifood_data[[#All],[Income]]&gt;75000,"75K+",(IF(ifood_data[[#All],[Income]]&gt;50000,"50K-75K",(IF(ifood_data[[#All],[Income]]&gt;35000,"35K-50K","&lt;35K")))))</f>
        <v>50K-75K</v>
      </c>
      <c r="AW764" t="str">
        <f>IF(ifood_data[[#All],[Age]]&gt;60,"60+",(IF(ifood_data[[#All],[Age]]&gt;50,"50-60",(IF(ifood_data[[#All],[Age]]&gt;40,"40-50",(IF(ifood_data[[#All],[Age]]&gt;30,"30-40","&lt;30")))))))</f>
        <v>50-60</v>
      </c>
      <c r="AX764">
        <f t="shared" si="44"/>
        <v>22</v>
      </c>
      <c r="AY764">
        <f t="shared" si="45"/>
        <v>3.0000000000000004</v>
      </c>
      <c r="AZ764">
        <f t="shared" si="46"/>
        <v>5</v>
      </c>
      <c r="BA764">
        <f t="shared" si="47"/>
        <v>6</v>
      </c>
      <c r="BB764">
        <f>SUM(ifood_data[[#This Row],[Recency Score]:[Monetary Score]])</f>
        <v>14</v>
      </c>
      <c r="BC764">
        <f>(_xlfn.PERCENTRANK.INC(ifood_data[[#All],[RFM]],ifood_data[[#This Row],[RFM]],1))*10</f>
        <v>4</v>
      </c>
      <c r="BD764" t="str">
        <f>VLOOKUP(ifood_data[[#This Row],[RFM Score]],'RFM Analysis'!$A$3:$B$14,2,FALSE)</f>
        <v>At Risk</v>
      </c>
      <c r="BE764">
        <f>'Regression Models'!$B$101+'Regression Models'!$B$102*ifood_data[[#This Row],[Income]]+'Regression Models'!$B$103*ifood_data[[#This Row],[Age]]+'Regression Models'!$B$104*ifood_data[[#This Row],[Family]]</f>
        <v>674.12474568184371</v>
      </c>
      <c r="BF764" t="str">
        <f>IF(ifood_data[[#This Row],[AcceptedCmpOverall]]=1,"Campaign Respondent","Non-respondent")</f>
        <v>Non-respondent</v>
      </c>
    </row>
    <row r="765" spans="1:58" x14ac:dyDescent="0.35">
      <c r="A765">
        <v>485</v>
      </c>
      <c r="B765">
        <v>60152</v>
      </c>
      <c r="C765">
        <v>0</v>
      </c>
      <c r="D765">
        <v>1</v>
      </c>
      <c r="E765">
        <v>6</v>
      </c>
      <c r="F765">
        <v>325</v>
      </c>
      <c r="G765">
        <v>83</v>
      </c>
      <c r="H765">
        <v>300</v>
      </c>
      <c r="I765">
        <v>86</v>
      </c>
      <c r="J765">
        <v>58</v>
      </c>
      <c r="K765">
        <v>91</v>
      </c>
      <c r="L765">
        <v>1</v>
      </c>
      <c r="M765">
        <v>6</v>
      </c>
      <c r="N765">
        <v>4</v>
      </c>
      <c r="O765">
        <v>12</v>
      </c>
      <c r="P765">
        <v>3</v>
      </c>
      <c r="Q765">
        <v>0</v>
      </c>
      <c r="R765">
        <v>0</v>
      </c>
      <c r="S765">
        <v>0</v>
      </c>
      <c r="T765">
        <v>0</v>
      </c>
      <c r="U765">
        <v>0</v>
      </c>
      <c r="V765">
        <f>IF(SUM(ifood_data[[#This Row],[AcceptedCmp1]:[AcceptedCmp5]])&gt;0,1,0)</f>
        <v>0</v>
      </c>
      <c r="W765">
        <v>0</v>
      </c>
      <c r="X765">
        <v>3</v>
      </c>
      <c r="Y765">
        <v>11</v>
      </c>
      <c r="Z765">
        <v>0</v>
      </c>
      <c r="AA765">
        <v>41</v>
      </c>
      <c r="AB765">
        <v>2617</v>
      </c>
      <c r="AC765" s="28">
        <f>ifood_data[[#This Row],[Customer_Days]]/365</f>
        <v>7.1698630136986301</v>
      </c>
      <c r="AD765">
        <v>0</v>
      </c>
      <c r="AE765">
        <v>0</v>
      </c>
      <c r="AF765">
        <v>1</v>
      </c>
      <c r="AG765">
        <v>0</v>
      </c>
      <c r="AH765">
        <v>0</v>
      </c>
      <c r="AI765">
        <v>0</v>
      </c>
      <c r="AJ765">
        <v>0</v>
      </c>
      <c r="AK765">
        <v>1</v>
      </c>
      <c r="AL765">
        <v>0</v>
      </c>
      <c r="AM765">
        <v>0</v>
      </c>
      <c r="AN765">
        <v>852</v>
      </c>
      <c r="AO765">
        <v>761</v>
      </c>
      <c r="AP765">
        <f>ifood_data[[#This Row],[MntTotal]]-ifood_data[[#This Row],[MntRegularProds]]</f>
        <v>91</v>
      </c>
      <c r="AQ765">
        <v>0</v>
      </c>
      <c r="AR765">
        <f>IF(SUM(ifood_data[[#This Row],[Kidhome]:[Teenhome]])&gt;0,1,0)</f>
        <v>1</v>
      </c>
      <c r="AS765" t="str">
        <f>IF(SUM(ifood_data[[#This Row],[Kidhome]:[Teenhome]])&gt;0,"Has Family","No Family")</f>
        <v>Has Family</v>
      </c>
      <c r="AT765" t="str">
        <f>IF(ifood_data[[#This Row],[marital_Married]]=1,"Married", (IF(ifood_data[[#This Row],[marital_Single]]=1,"Single",(IF(ifood_data[[#This Row],[marital_Divorced]]=1,"Divorced",(IF(ifood_data[[#This Row],[marital_Together]]=1,"Living Together",(IF(ifood_data[[#This Row],[marital_Widow]]=1,"Widow","Other")))))))))</f>
        <v>Single</v>
      </c>
      <c r="AU765" t="str">
        <f>IF(ifood_data[[#This Row],[education_Basic]]=1,"High School",(IF(ifood_data[[#This Row],[education_Graduation]]=1,"Undergraduate Degree",(IF(SUM(AM765,AL765,AI765)&gt;0,"Master's Degree or Higher","Other")))))</f>
        <v>Undergraduate Degree</v>
      </c>
      <c r="AV765" t="str">
        <f>IF(ifood_data[[#All],[Income]]&gt;75000,"75K+",(IF(ifood_data[[#All],[Income]]&gt;50000,"50K-75K",(IF(ifood_data[[#All],[Income]]&gt;35000,"35K-50K","&lt;35K")))))</f>
        <v>50K-75K</v>
      </c>
      <c r="AW765" t="str">
        <f>IF(ifood_data[[#All],[Age]]&gt;60,"60+",(IF(ifood_data[[#All],[Age]]&gt;50,"50-60",(IF(ifood_data[[#All],[Age]]&gt;40,"40-50",(IF(ifood_data[[#All],[Age]]&gt;30,"30-40","&lt;30")))))))</f>
        <v>40-50</v>
      </c>
      <c r="AX765">
        <f t="shared" si="44"/>
        <v>26</v>
      </c>
      <c r="AY765">
        <f t="shared" si="45"/>
        <v>10</v>
      </c>
      <c r="AZ765">
        <f t="shared" si="46"/>
        <v>7</v>
      </c>
      <c r="BA765">
        <f t="shared" si="47"/>
        <v>7</v>
      </c>
      <c r="BB765">
        <f>SUM(ifood_data[[#This Row],[Recency Score]:[Monetary Score]])</f>
        <v>24</v>
      </c>
      <c r="BC765">
        <f>(_xlfn.PERCENTRANK.INC(ifood_data[[#All],[RFM]],ifood_data[[#This Row],[RFM]],1))*10</f>
        <v>9</v>
      </c>
      <c r="BD765" t="str">
        <f>VLOOKUP(ifood_data[[#This Row],[RFM Score]],'RFM Analysis'!$A$3:$B$14,2,FALSE)</f>
        <v>Top Customer</v>
      </c>
      <c r="BE765">
        <f>'Regression Models'!$B$101+'Regression Models'!$B$102*ifood_data[[#This Row],[Income]]+'Regression Models'!$B$103*ifood_data[[#This Row],[Age]]+'Regression Models'!$B$104*ifood_data[[#This Row],[Family]]</f>
        <v>673.70229180965862</v>
      </c>
      <c r="BF765" t="str">
        <f>IF(ifood_data[[#This Row],[AcceptedCmpOverall]]=1,"Campaign Respondent","Non-respondent")</f>
        <v>Non-respondent</v>
      </c>
    </row>
    <row r="766" spans="1:58" x14ac:dyDescent="0.35">
      <c r="A766">
        <v>1002</v>
      </c>
      <c r="B766">
        <v>62845</v>
      </c>
      <c r="C766">
        <v>1</v>
      </c>
      <c r="D766">
        <v>1</v>
      </c>
      <c r="E766">
        <v>3</v>
      </c>
      <c r="F766">
        <v>1099</v>
      </c>
      <c r="G766">
        <v>0</v>
      </c>
      <c r="H766">
        <v>45</v>
      </c>
      <c r="I766">
        <v>0</v>
      </c>
      <c r="J766">
        <v>0</v>
      </c>
      <c r="K766">
        <v>34</v>
      </c>
      <c r="L766">
        <v>11</v>
      </c>
      <c r="M766">
        <v>3</v>
      </c>
      <c r="N766">
        <v>4</v>
      </c>
      <c r="O766">
        <v>10</v>
      </c>
      <c r="P766">
        <v>8</v>
      </c>
      <c r="Q766">
        <v>0</v>
      </c>
      <c r="R766">
        <v>0</v>
      </c>
      <c r="S766">
        <v>0</v>
      </c>
      <c r="T766">
        <v>1</v>
      </c>
      <c r="U766">
        <v>0</v>
      </c>
      <c r="V766">
        <f>IF(SUM(ifood_data[[#This Row],[AcceptedCmp1]:[AcceptedCmp5]])&gt;0,1,0)</f>
        <v>1</v>
      </c>
      <c r="W766">
        <v>0</v>
      </c>
      <c r="X766">
        <v>3</v>
      </c>
      <c r="Y766">
        <v>11</v>
      </c>
      <c r="Z766">
        <v>0</v>
      </c>
      <c r="AA766">
        <v>71</v>
      </c>
      <c r="AB766">
        <v>2795</v>
      </c>
      <c r="AC766" s="28">
        <f>ifood_data[[#This Row],[Customer_Days]]/365</f>
        <v>7.6575342465753424</v>
      </c>
      <c r="AD766">
        <v>0</v>
      </c>
      <c r="AE766">
        <v>1</v>
      </c>
      <c r="AF766">
        <v>0</v>
      </c>
      <c r="AG766">
        <v>0</v>
      </c>
      <c r="AH766">
        <v>0</v>
      </c>
      <c r="AI766">
        <v>0</v>
      </c>
      <c r="AJ766">
        <v>0</v>
      </c>
      <c r="AK766">
        <v>0</v>
      </c>
      <c r="AL766">
        <v>1</v>
      </c>
      <c r="AM766">
        <v>0</v>
      </c>
      <c r="AN766">
        <v>1144</v>
      </c>
      <c r="AO766">
        <v>1110</v>
      </c>
      <c r="AP766">
        <f>ifood_data[[#This Row],[MntTotal]]-ifood_data[[#This Row],[MntRegularProds]]</f>
        <v>34</v>
      </c>
      <c r="AQ766">
        <v>1</v>
      </c>
      <c r="AR766">
        <f>IF(SUM(ifood_data[[#This Row],[Kidhome]:[Teenhome]])&gt;0,1,0)</f>
        <v>1</v>
      </c>
      <c r="AS766" t="str">
        <f>IF(SUM(ifood_data[[#This Row],[Kidhome]:[Teenhome]])&gt;0,"Has Family","No Family")</f>
        <v>Has Family</v>
      </c>
      <c r="AT766" t="str">
        <f>IF(ifood_data[[#This Row],[marital_Married]]=1,"Married", (IF(ifood_data[[#This Row],[marital_Single]]=1,"Single",(IF(ifood_data[[#This Row],[marital_Divorced]]=1,"Divorced",(IF(ifood_data[[#This Row],[marital_Together]]=1,"Living Together",(IF(ifood_data[[#This Row],[marital_Widow]]=1,"Widow","Other")))))))))</f>
        <v>Married</v>
      </c>
      <c r="AU766" t="str">
        <f>IF(ifood_data[[#This Row],[education_Basic]]=1,"High School",(IF(ifood_data[[#This Row],[education_Graduation]]=1,"Undergraduate Degree",(IF(SUM(AM766,AL766,AI766)&gt;0,"Master's Degree or Higher","Other")))))</f>
        <v>Master's Degree or Higher</v>
      </c>
      <c r="AV766" t="str">
        <f>IF(ifood_data[[#All],[Income]]&gt;75000,"75K+",(IF(ifood_data[[#All],[Income]]&gt;50000,"50K-75K",(IF(ifood_data[[#All],[Income]]&gt;35000,"35K-50K","&lt;35K")))))</f>
        <v>50K-75K</v>
      </c>
      <c r="AW766" t="str">
        <f>IF(ifood_data[[#All],[Age]]&gt;60,"60+",(IF(ifood_data[[#All],[Age]]&gt;50,"50-60",(IF(ifood_data[[#All],[Age]]&gt;40,"40-50",(IF(ifood_data[[#All],[Age]]&gt;30,"30-40","&lt;30")))))))</f>
        <v>60+</v>
      </c>
      <c r="AX766">
        <f t="shared" si="44"/>
        <v>36</v>
      </c>
      <c r="AY766">
        <f t="shared" si="45"/>
        <v>10</v>
      </c>
      <c r="AZ766">
        <f t="shared" si="46"/>
        <v>9</v>
      </c>
      <c r="BA766">
        <f t="shared" si="47"/>
        <v>8</v>
      </c>
      <c r="BB766">
        <f>SUM(ifood_data[[#This Row],[Recency Score]:[Monetary Score]])</f>
        <v>27</v>
      </c>
      <c r="BC766">
        <f>(_xlfn.PERCENTRANK.INC(ifood_data[[#All],[RFM]],ifood_data[[#This Row],[RFM]],1))*10</f>
        <v>9</v>
      </c>
      <c r="BD766" t="str">
        <f>VLOOKUP(ifood_data[[#This Row],[RFM Score]],'RFM Analysis'!$A$3:$B$14,2,FALSE)</f>
        <v>Top Customer</v>
      </c>
      <c r="BE766">
        <f>'Regression Models'!$B$101+'Regression Models'!$B$102*ifood_data[[#This Row],[Income]]+'Regression Models'!$B$103*ifood_data[[#This Row],[Age]]+'Regression Models'!$B$104*ifood_data[[#This Row],[Family]]</f>
        <v>673.51607205435039</v>
      </c>
      <c r="BF766" t="str">
        <f>IF(ifood_data[[#This Row],[AcceptedCmpOverall]]=1,"Campaign Respondent","Non-respondent")</f>
        <v>Campaign Respondent</v>
      </c>
    </row>
    <row r="767" spans="1:58" x14ac:dyDescent="0.35">
      <c r="A767">
        <v>1263</v>
      </c>
      <c r="B767">
        <v>62845</v>
      </c>
      <c r="C767">
        <v>1</v>
      </c>
      <c r="D767">
        <v>1</v>
      </c>
      <c r="E767">
        <v>3</v>
      </c>
      <c r="F767">
        <v>1099</v>
      </c>
      <c r="G767">
        <v>0</v>
      </c>
      <c r="H767">
        <v>45</v>
      </c>
      <c r="I767">
        <v>0</v>
      </c>
      <c r="J767">
        <v>0</v>
      </c>
      <c r="K767">
        <v>34</v>
      </c>
      <c r="L767">
        <v>11</v>
      </c>
      <c r="M767">
        <v>3</v>
      </c>
      <c r="N767">
        <v>4</v>
      </c>
      <c r="O767">
        <v>10</v>
      </c>
      <c r="P767">
        <v>8</v>
      </c>
      <c r="Q767">
        <v>0</v>
      </c>
      <c r="R767">
        <v>0</v>
      </c>
      <c r="S767">
        <v>0</v>
      </c>
      <c r="T767">
        <v>1</v>
      </c>
      <c r="U767">
        <v>0</v>
      </c>
      <c r="V767">
        <f>IF(SUM(ifood_data[[#This Row],[AcceptedCmp1]:[AcceptedCmp5]])&gt;0,1,0)</f>
        <v>1</v>
      </c>
      <c r="W767">
        <v>0</v>
      </c>
      <c r="X767">
        <v>3</v>
      </c>
      <c r="Y767">
        <v>11</v>
      </c>
      <c r="Z767">
        <v>1</v>
      </c>
      <c r="AA767">
        <v>71</v>
      </c>
      <c r="AB767">
        <v>2795</v>
      </c>
      <c r="AC767" s="28">
        <f>ifood_data[[#This Row],[Customer_Days]]/365</f>
        <v>7.6575342465753424</v>
      </c>
      <c r="AD767">
        <v>0</v>
      </c>
      <c r="AE767">
        <v>1</v>
      </c>
      <c r="AF767">
        <v>0</v>
      </c>
      <c r="AG767">
        <v>0</v>
      </c>
      <c r="AH767">
        <v>0</v>
      </c>
      <c r="AI767">
        <v>0</v>
      </c>
      <c r="AJ767">
        <v>0</v>
      </c>
      <c r="AK767">
        <v>0</v>
      </c>
      <c r="AL767">
        <v>1</v>
      </c>
      <c r="AM767">
        <v>0</v>
      </c>
      <c r="AN767">
        <v>1144</v>
      </c>
      <c r="AO767">
        <v>1110</v>
      </c>
      <c r="AP767">
        <f>ifood_data[[#This Row],[MntTotal]]-ifood_data[[#This Row],[MntRegularProds]]</f>
        <v>34</v>
      </c>
      <c r="AQ767">
        <v>1</v>
      </c>
      <c r="AR767">
        <f>IF(SUM(ifood_data[[#This Row],[Kidhome]:[Teenhome]])&gt;0,1,0)</f>
        <v>1</v>
      </c>
      <c r="AS767" t="str">
        <f>IF(SUM(ifood_data[[#This Row],[Kidhome]:[Teenhome]])&gt;0,"Has Family","No Family")</f>
        <v>Has Family</v>
      </c>
      <c r="AT767" t="str">
        <f>IF(ifood_data[[#This Row],[marital_Married]]=1,"Married", (IF(ifood_data[[#This Row],[marital_Single]]=1,"Single",(IF(ifood_data[[#This Row],[marital_Divorced]]=1,"Divorced",(IF(ifood_data[[#This Row],[marital_Together]]=1,"Living Together",(IF(ifood_data[[#This Row],[marital_Widow]]=1,"Widow","Other")))))))))</f>
        <v>Married</v>
      </c>
      <c r="AU767" t="str">
        <f>IF(ifood_data[[#This Row],[education_Basic]]=1,"High School",(IF(ifood_data[[#This Row],[education_Graduation]]=1,"Undergraduate Degree",(IF(SUM(AM767,AL767,AI767)&gt;0,"Master's Degree or Higher","Other")))))</f>
        <v>Master's Degree or Higher</v>
      </c>
      <c r="AV767" t="str">
        <f>IF(ifood_data[[#All],[Income]]&gt;75000,"75K+",(IF(ifood_data[[#All],[Income]]&gt;50000,"50K-75K",(IF(ifood_data[[#All],[Income]]&gt;35000,"35K-50K","&lt;35K")))))</f>
        <v>50K-75K</v>
      </c>
      <c r="AW767" t="str">
        <f>IF(ifood_data[[#All],[Age]]&gt;60,"60+",(IF(ifood_data[[#All],[Age]]&gt;50,"50-60",(IF(ifood_data[[#All],[Age]]&gt;40,"40-50",(IF(ifood_data[[#All],[Age]]&gt;30,"30-40","&lt;30")))))))</f>
        <v>60+</v>
      </c>
      <c r="AX767">
        <f t="shared" si="44"/>
        <v>36</v>
      </c>
      <c r="AY767">
        <f t="shared" si="45"/>
        <v>10</v>
      </c>
      <c r="AZ767">
        <f t="shared" si="46"/>
        <v>9</v>
      </c>
      <c r="BA767">
        <f t="shared" si="47"/>
        <v>8</v>
      </c>
      <c r="BB767">
        <f>SUM(ifood_data[[#This Row],[Recency Score]:[Monetary Score]])</f>
        <v>27</v>
      </c>
      <c r="BC767">
        <f>(_xlfn.PERCENTRANK.INC(ifood_data[[#All],[RFM]],ifood_data[[#This Row],[RFM]],1))*10</f>
        <v>9</v>
      </c>
      <c r="BD767" t="str">
        <f>VLOOKUP(ifood_data[[#This Row],[RFM Score]],'RFM Analysis'!$A$3:$B$14,2,FALSE)</f>
        <v>Top Customer</v>
      </c>
      <c r="BE767">
        <f>'Regression Models'!$B$101+'Regression Models'!$B$102*ifood_data[[#This Row],[Income]]+'Regression Models'!$B$103*ifood_data[[#This Row],[Age]]+'Regression Models'!$B$104*ifood_data[[#This Row],[Family]]</f>
        <v>673.51607205435039</v>
      </c>
      <c r="BF767" t="str">
        <f>IF(ifood_data[[#This Row],[AcceptedCmpOverall]]=1,"Campaign Respondent","Non-respondent")</f>
        <v>Campaign Respondent</v>
      </c>
    </row>
    <row r="768" spans="1:58" x14ac:dyDescent="0.35">
      <c r="A768">
        <v>2018</v>
      </c>
      <c r="B768">
        <v>61223</v>
      </c>
      <c r="C768">
        <v>0</v>
      </c>
      <c r="D768">
        <v>1</v>
      </c>
      <c r="E768">
        <v>46</v>
      </c>
      <c r="F768">
        <v>709</v>
      </c>
      <c r="G768">
        <v>43</v>
      </c>
      <c r="H768">
        <v>182</v>
      </c>
      <c r="I768">
        <v>42</v>
      </c>
      <c r="J768">
        <v>118</v>
      </c>
      <c r="K768">
        <v>247</v>
      </c>
      <c r="L768">
        <v>2</v>
      </c>
      <c r="M768">
        <v>9</v>
      </c>
      <c r="N768">
        <v>3</v>
      </c>
      <c r="O768">
        <v>4</v>
      </c>
      <c r="P768">
        <v>5</v>
      </c>
      <c r="Q768">
        <v>0</v>
      </c>
      <c r="R768">
        <v>0</v>
      </c>
      <c r="S768">
        <v>0</v>
      </c>
      <c r="T768">
        <v>0</v>
      </c>
      <c r="U768">
        <v>0</v>
      </c>
      <c r="V768">
        <f>IF(SUM(ifood_data[[#This Row],[AcceptedCmp1]:[AcceptedCmp5]])&gt;0,1,0)</f>
        <v>0</v>
      </c>
      <c r="W768">
        <v>0</v>
      </c>
      <c r="X768">
        <v>3</v>
      </c>
      <c r="Y768">
        <v>11</v>
      </c>
      <c r="Z768">
        <v>0</v>
      </c>
      <c r="AA768">
        <v>53</v>
      </c>
      <c r="AB768">
        <v>2540</v>
      </c>
      <c r="AC768" s="28">
        <f>ifood_data[[#This Row],[Customer_Days]]/365</f>
        <v>6.9589041095890414</v>
      </c>
      <c r="AD768">
        <v>0</v>
      </c>
      <c r="AE768">
        <v>1</v>
      </c>
      <c r="AF768">
        <v>0</v>
      </c>
      <c r="AG768">
        <v>0</v>
      </c>
      <c r="AH768">
        <v>0</v>
      </c>
      <c r="AI768">
        <v>0</v>
      </c>
      <c r="AJ768">
        <v>0</v>
      </c>
      <c r="AK768">
        <v>1</v>
      </c>
      <c r="AL768">
        <v>0</v>
      </c>
      <c r="AM768">
        <v>0</v>
      </c>
      <c r="AN768">
        <v>1094</v>
      </c>
      <c r="AO768">
        <v>847</v>
      </c>
      <c r="AP768">
        <f>ifood_data[[#This Row],[MntTotal]]-ifood_data[[#This Row],[MntRegularProds]]</f>
        <v>247</v>
      </c>
      <c r="AQ768">
        <v>0</v>
      </c>
      <c r="AR768">
        <f>IF(SUM(ifood_data[[#This Row],[Kidhome]:[Teenhome]])&gt;0,1,0)</f>
        <v>1</v>
      </c>
      <c r="AS768" t="str">
        <f>IF(SUM(ifood_data[[#This Row],[Kidhome]:[Teenhome]])&gt;0,"Has Family","No Family")</f>
        <v>Has Family</v>
      </c>
      <c r="AT768" t="str">
        <f>IF(ifood_data[[#This Row],[marital_Married]]=1,"Married", (IF(ifood_data[[#This Row],[marital_Single]]=1,"Single",(IF(ifood_data[[#This Row],[marital_Divorced]]=1,"Divorced",(IF(ifood_data[[#This Row],[marital_Together]]=1,"Living Together",(IF(ifood_data[[#This Row],[marital_Widow]]=1,"Widow","Other")))))))))</f>
        <v>Married</v>
      </c>
      <c r="AU768" t="str">
        <f>IF(ifood_data[[#This Row],[education_Basic]]=1,"High School",(IF(ifood_data[[#This Row],[education_Graduation]]=1,"Undergraduate Degree",(IF(SUM(AM768,AL768,AI768)&gt;0,"Master's Degree or Higher","Other")))))</f>
        <v>Undergraduate Degree</v>
      </c>
      <c r="AV768" t="str">
        <f>IF(ifood_data[[#All],[Income]]&gt;75000,"75K+",(IF(ifood_data[[#All],[Income]]&gt;50000,"50K-75K",(IF(ifood_data[[#All],[Income]]&gt;35000,"35K-50K","&lt;35K")))))</f>
        <v>50K-75K</v>
      </c>
      <c r="AW768" t="str">
        <f>IF(ifood_data[[#All],[Age]]&gt;60,"60+",(IF(ifood_data[[#All],[Age]]&gt;50,"50-60",(IF(ifood_data[[#All],[Age]]&gt;40,"40-50",(IF(ifood_data[[#All],[Age]]&gt;30,"30-40","&lt;30")))))))</f>
        <v>50-60</v>
      </c>
      <c r="AX768">
        <f t="shared" si="44"/>
        <v>23</v>
      </c>
      <c r="AY768">
        <f t="shared" si="45"/>
        <v>6</v>
      </c>
      <c r="AZ768">
        <f t="shared" si="46"/>
        <v>6</v>
      </c>
      <c r="BA768">
        <f t="shared" si="47"/>
        <v>7</v>
      </c>
      <c r="BB768">
        <f>SUM(ifood_data[[#This Row],[Recency Score]:[Monetary Score]])</f>
        <v>19</v>
      </c>
      <c r="BC768">
        <f>(_xlfn.PERCENTRANK.INC(ifood_data[[#All],[RFM]],ifood_data[[#This Row],[RFM]],1))*10</f>
        <v>7</v>
      </c>
      <c r="BD768" t="str">
        <f>VLOOKUP(ifood_data[[#This Row],[RFM Score]],'RFM Analysis'!$A$3:$B$14,2,FALSE)</f>
        <v>Loyal Customer</v>
      </c>
      <c r="BE768">
        <f>'Regression Models'!$B$101+'Regression Models'!$B$102*ifood_data[[#This Row],[Income]]+'Regression Models'!$B$103*ifood_data[[#This Row],[Age]]+'Regression Models'!$B$104*ifood_data[[#This Row],[Family]]</f>
        <v>673.50139354504336</v>
      </c>
      <c r="BF768" t="str">
        <f>IF(ifood_data[[#This Row],[AcceptedCmpOverall]]=1,"Campaign Respondent","Non-respondent")</f>
        <v>Non-respondent</v>
      </c>
    </row>
    <row r="769" spans="1:58" x14ac:dyDescent="0.35">
      <c r="A769">
        <v>174</v>
      </c>
      <c r="B769">
        <v>61286</v>
      </c>
      <c r="C769">
        <v>0</v>
      </c>
      <c r="D769">
        <v>1</v>
      </c>
      <c r="E769">
        <v>34</v>
      </c>
      <c r="F769">
        <v>356</v>
      </c>
      <c r="G769">
        <v>0</v>
      </c>
      <c r="H769">
        <v>107</v>
      </c>
      <c r="I769">
        <v>19</v>
      </c>
      <c r="J769">
        <v>9</v>
      </c>
      <c r="K769">
        <v>117</v>
      </c>
      <c r="L769">
        <v>2</v>
      </c>
      <c r="M769">
        <v>7</v>
      </c>
      <c r="N769">
        <v>1</v>
      </c>
      <c r="O769">
        <v>8</v>
      </c>
      <c r="P769">
        <v>5</v>
      </c>
      <c r="Q769">
        <v>0</v>
      </c>
      <c r="R769">
        <v>0</v>
      </c>
      <c r="S769">
        <v>0</v>
      </c>
      <c r="T769">
        <v>0</v>
      </c>
      <c r="U769">
        <v>0</v>
      </c>
      <c r="V769">
        <f>IF(SUM(ifood_data[[#This Row],[AcceptedCmp1]:[AcceptedCmp5]])&gt;0,1,0)</f>
        <v>0</v>
      </c>
      <c r="W769">
        <v>0</v>
      </c>
      <c r="X769">
        <v>3</v>
      </c>
      <c r="Y769">
        <v>11</v>
      </c>
      <c r="Z769">
        <v>0</v>
      </c>
      <c r="AA769">
        <v>54</v>
      </c>
      <c r="AB769">
        <v>2490</v>
      </c>
      <c r="AC769" s="28">
        <f>ifood_data[[#This Row],[Customer_Days]]/365</f>
        <v>6.8219178082191778</v>
      </c>
      <c r="AD769">
        <v>0</v>
      </c>
      <c r="AE769">
        <v>1</v>
      </c>
      <c r="AF769">
        <v>0</v>
      </c>
      <c r="AG769">
        <v>0</v>
      </c>
      <c r="AH769">
        <v>0</v>
      </c>
      <c r="AI769">
        <v>0</v>
      </c>
      <c r="AJ769">
        <v>0</v>
      </c>
      <c r="AK769">
        <v>1</v>
      </c>
      <c r="AL769">
        <v>0</v>
      </c>
      <c r="AM769">
        <v>0</v>
      </c>
      <c r="AN769">
        <v>491</v>
      </c>
      <c r="AO769">
        <v>374</v>
      </c>
      <c r="AP769">
        <f>ifood_data[[#This Row],[MntTotal]]-ifood_data[[#This Row],[MntRegularProds]]</f>
        <v>117</v>
      </c>
      <c r="AQ769">
        <v>0</v>
      </c>
      <c r="AR769">
        <f>IF(SUM(ifood_data[[#This Row],[Kidhome]:[Teenhome]])&gt;0,1,0)</f>
        <v>1</v>
      </c>
      <c r="AS769" t="str">
        <f>IF(SUM(ifood_data[[#This Row],[Kidhome]:[Teenhome]])&gt;0,"Has Family","No Family")</f>
        <v>Has Family</v>
      </c>
      <c r="AT769" t="str">
        <f>IF(ifood_data[[#This Row],[marital_Married]]=1,"Married", (IF(ifood_data[[#This Row],[marital_Single]]=1,"Single",(IF(ifood_data[[#This Row],[marital_Divorced]]=1,"Divorced",(IF(ifood_data[[#This Row],[marital_Together]]=1,"Living Together",(IF(ifood_data[[#This Row],[marital_Widow]]=1,"Widow","Other")))))))))</f>
        <v>Married</v>
      </c>
      <c r="AU769" t="str">
        <f>IF(ifood_data[[#This Row],[education_Basic]]=1,"High School",(IF(ifood_data[[#This Row],[education_Graduation]]=1,"Undergraduate Degree",(IF(SUM(AM769,AL769,AI769)&gt;0,"Master's Degree or Higher","Other")))))</f>
        <v>Undergraduate Degree</v>
      </c>
      <c r="AV769" t="str">
        <f>IF(ifood_data[[#All],[Income]]&gt;75000,"75K+",(IF(ifood_data[[#All],[Income]]&gt;50000,"50K-75K",(IF(ifood_data[[#All],[Income]]&gt;35000,"35K-50K","&lt;35K")))))</f>
        <v>50K-75K</v>
      </c>
      <c r="AW769" t="str">
        <f>IF(ifood_data[[#All],[Age]]&gt;60,"60+",(IF(ifood_data[[#All],[Age]]&gt;50,"50-60",(IF(ifood_data[[#All],[Age]]&gt;40,"40-50",(IF(ifood_data[[#All],[Age]]&gt;30,"30-40","&lt;30")))))))</f>
        <v>50-60</v>
      </c>
      <c r="AX769">
        <f t="shared" si="44"/>
        <v>23</v>
      </c>
      <c r="AY769">
        <f t="shared" si="45"/>
        <v>7</v>
      </c>
      <c r="AZ769">
        <f t="shared" si="46"/>
        <v>6</v>
      </c>
      <c r="BA769">
        <f t="shared" si="47"/>
        <v>5</v>
      </c>
      <c r="BB769">
        <f>SUM(ifood_data[[#This Row],[Recency Score]:[Monetary Score]])</f>
        <v>18</v>
      </c>
      <c r="BC769">
        <f>(_xlfn.PERCENTRANK.INC(ifood_data[[#All],[RFM]],ifood_data[[#This Row],[RFM]],1))*10</f>
        <v>6</v>
      </c>
      <c r="BD769" t="str">
        <f>VLOOKUP(ifood_data[[#This Row],[RFM Score]],'RFM Analysis'!$A$3:$B$14,2,FALSE)</f>
        <v>Promising</v>
      </c>
      <c r="BE769">
        <f>'Regression Models'!$B$101+'Regression Models'!$B$102*ifood_data[[#This Row],[Income]]+'Regression Models'!$B$103*ifood_data[[#This Row],[Age]]+'Regression Models'!$B$104*ifood_data[[#This Row],[Family]]</f>
        <v>672.94944685921473</v>
      </c>
      <c r="BF769" t="str">
        <f>IF(ifood_data[[#This Row],[AcceptedCmpOverall]]=1,"Campaign Respondent","Non-respondent")</f>
        <v>Non-respondent</v>
      </c>
    </row>
    <row r="770" spans="1:58" x14ac:dyDescent="0.35">
      <c r="A770">
        <v>146</v>
      </c>
      <c r="B770">
        <v>60199</v>
      </c>
      <c r="C770">
        <v>1</v>
      </c>
      <c r="D770">
        <v>2</v>
      </c>
      <c r="E770">
        <v>49</v>
      </c>
      <c r="F770">
        <v>8</v>
      </c>
      <c r="G770">
        <v>1</v>
      </c>
      <c r="H770">
        <v>7</v>
      </c>
      <c r="I770">
        <v>2</v>
      </c>
      <c r="J770">
        <v>0</v>
      </c>
      <c r="K770">
        <v>0</v>
      </c>
      <c r="L770">
        <v>1</v>
      </c>
      <c r="M770">
        <v>0</v>
      </c>
      <c r="N770">
        <v>0</v>
      </c>
      <c r="O770">
        <v>3</v>
      </c>
      <c r="P770">
        <v>4</v>
      </c>
      <c r="Q770">
        <v>0</v>
      </c>
      <c r="R770">
        <v>0</v>
      </c>
      <c r="S770">
        <v>0</v>
      </c>
      <c r="T770">
        <v>0</v>
      </c>
      <c r="U770">
        <v>0</v>
      </c>
      <c r="V770">
        <f>IF(SUM(ifood_data[[#This Row],[AcceptedCmp1]:[AcceptedCmp5]])&gt;0,1,0)</f>
        <v>0</v>
      </c>
      <c r="W770">
        <v>0</v>
      </c>
      <c r="X770">
        <v>3</v>
      </c>
      <c r="Y770">
        <v>11</v>
      </c>
      <c r="Z770">
        <v>0</v>
      </c>
      <c r="AA770">
        <v>42</v>
      </c>
      <c r="AB770">
        <v>2449</v>
      </c>
      <c r="AC770" s="28">
        <f>ifood_data[[#This Row],[Customer_Days]]/365</f>
        <v>6.7095890410958905</v>
      </c>
      <c r="AD770">
        <v>0</v>
      </c>
      <c r="AE770">
        <v>0</v>
      </c>
      <c r="AF770">
        <v>1</v>
      </c>
      <c r="AG770">
        <v>0</v>
      </c>
      <c r="AH770">
        <v>0</v>
      </c>
      <c r="AI770">
        <v>0</v>
      </c>
      <c r="AJ770">
        <v>0</v>
      </c>
      <c r="AK770">
        <v>1</v>
      </c>
      <c r="AL770">
        <v>0</v>
      </c>
      <c r="AM770">
        <v>0</v>
      </c>
      <c r="AN770">
        <v>18</v>
      </c>
      <c r="AO770">
        <v>18</v>
      </c>
      <c r="AP770">
        <f>ifood_data[[#This Row],[MntTotal]]-ifood_data[[#This Row],[MntRegularProds]]</f>
        <v>0</v>
      </c>
      <c r="AQ770">
        <v>0</v>
      </c>
      <c r="AR770">
        <f>IF(SUM(ifood_data[[#This Row],[Kidhome]:[Teenhome]])&gt;0,1,0)</f>
        <v>1</v>
      </c>
      <c r="AS770" t="str">
        <f>IF(SUM(ifood_data[[#This Row],[Kidhome]:[Teenhome]])&gt;0,"Has Family","No Family")</f>
        <v>Has Family</v>
      </c>
      <c r="AT770" t="str">
        <f>IF(ifood_data[[#This Row],[marital_Married]]=1,"Married", (IF(ifood_data[[#This Row],[marital_Single]]=1,"Single",(IF(ifood_data[[#This Row],[marital_Divorced]]=1,"Divorced",(IF(ifood_data[[#This Row],[marital_Together]]=1,"Living Together",(IF(ifood_data[[#This Row],[marital_Widow]]=1,"Widow","Other")))))))))</f>
        <v>Single</v>
      </c>
      <c r="AU770" t="str">
        <f>IF(ifood_data[[#This Row],[education_Basic]]=1,"High School",(IF(ifood_data[[#This Row],[education_Graduation]]=1,"Undergraduate Degree",(IF(SUM(AM770,AL770,AI770)&gt;0,"Master's Degree or Higher","Other")))))</f>
        <v>Undergraduate Degree</v>
      </c>
      <c r="AV770" t="str">
        <f>IF(ifood_data[[#All],[Income]]&gt;75000,"75K+",(IF(ifood_data[[#All],[Income]]&gt;50000,"50K-75K",(IF(ifood_data[[#All],[Income]]&gt;35000,"35K-50K","&lt;35K")))))</f>
        <v>50K-75K</v>
      </c>
      <c r="AW770" t="str">
        <f>IF(ifood_data[[#All],[Age]]&gt;60,"60+",(IF(ifood_data[[#All],[Age]]&gt;50,"50-60",(IF(ifood_data[[#All],[Age]]&gt;40,"40-50",(IF(ifood_data[[#All],[Age]]&gt;30,"30-40","&lt;30")))))))</f>
        <v>40-50</v>
      </c>
      <c r="AX770">
        <f t="shared" ref="AX770:AX833" si="48">SUM(L770:P770)</f>
        <v>8</v>
      </c>
      <c r="AY770">
        <f t="shared" ref="AY770:AY833" si="49">(1-_xlfn.PERCENTRANK.INC($E$2:$E$2022,E770,1))*10</f>
        <v>6</v>
      </c>
      <c r="AZ770">
        <f t="shared" ref="AZ770:AZ833" si="50">_xlfn.PERCENTRANK.INC($AX$2:$AX$2022,AX770,1)*10</f>
        <v>0</v>
      </c>
      <c r="BA770">
        <f t="shared" ref="BA770:BA833" si="51">_xlfn.PERCENTRANK.INC($AN$2:$AN$2022,AN770,1)*10</f>
        <v>0</v>
      </c>
      <c r="BB770">
        <f>SUM(ifood_data[[#This Row],[Recency Score]:[Monetary Score]])</f>
        <v>6</v>
      </c>
      <c r="BC770">
        <f>(_xlfn.PERCENTRANK.INC(ifood_data[[#All],[RFM]],ifood_data[[#This Row],[RFM]],1))*10</f>
        <v>0</v>
      </c>
      <c r="BD770" t="str">
        <f>VLOOKUP(ifood_data[[#This Row],[RFM Score]],'RFM Analysis'!$A$3:$B$14,2,FALSE)</f>
        <v>Lost</v>
      </c>
      <c r="BE770">
        <f>'Regression Models'!$B$101+'Regression Models'!$B$102*ifood_data[[#This Row],[Income]]+'Regression Models'!$B$103*ifood_data[[#This Row],[Age]]+'Regression Models'!$B$104*ifood_data[[#This Row],[Family]]</f>
        <v>672.824124833528</v>
      </c>
      <c r="BF770" t="str">
        <f>IF(ifood_data[[#This Row],[AcceptedCmpOverall]]=1,"Campaign Respondent","Non-respondent")</f>
        <v>Non-respondent</v>
      </c>
    </row>
    <row r="771" spans="1:58" x14ac:dyDescent="0.35">
      <c r="A771">
        <v>727</v>
      </c>
      <c r="B771">
        <v>62058</v>
      </c>
      <c r="C771">
        <v>0</v>
      </c>
      <c r="D771">
        <v>1</v>
      </c>
      <c r="E771">
        <v>52</v>
      </c>
      <c r="F771">
        <v>301</v>
      </c>
      <c r="G771">
        <v>7</v>
      </c>
      <c r="H771">
        <v>74</v>
      </c>
      <c r="I771">
        <v>10</v>
      </c>
      <c r="J771">
        <v>0</v>
      </c>
      <c r="K771">
        <v>58</v>
      </c>
      <c r="L771">
        <v>4</v>
      </c>
      <c r="M771">
        <v>6</v>
      </c>
      <c r="N771">
        <v>1</v>
      </c>
      <c r="O771">
        <v>7</v>
      </c>
      <c r="P771">
        <v>6</v>
      </c>
      <c r="Q771">
        <v>0</v>
      </c>
      <c r="R771">
        <v>0</v>
      </c>
      <c r="S771">
        <v>0</v>
      </c>
      <c r="T771">
        <v>0</v>
      </c>
      <c r="U771">
        <v>0</v>
      </c>
      <c r="V771">
        <f>IF(SUM(ifood_data[[#This Row],[AcceptedCmp1]:[AcceptedCmp5]])&gt;0,1,0)</f>
        <v>0</v>
      </c>
      <c r="W771">
        <v>0</v>
      </c>
      <c r="X771">
        <v>3</v>
      </c>
      <c r="Y771">
        <v>11</v>
      </c>
      <c r="Z771">
        <v>0</v>
      </c>
      <c r="AA771">
        <v>64</v>
      </c>
      <c r="AB771">
        <v>2558</v>
      </c>
      <c r="AC771" s="28">
        <f>ifood_data[[#This Row],[Customer_Days]]/365</f>
        <v>7.0082191780821921</v>
      </c>
      <c r="AD771">
        <v>0</v>
      </c>
      <c r="AE771">
        <v>1</v>
      </c>
      <c r="AF771">
        <v>0</v>
      </c>
      <c r="AG771">
        <v>0</v>
      </c>
      <c r="AH771">
        <v>0</v>
      </c>
      <c r="AI771">
        <v>0</v>
      </c>
      <c r="AJ771">
        <v>0</v>
      </c>
      <c r="AK771">
        <v>0</v>
      </c>
      <c r="AL771">
        <v>1</v>
      </c>
      <c r="AM771">
        <v>0</v>
      </c>
      <c r="AN771">
        <v>392</v>
      </c>
      <c r="AO771">
        <v>334</v>
      </c>
      <c r="AP771">
        <f>ifood_data[[#This Row],[MntTotal]]-ifood_data[[#This Row],[MntRegularProds]]</f>
        <v>58</v>
      </c>
      <c r="AQ771">
        <v>0</v>
      </c>
      <c r="AR771">
        <f>IF(SUM(ifood_data[[#This Row],[Kidhome]:[Teenhome]])&gt;0,1,0)</f>
        <v>1</v>
      </c>
      <c r="AS771" t="str">
        <f>IF(SUM(ifood_data[[#This Row],[Kidhome]:[Teenhome]])&gt;0,"Has Family","No Family")</f>
        <v>Has Family</v>
      </c>
      <c r="AT771" t="str">
        <f>IF(ifood_data[[#This Row],[marital_Married]]=1,"Married", (IF(ifood_data[[#This Row],[marital_Single]]=1,"Single",(IF(ifood_data[[#This Row],[marital_Divorced]]=1,"Divorced",(IF(ifood_data[[#This Row],[marital_Together]]=1,"Living Together",(IF(ifood_data[[#This Row],[marital_Widow]]=1,"Widow","Other")))))))))</f>
        <v>Married</v>
      </c>
      <c r="AU771" t="str">
        <f>IF(ifood_data[[#This Row],[education_Basic]]=1,"High School",(IF(ifood_data[[#This Row],[education_Graduation]]=1,"Undergraduate Degree",(IF(SUM(AM771,AL771,AI771)&gt;0,"Master's Degree or Higher","Other")))))</f>
        <v>Master's Degree or Higher</v>
      </c>
      <c r="AV771" t="str">
        <f>IF(ifood_data[[#All],[Income]]&gt;75000,"75K+",(IF(ifood_data[[#All],[Income]]&gt;50000,"50K-75K",(IF(ifood_data[[#All],[Income]]&gt;35000,"35K-50K","&lt;35K")))))</f>
        <v>50K-75K</v>
      </c>
      <c r="AW771" t="str">
        <f>IF(ifood_data[[#All],[Age]]&gt;60,"60+",(IF(ifood_data[[#All],[Age]]&gt;50,"50-60",(IF(ifood_data[[#All],[Age]]&gt;40,"40-50",(IF(ifood_data[[#All],[Age]]&gt;30,"30-40","&lt;30")))))))</f>
        <v>60+</v>
      </c>
      <c r="AX771">
        <f t="shared" si="48"/>
        <v>24</v>
      </c>
      <c r="AY771">
        <f t="shared" si="49"/>
        <v>5</v>
      </c>
      <c r="AZ771">
        <f t="shared" si="50"/>
        <v>6</v>
      </c>
      <c r="BA771">
        <f t="shared" si="51"/>
        <v>5</v>
      </c>
      <c r="BB771">
        <f>SUM(ifood_data[[#This Row],[Recency Score]:[Monetary Score]])</f>
        <v>16</v>
      </c>
      <c r="BC771">
        <f>(_xlfn.PERCENTRANK.INC(ifood_data[[#All],[RFM]],ifood_data[[#This Row],[RFM]],1))*10</f>
        <v>5</v>
      </c>
      <c r="BD771" t="str">
        <f>VLOOKUP(ifood_data[[#This Row],[RFM Score]],'RFM Analysis'!$A$3:$B$14,2,FALSE)</f>
        <v>Promising</v>
      </c>
      <c r="BE771">
        <f>'Regression Models'!$B$101+'Regression Models'!$B$102*ifood_data[[#This Row],[Income]]+'Regression Models'!$B$103*ifood_data[[#This Row],[Age]]+'Regression Models'!$B$104*ifood_data[[#This Row],[Family]]</f>
        <v>670.32518507736177</v>
      </c>
      <c r="BF771" t="str">
        <f>IF(ifood_data[[#This Row],[AcceptedCmpOverall]]=1,"Campaign Respondent","Non-respondent")</f>
        <v>Non-respondent</v>
      </c>
    </row>
    <row r="772" spans="1:58" x14ac:dyDescent="0.35">
      <c r="A772">
        <v>1236</v>
      </c>
      <c r="B772">
        <v>59060</v>
      </c>
      <c r="C772">
        <v>1</v>
      </c>
      <c r="D772">
        <v>0</v>
      </c>
      <c r="E772">
        <v>77</v>
      </c>
      <c r="F772">
        <v>35</v>
      </c>
      <c r="G772">
        <v>40</v>
      </c>
      <c r="H772">
        <v>111</v>
      </c>
      <c r="I772">
        <v>36</v>
      </c>
      <c r="J772">
        <v>40</v>
      </c>
      <c r="K772">
        <v>12</v>
      </c>
      <c r="L772">
        <v>3</v>
      </c>
      <c r="M772">
        <v>3</v>
      </c>
      <c r="N772">
        <v>1</v>
      </c>
      <c r="O772">
        <v>7</v>
      </c>
      <c r="P772">
        <v>4</v>
      </c>
      <c r="Q772">
        <v>0</v>
      </c>
      <c r="R772">
        <v>0</v>
      </c>
      <c r="S772">
        <v>0</v>
      </c>
      <c r="T772">
        <v>0</v>
      </c>
      <c r="U772">
        <v>0</v>
      </c>
      <c r="V772">
        <f>IF(SUM(ifood_data[[#This Row],[AcceptedCmp1]:[AcceptedCmp5]])&gt;0,1,0)</f>
        <v>0</v>
      </c>
      <c r="W772">
        <v>0</v>
      </c>
      <c r="X772">
        <v>3</v>
      </c>
      <c r="Y772">
        <v>11</v>
      </c>
      <c r="Z772">
        <v>0</v>
      </c>
      <c r="AA772">
        <v>31</v>
      </c>
      <c r="AB772">
        <v>2328</v>
      </c>
      <c r="AC772" s="28">
        <f>ifood_data[[#This Row],[Customer_Days]]/365</f>
        <v>6.3780821917808215</v>
      </c>
      <c r="AD772">
        <v>0</v>
      </c>
      <c r="AE772">
        <v>1</v>
      </c>
      <c r="AF772">
        <v>0</v>
      </c>
      <c r="AG772">
        <v>0</v>
      </c>
      <c r="AH772">
        <v>0</v>
      </c>
      <c r="AI772">
        <v>1</v>
      </c>
      <c r="AJ772">
        <v>0</v>
      </c>
      <c r="AK772">
        <v>0</v>
      </c>
      <c r="AL772">
        <v>0</v>
      </c>
      <c r="AM772">
        <v>0</v>
      </c>
      <c r="AN772">
        <v>262</v>
      </c>
      <c r="AO772">
        <v>250</v>
      </c>
      <c r="AP772">
        <f>ifood_data[[#This Row],[MntTotal]]-ifood_data[[#This Row],[MntRegularProds]]</f>
        <v>12</v>
      </c>
      <c r="AQ772">
        <v>0</v>
      </c>
      <c r="AR772">
        <f>IF(SUM(ifood_data[[#This Row],[Kidhome]:[Teenhome]])&gt;0,1,0)</f>
        <v>1</v>
      </c>
      <c r="AS772" t="str">
        <f>IF(SUM(ifood_data[[#This Row],[Kidhome]:[Teenhome]])&gt;0,"Has Family","No Family")</f>
        <v>Has Family</v>
      </c>
      <c r="AT772" t="str">
        <f>IF(ifood_data[[#This Row],[marital_Married]]=1,"Married", (IF(ifood_data[[#This Row],[marital_Single]]=1,"Single",(IF(ifood_data[[#This Row],[marital_Divorced]]=1,"Divorced",(IF(ifood_data[[#This Row],[marital_Together]]=1,"Living Together",(IF(ifood_data[[#This Row],[marital_Widow]]=1,"Widow","Other")))))))))</f>
        <v>Married</v>
      </c>
      <c r="AU772" t="str">
        <f>IF(ifood_data[[#This Row],[education_Basic]]=1,"High School",(IF(ifood_data[[#This Row],[education_Graduation]]=1,"Undergraduate Degree",(IF(SUM(AM772,AL772,AI772)&gt;0,"Master's Degree or Higher","Other")))))</f>
        <v>Master's Degree or Higher</v>
      </c>
      <c r="AV772" t="str">
        <f>IF(ifood_data[[#All],[Income]]&gt;75000,"75K+",(IF(ifood_data[[#All],[Income]]&gt;50000,"50K-75K",(IF(ifood_data[[#All],[Income]]&gt;35000,"35K-50K","&lt;35K")))))</f>
        <v>50K-75K</v>
      </c>
      <c r="AW772" t="str">
        <f>IF(ifood_data[[#All],[Age]]&gt;60,"60+",(IF(ifood_data[[#All],[Age]]&gt;50,"50-60",(IF(ifood_data[[#All],[Age]]&gt;40,"40-50",(IF(ifood_data[[#All],[Age]]&gt;30,"30-40","&lt;30")))))))</f>
        <v>30-40</v>
      </c>
      <c r="AX772">
        <f t="shared" si="48"/>
        <v>18</v>
      </c>
      <c r="AY772">
        <f t="shared" si="49"/>
        <v>3.0000000000000004</v>
      </c>
      <c r="AZ772">
        <f t="shared" si="50"/>
        <v>4</v>
      </c>
      <c r="BA772">
        <f t="shared" si="51"/>
        <v>4</v>
      </c>
      <c r="BB772">
        <f>SUM(ifood_data[[#This Row],[Recency Score]:[Monetary Score]])</f>
        <v>11</v>
      </c>
      <c r="BC772">
        <f>(_xlfn.PERCENTRANK.INC(ifood_data[[#All],[RFM]],ifood_data[[#This Row],[RFM]],1))*10</f>
        <v>2</v>
      </c>
      <c r="BD772" t="str">
        <f>VLOOKUP(ifood_data[[#This Row],[RFM Score]],'RFM Analysis'!$A$3:$B$14,2,FALSE)</f>
        <v>At Risk</v>
      </c>
      <c r="BE772">
        <f>'Regression Models'!$B$101+'Regression Models'!$B$102*ifood_data[[#This Row],[Income]]+'Regression Models'!$B$103*ifood_data[[#This Row],[Age]]+'Regression Models'!$B$104*ifood_data[[#This Row],[Family]]</f>
        <v>669.80214778546394</v>
      </c>
      <c r="BF772" t="str">
        <f>IF(ifood_data[[#This Row],[AcceptedCmpOverall]]=1,"Campaign Respondent","Non-respondent")</f>
        <v>Non-respondent</v>
      </c>
    </row>
    <row r="773" spans="1:58" x14ac:dyDescent="0.35">
      <c r="A773">
        <v>38</v>
      </c>
      <c r="B773">
        <v>48948</v>
      </c>
      <c r="C773">
        <v>0</v>
      </c>
      <c r="D773">
        <v>0</v>
      </c>
      <c r="E773">
        <v>53</v>
      </c>
      <c r="F773">
        <v>437</v>
      </c>
      <c r="G773">
        <v>8</v>
      </c>
      <c r="H773">
        <v>206</v>
      </c>
      <c r="I773">
        <v>160</v>
      </c>
      <c r="J773">
        <v>49</v>
      </c>
      <c r="K773">
        <v>42</v>
      </c>
      <c r="L773">
        <v>2</v>
      </c>
      <c r="M773">
        <v>7</v>
      </c>
      <c r="N773">
        <v>10</v>
      </c>
      <c r="O773">
        <v>5</v>
      </c>
      <c r="P773">
        <v>6</v>
      </c>
      <c r="Q773">
        <v>0</v>
      </c>
      <c r="R773">
        <v>0</v>
      </c>
      <c r="S773">
        <v>1</v>
      </c>
      <c r="T773">
        <v>0</v>
      </c>
      <c r="U773">
        <v>0</v>
      </c>
      <c r="V773">
        <f>IF(SUM(ifood_data[[#This Row],[AcceptedCmp1]:[AcceptedCmp5]])&gt;0,1,0)</f>
        <v>1</v>
      </c>
      <c r="W773">
        <v>0</v>
      </c>
      <c r="X773">
        <v>3</v>
      </c>
      <c r="Y773">
        <v>11</v>
      </c>
      <c r="Z773">
        <v>1</v>
      </c>
      <c r="AA773">
        <v>77</v>
      </c>
      <c r="AB773">
        <v>2672</v>
      </c>
      <c r="AC773" s="28">
        <f>ifood_data[[#This Row],[Customer_Days]]/365</f>
        <v>7.3205479452054796</v>
      </c>
      <c r="AD773">
        <v>1</v>
      </c>
      <c r="AE773">
        <v>0</v>
      </c>
      <c r="AF773">
        <v>0</v>
      </c>
      <c r="AG773">
        <v>0</v>
      </c>
      <c r="AH773">
        <v>0</v>
      </c>
      <c r="AI773">
        <v>0</v>
      </c>
      <c r="AJ773">
        <v>0</v>
      </c>
      <c r="AK773">
        <v>0</v>
      </c>
      <c r="AL773">
        <v>0</v>
      </c>
      <c r="AM773">
        <v>1</v>
      </c>
      <c r="AN773">
        <v>860</v>
      </c>
      <c r="AO773">
        <v>818</v>
      </c>
      <c r="AP773">
        <f>ifood_data[[#This Row],[MntTotal]]-ifood_data[[#This Row],[MntRegularProds]]</f>
        <v>42</v>
      </c>
      <c r="AQ773">
        <v>1</v>
      </c>
      <c r="AR773">
        <f>IF(SUM(ifood_data[[#This Row],[Kidhome]:[Teenhome]])&gt;0,1,0)</f>
        <v>0</v>
      </c>
      <c r="AS773" t="str">
        <f>IF(SUM(ifood_data[[#This Row],[Kidhome]:[Teenhome]])&gt;0,"Has Family","No Family")</f>
        <v>No Family</v>
      </c>
      <c r="AT773" t="str">
        <f>IF(ifood_data[[#This Row],[marital_Married]]=1,"Married", (IF(ifood_data[[#This Row],[marital_Single]]=1,"Single",(IF(ifood_data[[#This Row],[marital_Divorced]]=1,"Divorced",(IF(ifood_data[[#This Row],[marital_Together]]=1,"Living Together",(IF(ifood_data[[#This Row],[marital_Widow]]=1,"Widow","Other")))))))))</f>
        <v>Divorced</v>
      </c>
      <c r="AU773" t="str">
        <f>IF(ifood_data[[#This Row],[education_Basic]]=1,"High School",(IF(ifood_data[[#This Row],[education_Graduation]]=1,"Undergraduate Degree",(IF(SUM(AM773,AL773,AI773)&gt;0,"Master's Degree or Higher","Other")))))</f>
        <v>Master's Degree or Higher</v>
      </c>
      <c r="AV773" t="str">
        <f>IF(ifood_data[[#All],[Income]]&gt;75000,"75K+",(IF(ifood_data[[#All],[Income]]&gt;50000,"50K-75K",(IF(ifood_data[[#All],[Income]]&gt;35000,"35K-50K","&lt;35K")))))</f>
        <v>35K-50K</v>
      </c>
      <c r="AW773" t="str">
        <f>IF(ifood_data[[#All],[Age]]&gt;60,"60+",(IF(ifood_data[[#All],[Age]]&gt;50,"50-60",(IF(ifood_data[[#All],[Age]]&gt;40,"40-50",(IF(ifood_data[[#All],[Age]]&gt;30,"30-40","&lt;30")))))))</f>
        <v>60+</v>
      </c>
      <c r="AX773">
        <f t="shared" si="48"/>
        <v>30</v>
      </c>
      <c r="AY773">
        <f t="shared" si="49"/>
        <v>5</v>
      </c>
      <c r="AZ773">
        <f t="shared" si="50"/>
        <v>8</v>
      </c>
      <c r="BA773">
        <f t="shared" si="51"/>
        <v>7</v>
      </c>
      <c r="BB773">
        <f>SUM(ifood_data[[#This Row],[Recency Score]:[Monetary Score]])</f>
        <v>20</v>
      </c>
      <c r="BC773">
        <f>(_xlfn.PERCENTRANK.INC(ifood_data[[#All],[RFM]],ifood_data[[#This Row],[RFM]],1))*10</f>
        <v>7</v>
      </c>
      <c r="BD773" t="str">
        <f>VLOOKUP(ifood_data[[#This Row],[RFM Score]],'RFM Analysis'!$A$3:$B$14,2,FALSE)</f>
        <v>Loyal Customer</v>
      </c>
      <c r="BE773">
        <f>'Regression Models'!$B$101+'Regression Models'!$B$102*ifood_data[[#This Row],[Income]]+'Regression Models'!$B$103*ifood_data[[#This Row],[Age]]+'Regression Models'!$B$104*ifood_data[[#This Row],[Family]]</f>
        <v>668.76835775823724</v>
      </c>
      <c r="BF773" t="str">
        <f>IF(ifood_data[[#This Row],[AcceptedCmpOverall]]=1,"Campaign Respondent","Non-respondent")</f>
        <v>Campaign Respondent</v>
      </c>
    </row>
    <row r="774" spans="1:58" x14ac:dyDescent="0.35">
      <c r="A774">
        <v>1559</v>
      </c>
      <c r="B774">
        <v>62335</v>
      </c>
      <c r="C774">
        <v>0</v>
      </c>
      <c r="D774">
        <v>1</v>
      </c>
      <c r="E774">
        <v>87</v>
      </c>
      <c r="F774">
        <v>243</v>
      </c>
      <c r="G774">
        <v>131</v>
      </c>
      <c r="H774">
        <v>217</v>
      </c>
      <c r="I774">
        <v>85</v>
      </c>
      <c r="J774">
        <v>6</v>
      </c>
      <c r="K774">
        <v>26</v>
      </c>
      <c r="L774">
        <v>2</v>
      </c>
      <c r="M774">
        <v>3</v>
      </c>
      <c r="N774">
        <v>3</v>
      </c>
      <c r="O774">
        <v>13</v>
      </c>
      <c r="P774">
        <v>2</v>
      </c>
      <c r="Q774">
        <v>0</v>
      </c>
      <c r="R774">
        <v>0</v>
      </c>
      <c r="S774">
        <v>0</v>
      </c>
      <c r="T774">
        <v>0</v>
      </c>
      <c r="U774">
        <v>0</v>
      </c>
      <c r="V774">
        <f>IF(SUM(ifood_data[[#This Row],[AcceptedCmp1]:[AcceptedCmp5]])&gt;0,1,0)</f>
        <v>0</v>
      </c>
      <c r="W774">
        <v>0</v>
      </c>
      <c r="X774">
        <v>3</v>
      </c>
      <c r="Y774">
        <v>11</v>
      </c>
      <c r="Z774">
        <v>0</v>
      </c>
      <c r="AA774">
        <v>68</v>
      </c>
      <c r="AB774">
        <v>2561</v>
      </c>
      <c r="AC774" s="28">
        <f>ifood_data[[#This Row],[Customer_Days]]/365</f>
        <v>7.0164383561643833</v>
      </c>
      <c r="AD774">
        <v>1</v>
      </c>
      <c r="AE774">
        <v>0</v>
      </c>
      <c r="AF774">
        <v>0</v>
      </c>
      <c r="AG774">
        <v>0</v>
      </c>
      <c r="AH774">
        <v>0</v>
      </c>
      <c r="AI774">
        <v>0</v>
      </c>
      <c r="AJ774">
        <v>0</v>
      </c>
      <c r="AK774">
        <v>1</v>
      </c>
      <c r="AL774">
        <v>0</v>
      </c>
      <c r="AM774">
        <v>0</v>
      </c>
      <c r="AN774">
        <v>682</v>
      </c>
      <c r="AO774">
        <v>656</v>
      </c>
      <c r="AP774">
        <f>ifood_data[[#This Row],[MntTotal]]-ifood_data[[#This Row],[MntRegularProds]]</f>
        <v>26</v>
      </c>
      <c r="AQ774">
        <v>0</v>
      </c>
      <c r="AR774">
        <f>IF(SUM(ifood_data[[#This Row],[Kidhome]:[Teenhome]])&gt;0,1,0)</f>
        <v>1</v>
      </c>
      <c r="AS774" t="str">
        <f>IF(SUM(ifood_data[[#This Row],[Kidhome]:[Teenhome]])&gt;0,"Has Family","No Family")</f>
        <v>Has Family</v>
      </c>
      <c r="AT774" t="str">
        <f>IF(ifood_data[[#This Row],[marital_Married]]=1,"Married", (IF(ifood_data[[#This Row],[marital_Single]]=1,"Single",(IF(ifood_data[[#This Row],[marital_Divorced]]=1,"Divorced",(IF(ifood_data[[#This Row],[marital_Together]]=1,"Living Together",(IF(ifood_data[[#This Row],[marital_Widow]]=1,"Widow","Other")))))))))</f>
        <v>Divorced</v>
      </c>
      <c r="AU774" t="str">
        <f>IF(ifood_data[[#This Row],[education_Basic]]=1,"High School",(IF(ifood_data[[#This Row],[education_Graduation]]=1,"Undergraduate Degree",(IF(SUM(AM774,AL774,AI774)&gt;0,"Master's Degree or Higher","Other")))))</f>
        <v>Undergraduate Degree</v>
      </c>
      <c r="AV774" t="str">
        <f>IF(ifood_data[[#All],[Income]]&gt;75000,"75K+",(IF(ifood_data[[#All],[Income]]&gt;50000,"50K-75K",(IF(ifood_data[[#All],[Income]]&gt;35000,"35K-50K","&lt;35K")))))</f>
        <v>50K-75K</v>
      </c>
      <c r="AW774" t="str">
        <f>IF(ifood_data[[#All],[Age]]&gt;60,"60+",(IF(ifood_data[[#All],[Age]]&gt;50,"50-60",(IF(ifood_data[[#All],[Age]]&gt;40,"40-50",(IF(ifood_data[[#All],[Age]]&gt;30,"30-40","&lt;30")))))))</f>
        <v>60+</v>
      </c>
      <c r="AX774">
        <f t="shared" si="48"/>
        <v>23</v>
      </c>
      <c r="AY774">
        <f t="shared" si="49"/>
        <v>1.9999999999999996</v>
      </c>
      <c r="AZ774">
        <f t="shared" si="50"/>
        <v>6</v>
      </c>
      <c r="BA774">
        <f t="shared" si="51"/>
        <v>6</v>
      </c>
      <c r="BB774">
        <f>SUM(ifood_data[[#This Row],[Recency Score]:[Monetary Score]])</f>
        <v>14</v>
      </c>
      <c r="BC774">
        <f>(_xlfn.PERCENTRANK.INC(ifood_data[[#All],[RFM]],ifood_data[[#This Row],[RFM]],1))*10</f>
        <v>4</v>
      </c>
      <c r="BD774" t="str">
        <f>VLOOKUP(ifood_data[[#This Row],[RFM Score]],'RFM Analysis'!$A$3:$B$14,2,FALSE)</f>
        <v>At Risk</v>
      </c>
      <c r="BE774">
        <f>'Regression Models'!$B$101+'Regression Models'!$B$102*ifood_data[[#This Row],[Income]]+'Regression Models'!$B$103*ifood_data[[#This Row],[Age]]+'Regression Models'!$B$104*ifood_data[[#This Row],[Family]]</f>
        <v>668.62711753764461</v>
      </c>
      <c r="BF774" t="str">
        <f>IF(ifood_data[[#This Row],[AcceptedCmpOverall]]=1,"Campaign Respondent","Non-respondent")</f>
        <v>Non-respondent</v>
      </c>
    </row>
    <row r="775" spans="1:58" x14ac:dyDescent="0.35">
      <c r="A775">
        <v>1485</v>
      </c>
      <c r="B775">
        <v>60432</v>
      </c>
      <c r="C775">
        <v>0</v>
      </c>
      <c r="D775">
        <v>1</v>
      </c>
      <c r="E775">
        <v>61</v>
      </c>
      <c r="F775">
        <v>365</v>
      </c>
      <c r="G775">
        <v>3</v>
      </c>
      <c r="H775">
        <v>15</v>
      </c>
      <c r="I775">
        <v>4</v>
      </c>
      <c r="J775">
        <v>3</v>
      </c>
      <c r="K775">
        <v>11</v>
      </c>
      <c r="L775">
        <v>5</v>
      </c>
      <c r="M775">
        <v>7</v>
      </c>
      <c r="N775">
        <v>2</v>
      </c>
      <c r="O775">
        <v>5</v>
      </c>
      <c r="P775">
        <v>6</v>
      </c>
      <c r="Q775">
        <v>0</v>
      </c>
      <c r="R775">
        <v>0</v>
      </c>
      <c r="S775">
        <v>0</v>
      </c>
      <c r="T775">
        <v>0</v>
      </c>
      <c r="U775">
        <v>0</v>
      </c>
      <c r="V775">
        <f>IF(SUM(ifood_data[[#This Row],[AcceptedCmp1]:[AcceptedCmp5]])&gt;0,1,0)</f>
        <v>0</v>
      </c>
      <c r="W775">
        <v>0</v>
      </c>
      <c r="X775">
        <v>3</v>
      </c>
      <c r="Y775">
        <v>11</v>
      </c>
      <c r="Z775">
        <v>0</v>
      </c>
      <c r="AA775">
        <v>47</v>
      </c>
      <c r="AB775">
        <v>2271</v>
      </c>
      <c r="AC775" s="28">
        <f>ifood_data[[#This Row],[Customer_Days]]/365</f>
        <v>6.2219178082191782</v>
      </c>
      <c r="AD775">
        <v>0</v>
      </c>
      <c r="AE775">
        <v>1</v>
      </c>
      <c r="AF775">
        <v>0</v>
      </c>
      <c r="AG775">
        <v>0</v>
      </c>
      <c r="AH775">
        <v>0</v>
      </c>
      <c r="AI775">
        <v>0</v>
      </c>
      <c r="AJ775">
        <v>0</v>
      </c>
      <c r="AK775">
        <v>0</v>
      </c>
      <c r="AL775">
        <v>1</v>
      </c>
      <c r="AM775">
        <v>0</v>
      </c>
      <c r="AN775">
        <v>390</v>
      </c>
      <c r="AO775">
        <v>379</v>
      </c>
      <c r="AP775">
        <f>ifood_data[[#This Row],[MntTotal]]-ifood_data[[#This Row],[MntRegularProds]]</f>
        <v>11</v>
      </c>
      <c r="AQ775">
        <v>0</v>
      </c>
      <c r="AR775">
        <f>IF(SUM(ifood_data[[#This Row],[Kidhome]:[Teenhome]])&gt;0,1,0)</f>
        <v>1</v>
      </c>
      <c r="AS775" t="str">
        <f>IF(SUM(ifood_data[[#This Row],[Kidhome]:[Teenhome]])&gt;0,"Has Family","No Family")</f>
        <v>Has Family</v>
      </c>
      <c r="AT775" t="str">
        <f>IF(ifood_data[[#This Row],[marital_Married]]=1,"Married", (IF(ifood_data[[#This Row],[marital_Single]]=1,"Single",(IF(ifood_data[[#This Row],[marital_Divorced]]=1,"Divorced",(IF(ifood_data[[#This Row],[marital_Together]]=1,"Living Together",(IF(ifood_data[[#This Row],[marital_Widow]]=1,"Widow","Other")))))))))</f>
        <v>Married</v>
      </c>
      <c r="AU775" t="str">
        <f>IF(ifood_data[[#This Row],[education_Basic]]=1,"High School",(IF(ifood_data[[#This Row],[education_Graduation]]=1,"Undergraduate Degree",(IF(SUM(AM775,AL775,AI775)&gt;0,"Master's Degree or Higher","Other")))))</f>
        <v>Master's Degree or Higher</v>
      </c>
      <c r="AV775" t="str">
        <f>IF(ifood_data[[#All],[Income]]&gt;75000,"75K+",(IF(ifood_data[[#All],[Income]]&gt;50000,"50K-75K",(IF(ifood_data[[#All],[Income]]&gt;35000,"35K-50K","&lt;35K")))))</f>
        <v>50K-75K</v>
      </c>
      <c r="AW775" t="str">
        <f>IF(ifood_data[[#All],[Age]]&gt;60,"60+",(IF(ifood_data[[#All],[Age]]&gt;50,"50-60",(IF(ifood_data[[#All],[Age]]&gt;40,"40-50",(IF(ifood_data[[#All],[Age]]&gt;30,"30-40","&lt;30")))))))</f>
        <v>40-50</v>
      </c>
      <c r="AX775">
        <f t="shared" si="48"/>
        <v>25</v>
      </c>
      <c r="AY775">
        <f t="shared" si="49"/>
        <v>4</v>
      </c>
      <c r="AZ775">
        <f t="shared" si="50"/>
        <v>7</v>
      </c>
      <c r="BA775">
        <f t="shared" si="51"/>
        <v>5</v>
      </c>
      <c r="BB775">
        <f>SUM(ifood_data[[#This Row],[Recency Score]:[Monetary Score]])</f>
        <v>16</v>
      </c>
      <c r="BC775">
        <f>(_xlfn.PERCENTRANK.INC(ifood_data[[#All],[RFM]],ifood_data[[#This Row],[RFM]],1))*10</f>
        <v>5</v>
      </c>
      <c r="BD775" t="str">
        <f>VLOOKUP(ifood_data[[#This Row],[RFM Score]],'RFM Analysis'!$A$3:$B$14,2,FALSE)</f>
        <v>Promising</v>
      </c>
      <c r="BE775">
        <f>'Regression Models'!$B$101+'Regression Models'!$B$102*ifood_data[[#This Row],[Income]]+'Regression Models'!$B$103*ifood_data[[#This Row],[Age]]+'Regression Models'!$B$104*ifood_data[[#This Row],[Family]]</f>
        <v>668.39251241658485</v>
      </c>
      <c r="BF775" t="str">
        <f>IF(ifood_data[[#This Row],[AcceptedCmpOverall]]=1,"Campaign Respondent","Non-respondent")</f>
        <v>Non-respondent</v>
      </c>
    </row>
    <row r="776" spans="1:58" x14ac:dyDescent="0.35">
      <c r="A776">
        <v>1127</v>
      </c>
      <c r="B776">
        <v>62307</v>
      </c>
      <c r="C776">
        <v>0</v>
      </c>
      <c r="D776">
        <v>1</v>
      </c>
      <c r="E776">
        <v>94</v>
      </c>
      <c r="F776">
        <v>87</v>
      </c>
      <c r="G776">
        <v>13</v>
      </c>
      <c r="H776">
        <v>34</v>
      </c>
      <c r="I776">
        <v>10</v>
      </c>
      <c r="J776">
        <v>6</v>
      </c>
      <c r="K776">
        <v>10</v>
      </c>
      <c r="L776">
        <v>1</v>
      </c>
      <c r="M776">
        <v>4</v>
      </c>
      <c r="N776">
        <v>0</v>
      </c>
      <c r="O776">
        <v>4</v>
      </c>
      <c r="P776">
        <v>5</v>
      </c>
      <c r="Q776">
        <v>0</v>
      </c>
      <c r="R776">
        <v>0</v>
      </c>
      <c r="S776">
        <v>0</v>
      </c>
      <c r="T776">
        <v>0</v>
      </c>
      <c r="U776">
        <v>0</v>
      </c>
      <c r="V776">
        <f>IF(SUM(ifood_data[[#This Row],[AcceptedCmp1]:[AcceptedCmp5]])&gt;0,1,0)</f>
        <v>0</v>
      </c>
      <c r="W776">
        <v>0</v>
      </c>
      <c r="X776">
        <v>3</v>
      </c>
      <c r="Y776">
        <v>11</v>
      </c>
      <c r="Z776">
        <v>0</v>
      </c>
      <c r="AA776">
        <v>68</v>
      </c>
      <c r="AB776">
        <v>2291</v>
      </c>
      <c r="AC776" s="28">
        <f>ifood_data[[#This Row],[Customer_Days]]/365</f>
        <v>6.2767123287671236</v>
      </c>
      <c r="AD776">
        <v>0</v>
      </c>
      <c r="AE776">
        <v>0</v>
      </c>
      <c r="AF776">
        <v>1</v>
      </c>
      <c r="AG776">
        <v>0</v>
      </c>
      <c r="AH776">
        <v>0</v>
      </c>
      <c r="AI776">
        <v>0</v>
      </c>
      <c r="AJ776">
        <v>0</v>
      </c>
      <c r="AK776">
        <v>1</v>
      </c>
      <c r="AL776">
        <v>0</v>
      </c>
      <c r="AM776">
        <v>0</v>
      </c>
      <c r="AN776">
        <v>150</v>
      </c>
      <c r="AO776">
        <v>140</v>
      </c>
      <c r="AP776">
        <f>ifood_data[[#This Row],[MntTotal]]-ifood_data[[#This Row],[MntRegularProds]]</f>
        <v>10</v>
      </c>
      <c r="AQ776">
        <v>0</v>
      </c>
      <c r="AR776">
        <f>IF(SUM(ifood_data[[#This Row],[Kidhome]:[Teenhome]])&gt;0,1,0)</f>
        <v>1</v>
      </c>
      <c r="AS776" t="str">
        <f>IF(SUM(ifood_data[[#This Row],[Kidhome]:[Teenhome]])&gt;0,"Has Family","No Family")</f>
        <v>Has Family</v>
      </c>
      <c r="AT776" t="str">
        <f>IF(ifood_data[[#This Row],[marital_Married]]=1,"Married", (IF(ifood_data[[#This Row],[marital_Single]]=1,"Single",(IF(ifood_data[[#This Row],[marital_Divorced]]=1,"Divorced",(IF(ifood_data[[#This Row],[marital_Together]]=1,"Living Together",(IF(ifood_data[[#This Row],[marital_Widow]]=1,"Widow","Other")))))))))</f>
        <v>Single</v>
      </c>
      <c r="AU776" t="str">
        <f>IF(ifood_data[[#This Row],[education_Basic]]=1,"High School",(IF(ifood_data[[#This Row],[education_Graduation]]=1,"Undergraduate Degree",(IF(SUM(AM776,AL776,AI776)&gt;0,"Master's Degree or Higher","Other")))))</f>
        <v>Undergraduate Degree</v>
      </c>
      <c r="AV776" t="str">
        <f>IF(ifood_data[[#All],[Income]]&gt;75000,"75K+",(IF(ifood_data[[#All],[Income]]&gt;50000,"50K-75K",(IF(ifood_data[[#All],[Income]]&gt;35000,"35K-50K","&lt;35K")))))</f>
        <v>50K-75K</v>
      </c>
      <c r="AW776" t="str">
        <f>IF(ifood_data[[#All],[Age]]&gt;60,"60+",(IF(ifood_data[[#All],[Age]]&gt;50,"50-60",(IF(ifood_data[[#All],[Age]]&gt;40,"40-50",(IF(ifood_data[[#All],[Age]]&gt;30,"30-40","&lt;30")))))))</f>
        <v>60+</v>
      </c>
      <c r="AX776">
        <f t="shared" si="48"/>
        <v>14</v>
      </c>
      <c r="AY776">
        <f t="shared" si="49"/>
        <v>0.99999999999999978</v>
      </c>
      <c r="AZ776">
        <f t="shared" si="50"/>
        <v>2</v>
      </c>
      <c r="BA776">
        <f t="shared" si="51"/>
        <v>3</v>
      </c>
      <c r="BB776">
        <f>SUM(ifood_data[[#This Row],[Recency Score]:[Monetary Score]])</f>
        <v>6</v>
      </c>
      <c r="BC776">
        <f>(_xlfn.PERCENTRANK.INC(ifood_data[[#All],[RFM]],ifood_data[[#This Row],[RFM]],1))*10</f>
        <v>0</v>
      </c>
      <c r="BD776" t="str">
        <f>VLOOKUP(ifood_data[[#This Row],[RFM Score]],'RFM Analysis'!$A$3:$B$14,2,FALSE)</f>
        <v>Lost</v>
      </c>
      <c r="BE776">
        <f>'Regression Models'!$B$101+'Regression Models'!$B$102*ifood_data[[#This Row],[Income]]+'Regression Models'!$B$103*ifood_data[[#This Row],[Age]]+'Regression Models'!$B$104*ifood_data[[#This Row],[Family]]</f>
        <v>668.05623202961533</v>
      </c>
      <c r="BF776" t="str">
        <f>IF(ifood_data[[#This Row],[AcceptedCmpOverall]]=1,"Campaign Respondent","Non-respondent")</f>
        <v>Non-respondent</v>
      </c>
    </row>
    <row r="777" spans="1:58" x14ac:dyDescent="0.35">
      <c r="A777">
        <v>1384</v>
      </c>
      <c r="B777">
        <v>60585</v>
      </c>
      <c r="C777">
        <v>1</v>
      </c>
      <c r="D777">
        <v>1</v>
      </c>
      <c r="E777">
        <v>17</v>
      </c>
      <c r="F777">
        <v>267</v>
      </c>
      <c r="G777">
        <v>42</v>
      </c>
      <c r="H777">
        <v>309</v>
      </c>
      <c r="I777">
        <v>55</v>
      </c>
      <c r="J777">
        <v>42</v>
      </c>
      <c r="K777">
        <v>21</v>
      </c>
      <c r="L777">
        <v>10</v>
      </c>
      <c r="M777">
        <v>7</v>
      </c>
      <c r="N777">
        <v>4</v>
      </c>
      <c r="O777">
        <v>9</v>
      </c>
      <c r="P777">
        <v>5</v>
      </c>
      <c r="Q777">
        <v>0</v>
      </c>
      <c r="R777">
        <v>0</v>
      </c>
      <c r="S777">
        <v>0</v>
      </c>
      <c r="T777">
        <v>0</v>
      </c>
      <c r="U777">
        <v>0</v>
      </c>
      <c r="V777">
        <f>IF(SUM(ifood_data[[#This Row],[AcceptedCmp1]:[AcceptedCmp5]])&gt;0,1,0)</f>
        <v>0</v>
      </c>
      <c r="W777">
        <v>0</v>
      </c>
      <c r="X777">
        <v>3</v>
      </c>
      <c r="Y777">
        <v>11</v>
      </c>
      <c r="Z777">
        <v>1</v>
      </c>
      <c r="AA777">
        <v>49</v>
      </c>
      <c r="AB777">
        <v>2529</v>
      </c>
      <c r="AC777" s="28">
        <f>ifood_data[[#This Row],[Customer_Days]]/365</f>
        <v>6.9287671232876713</v>
      </c>
      <c r="AD777">
        <v>0</v>
      </c>
      <c r="AE777">
        <v>1</v>
      </c>
      <c r="AF777">
        <v>0</v>
      </c>
      <c r="AG777">
        <v>0</v>
      </c>
      <c r="AH777">
        <v>0</v>
      </c>
      <c r="AI777">
        <v>0</v>
      </c>
      <c r="AJ777">
        <v>0</v>
      </c>
      <c r="AK777">
        <v>0</v>
      </c>
      <c r="AL777">
        <v>0</v>
      </c>
      <c r="AM777">
        <v>1</v>
      </c>
      <c r="AN777">
        <v>715</v>
      </c>
      <c r="AO777">
        <v>694</v>
      </c>
      <c r="AP777">
        <f>ifood_data[[#This Row],[MntTotal]]-ifood_data[[#This Row],[MntRegularProds]]</f>
        <v>21</v>
      </c>
      <c r="AQ777">
        <v>0</v>
      </c>
      <c r="AR777">
        <f>IF(SUM(ifood_data[[#This Row],[Kidhome]:[Teenhome]])&gt;0,1,0)</f>
        <v>1</v>
      </c>
      <c r="AS777" t="str">
        <f>IF(SUM(ifood_data[[#This Row],[Kidhome]:[Teenhome]])&gt;0,"Has Family","No Family")</f>
        <v>Has Family</v>
      </c>
      <c r="AT777" t="str">
        <f>IF(ifood_data[[#This Row],[marital_Married]]=1,"Married", (IF(ifood_data[[#This Row],[marital_Single]]=1,"Single",(IF(ifood_data[[#This Row],[marital_Divorced]]=1,"Divorced",(IF(ifood_data[[#This Row],[marital_Together]]=1,"Living Together",(IF(ifood_data[[#This Row],[marital_Widow]]=1,"Widow","Other")))))))))</f>
        <v>Married</v>
      </c>
      <c r="AU777" t="str">
        <f>IF(ifood_data[[#This Row],[education_Basic]]=1,"High School",(IF(ifood_data[[#This Row],[education_Graduation]]=1,"Undergraduate Degree",(IF(SUM(AM777,AL777,AI777)&gt;0,"Master's Degree or Higher","Other")))))</f>
        <v>Master's Degree or Higher</v>
      </c>
      <c r="AV777" t="str">
        <f>IF(ifood_data[[#All],[Income]]&gt;75000,"75K+",(IF(ifood_data[[#All],[Income]]&gt;50000,"50K-75K",(IF(ifood_data[[#All],[Income]]&gt;35000,"35K-50K","&lt;35K")))))</f>
        <v>50K-75K</v>
      </c>
      <c r="AW777" t="str">
        <f>IF(ifood_data[[#All],[Age]]&gt;60,"60+",(IF(ifood_data[[#All],[Age]]&gt;50,"50-60",(IF(ifood_data[[#All],[Age]]&gt;40,"40-50",(IF(ifood_data[[#All],[Age]]&gt;30,"30-40","&lt;30")))))))</f>
        <v>40-50</v>
      </c>
      <c r="AX777">
        <f t="shared" si="48"/>
        <v>35</v>
      </c>
      <c r="AY777">
        <f t="shared" si="49"/>
        <v>9</v>
      </c>
      <c r="AZ777">
        <f t="shared" si="50"/>
        <v>9</v>
      </c>
      <c r="BA777">
        <f t="shared" si="51"/>
        <v>6</v>
      </c>
      <c r="BB777">
        <f>SUM(ifood_data[[#This Row],[Recency Score]:[Monetary Score]])</f>
        <v>24</v>
      </c>
      <c r="BC777">
        <f>(_xlfn.PERCENTRANK.INC(ifood_data[[#All],[RFM]],ifood_data[[#This Row],[RFM]],1))*10</f>
        <v>9</v>
      </c>
      <c r="BD777" t="str">
        <f>VLOOKUP(ifood_data[[#This Row],[RFM Score]],'RFM Analysis'!$A$3:$B$14,2,FALSE)</f>
        <v>Top Customer</v>
      </c>
      <c r="BE777">
        <f>'Regression Models'!$B$101+'Regression Models'!$B$102*ifood_data[[#This Row],[Income]]+'Regression Models'!$B$103*ifood_data[[#This Row],[Age]]+'Regression Models'!$B$104*ifood_data[[#This Row],[Family]]</f>
        <v>667.83911578481275</v>
      </c>
      <c r="BF777" t="str">
        <f>IF(ifood_data[[#This Row],[AcceptedCmpOverall]]=1,"Campaign Respondent","Non-respondent")</f>
        <v>Non-respondent</v>
      </c>
    </row>
    <row r="778" spans="1:58" x14ac:dyDescent="0.35">
      <c r="A778">
        <v>526</v>
      </c>
      <c r="B778">
        <v>60504</v>
      </c>
      <c r="C778">
        <v>0</v>
      </c>
      <c r="D778">
        <v>1</v>
      </c>
      <c r="E778">
        <v>73</v>
      </c>
      <c r="F778">
        <v>458</v>
      </c>
      <c r="G778">
        <v>0</v>
      </c>
      <c r="H778">
        <v>24</v>
      </c>
      <c r="I778">
        <v>6</v>
      </c>
      <c r="J778">
        <v>4</v>
      </c>
      <c r="K778">
        <v>34</v>
      </c>
      <c r="L778">
        <v>2</v>
      </c>
      <c r="M778">
        <v>6</v>
      </c>
      <c r="N778">
        <v>2</v>
      </c>
      <c r="O778">
        <v>8</v>
      </c>
      <c r="P778">
        <v>6</v>
      </c>
      <c r="Q778">
        <v>0</v>
      </c>
      <c r="R778">
        <v>0</v>
      </c>
      <c r="S778">
        <v>0</v>
      </c>
      <c r="T778">
        <v>0</v>
      </c>
      <c r="U778">
        <v>0</v>
      </c>
      <c r="V778">
        <f>IF(SUM(ifood_data[[#This Row],[AcceptedCmp1]:[AcceptedCmp5]])&gt;0,1,0)</f>
        <v>0</v>
      </c>
      <c r="W778">
        <v>0</v>
      </c>
      <c r="X778">
        <v>3</v>
      </c>
      <c r="Y778">
        <v>11</v>
      </c>
      <c r="Z778">
        <v>0</v>
      </c>
      <c r="AA778">
        <v>49</v>
      </c>
      <c r="AB778">
        <v>2301</v>
      </c>
      <c r="AC778" s="28">
        <f>ifood_data[[#This Row],[Customer_Days]]/365</f>
        <v>6.3041095890410963</v>
      </c>
      <c r="AD778">
        <v>0</v>
      </c>
      <c r="AE778">
        <v>0</v>
      </c>
      <c r="AF778">
        <v>1</v>
      </c>
      <c r="AG778">
        <v>0</v>
      </c>
      <c r="AH778">
        <v>0</v>
      </c>
      <c r="AI778">
        <v>0</v>
      </c>
      <c r="AJ778">
        <v>0</v>
      </c>
      <c r="AK778">
        <v>0</v>
      </c>
      <c r="AL778">
        <v>0</v>
      </c>
      <c r="AM778">
        <v>1</v>
      </c>
      <c r="AN778">
        <v>492</v>
      </c>
      <c r="AO778">
        <v>458</v>
      </c>
      <c r="AP778">
        <f>ifood_data[[#This Row],[MntTotal]]-ifood_data[[#This Row],[MntRegularProds]]</f>
        <v>34</v>
      </c>
      <c r="AQ778">
        <v>0</v>
      </c>
      <c r="AR778">
        <f>IF(SUM(ifood_data[[#This Row],[Kidhome]:[Teenhome]])&gt;0,1,0)</f>
        <v>1</v>
      </c>
      <c r="AS778" t="str">
        <f>IF(SUM(ifood_data[[#This Row],[Kidhome]:[Teenhome]])&gt;0,"Has Family","No Family")</f>
        <v>Has Family</v>
      </c>
      <c r="AT778" t="str">
        <f>IF(ifood_data[[#This Row],[marital_Married]]=1,"Married", (IF(ifood_data[[#This Row],[marital_Single]]=1,"Single",(IF(ifood_data[[#This Row],[marital_Divorced]]=1,"Divorced",(IF(ifood_data[[#This Row],[marital_Together]]=1,"Living Together",(IF(ifood_data[[#This Row],[marital_Widow]]=1,"Widow","Other")))))))))</f>
        <v>Single</v>
      </c>
      <c r="AU778" t="str">
        <f>IF(ifood_data[[#This Row],[education_Basic]]=1,"High School",(IF(ifood_data[[#This Row],[education_Graduation]]=1,"Undergraduate Degree",(IF(SUM(AM778,AL778,AI778)&gt;0,"Master's Degree or Higher","Other")))))</f>
        <v>Master's Degree or Higher</v>
      </c>
      <c r="AV778" t="str">
        <f>IF(ifood_data[[#All],[Income]]&gt;75000,"75K+",(IF(ifood_data[[#All],[Income]]&gt;50000,"50K-75K",(IF(ifood_data[[#All],[Income]]&gt;35000,"35K-50K","&lt;35K")))))</f>
        <v>50K-75K</v>
      </c>
      <c r="AW778" t="str">
        <f>IF(ifood_data[[#All],[Age]]&gt;60,"60+",(IF(ifood_data[[#All],[Age]]&gt;50,"50-60",(IF(ifood_data[[#All],[Age]]&gt;40,"40-50",(IF(ifood_data[[#All],[Age]]&gt;30,"30-40","&lt;30")))))))</f>
        <v>40-50</v>
      </c>
      <c r="AX778">
        <f t="shared" si="48"/>
        <v>24</v>
      </c>
      <c r="AY778">
        <f t="shared" si="49"/>
        <v>3.0000000000000004</v>
      </c>
      <c r="AZ778">
        <f t="shared" si="50"/>
        <v>6</v>
      </c>
      <c r="BA778">
        <f t="shared" si="51"/>
        <v>5</v>
      </c>
      <c r="BB778">
        <f>SUM(ifood_data[[#This Row],[Recency Score]:[Monetary Score]])</f>
        <v>14</v>
      </c>
      <c r="BC778">
        <f>(_xlfn.PERCENTRANK.INC(ifood_data[[#All],[RFM]],ifood_data[[#This Row],[RFM]],1))*10</f>
        <v>4</v>
      </c>
      <c r="BD778" t="str">
        <f>VLOOKUP(ifood_data[[#This Row],[RFM Score]],'RFM Analysis'!$A$3:$B$14,2,FALSE)</f>
        <v>At Risk</v>
      </c>
      <c r="BE778">
        <f>'Regression Models'!$B$101+'Regression Models'!$B$102*ifood_data[[#This Row],[Income]]+'Regression Models'!$B$103*ifood_data[[#This Row],[Age]]+'Regression Models'!$B$104*ifood_data[[#This Row],[Family]]</f>
        <v>666.18762556515685</v>
      </c>
      <c r="BF778" t="str">
        <f>IF(ifood_data[[#This Row],[AcceptedCmpOverall]]=1,"Campaign Respondent","Non-respondent")</f>
        <v>Non-respondent</v>
      </c>
    </row>
    <row r="779" spans="1:58" x14ac:dyDescent="0.35">
      <c r="A779">
        <v>1740</v>
      </c>
      <c r="B779">
        <v>60491</v>
      </c>
      <c r="C779">
        <v>0</v>
      </c>
      <c r="D779">
        <v>1</v>
      </c>
      <c r="E779">
        <v>81</v>
      </c>
      <c r="F779">
        <v>637</v>
      </c>
      <c r="G779">
        <v>47</v>
      </c>
      <c r="H779">
        <v>237</v>
      </c>
      <c r="I779">
        <v>12</v>
      </c>
      <c r="J779">
        <v>19</v>
      </c>
      <c r="K779">
        <v>76</v>
      </c>
      <c r="L779">
        <v>4</v>
      </c>
      <c r="M779">
        <v>6</v>
      </c>
      <c r="N779">
        <v>11</v>
      </c>
      <c r="O779">
        <v>7</v>
      </c>
      <c r="P779">
        <v>5</v>
      </c>
      <c r="Q779">
        <v>0</v>
      </c>
      <c r="R779">
        <v>0</v>
      </c>
      <c r="S779">
        <v>0</v>
      </c>
      <c r="T779">
        <v>0</v>
      </c>
      <c r="U779">
        <v>0</v>
      </c>
      <c r="V779">
        <f>IF(SUM(ifood_data[[#This Row],[AcceptedCmp1]:[AcceptedCmp5]])&gt;0,1,0)</f>
        <v>0</v>
      </c>
      <c r="W779">
        <v>0</v>
      </c>
      <c r="X779">
        <v>3</v>
      </c>
      <c r="Y779">
        <v>11</v>
      </c>
      <c r="Z779">
        <v>0</v>
      </c>
      <c r="AA779">
        <v>49</v>
      </c>
      <c r="AB779">
        <v>2455</v>
      </c>
      <c r="AC779" s="28">
        <f>ifood_data[[#This Row],[Customer_Days]]/365</f>
        <v>6.7260273972602738</v>
      </c>
      <c r="AD779">
        <v>0</v>
      </c>
      <c r="AE779">
        <v>1</v>
      </c>
      <c r="AF779">
        <v>0</v>
      </c>
      <c r="AG779">
        <v>0</v>
      </c>
      <c r="AH779">
        <v>0</v>
      </c>
      <c r="AI779">
        <v>0</v>
      </c>
      <c r="AJ779">
        <v>0</v>
      </c>
      <c r="AK779">
        <v>0</v>
      </c>
      <c r="AL779">
        <v>0</v>
      </c>
      <c r="AM779">
        <v>1</v>
      </c>
      <c r="AN779">
        <v>952</v>
      </c>
      <c r="AO779">
        <v>876</v>
      </c>
      <c r="AP779">
        <f>ifood_data[[#This Row],[MntTotal]]-ifood_data[[#This Row],[MntRegularProds]]</f>
        <v>76</v>
      </c>
      <c r="AQ779">
        <v>0</v>
      </c>
      <c r="AR779">
        <f>IF(SUM(ifood_data[[#This Row],[Kidhome]:[Teenhome]])&gt;0,1,0)</f>
        <v>1</v>
      </c>
      <c r="AS779" t="str">
        <f>IF(SUM(ifood_data[[#This Row],[Kidhome]:[Teenhome]])&gt;0,"Has Family","No Family")</f>
        <v>Has Family</v>
      </c>
      <c r="AT779" t="str">
        <f>IF(ifood_data[[#This Row],[marital_Married]]=1,"Married", (IF(ifood_data[[#This Row],[marital_Single]]=1,"Single",(IF(ifood_data[[#This Row],[marital_Divorced]]=1,"Divorced",(IF(ifood_data[[#This Row],[marital_Together]]=1,"Living Together",(IF(ifood_data[[#This Row],[marital_Widow]]=1,"Widow","Other")))))))))</f>
        <v>Married</v>
      </c>
      <c r="AU779" t="str">
        <f>IF(ifood_data[[#This Row],[education_Basic]]=1,"High School",(IF(ifood_data[[#This Row],[education_Graduation]]=1,"Undergraduate Degree",(IF(SUM(AM779,AL779,AI779)&gt;0,"Master's Degree or Higher","Other")))))</f>
        <v>Master's Degree or Higher</v>
      </c>
      <c r="AV779" t="str">
        <f>IF(ifood_data[[#All],[Income]]&gt;75000,"75K+",(IF(ifood_data[[#All],[Income]]&gt;50000,"50K-75K",(IF(ifood_data[[#All],[Income]]&gt;35000,"35K-50K","&lt;35K")))))</f>
        <v>50K-75K</v>
      </c>
      <c r="AW779" t="str">
        <f>IF(ifood_data[[#All],[Age]]&gt;60,"60+",(IF(ifood_data[[#All],[Age]]&gt;50,"50-60",(IF(ifood_data[[#All],[Age]]&gt;40,"40-50",(IF(ifood_data[[#All],[Age]]&gt;30,"30-40","&lt;30")))))))</f>
        <v>40-50</v>
      </c>
      <c r="AX779">
        <f t="shared" si="48"/>
        <v>33</v>
      </c>
      <c r="AY779">
        <f t="shared" si="49"/>
        <v>1.9999999999999996</v>
      </c>
      <c r="AZ779">
        <f t="shared" si="50"/>
        <v>9</v>
      </c>
      <c r="BA779">
        <f t="shared" si="51"/>
        <v>7</v>
      </c>
      <c r="BB779">
        <f>SUM(ifood_data[[#This Row],[Recency Score]:[Monetary Score]])</f>
        <v>18</v>
      </c>
      <c r="BC779">
        <f>(_xlfn.PERCENTRANK.INC(ifood_data[[#All],[RFM]],ifood_data[[#This Row],[RFM]],1))*10</f>
        <v>6</v>
      </c>
      <c r="BD779" t="str">
        <f>VLOOKUP(ifood_data[[#This Row],[RFM Score]],'RFM Analysis'!$A$3:$B$14,2,FALSE)</f>
        <v>Promising</v>
      </c>
      <c r="BE779">
        <f>'Regression Models'!$B$101+'Regression Models'!$B$102*ifood_data[[#This Row],[Income]]+'Regression Models'!$B$103*ifood_data[[#This Row],[Age]]+'Regression Models'!$B$104*ifood_data[[#This Row],[Family]]</f>
        <v>665.92257157928634</v>
      </c>
      <c r="BF779" t="str">
        <f>IF(ifood_data[[#This Row],[AcceptedCmpOverall]]=1,"Campaign Respondent","Non-respondent")</f>
        <v>Non-respondent</v>
      </c>
    </row>
    <row r="780" spans="1:58" x14ac:dyDescent="0.35">
      <c r="A780">
        <v>334</v>
      </c>
      <c r="B780">
        <v>60000</v>
      </c>
      <c r="C780">
        <v>0</v>
      </c>
      <c r="D780">
        <v>1</v>
      </c>
      <c r="E780">
        <v>57</v>
      </c>
      <c r="F780">
        <v>1048</v>
      </c>
      <c r="G780">
        <v>0</v>
      </c>
      <c r="H780">
        <v>217</v>
      </c>
      <c r="I780">
        <v>0</v>
      </c>
      <c r="J780">
        <v>0</v>
      </c>
      <c r="K780">
        <v>12</v>
      </c>
      <c r="L780">
        <v>5</v>
      </c>
      <c r="M780">
        <v>11</v>
      </c>
      <c r="N780">
        <v>3</v>
      </c>
      <c r="O780">
        <v>5</v>
      </c>
      <c r="P780">
        <v>6</v>
      </c>
      <c r="Q780">
        <v>0</v>
      </c>
      <c r="R780">
        <v>0</v>
      </c>
      <c r="S780">
        <v>0</v>
      </c>
      <c r="T780">
        <v>0</v>
      </c>
      <c r="U780">
        <v>0</v>
      </c>
      <c r="V780">
        <f>IF(SUM(ifood_data[[#This Row],[AcceptedCmp1]:[AcceptedCmp5]])&gt;0,1,0)</f>
        <v>0</v>
      </c>
      <c r="W780">
        <v>0</v>
      </c>
      <c r="X780">
        <v>3</v>
      </c>
      <c r="Y780">
        <v>11</v>
      </c>
      <c r="Z780">
        <v>0</v>
      </c>
      <c r="AA780">
        <v>44</v>
      </c>
      <c r="AB780">
        <v>2713</v>
      </c>
      <c r="AC780" s="28">
        <f>ifood_data[[#This Row],[Customer_Days]]/365</f>
        <v>7.4328767123287669</v>
      </c>
      <c r="AD780">
        <v>0</v>
      </c>
      <c r="AE780">
        <v>0</v>
      </c>
      <c r="AF780">
        <v>1</v>
      </c>
      <c r="AG780">
        <v>0</v>
      </c>
      <c r="AH780">
        <v>0</v>
      </c>
      <c r="AI780">
        <v>0</v>
      </c>
      <c r="AJ780">
        <v>0</v>
      </c>
      <c r="AK780">
        <v>0</v>
      </c>
      <c r="AL780">
        <v>0</v>
      </c>
      <c r="AM780">
        <v>1</v>
      </c>
      <c r="AN780">
        <v>1265</v>
      </c>
      <c r="AO780">
        <v>1253</v>
      </c>
      <c r="AP780">
        <f>ifood_data[[#This Row],[MntTotal]]-ifood_data[[#This Row],[MntRegularProds]]</f>
        <v>12</v>
      </c>
      <c r="AQ780">
        <v>0</v>
      </c>
      <c r="AR780">
        <f>IF(SUM(ifood_data[[#This Row],[Kidhome]:[Teenhome]])&gt;0,1,0)</f>
        <v>1</v>
      </c>
      <c r="AS780" t="str">
        <f>IF(SUM(ifood_data[[#This Row],[Kidhome]:[Teenhome]])&gt;0,"Has Family","No Family")</f>
        <v>Has Family</v>
      </c>
      <c r="AT780" t="str">
        <f>IF(ifood_data[[#This Row],[marital_Married]]=1,"Married", (IF(ifood_data[[#This Row],[marital_Single]]=1,"Single",(IF(ifood_data[[#This Row],[marital_Divorced]]=1,"Divorced",(IF(ifood_data[[#This Row],[marital_Together]]=1,"Living Together",(IF(ifood_data[[#This Row],[marital_Widow]]=1,"Widow","Other")))))))))</f>
        <v>Single</v>
      </c>
      <c r="AU780" t="str">
        <f>IF(ifood_data[[#This Row],[education_Basic]]=1,"High School",(IF(ifood_data[[#This Row],[education_Graduation]]=1,"Undergraduate Degree",(IF(SUM(AM780,AL780,AI780)&gt;0,"Master's Degree or Higher","Other")))))</f>
        <v>Master's Degree or Higher</v>
      </c>
      <c r="AV780" t="str">
        <f>IF(ifood_data[[#All],[Income]]&gt;75000,"75K+",(IF(ifood_data[[#All],[Income]]&gt;50000,"50K-75K",(IF(ifood_data[[#All],[Income]]&gt;35000,"35K-50K","&lt;35K")))))</f>
        <v>50K-75K</v>
      </c>
      <c r="AW780" t="str">
        <f>IF(ifood_data[[#All],[Age]]&gt;60,"60+",(IF(ifood_data[[#All],[Age]]&gt;50,"50-60",(IF(ifood_data[[#All],[Age]]&gt;40,"40-50",(IF(ifood_data[[#All],[Age]]&gt;30,"30-40","&lt;30")))))))</f>
        <v>40-50</v>
      </c>
      <c r="AX780">
        <f t="shared" si="48"/>
        <v>30</v>
      </c>
      <c r="AY780">
        <f t="shared" si="49"/>
        <v>5</v>
      </c>
      <c r="AZ780">
        <f t="shared" si="50"/>
        <v>8</v>
      </c>
      <c r="BA780">
        <f t="shared" si="51"/>
        <v>8</v>
      </c>
      <c r="BB780">
        <f>SUM(ifood_data[[#This Row],[Recency Score]:[Monetary Score]])</f>
        <v>21</v>
      </c>
      <c r="BC780">
        <f>(_xlfn.PERCENTRANK.INC(ifood_data[[#All],[RFM]],ifood_data[[#This Row],[RFM]],1))*10</f>
        <v>8</v>
      </c>
      <c r="BD780" t="str">
        <f>VLOOKUP(ifood_data[[#This Row],[RFM Score]],'RFM Analysis'!$A$3:$B$14,2,FALSE)</f>
        <v>Loyal Customer</v>
      </c>
      <c r="BE780">
        <f>'Regression Models'!$B$101+'Regression Models'!$B$102*ifood_data[[#This Row],[Income]]+'Regression Models'!$B$103*ifood_data[[#This Row],[Age]]+'Regression Models'!$B$104*ifood_data[[#This Row],[Family]]</f>
        <v>665.09388181510349</v>
      </c>
      <c r="BF780" t="str">
        <f>IF(ifood_data[[#This Row],[AcceptedCmpOverall]]=1,"Campaign Respondent","Non-respondent")</f>
        <v>Non-respondent</v>
      </c>
    </row>
    <row r="781" spans="1:58" x14ac:dyDescent="0.35">
      <c r="A781">
        <v>1227</v>
      </c>
      <c r="B781">
        <v>60894</v>
      </c>
      <c r="C781">
        <v>0</v>
      </c>
      <c r="D781">
        <v>1</v>
      </c>
      <c r="E781">
        <v>61</v>
      </c>
      <c r="F781">
        <v>606</v>
      </c>
      <c r="G781">
        <v>7</v>
      </c>
      <c r="H781">
        <v>155</v>
      </c>
      <c r="I781">
        <v>10</v>
      </c>
      <c r="J781">
        <v>0</v>
      </c>
      <c r="K781">
        <v>54</v>
      </c>
      <c r="L781">
        <v>5</v>
      </c>
      <c r="M781">
        <v>10</v>
      </c>
      <c r="N781">
        <v>3</v>
      </c>
      <c r="O781">
        <v>8</v>
      </c>
      <c r="P781">
        <v>7</v>
      </c>
      <c r="Q781">
        <v>0</v>
      </c>
      <c r="R781">
        <v>0</v>
      </c>
      <c r="S781">
        <v>0</v>
      </c>
      <c r="T781">
        <v>0</v>
      </c>
      <c r="U781">
        <v>0</v>
      </c>
      <c r="V781">
        <f>IF(SUM(ifood_data[[#This Row],[AcceptedCmp1]:[AcceptedCmp5]])&gt;0,1,0)</f>
        <v>0</v>
      </c>
      <c r="W781">
        <v>0</v>
      </c>
      <c r="X781">
        <v>3</v>
      </c>
      <c r="Y781">
        <v>11</v>
      </c>
      <c r="Z781">
        <v>0</v>
      </c>
      <c r="AA781">
        <v>54</v>
      </c>
      <c r="AB781">
        <v>2525</v>
      </c>
      <c r="AC781" s="28">
        <f>ifood_data[[#This Row],[Customer_Days]]/365</f>
        <v>6.9178082191780819</v>
      </c>
      <c r="AD781">
        <v>0</v>
      </c>
      <c r="AE781">
        <v>0</v>
      </c>
      <c r="AF781">
        <v>0</v>
      </c>
      <c r="AG781">
        <v>1</v>
      </c>
      <c r="AH781">
        <v>0</v>
      </c>
      <c r="AI781">
        <v>0</v>
      </c>
      <c r="AJ781">
        <v>0</v>
      </c>
      <c r="AK781">
        <v>1</v>
      </c>
      <c r="AL781">
        <v>0</v>
      </c>
      <c r="AM781">
        <v>0</v>
      </c>
      <c r="AN781">
        <v>778</v>
      </c>
      <c r="AO781">
        <v>724</v>
      </c>
      <c r="AP781">
        <f>ifood_data[[#This Row],[MntTotal]]-ifood_data[[#This Row],[MntRegularProds]]</f>
        <v>54</v>
      </c>
      <c r="AQ781">
        <v>0</v>
      </c>
      <c r="AR781">
        <f>IF(SUM(ifood_data[[#This Row],[Kidhome]:[Teenhome]])&gt;0,1,0)</f>
        <v>1</v>
      </c>
      <c r="AS781" t="str">
        <f>IF(SUM(ifood_data[[#This Row],[Kidhome]:[Teenhome]])&gt;0,"Has Family","No Family")</f>
        <v>Has Family</v>
      </c>
      <c r="AT781" t="str">
        <f>IF(ifood_data[[#This Row],[marital_Married]]=1,"Married", (IF(ifood_data[[#This Row],[marital_Single]]=1,"Single",(IF(ifood_data[[#This Row],[marital_Divorced]]=1,"Divorced",(IF(ifood_data[[#This Row],[marital_Together]]=1,"Living Together",(IF(ifood_data[[#This Row],[marital_Widow]]=1,"Widow","Other")))))))))</f>
        <v>Living Together</v>
      </c>
      <c r="AU781" t="str">
        <f>IF(ifood_data[[#This Row],[education_Basic]]=1,"High School",(IF(ifood_data[[#This Row],[education_Graduation]]=1,"Undergraduate Degree",(IF(SUM(AM781,AL781,AI781)&gt;0,"Master's Degree or Higher","Other")))))</f>
        <v>Undergraduate Degree</v>
      </c>
      <c r="AV781" t="str">
        <f>IF(ifood_data[[#All],[Income]]&gt;75000,"75K+",(IF(ifood_data[[#All],[Income]]&gt;50000,"50K-75K",(IF(ifood_data[[#All],[Income]]&gt;35000,"35K-50K","&lt;35K")))))</f>
        <v>50K-75K</v>
      </c>
      <c r="AW781" t="str">
        <f>IF(ifood_data[[#All],[Age]]&gt;60,"60+",(IF(ifood_data[[#All],[Age]]&gt;50,"50-60",(IF(ifood_data[[#All],[Age]]&gt;40,"40-50",(IF(ifood_data[[#All],[Age]]&gt;30,"30-40","&lt;30")))))))</f>
        <v>50-60</v>
      </c>
      <c r="AX781">
        <f t="shared" si="48"/>
        <v>33</v>
      </c>
      <c r="AY781">
        <f t="shared" si="49"/>
        <v>4</v>
      </c>
      <c r="AZ781">
        <f t="shared" si="50"/>
        <v>9</v>
      </c>
      <c r="BA781">
        <f t="shared" si="51"/>
        <v>6</v>
      </c>
      <c r="BB781">
        <f>SUM(ifood_data[[#This Row],[Recency Score]:[Monetary Score]])</f>
        <v>19</v>
      </c>
      <c r="BC781">
        <f>(_xlfn.PERCENTRANK.INC(ifood_data[[#All],[RFM]],ifood_data[[#This Row],[RFM]],1))*10</f>
        <v>7</v>
      </c>
      <c r="BD781" t="str">
        <f>VLOOKUP(ifood_data[[#This Row],[RFM Score]],'RFM Analysis'!$A$3:$B$14,2,FALSE)</f>
        <v>Loyal Customer</v>
      </c>
      <c r="BE781">
        <f>'Regression Models'!$B$101+'Regression Models'!$B$102*ifood_data[[#This Row],[Income]]+'Regression Models'!$B$103*ifood_data[[#This Row],[Age]]+'Regression Models'!$B$104*ifood_data[[#This Row],[Family]]</f>
        <v>664.95704974680621</v>
      </c>
      <c r="BF781" t="str">
        <f>IF(ifood_data[[#This Row],[AcceptedCmpOverall]]=1,"Campaign Respondent","Non-respondent")</f>
        <v>Non-respondent</v>
      </c>
    </row>
    <row r="782" spans="1:58" x14ac:dyDescent="0.35">
      <c r="A782">
        <v>1704</v>
      </c>
      <c r="B782">
        <v>60208</v>
      </c>
      <c r="C782">
        <v>1</v>
      </c>
      <c r="D782">
        <v>1</v>
      </c>
      <c r="E782">
        <v>13</v>
      </c>
      <c r="F782">
        <v>488</v>
      </c>
      <c r="G782">
        <v>23</v>
      </c>
      <c r="H782">
        <v>71</v>
      </c>
      <c r="I782">
        <v>15</v>
      </c>
      <c r="J782">
        <v>0</v>
      </c>
      <c r="K782">
        <v>59</v>
      </c>
      <c r="L782">
        <v>11</v>
      </c>
      <c r="M782">
        <v>8</v>
      </c>
      <c r="N782">
        <v>3</v>
      </c>
      <c r="O782">
        <v>7</v>
      </c>
      <c r="P782">
        <v>7</v>
      </c>
      <c r="Q782">
        <v>0</v>
      </c>
      <c r="R782">
        <v>0</v>
      </c>
      <c r="S782">
        <v>0</v>
      </c>
      <c r="T782">
        <v>1</v>
      </c>
      <c r="U782">
        <v>0</v>
      </c>
      <c r="V782">
        <f>IF(SUM(ifood_data[[#This Row],[AcceptedCmp1]:[AcceptedCmp5]])&gt;0,1,0)</f>
        <v>1</v>
      </c>
      <c r="W782">
        <v>0</v>
      </c>
      <c r="X782">
        <v>3</v>
      </c>
      <c r="Y782">
        <v>11</v>
      </c>
      <c r="Z782">
        <v>1</v>
      </c>
      <c r="AA782">
        <v>47</v>
      </c>
      <c r="AB782">
        <v>2789</v>
      </c>
      <c r="AC782" s="28">
        <f>ifood_data[[#This Row],[Customer_Days]]/365</f>
        <v>7.6410958904109592</v>
      </c>
      <c r="AD782">
        <v>0</v>
      </c>
      <c r="AE782">
        <v>0</v>
      </c>
      <c r="AF782">
        <v>0</v>
      </c>
      <c r="AG782">
        <v>0</v>
      </c>
      <c r="AH782">
        <v>1</v>
      </c>
      <c r="AI782">
        <v>0</v>
      </c>
      <c r="AJ782">
        <v>0</v>
      </c>
      <c r="AK782">
        <v>1</v>
      </c>
      <c r="AL782">
        <v>0</v>
      </c>
      <c r="AM782">
        <v>0</v>
      </c>
      <c r="AN782">
        <v>597</v>
      </c>
      <c r="AO782">
        <v>538</v>
      </c>
      <c r="AP782">
        <f>ifood_data[[#This Row],[MntTotal]]-ifood_data[[#This Row],[MntRegularProds]]</f>
        <v>59</v>
      </c>
      <c r="AQ782">
        <v>1</v>
      </c>
      <c r="AR782">
        <f>IF(SUM(ifood_data[[#This Row],[Kidhome]:[Teenhome]])&gt;0,1,0)</f>
        <v>1</v>
      </c>
      <c r="AS782" t="str">
        <f>IF(SUM(ifood_data[[#This Row],[Kidhome]:[Teenhome]])&gt;0,"Has Family","No Family")</f>
        <v>Has Family</v>
      </c>
      <c r="AT782" t="str">
        <f>IF(ifood_data[[#This Row],[marital_Married]]=1,"Married", (IF(ifood_data[[#This Row],[marital_Single]]=1,"Single",(IF(ifood_data[[#This Row],[marital_Divorced]]=1,"Divorced",(IF(ifood_data[[#This Row],[marital_Together]]=1,"Living Together",(IF(ifood_data[[#This Row],[marital_Widow]]=1,"Widow","Other")))))))))</f>
        <v>Widow</v>
      </c>
      <c r="AU782" t="str">
        <f>IF(ifood_data[[#This Row],[education_Basic]]=1,"High School",(IF(ifood_data[[#This Row],[education_Graduation]]=1,"Undergraduate Degree",(IF(SUM(AM782,AL782,AI782)&gt;0,"Master's Degree or Higher","Other")))))</f>
        <v>Undergraduate Degree</v>
      </c>
      <c r="AV782" t="str">
        <f>IF(ifood_data[[#All],[Income]]&gt;75000,"75K+",(IF(ifood_data[[#All],[Income]]&gt;50000,"50K-75K",(IF(ifood_data[[#All],[Income]]&gt;35000,"35K-50K","&lt;35K")))))</f>
        <v>50K-75K</v>
      </c>
      <c r="AW782" t="str">
        <f>IF(ifood_data[[#All],[Age]]&gt;60,"60+",(IF(ifood_data[[#All],[Age]]&gt;50,"50-60",(IF(ifood_data[[#All],[Age]]&gt;40,"40-50",(IF(ifood_data[[#All],[Age]]&gt;30,"30-40","&lt;30")))))))</f>
        <v>40-50</v>
      </c>
      <c r="AX782">
        <f t="shared" si="48"/>
        <v>36</v>
      </c>
      <c r="AY782">
        <f t="shared" si="49"/>
        <v>9</v>
      </c>
      <c r="AZ782">
        <f t="shared" si="50"/>
        <v>9</v>
      </c>
      <c r="BA782">
        <f t="shared" si="51"/>
        <v>6</v>
      </c>
      <c r="BB782">
        <f>SUM(ifood_data[[#This Row],[Recency Score]:[Monetary Score]])</f>
        <v>24</v>
      </c>
      <c r="BC782">
        <f>(_xlfn.PERCENTRANK.INC(ifood_data[[#All],[RFM]],ifood_data[[#This Row],[RFM]],1))*10</f>
        <v>9</v>
      </c>
      <c r="BD782" t="str">
        <f>VLOOKUP(ifood_data[[#This Row],[RFM Score]],'RFM Analysis'!$A$3:$B$14,2,FALSE)</f>
        <v>Top Customer</v>
      </c>
      <c r="BE782">
        <f>'Regression Models'!$B$101+'Regression Models'!$B$102*ifood_data[[#This Row],[Income]]+'Regression Models'!$B$103*ifood_data[[#This Row],[Age]]+'Regression Models'!$B$104*ifood_data[[#This Row],[Family]]</f>
        <v>663.82542835235154</v>
      </c>
      <c r="BF782" t="str">
        <f>IF(ifood_data[[#This Row],[AcceptedCmpOverall]]=1,"Campaign Respondent","Non-respondent")</f>
        <v>Campaign Respondent</v>
      </c>
    </row>
    <row r="783" spans="1:58" x14ac:dyDescent="0.35">
      <c r="A783">
        <v>462</v>
      </c>
      <c r="B783">
        <v>60093</v>
      </c>
      <c r="C783">
        <v>0</v>
      </c>
      <c r="D783">
        <v>1</v>
      </c>
      <c r="E783">
        <v>92</v>
      </c>
      <c r="F783">
        <v>502</v>
      </c>
      <c r="G783">
        <v>12</v>
      </c>
      <c r="H783">
        <v>109</v>
      </c>
      <c r="I783">
        <v>16</v>
      </c>
      <c r="J783">
        <v>6</v>
      </c>
      <c r="K783">
        <v>90</v>
      </c>
      <c r="L783">
        <v>2</v>
      </c>
      <c r="M783">
        <v>7</v>
      </c>
      <c r="N783">
        <v>2</v>
      </c>
      <c r="O783">
        <v>10</v>
      </c>
      <c r="P783">
        <v>6</v>
      </c>
      <c r="Q783">
        <v>0</v>
      </c>
      <c r="R783">
        <v>0</v>
      </c>
      <c r="S783">
        <v>0</v>
      </c>
      <c r="T783">
        <v>0</v>
      </c>
      <c r="U783">
        <v>0</v>
      </c>
      <c r="V783">
        <f>IF(SUM(ifood_data[[#This Row],[AcceptedCmp1]:[AcceptedCmp5]])&gt;0,1,0)</f>
        <v>0</v>
      </c>
      <c r="W783">
        <v>0</v>
      </c>
      <c r="X783">
        <v>3</v>
      </c>
      <c r="Y783">
        <v>11</v>
      </c>
      <c r="Z783">
        <v>0</v>
      </c>
      <c r="AA783">
        <v>46</v>
      </c>
      <c r="AB783">
        <v>2527</v>
      </c>
      <c r="AC783" s="28">
        <f>ifood_data[[#This Row],[Customer_Days]]/365</f>
        <v>6.9232876712328766</v>
      </c>
      <c r="AD783">
        <v>0</v>
      </c>
      <c r="AE783">
        <v>1</v>
      </c>
      <c r="AF783">
        <v>0</v>
      </c>
      <c r="AG783">
        <v>0</v>
      </c>
      <c r="AH783">
        <v>0</v>
      </c>
      <c r="AI783">
        <v>0</v>
      </c>
      <c r="AJ783">
        <v>0</v>
      </c>
      <c r="AK783">
        <v>1</v>
      </c>
      <c r="AL783">
        <v>0</v>
      </c>
      <c r="AM783">
        <v>0</v>
      </c>
      <c r="AN783">
        <v>645</v>
      </c>
      <c r="AO783">
        <v>555</v>
      </c>
      <c r="AP783">
        <f>ifood_data[[#This Row],[MntTotal]]-ifood_data[[#This Row],[MntRegularProds]]</f>
        <v>90</v>
      </c>
      <c r="AQ783">
        <v>0</v>
      </c>
      <c r="AR783">
        <f>IF(SUM(ifood_data[[#This Row],[Kidhome]:[Teenhome]])&gt;0,1,0)</f>
        <v>1</v>
      </c>
      <c r="AS783" t="str">
        <f>IF(SUM(ifood_data[[#This Row],[Kidhome]:[Teenhome]])&gt;0,"Has Family","No Family")</f>
        <v>Has Family</v>
      </c>
      <c r="AT783" t="str">
        <f>IF(ifood_data[[#This Row],[marital_Married]]=1,"Married", (IF(ifood_data[[#This Row],[marital_Single]]=1,"Single",(IF(ifood_data[[#This Row],[marital_Divorced]]=1,"Divorced",(IF(ifood_data[[#This Row],[marital_Together]]=1,"Living Together",(IF(ifood_data[[#This Row],[marital_Widow]]=1,"Widow","Other")))))))))</f>
        <v>Married</v>
      </c>
      <c r="AU783" t="str">
        <f>IF(ifood_data[[#This Row],[education_Basic]]=1,"High School",(IF(ifood_data[[#This Row],[education_Graduation]]=1,"Undergraduate Degree",(IF(SUM(AM783,AL783,AI783)&gt;0,"Master's Degree or Higher","Other")))))</f>
        <v>Undergraduate Degree</v>
      </c>
      <c r="AV783" t="str">
        <f>IF(ifood_data[[#All],[Income]]&gt;75000,"75K+",(IF(ifood_data[[#All],[Income]]&gt;50000,"50K-75K",(IF(ifood_data[[#All],[Income]]&gt;35000,"35K-50K","&lt;35K")))))</f>
        <v>50K-75K</v>
      </c>
      <c r="AW783" t="str">
        <f>IF(ifood_data[[#All],[Age]]&gt;60,"60+",(IF(ifood_data[[#All],[Age]]&gt;50,"50-60",(IF(ifood_data[[#All],[Age]]&gt;40,"40-50",(IF(ifood_data[[#All],[Age]]&gt;30,"30-40","&lt;30")))))))</f>
        <v>40-50</v>
      </c>
      <c r="AX783">
        <f t="shared" si="48"/>
        <v>27</v>
      </c>
      <c r="AY783">
        <f t="shared" si="49"/>
        <v>0.99999999999999978</v>
      </c>
      <c r="AZ783">
        <f t="shared" si="50"/>
        <v>7</v>
      </c>
      <c r="BA783">
        <f t="shared" si="51"/>
        <v>6</v>
      </c>
      <c r="BB783">
        <f>SUM(ifood_data[[#This Row],[Recency Score]:[Monetary Score]])</f>
        <v>14</v>
      </c>
      <c r="BC783">
        <f>(_xlfn.PERCENTRANK.INC(ifood_data[[#All],[RFM]],ifood_data[[#This Row],[RFM]],1))*10</f>
        <v>4</v>
      </c>
      <c r="BD783" t="str">
        <f>VLOOKUP(ifood_data[[#This Row],[RFM Score]],'RFM Analysis'!$A$3:$B$14,2,FALSE)</f>
        <v>At Risk</v>
      </c>
      <c r="BE783">
        <f>'Regression Models'!$B$101+'Regression Models'!$B$102*ifood_data[[#This Row],[Income]]+'Regression Models'!$B$103*ifood_data[[#This Row],[Age]]+'Regression Models'!$B$104*ifood_data[[#This Row],[Family]]</f>
        <v>663.31715909469722</v>
      </c>
      <c r="BF783" t="str">
        <f>IF(ifood_data[[#This Row],[AcceptedCmpOverall]]=1,"Campaign Respondent","Non-respondent")</f>
        <v>Non-respondent</v>
      </c>
    </row>
    <row r="784" spans="1:58" x14ac:dyDescent="0.35">
      <c r="A784">
        <v>1121</v>
      </c>
      <c r="B784">
        <v>62000</v>
      </c>
      <c r="C784">
        <v>0</v>
      </c>
      <c r="D784">
        <v>1</v>
      </c>
      <c r="E784">
        <v>25</v>
      </c>
      <c r="F784">
        <v>899</v>
      </c>
      <c r="G784">
        <v>0</v>
      </c>
      <c r="H784">
        <v>101</v>
      </c>
      <c r="I784">
        <v>0</v>
      </c>
      <c r="J784">
        <v>0</v>
      </c>
      <c r="K784">
        <v>20</v>
      </c>
      <c r="L784">
        <v>1</v>
      </c>
      <c r="M784">
        <v>6</v>
      </c>
      <c r="N784">
        <v>6</v>
      </c>
      <c r="O784">
        <v>13</v>
      </c>
      <c r="P784">
        <v>4</v>
      </c>
      <c r="Q784">
        <v>1</v>
      </c>
      <c r="R784">
        <v>0</v>
      </c>
      <c r="S784">
        <v>0</v>
      </c>
      <c r="T784">
        <v>0</v>
      </c>
      <c r="U784">
        <v>0</v>
      </c>
      <c r="V784">
        <f>IF(SUM(ifood_data[[#This Row],[AcceptedCmp1]:[AcceptedCmp5]])&gt;0,1,0)</f>
        <v>1</v>
      </c>
      <c r="W784">
        <v>0</v>
      </c>
      <c r="X784">
        <v>3</v>
      </c>
      <c r="Y784">
        <v>11</v>
      </c>
      <c r="Z784">
        <v>0</v>
      </c>
      <c r="AA784">
        <v>68</v>
      </c>
      <c r="AB784">
        <v>2467</v>
      </c>
      <c r="AC784" s="28">
        <f>ifood_data[[#This Row],[Customer_Days]]/365</f>
        <v>6.7589041095890412</v>
      </c>
      <c r="AD784">
        <v>0</v>
      </c>
      <c r="AE784">
        <v>0</v>
      </c>
      <c r="AF784">
        <v>1</v>
      </c>
      <c r="AG784">
        <v>0</v>
      </c>
      <c r="AH784">
        <v>0</v>
      </c>
      <c r="AI784">
        <v>0</v>
      </c>
      <c r="AJ784">
        <v>0</v>
      </c>
      <c r="AK784">
        <v>0</v>
      </c>
      <c r="AL784">
        <v>0</v>
      </c>
      <c r="AM784">
        <v>1</v>
      </c>
      <c r="AN784">
        <v>1000</v>
      </c>
      <c r="AO784">
        <v>980</v>
      </c>
      <c r="AP784">
        <f>ifood_data[[#This Row],[MntTotal]]-ifood_data[[#This Row],[MntRegularProds]]</f>
        <v>20</v>
      </c>
      <c r="AQ784">
        <v>1</v>
      </c>
      <c r="AR784">
        <f>IF(SUM(ifood_data[[#This Row],[Kidhome]:[Teenhome]])&gt;0,1,0)</f>
        <v>1</v>
      </c>
      <c r="AS784" t="str">
        <f>IF(SUM(ifood_data[[#This Row],[Kidhome]:[Teenhome]])&gt;0,"Has Family","No Family")</f>
        <v>Has Family</v>
      </c>
      <c r="AT784" t="str">
        <f>IF(ifood_data[[#This Row],[marital_Married]]=1,"Married", (IF(ifood_data[[#This Row],[marital_Single]]=1,"Single",(IF(ifood_data[[#This Row],[marital_Divorced]]=1,"Divorced",(IF(ifood_data[[#This Row],[marital_Together]]=1,"Living Together",(IF(ifood_data[[#This Row],[marital_Widow]]=1,"Widow","Other")))))))))</f>
        <v>Single</v>
      </c>
      <c r="AU784" t="str">
        <f>IF(ifood_data[[#This Row],[education_Basic]]=1,"High School",(IF(ifood_data[[#This Row],[education_Graduation]]=1,"Undergraduate Degree",(IF(SUM(AM784,AL784,AI784)&gt;0,"Master's Degree or Higher","Other")))))</f>
        <v>Master's Degree or Higher</v>
      </c>
      <c r="AV784" t="str">
        <f>IF(ifood_data[[#All],[Income]]&gt;75000,"75K+",(IF(ifood_data[[#All],[Income]]&gt;50000,"50K-75K",(IF(ifood_data[[#All],[Income]]&gt;35000,"35K-50K","&lt;35K")))))</f>
        <v>50K-75K</v>
      </c>
      <c r="AW784" t="str">
        <f>IF(ifood_data[[#All],[Age]]&gt;60,"60+",(IF(ifood_data[[#All],[Age]]&gt;50,"50-60",(IF(ifood_data[[#All],[Age]]&gt;40,"40-50",(IF(ifood_data[[#All],[Age]]&gt;30,"30-40","&lt;30")))))))</f>
        <v>60+</v>
      </c>
      <c r="AX784">
        <f t="shared" si="48"/>
        <v>30</v>
      </c>
      <c r="AY784">
        <f t="shared" si="49"/>
        <v>8</v>
      </c>
      <c r="AZ784">
        <f t="shared" si="50"/>
        <v>8</v>
      </c>
      <c r="BA784">
        <f t="shared" si="51"/>
        <v>7</v>
      </c>
      <c r="BB784">
        <f>SUM(ifood_data[[#This Row],[Recency Score]:[Monetary Score]])</f>
        <v>23</v>
      </c>
      <c r="BC784">
        <f>(_xlfn.PERCENTRANK.INC(ifood_data[[#All],[RFM]],ifood_data[[#This Row],[RFM]],1))*10</f>
        <v>8</v>
      </c>
      <c r="BD784" t="str">
        <f>VLOOKUP(ifood_data[[#This Row],[RFM Score]],'RFM Analysis'!$A$3:$B$14,2,FALSE)</f>
        <v>Loyal Customer</v>
      </c>
      <c r="BE784">
        <f>'Regression Models'!$B$101+'Regression Models'!$B$102*ifood_data[[#This Row],[Income]]+'Regression Models'!$B$103*ifood_data[[#This Row],[Age]]+'Regression Models'!$B$104*ifood_data[[#This Row],[Family]]</f>
        <v>661.79688020943877</v>
      </c>
      <c r="BF784" t="str">
        <f>IF(ifood_data[[#This Row],[AcceptedCmpOverall]]=1,"Campaign Respondent","Non-respondent")</f>
        <v>Campaign Respondent</v>
      </c>
    </row>
    <row r="785" spans="1:58" x14ac:dyDescent="0.35">
      <c r="A785">
        <v>1956</v>
      </c>
      <c r="B785">
        <v>60896</v>
      </c>
      <c r="C785">
        <v>0</v>
      </c>
      <c r="D785">
        <v>1</v>
      </c>
      <c r="E785">
        <v>90</v>
      </c>
      <c r="F785">
        <v>1013</v>
      </c>
      <c r="G785">
        <v>30</v>
      </c>
      <c r="H785">
        <v>399</v>
      </c>
      <c r="I785">
        <v>60</v>
      </c>
      <c r="J785">
        <v>46</v>
      </c>
      <c r="K785">
        <v>153</v>
      </c>
      <c r="L785">
        <v>3</v>
      </c>
      <c r="M785">
        <v>9</v>
      </c>
      <c r="N785">
        <v>10</v>
      </c>
      <c r="O785">
        <v>4</v>
      </c>
      <c r="P785">
        <v>6</v>
      </c>
      <c r="Q785">
        <v>0</v>
      </c>
      <c r="R785">
        <v>0</v>
      </c>
      <c r="S785">
        <v>0</v>
      </c>
      <c r="T785">
        <v>0</v>
      </c>
      <c r="U785">
        <v>0</v>
      </c>
      <c r="V785">
        <f>IF(SUM(ifood_data[[#This Row],[AcceptedCmp1]:[AcceptedCmp5]])&gt;0,1,0)</f>
        <v>0</v>
      </c>
      <c r="W785">
        <v>0</v>
      </c>
      <c r="X785">
        <v>3</v>
      </c>
      <c r="Y785">
        <v>11</v>
      </c>
      <c r="Z785">
        <v>1</v>
      </c>
      <c r="AA785">
        <v>56</v>
      </c>
      <c r="AB785">
        <v>2785</v>
      </c>
      <c r="AC785" s="28">
        <f>ifood_data[[#This Row],[Customer_Days]]/365</f>
        <v>7.6301369863013697</v>
      </c>
      <c r="AD785">
        <v>0</v>
      </c>
      <c r="AE785">
        <v>1</v>
      </c>
      <c r="AF785">
        <v>0</v>
      </c>
      <c r="AG785">
        <v>0</v>
      </c>
      <c r="AH785">
        <v>0</v>
      </c>
      <c r="AI785">
        <v>0</v>
      </c>
      <c r="AJ785">
        <v>0</v>
      </c>
      <c r="AK785">
        <v>0</v>
      </c>
      <c r="AL785">
        <v>0</v>
      </c>
      <c r="AM785">
        <v>1</v>
      </c>
      <c r="AN785">
        <v>1548</v>
      </c>
      <c r="AO785">
        <v>1395</v>
      </c>
      <c r="AP785">
        <f>ifood_data[[#This Row],[MntTotal]]-ifood_data[[#This Row],[MntRegularProds]]</f>
        <v>153</v>
      </c>
      <c r="AQ785">
        <v>0</v>
      </c>
      <c r="AR785">
        <f>IF(SUM(ifood_data[[#This Row],[Kidhome]:[Teenhome]])&gt;0,1,0)</f>
        <v>1</v>
      </c>
      <c r="AS785" t="str">
        <f>IF(SUM(ifood_data[[#This Row],[Kidhome]:[Teenhome]])&gt;0,"Has Family","No Family")</f>
        <v>Has Family</v>
      </c>
      <c r="AT785" t="str">
        <f>IF(ifood_data[[#This Row],[marital_Married]]=1,"Married", (IF(ifood_data[[#This Row],[marital_Single]]=1,"Single",(IF(ifood_data[[#This Row],[marital_Divorced]]=1,"Divorced",(IF(ifood_data[[#This Row],[marital_Together]]=1,"Living Together",(IF(ifood_data[[#This Row],[marital_Widow]]=1,"Widow","Other")))))))))</f>
        <v>Married</v>
      </c>
      <c r="AU785" t="str">
        <f>IF(ifood_data[[#This Row],[education_Basic]]=1,"High School",(IF(ifood_data[[#This Row],[education_Graduation]]=1,"Undergraduate Degree",(IF(SUM(AM785,AL785,AI785)&gt;0,"Master's Degree or Higher","Other")))))</f>
        <v>Master's Degree or Higher</v>
      </c>
      <c r="AV785" t="str">
        <f>IF(ifood_data[[#All],[Income]]&gt;75000,"75K+",(IF(ifood_data[[#All],[Income]]&gt;50000,"50K-75K",(IF(ifood_data[[#All],[Income]]&gt;35000,"35K-50K","&lt;35K")))))</f>
        <v>50K-75K</v>
      </c>
      <c r="AW785" t="str">
        <f>IF(ifood_data[[#All],[Age]]&gt;60,"60+",(IF(ifood_data[[#All],[Age]]&gt;50,"50-60",(IF(ifood_data[[#All],[Age]]&gt;40,"40-50",(IF(ifood_data[[#All],[Age]]&gt;30,"30-40","&lt;30")))))))</f>
        <v>50-60</v>
      </c>
      <c r="AX785">
        <f t="shared" si="48"/>
        <v>32</v>
      </c>
      <c r="AY785">
        <f t="shared" si="49"/>
        <v>0.99999999999999978</v>
      </c>
      <c r="AZ785">
        <f t="shared" si="50"/>
        <v>9</v>
      </c>
      <c r="BA785">
        <f t="shared" si="51"/>
        <v>9</v>
      </c>
      <c r="BB785">
        <f>SUM(ifood_data[[#This Row],[Recency Score]:[Monetary Score]])</f>
        <v>19</v>
      </c>
      <c r="BC785">
        <f>(_xlfn.PERCENTRANK.INC(ifood_data[[#All],[RFM]],ifood_data[[#This Row],[RFM]],1))*10</f>
        <v>7</v>
      </c>
      <c r="BD785" t="str">
        <f>VLOOKUP(ifood_data[[#This Row],[RFM Score]],'RFM Analysis'!$A$3:$B$14,2,FALSE)</f>
        <v>Loyal Customer</v>
      </c>
      <c r="BE785">
        <f>'Regression Models'!$B$101+'Regression Models'!$B$102*ifood_data[[#This Row],[Income]]+'Regression Models'!$B$103*ifood_data[[#This Row],[Age]]+'Regression Models'!$B$104*ifood_data[[#This Row],[Family]]</f>
        <v>661.32494912530547</v>
      </c>
      <c r="BF785" t="str">
        <f>IF(ifood_data[[#This Row],[AcceptedCmpOverall]]=1,"Campaign Respondent","Non-respondent")</f>
        <v>Non-respondent</v>
      </c>
    </row>
    <row r="786" spans="1:58" x14ac:dyDescent="0.35">
      <c r="A786">
        <v>134</v>
      </c>
      <c r="B786">
        <v>59809</v>
      </c>
      <c r="C786">
        <v>0</v>
      </c>
      <c r="D786">
        <v>2</v>
      </c>
      <c r="E786">
        <v>36</v>
      </c>
      <c r="F786">
        <v>598</v>
      </c>
      <c r="G786">
        <v>16</v>
      </c>
      <c r="H786">
        <v>141</v>
      </c>
      <c r="I786">
        <v>32</v>
      </c>
      <c r="J786">
        <v>41</v>
      </c>
      <c r="K786">
        <v>49</v>
      </c>
      <c r="L786">
        <v>3</v>
      </c>
      <c r="M786">
        <v>3</v>
      </c>
      <c r="N786">
        <v>3</v>
      </c>
      <c r="O786">
        <v>6</v>
      </c>
      <c r="P786">
        <v>8</v>
      </c>
      <c r="Q786">
        <v>0</v>
      </c>
      <c r="R786">
        <v>0</v>
      </c>
      <c r="S786">
        <v>0</v>
      </c>
      <c r="T786">
        <v>0</v>
      </c>
      <c r="U786">
        <v>0</v>
      </c>
      <c r="V786">
        <f>IF(SUM(ifood_data[[#This Row],[AcceptedCmp1]:[AcceptedCmp5]])&gt;0,1,0)</f>
        <v>0</v>
      </c>
      <c r="W786">
        <v>0</v>
      </c>
      <c r="X786">
        <v>3</v>
      </c>
      <c r="Y786">
        <v>11</v>
      </c>
      <c r="Z786">
        <v>0</v>
      </c>
      <c r="AA786">
        <v>44</v>
      </c>
      <c r="AB786">
        <v>2778</v>
      </c>
      <c r="AC786" s="28">
        <f>ifood_data[[#This Row],[Customer_Days]]/365</f>
        <v>7.6109589041095891</v>
      </c>
      <c r="AD786">
        <v>0</v>
      </c>
      <c r="AE786">
        <v>1</v>
      </c>
      <c r="AF786">
        <v>0</v>
      </c>
      <c r="AG786">
        <v>0</v>
      </c>
      <c r="AH786">
        <v>0</v>
      </c>
      <c r="AI786">
        <v>0</v>
      </c>
      <c r="AJ786">
        <v>0</v>
      </c>
      <c r="AK786">
        <v>1</v>
      </c>
      <c r="AL786">
        <v>0</v>
      </c>
      <c r="AM786">
        <v>0</v>
      </c>
      <c r="AN786">
        <v>828</v>
      </c>
      <c r="AO786">
        <v>779</v>
      </c>
      <c r="AP786">
        <f>ifood_data[[#This Row],[MntTotal]]-ifood_data[[#This Row],[MntRegularProds]]</f>
        <v>49</v>
      </c>
      <c r="AQ786">
        <v>0</v>
      </c>
      <c r="AR786">
        <f>IF(SUM(ifood_data[[#This Row],[Kidhome]:[Teenhome]])&gt;0,1,0)</f>
        <v>1</v>
      </c>
      <c r="AS786" t="str">
        <f>IF(SUM(ifood_data[[#This Row],[Kidhome]:[Teenhome]])&gt;0,"Has Family","No Family")</f>
        <v>Has Family</v>
      </c>
      <c r="AT786" t="str">
        <f>IF(ifood_data[[#This Row],[marital_Married]]=1,"Married", (IF(ifood_data[[#This Row],[marital_Single]]=1,"Single",(IF(ifood_data[[#This Row],[marital_Divorced]]=1,"Divorced",(IF(ifood_data[[#This Row],[marital_Together]]=1,"Living Together",(IF(ifood_data[[#This Row],[marital_Widow]]=1,"Widow","Other")))))))))</f>
        <v>Married</v>
      </c>
      <c r="AU786" t="str">
        <f>IF(ifood_data[[#This Row],[education_Basic]]=1,"High School",(IF(ifood_data[[#This Row],[education_Graduation]]=1,"Undergraduate Degree",(IF(SUM(AM786,AL786,AI786)&gt;0,"Master's Degree or Higher","Other")))))</f>
        <v>Undergraduate Degree</v>
      </c>
      <c r="AV786" t="str">
        <f>IF(ifood_data[[#All],[Income]]&gt;75000,"75K+",(IF(ifood_data[[#All],[Income]]&gt;50000,"50K-75K",(IF(ifood_data[[#All],[Income]]&gt;35000,"35K-50K","&lt;35K")))))</f>
        <v>50K-75K</v>
      </c>
      <c r="AW786" t="str">
        <f>IF(ifood_data[[#All],[Age]]&gt;60,"60+",(IF(ifood_data[[#All],[Age]]&gt;50,"50-60",(IF(ifood_data[[#All],[Age]]&gt;40,"40-50",(IF(ifood_data[[#All],[Age]]&gt;30,"30-40","&lt;30")))))))</f>
        <v>40-50</v>
      </c>
      <c r="AX786">
        <f t="shared" si="48"/>
        <v>23</v>
      </c>
      <c r="AY786">
        <f t="shared" si="49"/>
        <v>7</v>
      </c>
      <c r="AZ786">
        <f t="shared" si="50"/>
        <v>6</v>
      </c>
      <c r="BA786">
        <f t="shared" si="51"/>
        <v>6</v>
      </c>
      <c r="BB786">
        <f>SUM(ifood_data[[#This Row],[Recency Score]:[Monetary Score]])</f>
        <v>19</v>
      </c>
      <c r="BC786">
        <f>(_xlfn.PERCENTRANK.INC(ifood_data[[#All],[RFM]],ifood_data[[#This Row],[RFM]],1))*10</f>
        <v>7</v>
      </c>
      <c r="BD786" t="str">
        <f>VLOOKUP(ifood_data[[#This Row],[RFM Score]],'RFM Analysis'!$A$3:$B$14,2,FALSE)</f>
        <v>Loyal Customer</v>
      </c>
      <c r="BE786">
        <f>'Regression Models'!$B$101+'Regression Models'!$B$102*ifood_data[[#This Row],[Income]]+'Regression Models'!$B$103*ifood_data[[#This Row],[Age]]+'Regression Models'!$B$104*ifood_data[[#This Row],[Family]]</f>
        <v>661.19962709961874</v>
      </c>
      <c r="BF786" t="str">
        <f>IF(ifood_data[[#This Row],[AcceptedCmpOverall]]=1,"Campaign Respondent","Non-respondent")</f>
        <v>Non-respondent</v>
      </c>
    </row>
    <row r="787" spans="1:58" x14ac:dyDescent="0.35">
      <c r="A787">
        <v>483</v>
      </c>
      <c r="B787">
        <v>61250</v>
      </c>
      <c r="C787">
        <v>0</v>
      </c>
      <c r="D787">
        <v>1</v>
      </c>
      <c r="E787">
        <v>49</v>
      </c>
      <c r="F787">
        <v>382</v>
      </c>
      <c r="G787">
        <v>138</v>
      </c>
      <c r="H787">
        <v>65</v>
      </c>
      <c r="I787">
        <v>60</v>
      </c>
      <c r="J787">
        <v>26</v>
      </c>
      <c r="K787">
        <v>59</v>
      </c>
      <c r="L787">
        <v>6</v>
      </c>
      <c r="M787">
        <v>5</v>
      </c>
      <c r="N787">
        <v>2</v>
      </c>
      <c r="O787">
        <v>12</v>
      </c>
      <c r="P787">
        <v>5</v>
      </c>
      <c r="Q787">
        <v>0</v>
      </c>
      <c r="R787">
        <v>0</v>
      </c>
      <c r="S787">
        <v>0</v>
      </c>
      <c r="T787">
        <v>0</v>
      </c>
      <c r="U787">
        <v>0</v>
      </c>
      <c r="V787">
        <f>IF(SUM(ifood_data[[#This Row],[AcceptedCmp1]:[AcceptedCmp5]])&gt;0,1,0)</f>
        <v>0</v>
      </c>
      <c r="W787">
        <v>0</v>
      </c>
      <c r="X787">
        <v>3</v>
      </c>
      <c r="Y787">
        <v>11</v>
      </c>
      <c r="Z787">
        <v>0</v>
      </c>
      <c r="AA787">
        <v>61</v>
      </c>
      <c r="AB787">
        <v>2719</v>
      </c>
      <c r="AC787" s="28">
        <f>ifood_data[[#This Row],[Customer_Days]]/365</f>
        <v>7.4493150684931511</v>
      </c>
      <c r="AD787">
        <v>1</v>
      </c>
      <c r="AE787">
        <v>0</v>
      </c>
      <c r="AF787">
        <v>0</v>
      </c>
      <c r="AG787">
        <v>0</v>
      </c>
      <c r="AH787">
        <v>0</v>
      </c>
      <c r="AI787">
        <v>0</v>
      </c>
      <c r="AJ787">
        <v>0</v>
      </c>
      <c r="AK787">
        <v>1</v>
      </c>
      <c r="AL787">
        <v>0</v>
      </c>
      <c r="AM787">
        <v>0</v>
      </c>
      <c r="AN787">
        <v>671</v>
      </c>
      <c r="AO787">
        <v>612</v>
      </c>
      <c r="AP787">
        <f>ifood_data[[#This Row],[MntTotal]]-ifood_data[[#This Row],[MntRegularProds]]</f>
        <v>59</v>
      </c>
      <c r="AQ787">
        <v>0</v>
      </c>
      <c r="AR787">
        <f>IF(SUM(ifood_data[[#This Row],[Kidhome]:[Teenhome]])&gt;0,1,0)</f>
        <v>1</v>
      </c>
      <c r="AS787" t="str">
        <f>IF(SUM(ifood_data[[#This Row],[Kidhome]:[Teenhome]])&gt;0,"Has Family","No Family")</f>
        <v>Has Family</v>
      </c>
      <c r="AT787" t="str">
        <f>IF(ifood_data[[#This Row],[marital_Married]]=1,"Married", (IF(ifood_data[[#This Row],[marital_Single]]=1,"Single",(IF(ifood_data[[#This Row],[marital_Divorced]]=1,"Divorced",(IF(ifood_data[[#This Row],[marital_Together]]=1,"Living Together",(IF(ifood_data[[#This Row],[marital_Widow]]=1,"Widow","Other")))))))))</f>
        <v>Divorced</v>
      </c>
      <c r="AU787" t="str">
        <f>IF(ifood_data[[#This Row],[education_Basic]]=1,"High School",(IF(ifood_data[[#This Row],[education_Graduation]]=1,"Undergraduate Degree",(IF(SUM(AM787,AL787,AI787)&gt;0,"Master's Degree or Higher","Other")))))</f>
        <v>Undergraduate Degree</v>
      </c>
      <c r="AV787" t="str">
        <f>IF(ifood_data[[#All],[Income]]&gt;75000,"75K+",(IF(ifood_data[[#All],[Income]]&gt;50000,"50K-75K",(IF(ifood_data[[#All],[Income]]&gt;35000,"35K-50K","&lt;35K")))))</f>
        <v>50K-75K</v>
      </c>
      <c r="AW787" t="str">
        <f>IF(ifood_data[[#All],[Age]]&gt;60,"60+",(IF(ifood_data[[#All],[Age]]&gt;50,"50-60",(IF(ifood_data[[#All],[Age]]&gt;40,"40-50",(IF(ifood_data[[#All],[Age]]&gt;30,"30-40","&lt;30")))))))</f>
        <v>60+</v>
      </c>
      <c r="AX787">
        <f t="shared" si="48"/>
        <v>30</v>
      </c>
      <c r="AY787">
        <f t="shared" si="49"/>
        <v>6</v>
      </c>
      <c r="AZ787">
        <f t="shared" si="50"/>
        <v>8</v>
      </c>
      <c r="BA787">
        <f t="shared" si="51"/>
        <v>6</v>
      </c>
      <c r="BB787">
        <f>SUM(ifood_data[[#This Row],[Recency Score]:[Monetary Score]])</f>
        <v>20</v>
      </c>
      <c r="BC787">
        <f>(_xlfn.PERCENTRANK.INC(ifood_data[[#All],[RFM]],ifood_data[[#This Row],[RFM]],1))*10</f>
        <v>7</v>
      </c>
      <c r="BD787" t="str">
        <f>VLOOKUP(ifood_data[[#This Row],[RFM Score]],'RFM Analysis'!$A$3:$B$14,2,FALSE)</f>
        <v>Loyal Customer</v>
      </c>
      <c r="BE787">
        <f>'Regression Models'!$B$101+'Regression Models'!$B$102*ifood_data[[#This Row],[Income]]+'Regression Models'!$B$103*ifood_data[[#This Row],[Age]]+'Regression Models'!$B$104*ifood_data[[#This Row],[Family]]</f>
        <v>659.36037765377432</v>
      </c>
      <c r="BF787" t="str">
        <f>IF(ifood_data[[#This Row],[AcceptedCmpOverall]]=1,"Campaign Respondent","Non-respondent")</f>
        <v>Non-respondent</v>
      </c>
    </row>
    <row r="788" spans="1:58" x14ac:dyDescent="0.35">
      <c r="A788">
        <v>121</v>
      </c>
      <c r="B788">
        <v>61331</v>
      </c>
      <c r="C788">
        <v>1</v>
      </c>
      <c r="D788">
        <v>1</v>
      </c>
      <c r="E788">
        <v>42</v>
      </c>
      <c r="F788">
        <v>534</v>
      </c>
      <c r="G788">
        <v>5</v>
      </c>
      <c r="H788">
        <v>47</v>
      </c>
      <c r="I788">
        <v>0</v>
      </c>
      <c r="J788">
        <v>5</v>
      </c>
      <c r="K788">
        <v>41</v>
      </c>
      <c r="L788">
        <v>5</v>
      </c>
      <c r="M788">
        <v>11</v>
      </c>
      <c r="N788">
        <v>1</v>
      </c>
      <c r="O788">
        <v>6</v>
      </c>
      <c r="P788">
        <v>8</v>
      </c>
      <c r="Q788">
        <v>0</v>
      </c>
      <c r="R788">
        <v>0</v>
      </c>
      <c r="S788">
        <v>0</v>
      </c>
      <c r="T788">
        <v>0</v>
      </c>
      <c r="U788">
        <v>0</v>
      </c>
      <c r="V788">
        <f>IF(SUM(ifood_data[[#This Row],[AcceptedCmp1]:[AcceptedCmp5]])&gt;0,1,0)</f>
        <v>0</v>
      </c>
      <c r="W788">
        <v>0</v>
      </c>
      <c r="X788">
        <v>3</v>
      </c>
      <c r="Y788">
        <v>11</v>
      </c>
      <c r="Z788">
        <v>0</v>
      </c>
      <c r="AA788">
        <v>62</v>
      </c>
      <c r="AB788">
        <v>2635</v>
      </c>
      <c r="AC788" s="28">
        <f>ifood_data[[#This Row],[Customer_Days]]/365</f>
        <v>7.2191780821917808</v>
      </c>
      <c r="AD788">
        <v>0</v>
      </c>
      <c r="AE788">
        <v>0</v>
      </c>
      <c r="AF788">
        <v>1</v>
      </c>
      <c r="AG788">
        <v>0</v>
      </c>
      <c r="AH788">
        <v>0</v>
      </c>
      <c r="AI788">
        <v>0</v>
      </c>
      <c r="AJ788">
        <v>0</v>
      </c>
      <c r="AK788">
        <v>0</v>
      </c>
      <c r="AL788">
        <v>1</v>
      </c>
      <c r="AM788">
        <v>0</v>
      </c>
      <c r="AN788">
        <v>591</v>
      </c>
      <c r="AO788">
        <v>550</v>
      </c>
      <c r="AP788">
        <f>ifood_data[[#This Row],[MntTotal]]-ifood_data[[#This Row],[MntRegularProds]]</f>
        <v>41</v>
      </c>
      <c r="AQ788">
        <v>0</v>
      </c>
      <c r="AR788">
        <f>IF(SUM(ifood_data[[#This Row],[Kidhome]:[Teenhome]])&gt;0,1,0)</f>
        <v>1</v>
      </c>
      <c r="AS788" t="str">
        <f>IF(SUM(ifood_data[[#This Row],[Kidhome]:[Teenhome]])&gt;0,"Has Family","No Family")</f>
        <v>Has Family</v>
      </c>
      <c r="AT788" t="str">
        <f>IF(ifood_data[[#This Row],[marital_Married]]=1,"Married", (IF(ifood_data[[#This Row],[marital_Single]]=1,"Single",(IF(ifood_data[[#This Row],[marital_Divorced]]=1,"Divorced",(IF(ifood_data[[#This Row],[marital_Together]]=1,"Living Together",(IF(ifood_data[[#This Row],[marital_Widow]]=1,"Widow","Other")))))))))</f>
        <v>Single</v>
      </c>
      <c r="AU788" t="str">
        <f>IF(ifood_data[[#This Row],[education_Basic]]=1,"High School",(IF(ifood_data[[#This Row],[education_Graduation]]=1,"Undergraduate Degree",(IF(SUM(AM788,AL788,AI788)&gt;0,"Master's Degree or Higher","Other")))))</f>
        <v>Master's Degree or Higher</v>
      </c>
      <c r="AV788" t="str">
        <f>IF(ifood_data[[#All],[Income]]&gt;75000,"75K+",(IF(ifood_data[[#All],[Income]]&gt;50000,"50K-75K",(IF(ifood_data[[#All],[Income]]&gt;35000,"35K-50K","&lt;35K")))))</f>
        <v>50K-75K</v>
      </c>
      <c r="AW788" t="str">
        <f>IF(ifood_data[[#All],[Age]]&gt;60,"60+",(IF(ifood_data[[#All],[Age]]&gt;50,"50-60",(IF(ifood_data[[#All],[Age]]&gt;40,"40-50",(IF(ifood_data[[#All],[Age]]&gt;30,"30-40","&lt;30")))))))</f>
        <v>60+</v>
      </c>
      <c r="AX788">
        <f t="shared" si="48"/>
        <v>31</v>
      </c>
      <c r="AY788">
        <f t="shared" si="49"/>
        <v>6</v>
      </c>
      <c r="AZ788">
        <f t="shared" si="50"/>
        <v>9</v>
      </c>
      <c r="BA788">
        <f t="shared" si="51"/>
        <v>6</v>
      </c>
      <c r="BB788">
        <f>SUM(ifood_data[[#This Row],[Recency Score]:[Monetary Score]])</f>
        <v>21</v>
      </c>
      <c r="BC788">
        <f>(_xlfn.PERCENTRANK.INC(ifood_data[[#All],[RFM]],ifood_data[[#This Row],[RFM]],1))*10</f>
        <v>8</v>
      </c>
      <c r="BD788" t="str">
        <f>VLOOKUP(ifood_data[[#This Row],[RFM Score]],'RFM Analysis'!$A$3:$B$14,2,FALSE)</f>
        <v>Loyal Customer</v>
      </c>
      <c r="BE788">
        <f>'Regression Models'!$B$101+'Regression Models'!$B$102*ifood_data[[#This Row],[Income]]+'Regression Models'!$B$103*ifood_data[[#This Row],[Age]]+'Regression Models'!$B$104*ifood_data[[#This Row],[Family]]</f>
        <v>659.17542879453595</v>
      </c>
      <c r="BF788" t="str">
        <f>IF(ifood_data[[#This Row],[AcceptedCmpOverall]]=1,"Campaign Respondent","Non-respondent")</f>
        <v>Non-respondent</v>
      </c>
    </row>
    <row r="789" spans="1:58" x14ac:dyDescent="0.35">
      <c r="A789">
        <v>1282</v>
      </c>
      <c r="B789">
        <v>59601</v>
      </c>
      <c r="C789">
        <v>0</v>
      </c>
      <c r="D789">
        <v>1</v>
      </c>
      <c r="E789">
        <v>14</v>
      </c>
      <c r="F789">
        <v>691</v>
      </c>
      <c r="G789">
        <v>7</v>
      </c>
      <c r="H789">
        <v>69</v>
      </c>
      <c r="I789">
        <v>0</v>
      </c>
      <c r="J789">
        <v>7</v>
      </c>
      <c r="K789">
        <v>23</v>
      </c>
      <c r="L789">
        <v>4</v>
      </c>
      <c r="M789">
        <v>2</v>
      </c>
      <c r="N789">
        <v>2</v>
      </c>
      <c r="O789">
        <v>7</v>
      </c>
      <c r="P789">
        <v>8</v>
      </c>
      <c r="Q789">
        <v>0</v>
      </c>
      <c r="R789">
        <v>0</v>
      </c>
      <c r="S789">
        <v>0</v>
      </c>
      <c r="T789">
        <v>1</v>
      </c>
      <c r="U789">
        <v>0</v>
      </c>
      <c r="V789">
        <f>IF(SUM(ifood_data[[#This Row],[AcceptedCmp1]:[AcceptedCmp5]])&gt;0,1,0)</f>
        <v>1</v>
      </c>
      <c r="W789">
        <v>0</v>
      </c>
      <c r="X789">
        <v>3</v>
      </c>
      <c r="Y789">
        <v>11</v>
      </c>
      <c r="Z789">
        <v>0</v>
      </c>
      <c r="AA789">
        <v>43</v>
      </c>
      <c r="AB789">
        <v>2498</v>
      </c>
      <c r="AC789" s="28">
        <f>ifood_data[[#This Row],[Customer_Days]]/365</f>
        <v>6.8438356164383558</v>
      </c>
      <c r="AD789">
        <v>1</v>
      </c>
      <c r="AE789">
        <v>0</v>
      </c>
      <c r="AF789">
        <v>0</v>
      </c>
      <c r="AG789">
        <v>0</v>
      </c>
      <c r="AH789">
        <v>0</v>
      </c>
      <c r="AI789">
        <v>1</v>
      </c>
      <c r="AJ789">
        <v>0</v>
      </c>
      <c r="AK789">
        <v>0</v>
      </c>
      <c r="AL789">
        <v>0</v>
      </c>
      <c r="AM789">
        <v>0</v>
      </c>
      <c r="AN789">
        <v>774</v>
      </c>
      <c r="AO789">
        <v>751</v>
      </c>
      <c r="AP789">
        <f>ifood_data[[#This Row],[MntTotal]]-ifood_data[[#This Row],[MntRegularProds]]</f>
        <v>23</v>
      </c>
      <c r="AQ789">
        <v>1</v>
      </c>
      <c r="AR789">
        <f>IF(SUM(ifood_data[[#This Row],[Kidhome]:[Teenhome]])&gt;0,1,0)</f>
        <v>1</v>
      </c>
      <c r="AS789" t="str">
        <f>IF(SUM(ifood_data[[#This Row],[Kidhome]:[Teenhome]])&gt;0,"Has Family","No Family")</f>
        <v>Has Family</v>
      </c>
      <c r="AT789" t="str">
        <f>IF(ifood_data[[#This Row],[marital_Married]]=1,"Married", (IF(ifood_data[[#This Row],[marital_Single]]=1,"Single",(IF(ifood_data[[#This Row],[marital_Divorced]]=1,"Divorced",(IF(ifood_data[[#This Row],[marital_Together]]=1,"Living Together",(IF(ifood_data[[#This Row],[marital_Widow]]=1,"Widow","Other")))))))))</f>
        <v>Divorced</v>
      </c>
      <c r="AU789" t="str">
        <f>IF(ifood_data[[#This Row],[education_Basic]]=1,"High School",(IF(ifood_data[[#This Row],[education_Graduation]]=1,"Undergraduate Degree",(IF(SUM(AM789,AL789,AI789)&gt;0,"Master's Degree or Higher","Other")))))</f>
        <v>Master's Degree or Higher</v>
      </c>
      <c r="AV789" t="str">
        <f>IF(ifood_data[[#All],[Income]]&gt;75000,"75K+",(IF(ifood_data[[#All],[Income]]&gt;50000,"50K-75K",(IF(ifood_data[[#All],[Income]]&gt;35000,"35K-50K","&lt;35K")))))</f>
        <v>50K-75K</v>
      </c>
      <c r="AW789" t="str">
        <f>IF(ifood_data[[#All],[Age]]&gt;60,"60+",(IF(ifood_data[[#All],[Age]]&gt;50,"50-60",(IF(ifood_data[[#All],[Age]]&gt;40,"40-50",(IF(ifood_data[[#All],[Age]]&gt;30,"30-40","&lt;30")))))))</f>
        <v>40-50</v>
      </c>
      <c r="AX789">
        <f t="shared" si="48"/>
        <v>23</v>
      </c>
      <c r="AY789">
        <f t="shared" si="49"/>
        <v>9</v>
      </c>
      <c r="AZ789">
        <f t="shared" si="50"/>
        <v>6</v>
      </c>
      <c r="BA789">
        <f t="shared" si="51"/>
        <v>6</v>
      </c>
      <c r="BB789">
        <f>SUM(ifood_data[[#This Row],[Recency Score]:[Monetary Score]])</f>
        <v>21</v>
      </c>
      <c r="BC789">
        <f>(_xlfn.PERCENTRANK.INC(ifood_data[[#All],[RFM]],ifood_data[[#This Row],[RFM]],1))*10</f>
        <v>8</v>
      </c>
      <c r="BD789" t="str">
        <f>VLOOKUP(ifood_data[[#This Row],[RFM Score]],'RFM Analysis'!$A$3:$B$14,2,FALSE)</f>
        <v>Loyal Customer</v>
      </c>
      <c r="BE789">
        <f>'Regression Models'!$B$101+'Regression Models'!$B$102*ifood_data[[#This Row],[Income]]+'Regression Models'!$B$103*ifood_data[[#This Row],[Age]]+'Regression Models'!$B$104*ifood_data[[#This Row],[Family]]</f>
        <v>658.79520240458214</v>
      </c>
      <c r="BF789" t="str">
        <f>IF(ifood_data[[#This Row],[AcceptedCmpOverall]]=1,"Campaign Respondent","Non-respondent")</f>
        <v>Campaign Respondent</v>
      </c>
    </row>
    <row r="790" spans="1:58" x14ac:dyDescent="0.35">
      <c r="A790">
        <v>58</v>
      </c>
      <c r="B790">
        <v>61823</v>
      </c>
      <c r="C790">
        <v>0</v>
      </c>
      <c r="D790">
        <v>1</v>
      </c>
      <c r="E790">
        <v>26</v>
      </c>
      <c r="F790">
        <v>523</v>
      </c>
      <c r="G790">
        <v>7</v>
      </c>
      <c r="H790">
        <v>134</v>
      </c>
      <c r="I790">
        <v>37</v>
      </c>
      <c r="J790">
        <v>14</v>
      </c>
      <c r="K790">
        <v>169</v>
      </c>
      <c r="L790">
        <v>4</v>
      </c>
      <c r="M790">
        <v>8</v>
      </c>
      <c r="N790">
        <v>2</v>
      </c>
      <c r="O790">
        <v>10</v>
      </c>
      <c r="P790">
        <v>7</v>
      </c>
      <c r="Q790">
        <v>0</v>
      </c>
      <c r="R790">
        <v>0</v>
      </c>
      <c r="S790">
        <v>0</v>
      </c>
      <c r="T790">
        <v>0</v>
      </c>
      <c r="U790">
        <v>0</v>
      </c>
      <c r="V790">
        <f>IF(SUM(ifood_data[[#This Row],[AcceptedCmp1]:[AcceptedCmp5]])&gt;0,1,0)</f>
        <v>0</v>
      </c>
      <c r="W790">
        <v>0</v>
      </c>
      <c r="X790">
        <v>3</v>
      </c>
      <c r="Y790">
        <v>11</v>
      </c>
      <c r="Z790">
        <v>0</v>
      </c>
      <c r="AA790">
        <v>68</v>
      </c>
      <c r="AB790">
        <v>2655</v>
      </c>
      <c r="AC790" s="28">
        <f>ifood_data[[#This Row],[Customer_Days]]/365</f>
        <v>7.2739726027397262</v>
      </c>
      <c r="AD790">
        <v>0</v>
      </c>
      <c r="AE790">
        <v>0</v>
      </c>
      <c r="AF790">
        <v>1</v>
      </c>
      <c r="AG790">
        <v>0</v>
      </c>
      <c r="AH790">
        <v>0</v>
      </c>
      <c r="AI790">
        <v>0</v>
      </c>
      <c r="AJ790">
        <v>0</v>
      </c>
      <c r="AK790">
        <v>1</v>
      </c>
      <c r="AL790">
        <v>0</v>
      </c>
      <c r="AM790">
        <v>0</v>
      </c>
      <c r="AN790">
        <v>715</v>
      </c>
      <c r="AO790">
        <v>546</v>
      </c>
      <c r="AP790">
        <f>ifood_data[[#This Row],[MntTotal]]-ifood_data[[#This Row],[MntRegularProds]]</f>
        <v>169</v>
      </c>
      <c r="AQ790">
        <v>0</v>
      </c>
      <c r="AR790">
        <f>IF(SUM(ifood_data[[#This Row],[Kidhome]:[Teenhome]])&gt;0,1,0)</f>
        <v>1</v>
      </c>
      <c r="AS790" t="str">
        <f>IF(SUM(ifood_data[[#This Row],[Kidhome]:[Teenhome]])&gt;0,"Has Family","No Family")</f>
        <v>Has Family</v>
      </c>
      <c r="AT790" t="str">
        <f>IF(ifood_data[[#This Row],[marital_Married]]=1,"Married", (IF(ifood_data[[#This Row],[marital_Single]]=1,"Single",(IF(ifood_data[[#This Row],[marital_Divorced]]=1,"Divorced",(IF(ifood_data[[#This Row],[marital_Together]]=1,"Living Together",(IF(ifood_data[[#This Row],[marital_Widow]]=1,"Widow","Other")))))))))</f>
        <v>Single</v>
      </c>
      <c r="AU790" t="str">
        <f>IF(ifood_data[[#This Row],[education_Basic]]=1,"High School",(IF(ifood_data[[#This Row],[education_Graduation]]=1,"Undergraduate Degree",(IF(SUM(AM790,AL790,AI790)&gt;0,"Master's Degree or Higher","Other")))))</f>
        <v>Undergraduate Degree</v>
      </c>
      <c r="AV790" t="str">
        <f>IF(ifood_data[[#All],[Income]]&gt;75000,"75K+",(IF(ifood_data[[#All],[Income]]&gt;50000,"50K-75K",(IF(ifood_data[[#All],[Income]]&gt;35000,"35K-50K","&lt;35K")))))</f>
        <v>50K-75K</v>
      </c>
      <c r="AW790" t="str">
        <f>IF(ifood_data[[#All],[Age]]&gt;60,"60+",(IF(ifood_data[[#All],[Age]]&gt;50,"50-60",(IF(ifood_data[[#All],[Age]]&gt;40,"40-50",(IF(ifood_data[[#All],[Age]]&gt;30,"30-40","&lt;30")))))))</f>
        <v>60+</v>
      </c>
      <c r="AX790">
        <f t="shared" si="48"/>
        <v>31</v>
      </c>
      <c r="AY790">
        <f t="shared" si="49"/>
        <v>8</v>
      </c>
      <c r="AZ790">
        <f t="shared" si="50"/>
        <v>9</v>
      </c>
      <c r="BA790">
        <f t="shared" si="51"/>
        <v>6</v>
      </c>
      <c r="BB790">
        <f>SUM(ifood_data[[#This Row],[Recency Score]:[Monetary Score]])</f>
        <v>23</v>
      </c>
      <c r="BC790">
        <f>(_xlfn.PERCENTRANK.INC(ifood_data[[#All],[RFM]],ifood_data[[#This Row],[RFM]],1))*10</f>
        <v>8</v>
      </c>
      <c r="BD790" t="str">
        <f>VLOOKUP(ifood_data[[#This Row],[RFM Score]],'RFM Analysis'!$A$3:$B$14,2,FALSE)</f>
        <v>Loyal Customer</v>
      </c>
      <c r="BE790">
        <f>'Regression Models'!$B$101+'Regression Models'!$B$102*ifood_data[[#This Row],[Income]]+'Regression Models'!$B$103*ifood_data[[#This Row],[Age]]+'Regression Models'!$B$104*ifood_data[[#This Row],[Family]]</f>
        <v>658.18806824796866</v>
      </c>
      <c r="BF790" t="str">
        <f>IF(ifood_data[[#This Row],[AcceptedCmpOverall]]=1,"Campaign Respondent","Non-respondent")</f>
        <v>Non-respondent</v>
      </c>
    </row>
    <row r="791" spans="1:58" x14ac:dyDescent="0.35">
      <c r="A791">
        <v>983</v>
      </c>
      <c r="B791">
        <v>61180</v>
      </c>
      <c r="C791">
        <v>0</v>
      </c>
      <c r="D791">
        <v>1</v>
      </c>
      <c r="E791">
        <v>70</v>
      </c>
      <c r="F791">
        <v>403</v>
      </c>
      <c r="G791">
        <v>24</v>
      </c>
      <c r="H791">
        <v>29</v>
      </c>
      <c r="I791">
        <v>6</v>
      </c>
      <c r="J791">
        <v>24</v>
      </c>
      <c r="K791">
        <v>218</v>
      </c>
      <c r="L791">
        <v>2</v>
      </c>
      <c r="M791">
        <v>5</v>
      </c>
      <c r="N791">
        <v>5</v>
      </c>
      <c r="O791">
        <v>6</v>
      </c>
      <c r="P791">
        <v>3</v>
      </c>
      <c r="Q791">
        <v>0</v>
      </c>
      <c r="R791">
        <v>0</v>
      </c>
      <c r="S791">
        <v>1</v>
      </c>
      <c r="T791">
        <v>0</v>
      </c>
      <c r="U791">
        <v>0</v>
      </c>
      <c r="V791">
        <f>IF(SUM(ifood_data[[#This Row],[AcceptedCmp1]:[AcceptedCmp5]])&gt;0,1,0)</f>
        <v>1</v>
      </c>
      <c r="W791">
        <v>0</v>
      </c>
      <c r="X791">
        <v>3</v>
      </c>
      <c r="Y791">
        <v>11</v>
      </c>
      <c r="Z791">
        <v>0</v>
      </c>
      <c r="AA791">
        <v>61</v>
      </c>
      <c r="AB791">
        <v>2226</v>
      </c>
      <c r="AC791" s="28">
        <f>ifood_data[[#This Row],[Customer_Days]]/365</f>
        <v>6.0986301369863014</v>
      </c>
      <c r="AD791">
        <v>0</v>
      </c>
      <c r="AE791">
        <v>1</v>
      </c>
      <c r="AF791">
        <v>0</v>
      </c>
      <c r="AG791">
        <v>0</v>
      </c>
      <c r="AH791">
        <v>0</v>
      </c>
      <c r="AI791">
        <v>0</v>
      </c>
      <c r="AJ791">
        <v>0</v>
      </c>
      <c r="AK791">
        <v>1</v>
      </c>
      <c r="AL791">
        <v>0</v>
      </c>
      <c r="AM791">
        <v>0</v>
      </c>
      <c r="AN791">
        <v>486</v>
      </c>
      <c r="AO791">
        <v>268</v>
      </c>
      <c r="AP791">
        <f>ifood_data[[#This Row],[MntTotal]]-ifood_data[[#This Row],[MntRegularProds]]</f>
        <v>218</v>
      </c>
      <c r="AQ791">
        <v>1</v>
      </c>
      <c r="AR791">
        <f>IF(SUM(ifood_data[[#This Row],[Kidhome]:[Teenhome]])&gt;0,1,0)</f>
        <v>1</v>
      </c>
      <c r="AS791" t="str">
        <f>IF(SUM(ifood_data[[#This Row],[Kidhome]:[Teenhome]])&gt;0,"Has Family","No Family")</f>
        <v>Has Family</v>
      </c>
      <c r="AT791" t="str">
        <f>IF(ifood_data[[#This Row],[marital_Married]]=1,"Married", (IF(ifood_data[[#This Row],[marital_Single]]=1,"Single",(IF(ifood_data[[#This Row],[marital_Divorced]]=1,"Divorced",(IF(ifood_data[[#This Row],[marital_Together]]=1,"Living Together",(IF(ifood_data[[#This Row],[marital_Widow]]=1,"Widow","Other")))))))))</f>
        <v>Married</v>
      </c>
      <c r="AU791" t="str">
        <f>IF(ifood_data[[#This Row],[education_Basic]]=1,"High School",(IF(ifood_data[[#This Row],[education_Graduation]]=1,"Undergraduate Degree",(IF(SUM(AM791,AL791,AI791)&gt;0,"Master's Degree or Higher","Other")))))</f>
        <v>Undergraduate Degree</v>
      </c>
      <c r="AV791" t="str">
        <f>IF(ifood_data[[#All],[Income]]&gt;75000,"75K+",(IF(ifood_data[[#All],[Income]]&gt;50000,"50K-75K",(IF(ifood_data[[#All],[Income]]&gt;35000,"35K-50K","&lt;35K")))))</f>
        <v>50K-75K</v>
      </c>
      <c r="AW791" t="str">
        <f>IF(ifood_data[[#All],[Age]]&gt;60,"60+",(IF(ifood_data[[#All],[Age]]&gt;50,"50-60",(IF(ifood_data[[#All],[Age]]&gt;40,"40-50",(IF(ifood_data[[#All],[Age]]&gt;30,"30-40","&lt;30")))))))</f>
        <v>60+</v>
      </c>
      <c r="AX791">
        <f t="shared" si="48"/>
        <v>21</v>
      </c>
      <c r="AY791">
        <f t="shared" si="49"/>
        <v>3.0000000000000004</v>
      </c>
      <c r="AZ791">
        <f t="shared" si="50"/>
        <v>5</v>
      </c>
      <c r="BA791">
        <f t="shared" si="51"/>
        <v>5</v>
      </c>
      <c r="BB791">
        <f>SUM(ifood_data[[#This Row],[Recency Score]:[Monetary Score]])</f>
        <v>13</v>
      </c>
      <c r="BC791">
        <f>(_xlfn.PERCENTRANK.INC(ifood_data[[#All],[RFM]],ifood_data[[#This Row],[RFM]],1))*10</f>
        <v>3</v>
      </c>
      <c r="BD791" t="str">
        <f>VLOOKUP(ifood_data[[#This Row],[RFM Score]],'RFM Analysis'!$A$3:$B$14,2,FALSE)</f>
        <v>At Risk</v>
      </c>
      <c r="BE791">
        <f>'Regression Models'!$B$101+'Regression Models'!$B$102*ifood_data[[#This Row],[Income]]+'Regression Models'!$B$103*ifood_data[[#This Row],[Age]]+'Regression Models'!$B$104*ifood_data[[#This Row],[Family]]</f>
        <v>657.93316388370158</v>
      </c>
      <c r="BF791" t="str">
        <f>IF(ifood_data[[#This Row],[AcceptedCmpOverall]]=1,"Campaign Respondent","Non-respondent")</f>
        <v>Campaign Respondent</v>
      </c>
    </row>
    <row r="792" spans="1:58" x14ac:dyDescent="0.35">
      <c r="A792">
        <v>1914</v>
      </c>
      <c r="B792">
        <v>44953</v>
      </c>
      <c r="C792">
        <v>0</v>
      </c>
      <c r="D792">
        <v>0</v>
      </c>
      <c r="E792">
        <v>31</v>
      </c>
      <c r="F792">
        <v>728</v>
      </c>
      <c r="G792">
        <v>17</v>
      </c>
      <c r="H792">
        <v>133</v>
      </c>
      <c r="I792">
        <v>11</v>
      </c>
      <c r="J792">
        <v>8</v>
      </c>
      <c r="K792">
        <v>124</v>
      </c>
      <c r="L792">
        <v>1</v>
      </c>
      <c r="M792">
        <v>7</v>
      </c>
      <c r="N792">
        <v>3</v>
      </c>
      <c r="O792">
        <v>13</v>
      </c>
      <c r="P792">
        <v>6</v>
      </c>
      <c r="Q792">
        <v>0</v>
      </c>
      <c r="R792">
        <v>0</v>
      </c>
      <c r="S792">
        <v>1</v>
      </c>
      <c r="T792">
        <v>0</v>
      </c>
      <c r="U792">
        <v>0</v>
      </c>
      <c r="V792">
        <f>IF(SUM(ifood_data[[#This Row],[AcceptedCmp1]:[AcceptedCmp5]])&gt;0,1,0)</f>
        <v>1</v>
      </c>
      <c r="W792">
        <v>0</v>
      </c>
      <c r="X792">
        <v>3</v>
      </c>
      <c r="Y792">
        <v>11</v>
      </c>
      <c r="Z792">
        <v>0</v>
      </c>
      <c r="AA792">
        <v>39</v>
      </c>
      <c r="AB792">
        <v>2714</v>
      </c>
      <c r="AC792" s="28">
        <f>ifood_data[[#This Row],[Customer_Days]]/365</f>
        <v>7.4356164383561643</v>
      </c>
      <c r="AD792">
        <v>0</v>
      </c>
      <c r="AE792">
        <v>0</v>
      </c>
      <c r="AF792">
        <v>0</v>
      </c>
      <c r="AG792">
        <v>1</v>
      </c>
      <c r="AH792">
        <v>0</v>
      </c>
      <c r="AI792">
        <v>0</v>
      </c>
      <c r="AJ792">
        <v>0</v>
      </c>
      <c r="AK792">
        <v>0</v>
      </c>
      <c r="AL792">
        <v>0</v>
      </c>
      <c r="AM792">
        <v>1</v>
      </c>
      <c r="AN792">
        <v>897</v>
      </c>
      <c r="AO792">
        <v>773</v>
      </c>
      <c r="AP792">
        <f>ifood_data[[#This Row],[MntTotal]]-ifood_data[[#This Row],[MntRegularProds]]</f>
        <v>124</v>
      </c>
      <c r="AQ792">
        <v>1</v>
      </c>
      <c r="AR792">
        <f>IF(SUM(ifood_data[[#This Row],[Kidhome]:[Teenhome]])&gt;0,1,0)</f>
        <v>0</v>
      </c>
      <c r="AS792" t="str">
        <f>IF(SUM(ifood_data[[#This Row],[Kidhome]:[Teenhome]])&gt;0,"Has Family","No Family")</f>
        <v>No Family</v>
      </c>
      <c r="AT792" t="str">
        <f>IF(ifood_data[[#This Row],[marital_Married]]=1,"Married", (IF(ifood_data[[#This Row],[marital_Single]]=1,"Single",(IF(ifood_data[[#This Row],[marital_Divorced]]=1,"Divorced",(IF(ifood_data[[#This Row],[marital_Together]]=1,"Living Together",(IF(ifood_data[[#This Row],[marital_Widow]]=1,"Widow","Other")))))))))</f>
        <v>Living Together</v>
      </c>
      <c r="AU792" t="str">
        <f>IF(ifood_data[[#This Row],[education_Basic]]=1,"High School",(IF(ifood_data[[#This Row],[education_Graduation]]=1,"Undergraduate Degree",(IF(SUM(AM792,AL792,AI792)&gt;0,"Master's Degree or Higher","Other")))))</f>
        <v>Master's Degree or Higher</v>
      </c>
      <c r="AV792" t="str">
        <f>IF(ifood_data[[#All],[Income]]&gt;75000,"75K+",(IF(ifood_data[[#All],[Income]]&gt;50000,"50K-75K",(IF(ifood_data[[#All],[Income]]&gt;35000,"35K-50K","&lt;35K")))))</f>
        <v>35K-50K</v>
      </c>
      <c r="AW792" t="str">
        <f>IF(ifood_data[[#All],[Age]]&gt;60,"60+",(IF(ifood_data[[#All],[Age]]&gt;50,"50-60",(IF(ifood_data[[#All],[Age]]&gt;40,"40-50",(IF(ifood_data[[#All],[Age]]&gt;30,"30-40","&lt;30")))))))</f>
        <v>30-40</v>
      </c>
      <c r="AX792">
        <f t="shared" si="48"/>
        <v>30</v>
      </c>
      <c r="AY792">
        <f t="shared" si="49"/>
        <v>7</v>
      </c>
      <c r="AZ792">
        <f t="shared" si="50"/>
        <v>8</v>
      </c>
      <c r="BA792">
        <f t="shared" si="51"/>
        <v>7</v>
      </c>
      <c r="BB792">
        <f>SUM(ifood_data[[#This Row],[Recency Score]:[Monetary Score]])</f>
        <v>22</v>
      </c>
      <c r="BC792">
        <f>(_xlfn.PERCENTRANK.INC(ifood_data[[#All],[RFM]],ifood_data[[#This Row],[RFM]],1))*10</f>
        <v>8</v>
      </c>
      <c r="BD792" t="str">
        <f>VLOOKUP(ifood_data[[#This Row],[RFM Score]],'RFM Analysis'!$A$3:$B$14,2,FALSE)</f>
        <v>Loyal Customer</v>
      </c>
      <c r="BE792">
        <f>'Regression Models'!$B$101+'Regression Models'!$B$102*ifood_data[[#This Row],[Income]]+'Regression Models'!$B$103*ifood_data[[#This Row],[Age]]+'Regression Models'!$B$104*ifood_data[[#This Row],[Family]]</f>
        <v>657.09991402134358</v>
      </c>
      <c r="BF792" t="str">
        <f>IF(ifood_data[[#This Row],[AcceptedCmpOverall]]=1,"Campaign Respondent","Non-respondent")</f>
        <v>Campaign Respondent</v>
      </c>
    </row>
    <row r="793" spans="1:58" x14ac:dyDescent="0.35">
      <c r="A793">
        <v>436</v>
      </c>
      <c r="B793">
        <v>60597</v>
      </c>
      <c r="C793">
        <v>0</v>
      </c>
      <c r="D793">
        <v>1</v>
      </c>
      <c r="E793">
        <v>2</v>
      </c>
      <c r="F793">
        <v>522</v>
      </c>
      <c r="G793">
        <v>0</v>
      </c>
      <c r="H793">
        <v>257</v>
      </c>
      <c r="I793">
        <v>32</v>
      </c>
      <c r="J793">
        <v>16</v>
      </c>
      <c r="K793">
        <v>66</v>
      </c>
      <c r="L793">
        <v>4</v>
      </c>
      <c r="M793">
        <v>2</v>
      </c>
      <c r="N793">
        <v>2</v>
      </c>
      <c r="O793">
        <v>8</v>
      </c>
      <c r="P793">
        <v>7</v>
      </c>
      <c r="Q793">
        <v>1</v>
      </c>
      <c r="R793">
        <v>0</v>
      </c>
      <c r="S793">
        <v>0</v>
      </c>
      <c r="T793">
        <v>0</v>
      </c>
      <c r="U793">
        <v>0</v>
      </c>
      <c r="V793">
        <f>IF(SUM(ifood_data[[#This Row],[AcceptedCmp1]:[AcceptedCmp5]])&gt;0,1,0)</f>
        <v>1</v>
      </c>
      <c r="W793">
        <v>0</v>
      </c>
      <c r="X793">
        <v>3</v>
      </c>
      <c r="Y793">
        <v>11</v>
      </c>
      <c r="Z793">
        <v>1</v>
      </c>
      <c r="AA793">
        <v>56</v>
      </c>
      <c r="AB793">
        <v>2338</v>
      </c>
      <c r="AC793" s="28">
        <f>ifood_data[[#This Row],[Customer_Days]]/365</f>
        <v>6.4054794520547942</v>
      </c>
      <c r="AD793">
        <v>0</v>
      </c>
      <c r="AE793">
        <v>1</v>
      </c>
      <c r="AF793">
        <v>0</v>
      </c>
      <c r="AG793">
        <v>0</v>
      </c>
      <c r="AH793">
        <v>0</v>
      </c>
      <c r="AI793">
        <v>0</v>
      </c>
      <c r="AJ793">
        <v>0</v>
      </c>
      <c r="AK793">
        <v>1</v>
      </c>
      <c r="AL793">
        <v>0</v>
      </c>
      <c r="AM793">
        <v>0</v>
      </c>
      <c r="AN793">
        <v>827</v>
      </c>
      <c r="AO793">
        <v>761</v>
      </c>
      <c r="AP793">
        <f>ifood_data[[#This Row],[MntTotal]]-ifood_data[[#This Row],[MntRegularProds]]</f>
        <v>66</v>
      </c>
      <c r="AQ793">
        <v>1</v>
      </c>
      <c r="AR793">
        <f>IF(SUM(ifood_data[[#This Row],[Kidhome]:[Teenhome]])&gt;0,1,0)</f>
        <v>1</v>
      </c>
      <c r="AS793" t="str">
        <f>IF(SUM(ifood_data[[#This Row],[Kidhome]:[Teenhome]])&gt;0,"Has Family","No Family")</f>
        <v>Has Family</v>
      </c>
      <c r="AT793" t="str">
        <f>IF(ifood_data[[#This Row],[marital_Married]]=1,"Married", (IF(ifood_data[[#This Row],[marital_Single]]=1,"Single",(IF(ifood_data[[#This Row],[marital_Divorced]]=1,"Divorced",(IF(ifood_data[[#This Row],[marital_Together]]=1,"Living Together",(IF(ifood_data[[#This Row],[marital_Widow]]=1,"Widow","Other")))))))))</f>
        <v>Married</v>
      </c>
      <c r="AU793" t="str">
        <f>IF(ifood_data[[#This Row],[education_Basic]]=1,"High School",(IF(ifood_data[[#This Row],[education_Graduation]]=1,"Undergraduate Degree",(IF(SUM(AM793,AL793,AI793)&gt;0,"Master's Degree or Higher","Other")))))</f>
        <v>Undergraduate Degree</v>
      </c>
      <c r="AV793" t="str">
        <f>IF(ifood_data[[#All],[Income]]&gt;75000,"75K+",(IF(ifood_data[[#All],[Income]]&gt;50000,"50K-75K",(IF(ifood_data[[#All],[Income]]&gt;35000,"35K-50K","&lt;35K")))))</f>
        <v>50K-75K</v>
      </c>
      <c r="AW793" t="str">
        <f>IF(ifood_data[[#All],[Age]]&gt;60,"60+",(IF(ifood_data[[#All],[Age]]&gt;50,"50-60",(IF(ifood_data[[#All],[Age]]&gt;40,"40-50",(IF(ifood_data[[#All],[Age]]&gt;30,"30-40","&lt;30")))))))</f>
        <v>50-60</v>
      </c>
      <c r="AX793">
        <f t="shared" si="48"/>
        <v>23</v>
      </c>
      <c r="AY793">
        <f t="shared" si="49"/>
        <v>10</v>
      </c>
      <c r="AZ793">
        <f t="shared" si="50"/>
        <v>6</v>
      </c>
      <c r="BA793">
        <f t="shared" si="51"/>
        <v>6</v>
      </c>
      <c r="BB793">
        <f>SUM(ifood_data[[#This Row],[Recency Score]:[Monetary Score]])</f>
        <v>22</v>
      </c>
      <c r="BC793">
        <f>(_xlfn.PERCENTRANK.INC(ifood_data[[#All],[RFM]],ifood_data[[#This Row],[RFM]],1))*10</f>
        <v>8</v>
      </c>
      <c r="BD793" t="str">
        <f>VLOOKUP(ifood_data[[#This Row],[RFM Score]],'RFM Analysis'!$A$3:$B$14,2,FALSE)</f>
        <v>Loyal Customer</v>
      </c>
      <c r="BE793">
        <f>'Regression Models'!$B$101+'Regression Models'!$B$102*ifood_data[[#This Row],[Income]]+'Regression Models'!$B$103*ifood_data[[#This Row],[Age]]+'Regression Models'!$B$104*ifood_data[[#This Row],[Family]]</f>
        <v>655.22870745027967</v>
      </c>
      <c r="BF793" t="str">
        <f>IF(ifood_data[[#This Row],[AcceptedCmpOverall]]=1,"Campaign Respondent","Non-respondent")</f>
        <v>Campaign Respondent</v>
      </c>
    </row>
    <row r="794" spans="1:58" x14ac:dyDescent="0.35">
      <c r="A794">
        <v>1231</v>
      </c>
      <c r="B794">
        <v>59868</v>
      </c>
      <c r="C794">
        <v>0</v>
      </c>
      <c r="D794">
        <v>1</v>
      </c>
      <c r="E794">
        <v>37</v>
      </c>
      <c r="F794">
        <v>771</v>
      </c>
      <c r="G794">
        <v>51</v>
      </c>
      <c r="H794">
        <v>154</v>
      </c>
      <c r="I794">
        <v>54</v>
      </c>
      <c r="J794">
        <v>10</v>
      </c>
      <c r="K794">
        <v>154</v>
      </c>
      <c r="L794">
        <v>7</v>
      </c>
      <c r="M794">
        <v>11</v>
      </c>
      <c r="N794">
        <v>2</v>
      </c>
      <c r="O794">
        <v>12</v>
      </c>
      <c r="P794">
        <v>6</v>
      </c>
      <c r="Q794">
        <v>0</v>
      </c>
      <c r="R794">
        <v>0</v>
      </c>
      <c r="S794">
        <v>0</v>
      </c>
      <c r="T794">
        <v>0</v>
      </c>
      <c r="U794">
        <v>0</v>
      </c>
      <c r="V794">
        <f>IF(SUM(ifood_data[[#This Row],[AcceptedCmp1]:[AcceptedCmp5]])&gt;0,1,0)</f>
        <v>0</v>
      </c>
      <c r="W794">
        <v>0</v>
      </c>
      <c r="X794">
        <v>3</v>
      </c>
      <c r="Y794">
        <v>11</v>
      </c>
      <c r="Z794">
        <v>0</v>
      </c>
      <c r="AA794">
        <v>48</v>
      </c>
      <c r="AB794">
        <v>2501</v>
      </c>
      <c r="AC794" s="28">
        <f>ifood_data[[#This Row],[Customer_Days]]/365</f>
        <v>6.8520547945205479</v>
      </c>
      <c r="AD794">
        <v>0</v>
      </c>
      <c r="AE794">
        <v>0</v>
      </c>
      <c r="AF794">
        <v>0</v>
      </c>
      <c r="AG794">
        <v>1</v>
      </c>
      <c r="AH794">
        <v>0</v>
      </c>
      <c r="AI794">
        <v>0</v>
      </c>
      <c r="AJ794">
        <v>0</v>
      </c>
      <c r="AK794">
        <v>1</v>
      </c>
      <c r="AL794">
        <v>0</v>
      </c>
      <c r="AM794">
        <v>0</v>
      </c>
      <c r="AN794">
        <v>1040</v>
      </c>
      <c r="AO794">
        <v>886</v>
      </c>
      <c r="AP794">
        <f>ifood_data[[#This Row],[MntTotal]]-ifood_data[[#This Row],[MntRegularProds]]</f>
        <v>154</v>
      </c>
      <c r="AQ794">
        <v>0</v>
      </c>
      <c r="AR794">
        <f>IF(SUM(ifood_data[[#This Row],[Kidhome]:[Teenhome]])&gt;0,1,0)</f>
        <v>1</v>
      </c>
      <c r="AS794" t="str">
        <f>IF(SUM(ifood_data[[#This Row],[Kidhome]:[Teenhome]])&gt;0,"Has Family","No Family")</f>
        <v>Has Family</v>
      </c>
      <c r="AT794" t="str">
        <f>IF(ifood_data[[#This Row],[marital_Married]]=1,"Married", (IF(ifood_data[[#This Row],[marital_Single]]=1,"Single",(IF(ifood_data[[#This Row],[marital_Divorced]]=1,"Divorced",(IF(ifood_data[[#This Row],[marital_Together]]=1,"Living Together",(IF(ifood_data[[#This Row],[marital_Widow]]=1,"Widow","Other")))))))))</f>
        <v>Living Together</v>
      </c>
      <c r="AU794" t="str">
        <f>IF(ifood_data[[#This Row],[education_Basic]]=1,"High School",(IF(ifood_data[[#This Row],[education_Graduation]]=1,"Undergraduate Degree",(IF(SUM(AM794,AL794,AI794)&gt;0,"Master's Degree or Higher","Other")))))</f>
        <v>Undergraduate Degree</v>
      </c>
      <c r="AV794" t="str">
        <f>IF(ifood_data[[#All],[Income]]&gt;75000,"75K+",(IF(ifood_data[[#All],[Income]]&gt;50000,"50K-75K",(IF(ifood_data[[#All],[Income]]&gt;35000,"35K-50K","&lt;35K")))))</f>
        <v>50K-75K</v>
      </c>
      <c r="AW794" t="str">
        <f>IF(ifood_data[[#All],[Age]]&gt;60,"60+",(IF(ifood_data[[#All],[Age]]&gt;50,"50-60",(IF(ifood_data[[#All],[Age]]&gt;40,"40-50",(IF(ifood_data[[#All],[Age]]&gt;30,"30-40","&lt;30")))))))</f>
        <v>40-50</v>
      </c>
      <c r="AX794">
        <f t="shared" si="48"/>
        <v>38</v>
      </c>
      <c r="AY794">
        <f t="shared" si="49"/>
        <v>7</v>
      </c>
      <c r="AZ794">
        <f t="shared" si="50"/>
        <v>9</v>
      </c>
      <c r="BA794">
        <f t="shared" si="51"/>
        <v>7</v>
      </c>
      <c r="BB794">
        <f>SUM(ifood_data[[#This Row],[Recency Score]:[Monetary Score]])</f>
        <v>23</v>
      </c>
      <c r="BC794">
        <f>(_xlfn.PERCENTRANK.INC(ifood_data[[#All],[RFM]],ifood_data[[#This Row],[RFM]],1))*10</f>
        <v>8</v>
      </c>
      <c r="BD794" t="str">
        <f>VLOOKUP(ifood_data[[#This Row],[RFM Score]],'RFM Analysis'!$A$3:$B$14,2,FALSE)</f>
        <v>Loyal Customer</v>
      </c>
      <c r="BE794">
        <f>'Regression Models'!$B$101+'Regression Models'!$B$102*ifood_data[[#This Row],[Income]]+'Regression Models'!$B$103*ifood_data[[#This Row],[Age]]+'Regression Models'!$B$104*ifood_data[[#This Row],[Family]]</f>
        <v>655.05680810453168</v>
      </c>
      <c r="BF794" t="str">
        <f>IF(ifood_data[[#This Row],[AcceptedCmpOverall]]=1,"Campaign Respondent","Non-respondent")</f>
        <v>Non-respondent</v>
      </c>
    </row>
    <row r="795" spans="1:58" x14ac:dyDescent="0.35">
      <c r="A795">
        <v>229</v>
      </c>
      <c r="B795">
        <v>61074</v>
      </c>
      <c r="C795">
        <v>0</v>
      </c>
      <c r="D795">
        <v>1</v>
      </c>
      <c r="E795">
        <v>37</v>
      </c>
      <c r="F795">
        <v>789</v>
      </c>
      <c r="G795">
        <v>0</v>
      </c>
      <c r="H795">
        <v>133</v>
      </c>
      <c r="I795">
        <v>0</v>
      </c>
      <c r="J795">
        <v>28</v>
      </c>
      <c r="K795">
        <v>152</v>
      </c>
      <c r="L795">
        <v>7</v>
      </c>
      <c r="M795">
        <v>11</v>
      </c>
      <c r="N795">
        <v>5</v>
      </c>
      <c r="O795">
        <v>8</v>
      </c>
      <c r="P795">
        <v>7</v>
      </c>
      <c r="Q795">
        <v>0</v>
      </c>
      <c r="R795">
        <v>0</v>
      </c>
      <c r="S795">
        <v>0</v>
      </c>
      <c r="T795">
        <v>0</v>
      </c>
      <c r="U795">
        <v>0</v>
      </c>
      <c r="V795">
        <f>IF(SUM(ifood_data[[#This Row],[AcceptedCmp1]:[AcceptedCmp5]])&gt;0,1,0)</f>
        <v>0</v>
      </c>
      <c r="W795">
        <v>0</v>
      </c>
      <c r="X795">
        <v>3</v>
      </c>
      <c r="Y795">
        <v>11</v>
      </c>
      <c r="Z795">
        <v>0</v>
      </c>
      <c r="AA795">
        <v>62</v>
      </c>
      <c r="AB795">
        <v>2840</v>
      </c>
      <c r="AC795" s="28">
        <f>ifood_data[[#This Row],[Customer_Days]]/365</f>
        <v>7.7808219178082192</v>
      </c>
      <c r="AD795">
        <v>0</v>
      </c>
      <c r="AE795">
        <v>1</v>
      </c>
      <c r="AF795">
        <v>0</v>
      </c>
      <c r="AG795">
        <v>0</v>
      </c>
      <c r="AH795">
        <v>0</v>
      </c>
      <c r="AI795">
        <v>0</v>
      </c>
      <c r="AJ795">
        <v>0</v>
      </c>
      <c r="AK795">
        <v>1</v>
      </c>
      <c r="AL795">
        <v>0</v>
      </c>
      <c r="AM795">
        <v>0</v>
      </c>
      <c r="AN795">
        <v>950</v>
      </c>
      <c r="AO795">
        <v>798</v>
      </c>
      <c r="AP795">
        <f>ifood_data[[#This Row],[MntTotal]]-ifood_data[[#This Row],[MntRegularProds]]</f>
        <v>152</v>
      </c>
      <c r="AQ795">
        <v>0</v>
      </c>
      <c r="AR795">
        <f>IF(SUM(ifood_data[[#This Row],[Kidhome]:[Teenhome]])&gt;0,1,0)</f>
        <v>1</v>
      </c>
      <c r="AS795" t="str">
        <f>IF(SUM(ifood_data[[#This Row],[Kidhome]:[Teenhome]])&gt;0,"Has Family","No Family")</f>
        <v>Has Family</v>
      </c>
      <c r="AT795" t="str">
        <f>IF(ifood_data[[#This Row],[marital_Married]]=1,"Married", (IF(ifood_data[[#This Row],[marital_Single]]=1,"Single",(IF(ifood_data[[#This Row],[marital_Divorced]]=1,"Divorced",(IF(ifood_data[[#This Row],[marital_Together]]=1,"Living Together",(IF(ifood_data[[#This Row],[marital_Widow]]=1,"Widow","Other")))))))))</f>
        <v>Married</v>
      </c>
      <c r="AU795" t="str">
        <f>IF(ifood_data[[#This Row],[education_Basic]]=1,"High School",(IF(ifood_data[[#This Row],[education_Graduation]]=1,"Undergraduate Degree",(IF(SUM(AM795,AL795,AI795)&gt;0,"Master's Degree or Higher","Other")))))</f>
        <v>Undergraduate Degree</v>
      </c>
      <c r="AV795" t="str">
        <f>IF(ifood_data[[#All],[Income]]&gt;75000,"75K+",(IF(ifood_data[[#All],[Income]]&gt;50000,"50K-75K",(IF(ifood_data[[#All],[Income]]&gt;35000,"35K-50K","&lt;35K")))))</f>
        <v>50K-75K</v>
      </c>
      <c r="AW795" t="str">
        <f>IF(ifood_data[[#All],[Age]]&gt;60,"60+",(IF(ifood_data[[#All],[Age]]&gt;50,"50-60",(IF(ifood_data[[#All],[Age]]&gt;40,"40-50",(IF(ifood_data[[#All],[Age]]&gt;30,"30-40","&lt;30")))))))</f>
        <v>60+</v>
      </c>
      <c r="AX795">
        <f t="shared" si="48"/>
        <v>38</v>
      </c>
      <c r="AY795">
        <f t="shared" si="49"/>
        <v>7</v>
      </c>
      <c r="AZ795">
        <f t="shared" si="50"/>
        <v>9</v>
      </c>
      <c r="BA795">
        <f t="shared" si="51"/>
        <v>7</v>
      </c>
      <c r="BB795">
        <f>SUM(ifood_data[[#This Row],[Recency Score]:[Monetary Score]])</f>
        <v>23</v>
      </c>
      <c r="BC795">
        <f>(_xlfn.PERCENTRANK.INC(ifood_data[[#All],[RFM]],ifood_data[[#This Row],[RFM]],1))*10</f>
        <v>8</v>
      </c>
      <c r="BD795" t="str">
        <f>VLOOKUP(ifood_data[[#This Row],[RFM Score]],'RFM Analysis'!$A$3:$B$14,2,FALSE)</f>
        <v>Loyal Customer</v>
      </c>
      <c r="BE795">
        <f>'Regression Models'!$B$101+'Regression Models'!$B$102*ifood_data[[#This Row],[Income]]+'Regression Models'!$B$103*ifood_data[[#This Row],[Age]]+'Regression Models'!$B$104*ifood_data[[#This Row],[Family]]</f>
        <v>653.93551538155407</v>
      </c>
      <c r="BF795" t="str">
        <f>IF(ifood_data[[#This Row],[AcceptedCmpOverall]]=1,"Campaign Respondent","Non-respondent")</f>
        <v>Non-respondent</v>
      </c>
    </row>
    <row r="796" spans="1:58" x14ac:dyDescent="0.35">
      <c r="A796">
        <v>1619</v>
      </c>
      <c r="B796">
        <v>59481</v>
      </c>
      <c r="C796">
        <v>0</v>
      </c>
      <c r="D796">
        <v>1</v>
      </c>
      <c r="E796">
        <v>47</v>
      </c>
      <c r="F796">
        <v>178</v>
      </c>
      <c r="G796">
        <v>3</v>
      </c>
      <c r="H796">
        <v>85</v>
      </c>
      <c r="I796">
        <v>71</v>
      </c>
      <c r="J796">
        <v>66</v>
      </c>
      <c r="K796">
        <v>58</v>
      </c>
      <c r="L796">
        <v>2</v>
      </c>
      <c r="M796">
        <v>3</v>
      </c>
      <c r="N796">
        <v>3</v>
      </c>
      <c r="O796">
        <v>8</v>
      </c>
      <c r="P796">
        <v>2</v>
      </c>
      <c r="Q796">
        <v>0</v>
      </c>
      <c r="R796">
        <v>0</v>
      </c>
      <c r="S796">
        <v>0</v>
      </c>
      <c r="T796">
        <v>0</v>
      </c>
      <c r="U796">
        <v>0</v>
      </c>
      <c r="V796">
        <f>IF(SUM(ifood_data[[#This Row],[AcceptedCmp1]:[AcceptedCmp5]])&gt;0,1,0)</f>
        <v>0</v>
      </c>
      <c r="W796">
        <v>0</v>
      </c>
      <c r="X796">
        <v>3</v>
      </c>
      <c r="Y796">
        <v>11</v>
      </c>
      <c r="Z796">
        <v>0</v>
      </c>
      <c r="AA796">
        <v>45</v>
      </c>
      <c r="AB796">
        <v>2408</v>
      </c>
      <c r="AC796" s="28">
        <f>ifood_data[[#This Row],[Customer_Days]]/365</f>
        <v>6.5972602739726032</v>
      </c>
      <c r="AD796">
        <v>0</v>
      </c>
      <c r="AE796">
        <v>0</v>
      </c>
      <c r="AF796">
        <v>0</v>
      </c>
      <c r="AG796">
        <v>1</v>
      </c>
      <c r="AH796">
        <v>0</v>
      </c>
      <c r="AI796">
        <v>0</v>
      </c>
      <c r="AJ796">
        <v>0</v>
      </c>
      <c r="AK796">
        <v>1</v>
      </c>
      <c r="AL796">
        <v>0</v>
      </c>
      <c r="AM796">
        <v>0</v>
      </c>
      <c r="AN796">
        <v>403</v>
      </c>
      <c r="AO796">
        <v>345</v>
      </c>
      <c r="AP796">
        <f>ifood_data[[#This Row],[MntTotal]]-ifood_data[[#This Row],[MntRegularProds]]</f>
        <v>58</v>
      </c>
      <c r="AQ796">
        <v>0</v>
      </c>
      <c r="AR796">
        <f>IF(SUM(ifood_data[[#This Row],[Kidhome]:[Teenhome]])&gt;0,1,0)</f>
        <v>1</v>
      </c>
      <c r="AS796" t="str">
        <f>IF(SUM(ifood_data[[#This Row],[Kidhome]:[Teenhome]])&gt;0,"Has Family","No Family")</f>
        <v>Has Family</v>
      </c>
      <c r="AT796" t="str">
        <f>IF(ifood_data[[#This Row],[marital_Married]]=1,"Married", (IF(ifood_data[[#This Row],[marital_Single]]=1,"Single",(IF(ifood_data[[#This Row],[marital_Divorced]]=1,"Divorced",(IF(ifood_data[[#This Row],[marital_Together]]=1,"Living Together",(IF(ifood_data[[#This Row],[marital_Widow]]=1,"Widow","Other")))))))))</f>
        <v>Living Together</v>
      </c>
      <c r="AU796" t="str">
        <f>IF(ifood_data[[#This Row],[education_Basic]]=1,"High School",(IF(ifood_data[[#This Row],[education_Graduation]]=1,"Undergraduate Degree",(IF(SUM(AM796,AL796,AI796)&gt;0,"Master's Degree or Higher","Other")))))</f>
        <v>Undergraduate Degree</v>
      </c>
      <c r="AV796" t="str">
        <f>IF(ifood_data[[#All],[Income]]&gt;75000,"75K+",(IF(ifood_data[[#All],[Income]]&gt;50000,"50K-75K",(IF(ifood_data[[#All],[Income]]&gt;35000,"35K-50K","&lt;35K")))))</f>
        <v>50K-75K</v>
      </c>
      <c r="AW796" t="str">
        <f>IF(ifood_data[[#All],[Age]]&gt;60,"60+",(IF(ifood_data[[#All],[Age]]&gt;50,"50-60",(IF(ifood_data[[#All],[Age]]&gt;40,"40-50",(IF(ifood_data[[#All],[Age]]&gt;30,"30-40","&lt;30")))))))</f>
        <v>40-50</v>
      </c>
      <c r="AX796">
        <f t="shared" si="48"/>
        <v>18</v>
      </c>
      <c r="AY796">
        <f t="shared" si="49"/>
        <v>6</v>
      </c>
      <c r="AZ796">
        <f t="shared" si="50"/>
        <v>4</v>
      </c>
      <c r="BA796">
        <f t="shared" si="51"/>
        <v>5</v>
      </c>
      <c r="BB796">
        <f>SUM(ifood_data[[#This Row],[Recency Score]:[Monetary Score]])</f>
        <v>15</v>
      </c>
      <c r="BC796">
        <f>(_xlfn.PERCENTRANK.INC(ifood_data[[#All],[RFM]],ifood_data[[#This Row],[RFM]],1))*10</f>
        <v>4</v>
      </c>
      <c r="BD796" t="str">
        <f>VLOOKUP(ifood_data[[#This Row],[RFM Score]],'RFM Analysis'!$A$3:$B$14,2,FALSE)</f>
        <v>At Risk</v>
      </c>
      <c r="BE796">
        <f>'Regression Models'!$B$101+'Regression Models'!$B$102*ifood_data[[#This Row],[Income]]+'Regression Models'!$B$103*ifood_data[[#This Row],[Age]]+'Regression Models'!$B$104*ifood_data[[#This Row],[Family]]</f>
        <v>652.67567206952572</v>
      </c>
      <c r="BF796" t="str">
        <f>IF(ifood_data[[#This Row],[AcceptedCmpOverall]]=1,"Campaign Respondent","Non-respondent")</f>
        <v>Non-respondent</v>
      </c>
    </row>
    <row r="797" spans="1:58" x14ac:dyDescent="0.35">
      <c r="A797">
        <v>1373</v>
      </c>
      <c r="B797">
        <v>59892</v>
      </c>
      <c r="C797">
        <v>0</v>
      </c>
      <c r="D797">
        <v>1</v>
      </c>
      <c r="E797">
        <v>26</v>
      </c>
      <c r="F797">
        <v>73</v>
      </c>
      <c r="G797">
        <v>0</v>
      </c>
      <c r="H797">
        <v>13</v>
      </c>
      <c r="I797">
        <v>0</v>
      </c>
      <c r="J797">
        <v>1</v>
      </c>
      <c r="K797">
        <v>0</v>
      </c>
      <c r="L797">
        <v>1</v>
      </c>
      <c r="M797">
        <v>2</v>
      </c>
      <c r="N797">
        <v>1</v>
      </c>
      <c r="O797">
        <v>3</v>
      </c>
      <c r="P797">
        <v>3</v>
      </c>
      <c r="Q797">
        <v>0</v>
      </c>
      <c r="R797">
        <v>0</v>
      </c>
      <c r="S797">
        <v>0</v>
      </c>
      <c r="T797">
        <v>0</v>
      </c>
      <c r="U797">
        <v>0</v>
      </c>
      <c r="V797">
        <f>IF(SUM(ifood_data[[#This Row],[AcceptedCmp1]:[AcceptedCmp5]])&gt;0,1,0)</f>
        <v>0</v>
      </c>
      <c r="W797">
        <v>0</v>
      </c>
      <c r="X797">
        <v>3</v>
      </c>
      <c r="Y797">
        <v>11</v>
      </c>
      <c r="Z797">
        <v>0</v>
      </c>
      <c r="AA797">
        <v>50</v>
      </c>
      <c r="AB797">
        <v>2398</v>
      </c>
      <c r="AC797" s="28">
        <f>ifood_data[[#This Row],[Customer_Days]]/365</f>
        <v>6.5698630136986305</v>
      </c>
      <c r="AD797">
        <v>0</v>
      </c>
      <c r="AE797">
        <v>1</v>
      </c>
      <c r="AF797">
        <v>0</v>
      </c>
      <c r="AG797">
        <v>0</v>
      </c>
      <c r="AH797">
        <v>0</v>
      </c>
      <c r="AI797">
        <v>0</v>
      </c>
      <c r="AJ797">
        <v>0</v>
      </c>
      <c r="AK797">
        <v>0</v>
      </c>
      <c r="AL797">
        <v>0</v>
      </c>
      <c r="AM797">
        <v>1</v>
      </c>
      <c r="AN797">
        <v>87</v>
      </c>
      <c r="AO797">
        <v>87</v>
      </c>
      <c r="AP797">
        <f>ifood_data[[#This Row],[MntTotal]]-ifood_data[[#This Row],[MntRegularProds]]</f>
        <v>0</v>
      </c>
      <c r="AQ797">
        <v>0</v>
      </c>
      <c r="AR797">
        <f>IF(SUM(ifood_data[[#This Row],[Kidhome]:[Teenhome]])&gt;0,1,0)</f>
        <v>1</v>
      </c>
      <c r="AS797" t="str">
        <f>IF(SUM(ifood_data[[#This Row],[Kidhome]:[Teenhome]])&gt;0,"Has Family","No Family")</f>
        <v>Has Family</v>
      </c>
      <c r="AT797" t="str">
        <f>IF(ifood_data[[#This Row],[marital_Married]]=1,"Married", (IF(ifood_data[[#This Row],[marital_Single]]=1,"Single",(IF(ifood_data[[#This Row],[marital_Divorced]]=1,"Divorced",(IF(ifood_data[[#This Row],[marital_Together]]=1,"Living Together",(IF(ifood_data[[#This Row],[marital_Widow]]=1,"Widow","Other")))))))))</f>
        <v>Married</v>
      </c>
      <c r="AU797" t="str">
        <f>IF(ifood_data[[#This Row],[education_Basic]]=1,"High School",(IF(ifood_data[[#This Row],[education_Graduation]]=1,"Undergraduate Degree",(IF(SUM(AM797,AL797,AI797)&gt;0,"Master's Degree or Higher","Other")))))</f>
        <v>Master's Degree or Higher</v>
      </c>
      <c r="AV797" t="str">
        <f>IF(ifood_data[[#All],[Income]]&gt;75000,"75K+",(IF(ifood_data[[#All],[Income]]&gt;50000,"50K-75K",(IF(ifood_data[[#All],[Income]]&gt;35000,"35K-50K","&lt;35K")))))</f>
        <v>50K-75K</v>
      </c>
      <c r="AW797" t="str">
        <f>IF(ifood_data[[#All],[Age]]&gt;60,"60+",(IF(ifood_data[[#All],[Age]]&gt;50,"50-60",(IF(ifood_data[[#All],[Age]]&gt;40,"40-50",(IF(ifood_data[[#All],[Age]]&gt;30,"30-40","&lt;30")))))))</f>
        <v>40-50</v>
      </c>
      <c r="AX797">
        <f t="shared" si="48"/>
        <v>10</v>
      </c>
      <c r="AY797">
        <f t="shared" si="49"/>
        <v>8</v>
      </c>
      <c r="AZ797">
        <f t="shared" si="50"/>
        <v>0</v>
      </c>
      <c r="BA797">
        <f t="shared" si="51"/>
        <v>3</v>
      </c>
      <c r="BB797">
        <f>SUM(ifood_data[[#This Row],[Recency Score]:[Monetary Score]])</f>
        <v>11</v>
      </c>
      <c r="BC797">
        <f>(_xlfn.PERCENTRANK.INC(ifood_data[[#All],[RFM]],ifood_data[[#This Row],[RFM]],1))*10</f>
        <v>2</v>
      </c>
      <c r="BD797" t="str">
        <f>VLOOKUP(ifood_data[[#This Row],[RFM Score]],'RFM Analysis'!$A$3:$B$14,2,FALSE)</f>
        <v>At Risk</v>
      </c>
      <c r="BE797">
        <f>'Regression Models'!$B$101+'Regression Models'!$B$102*ifood_data[[#This Row],[Income]]+'Regression Models'!$B$103*ifood_data[[#This Row],[Age]]+'Regression Models'!$B$104*ifood_data[[#This Row],[Family]]</f>
        <v>651.8732603821968</v>
      </c>
      <c r="BF797" t="str">
        <f>IF(ifood_data[[#This Row],[AcceptedCmpOverall]]=1,"Campaign Respondent","Non-respondent")</f>
        <v>Non-respondent</v>
      </c>
    </row>
    <row r="798" spans="1:58" x14ac:dyDescent="0.35">
      <c r="A798">
        <v>766</v>
      </c>
      <c r="B798">
        <v>59666</v>
      </c>
      <c r="C798">
        <v>1</v>
      </c>
      <c r="D798">
        <v>1</v>
      </c>
      <c r="E798">
        <v>87</v>
      </c>
      <c r="F798">
        <v>623</v>
      </c>
      <c r="G798">
        <v>53</v>
      </c>
      <c r="H798">
        <v>178</v>
      </c>
      <c r="I798">
        <v>23</v>
      </c>
      <c r="J798">
        <v>17</v>
      </c>
      <c r="K798">
        <v>133</v>
      </c>
      <c r="L798">
        <v>7</v>
      </c>
      <c r="M798">
        <v>3</v>
      </c>
      <c r="N798">
        <v>2</v>
      </c>
      <c r="O798">
        <v>8</v>
      </c>
      <c r="P798">
        <v>8</v>
      </c>
      <c r="Q798">
        <v>0</v>
      </c>
      <c r="R798">
        <v>0</v>
      </c>
      <c r="S798">
        <v>0</v>
      </c>
      <c r="T798">
        <v>1</v>
      </c>
      <c r="U798">
        <v>0</v>
      </c>
      <c r="V798">
        <f>IF(SUM(ifood_data[[#This Row],[AcceptedCmp1]:[AcceptedCmp5]])&gt;0,1,0)</f>
        <v>1</v>
      </c>
      <c r="W798">
        <v>0</v>
      </c>
      <c r="X798">
        <v>3</v>
      </c>
      <c r="Y798">
        <v>11</v>
      </c>
      <c r="Z798">
        <v>0</v>
      </c>
      <c r="AA798">
        <v>48</v>
      </c>
      <c r="AB798">
        <v>2623</v>
      </c>
      <c r="AC798" s="28">
        <f>ifood_data[[#This Row],[Customer_Days]]/365</f>
        <v>7.1863013698630134</v>
      </c>
      <c r="AD798">
        <v>0</v>
      </c>
      <c r="AE798">
        <v>1</v>
      </c>
      <c r="AF798">
        <v>0</v>
      </c>
      <c r="AG798">
        <v>0</v>
      </c>
      <c r="AH798">
        <v>0</v>
      </c>
      <c r="AI798">
        <v>0</v>
      </c>
      <c r="AJ798">
        <v>0</v>
      </c>
      <c r="AK798">
        <v>1</v>
      </c>
      <c r="AL798">
        <v>0</v>
      </c>
      <c r="AM798">
        <v>0</v>
      </c>
      <c r="AN798">
        <v>894</v>
      </c>
      <c r="AO798">
        <v>761</v>
      </c>
      <c r="AP798">
        <f>ifood_data[[#This Row],[MntTotal]]-ifood_data[[#This Row],[MntRegularProds]]</f>
        <v>133</v>
      </c>
      <c r="AQ798">
        <v>1</v>
      </c>
      <c r="AR798">
        <f>IF(SUM(ifood_data[[#This Row],[Kidhome]:[Teenhome]])&gt;0,1,0)</f>
        <v>1</v>
      </c>
      <c r="AS798" t="str">
        <f>IF(SUM(ifood_data[[#This Row],[Kidhome]:[Teenhome]])&gt;0,"Has Family","No Family")</f>
        <v>Has Family</v>
      </c>
      <c r="AT798" t="str">
        <f>IF(ifood_data[[#This Row],[marital_Married]]=1,"Married", (IF(ifood_data[[#This Row],[marital_Single]]=1,"Single",(IF(ifood_data[[#This Row],[marital_Divorced]]=1,"Divorced",(IF(ifood_data[[#This Row],[marital_Together]]=1,"Living Together",(IF(ifood_data[[#This Row],[marital_Widow]]=1,"Widow","Other")))))))))</f>
        <v>Married</v>
      </c>
      <c r="AU798" t="str">
        <f>IF(ifood_data[[#This Row],[education_Basic]]=1,"High School",(IF(ifood_data[[#This Row],[education_Graduation]]=1,"Undergraduate Degree",(IF(SUM(AM798,AL798,AI798)&gt;0,"Master's Degree or Higher","Other")))))</f>
        <v>Undergraduate Degree</v>
      </c>
      <c r="AV798" t="str">
        <f>IF(ifood_data[[#All],[Income]]&gt;75000,"75K+",(IF(ifood_data[[#All],[Income]]&gt;50000,"50K-75K",(IF(ifood_data[[#All],[Income]]&gt;35000,"35K-50K","&lt;35K")))))</f>
        <v>50K-75K</v>
      </c>
      <c r="AW798" t="str">
        <f>IF(ifood_data[[#All],[Age]]&gt;60,"60+",(IF(ifood_data[[#All],[Age]]&gt;50,"50-60",(IF(ifood_data[[#All],[Age]]&gt;40,"40-50",(IF(ifood_data[[#All],[Age]]&gt;30,"30-40","&lt;30")))))))</f>
        <v>40-50</v>
      </c>
      <c r="AX798">
        <f t="shared" si="48"/>
        <v>28</v>
      </c>
      <c r="AY798">
        <f t="shared" si="49"/>
        <v>1.9999999999999996</v>
      </c>
      <c r="AZ798">
        <f t="shared" si="50"/>
        <v>8</v>
      </c>
      <c r="BA798">
        <f t="shared" si="51"/>
        <v>7</v>
      </c>
      <c r="BB798">
        <f>SUM(ifood_data[[#This Row],[Recency Score]:[Monetary Score]])</f>
        <v>17</v>
      </c>
      <c r="BC798">
        <f>(_xlfn.PERCENTRANK.INC(ifood_data[[#All],[RFM]],ifood_data[[#This Row],[RFM]],1))*10</f>
        <v>6</v>
      </c>
      <c r="BD798" t="str">
        <f>VLOOKUP(ifood_data[[#This Row],[RFM Score]],'RFM Analysis'!$A$3:$B$14,2,FALSE)</f>
        <v>Promising</v>
      </c>
      <c r="BE798">
        <f>'Regression Models'!$B$101+'Regression Models'!$B$102*ifood_data[[#This Row],[Income]]+'Regression Models'!$B$103*ifood_data[[#This Row],[Age]]+'Regression Models'!$B$104*ifood_data[[#This Row],[Family]]</f>
        <v>650.93827693946423</v>
      </c>
      <c r="BF798" t="str">
        <f>IF(ifood_data[[#This Row],[AcceptedCmpOverall]]=1,"Campaign Respondent","Non-respondent")</f>
        <v>Campaign Respondent</v>
      </c>
    </row>
    <row r="799" spans="1:58" x14ac:dyDescent="0.35">
      <c r="A799">
        <v>623</v>
      </c>
      <c r="B799">
        <v>61278</v>
      </c>
      <c r="C799">
        <v>0</v>
      </c>
      <c r="D799">
        <v>1</v>
      </c>
      <c r="E799">
        <v>87</v>
      </c>
      <c r="F799">
        <v>111</v>
      </c>
      <c r="G799">
        <v>3</v>
      </c>
      <c r="H799">
        <v>28</v>
      </c>
      <c r="I799">
        <v>2</v>
      </c>
      <c r="J799">
        <v>6</v>
      </c>
      <c r="K799">
        <v>15</v>
      </c>
      <c r="L799">
        <v>2</v>
      </c>
      <c r="M799">
        <v>3</v>
      </c>
      <c r="N799">
        <v>1</v>
      </c>
      <c r="O799">
        <v>4</v>
      </c>
      <c r="P799">
        <v>6</v>
      </c>
      <c r="Q799">
        <v>0</v>
      </c>
      <c r="R799">
        <v>0</v>
      </c>
      <c r="S799">
        <v>0</v>
      </c>
      <c r="T799">
        <v>0</v>
      </c>
      <c r="U799">
        <v>0</v>
      </c>
      <c r="V799">
        <f>IF(SUM(ifood_data[[#This Row],[AcceptedCmp1]:[AcceptedCmp5]])&gt;0,1,0)</f>
        <v>0</v>
      </c>
      <c r="W799">
        <v>0</v>
      </c>
      <c r="X799">
        <v>3</v>
      </c>
      <c r="Y799">
        <v>11</v>
      </c>
      <c r="Z799">
        <v>0</v>
      </c>
      <c r="AA799">
        <v>67</v>
      </c>
      <c r="AB799">
        <v>2335</v>
      </c>
      <c r="AC799" s="28">
        <f>ifood_data[[#This Row],[Customer_Days]]/365</f>
        <v>6.397260273972603</v>
      </c>
      <c r="AD799">
        <v>0</v>
      </c>
      <c r="AE799">
        <v>0</v>
      </c>
      <c r="AF799">
        <v>0</v>
      </c>
      <c r="AG799">
        <v>1</v>
      </c>
      <c r="AH799">
        <v>0</v>
      </c>
      <c r="AI799">
        <v>0</v>
      </c>
      <c r="AJ799">
        <v>0</v>
      </c>
      <c r="AK799">
        <v>1</v>
      </c>
      <c r="AL799">
        <v>0</v>
      </c>
      <c r="AM799">
        <v>0</v>
      </c>
      <c r="AN799">
        <v>150</v>
      </c>
      <c r="AO799">
        <v>135</v>
      </c>
      <c r="AP799">
        <f>ifood_data[[#This Row],[MntTotal]]-ifood_data[[#This Row],[MntRegularProds]]</f>
        <v>15</v>
      </c>
      <c r="AQ799">
        <v>0</v>
      </c>
      <c r="AR799">
        <f>IF(SUM(ifood_data[[#This Row],[Kidhome]:[Teenhome]])&gt;0,1,0)</f>
        <v>1</v>
      </c>
      <c r="AS799" t="str">
        <f>IF(SUM(ifood_data[[#This Row],[Kidhome]:[Teenhome]])&gt;0,"Has Family","No Family")</f>
        <v>Has Family</v>
      </c>
      <c r="AT799" t="str">
        <f>IF(ifood_data[[#This Row],[marital_Married]]=1,"Married", (IF(ifood_data[[#This Row],[marital_Single]]=1,"Single",(IF(ifood_data[[#This Row],[marital_Divorced]]=1,"Divorced",(IF(ifood_data[[#This Row],[marital_Together]]=1,"Living Together",(IF(ifood_data[[#This Row],[marital_Widow]]=1,"Widow","Other")))))))))</f>
        <v>Living Together</v>
      </c>
      <c r="AU799" t="str">
        <f>IF(ifood_data[[#This Row],[education_Basic]]=1,"High School",(IF(ifood_data[[#This Row],[education_Graduation]]=1,"Undergraduate Degree",(IF(SUM(AM799,AL799,AI799)&gt;0,"Master's Degree or Higher","Other")))))</f>
        <v>Undergraduate Degree</v>
      </c>
      <c r="AV799" t="str">
        <f>IF(ifood_data[[#All],[Income]]&gt;75000,"75K+",(IF(ifood_data[[#All],[Income]]&gt;50000,"50K-75K",(IF(ifood_data[[#All],[Income]]&gt;35000,"35K-50K","&lt;35K")))))</f>
        <v>50K-75K</v>
      </c>
      <c r="AW799" t="str">
        <f>IF(ifood_data[[#All],[Age]]&gt;60,"60+",(IF(ifood_data[[#All],[Age]]&gt;50,"50-60",(IF(ifood_data[[#All],[Age]]&gt;40,"40-50",(IF(ifood_data[[#All],[Age]]&gt;30,"30-40","&lt;30")))))))</f>
        <v>60+</v>
      </c>
      <c r="AX799">
        <f t="shared" si="48"/>
        <v>16</v>
      </c>
      <c r="AY799">
        <f t="shared" si="49"/>
        <v>1.9999999999999996</v>
      </c>
      <c r="AZ799">
        <f t="shared" si="50"/>
        <v>3</v>
      </c>
      <c r="BA799">
        <f t="shared" si="51"/>
        <v>3</v>
      </c>
      <c r="BB799">
        <f>SUM(ifood_data[[#This Row],[Recency Score]:[Monetary Score]])</f>
        <v>8</v>
      </c>
      <c r="BC799">
        <f>(_xlfn.PERCENTRANK.INC(ifood_data[[#All],[RFM]],ifood_data[[#This Row],[RFM]],1))*10</f>
        <v>1</v>
      </c>
      <c r="BD799" t="str">
        <f>VLOOKUP(ifood_data[[#This Row],[RFM Score]],'RFM Analysis'!$A$3:$B$14,2,FALSE)</f>
        <v>At Risk</v>
      </c>
      <c r="BE799">
        <f>'Regression Models'!$B$101+'Regression Models'!$B$102*ifood_data[[#This Row],[Income]]+'Regression Models'!$B$103*ifood_data[[#This Row],[Age]]+'Regression Models'!$B$104*ifood_data[[#This Row],[Family]]</f>
        <v>648.91262868843796</v>
      </c>
      <c r="BF799" t="str">
        <f>IF(ifood_data[[#This Row],[AcceptedCmpOverall]]=1,"Campaign Respondent","Non-respondent")</f>
        <v>Non-respondent</v>
      </c>
    </row>
    <row r="800" spans="1:58" x14ac:dyDescent="0.35">
      <c r="A800">
        <v>1015</v>
      </c>
      <c r="B800">
        <v>46610</v>
      </c>
      <c r="C800">
        <v>0</v>
      </c>
      <c r="D800">
        <v>0</v>
      </c>
      <c r="E800">
        <v>4</v>
      </c>
      <c r="F800">
        <v>288</v>
      </c>
      <c r="G800">
        <v>10</v>
      </c>
      <c r="H800">
        <v>30</v>
      </c>
      <c r="I800">
        <v>4</v>
      </c>
      <c r="J800">
        <v>10</v>
      </c>
      <c r="K800">
        <v>125</v>
      </c>
      <c r="L800">
        <v>1</v>
      </c>
      <c r="M800">
        <v>6</v>
      </c>
      <c r="N800">
        <v>1</v>
      </c>
      <c r="O800">
        <v>6</v>
      </c>
      <c r="P800">
        <v>6</v>
      </c>
      <c r="Q800">
        <v>0</v>
      </c>
      <c r="R800">
        <v>0</v>
      </c>
      <c r="S800">
        <v>0</v>
      </c>
      <c r="T800">
        <v>0</v>
      </c>
      <c r="U800">
        <v>0</v>
      </c>
      <c r="V800">
        <f>IF(SUM(ifood_data[[#This Row],[AcceptedCmp1]:[AcceptedCmp5]])&gt;0,1,0)</f>
        <v>0</v>
      </c>
      <c r="W800">
        <v>0</v>
      </c>
      <c r="X800">
        <v>3</v>
      </c>
      <c r="Y800">
        <v>11</v>
      </c>
      <c r="Z800">
        <v>0</v>
      </c>
      <c r="AA800">
        <v>62</v>
      </c>
      <c r="AB800">
        <v>2505</v>
      </c>
      <c r="AC800" s="28">
        <f>ifood_data[[#This Row],[Customer_Days]]/365</f>
        <v>6.8630136986301373</v>
      </c>
      <c r="AD800">
        <v>0</v>
      </c>
      <c r="AE800">
        <v>0</v>
      </c>
      <c r="AF800">
        <v>0</v>
      </c>
      <c r="AG800">
        <v>1</v>
      </c>
      <c r="AH800">
        <v>0</v>
      </c>
      <c r="AI800">
        <v>0</v>
      </c>
      <c r="AJ800">
        <v>0</v>
      </c>
      <c r="AK800">
        <v>1</v>
      </c>
      <c r="AL800">
        <v>0</v>
      </c>
      <c r="AM800">
        <v>0</v>
      </c>
      <c r="AN800">
        <v>342</v>
      </c>
      <c r="AO800">
        <v>217</v>
      </c>
      <c r="AP800">
        <f>ifood_data[[#This Row],[MntTotal]]-ifood_data[[#This Row],[MntRegularProds]]</f>
        <v>125</v>
      </c>
      <c r="AQ800">
        <v>0</v>
      </c>
      <c r="AR800">
        <f>IF(SUM(ifood_data[[#This Row],[Kidhome]:[Teenhome]])&gt;0,1,0)</f>
        <v>0</v>
      </c>
      <c r="AS800" t="str">
        <f>IF(SUM(ifood_data[[#This Row],[Kidhome]:[Teenhome]])&gt;0,"Has Family","No Family")</f>
        <v>No Family</v>
      </c>
      <c r="AT800" t="str">
        <f>IF(ifood_data[[#This Row],[marital_Married]]=1,"Married", (IF(ifood_data[[#This Row],[marital_Single]]=1,"Single",(IF(ifood_data[[#This Row],[marital_Divorced]]=1,"Divorced",(IF(ifood_data[[#This Row],[marital_Together]]=1,"Living Together",(IF(ifood_data[[#This Row],[marital_Widow]]=1,"Widow","Other")))))))))</f>
        <v>Living Together</v>
      </c>
      <c r="AU800" t="str">
        <f>IF(ifood_data[[#This Row],[education_Basic]]=1,"High School",(IF(ifood_data[[#This Row],[education_Graduation]]=1,"Undergraduate Degree",(IF(SUM(AM800,AL800,AI800)&gt;0,"Master's Degree or Higher","Other")))))</f>
        <v>Undergraduate Degree</v>
      </c>
      <c r="AV800" t="str">
        <f>IF(ifood_data[[#All],[Income]]&gt;75000,"75K+",(IF(ifood_data[[#All],[Income]]&gt;50000,"50K-75K",(IF(ifood_data[[#All],[Income]]&gt;35000,"35K-50K","&lt;35K")))))</f>
        <v>35K-50K</v>
      </c>
      <c r="AW800" t="str">
        <f>IF(ifood_data[[#All],[Age]]&gt;60,"60+",(IF(ifood_data[[#All],[Age]]&gt;50,"50-60",(IF(ifood_data[[#All],[Age]]&gt;40,"40-50",(IF(ifood_data[[#All],[Age]]&gt;30,"30-40","&lt;30")))))))</f>
        <v>60+</v>
      </c>
      <c r="AX800">
        <f t="shared" si="48"/>
        <v>20</v>
      </c>
      <c r="AY800">
        <f t="shared" si="49"/>
        <v>10</v>
      </c>
      <c r="AZ800">
        <f t="shared" si="50"/>
        <v>4</v>
      </c>
      <c r="BA800">
        <f t="shared" si="51"/>
        <v>4</v>
      </c>
      <c r="BB800">
        <f>SUM(ifood_data[[#This Row],[Recency Score]:[Monetary Score]])</f>
        <v>18</v>
      </c>
      <c r="BC800">
        <f>(_xlfn.PERCENTRANK.INC(ifood_data[[#All],[RFM]],ifood_data[[#This Row],[RFM]],1))*10</f>
        <v>6</v>
      </c>
      <c r="BD800" t="str">
        <f>VLOOKUP(ifood_data[[#This Row],[RFM Score]],'RFM Analysis'!$A$3:$B$14,2,FALSE)</f>
        <v>Promising</v>
      </c>
      <c r="BE800">
        <f>'Regression Models'!$B$101+'Regression Models'!$B$102*ifood_data[[#This Row],[Income]]+'Regression Models'!$B$103*ifood_data[[#This Row],[Age]]+'Regression Models'!$B$104*ifood_data[[#This Row],[Family]]</f>
        <v>648.64600402121573</v>
      </c>
      <c r="BF800" t="str">
        <f>IF(ifood_data[[#This Row],[AcceptedCmpOverall]]=1,"Campaign Respondent","Non-respondent")</f>
        <v>Non-respondent</v>
      </c>
    </row>
    <row r="801" spans="1:58" x14ac:dyDescent="0.35">
      <c r="A801">
        <v>1309</v>
      </c>
      <c r="B801">
        <v>60544</v>
      </c>
      <c r="C801">
        <v>1</v>
      </c>
      <c r="D801">
        <v>1</v>
      </c>
      <c r="E801">
        <v>92</v>
      </c>
      <c r="F801">
        <v>201</v>
      </c>
      <c r="G801">
        <v>2</v>
      </c>
      <c r="H801">
        <v>43</v>
      </c>
      <c r="I801">
        <v>3</v>
      </c>
      <c r="J801">
        <v>5</v>
      </c>
      <c r="K801">
        <v>35</v>
      </c>
      <c r="L801">
        <v>4</v>
      </c>
      <c r="M801">
        <v>5</v>
      </c>
      <c r="N801">
        <v>1</v>
      </c>
      <c r="O801">
        <v>5</v>
      </c>
      <c r="P801">
        <v>6</v>
      </c>
      <c r="Q801">
        <v>0</v>
      </c>
      <c r="R801">
        <v>0</v>
      </c>
      <c r="S801">
        <v>0</v>
      </c>
      <c r="T801">
        <v>0</v>
      </c>
      <c r="U801">
        <v>0</v>
      </c>
      <c r="V801">
        <f>IF(SUM(ifood_data[[#This Row],[AcceptedCmp1]:[AcceptedCmp5]])&gt;0,1,0)</f>
        <v>0</v>
      </c>
      <c r="W801">
        <v>0</v>
      </c>
      <c r="X801">
        <v>3</v>
      </c>
      <c r="Y801">
        <v>11</v>
      </c>
      <c r="Z801">
        <v>0</v>
      </c>
      <c r="AA801">
        <v>59</v>
      </c>
      <c r="AB801">
        <v>2832</v>
      </c>
      <c r="AC801" s="28">
        <f>ifood_data[[#This Row],[Customer_Days]]/365</f>
        <v>7.7589041095890412</v>
      </c>
      <c r="AD801">
        <v>0</v>
      </c>
      <c r="AE801">
        <v>1</v>
      </c>
      <c r="AF801">
        <v>0</v>
      </c>
      <c r="AG801">
        <v>0</v>
      </c>
      <c r="AH801">
        <v>0</v>
      </c>
      <c r="AI801">
        <v>0</v>
      </c>
      <c r="AJ801">
        <v>0</v>
      </c>
      <c r="AK801">
        <v>1</v>
      </c>
      <c r="AL801">
        <v>0</v>
      </c>
      <c r="AM801">
        <v>0</v>
      </c>
      <c r="AN801">
        <v>254</v>
      </c>
      <c r="AO801">
        <v>219</v>
      </c>
      <c r="AP801">
        <f>ifood_data[[#This Row],[MntTotal]]-ifood_data[[#This Row],[MntRegularProds]]</f>
        <v>35</v>
      </c>
      <c r="AQ801">
        <v>0</v>
      </c>
      <c r="AR801">
        <f>IF(SUM(ifood_data[[#This Row],[Kidhome]:[Teenhome]])&gt;0,1,0)</f>
        <v>1</v>
      </c>
      <c r="AS801" t="str">
        <f>IF(SUM(ifood_data[[#This Row],[Kidhome]:[Teenhome]])&gt;0,"Has Family","No Family")</f>
        <v>Has Family</v>
      </c>
      <c r="AT801" t="str">
        <f>IF(ifood_data[[#This Row],[marital_Married]]=1,"Married", (IF(ifood_data[[#This Row],[marital_Single]]=1,"Single",(IF(ifood_data[[#This Row],[marital_Divorced]]=1,"Divorced",(IF(ifood_data[[#This Row],[marital_Together]]=1,"Living Together",(IF(ifood_data[[#This Row],[marital_Widow]]=1,"Widow","Other")))))))))</f>
        <v>Married</v>
      </c>
      <c r="AU801" t="str">
        <f>IF(ifood_data[[#This Row],[education_Basic]]=1,"High School",(IF(ifood_data[[#This Row],[education_Graduation]]=1,"Undergraduate Degree",(IF(SUM(AM801,AL801,AI801)&gt;0,"Master's Degree or Higher","Other")))))</f>
        <v>Undergraduate Degree</v>
      </c>
      <c r="AV801" t="str">
        <f>IF(ifood_data[[#All],[Income]]&gt;75000,"75K+",(IF(ifood_data[[#All],[Income]]&gt;50000,"50K-75K",(IF(ifood_data[[#All],[Income]]&gt;35000,"35K-50K","&lt;35K")))))</f>
        <v>50K-75K</v>
      </c>
      <c r="AW801" t="str">
        <f>IF(ifood_data[[#All],[Age]]&gt;60,"60+",(IF(ifood_data[[#All],[Age]]&gt;50,"50-60",(IF(ifood_data[[#All],[Age]]&gt;40,"40-50",(IF(ifood_data[[#All],[Age]]&gt;30,"30-40","&lt;30")))))))</f>
        <v>50-60</v>
      </c>
      <c r="AX801">
        <f t="shared" si="48"/>
        <v>21</v>
      </c>
      <c r="AY801">
        <f t="shared" si="49"/>
        <v>0.99999999999999978</v>
      </c>
      <c r="AZ801">
        <f t="shared" si="50"/>
        <v>5</v>
      </c>
      <c r="BA801">
        <f t="shared" si="51"/>
        <v>4</v>
      </c>
      <c r="BB801">
        <f>SUM(ifood_data[[#This Row],[Recency Score]:[Monetary Score]])</f>
        <v>10</v>
      </c>
      <c r="BC801">
        <f>(_xlfn.PERCENTRANK.INC(ifood_data[[#All],[RFM]],ifood_data[[#This Row],[RFM]],1))*10</f>
        <v>2</v>
      </c>
      <c r="BD801" t="str">
        <f>VLOOKUP(ifood_data[[#This Row],[RFM Score]],'RFM Analysis'!$A$3:$B$14,2,FALSE)</f>
        <v>At Risk</v>
      </c>
      <c r="BE801">
        <f>'Regression Models'!$B$101+'Regression Models'!$B$102*ifood_data[[#This Row],[Income]]+'Regression Models'!$B$103*ifood_data[[#This Row],[Age]]+'Regression Models'!$B$104*ifood_data[[#This Row],[Family]]</f>
        <v>648.63878550197023</v>
      </c>
      <c r="BF801" t="str">
        <f>IF(ifood_data[[#This Row],[AcceptedCmpOverall]]=1,"Campaign Respondent","Non-respondent")</f>
        <v>Non-respondent</v>
      </c>
    </row>
    <row r="802" spans="1:58" x14ac:dyDescent="0.35">
      <c r="A802">
        <v>755</v>
      </c>
      <c r="B802">
        <v>60161</v>
      </c>
      <c r="C802">
        <v>0</v>
      </c>
      <c r="D802">
        <v>1</v>
      </c>
      <c r="E802">
        <v>17</v>
      </c>
      <c r="F802">
        <v>584</v>
      </c>
      <c r="G802">
        <v>44</v>
      </c>
      <c r="H802">
        <v>212</v>
      </c>
      <c r="I802">
        <v>46</v>
      </c>
      <c r="J802">
        <v>8</v>
      </c>
      <c r="K802">
        <v>177</v>
      </c>
      <c r="L802">
        <v>3</v>
      </c>
      <c r="M802">
        <v>11</v>
      </c>
      <c r="N802">
        <v>4</v>
      </c>
      <c r="O802">
        <v>8</v>
      </c>
      <c r="P802">
        <v>8</v>
      </c>
      <c r="Q802">
        <v>0</v>
      </c>
      <c r="R802">
        <v>0</v>
      </c>
      <c r="S802">
        <v>0</v>
      </c>
      <c r="T802">
        <v>0</v>
      </c>
      <c r="U802">
        <v>0</v>
      </c>
      <c r="V802">
        <f>IF(SUM(ifood_data[[#This Row],[AcceptedCmp1]:[AcceptedCmp5]])&gt;0,1,0)</f>
        <v>0</v>
      </c>
      <c r="W802">
        <v>0</v>
      </c>
      <c r="X802">
        <v>3</v>
      </c>
      <c r="Y802">
        <v>11</v>
      </c>
      <c r="Z802">
        <v>0</v>
      </c>
      <c r="AA802">
        <v>55</v>
      </c>
      <c r="AB802">
        <v>2773</v>
      </c>
      <c r="AC802" s="28">
        <f>ifood_data[[#This Row],[Customer_Days]]/365</f>
        <v>7.5972602739726032</v>
      </c>
      <c r="AD802">
        <v>1</v>
      </c>
      <c r="AE802">
        <v>0</v>
      </c>
      <c r="AF802">
        <v>0</v>
      </c>
      <c r="AG802">
        <v>0</v>
      </c>
      <c r="AH802">
        <v>0</v>
      </c>
      <c r="AI802">
        <v>1</v>
      </c>
      <c r="AJ802">
        <v>0</v>
      </c>
      <c r="AK802">
        <v>0</v>
      </c>
      <c r="AL802">
        <v>0</v>
      </c>
      <c r="AM802">
        <v>0</v>
      </c>
      <c r="AN802">
        <v>894</v>
      </c>
      <c r="AO802">
        <v>717</v>
      </c>
      <c r="AP802">
        <f>ifood_data[[#This Row],[MntTotal]]-ifood_data[[#This Row],[MntRegularProds]]</f>
        <v>177</v>
      </c>
      <c r="AQ802">
        <v>0</v>
      </c>
      <c r="AR802">
        <f>IF(SUM(ifood_data[[#This Row],[Kidhome]:[Teenhome]])&gt;0,1,0)</f>
        <v>1</v>
      </c>
      <c r="AS802" t="str">
        <f>IF(SUM(ifood_data[[#This Row],[Kidhome]:[Teenhome]])&gt;0,"Has Family","No Family")</f>
        <v>Has Family</v>
      </c>
      <c r="AT802" t="str">
        <f>IF(ifood_data[[#This Row],[marital_Married]]=1,"Married", (IF(ifood_data[[#This Row],[marital_Single]]=1,"Single",(IF(ifood_data[[#This Row],[marital_Divorced]]=1,"Divorced",(IF(ifood_data[[#This Row],[marital_Together]]=1,"Living Together",(IF(ifood_data[[#This Row],[marital_Widow]]=1,"Widow","Other")))))))))</f>
        <v>Divorced</v>
      </c>
      <c r="AU802" t="str">
        <f>IF(ifood_data[[#This Row],[education_Basic]]=1,"High School",(IF(ifood_data[[#This Row],[education_Graduation]]=1,"Undergraduate Degree",(IF(SUM(AM802,AL802,AI802)&gt;0,"Master's Degree or Higher","Other")))))</f>
        <v>Master's Degree or Higher</v>
      </c>
      <c r="AV802" t="str">
        <f>IF(ifood_data[[#All],[Income]]&gt;75000,"75K+",(IF(ifood_data[[#All],[Income]]&gt;50000,"50K-75K",(IF(ifood_data[[#All],[Income]]&gt;35000,"35K-50K","&lt;35K")))))</f>
        <v>50K-75K</v>
      </c>
      <c r="AW802" t="str">
        <f>IF(ifood_data[[#All],[Age]]&gt;60,"60+",(IF(ifood_data[[#All],[Age]]&gt;50,"50-60",(IF(ifood_data[[#All],[Age]]&gt;40,"40-50",(IF(ifood_data[[#All],[Age]]&gt;30,"30-40","&lt;30")))))))</f>
        <v>50-60</v>
      </c>
      <c r="AX802">
        <f t="shared" si="48"/>
        <v>34</v>
      </c>
      <c r="AY802">
        <f t="shared" si="49"/>
        <v>9</v>
      </c>
      <c r="AZ802">
        <f t="shared" si="50"/>
        <v>9</v>
      </c>
      <c r="BA802">
        <f t="shared" si="51"/>
        <v>7</v>
      </c>
      <c r="BB802">
        <f>SUM(ifood_data[[#This Row],[Recency Score]:[Monetary Score]])</f>
        <v>25</v>
      </c>
      <c r="BC802">
        <f>(_xlfn.PERCENTRANK.INC(ifood_data[[#All],[RFM]],ifood_data[[#This Row],[RFM]],1))*10</f>
        <v>9</v>
      </c>
      <c r="BD802" t="str">
        <f>VLOOKUP(ifood_data[[#This Row],[RFM Score]],'RFM Analysis'!$A$3:$B$14,2,FALSE)</f>
        <v>Top Customer</v>
      </c>
      <c r="BE802">
        <f>'Regression Models'!$B$101+'Regression Models'!$B$102*ifood_data[[#This Row],[Income]]+'Regression Models'!$B$103*ifood_data[[#This Row],[Age]]+'Regression Models'!$B$104*ifood_data[[#This Row],[Family]]</f>
        <v>648.17564361843415</v>
      </c>
      <c r="BF802" t="str">
        <f>IF(ifood_data[[#This Row],[AcceptedCmpOverall]]=1,"Campaign Respondent","Non-respondent")</f>
        <v>Non-respondent</v>
      </c>
    </row>
    <row r="803" spans="1:58" x14ac:dyDescent="0.35">
      <c r="A803">
        <v>1658</v>
      </c>
      <c r="B803">
        <v>58582</v>
      </c>
      <c r="C803">
        <v>0</v>
      </c>
      <c r="D803">
        <v>1</v>
      </c>
      <c r="E803">
        <v>15</v>
      </c>
      <c r="F803">
        <v>402</v>
      </c>
      <c r="G803">
        <v>35</v>
      </c>
      <c r="H803">
        <v>106</v>
      </c>
      <c r="I803">
        <v>101</v>
      </c>
      <c r="J803">
        <v>77</v>
      </c>
      <c r="K803">
        <v>42</v>
      </c>
      <c r="L803">
        <v>2</v>
      </c>
      <c r="M803">
        <v>9</v>
      </c>
      <c r="N803">
        <v>2</v>
      </c>
      <c r="O803">
        <v>9</v>
      </c>
      <c r="P803">
        <v>5</v>
      </c>
      <c r="Q803">
        <v>0</v>
      </c>
      <c r="R803">
        <v>0</v>
      </c>
      <c r="S803">
        <v>0</v>
      </c>
      <c r="T803">
        <v>1</v>
      </c>
      <c r="U803">
        <v>0</v>
      </c>
      <c r="V803">
        <f>IF(SUM(ifood_data[[#This Row],[AcceptedCmp1]:[AcceptedCmp5]])&gt;0,1,0)</f>
        <v>1</v>
      </c>
      <c r="W803">
        <v>0</v>
      </c>
      <c r="X803">
        <v>3</v>
      </c>
      <c r="Y803">
        <v>11</v>
      </c>
      <c r="Z803">
        <v>0</v>
      </c>
      <c r="AA803">
        <v>38</v>
      </c>
      <c r="AB803">
        <v>2433</v>
      </c>
      <c r="AC803" s="28">
        <f>ifood_data[[#This Row],[Customer_Days]]/365</f>
        <v>6.6657534246575345</v>
      </c>
      <c r="AD803">
        <v>0</v>
      </c>
      <c r="AE803">
        <v>0</v>
      </c>
      <c r="AF803">
        <v>0</v>
      </c>
      <c r="AG803">
        <v>1</v>
      </c>
      <c r="AH803">
        <v>0</v>
      </c>
      <c r="AI803">
        <v>1</v>
      </c>
      <c r="AJ803">
        <v>0</v>
      </c>
      <c r="AK803">
        <v>0</v>
      </c>
      <c r="AL803">
        <v>0</v>
      </c>
      <c r="AM803">
        <v>0</v>
      </c>
      <c r="AN803">
        <v>721</v>
      </c>
      <c r="AO803">
        <v>679</v>
      </c>
      <c r="AP803">
        <f>ifood_data[[#This Row],[MntTotal]]-ifood_data[[#This Row],[MntRegularProds]]</f>
        <v>42</v>
      </c>
      <c r="AQ803">
        <v>1</v>
      </c>
      <c r="AR803">
        <f>IF(SUM(ifood_data[[#This Row],[Kidhome]:[Teenhome]])&gt;0,1,0)</f>
        <v>1</v>
      </c>
      <c r="AS803" t="str">
        <f>IF(SUM(ifood_data[[#This Row],[Kidhome]:[Teenhome]])&gt;0,"Has Family","No Family")</f>
        <v>Has Family</v>
      </c>
      <c r="AT803" t="str">
        <f>IF(ifood_data[[#This Row],[marital_Married]]=1,"Married", (IF(ifood_data[[#This Row],[marital_Single]]=1,"Single",(IF(ifood_data[[#This Row],[marital_Divorced]]=1,"Divorced",(IF(ifood_data[[#This Row],[marital_Together]]=1,"Living Together",(IF(ifood_data[[#This Row],[marital_Widow]]=1,"Widow","Other")))))))))</f>
        <v>Living Together</v>
      </c>
      <c r="AU803" t="str">
        <f>IF(ifood_data[[#This Row],[education_Basic]]=1,"High School",(IF(ifood_data[[#This Row],[education_Graduation]]=1,"Undergraduate Degree",(IF(SUM(AM803,AL803,AI803)&gt;0,"Master's Degree or Higher","Other")))))</f>
        <v>Master's Degree or Higher</v>
      </c>
      <c r="AV803" t="str">
        <f>IF(ifood_data[[#All],[Income]]&gt;75000,"75K+",(IF(ifood_data[[#All],[Income]]&gt;50000,"50K-75K",(IF(ifood_data[[#All],[Income]]&gt;35000,"35K-50K","&lt;35K")))))</f>
        <v>50K-75K</v>
      </c>
      <c r="AW803" t="str">
        <f>IF(ifood_data[[#All],[Age]]&gt;60,"60+",(IF(ifood_data[[#All],[Age]]&gt;50,"50-60",(IF(ifood_data[[#All],[Age]]&gt;40,"40-50",(IF(ifood_data[[#All],[Age]]&gt;30,"30-40","&lt;30")))))))</f>
        <v>30-40</v>
      </c>
      <c r="AX803">
        <f t="shared" si="48"/>
        <v>27</v>
      </c>
      <c r="AY803">
        <f t="shared" si="49"/>
        <v>9</v>
      </c>
      <c r="AZ803">
        <f t="shared" si="50"/>
        <v>7</v>
      </c>
      <c r="BA803">
        <f t="shared" si="51"/>
        <v>6</v>
      </c>
      <c r="BB803">
        <f>SUM(ifood_data[[#This Row],[Recency Score]:[Monetary Score]])</f>
        <v>22</v>
      </c>
      <c r="BC803">
        <f>(_xlfn.PERCENTRANK.INC(ifood_data[[#All],[RFM]],ifood_data[[#This Row],[RFM]],1))*10</f>
        <v>8</v>
      </c>
      <c r="BD803" t="str">
        <f>VLOOKUP(ifood_data[[#This Row],[RFM Score]],'RFM Analysis'!$A$3:$B$14,2,FALSE)</f>
        <v>Loyal Customer</v>
      </c>
      <c r="BE803">
        <f>'Regression Models'!$B$101+'Regression Models'!$B$102*ifood_data[[#This Row],[Income]]+'Regression Models'!$B$103*ifood_data[[#This Row],[Age]]+'Regression Models'!$B$104*ifood_data[[#This Row],[Family]]</f>
        <v>647.20124306042032</v>
      </c>
      <c r="BF803" t="str">
        <f>IF(ifood_data[[#This Row],[AcceptedCmpOverall]]=1,"Campaign Respondent","Non-respondent")</f>
        <v>Campaign Respondent</v>
      </c>
    </row>
    <row r="804" spans="1:58" x14ac:dyDescent="0.35">
      <c r="A804">
        <v>576</v>
      </c>
      <c r="B804">
        <v>61467</v>
      </c>
      <c r="C804">
        <v>0</v>
      </c>
      <c r="D804">
        <v>2</v>
      </c>
      <c r="E804">
        <v>69</v>
      </c>
      <c r="F804">
        <v>410</v>
      </c>
      <c r="G804">
        <v>16</v>
      </c>
      <c r="H804">
        <v>114</v>
      </c>
      <c r="I804">
        <v>0</v>
      </c>
      <c r="J804">
        <v>5</v>
      </c>
      <c r="K804">
        <v>49</v>
      </c>
      <c r="L804">
        <v>3</v>
      </c>
      <c r="M804">
        <v>5</v>
      </c>
      <c r="N804">
        <v>2</v>
      </c>
      <c r="O804">
        <v>10</v>
      </c>
      <c r="P804">
        <v>5</v>
      </c>
      <c r="Q804">
        <v>0</v>
      </c>
      <c r="R804">
        <v>0</v>
      </c>
      <c r="S804">
        <v>0</v>
      </c>
      <c r="T804">
        <v>0</v>
      </c>
      <c r="U804">
        <v>0</v>
      </c>
      <c r="V804">
        <f>IF(SUM(ifood_data[[#This Row],[AcceptedCmp1]:[AcceptedCmp5]])&gt;0,1,0)</f>
        <v>0</v>
      </c>
      <c r="W804">
        <v>0</v>
      </c>
      <c r="X804">
        <v>3</v>
      </c>
      <c r="Y804">
        <v>11</v>
      </c>
      <c r="Z804">
        <v>0</v>
      </c>
      <c r="AA804">
        <v>72</v>
      </c>
      <c r="AB804">
        <v>2726</v>
      </c>
      <c r="AC804" s="28">
        <f>ifood_data[[#This Row],[Customer_Days]]/365</f>
        <v>7.4684931506849317</v>
      </c>
      <c r="AD804">
        <v>0</v>
      </c>
      <c r="AE804">
        <v>1</v>
      </c>
      <c r="AF804">
        <v>0</v>
      </c>
      <c r="AG804">
        <v>0</v>
      </c>
      <c r="AH804">
        <v>0</v>
      </c>
      <c r="AI804">
        <v>0</v>
      </c>
      <c r="AJ804">
        <v>0</v>
      </c>
      <c r="AK804">
        <v>0</v>
      </c>
      <c r="AL804">
        <v>0</v>
      </c>
      <c r="AM804">
        <v>1</v>
      </c>
      <c r="AN804">
        <v>545</v>
      </c>
      <c r="AO804">
        <v>496</v>
      </c>
      <c r="AP804">
        <f>ifood_data[[#This Row],[MntTotal]]-ifood_data[[#This Row],[MntRegularProds]]</f>
        <v>49</v>
      </c>
      <c r="AQ804">
        <v>0</v>
      </c>
      <c r="AR804">
        <f>IF(SUM(ifood_data[[#This Row],[Kidhome]:[Teenhome]])&gt;0,1,0)</f>
        <v>1</v>
      </c>
      <c r="AS804" t="str">
        <f>IF(SUM(ifood_data[[#This Row],[Kidhome]:[Teenhome]])&gt;0,"Has Family","No Family")</f>
        <v>Has Family</v>
      </c>
      <c r="AT804" t="str">
        <f>IF(ifood_data[[#This Row],[marital_Married]]=1,"Married", (IF(ifood_data[[#This Row],[marital_Single]]=1,"Single",(IF(ifood_data[[#This Row],[marital_Divorced]]=1,"Divorced",(IF(ifood_data[[#This Row],[marital_Together]]=1,"Living Together",(IF(ifood_data[[#This Row],[marital_Widow]]=1,"Widow","Other")))))))))</f>
        <v>Married</v>
      </c>
      <c r="AU804" t="str">
        <f>IF(ifood_data[[#This Row],[education_Basic]]=1,"High School",(IF(ifood_data[[#This Row],[education_Graduation]]=1,"Undergraduate Degree",(IF(SUM(AM804,AL804,AI804)&gt;0,"Master's Degree or Higher","Other")))))</f>
        <v>Master's Degree or Higher</v>
      </c>
      <c r="AV804" t="str">
        <f>IF(ifood_data[[#All],[Income]]&gt;75000,"75K+",(IF(ifood_data[[#All],[Income]]&gt;50000,"50K-75K",(IF(ifood_data[[#All],[Income]]&gt;35000,"35K-50K","&lt;35K")))))</f>
        <v>50K-75K</v>
      </c>
      <c r="AW804" t="str">
        <f>IF(ifood_data[[#All],[Age]]&gt;60,"60+",(IF(ifood_data[[#All],[Age]]&gt;50,"50-60",(IF(ifood_data[[#All],[Age]]&gt;40,"40-50",(IF(ifood_data[[#All],[Age]]&gt;30,"30-40","&lt;30")))))))</f>
        <v>60+</v>
      </c>
      <c r="AX804">
        <f t="shared" si="48"/>
        <v>25</v>
      </c>
      <c r="AY804">
        <f t="shared" si="49"/>
        <v>4</v>
      </c>
      <c r="AZ804">
        <f t="shared" si="50"/>
        <v>7</v>
      </c>
      <c r="BA804">
        <f t="shared" si="51"/>
        <v>5</v>
      </c>
      <c r="BB804">
        <f>SUM(ifood_data[[#This Row],[Recency Score]:[Monetary Score]])</f>
        <v>16</v>
      </c>
      <c r="BC804">
        <f>(_xlfn.PERCENTRANK.INC(ifood_data[[#All],[RFM]],ifood_data[[#This Row],[RFM]],1))*10</f>
        <v>5</v>
      </c>
      <c r="BD804" t="str">
        <f>VLOOKUP(ifood_data[[#This Row],[RFM Score]],'RFM Analysis'!$A$3:$B$14,2,FALSE)</f>
        <v>Promising</v>
      </c>
      <c r="BE804">
        <f>'Regression Models'!$B$101+'Regression Models'!$B$102*ifood_data[[#This Row],[Income]]+'Regression Models'!$B$103*ifood_data[[#This Row],[Age]]+'Regression Models'!$B$104*ifood_data[[#This Row],[Family]]</f>
        <v>643.58391047316354</v>
      </c>
      <c r="BF804" t="str">
        <f>IF(ifood_data[[#This Row],[AcceptedCmpOverall]]=1,"Campaign Respondent","Non-respondent")</f>
        <v>Non-respondent</v>
      </c>
    </row>
    <row r="805" spans="1:58" x14ac:dyDescent="0.35">
      <c r="A805">
        <v>143</v>
      </c>
      <c r="B805">
        <v>61010</v>
      </c>
      <c r="C805">
        <v>0</v>
      </c>
      <c r="D805">
        <v>1</v>
      </c>
      <c r="E805">
        <v>57</v>
      </c>
      <c r="F805">
        <v>888</v>
      </c>
      <c r="G805">
        <v>0</v>
      </c>
      <c r="H805">
        <v>57</v>
      </c>
      <c r="I805">
        <v>0</v>
      </c>
      <c r="J805">
        <v>0</v>
      </c>
      <c r="K805">
        <v>76</v>
      </c>
      <c r="L805">
        <v>2</v>
      </c>
      <c r="M805">
        <v>8</v>
      </c>
      <c r="N805">
        <v>5</v>
      </c>
      <c r="O805">
        <v>11</v>
      </c>
      <c r="P805">
        <v>5</v>
      </c>
      <c r="Q805">
        <v>0</v>
      </c>
      <c r="R805">
        <v>0</v>
      </c>
      <c r="S805">
        <v>0</v>
      </c>
      <c r="T805">
        <v>0</v>
      </c>
      <c r="U805">
        <v>0</v>
      </c>
      <c r="V805">
        <f>IF(SUM(ifood_data[[#This Row],[AcceptedCmp1]:[AcceptedCmp5]])&gt;0,1,0)</f>
        <v>0</v>
      </c>
      <c r="W805">
        <v>0</v>
      </c>
      <c r="X805">
        <v>3</v>
      </c>
      <c r="Y805">
        <v>11</v>
      </c>
      <c r="Z805">
        <v>0</v>
      </c>
      <c r="AA805">
        <v>68</v>
      </c>
      <c r="AB805">
        <v>2787</v>
      </c>
      <c r="AC805" s="28">
        <f>ifood_data[[#This Row],[Customer_Days]]/365</f>
        <v>7.6356164383561644</v>
      </c>
      <c r="AD805">
        <v>0</v>
      </c>
      <c r="AE805">
        <v>0</v>
      </c>
      <c r="AF805">
        <v>0</v>
      </c>
      <c r="AG805">
        <v>1</v>
      </c>
      <c r="AH805">
        <v>0</v>
      </c>
      <c r="AI805">
        <v>0</v>
      </c>
      <c r="AJ805">
        <v>0</v>
      </c>
      <c r="AK805">
        <v>0</v>
      </c>
      <c r="AL805">
        <v>0</v>
      </c>
      <c r="AM805">
        <v>1</v>
      </c>
      <c r="AN805">
        <v>945</v>
      </c>
      <c r="AO805">
        <v>869</v>
      </c>
      <c r="AP805">
        <f>ifood_data[[#This Row],[MntTotal]]-ifood_data[[#This Row],[MntRegularProds]]</f>
        <v>76</v>
      </c>
      <c r="AQ805">
        <v>0</v>
      </c>
      <c r="AR805">
        <f>IF(SUM(ifood_data[[#This Row],[Kidhome]:[Teenhome]])&gt;0,1,0)</f>
        <v>1</v>
      </c>
      <c r="AS805" t="str">
        <f>IF(SUM(ifood_data[[#This Row],[Kidhome]:[Teenhome]])&gt;0,"Has Family","No Family")</f>
        <v>Has Family</v>
      </c>
      <c r="AT805" t="str">
        <f>IF(ifood_data[[#This Row],[marital_Married]]=1,"Married", (IF(ifood_data[[#This Row],[marital_Single]]=1,"Single",(IF(ifood_data[[#This Row],[marital_Divorced]]=1,"Divorced",(IF(ifood_data[[#This Row],[marital_Together]]=1,"Living Together",(IF(ifood_data[[#This Row],[marital_Widow]]=1,"Widow","Other")))))))))</f>
        <v>Living Together</v>
      </c>
      <c r="AU805" t="str">
        <f>IF(ifood_data[[#This Row],[education_Basic]]=1,"High School",(IF(ifood_data[[#This Row],[education_Graduation]]=1,"Undergraduate Degree",(IF(SUM(AM805,AL805,AI805)&gt;0,"Master's Degree or Higher","Other")))))</f>
        <v>Master's Degree or Higher</v>
      </c>
      <c r="AV805" t="str">
        <f>IF(ifood_data[[#All],[Income]]&gt;75000,"75K+",(IF(ifood_data[[#All],[Income]]&gt;50000,"50K-75K",(IF(ifood_data[[#All],[Income]]&gt;35000,"35K-50K","&lt;35K")))))</f>
        <v>50K-75K</v>
      </c>
      <c r="AW805" t="str">
        <f>IF(ifood_data[[#All],[Age]]&gt;60,"60+",(IF(ifood_data[[#All],[Age]]&gt;50,"50-60",(IF(ifood_data[[#All],[Age]]&gt;40,"40-50",(IF(ifood_data[[#All],[Age]]&gt;30,"30-40","&lt;30")))))))</f>
        <v>60+</v>
      </c>
      <c r="AX805">
        <f t="shared" si="48"/>
        <v>31</v>
      </c>
      <c r="AY805">
        <f t="shared" si="49"/>
        <v>5</v>
      </c>
      <c r="AZ805">
        <f t="shared" si="50"/>
        <v>9</v>
      </c>
      <c r="BA805">
        <f t="shared" si="51"/>
        <v>7</v>
      </c>
      <c r="BB805">
        <f>SUM(ifood_data[[#This Row],[Recency Score]:[Monetary Score]])</f>
        <v>21</v>
      </c>
      <c r="BC805">
        <f>(_xlfn.PERCENTRANK.INC(ifood_data[[#All],[RFM]],ifood_data[[#This Row],[RFM]],1))*10</f>
        <v>8</v>
      </c>
      <c r="BD805" t="str">
        <f>VLOOKUP(ifood_data[[#This Row],[RFM Score]],'RFM Analysis'!$A$3:$B$14,2,FALSE)</f>
        <v>Loyal Customer</v>
      </c>
      <c r="BE805">
        <f>'Regression Models'!$B$101+'Regression Models'!$B$102*ifood_data[[#This Row],[Income]]+'Regression Models'!$B$103*ifood_data[[#This Row],[Age]]+'Regression Models'!$B$104*ifood_data[[#This Row],[Family]]</f>
        <v>641.61199974697865</v>
      </c>
      <c r="BF805" t="str">
        <f>IF(ifood_data[[#This Row],[AcceptedCmpOverall]]=1,"Campaign Respondent","Non-respondent")</f>
        <v>Non-respondent</v>
      </c>
    </row>
    <row r="806" spans="1:58" x14ac:dyDescent="0.35">
      <c r="A806">
        <v>661</v>
      </c>
      <c r="B806">
        <v>45938</v>
      </c>
      <c r="C806">
        <v>0</v>
      </c>
      <c r="D806">
        <v>0</v>
      </c>
      <c r="E806">
        <v>46</v>
      </c>
      <c r="F806">
        <v>273</v>
      </c>
      <c r="G806">
        <v>11</v>
      </c>
      <c r="H806">
        <v>178</v>
      </c>
      <c r="I806">
        <v>62</v>
      </c>
      <c r="J806">
        <v>83</v>
      </c>
      <c r="K806">
        <v>29</v>
      </c>
      <c r="L806">
        <v>2</v>
      </c>
      <c r="M806">
        <v>8</v>
      </c>
      <c r="N806">
        <v>4</v>
      </c>
      <c r="O806">
        <v>6</v>
      </c>
      <c r="P806">
        <v>6</v>
      </c>
      <c r="Q806">
        <v>0</v>
      </c>
      <c r="R806">
        <v>0</v>
      </c>
      <c r="S806">
        <v>0</v>
      </c>
      <c r="T806">
        <v>0</v>
      </c>
      <c r="U806">
        <v>0</v>
      </c>
      <c r="V806">
        <f>IF(SUM(ifood_data[[#This Row],[AcceptedCmp1]:[AcceptedCmp5]])&gt;0,1,0)</f>
        <v>0</v>
      </c>
      <c r="W806">
        <v>0</v>
      </c>
      <c r="X806">
        <v>3</v>
      </c>
      <c r="Y806">
        <v>11</v>
      </c>
      <c r="Z806">
        <v>0</v>
      </c>
      <c r="AA806">
        <v>59</v>
      </c>
      <c r="AB806">
        <v>2397</v>
      </c>
      <c r="AC806" s="28">
        <f>ifood_data[[#This Row],[Customer_Days]]/365</f>
        <v>6.5671232876712331</v>
      </c>
      <c r="AD806">
        <v>0</v>
      </c>
      <c r="AE806">
        <v>0</v>
      </c>
      <c r="AF806">
        <v>1</v>
      </c>
      <c r="AG806">
        <v>0</v>
      </c>
      <c r="AH806">
        <v>0</v>
      </c>
      <c r="AI806">
        <v>0</v>
      </c>
      <c r="AJ806">
        <v>0</v>
      </c>
      <c r="AK806">
        <v>1</v>
      </c>
      <c r="AL806">
        <v>0</v>
      </c>
      <c r="AM806">
        <v>0</v>
      </c>
      <c r="AN806">
        <v>607</v>
      </c>
      <c r="AO806">
        <v>578</v>
      </c>
      <c r="AP806">
        <f>ifood_data[[#This Row],[MntTotal]]-ifood_data[[#This Row],[MntRegularProds]]</f>
        <v>29</v>
      </c>
      <c r="AQ806">
        <v>0</v>
      </c>
      <c r="AR806">
        <f>IF(SUM(ifood_data[[#This Row],[Kidhome]:[Teenhome]])&gt;0,1,0)</f>
        <v>0</v>
      </c>
      <c r="AS806" t="str">
        <f>IF(SUM(ifood_data[[#This Row],[Kidhome]:[Teenhome]])&gt;0,"Has Family","No Family")</f>
        <v>No Family</v>
      </c>
      <c r="AT806" t="str">
        <f>IF(ifood_data[[#This Row],[marital_Married]]=1,"Married", (IF(ifood_data[[#This Row],[marital_Single]]=1,"Single",(IF(ifood_data[[#This Row],[marital_Divorced]]=1,"Divorced",(IF(ifood_data[[#This Row],[marital_Together]]=1,"Living Together",(IF(ifood_data[[#This Row],[marital_Widow]]=1,"Widow","Other")))))))))</f>
        <v>Single</v>
      </c>
      <c r="AU806" t="str">
        <f>IF(ifood_data[[#This Row],[education_Basic]]=1,"High School",(IF(ifood_data[[#This Row],[education_Graduation]]=1,"Undergraduate Degree",(IF(SUM(AM806,AL806,AI806)&gt;0,"Master's Degree or Higher","Other")))))</f>
        <v>Undergraduate Degree</v>
      </c>
      <c r="AV806" t="str">
        <f>IF(ifood_data[[#All],[Income]]&gt;75000,"75K+",(IF(ifood_data[[#All],[Income]]&gt;50000,"50K-75K",(IF(ifood_data[[#All],[Income]]&gt;35000,"35K-50K","&lt;35K")))))</f>
        <v>35K-50K</v>
      </c>
      <c r="AW806" t="str">
        <f>IF(ifood_data[[#All],[Age]]&gt;60,"60+",(IF(ifood_data[[#All],[Age]]&gt;50,"50-60",(IF(ifood_data[[#All],[Age]]&gt;40,"40-50",(IF(ifood_data[[#All],[Age]]&gt;30,"30-40","&lt;30")))))))</f>
        <v>50-60</v>
      </c>
      <c r="AX806">
        <f t="shared" si="48"/>
        <v>26</v>
      </c>
      <c r="AY806">
        <f t="shared" si="49"/>
        <v>6</v>
      </c>
      <c r="AZ806">
        <f t="shared" si="50"/>
        <v>7</v>
      </c>
      <c r="BA806">
        <f t="shared" si="51"/>
        <v>6</v>
      </c>
      <c r="BB806">
        <f>SUM(ifood_data[[#This Row],[Recency Score]:[Monetary Score]])</f>
        <v>19</v>
      </c>
      <c r="BC806">
        <f>(_xlfn.PERCENTRANK.INC(ifood_data[[#All],[RFM]],ifood_data[[#This Row],[RFM]],1))*10</f>
        <v>7</v>
      </c>
      <c r="BD806" t="str">
        <f>VLOOKUP(ifood_data[[#This Row],[RFM Score]],'RFM Analysis'!$A$3:$B$14,2,FALSE)</f>
        <v>Loyal Customer</v>
      </c>
      <c r="BE806">
        <f>'Regression Models'!$B$101+'Regression Models'!$B$102*ifood_data[[#This Row],[Income]]+'Regression Models'!$B$103*ifood_data[[#This Row],[Age]]+'Regression Models'!$B$104*ifood_data[[#This Row],[Family]]</f>
        <v>640.4540690651985</v>
      </c>
      <c r="BF806" t="str">
        <f>IF(ifood_data[[#This Row],[AcceptedCmpOverall]]=1,"Campaign Respondent","Non-respondent")</f>
        <v>Non-respondent</v>
      </c>
    </row>
    <row r="807" spans="1:58" x14ac:dyDescent="0.35">
      <c r="A807">
        <v>907</v>
      </c>
      <c r="B807">
        <v>59041</v>
      </c>
      <c r="C807">
        <v>1</v>
      </c>
      <c r="D807">
        <v>1</v>
      </c>
      <c r="E807">
        <v>25</v>
      </c>
      <c r="F807">
        <v>69</v>
      </c>
      <c r="G807">
        <v>2</v>
      </c>
      <c r="H807">
        <v>15</v>
      </c>
      <c r="I807">
        <v>2</v>
      </c>
      <c r="J807">
        <v>2</v>
      </c>
      <c r="K807">
        <v>6</v>
      </c>
      <c r="L807">
        <v>2</v>
      </c>
      <c r="M807">
        <v>2</v>
      </c>
      <c r="N807">
        <v>0</v>
      </c>
      <c r="O807">
        <v>4</v>
      </c>
      <c r="P807">
        <v>5</v>
      </c>
      <c r="Q807">
        <v>0</v>
      </c>
      <c r="R807">
        <v>0</v>
      </c>
      <c r="S807">
        <v>0</v>
      </c>
      <c r="T807">
        <v>0</v>
      </c>
      <c r="U807">
        <v>0</v>
      </c>
      <c r="V807">
        <f>IF(SUM(ifood_data[[#This Row],[AcceptedCmp1]:[AcceptedCmp5]])&gt;0,1,0)</f>
        <v>0</v>
      </c>
      <c r="W807">
        <v>0</v>
      </c>
      <c r="X807">
        <v>3</v>
      </c>
      <c r="Y807">
        <v>11</v>
      </c>
      <c r="Z807">
        <v>0</v>
      </c>
      <c r="AA807">
        <v>47</v>
      </c>
      <c r="AB807">
        <v>2212</v>
      </c>
      <c r="AC807" s="28">
        <f>ifood_data[[#This Row],[Customer_Days]]/365</f>
        <v>6.0602739726027401</v>
      </c>
      <c r="AD807">
        <v>0</v>
      </c>
      <c r="AE807">
        <v>1</v>
      </c>
      <c r="AF807">
        <v>0</v>
      </c>
      <c r="AG807">
        <v>0</v>
      </c>
      <c r="AH807">
        <v>0</v>
      </c>
      <c r="AI807">
        <v>0</v>
      </c>
      <c r="AJ807">
        <v>0</v>
      </c>
      <c r="AK807">
        <v>1</v>
      </c>
      <c r="AL807">
        <v>0</v>
      </c>
      <c r="AM807">
        <v>0</v>
      </c>
      <c r="AN807">
        <v>90</v>
      </c>
      <c r="AO807">
        <v>84</v>
      </c>
      <c r="AP807">
        <f>ifood_data[[#This Row],[MntTotal]]-ifood_data[[#This Row],[MntRegularProds]]</f>
        <v>6</v>
      </c>
      <c r="AQ807">
        <v>0</v>
      </c>
      <c r="AR807">
        <f>IF(SUM(ifood_data[[#This Row],[Kidhome]:[Teenhome]])&gt;0,1,0)</f>
        <v>1</v>
      </c>
      <c r="AS807" t="str">
        <f>IF(SUM(ifood_data[[#This Row],[Kidhome]:[Teenhome]])&gt;0,"Has Family","No Family")</f>
        <v>Has Family</v>
      </c>
      <c r="AT807" t="str">
        <f>IF(ifood_data[[#This Row],[marital_Married]]=1,"Married", (IF(ifood_data[[#This Row],[marital_Single]]=1,"Single",(IF(ifood_data[[#This Row],[marital_Divorced]]=1,"Divorced",(IF(ifood_data[[#This Row],[marital_Together]]=1,"Living Together",(IF(ifood_data[[#This Row],[marital_Widow]]=1,"Widow","Other")))))))))</f>
        <v>Married</v>
      </c>
      <c r="AU807" t="str">
        <f>IF(ifood_data[[#This Row],[education_Basic]]=1,"High School",(IF(ifood_data[[#This Row],[education_Graduation]]=1,"Undergraduate Degree",(IF(SUM(AM807,AL807,AI807)&gt;0,"Master's Degree or Higher","Other")))))</f>
        <v>Undergraduate Degree</v>
      </c>
      <c r="AV807" t="str">
        <f>IF(ifood_data[[#All],[Income]]&gt;75000,"75K+",(IF(ifood_data[[#All],[Income]]&gt;50000,"50K-75K",(IF(ifood_data[[#All],[Income]]&gt;35000,"35K-50K","&lt;35K")))))</f>
        <v>50K-75K</v>
      </c>
      <c r="AW807" t="str">
        <f>IF(ifood_data[[#All],[Age]]&gt;60,"60+",(IF(ifood_data[[#All],[Age]]&gt;50,"50-60",(IF(ifood_data[[#All],[Age]]&gt;40,"40-50",(IF(ifood_data[[#All],[Age]]&gt;30,"30-40","&lt;30")))))))</f>
        <v>40-50</v>
      </c>
      <c r="AX807">
        <f t="shared" si="48"/>
        <v>13</v>
      </c>
      <c r="AY807">
        <f t="shared" si="49"/>
        <v>8</v>
      </c>
      <c r="AZ807">
        <f t="shared" si="50"/>
        <v>1</v>
      </c>
      <c r="BA807">
        <f t="shared" si="51"/>
        <v>3</v>
      </c>
      <c r="BB807">
        <f>SUM(ifood_data[[#This Row],[Recency Score]:[Monetary Score]])</f>
        <v>12</v>
      </c>
      <c r="BC807">
        <f>(_xlfn.PERCENTRANK.INC(ifood_data[[#All],[RFM]],ifood_data[[#This Row],[RFM]],1))*10</f>
        <v>3</v>
      </c>
      <c r="BD807" t="str">
        <f>VLOOKUP(ifood_data[[#This Row],[RFM Score]],'RFM Analysis'!$A$3:$B$14,2,FALSE)</f>
        <v>At Risk</v>
      </c>
      <c r="BE807">
        <f>'Regression Models'!$B$101+'Regression Models'!$B$102*ifood_data[[#This Row],[Income]]+'Regression Models'!$B$103*ifood_data[[#This Row],[Age]]+'Regression Models'!$B$104*ifood_data[[#This Row],[Family]]</f>
        <v>640.03173592842143</v>
      </c>
      <c r="BF807" t="str">
        <f>IF(ifood_data[[#This Row],[AcceptedCmpOverall]]=1,"Campaign Respondent","Non-respondent")</f>
        <v>Non-respondent</v>
      </c>
    </row>
    <row r="808" spans="1:58" x14ac:dyDescent="0.35">
      <c r="A808">
        <v>905</v>
      </c>
      <c r="B808">
        <v>59754</v>
      </c>
      <c r="C808">
        <v>0</v>
      </c>
      <c r="D808">
        <v>1</v>
      </c>
      <c r="E808">
        <v>96</v>
      </c>
      <c r="F808">
        <v>115</v>
      </c>
      <c r="G808">
        <v>27</v>
      </c>
      <c r="H808">
        <v>44</v>
      </c>
      <c r="I808">
        <v>4</v>
      </c>
      <c r="J808">
        <v>146</v>
      </c>
      <c r="K808">
        <v>139</v>
      </c>
      <c r="L808">
        <v>3</v>
      </c>
      <c r="M808">
        <v>5</v>
      </c>
      <c r="N808">
        <v>2</v>
      </c>
      <c r="O808">
        <v>6</v>
      </c>
      <c r="P808">
        <v>5</v>
      </c>
      <c r="Q808">
        <v>0</v>
      </c>
      <c r="R808">
        <v>0</v>
      </c>
      <c r="S808">
        <v>0</v>
      </c>
      <c r="T808">
        <v>0</v>
      </c>
      <c r="U808">
        <v>0</v>
      </c>
      <c r="V808">
        <f>IF(SUM(ifood_data[[#This Row],[AcceptedCmp1]:[AcceptedCmp5]])&gt;0,1,0)</f>
        <v>0</v>
      </c>
      <c r="W808">
        <v>0</v>
      </c>
      <c r="X808">
        <v>3</v>
      </c>
      <c r="Y808">
        <v>11</v>
      </c>
      <c r="Z808">
        <v>1</v>
      </c>
      <c r="AA808">
        <v>55</v>
      </c>
      <c r="AB808">
        <v>2734</v>
      </c>
      <c r="AC808" s="28">
        <f>ifood_data[[#This Row],[Customer_Days]]/365</f>
        <v>7.4904109589041097</v>
      </c>
      <c r="AD808">
        <v>0</v>
      </c>
      <c r="AE808">
        <v>1</v>
      </c>
      <c r="AF808">
        <v>0</v>
      </c>
      <c r="AG808">
        <v>0</v>
      </c>
      <c r="AH808">
        <v>0</v>
      </c>
      <c r="AI808">
        <v>0</v>
      </c>
      <c r="AJ808">
        <v>0</v>
      </c>
      <c r="AK808">
        <v>1</v>
      </c>
      <c r="AL808">
        <v>0</v>
      </c>
      <c r="AM808">
        <v>0</v>
      </c>
      <c r="AN808">
        <v>336</v>
      </c>
      <c r="AO808">
        <v>197</v>
      </c>
      <c r="AP808">
        <f>ifood_data[[#This Row],[MntTotal]]-ifood_data[[#This Row],[MntRegularProds]]</f>
        <v>139</v>
      </c>
      <c r="AQ808">
        <v>0</v>
      </c>
      <c r="AR808">
        <f>IF(SUM(ifood_data[[#This Row],[Kidhome]:[Teenhome]])&gt;0,1,0)</f>
        <v>1</v>
      </c>
      <c r="AS808" t="str">
        <f>IF(SUM(ifood_data[[#This Row],[Kidhome]:[Teenhome]])&gt;0,"Has Family","No Family")</f>
        <v>Has Family</v>
      </c>
      <c r="AT808" t="str">
        <f>IF(ifood_data[[#This Row],[marital_Married]]=1,"Married", (IF(ifood_data[[#This Row],[marital_Single]]=1,"Single",(IF(ifood_data[[#This Row],[marital_Divorced]]=1,"Divorced",(IF(ifood_data[[#This Row],[marital_Together]]=1,"Living Together",(IF(ifood_data[[#This Row],[marital_Widow]]=1,"Widow","Other")))))))))</f>
        <v>Married</v>
      </c>
      <c r="AU808" t="str">
        <f>IF(ifood_data[[#This Row],[education_Basic]]=1,"High School",(IF(ifood_data[[#This Row],[education_Graduation]]=1,"Undergraduate Degree",(IF(SUM(AM808,AL808,AI808)&gt;0,"Master's Degree or Higher","Other")))))</f>
        <v>Undergraduate Degree</v>
      </c>
      <c r="AV808" t="str">
        <f>IF(ifood_data[[#All],[Income]]&gt;75000,"75K+",(IF(ifood_data[[#All],[Income]]&gt;50000,"50K-75K",(IF(ifood_data[[#All],[Income]]&gt;35000,"35K-50K","&lt;35K")))))</f>
        <v>50K-75K</v>
      </c>
      <c r="AW808" t="str">
        <f>IF(ifood_data[[#All],[Age]]&gt;60,"60+",(IF(ifood_data[[#All],[Age]]&gt;50,"50-60",(IF(ifood_data[[#All],[Age]]&gt;40,"40-50",(IF(ifood_data[[#All],[Age]]&gt;30,"30-40","&lt;30")))))))</f>
        <v>50-60</v>
      </c>
      <c r="AX808">
        <f t="shared" si="48"/>
        <v>21</v>
      </c>
      <c r="AY808">
        <f t="shared" si="49"/>
        <v>0.99999999999999978</v>
      </c>
      <c r="AZ808">
        <f t="shared" si="50"/>
        <v>5</v>
      </c>
      <c r="BA808">
        <f t="shared" si="51"/>
        <v>4</v>
      </c>
      <c r="BB808">
        <f>SUM(ifood_data[[#This Row],[Recency Score]:[Monetary Score]])</f>
        <v>10</v>
      </c>
      <c r="BC808">
        <f>(_xlfn.PERCENTRANK.INC(ifood_data[[#All],[RFM]],ifood_data[[#This Row],[RFM]],1))*10</f>
        <v>2</v>
      </c>
      <c r="BD808" t="str">
        <f>VLOOKUP(ifood_data[[#This Row],[RFM Score]],'RFM Analysis'!$A$3:$B$14,2,FALSE)</f>
        <v>At Risk</v>
      </c>
      <c r="BE808">
        <f>'Regression Models'!$B$101+'Regression Models'!$B$102*ifood_data[[#This Row],[Income]]+'Regression Models'!$B$103*ifood_data[[#This Row],[Age]]+'Regression Models'!$B$104*ifood_data[[#This Row],[Family]]</f>
        <v>639.87741498386731</v>
      </c>
      <c r="BF808" t="str">
        <f>IF(ifood_data[[#This Row],[AcceptedCmpOverall]]=1,"Campaign Respondent","Non-respondent")</f>
        <v>Non-respondent</v>
      </c>
    </row>
    <row r="809" spans="1:58" x14ac:dyDescent="0.35">
      <c r="A809">
        <v>5</v>
      </c>
      <c r="B809">
        <v>58293</v>
      </c>
      <c r="C809">
        <v>1</v>
      </c>
      <c r="D809">
        <v>0</v>
      </c>
      <c r="E809">
        <v>94</v>
      </c>
      <c r="F809">
        <v>173</v>
      </c>
      <c r="G809">
        <v>43</v>
      </c>
      <c r="H809">
        <v>118</v>
      </c>
      <c r="I809">
        <v>46</v>
      </c>
      <c r="J809">
        <v>27</v>
      </c>
      <c r="K809">
        <v>15</v>
      </c>
      <c r="L809">
        <v>5</v>
      </c>
      <c r="M809">
        <v>5</v>
      </c>
      <c r="N809">
        <v>3</v>
      </c>
      <c r="O809">
        <v>6</v>
      </c>
      <c r="P809">
        <v>5</v>
      </c>
      <c r="Q809">
        <v>0</v>
      </c>
      <c r="R809">
        <v>0</v>
      </c>
      <c r="S809">
        <v>0</v>
      </c>
      <c r="T809">
        <v>0</v>
      </c>
      <c r="U809">
        <v>0</v>
      </c>
      <c r="V809">
        <f>IF(SUM(ifood_data[[#This Row],[AcceptedCmp1]:[AcceptedCmp5]])&gt;0,1,0)</f>
        <v>0</v>
      </c>
      <c r="W809">
        <v>0</v>
      </c>
      <c r="X809">
        <v>3</v>
      </c>
      <c r="Y809">
        <v>11</v>
      </c>
      <c r="Z809">
        <v>0</v>
      </c>
      <c r="AA809">
        <v>39</v>
      </c>
      <c r="AB809">
        <v>2320</v>
      </c>
      <c r="AC809" s="28">
        <f>ifood_data[[#This Row],[Customer_Days]]/365</f>
        <v>6.3561643835616435</v>
      </c>
      <c r="AD809">
        <v>0</v>
      </c>
      <c r="AE809">
        <v>1</v>
      </c>
      <c r="AF809">
        <v>0</v>
      </c>
      <c r="AG809">
        <v>0</v>
      </c>
      <c r="AH809">
        <v>0</v>
      </c>
      <c r="AI809">
        <v>0</v>
      </c>
      <c r="AJ809">
        <v>0</v>
      </c>
      <c r="AK809">
        <v>0</v>
      </c>
      <c r="AL809">
        <v>0</v>
      </c>
      <c r="AM809">
        <v>1</v>
      </c>
      <c r="AN809">
        <v>407</v>
      </c>
      <c r="AO809">
        <v>392</v>
      </c>
      <c r="AP809">
        <f>ifood_data[[#This Row],[MntTotal]]-ifood_data[[#This Row],[MntRegularProds]]</f>
        <v>15</v>
      </c>
      <c r="AQ809">
        <v>0</v>
      </c>
      <c r="AR809">
        <f>IF(SUM(ifood_data[[#This Row],[Kidhome]:[Teenhome]])&gt;0,1,0)</f>
        <v>1</v>
      </c>
      <c r="AS809" t="str">
        <f>IF(SUM(ifood_data[[#This Row],[Kidhome]:[Teenhome]])&gt;0,"Has Family","No Family")</f>
        <v>Has Family</v>
      </c>
      <c r="AT809" t="str">
        <f>IF(ifood_data[[#This Row],[marital_Married]]=1,"Married", (IF(ifood_data[[#This Row],[marital_Single]]=1,"Single",(IF(ifood_data[[#This Row],[marital_Divorced]]=1,"Divorced",(IF(ifood_data[[#This Row],[marital_Together]]=1,"Living Together",(IF(ifood_data[[#This Row],[marital_Widow]]=1,"Widow","Other")))))))))</f>
        <v>Married</v>
      </c>
      <c r="AU809" t="str">
        <f>IF(ifood_data[[#This Row],[education_Basic]]=1,"High School",(IF(ifood_data[[#This Row],[education_Graduation]]=1,"Undergraduate Degree",(IF(SUM(AM809,AL809,AI809)&gt;0,"Master's Degree or Higher","Other")))))</f>
        <v>Master's Degree or Higher</v>
      </c>
      <c r="AV809" t="str">
        <f>IF(ifood_data[[#All],[Income]]&gt;75000,"75K+",(IF(ifood_data[[#All],[Income]]&gt;50000,"50K-75K",(IF(ifood_data[[#All],[Income]]&gt;35000,"35K-50K","&lt;35K")))))</f>
        <v>50K-75K</v>
      </c>
      <c r="AW809" t="str">
        <f>IF(ifood_data[[#All],[Age]]&gt;60,"60+",(IF(ifood_data[[#All],[Age]]&gt;50,"50-60",(IF(ifood_data[[#All],[Age]]&gt;40,"40-50",(IF(ifood_data[[#All],[Age]]&gt;30,"30-40","&lt;30")))))))</f>
        <v>30-40</v>
      </c>
      <c r="AX809">
        <f t="shared" si="48"/>
        <v>24</v>
      </c>
      <c r="AY809">
        <f t="shared" si="49"/>
        <v>0.99999999999999978</v>
      </c>
      <c r="AZ809">
        <f t="shared" si="50"/>
        <v>6</v>
      </c>
      <c r="BA809">
        <f t="shared" si="51"/>
        <v>5</v>
      </c>
      <c r="BB809">
        <f>SUM(ifood_data[[#This Row],[Recency Score]:[Monetary Score]])</f>
        <v>12</v>
      </c>
      <c r="BC809">
        <f>(_xlfn.PERCENTRANK.INC(ifood_data[[#All],[RFM]],ifood_data[[#This Row],[RFM]],1))*10</f>
        <v>3</v>
      </c>
      <c r="BD809" t="str">
        <f>VLOOKUP(ifood_data[[#This Row],[RFM Score]],'RFM Analysis'!$A$3:$B$14,2,FALSE)</f>
        <v>At Risk</v>
      </c>
      <c r="BE809">
        <f>'Regression Models'!$B$101+'Regression Models'!$B$102*ifood_data[[#This Row],[Income]]+'Regression Models'!$B$103*ifood_data[[#This Row],[Age]]+'Regression Models'!$B$104*ifood_data[[#This Row],[Family]]</f>
        <v>639.47244998793929</v>
      </c>
      <c r="BF809" t="str">
        <f>IF(ifood_data[[#This Row],[AcceptedCmpOverall]]=1,"Campaign Respondent","Non-respondent")</f>
        <v>Non-respondent</v>
      </c>
    </row>
    <row r="810" spans="1:58" x14ac:dyDescent="0.35">
      <c r="A810">
        <v>1955</v>
      </c>
      <c r="B810">
        <v>59686</v>
      </c>
      <c r="C810">
        <v>0</v>
      </c>
      <c r="D810">
        <v>1</v>
      </c>
      <c r="E810">
        <v>78</v>
      </c>
      <c r="F810">
        <v>89</v>
      </c>
      <c r="G810">
        <v>15</v>
      </c>
      <c r="H810">
        <v>89</v>
      </c>
      <c r="I810">
        <v>34</v>
      </c>
      <c r="J810">
        <v>42</v>
      </c>
      <c r="K810">
        <v>5</v>
      </c>
      <c r="L810">
        <v>1</v>
      </c>
      <c r="M810">
        <v>4</v>
      </c>
      <c r="N810">
        <v>1</v>
      </c>
      <c r="O810">
        <v>6</v>
      </c>
      <c r="P810">
        <v>4</v>
      </c>
      <c r="Q810">
        <v>0</v>
      </c>
      <c r="R810">
        <v>0</v>
      </c>
      <c r="S810">
        <v>0</v>
      </c>
      <c r="T810">
        <v>0</v>
      </c>
      <c r="U810">
        <v>0</v>
      </c>
      <c r="V810">
        <f>IF(SUM(ifood_data[[#This Row],[AcceptedCmp1]:[AcceptedCmp5]])&gt;0,1,0)</f>
        <v>0</v>
      </c>
      <c r="W810">
        <v>0</v>
      </c>
      <c r="X810">
        <v>3</v>
      </c>
      <c r="Y810">
        <v>11</v>
      </c>
      <c r="Z810">
        <v>0</v>
      </c>
      <c r="AA810">
        <v>55</v>
      </c>
      <c r="AB810">
        <v>2314</v>
      </c>
      <c r="AC810" s="28">
        <f>ifood_data[[#This Row],[Customer_Days]]/365</f>
        <v>6.3397260273972602</v>
      </c>
      <c r="AD810">
        <v>0</v>
      </c>
      <c r="AE810">
        <v>0</v>
      </c>
      <c r="AF810">
        <v>1</v>
      </c>
      <c r="AG810">
        <v>0</v>
      </c>
      <c r="AH810">
        <v>0</v>
      </c>
      <c r="AI810">
        <v>0</v>
      </c>
      <c r="AJ810">
        <v>0</v>
      </c>
      <c r="AK810">
        <v>1</v>
      </c>
      <c r="AL810">
        <v>0</v>
      </c>
      <c r="AM810">
        <v>0</v>
      </c>
      <c r="AN810">
        <v>269</v>
      </c>
      <c r="AO810">
        <v>264</v>
      </c>
      <c r="AP810">
        <f>ifood_data[[#This Row],[MntTotal]]-ifood_data[[#This Row],[MntRegularProds]]</f>
        <v>5</v>
      </c>
      <c r="AQ810">
        <v>0</v>
      </c>
      <c r="AR810">
        <f>IF(SUM(ifood_data[[#This Row],[Kidhome]:[Teenhome]])&gt;0,1,0)</f>
        <v>1</v>
      </c>
      <c r="AS810" t="str">
        <f>IF(SUM(ifood_data[[#This Row],[Kidhome]:[Teenhome]])&gt;0,"Has Family","No Family")</f>
        <v>Has Family</v>
      </c>
      <c r="AT810" t="str">
        <f>IF(ifood_data[[#This Row],[marital_Married]]=1,"Married", (IF(ifood_data[[#This Row],[marital_Single]]=1,"Single",(IF(ifood_data[[#This Row],[marital_Divorced]]=1,"Divorced",(IF(ifood_data[[#This Row],[marital_Together]]=1,"Living Together",(IF(ifood_data[[#This Row],[marital_Widow]]=1,"Widow","Other")))))))))</f>
        <v>Single</v>
      </c>
      <c r="AU810" t="str">
        <f>IF(ifood_data[[#This Row],[education_Basic]]=1,"High School",(IF(ifood_data[[#This Row],[education_Graduation]]=1,"Undergraduate Degree",(IF(SUM(AM810,AL810,AI810)&gt;0,"Master's Degree or Higher","Other")))))</f>
        <v>Undergraduate Degree</v>
      </c>
      <c r="AV810" t="str">
        <f>IF(ifood_data[[#All],[Income]]&gt;75000,"75K+",(IF(ifood_data[[#All],[Income]]&gt;50000,"50K-75K",(IF(ifood_data[[#All],[Income]]&gt;35000,"35K-50K","&lt;35K")))))</f>
        <v>50K-75K</v>
      </c>
      <c r="AW810" t="str">
        <f>IF(ifood_data[[#All],[Age]]&gt;60,"60+",(IF(ifood_data[[#All],[Age]]&gt;50,"50-60",(IF(ifood_data[[#All],[Age]]&gt;40,"40-50",(IF(ifood_data[[#All],[Age]]&gt;30,"30-40","&lt;30")))))))</f>
        <v>50-60</v>
      </c>
      <c r="AX810">
        <f t="shared" si="48"/>
        <v>16</v>
      </c>
      <c r="AY810">
        <f t="shared" si="49"/>
        <v>3.0000000000000004</v>
      </c>
      <c r="AZ810">
        <f t="shared" si="50"/>
        <v>3</v>
      </c>
      <c r="BA810">
        <f t="shared" si="51"/>
        <v>4</v>
      </c>
      <c r="BB810">
        <f>SUM(ifood_data[[#This Row],[Recency Score]:[Monetary Score]])</f>
        <v>10</v>
      </c>
      <c r="BC810">
        <f>(_xlfn.PERCENTRANK.INC(ifood_data[[#All],[RFM]],ifood_data[[#This Row],[RFM]],1))*10</f>
        <v>2</v>
      </c>
      <c r="BD810" t="str">
        <f>VLOOKUP(ifood_data[[#This Row],[RFM Score]],'RFM Analysis'!$A$3:$B$14,2,FALSE)</f>
        <v>At Risk</v>
      </c>
      <c r="BE810">
        <f>'Regression Models'!$B$101+'Regression Models'!$B$102*ifood_data[[#This Row],[Income]]+'Regression Models'!$B$103*ifood_data[[#This Row],[Age]]+'Regression Models'!$B$104*ifood_data[[#This Row],[Family]]</f>
        <v>638.49097875008192</v>
      </c>
      <c r="BF810" t="str">
        <f>IF(ifood_data[[#This Row],[AcceptedCmpOverall]]=1,"Campaign Respondent","Non-respondent")</f>
        <v>Non-respondent</v>
      </c>
    </row>
    <row r="811" spans="1:58" x14ac:dyDescent="0.35">
      <c r="A811">
        <v>1097</v>
      </c>
      <c r="B811">
        <v>59594</v>
      </c>
      <c r="C811">
        <v>0</v>
      </c>
      <c r="D811">
        <v>1</v>
      </c>
      <c r="E811">
        <v>74</v>
      </c>
      <c r="F811">
        <v>457</v>
      </c>
      <c r="G811">
        <v>4</v>
      </c>
      <c r="H811">
        <v>29</v>
      </c>
      <c r="I811">
        <v>0</v>
      </c>
      <c r="J811">
        <v>0</v>
      </c>
      <c r="K811">
        <v>9</v>
      </c>
      <c r="L811">
        <v>1</v>
      </c>
      <c r="M811">
        <v>8</v>
      </c>
      <c r="N811">
        <v>1</v>
      </c>
      <c r="O811">
        <v>7</v>
      </c>
      <c r="P811">
        <v>7</v>
      </c>
      <c r="Q811">
        <v>0</v>
      </c>
      <c r="R811">
        <v>0</v>
      </c>
      <c r="S811">
        <v>0</v>
      </c>
      <c r="T811">
        <v>1</v>
      </c>
      <c r="U811">
        <v>0</v>
      </c>
      <c r="V811">
        <f>IF(SUM(ifood_data[[#This Row],[AcceptedCmp1]:[AcceptedCmp5]])&gt;0,1,0)</f>
        <v>1</v>
      </c>
      <c r="W811">
        <v>0</v>
      </c>
      <c r="X811">
        <v>3</v>
      </c>
      <c r="Y811">
        <v>11</v>
      </c>
      <c r="Z811">
        <v>0</v>
      </c>
      <c r="AA811">
        <v>55</v>
      </c>
      <c r="AB811">
        <v>2776</v>
      </c>
      <c r="AC811" s="28">
        <f>ifood_data[[#This Row],[Customer_Days]]/365</f>
        <v>7.6054794520547944</v>
      </c>
      <c r="AD811">
        <v>0</v>
      </c>
      <c r="AE811">
        <v>1</v>
      </c>
      <c r="AF811">
        <v>0</v>
      </c>
      <c r="AG811">
        <v>0</v>
      </c>
      <c r="AH811">
        <v>0</v>
      </c>
      <c r="AI811">
        <v>0</v>
      </c>
      <c r="AJ811">
        <v>0</v>
      </c>
      <c r="AK811">
        <v>1</v>
      </c>
      <c r="AL811">
        <v>0</v>
      </c>
      <c r="AM811">
        <v>0</v>
      </c>
      <c r="AN811">
        <v>490</v>
      </c>
      <c r="AO811">
        <v>481</v>
      </c>
      <c r="AP811">
        <f>ifood_data[[#This Row],[MntTotal]]-ifood_data[[#This Row],[MntRegularProds]]</f>
        <v>9</v>
      </c>
      <c r="AQ811">
        <v>1</v>
      </c>
      <c r="AR811">
        <f>IF(SUM(ifood_data[[#This Row],[Kidhome]:[Teenhome]])&gt;0,1,0)</f>
        <v>1</v>
      </c>
      <c r="AS811" t="str">
        <f>IF(SUM(ifood_data[[#This Row],[Kidhome]:[Teenhome]])&gt;0,"Has Family","No Family")</f>
        <v>Has Family</v>
      </c>
      <c r="AT811" t="str">
        <f>IF(ifood_data[[#This Row],[marital_Married]]=1,"Married", (IF(ifood_data[[#This Row],[marital_Single]]=1,"Single",(IF(ifood_data[[#This Row],[marital_Divorced]]=1,"Divorced",(IF(ifood_data[[#This Row],[marital_Together]]=1,"Living Together",(IF(ifood_data[[#This Row],[marital_Widow]]=1,"Widow","Other")))))))))</f>
        <v>Married</v>
      </c>
      <c r="AU811" t="str">
        <f>IF(ifood_data[[#This Row],[education_Basic]]=1,"High School",(IF(ifood_data[[#This Row],[education_Graduation]]=1,"Undergraduate Degree",(IF(SUM(AM811,AL811,AI811)&gt;0,"Master's Degree or Higher","Other")))))</f>
        <v>Undergraduate Degree</v>
      </c>
      <c r="AV811" t="str">
        <f>IF(ifood_data[[#All],[Income]]&gt;75000,"75K+",(IF(ifood_data[[#All],[Income]]&gt;50000,"50K-75K",(IF(ifood_data[[#All],[Income]]&gt;35000,"35K-50K","&lt;35K")))))</f>
        <v>50K-75K</v>
      </c>
      <c r="AW811" t="str">
        <f>IF(ifood_data[[#All],[Age]]&gt;60,"60+",(IF(ifood_data[[#All],[Age]]&gt;50,"50-60",(IF(ifood_data[[#All],[Age]]&gt;40,"40-50",(IF(ifood_data[[#All],[Age]]&gt;30,"30-40","&lt;30")))))))</f>
        <v>50-60</v>
      </c>
      <c r="AX811">
        <f t="shared" si="48"/>
        <v>24</v>
      </c>
      <c r="AY811">
        <f t="shared" si="49"/>
        <v>3.0000000000000004</v>
      </c>
      <c r="AZ811">
        <f t="shared" si="50"/>
        <v>6</v>
      </c>
      <c r="BA811">
        <f t="shared" si="51"/>
        <v>5</v>
      </c>
      <c r="BB811">
        <f>SUM(ifood_data[[#This Row],[Recency Score]:[Monetary Score]])</f>
        <v>14</v>
      </c>
      <c r="BC811">
        <f>(_xlfn.PERCENTRANK.INC(ifood_data[[#All],[RFM]],ifood_data[[#This Row],[RFM]],1))*10</f>
        <v>4</v>
      </c>
      <c r="BD811" t="str">
        <f>VLOOKUP(ifood_data[[#This Row],[RFM Score]],'RFM Analysis'!$A$3:$B$14,2,FALSE)</f>
        <v>At Risk</v>
      </c>
      <c r="BE811">
        <f>'Regression Models'!$B$101+'Regression Models'!$B$102*ifood_data[[#This Row],[Income]]+'Regression Models'!$B$103*ifood_data[[#This Row],[Age]]+'Regression Models'!$B$104*ifood_data[[#This Row],[Family]]</f>
        <v>636.61521208084332</v>
      </c>
      <c r="BF811" t="str">
        <f>IF(ifood_data[[#This Row],[AcceptedCmpOverall]]=1,"Campaign Respondent","Non-respondent")</f>
        <v>Campaign Respondent</v>
      </c>
    </row>
    <row r="812" spans="1:58" x14ac:dyDescent="0.35">
      <c r="A812">
        <v>1414</v>
      </c>
      <c r="B812">
        <v>58597</v>
      </c>
      <c r="C812">
        <v>1</v>
      </c>
      <c r="D812">
        <v>1</v>
      </c>
      <c r="E812">
        <v>20</v>
      </c>
      <c r="F812">
        <v>490</v>
      </c>
      <c r="G812">
        <v>0</v>
      </c>
      <c r="H812">
        <v>184</v>
      </c>
      <c r="I812">
        <v>10</v>
      </c>
      <c r="J812">
        <v>28</v>
      </c>
      <c r="K812">
        <v>21</v>
      </c>
      <c r="L812">
        <v>12</v>
      </c>
      <c r="M812">
        <v>7</v>
      </c>
      <c r="N812">
        <v>4</v>
      </c>
      <c r="O812">
        <v>9</v>
      </c>
      <c r="P812">
        <v>7</v>
      </c>
      <c r="Q812">
        <v>0</v>
      </c>
      <c r="R812">
        <v>0</v>
      </c>
      <c r="S812">
        <v>0</v>
      </c>
      <c r="T812">
        <v>0</v>
      </c>
      <c r="U812">
        <v>0</v>
      </c>
      <c r="V812">
        <f>IF(SUM(ifood_data[[#This Row],[AcceptedCmp1]:[AcceptedCmp5]])&gt;0,1,0)</f>
        <v>0</v>
      </c>
      <c r="W812">
        <v>0</v>
      </c>
      <c r="X812">
        <v>3</v>
      </c>
      <c r="Y812">
        <v>11</v>
      </c>
      <c r="Z812">
        <v>0</v>
      </c>
      <c r="AA812">
        <v>44</v>
      </c>
      <c r="AB812">
        <v>2745</v>
      </c>
      <c r="AC812" s="28">
        <f>ifood_data[[#This Row],[Customer_Days]]/365</f>
        <v>7.5205479452054798</v>
      </c>
      <c r="AD812">
        <v>0</v>
      </c>
      <c r="AE812">
        <v>1</v>
      </c>
      <c r="AF812">
        <v>0</v>
      </c>
      <c r="AG812">
        <v>0</v>
      </c>
      <c r="AH812">
        <v>0</v>
      </c>
      <c r="AI812">
        <v>0</v>
      </c>
      <c r="AJ812">
        <v>0</v>
      </c>
      <c r="AK812">
        <v>1</v>
      </c>
      <c r="AL812">
        <v>0</v>
      </c>
      <c r="AM812">
        <v>0</v>
      </c>
      <c r="AN812">
        <v>712</v>
      </c>
      <c r="AO812">
        <v>691</v>
      </c>
      <c r="AP812">
        <f>ifood_data[[#This Row],[MntTotal]]-ifood_data[[#This Row],[MntRegularProds]]</f>
        <v>21</v>
      </c>
      <c r="AQ812">
        <v>0</v>
      </c>
      <c r="AR812">
        <f>IF(SUM(ifood_data[[#This Row],[Kidhome]:[Teenhome]])&gt;0,1,0)</f>
        <v>1</v>
      </c>
      <c r="AS812" t="str">
        <f>IF(SUM(ifood_data[[#This Row],[Kidhome]:[Teenhome]])&gt;0,"Has Family","No Family")</f>
        <v>Has Family</v>
      </c>
      <c r="AT812" t="str">
        <f>IF(ifood_data[[#This Row],[marital_Married]]=1,"Married", (IF(ifood_data[[#This Row],[marital_Single]]=1,"Single",(IF(ifood_data[[#This Row],[marital_Divorced]]=1,"Divorced",(IF(ifood_data[[#This Row],[marital_Together]]=1,"Living Together",(IF(ifood_data[[#This Row],[marital_Widow]]=1,"Widow","Other")))))))))</f>
        <v>Married</v>
      </c>
      <c r="AU812" t="str">
        <f>IF(ifood_data[[#This Row],[education_Basic]]=1,"High School",(IF(ifood_data[[#This Row],[education_Graduation]]=1,"Undergraduate Degree",(IF(SUM(AM812,AL812,AI812)&gt;0,"Master's Degree or Higher","Other")))))</f>
        <v>Undergraduate Degree</v>
      </c>
      <c r="AV812" t="str">
        <f>IF(ifood_data[[#All],[Income]]&gt;75000,"75K+",(IF(ifood_data[[#All],[Income]]&gt;50000,"50K-75K",(IF(ifood_data[[#All],[Income]]&gt;35000,"35K-50K","&lt;35K")))))</f>
        <v>50K-75K</v>
      </c>
      <c r="AW812" t="str">
        <f>IF(ifood_data[[#All],[Age]]&gt;60,"60+",(IF(ifood_data[[#All],[Age]]&gt;50,"50-60",(IF(ifood_data[[#All],[Age]]&gt;40,"40-50",(IF(ifood_data[[#All],[Age]]&gt;30,"30-40","&lt;30")))))))</f>
        <v>40-50</v>
      </c>
      <c r="AX812">
        <f t="shared" si="48"/>
        <v>39</v>
      </c>
      <c r="AY812">
        <f t="shared" si="49"/>
        <v>8</v>
      </c>
      <c r="AZ812">
        <f t="shared" si="50"/>
        <v>9</v>
      </c>
      <c r="BA812">
        <f t="shared" si="51"/>
        <v>6</v>
      </c>
      <c r="BB812">
        <f>SUM(ifood_data[[#This Row],[Recency Score]:[Monetary Score]])</f>
        <v>23</v>
      </c>
      <c r="BC812">
        <f>(_xlfn.PERCENTRANK.INC(ifood_data[[#All],[RFM]],ifood_data[[#This Row],[RFM]],1))*10</f>
        <v>8</v>
      </c>
      <c r="BD812" t="str">
        <f>VLOOKUP(ifood_data[[#This Row],[RFM Score]],'RFM Analysis'!$A$3:$B$14,2,FALSE)</f>
        <v>Loyal Customer</v>
      </c>
      <c r="BE812">
        <f>'Regression Models'!$B$101+'Regression Models'!$B$102*ifood_data[[#This Row],[Income]]+'Regression Models'!$B$103*ifood_data[[#This Row],[Age]]+'Regression Models'!$B$104*ifood_data[[#This Row],[Family]]</f>
        <v>636.48844010921323</v>
      </c>
      <c r="BF812" t="str">
        <f>IF(ifood_data[[#This Row],[AcceptedCmpOverall]]=1,"Campaign Respondent","Non-respondent")</f>
        <v>Non-respondent</v>
      </c>
    </row>
    <row r="813" spans="1:58" x14ac:dyDescent="0.35">
      <c r="A813">
        <v>1856</v>
      </c>
      <c r="B813">
        <v>60905</v>
      </c>
      <c r="C813">
        <v>0</v>
      </c>
      <c r="D813">
        <v>1</v>
      </c>
      <c r="E813">
        <v>27</v>
      </c>
      <c r="F813">
        <v>208</v>
      </c>
      <c r="G813">
        <v>17</v>
      </c>
      <c r="H813">
        <v>76</v>
      </c>
      <c r="I813">
        <v>36</v>
      </c>
      <c r="J813">
        <v>17</v>
      </c>
      <c r="K813">
        <v>38</v>
      </c>
      <c r="L813">
        <v>2</v>
      </c>
      <c r="M813">
        <v>3</v>
      </c>
      <c r="N813">
        <v>3</v>
      </c>
      <c r="O813">
        <v>7</v>
      </c>
      <c r="P813">
        <v>2</v>
      </c>
      <c r="Q813">
        <v>0</v>
      </c>
      <c r="R813">
        <v>0</v>
      </c>
      <c r="S813">
        <v>0</v>
      </c>
      <c r="T813">
        <v>0</v>
      </c>
      <c r="U813">
        <v>0</v>
      </c>
      <c r="V813">
        <f>IF(SUM(ifood_data[[#This Row],[AcceptedCmp1]:[AcceptedCmp5]])&gt;0,1,0)</f>
        <v>0</v>
      </c>
      <c r="W813">
        <v>0</v>
      </c>
      <c r="X813">
        <v>3</v>
      </c>
      <c r="Y813">
        <v>11</v>
      </c>
      <c r="Z813">
        <v>0</v>
      </c>
      <c r="AA813">
        <v>70</v>
      </c>
      <c r="AB813">
        <v>2365</v>
      </c>
      <c r="AC813" s="28">
        <f>ifood_data[[#This Row],[Customer_Days]]/365</f>
        <v>6.4794520547945202</v>
      </c>
      <c r="AD813">
        <v>0</v>
      </c>
      <c r="AE813">
        <v>0</v>
      </c>
      <c r="AF813">
        <v>0</v>
      </c>
      <c r="AG813">
        <v>1</v>
      </c>
      <c r="AH813">
        <v>0</v>
      </c>
      <c r="AI813">
        <v>0</v>
      </c>
      <c r="AJ813">
        <v>0</v>
      </c>
      <c r="AK813">
        <v>1</v>
      </c>
      <c r="AL813">
        <v>0</v>
      </c>
      <c r="AM813">
        <v>0</v>
      </c>
      <c r="AN813">
        <v>354</v>
      </c>
      <c r="AO813">
        <v>316</v>
      </c>
      <c r="AP813">
        <f>ifood_data[[#This Row],[MntTotal]]-ifood_data[[#This Row],[MntRegularProds]]</f>
        <v>38</v>
      </c>
      <c r="AQ813">
        <v>0</v>
      </c>
      <c r="AR813">
        <f>IF(SUM(ifood_data[[#This Row],[Kidhome]:[Teenhome]])&gt;0,1,0)</f>
        <v>1</v>
      </c>
      <c r="AS813" t="str">
        <f>IF(SUM(ifood_data[[#This Row],[Kidhome]:[Teenhome]])&gt;0,"Has Family","No Family")</f>
        <v>Has Family</v>
      </c>
      <c r="AT813" t="str">
        <f>IF(ifood_data[[#This Row],[marital_Married]]=1,"Married", (IF(ifood_data[[#This Row],[marital_Single]]=1,"Single",(IF(ifood_data[[#This Row],[marital_Divorced]]=1,"Divorced",(IF(ifood_data[[#This Row],[marital_Together]]=1,"Living Together",(IF(ifood_data[[#This Row],[marital_Widow]]=1,"Widow","Other")))))))))</f>
        <v>Living Together</v>
      </c>
      <c r="AU813" t="str">
        <f>IF(ifood_data[[#This Row],[education_Basic]]=1,"High School",(IF(ifood_data[[#This Row],[education_Graduation]]=1,"Undergraduate Degree",(IF(SUM(AM813,AL813,AI813)&gt;0,"Master's Degree or Higher","Other")))))</f>
        <v>Undergraduate Degree</v>
      </c>
      <c r="AV813" t="str">
        <f>IF(ifood_data[[#All],[Income]]&gt;75000,"75K+",(IF(ifood_data[[#All],[Income]]&gt;50000,"50K-75K",(IF(ifood_data[[#All],[Income]]&gt;35000,"35K-50K","&lt;35K")))))</f>
        <v>50K-75K</v>
      </c>
      <c r="AW813" t="str">
        <f>IF(ifood_data[[#All],[Age]]&gt;60,"60+",(IF(ifood_data[[#All],[Age]]&gt;50,"50-60",(IF(ifood_data[[#All],[Age]]&gt;40,"40-50",(IF(ifood_data[[#All],[Age]]&gt;30,"30-40","&lt;30")))))))</f>
        <v>60+</v>
      </c>
      <c r="AX813">
        <f t="shared" si="48"/>
        <v>17</v>
      </c>
      <c r="AY813">
        <f t="shared" si="49"/>
        <v>8</v>
      </c>
      <c r="AZ813">
        <f t="shared" si="50"/>
        <v>3</v>
      </c>
      <c r="BA813">
        <f t="shared" si="51"/>
        <v>5</v>
      </c>
      <c r="BB813">
        <f>SUM(ifood_data[[#This Row],[Recency Score]:[Monetary Score]])</f>
        <v>16</v>
      </c>
      <c r="BC813">
        <f>(_xlfn.PERCENTRANK.INC(ifood_data[[#All],[RFM]],ifood_data[[#This Row],[RFM]],1))*10</f>
        <v>5</v>
      </c>
      <c r="BD813" t="str">
        <f>VLOOKUP(ifood_data[[#This Row],[RFM Score]],'RFM Analysis'!$A$3:$B$14,2,FALSE)</f>
        <v>Promising</v>
      </c>
      <c r="BE813">
        <f>'Regression Models'!$B$101+'Regression Models'!$B$102*ifood_data[[#This Row],[Income]]+'Regression Models'!$B$103*ifood_data[[#This Row],[Age]]+'Regression Models'!$B$104*ifood_data[[#This Row],[Family]]</f>
        <v>635.79830093408054</v>
      </c>
      <c r="BF813" t="str">
        <f>IF(ifood_data[[#This Row],[AcceptedCmpOverall]]=1,"Campaign Respondent","Non-respondent")</f>
        <v>Non-respondent</v>
      </c>
    </row>
    <row r="814" spans="1:58" x14ac:dyDescent="0.35">
      <c r="A814">
        <v>895</v>
      </c>
      <c r="B814">
        <v>57937</v>
      </c>
      <c r="C814">
        <v>0</v>
      </c>
      <c r="D814">
        <v>1</v>
      </c>
      <c r="E814">
        <v>56</v>
      </c>
      <c r="F814">
        <v>261</v>
      </c>
      <c r="G814">
        <v>42</v>
      </c>
      <c r="H814">
        <v>144</v>
      </c>
      <c r="I814">
        <v>55</v>
      </c>
      <c r="J814">
        <v>48</v>
      </c>
      <c r="K814">
        <v>133</v>
      </c>
      <c r="L814">
        <v>3</v>
      </c>
      <c r="M814">
        <v>4</v>
      </c>
      <c r="N814">
        <v>4</v>
      </c>
      <c r="O814">
        <v>9</v>
      </c>
      <c r="P814">
        <v>3</v>
      </c>
      <c r="Q814">
        <v>0</v>
      </c>
      <c r="R814">
        <v>0</v>
      </c>
      <c r="S814">
        <v>0</v>
      </c>
      <c r="T814">
        <v>0</v>
      </c>
      <c r="U814">
        <v>0</v>
      </c>
      <c r="V814">
        <f>IF(SUM(ifood_data[[#This Row],[AcceptedCmp1]:[AcceptedCmp5]])&gt;0,1,0)</f>
        <v>0</v>
      </c>
      <c r="W814">
        <v>0</v>
      </c>
      <c r="X814">
        <v>3</v>
      </c>
      <c r="Y814">
        <v>11</v>
      </c>
      <c r="Z814">
        <v>0</v>
      </c>
      <c r="AA814">
        <v>38</v>
      </c>
      <c r="AB814">
        <v>2292</v>
      </c>
      <c r="AC814" s="28">
        <f>ifood_data[[#This Row],[Customer_Days]]/365</f>
        <v>6.279452054794521</v>
      </c>
      <c r="AD814">
        <v>0</v>
      </c>
      <c r="AE814">
        <v>1</v>
      </c>
      <c r="AF814">
        <v>0</v>
      </c>
      <c r="AG814">
        <v>0</v>
      </c>
      <c r="AH814">
        <v>0</v>
      </c>
      <c r="AI814">
        <v>1</v>
      </c>
      <c r="AJ814">
        <v>0</v>
      </c>
      <c r="AK814">
        <v>0</v>
      </c>
      <c r="AL814">
        <v>0</v>
      </c>
      <c r="AM814">
        <v>0</v>
      </c>
      <c r="AN814">
        <v>550</v>
      </c>
      <c r="AO814">
        <v>417</v>
      </c>
      <c r="AP814">
        <f>ifood_data[[#This Row],[MntTotal]]-ifood_data[[#This Row],[MntRegularProds]]</f>
        <v>133</v>
      </c>
      <c r="AQ814">
        <v>0</v>
      </c>
      <c r="AR814">
        <f>IF(SUM(ifood_data[[#This Row],[Kidhome]:[Teenhome]])&gt;0,1,0)</f>
        <v>1</v>
      </c>
      <c r="AS814" t="str">
        <f>IF(SUM(ifood_data[[#This Row],[Kidhome]:[Teenhome]])&gt;0,"Has Family","No Family")</f>
        <v>Has Family</v>
      </c>
      <c r="AT814" t="str">
        <f>IF(ifood_data[[#This Row],[marital_Married]]=1,"Married", (IF(ifood_data[[#This Row],[marital_Single]]=1,"Single",(IF(ifood_data[[#This Row],[marital_Divorced]]=1,"Divorced",(IF(ifood_data[[#This Row],[marital_Together]]=1,"Living Together",(IF(ifood_data[[#This Row],[marital_Widow]]=1,"Widow","Other")))))))))</f>
        <v>Married</v>
      </c>
      <c r="AU814" t="str">
        <f>IF(ifood_data[[#This Row],[education_Basic]]=1,"High School",(IF(ifood_data[[#This Row],[education_Graduation]]=1,"Undergraduate Degree",(IF(SUM(AM814,AL814,AI814)&gt;0,"Master's Degree or Higher","Other")))))</f>
        <v>Master's Degree or Higher</v>
      </c>
      <c r="AV814" t="str">
        <f>IF(ifood_data[[#All],[Income]]&gt;75000,"75K+",(IF(ifood_data[[#All],[Income]]&gt;50000,"50K-75K",(IF(ifood_data[[#All],[Income]]&gt;35000,"35K-50K","&lt;35K")))))</f>
        <v>50K-75K</v>
      </c>
      <c r="AW814" t="str">
        <f>IF(ifood_data[[#All],[Age]]&gt;60,"60+",(IF(ifood_data[[#All],[Age]]&gt;50,"50-60",(IF(ifood_data[[#All],[Age]]&gt;40,"40-50",(IF(ifood_data[[#All],[Age]]&gt;30,"30-40","&lt;30")))))))</f>
        <v>30-40</v>
      </c>
      <c r="AX814">
        <f t="shared" si="48"/>
        <v>23</v>
      </c>
      <c r="AY814">
        <f t="shared" si="49"/>
        <v>5</v>
      </c>
      <c r="AZ814">
        <f t="shared" si="50"/>
        <v>6</v>
      </c>
      <c r="BA814">
        <f t="shared" si="51"/>
        <v>5</v>
      </c>
      <c r="BB814">
        <f>SUM(ifood_data[[#This Row],[Recency Score]:[Monetary Score]])</f>
        <v>16</v>
      </c>
      <c r="BC814">
        <f>(_xlfn.PERCENTRANK.INC(ifood_data[[#All],[RFM]],ifood_data[[#This Row],[RFM]],1))*10</f>
        <v>5</v>
      </c>
      <c r="BD814" t="str">
        <f>VLOOKUP(ifood_data[[#This Row],[RFM Score]],'RFM Analysis'!$A$3:$B$14,2,FALSE)</f>
        <v>Promising</v>
      </c>
      <c r="BE814">
        <f>'Regression Models'!$B$101+'Regression Models'!$B$102*ifood_data[[#This Row],[Income]]+'Regression Models'!$B$103*ifood_data[[#This Row],[Age]]+'Regression Models'!$B$104*ifood_data[[#This Row],[Family]]</f>
        <v>634.05048760760553</v>
      </c>
      <c r="BF814" t="str">
        <f>IF(ifood_data[[#This Row],[AcceptedCmpOverall]]=1,"Campaign Respondent","Non-respondent")</f>
        <v>Non-respondent</v>
      </c>
    </row>
    <row r="815" spans="1:58" x14ac:dyDescent="0.35">
      <c r="A815">
        <v>2016</v>
      </c>
      <c r="B815">
        <v>44802</v>
      </c>
      <c r="C815">
        <v>0</v>
      </c>
      <c r="D815">
        <v>0</v>
      </c>
      <c r="E815">
        <v>71</v>
      </c>
      <c r="F815">
        <v>853</v>
      </c>
      <c r="G815">
        <v>10</v>
      </c>
      <c r="H815">
        <v>143</v>
      </c>
      <c r="I815">
        <v>13</v>
      </c>
      <c r="J815">
        <v>10</v>
      </c>
      <c r="K815">
        <v>20</v>
      </c>
      <c r="L815">
        <v>2</v>
      </c>
      <c r="M815">
        <v>9</v>
      </c>
      <c r="N815">
        <v>4</v>
      </c>
      <c r="O815">
        <v>12</v>
      </c>
      <c r="P815">
        <v>8</v>
      </c>
      <c r="Q815">
        <v>0</v>
      </c>
      <c r="R815">
        <v>0</v>
      </c>
      <c r="S815">
        <v>0</v>
      </c>
      <c r="T815">
        <v>0</v>
      </c>
      <c r="U815">
        <v>0</v>
      </c>
      <c r="V815">
        <f>IF(SUM(ifood_data[[#This Row],[AcceptedCmp1]:[AcceptedCmp5]])&gt;0,1,0)</f>
        <v>0</v>
      </c>
      <c r="W815">
        <v>0</v>
      </c>
      <c r="X815">
        <v>3</v>
      </c>
      <c r="Y815">
        <v>11</v>
      </c>
      <c r="Z815">
        <v>0</v>
      </c>
      <c r="AA815">
        <v>50</v>
      </c>
      <c r="AB815">
        <v>2836</v>
      </c>
      <c r="AC815" s="28">
        <f>ifood_data[[#This Row],[Customer_Days]]/365</f>
        <v>7.7698630136986298</v>
      </c>
      <c r="AD815">
        <v>0</v>
      </c>
      <c r="AE815">
        <v>0</v>
      </c>
      <c r="AF815">
        <v>1</v>
      </c>
      <c r="AG815">
        <v>0</v>
      </c>
      <c r="AH815">
        <v>0</v>
      </c>
      <c r="AI815">
        <v>0</v>
      </c>
      <c r="AJ815">
        <v>0</v>
      </c>
      <c r="AK815">
        <v>0</v>
      </c>
      <c r="AL815">
        <v>1</v>
      </c>
      <c r="AM815">
        <v>0</v>
      </c>
      <c r="AN815">
        <v>1029</v>
      </c>
      <c r="AO815">
        <v>1009</v>
      </c>
      <c r="AP815">
        <f>ifood_data[[#This Row],[MntTotal]]-ifood_data[[#This Row],[MntRegularProds]]</f>
        <v>20</v>
      </c>
      <c r="AQ815">
        <v>0</v>
      </c>
      <c r="AR815">
        <f>IF(SUM(ifood_data[[#This Row],[Kidhome]:[Teenhome]])&gt;0,1,0)</f>
        <v>0</v>
      </c>
      <c r="AS815" t="str">
        <f>IF(SUM(ifood_data[[#This Row],[Kidhome]:[Teenhome]])&gt;0,"Has Family","No Family")</f>
        <v>No Family</v>
      </c>
      <c r="AT815" t="str">
        <f>IF(ifood_data[[#This Row],[marital_Married]]=1,"Married", (IF(ifood_data[[#This Row],[marital_Single]]=1,"Single",(IF(ifood_data[[#This Row],[marital_Divorced]]=1,"Divorced",(IF(ifood_data[[#This Row],[marital_Together]]=1,"Living Together",(IF(ifood_data[[#This Row],[marital_Widow]]=1,"Widow","Other")))))))))</f>
        <v>Single</v>
      </c>
      <c r="AU815" t="str">
        <f>IF(ifood_data[[#This Row],[education_Basic]]=1,"High School",(IF(ifood_data[[#This Row],[education_Graduation]]=1,"Undergraduate Degree",(IF(SUM(AM815,AL815,AI815)&gt;0,"Master's Degree or Higher","Other")))))</f>
        <v>Master's Degree or Higher</v>
      </c>
      <c r="AV815" t="str">
        <f>IF(ifood_data[[#All],[Income]]&gt;75000,"75K+",(IF(ifood_data[[#All],[Income]]&gt;50000,"50K-75K",(IF(ifood_data[[#All],[Income]]&gt;35000,"35K-50K","&lt;35K")))))</f>
        <v>35K-50K</v>
      </c>
      <c r="AW815" t="str">
        <f>IF(ifood_data[[#All],[Age]]&gt;60,"60+",(IF(ifood_data[[#All],[Age]]&gt;50,"50-60",(IF(ifood_data[[#All],[Age]]&gt;40,"40-50",(IF(ifood_data[[#All],[Age]]&gt;30,"30-40","&lt;30")))))))</f>
        <v>40-50</v>
      </c>
      <c r="AX815">
        <f t="shared" si="48"/>
        <v>35</v>
      </c>
      <c r="AY815">
        <f t="shared" si="49"/>
        <v>3.0000000000000004</v>
      </c>
      <c r="AZ815">
        <f t="shared" si="50"/>
        <v>9</v>
      </c>
      <c r="BA815">
        <f t="shared" si="51"/>
        <v>7</v>
      </c>
      <c r="BB815">
        <f>SUM(ifood_data[[#This Row],[Recency Score]:[Monetary Score]])</f>
        <v>19</v>
      </c>
      <c r="BC815">
        <f>(_xlfn.PERCENTRANK.INC(ifood_data[[#All],[RFM]],ifood_data[[#This Row],[RFM]],1))*10</f>
        <v>7</v>
      </c>
      <c r="BD815" t="str">
        <f>VLOOKUP(ifood_data[[#This Row],[RFM Score]],'RFM Analysis'!$A$3:$B$14,2,FALSE)</f>
        <v>Loyal Customer</v>
      </c>
      <c r="BE815">
        <f>'Regression Models'!$B$101+'Regression Models'!$B$102*ifood_data[[#This Row],[Income]]+'Regression Models'!$B$103*ifood_data[[#This Row],[Age]]+'Regression Models'!$B$104*ifood_data[[#This Row],[Family]]</f>
        <v>633.82038016377783</v>
      </c>
      <c r="BF815" t="str">
        <f>IF(ifood_data[[#This Row],[AcceptedCmpOverall]]=1,"Campaign Respondent","Non-respondent")</f>
        <v>Non-respondent</v>
      </c>
    </row>
    <row r="816" spans="1:58" x14ac:dyDescent="0.35">
      <c r="A816">
        <v>1858</v>
      </c>
      <c r="B816">
        <v>60689</v>
      </c>
      <c r="C816">
        <v>0</v>
      </c>
      <c r="D816">
        <v>1</v>
      </c>
      <c r="E816">
        <v>23</v>
      </c>
      <c r="F816">
        <v>240</v>
      </c>
      <c r="G816">
        <v>90</v>
      </c>
      <c r="H816">
        <v>216</v>
      </c>
      <c r="I816">
        <v>63</v>
      </c>
      <c r="J816">
        <v>6</v>
      </c>
      <c r="K816">
        <v>24</v>
      </c>
      <c r="L816">
        <v>4</v>
      </c>
      <c r="M816">
        <v>4</v>
      </c>
      <c r="N816">
        <v>4</v>
      </c>
      <c r="O816">
        <v>10</v>
      </c>
      <c r="P816">
        <v>3</v>
      </c>
      <c r="Q816">
        <v>0</v>
      </c>
      <c r="R816">
        <v>0</v>
      </c>
      <c r="S816">
        <v>0</v>
      </c>
      <c r="T816">
        <v>0</v>
      </c>
      <c r="U816">
        <v>0</v>
      </c>
      <c r="V816">
        <f>IF(SUM(ifood_data[[#This Row],[AcceptedCmp1]:[AcceptedCmp5]])&gt;0,1,0)</f>
        <v>0</v>
      </c>
      <c r="W816">
        <v>0</v>
      </c>
      <c r="X816">
        <v>3</v>
      </c>
      <c r="Y816">
        <v>11</v>
      </c>
      <c r="Z816">
        <v>0</v>
      </c>
      <c r="AA816">
        <v>69</v>
      </c>
      <c r="AB816">
        <v>2552</v>
      </c>
      <c r="AC816" s="28">
        <f>ifood_data[[#This Row],[Customer_Days]]/365</f>
        <v>6.9917808219178079</v>
      </c>
      <c r="AD816">
        <v>0</v>
      </c>
      <c r="AE816">
        <v>0</v>
      </c>
      <c r="AF816">
        <v>1</v>
      </c>
      <c r="AG816">
        <v>0</v>
      </c>
      <c r="AH816">
        <v>0</v>
      </c>
      <c r="AI816">
        <v>0</v>
      </c>
      <c r="AJ816">
        <v>0</v>
      </c>
      <c r="AK816">
        <v>1</v>
      </c>
      <c r="AL816">
        <v>0</v>
      </c>
      <c r="AM816">
        <v>0</v>
      </c>
      <c r="AN816">
        <v>615</v>
      </c>
      <c r="AO816">
        <v>591</v>
      </c>
      <c r="AP816">
        <f>ifood_data[[#This Row],[MntTotal]]-ifood_data[[#This Row],[MntRegularProds]]</f>
        <v>24</v>
      </c>
      <c r="AQ816">
        <v>0</v>
      </c>
      <c r="AR816">
        <f>IF(SUM(ifood_data[[#This Row],[Kidhome]:[Teenhome]])&gt;0,1,0)</f>
        <v>1</v>
      </c>
      <c r="AS816" t="str">
        <f>IF(SUM(ifood_data[[#This Row],[Kidhome]:[Teenhome]])&gt;0,"Has Family","No Family")</f>
        <v>Has Family</v>
      </c>
      <c r="AT816" t="str">
        <f>IF(ifood_data[[#This Row],[marital_Married]]=1,"Married", (IF(ifood_data[[#This Row],[marital_Single]]=1,"Single",(IF(ifood_data[[#This Row],[marital_Divorced]]=1,"Divorced",(IF(ifood_data[[#This Row],[marital_Together]]=1,"Living Together",(IF(ifood_data[[#This Row],[marital_Widow]]=1,"Widow","Other")))))))))</f>
        <v>Single</v>
      </c>
      <c r="AU816" t="str">
        <f>IF(ifood_data[[#This Row],[education_Basic]]=1,"High School",(IF(ifood_data[[#This Row],[education_Graduation]]=1,"Undergraduate Degree",(IF(SUM(AM816,AL816,AI816)&gt;0,"Master's Degree or Higher","Other")))))</f>
        <v>Undergraduate Degree</v>
      </c>
      <c r="AV816" t="str">
        <f>IF(ifood_data[[#All],[Income]]&gt;75000,"75K+",(IF(ifood_data[[#All],[Income]]&gt;50000,"50K-75K",(IF(ifood_data[[#All],[Income]]&gt;35000,"35K-50K","&lt;35K")))))</f>
        <v>50K-75K</v>
      </c>
      <c r="AW816" t="str">
        <f>IF(ifood_data[[#All],[Age]]&gt;60,"60+",(IF(ifood_data[[#All],[Age]]&gt;50,"50-60",(IF(ifood_data[[#All],[Age]]&gt;40,"40-50",(IF(ifood_data[[#All],[Age]]&gt;30,"30-40","&lt;30")))))))</f>
        <v>60+</v>
      </c>
      <c r="AX816">
        <f t="shared" si="48"/>
        <v>25</v>
      </c>
      <c r="AY816">
        <f t="shared" si="49"/>
        <v>8</v>
      </c>
      <c r="AZ816">
        <f t="shared" si="50"/>
        <v>7</v>
      </c>
      <c r="BA816">
        <f t="shared" si="51"/>
        <v>6</v>
      </c>
      <c r="BB816">
        <f>SUM(ifood_data[[#This Row],[Recency Score]:[Monetary Score]])</f>
        <v>21</v>
      </c>
      <c r="BC816">
        <f>(_xlfn.PERCENTRANK.INC(ifood_data[[#All],[RFM]],ifood_data[[#This Row],[RFM]],1))*10</f>
        <v>8</v>
      </c>
      <c r="BD816" t="str">
        <f>VLOOKUP(ifood_data[[#This Row],[RFM Score]],'RFM Analysis'!$A$3:$B$14,2,FALSE)</f>
        <v>Loyal Customer</v>
      </c>
      <c r="BE816">
        <f>'Regression Models'!$B$101+'Regression Models'!$B$102*ifood_data[[#This Row],[Income]]+'Regression Models'!$B$103*ifood_data[[#This Row],[Age]]+'Regression Models'!$B$104*ifood_data[[#This Row],[Family]]</f>
        <v>633.23076609389273</v>
      </c>
      <c r="BF816" t="str">
        <f>IF(ifood_data[[#This Row],[AcceptedCmpOverall]]=1,"Campaign Respondent","Non-respondent")</f>
        <v>Non-respondent</v>
      </c>
    </row>
    <row r="817" spans="1:58" x14ac:dyDescent="0.35">
      <c r="A817">
        <v>1579</v>
      </c>
      <c r="B817">
        <v>60230</v>
      </c>
      <c r="C817">
        <v>0</v>
      </c>
      <c r="D817">
        <v>1</v>
      </c>
      <c r="E817">
        <v>78</v>
      </c>
      <c r="F817">
        <v>520</v>
      </c>
      <c r="G817">
        <v>20</v>
      </c>
      <c r="H817">
        <v>367</v>
      </c>
      <c r="I817">
        <v>39</v>
      </c>
      <c r="J817">
        <v>81</v>
      </c>
      <c r="K817">
        <v>40</v>
      </c>
      <c r="L817">
        <v>2</v>
      </c>
      <c r="M817">
        <v>6</v>
      </c>
      <c r="N817">
        <v>3</v>
      </c>
      <c r="O817">
        <v>6</v>
      </c>
      <c r="P817">
        <v>5</v>
      </c>
      <c r="Q817">
        <v>0</v>
      </c>
      <c r="R817">
        <v>0</v>
      </c>
      <c r="S817">
        <v>0</v>
      </c>
      <c r="T817">
        <v>0</v>
      </c>
      <c r="U817">
        <v>0</v>
      </c>
      <c r="V817">
        <f>IF(SUM(ifood_data[[#This Row],[AcceptedCmp1]:[AcceptedCmp5]])&gt;0,1,0)</f>
        <v>0</v>
      </c>
      <c r="W817">
        <v>0</v>
      </c>
      <c r="X817">
        <v>3</v>
      </c>
      <c r="Y817">
        <v>11</v>
      </c>
      <c r="Z817">
        <v>0</v>
      </c>
      <c r="AA817">
        <v>64</v>
      </c>
      <c r="AB817">
        <v>2564</v>
      </c>
      <c r="AC817" s="28">
        <f>ifood_data[[#This Row],[Customer_Days]]/365</f>
        <v>7.0246575342465754</v>
      </c>
      <c r="AD817">
        <v>0</v>
      </c>
      <c r="AE817">
        <v>0</v>
      </c>
      <c r="AF817">
        <v>1</v>
      </c>
      <c r="AG817">
        <v>0</v>
      </c>
      <c r="AH817">
        <v>0</v>
      </c>
      <c r="AI817">
        <v>0</v>
      </c>
      <c r="AJ817">
        <v>0</v>
      </c>
      <c r="AK817">
        <v>1</v>
      </c>
      <c r="AL817">
        <v>0</v>
      </c>
      <c r="AM817">
        <v>0</v>
      </c>
      <c r="AN817">
        <v>1027</v>
      </c>
      <c r="AO817">
        <v>987</v>
      </c>
      <c r="AP817">
        <f>ifood_data[[#This Row],[MntTotal]]-ifood_data[[#This Row],[MntRegularProds]]</f>
        <v>40</v>
      </c>
      <c r="AQ817">
        <v>0</v>
      </c>
      <c r="AR817">
        <f>IF(SUM(ifood_data[[#This Row],[Kidhome]:[Teenhome]])&gt;0,1,0)</f>
        <v>1</v>
      </c>
      <c r="AS817" t="str">
        <f>IF(SUM(ifood_data[[#This Row],[Kidhome]:[Teenhome]])&gt;0,"Has Family","No Family")</f>
        <v>Has Family</v>
      </c>
      <c r="AT817" t="str">
        <f>IF(ifood_data[[#This Row],[marital_Married]]=1,"Married", (IF(ifood_data[[#This Row],[marital_Single]]=1,"Single",(IF(ifood_data[[#This Row],[marital_Divorced]]=1,"Divorced",(IF(ifood_data[[#This Row],[marital_Together]]=1,"Living Together",(IF(ifood_data[[#This Row],[marital_Widow]]=1,"Widow","Other")))))))))</f>
        <v>Single</v>
      </c>
      <c r="AU817" t="str">
        <f>IF(ifood_data[[#This Row],[education_Basic]]=1,"High School",(IF(ifood_data[[#This Row],[education_Graduation]]=1,"Undergraduate Degree",(IF(SUM(AM817,AL817,AI817)&gt;0,"Master's Degree or Higher","Other")))))</f>
        <v>Undergraduate Degree</v>
      </c>
      <c r="AV817" t="str">
        <f>IF(ifood_data[[#All],[Income]]&gt;75000,"75K+",(IF(ifood_data[[#All],[Income]]&gt;50000,"50K-75K",(IF(ifood_data[[#All],[Income]]&gt;35000,"35K-50K","&lt;35K")))))</f>
        <v>50K-75K</v>
      </c>
      <c r="AW817" t="str">
        <f>IF(ifood_data[[#All],[Age]]&gt;60,"60+",(IF(ifood_data[[#All],[Age]]&gt;50,"50-60",(IF(ifood_data[[#All],[Age]]&gt;40,"40-50",(IF(ifood_data[[#All],[Age]]&gt;30,"30-40","&lt;30")))))))</f>
        <v>60+</v>
      </c>
      <c r="AX817">
        <f t="shared" si="48"/>
        <v>22</v>
      </c>
      <c r="AY817">
        <f t="shared" si="49"/>
        <v>3.0000000000000004</v>
      </c>
      <c r="AZ817">
        <f t="shared" si="50"/>
        <v>5</v>
      </c>
      <c r="BA817">
        <f t="shared" si="51"/>
        <v>7</v>
      </c>
      <c r="BB817">
        <f>SUM(ifood_data[[#This Row],[Recency Score]:[Monetary Score]])</f>
        <v>15</v>
      </c>
      <c r="BC817">
        <f>(_xlfn.PERCENTRANK.INC(ifood_data[[#All],[RFM]],ifood_data[[#This Row],[RFM]],1))*10</f>
        <v>4</v>
      </c>
      <c r="BD817" t="str">
        <f>VLOOKUP(ifood_data[[#This Row],[RFM Score]],'RFM Analysis'!$A$3:$B$14,2,FALSE)</f>
        <v>At Risk</v>
      </c>
      <c r="BE817">
        <f>'Regression Models'!$B$101+'Regression Models'!$B$102*ifood_data[[#This Row],[Income]]+'Regression Models'!$B$103*ifood_data[[#This Row],[Age]]+'Regression Models'!$B$104*ifood_data[[#This Row],[Family]]</f>
        <v>633.05451691031476</v>
      </c>
      <c r="BF817" t="str">
        <f>IF(ifood_data[[#This Row],[AcceptedCmpOverall]]=1,"Campaign Respondent","Non-respondent")</f>
        <v>Non-respondent</v>
      </c>
    </row>
    <row r="818" spans="1:58" x14ac:dyDescent="0.35">
      <c r="A818">
        <v>1428</v>
      </c>
      <c r="B818">
        <v>59235</v>
      </c>
      <c r="C818">
        <v>1</v>
      </c>
      <c r="D818">
        <v>0</v>
      </c>
      <c r="E818">
        <v>4</v>
      </c>
      <c r="F818">
        <v>448</v>
      </c>
      <c r="G818">
        <v>40</v>
      </c>
      <c r="H818">
        <v>469</v>
      </c>
      <c r="I818">
        <v>80</v>
      </c>
      <c r="J818">
        <v>0</v>
      </c>
      <c r="K818">
        <v>91</v>
      </c>
      <c r="L818">
        <v>3</v>
      </c>
      <c r="M818">
        <v>11</v>
      </c>
      <c r="N818">
        <v>2</v>
      </c>
      <c r="O818">
        <v>12</v>
      </c>
      <c r="P818">
        <v>7</v>
      </c>
      <c r="Q818">
        <v>0</v>
      </c>
      <c r="R818">
        <v>0</v>
      </c>
      <c r="S818">
        <v>0</v>
      </c>
      <c r="T818">
        <v>0</v>
      </c>
      <c r="U818">
        <v>0</v>
      </c>
      <c r="V818">
        <f>IF(SUM(ifood_data[[#This Row],[AcceptedCmp1]:[AcceptedCmp5]])&gt;0,1,0)</f>
        <v>0</v>
      </c>
      <c r="W818">
        <v>0</v>
      </c>
      <c r="X818">
        <v>3</v>
      </c>
      <c r="Y818">
        <v>11</v>
      </c>
      <c r="Z818">
        <v>0</v>
      </c>
      <c r="AA818">
        <v>53</v>
      </c>
      <c r="AB818">
        <v>2692</v>
      </c>
      <c r="AC818" s="28">
        <f>ifood_data[[#This Row],[Customer_Days]]/365</f>
        <v>7.375342465753425</v>
      </c>
      <c r="AD818">
        <v>0</v>
      </c>
      <c r="AE818">
        <v>0</v>
      </c>
      <c r="AF818">
        <v>1</v>
      </c>
      <c r="AG818">
        <v>0</v>
      </c>
      <c r="AH818">
        <v>0</v>
      </c>
      <c r="AI818">
        <v>0</v>
      </c>
      <c r="AJ818">
        <v>0</v>
      </c>
      <c r="AK818">
        <v>0</v>
      </c>
      <c r="AL818">
        <v>1</v>
      </c>
      <c r="AM818">
        <v>0</v>
      </c>
      <c r="AN818">
        <v>1037</v>
      </c>
      <c r="AO818">
        <v>946</v>
      </c>
      <c r="AP818">
        <f>ifood_data[[#This Row],[MntTotal]]-ifood_data[[#This Row],[MntRegularProds]]</f>
        <v>91</v>
      </c>
      <c r="AQ818">
        <v>0</v>
      </c>
      <c r="AR818">
        <f>IF(SUM(ifood_data[[#This Row],[Kidhome]:[Teenhome]])&gt;0,1,0)</f>
        <v>1</v>
      </c>
      <c r="AS818" t="str">
        <f>IF(SUM(ifood_data[[#This Row],[Kidhome]:[Teenhome]])&gt;0,"Has Family","No Family")</f>
        <v>Has Family</v>
      </c>
      <c r="AT818" t="str">
        <f>IF(ifood_data[[#This Row],[marital_Married]]=1,"Married", (IF(ifood_data[[#This Row],[marital_Single]]=1,"Single",(IF(ifood_data[[#This Row],[marital_Divorced]]=1,"Divorced",(IF(ifood_data[[#This Row],[marital_Together]]=1,"Living Together",(IF(ifood_data[[#This Row],[marital_Widow]]=1,"Widow","Other")))))))))</f>
        <v>Single</v>
      </c>
      <c r="AU818" t="str">
        <f>IF(ifood_data[[#This Row],[education_Basic]]=1,"High School",(IF(ifood_data[[#This Row],[education_Graduation]]=1,"Undergraduate Degree",(IF(SUM(AM818,AL818,AI818)&gt;0,"Master's Degree or Higher","Other")))))</f>
        <v>Master's Degree or Higher</v>
      </c>
      <c r="AV818" t="str">
        <f>IF(ifood_data[[#All],[Income]]&gt;75000,"75K+",(IF(ifood_data[[#All],[Income]]&gt;50000,"50K-75K",(IF(ifood_data[[#All],[Income]]&gt;35000,"35K-50K","&lt;35K")))))</f>
        <v>50K-75K</v>
      </c>
      <c r="AW818" t="str">
        <f>IF(ifood_data[[#All],[Age]]&gt;60,"60+",(IF(ifood_data[[#All],[Age]]&gt;50,"50-60",(IF(ifood_data[[#All],[Age]]&gt;40,"40-50",(IF(ifood_data[[#All],[Age]]&gt;30,"30-40","&lt;30")))))))</f>
        <v>50-60</v>
      </c>
      <c r="AX818">
        <f t="shared" si="48"/>
        <v>35</v>
      </c>
      <c r="AY818">
        <f t="shared" si="49"/>
        <v>10</v>
      </c>
      <c r="AZ818">
        <f t="shared" si="50"/>
        <v>9</v>
      </c>
      <c r="BA818">
        <f t="shared" si="51"/>
        <v>7</v>
      </c>
      <c r="BB818">
        <f>SUM(ifood_data[[#This Row],[Recency Score]:[Monetary Score]])</f>
        <v>26</v>
      </c>
      <c r="BC818">
        <f>(_xlfn.PERCENTRANK.INC(ifood_data[[#All],[RFM]],ifood_data[[#This Row],[RFM]],1))*10</f>
        <v>9</v>
      </c>
      <c r="BD818" t="str">
        <f>VLOOKUP(ifood_data[[#This Row],[RFM Score]],'RFM Analysis'!$A$3:$B$14,2,FALSE)</f>
        <v>Top Customer</v>
      </c>
      <c r="BE818">
        <f>'Regression Models'!$B$101+'Regression Models'!$B$102*ifood_data[[#This Row],[Income]]+'Regression Models'!$B$103*ifood_data[[#This Row],[Age]]+'Regression Models'!$B$104*ifood_data[[#This Row],[Family]]</f>
        <v>632.96852247497225</v>
      </c>
      <c r="BF818" t="str">
        <f>IF(ifood_data[[#This Row],[AcceptedCmpOverall]]=1,"Campaign Respondent","Non-respondent")</f>
        <v>Non-respondent</v>
      </c>
    </row>
    <row r="819" spans="1:58" x14ac:dyDescent="0.35">
      <c r="A819">
        <v>292</v>
      </c>
      <c r="B819">
        <v>42670</v>
      </c>
      <c r="C819">
        <v>0</v>
      </c>
      <c r="D819">
        <v>0</v>
      </c>
      <c r="E819">
        <v>12</v>
      </c>
      <c r="F819">
        <v>154</v>
      </c>
      <c r="G819">
        <v>2</v>
      </c>
      <c r="H819">
        <v>46</v>
      </c>
      <c r="I819">
        <v>20</v>
      </c>
      <c r="J819">
        <v>4</v>
      </c>
      <c r="K819">
        <v>15</v>
      </c>
      <c r="L819">
        <v>1</v>
      </c>
      <c r="M819">
        <v>4</v>
      </c>
      <c r="N819">
        <v>2</v>
      </c>
      <c r="O819">
        <v>4</v>
      </c>
      <c r="P819">
        <v>4</v>
      </c>
      <c r="Q819">
        <v>0</v>
      </c>
      <c r="R819">
        <v>0</v>
      </c>
      <c r="S819">
        <v>0</v>
      </c>
      <c r="T819">
        <v>0</v>
      </c>
      <c r="U819">
        <v>0</v>
      </c>
      <c r="V819">
        <f>IF(SUM(ifood_data[[#This Row],[AcceptedCmp1]:[AcceptedCmp5]])&gt;0,1,0)</f>
        <v>0</v>
      </c>
      <c r="W819">
        <v>0</v>
      </c>
      <c r="X819">
        <v>3</v>
      </c>
      <c r="Y819">
        <v>11</v>
      </c>
      <c r="Z819">
        <v>0</v>
      </c>
      <c r="AA819">
        <v>28</v>
      </c>
      <c r="AB819">
        <v>2587</v>
      </c>
      <c r="AC819" s="28">
        <f>ifood_data[[#This Row],[Customer_Days]]/365</f>
        <v>7.087671232876712</v>
      </c>
      <c r="AD819">
        <v>0</v>
      </c>
      <c r="AE819">
        <v>0</v>
      </c>
      <c r="AF819">
        <v>0</v>
      </c>
      <c r="AG819">
        <v>1</v>
      </c>
      <c r="AH819">
        <v>0</v>
      </c>
      <c r="AI819">
        <v>0</v>
      </c>
      <c r="AJ819">
        <v>0</v>
      </c>
      <c r="AK819">
        <v>0</v>
      </c>
      <c r="AL819">
        <v>1</v>
      </c>
      <c r="AM819">
        <v>0</v>
      </c>
      <c r="AN819">
        <v>226</v>
      </c>
      <c r="AO819">
        <v>211</v>
      </c>
      <c r="AP819">
        <f>ifood_data[[#This Row],[MntTotal]]-ifood_data[[#This Row],[MntRegularProds]]</f>
        <v>15</v>
      </c>
      <c r="AQ819">
        <v>0</v>
      </c>
      <c r="AR819">
        <f>IF(SUM(ifood_data[[#This Row],[Kidhome]:[Teenhome]])&gt;0,1,0)</f>
        <v>0</v>
      </c>
      <c r="AS819" t="str">
        <f>IF(SUM(ifood_data[[#This Row],[Kidhome]:[Teenhome]])&gt;0,"Has Family","No Family")</f>
        <v>No Family</v>
      </c>
      <c r="AT819" t="str">
        <f>IF(ifood_data[[#This Row],[marital_Married]]=1,"Married", (IF(ifood_data[[#This Row],[marital_Single]]=1,"Single",(IF(ifood_data[[#This Row],[marital_Divorced]]=1,"Divorced",(IF(ifood_data[[#This Row],[marital_Together]]=1,"Living Together",(IF(ifood_data[[#This Row],[marital_Widow]]=1,"Widow","Other")))))))))</f>
        <v>Living Together</v>
      </c>
      <c r="AU819" t="str">
        <f>IF(ifood_data[[#This Row],[education_Basic]]=1,"High School",(IF(ifood_data[[#This Row],[education_Graduation]]=1,"Undergraduate Degree",(IF(SUM(AM819,AL819,AI819)&gt;0,"Master's Degree or Higher","Other")))))</f>
        <v>Master's Degree or Higher</v>
      </c>
      <c r="AV819" t="str">
        <f>IF(ifood_data[[#All],[Income]]&gt;75000,"75K+",(IF(ifood_data[[#All],[Income]]&gt;50000,"50K-75K",(IF(ifood_data[[#All],[Income]]&gt;35000,"35K-50K","&lt;35K")))))</f>
        <v>35K-50K</v>
      </c>
      <c r="AW819" t="str">
        <f>IF(ifood_data[[#All],[Age]]&gt;60,"60+",(IF(ifood_data[[#All],[Age]]&gt;50,"50-60",(IF(ifood_data[[#All],[Age]]&gt;40,"40-50",(IF(ifood_data[[#All],[Age]]&gt;30,"30-40","&lt;30")))))))</f>
        <v>&lt;30</v>
      </c>
      <c r="AX819">
        <f t="shared" si="48"/>
        <v>15</v>
      </c>
      <c r="AY819">
        <f t="shared" si="49"/>
        <v>9</v>
      </c>
      <c r="AZ819">
        <f t="shared" si="50"/>
        <v>2</v>
      </c>
      <c r="BA819">
        <f t="shared" si="51"/>
        <v>4</v>
      </c>
      <c r="BB819">
        <f>SUM(ifood_data[[#This Row],[Recency Score]:[Monetary Score]])</f>
        <v>15</v>
      </c>
      <c r="BC819">
        <f>(_xlfn.PERCENTRANK.INC(ifood_data[[#All],[RFM]],ifood_data[[#This Row],[RFM]],1))*10</f>
        <v>4</v>
      </c>
      <c r="BD819" t="str">
        <f>VLOOKUP(ifood_data[[#This Row],[RFM Score]],'RFM Analysis'!$A$3:$B$14,2,FALSE)</f>
        <v>At Risk</v>
      </c>
      <c r="BE819">
        <f>'Regression Models'!$B$101+'Regression Models'!$B$102*ifood_data[[#This Row],[Income]]+'Regression Models'!$B$103*ifood_data[[#This Row],[Age]]+'Regression Models'!$B$104*ifood_data[[#This Row],[Family]]</f>
        <v>630.75318621665951</v>
      </c>
      <c r="BF819" t="str">
        <f>IF(ifood_data[[#This Row],[AcceptedCmpOverall]]=1,"Campaign Respondent","Non-respondent")</f>
        <v>Non-respondent</v>
      </c>
    </row>
    <row r="820" spans="1:58" x14ac:dyDescent="0.35">
      <c r="A820">
        <v>1516</v>
      </c>
      <c r="B820">
        <v>58494</v>
      </c>
      <c r="C820">
        <v>0</v>
      </c>
      <c r="D820">
        <v>1</v>
      </c>
      <c r="E820">
        <v>56</v>
      </c>
      <c r="F820">
        <v>298</v>
      </c>
      <c r="G820">
        <v>7</v>
      </c>
      <c r="H820">
        <v>68</v>
      </c>
      <c r="I820">
        <v>4</v>
      </c>
      <c r="J820">
        <v>0</v>
      </c>
      <c r="K820">
        <v>19</v>
      </c>
      <c r="L820">
        <v>2</v>
      </c>
      <c r="M820">
        <v>6</v>
      </c>
      <c r="N820">
        <v>2</v>
      </c>
      <c r="O820">
        <v>6</v>
      </c>
      <c r="P820">
        <v>6</v>
      </c>
      <c r="Q820">
        <v>0</v>
      </c>
      <c r="R820">
        <v>0</v>
      </c>
      <c r="S820">
        <v>0</v>
      </c>
      <c r="T820">
        <v>0</v>
      </c>
      <c r="U820">
        <v>0</v>
      </c>
      <c r="V820">
        <f>IF(SUM(ifood_data[[#This Row],[AcceptedCmp1]:[AcceptedCmp5]])&gt;0,1,0)</f>
        <v>0</v>
      </c>
      <c r="W820">
        <v>0</v>
      </c>
      <c r="X820">
        <v>3</v>
      </c>
      <c r="Y820">
        <v>11</v>
      </c>
      <c r="Z820">
        <v>0</v>
      </c>
      <c r="AA820">
        <v>46</v>
      </c>
      <c r="AB820">
        <v>2358</v>
      </c>
      <c r="AC820" s="28">
        <f>ifood_data[[#This Row],[Customer_Days]]/365</f>
        <v>6.4602739726027396</v>
      </c>
      <c r="AD820">
        <v>0</v>
      </c>
      <c r="AE820">
        <v>1</v>
      </c>
      <c r="AF820">
        <v>0</v>
      </c>
      <c r="AG820">
        <v>0</v>
      </c>
      <c r="AH820">
        <v>0</v>
      </c>
      <c r="AI820">
        <v>0</v>
      </c>
      <c r="AJ820">
        <v>0</v>
      </c>
      <c r="AK820">
        <v>0</v>
      </c>
      <c r="AL820">
        <v>1</v>
      </c>
      <c r="AM820">
        <v>0</v>
      </c>
      <c r="AN820">
        <v>377</v>
      </c>
      <c r="AO820">
        <v>358</v>
      </c>
      <c r="AP820">
        <f>ifood_data[[#This Row],[MntTotal]]-ifood_data[[#This Row],[MntRegularProds]]</f>
        <v>19</v>
      </c>
      <c r="AQ820">
        <v>0</v>
      </c>
      <c r="AR820">
        <f>IF(SUM(ifood_data[[#This Row],[Kidhome]:[Teenhome]])&gt;0,1,0)</f>
        <v>1</v>
      </c>
      <c r="AS820" t="str">
        <f>IF(SUM(ifood_data[[#This Row],[Kidhome]:[Teenhome]])&gt;0,"Has Family","No Family")</f>
        <v>Has Family</v>
      </c>
      <c r="AT820" t="str">
        <f>IF(ifood_data[[#This Row],[marital_Married]]=1,"Married", (IF(ifood_data[[#This Row],[marital_Single]]=1,"Single",(IF(ifood_data[[#This Row],[marital_Divorced]]=1,"Divorced",(IF(ifood_data[[#This Row],[marital_Together]]=1,"Living Together",(IF(ifood_data[[#This Row],[marital_Widow]]=1,"Widow","Other")))))))))</f>
        <v>Married</v>
      </c>
      <c r="AU820" t="str">
        <f>IF(ifood_data[[#This Row],[education_Basic]]=1,"High School",(IF(ifood_data[[#This Row],[education_Graduation]]=1,"Undergraduate Degree",(IF(SUM(AM820,AL820,AI820)&gt;0,"Master's Degree or Higher","Other")))))</f>
        <v>Master's Degree or Higher</v>
      </c>
      <c r="AV820" t="str">
        <f>IF(ifood_data[[#All],[Income]]&gt;75000,"75K+",(IF(ifood_data[[#All],[Income]]&gt;50000,"50K-75K",(IF(ifood_data[[#All],[Income]]&gt;35000,"35K-50K","&lt;35K")))))</f>
        <v>50K-75K</v>
      </c>
      <c r="AW820" t="str">
        <f>IF(ifood_data[[#All],[Age]]&gt;60,"60+",(IF(ifood_data[[#All],[Age]]&gt;50,"50-60",(IF(ifood_data[[#All],[Age]]&gt;40,"40-50",(IF(ifood_data[[#All],[Age]]&gt;30,"30-40","&lt;30")))))))</f>
        <v>40-50</v>
      </c>
      <c r="AX820">
        <f t="shared" si="48"/>
        <v>22</v>
      </c>
      <c r="AY820">
        <f t="shared" si="49"/>
        <v>5</v>
      </c>
      <c r="AZ820">
        <f t="shared" si="50"/>
        <v>5</v>
      </c>
      <c r="BA820">
        <f t="shared" si="51"/>
        <v>5</v>
      </c>
      <c r="BB820">
        <f>SUM(ifood_data[[#This Row],[Recency Score]:[Monetary Score]])</f>
        <v>15</v>
      </c>
      <c r="BC820">
        <f>(_xlfn.PERCENTRANK.INC(ifood_data[[#All],[RFM]],ifood_data[[#This Row],[RFM]],1))*10</f>
        <v>4</v>
      </c>
      <c r="BD820" t="str">
        <f>VLOOKUP(ifood_data[[#This Row],[RFM Score]],'RFM Analysis'!$A$3:$B$14,2,FALSE)</f>
        <v>At Risk</v>
      </c>
      <c r="BE820">
        <f>'Regression Models'!$B$101+'Regression Models'!$B$102*ifood_data[[#This Row],[Income]]+'Regression Models'!$B$103*ifood_data[[#This Row],[Age]]+'Regression Models'!$B$104*ifood_data[[#This Row],[Family]]</f>
        <v>630.71551883260315</v>
      </c>
      <c r="BF820" t="str">
        <f>IF(ifood_data[[#This Row],[AcceptedCmpOverall]]=1,"Campaign Respondent","Non-respondent")</f>
        <v>Non-respondent</v>
      </c>
    </row>
    <row r="821" spans="1:58" x14ac:dyDescent="0.35">
      <c r="A821">
        <v>2008</v>
      </c>
      <c r="B821">
        <v>58025</v>
      </c>
      <c r="C821">
        <v>0</v>
      </c>
      <c r="D821">
        <v>1</v>
      </c>
      <c r="E821">
        <v>81</v>
      </c>
      <c r="F821">
        <v>270</v>
      </c>
      <c r="G821">
        <v>31</v>
      </c>
      <c r="H821">
        <v>88</v>
      </c>
      <c r="I821">
        <v>11</v>
      </c>
      <c r="J821">
        <v>48</v>
      </c>
      <c r="K821">
        <v>22</v>
      </c>
      <c r="L821">
        <v>3</v>
      </c>
      <c r="M821">
        <v>3</v>
      </c>
      <c r="N821">
        <v>2</v>
      </c>
      <c r="O821">
        <v>10</v>
      </c>
      <c r="P821">
        <v>4</v>
      </c>
      <c r="Q821">
        <v>0</v>
      </c>
      <c r="R821">
        <v>0</v>
      </c>
      <c r="S821">
        <v>0</v>
      </c>
      <c r="T821">
        <v>0</v>
      </c>
      <c r="U821">
        <v>0</v>
      </c>
      <c r="V821">
        <f>IF(SUM(ifood_data[[#This Row],[AcceptedCmp1]:[AcceptedCmp5]])&gt;0,1,0)</f>
        <v>0</v>
      </c>
      <c r="W821">
        <v>0</v>
      </c>
      <c r="X821">
        <v>3</v>
      </c>
      <c r="Y821">
        <v>11</v>
      </c>
      <c r="Z821">
        <v>0</v>
      </c>
      <c r="AA821">
        <v>41</v>
      </c>
      <c r="AB821">
        <v>2374</v>
      </c>
      <c r="AC821" s="28">
        <f>ifood_data[[#This Row],[Customer_Days]]/365</f>
        <v>6.5041095890410956</v>
      </c>
      <c r="AD821">
        <v>0</v>
      </c>
      <c r="AE821">
        <v>1</v>
      </c>
      <c r="AF821">
        <v>0</v>
      </c>
      <c r="AG821">
        <v>0</v>
      </c>
      <c r="AH821">
        <v>0</v>
      </c>
      <c r="AI821">
        <v>0</v>
      </c>
      <c r="AJ821">
        <v>0</v>
      </c>
      <c r="AK821">
        <v>1</v>
      </c>
      <c r="AL821">
        <v>0</v>
      </c>
      <c r="AM821">
        <v>0</v>
      </c>
      <c r="AN821">
        <v>448</v>
      </c>
      <c r="AO821">
        <v>426</v>
      </c>
      <c r="AP821">
        <f>ifood_data[[#This Row],[MntTotal]]-ifood_data[[#This Row],[MntRegularProds]]</f>
        <v>22</v>
      </c>
      <c r="AQ821">
        <v>0</v>
      </c>
      <c r="AR821">
        <f>IF(SUM(ifood_data[[#This Row],[Kidhome]:[Teenhome]])&gt;0,1,0)</f>
        <v>1</v>
      </c>
      <c r="AS821" t="str">
        <f>IF(SUM(ifood_data[[#This Row],[Kidhome]:[Teenhome]])&gt;0,"Has Family","No Family")</f>
        <v>Has Family</v>
      </c>
      <c r="AT821" t="str">
        <f>IF(ifood_data[[#This Row],[marital_Married]]=1,"Married", (IF(ifood_data[[#This Row],[marital_Single]]=1,"Single",(IF(ifood_data[[#This Row],[marital_Divorced]]=1,"Divorced",(IF(ifood_data[[#This Row],[marital_Together]]=1,"Living Together",(IF(ifood_data[[#This Row],[marital_Widow]]=1,"Widow","Other")))))))))</f>
        <v>Married</v>
      </c>
      <c r="AU821" t="str">
        <f>IF(ifood_data[[#This Row],[education_Basic]]=1,"High School",(IF(ifood_data[[#This Row],[education_Graduation]]=1,"Undergraduate Degree",(IF(SUM(AM821,AL821,AI821)&gt;0,"Master's Degree or Higher","Other")))))</f>
        <v>Undergraduate Degree</v>
      </c>
      <c r="AV821" t="str">
        <f>IF(ifood_data[[#All],[Income]]&gt;75000,"75K+",(IF(ifood_data[[#All],[Income]]&gt;50000,"50K-75K",(IF(ifood_data[[#All],[Income]]&gt;35000,"35K-50K","&lt;35K")))))</f>
        <v>50K-75K</v>
      </c>
      <c r="AW821" t="str">
        <f>IF(ifood_data[[#All],[Age]]&gt;60,"60+",(IF(ifood_data[[#All],[Age]]&gt;50,"50-60",(IF(ifood_data[[#All],[Age]]&gt;40,"40-50",(IF(ifood_data[[#All],[Age]]&gt;30,"30-40","&lt;30")))))))</f>
        <v>40-50</v>
      </c>
      <c r="AX821">
        <f t="shared" si="48"/>
        <v>22</v>
      </c>
      <c r="AY821">
        <f t="shared" si="49"/>
        <v>1.9999999999999996</v>
      </c>
      <c r="AZ821">
        <f t="shared" si="50"/>
        <v>5</v>
      </c>
      <c r="BA821">
        <f t="shared" si="51"/>
        <v>5</v>
      </c>
      <c r="BB821">
        <f>SUM(ifood_data[[#This Row],[Recency Score]:[Monetary Score]])</f>
        <v>12</v>
      </c>
      <c r="BC821">
        <f>(_xlfn.PERCENTRANK.INC(ifood_data[[#All],[RFM]],ifood_data[[#This Row],[RFM]],1))*10</f>
        <v>3</v>
      </c>
      <c r="BD821" t="str">
        <f>VLOOKUP(ifood_data[[#This Row],[RFM Score]],'RFM Analysis'!$A$3:$B$14,2,FALSE)</f>
        <v>At Risk</v>
      </c>
      <c r="BE821">
        <f>'Regression Models'!$B$101+'Regression Models'!$B$102*ifood_data[[#This Row],[Income]]+'Regression Models'!$B$103*ifood_data[[#This Row],[Age]]+'Regression Models'!$B$104*ifood_data[[#This Row],[Family]]</f>
        <v>630.33538196758593</v>
      </c>
      <c r="BF821" t="str">
        <f>IF(ifood_data[[#This Row],[AcceptedCmpOverall]]=1,"Campaign Respondent","Non-respondent")</f>
        <v>Non-respondent</v>
      </c>
    </row>
    <row r="822" spans="1:58" x14ac:dyDescent="0.35">
      <c r="A822">
        <v>856</v>
      </c>
      <c r="B822">
        <v>58917</v>
      </c>
      <c r="C822">
        <v>1</v>
      </c>
      <c r="D822">
        <v>2</v>
      </c>
      <c r="E822">
        <v>10</v>
      </c>
      <c r="F822">
        <v>151</v>
      </c>
      <c r="G822">
        <v>7</v>
      </c>
      <c r="H822">
        <v>89</v>
      </c>
      <c r="I822">
        <v>0</v>
      </c>
      <c r="J822">
        <v>7</v>
      </c>
      <c r="K822">
        <v>28</v>
      </c>
      <c r="L822">
        <v>5</v>
      </c>
      <c r="M822">
        <v>4</v>
      </c>
      <c r="N822">
        <v>1</v>
      </c>
      <c r="O822">
        <v>6</v>
      </c>
      <c r="P822">
        <v>5</v>
      </c>
      <c r="Q822">
        <v>0</v>
      </c>
      <c r="R822">
        <v>0</v>
      </c>
      <c r="S822">
        <v>0</v>
      </c>
      <c r="T822">
        <v>0</v>
      </c>
      <c r="U822">
        <v>0</v>
      </c>
      <c r="V822">
        <f>IF(SUM(ifood_data[[#This Row],[AcceptedCmp1]:[AcceptedCmp5]])&gt;0,1,0)</f>
        <v>0</v>
      </c>
      <c r="W822">
        <v>0</v>
      </c>
      <c r="X822">
        <v>3</v>
      </c>
      <c r="Y822">
        <v>11</v>
      </c>
      <c r="Z822">
        <v>0</v>
      </c>
      <c r="AA822">
        <v>51</v>
      </c>
      <c r="AB822">
        <v>2621</v>
      </c>
      <c r="AC822" s="28">
        <f>ifood_data[[#This Row],[Customer_Days]]/365</f>
        <v>7.1808219178082195</v>
      </c>
      <c r="AD822">
        <v>0</v>
      </c>
      <c r="AE822">
        <v>0</v>
      </c>
      <c r="AF822">
        <v>0</v>
      </c>
      <c r="AG822">
        <v>1</v>
      </c>
      <c r="AH822">
        <v>0</v>
      </c>
      <c r="AI822">
        <v>0</v>
      </c>
      <c r="AJ822">
        <v>0</v>
      </c>
      <c r="AK822">
        <v>1</v>
      </c>
      <c r="AL822">
        <v>0</v>
      </c>
      <c r="AM822">
        <v>0</v>
      </c>
      <c r="AN822">
        <v>254</v>
      </c>
      <c r="AO822">
        <v>226</v>
      </c>
      <c r="AP822">
        <f>ifood_data[[#This Row],[MntTotal]]-ifood_data[[#This Row],[MntRegularProds]]</f>
        <v>28</v>
      </c>
      <c r="AQ822">
        <v>0</v>
      </c>
      <c r="AR822">
        <f>IF(SUM(ifood_data[[#This Row],[Kidhome]:[Teenhome]])&gt;0,1,0)</f>
        <v>1</v>
      </c>
      <c r="AS822" t="str">
        <f>IF(SUM(ifood_data[[#This Row],[Kidhome]:[Teenhome]])&gt;0,"Has Family","No Family")</f>
        <v>Has Family</v>
      </c>
      <c r="AT822" t="str">
        <f>IF(ifood_data[[#This Row],[marital_Married]]=1,"Married", (IF(ifood_data[[#This Row],[marital_Single]]=1,"Single",(IF(ifood_data[[#This Row],[marital_Divorced]]=1,"Divorced",(IF(ifood_data[[#This Row],[marital_Together]]=1,"Living Together",(IF(ifood_data[[#This Row],[marital_Widow]]=1,"Widow","Other")))))))))</f>
        <v>Living Together</v>
      </c>
      <c r="AU822" t="str">
        <f>IF(ifood_data[[#This Row],[education_Basic]]=1,"High School",(IF(ifood_data[[#This Row],[education_Graduation]]=1,"Undergraduate Degree",(IF(SUM(AM822,AL822,AI822)&gt;0,"Master's Degree or Higher","Other")))))</f>
        <v>Undergraduate Degree</v>
      </c>
      <c r="AV822" t="str">
        <f>IF(ifood_data[[#All],[Income]]&gt;75000,"75K+",(IF(ifood_data[[#All],[Income]]&gt;50000,"50K-75K",(IF(ifood_data[[#All],[Income]]&gt;35000,"35K-50K","&lt;35K")))))</f>
        <v>50K-75K</v>
      </c>
      <c r="AW822" t="str">
        <f>IF(ifood_data[[#All],[Age]]&gt;60,"60+",(IF(ifood_data[[#All],[Age]]&gt;50,"50-60",(IF(ifood_data[[#All],[Age]]&gt;40,"40-50",(IF(ifood_data[[#All],[Age]]&gt;30,"30-40","&lt;30")))))))</f>
        <v>50-60</v>
      </c>
      <c r="AX822">
        <f t="shared" si="48"/>
        <v>21</v>
      </c>
      <c r="AY822">
        <f t="shared" si="49"/>
        <v>9</v>
      </c>
      <c r="AZ822">
        <f t="shared" si="50"/>
        <v>5</v>
      </c>
      <c r="BA822">
        <f t="shared" si="51"/>
        <v>4</v>
      </c>
      <c r="BB822">
        <f>SUM(ifood_data[[#This Row],[Recency Score]:[Monetary Score]])</f>
        <v>18</v>
      </c>
      <c r="BC822">
        <f>(_xlfn.PERCENTRANK.INC(ifood_data[[#All],[RFM]],ifood_data[[#This Row],[RFM]],1))*10</f>
        <v>6</v>
      </c>
      <c r="BD822" t="str">
        <f>VLOOKUP(ifood_data[[#This Row],[RFM Score]],'RFM Analysis'!$A$3:$B$14,2,FALSE)</f>
        <v>Promising</v>
      </c>
      <c r="BE822">
        <f>'Regression Models'!$B$101+'Regression Models'!$B$102*ifood_data[[#This Row],[Income]]+'Regression Models'!$B$103*ifood_data[[#This Row],[Age]]+'Regression Models'!$B$104*ifood_data[[#This Row],[Family]]</f>
        <v>630.15777236300107</v>
      </c>
      <c r="BF822" t="str">
        <f>IF(ifood_data[[#This Row],[AcceptedCmpOverall]]=1,"Campaign Respondent","Non-respondent")</f>
        <v>Non-respondent</v>
      </c>
    </row>
    <row r="823" spans="1:58" x14ac:dyDescent="0.35">
      <c r="A823">
        <v>1169</v>
      </c>
      <c r="B823">
        <v>59062</v>
      </c>
      <c r="C823">
        <v>2</v>
      </c>
      <c r="D823">
        <v>1</v>
      </c>
      <c r="E823">
        <v>74</v>
      </c>
      <c r="F823">
        <v>46</v>
      </c>
      <c r="G823">
        <v>1</v>
      </c>
      <c r="H823">
        <v>12</v>
      </c>
      <c r="I823">
        <v>3</v>
      </c>
      <c r="J823">
        <v>0</v>
      </c>
      <c r="K823">
        <v>9</v>
      </c>
      <c r="L823">
        <v>2</v>
      </c>
      <c r="M823">
        <v>2</v>
      </c>
      <c r="N823">
        <v>0</v>
      </c>
      <c r="O823">
        <v>3</v>
      </c>
      <c r="P823">
        <v>4</v>
      </c>
      <c r="Q823">
        <v>0</v>
      </c>
      <c r="R823">
        <v>0</v>
      </c>
      <c r="S823">
        <v>0</v>
      </c>
      <c r="T823">
        <v>0</v>
      </c>
      <c r="U823">
        <v>0</v>
      </c>
      <c r="V823">
        <f>IF(SUM(ifood_data[[#This Row],[AcceptedCmp1]:[AcceptedCmp5]])&gt;0,1,0)</f>
        <v>0</v>
      </c>
      <c r="W823">
        <v>0</v>
      </c>
      <c r="X823">
        <v>3</v>
      </c>
      <c r="Y823">
        <v>11</v>
      </c>
      <c r="Z823">
        <v>0</v>
      </c>
      <c r="AA823">
        <v>53</v>
      </c>
      <c r="AB823">
        <v>2428</v>
      </c>
      <c r="AC823" s="28">
        <f>ifood_data[[#This Row],[Customer_Days]]/365</f>
        <v>6.6520547945205477</v>
      </c>
      <c r="AD823">
        <v>0</v>
      </c>
      <c r="AE823">
        <v>1</v>
      </c>
      <c r="AF823">
        <v>0</v>
      </c>
      <c r="AG823">
        <v>0</v>
      </c>
      <c r="AH823">
        <v>0</v>
      </c>
      <c r="AI823">
        <v>0</v>
      </c>
      <c r="AJ823">
        <v>0</v>
      </c>
      <c r="AK823">
        <v>0</v>
      </c>
      <c r="AL823">
        <v>0</v>
      </c>
      <c r="AM823">
        <v>1</v>
      </c>
      <c r="AN823">
        <v>62</v>
      </c>
      <c r="AO823">
        <v>53</v>
      </c>
      <c r="AP823">
        <f>ifood_data[[#This Row],[MntTotal]]-ifood_data[[#This Row],[MntRegularProds]]</f>
        <v>9</v>
      </c>
      <c r="AQ823">
        <v>0</v>
      </c>
      <c r="AR823">
        <f>IF(SUM(ifood_data[[#This Row],[Kidhome]:[Teenhome]])&gt;0,1,0)</f>
        <v>1</v>
      </c>
      <c r="AS823" t="str">
        <f>IF(SUM(ifood_data[[#This Row],[Kidhome]:[Teenhome]])&gt;0,"Has Family","No Family")</f>
        <v>Has Family</v>
      </c>
      <c r="AT823" t="str">
        <f>IF(ifood_data[[#This Row],[marital_Married]]=1,"Married", (IF(ifood_data[[#This Row],[marital_Single]]=1,"Single",(IF(ifood_data[[#This Row],[marital_Divorced]]=1,"Divorced",(IF(ifood_data[[#This Row],[marital_Together]]=1,"Living Together",(IF(ifood_data[[#This Row],[marital_Widow]]=1,"Widow","Other")))))))))</f>
        <v>Married</v>
      </c>
      <c r="AU823" t="str">
        <f>IF(ifood_data[[#This Row],[education_Basic]]=1,"High School",(IF(ifood_data[[#This Row],[education_Graduation]]=1,"Undergraduate Degree",(IF(SUM(AM823,AL823,AI823)&gt;0,"Master's Degree or Higher","Other")))))</f>
        <v>Master's Degree or Higher</v>
      </c>
      <c r="AV823" t="str">
        <f>IF(ifood_data[[#All],[Income]]&gt;75000,"75K+",(IF(ifood_data[[#All],[Income]]&gt;50000,"50K-75K",(IF(ifood_data[[#All],[Income]]&gt;35000,"35K-50K","&lt;35K")))))</f>
        <v>50K-75K</v>
      </c>
      <c r="AW823" t="str">
        <f>IF(ifood_data[[#All],[Age]]&gt;60,"60+",(IF(ifood_data[[#All],[Age]]&gt;50,"50-60",(IF(ifood_data[[#All],[Age]]&gt;40,"40-50",(IF(ifood_data[[#All],[Age]]&gt;30,"30-40","&lt;30")))))))</f>
        <v>50-60</v>
      </c>
      <c r="AX823">
        <f t="shared" si="48"/>
        <v>11</v>
      </c>
      <c r="AY823">
        <f t="shared" si="49"/>
        <v>3.0000000000000004</v>
      </c>
      <c r="AZ823">
        <f t="shared" si="50"/>
        <v>0</v>
      </c>
      <c r="BA823">
        <f t="shared" si="51"/>
        <v>2</v>
      </c>
      <c r="BB823">
        <f>SUM(ifood_data[[#This Row],[Recency Score]:[Monetary Score]])</f>
        <v>5</v>
      </c>
      <c r="BC823">
        <f>(_xlfn.PERCENTRANK.INC(ifood_data[[#All],[RFM]],ifood_data[[#This Row],[RFM]],1))*10</f>
        <v>0</v>
      </c>
      <c r="BD823" t="str">
        <f>VLOOKUP(ifood_data[[#This Row],[RFM Score]],'RFM Analysis'!$A$3:$B$14,2,FALSE)</f>
        <v>Lost</v>
      </c>
      <c r="BE823">
        <f>'Regression Models'!$B$101+'Regression Models'!$B$102*ifood_data[[#This Row],[Income]]+'Regression Models'!$B$103*ifood_data[[#This Row],[Age]]+'Regression Models'!$B$104*ifood_data[[#This Row],[Family]]</f>
        <v>629.44126558607775</v>
      </c>
      <c r="BF823" t="str">
        <f>IF(ifood_data[[#This Row],[AcceptedCmpOverall]]=1,"Campaign Respondent","Non-respondent")</f>
        <v>Non-respondent</v>
      </c>
    </row>
    <row r="824" spans="1:58" x14ac:dyDescent="0.35">
      <c r="A824">
        <v>496</v>
      </c>
      <c r="B824">
        <v>42691</v>
      </c>
      <c r="C824">
        <v>0</v>
      </c>
      <c r="D824">
        <v>0</v>
      </c>
      <c r="E824">
        <v>48</v>
      </c>
      <c r="F824">
        <v>179</v>
      </c>
      <c r="G824">
        <v>2</v>
      </c>
      <c r="H824">
        <v>64</v>
      </c>
      <c r="I824">
        <v>38</v>
      </c>
      <c r="J824">
        <v>17</v>
      </c>
      <c r="K824">
        <v>58</v>
      </c>
      <c r="L824">
        <v>1</v>
      </c>
      <c r="M824">
        <v>5</v>
      </c>
      <c r="N824">
        <v>1</v>
      </c>
      <c r="O824">
        <v>6</v>
      </c>
      <c r="P824">
        <v>5</v>
      </c>
      <c r="Q824">
        <v>0</v>
      </c>
      <c r="R824">
        <v>0</v>
      </c>
      <c r="S824">
        <v>0</v>
      </c>
      <c r="T824">
        <v>0</v>
      </c>
      <c r="U824">
        <v>0</v>
      </c>
      <c r="V824">
        <f>IF(SUM(ifood_data[[#This Row],[AcceptedCmp1]:[AcceptedCmp5]])&gt;0,1,0)</f>
        <v>0</v>
      </c>
      <c r="W824">
        <v>0</v>
      </c>
      <c r="X824">
        <v>3</v>
      </c>
      <c r="Y824">
        <v>11</v>
      </c>
      <c r="Z824">
        <v>0</v>
      </c>
      <c r="AA824">
        <v>29</v>
      </c>
      <c r="AB824">
        <v>2476</v>
      </c>
      <c r="AC824" s="28">
        <f>ifood_data[[#This Row],[Customer_Days]]/365</f>
        <v>6.7835616438356166</v>
      </c>
      <c r="AD824">
        <v>0</v>
      </c>
      <c r="AE824">
        <v>1</v>
      </c>
      <c r="AF824">
        <v>0</v>
      </c>
      <c r="AG824">
        <v>0</v>
      </c>
      <c r="AH824">
        <v>0</v>
      </c>
      <c r="AI824">
        <v>0</v>
      </c>
      <c r="AJ824">
        <v>0</v>
      </c>
      <c r="AK824">
        <v>1</v>
      </c>
      <c r="AL824">
        <v>0</v>
      </c>
      <c r="AM824">
        <v>0</v>
      </c>
      <c r="AN824">
        <v>300</v>
      </c>
      <c r="AO824">
        <v>242</v>
      </c>
      <c r="AP824">
        <f>ifood_data[[#This Row],[MntTotal]]-ifood_data[[#This Row],[MntRegularProds]]</f>
        <v>58</v>
      </c>
      <c r="AQ824">
        <v>0</v>
      </c>
      <c r="AR824">
        <f>IF(SUM(ifood_data[[#This Row],[Kidhome]:[Teenhome]])&gt;0,1,0)</f>
        <v>0</v>
      </c>
      <c r="AS824" t="str">
        <f>IF(SUM(ifood_data[[#This Row],[Kidhome]:[Teenhome]])&gt;0,"Has Family","No Family")</f>
        <v>No Family</v>
      </c>
      <c r="AT824" t="str">
        <f>IF(ifood_data[[#This Row],[marital_Married]]=1,"Married", (IF(ifood_data[[#This Row],[marital_Single]]=1,"Single",(IF(ifood_data[[#This Row],[marital_Divorced]]=1,"Divorced",(IF(ifood_data[[#This Row],[marital_Together]]=1,"Living Together",(IF(ifood_data[[#This Row],[marital_Widow]]=1,"Widow","Other")))))))))</f>
        <v>Married</v>
      </c>
      <c r="AU824" t="str">
        <f>IF(ifood_data[[#This Row],[education_Basic]]=1,"High School",(IF(ifood_data[[#This Row],[education_Graduation]]=1,"Undergraduate Degree",(IF(SUM(AM824,AL824,AI824)&gt;0,"Master's Degree or Higher","Other")))))</f>
        <v>Undergraduate Degree</v>
      </c>
      <c r="AV824" t="str">
        <f>IF(ifood_data[[#All],[Income]]&gt;75000,"75K+",(IF(ifood_data[[#All],[Income]]&gt;50000,"50K-75K",(IF(ifood_data[[#All],[Income]]&gt;35000,"35K-50K","&lt;35K")))))</f>
        <v>35K-50K</v>
      </c>
      <c r="AW824" t="str">
        <f>IF(ifood_data[[#All],[Age]]&gt;60,"60+",(IF(ifood_data[[#All],[Age]]&gt;50,"50-60",(IF(ifood_data[[#All],[Age]]&gt;40,"40-50",(IF(ifood_data[[#All],[Age]]&gt;30,"30-40","&lt;30")))))))</f>
        <v>&lt;30</v>
      </c>
      <c r="AX824">
        <f t="shared" si="48"/>
        <v>18</v>
      </c>
      <c r="AY824">
        <f t="shared" si="49"/>
        <v>6</v>
      </c>
      <c r="AZ824">
        <f t="shared" si="50"/>
        <v>4</v>
      </c>
      <c r="BA824">
        <f t="shared" si="51"/>
        <v>4</v>
      </c>
      <c r="BB824">
        <f>SUM(ifood_data[[#This Row],[Recency Score]:[Monetary Score]])</f>
        <v>14</v>
      </c>
      <c r="BC824">
        <f>(_xlfn.PERCENTRANK.INC(ifood_data[[#All],[RFM]],ifood_data[[#This Row],[RFM]],1))*10</f>
        <v>4</v>
      </c>
      <c r="BD824" t="str">
        <f>VLOOKUP(ifood_data[[#This Row],[RFM Score]],'RFM Analysis'!$A$3:$B$14,2,FALSE)</f>
        <v>At Risk</v>
      </c>
      <c r="BE824">
        <f>'Regression Models'!$B$101+'Regression Models'!$B$102*ifood_data[[#This Row],[Income]]+'Regression Models'!$B$103*ifood_data[[#This Row],[Age]]+'Regression Models'!$B$104*ifood_data[[#This Row],[Family]]</f>
        <v>629.34491126878697</v>
      </c>
      <c r="BF824" t="str">
        <f>IF(ifood_data[[#This Row],[AcceptedCmpOverall]]=1,"Campaign Respondent","Non-respondent")</f>
        <v>Non-respondent</v>
      </c>
    </row>
    <row r="825" spans="1:58" x14ac:dyDescent="0.35">
      <c r="A825">
        <v>627</v>
      </c>
      <c r="B825">
        <v>58330</v>
      </c>
      <c r="C825">
        <v>0</v>
      </c>
      <c r="D825">
        <v>1</v>
      </c>
      <c r="E825">
        <v>87</v>
      </c>
      <c r="F825">
        <v>445</v>
      </c>
      <c r="G825">
        <v>53</v>
      </c>
      <c r="H825">
        <v>213</v>
      </c>
      <c r="I825">
        <v>104</v>
      </c>
      <c r="J825">
        <v>98</v>
      </c>
      <c r="K825">
        <v>151</v>
      </c>
      <c r="L825">
        <v>1</v>
      </c>
      <c r="M825">
        <v>6</v>
      </c>
      <c r="N825">
        <v>4</v>
      </c>
      <c r="O825">
        <v>13</v>
      </c>
      <c r="P825">
        <v>4</v>
      </c>
      <c r="Q825">
        <v>0</v>
      </c>
      <c r="R825">
        <v>0</v>
      </c>
      <c r="S825">
        <v>0</v>
      </c>
      <c r="T825">
        <v>0</v>
      </c>
      <c r="U825">
        <v>0</v>
      </c>
      <c r="V825">
        <f>IF(SUM(ifood_data[[#This Row],[AcceptedCmp1]:[AcceptedCmp5]])&gt;0,1,0)</f>
        <v>0</v>
      </c>
      <c r="W825">
        <v>0</v>
      </c>
      <c r="X825">
        <v>3</v>
      </c>
      <c r="Y825">
        <v>11</v>
      </c>
      <c r="Z825">
        <v>0</v>
      </c>
      <c r="AA825">
        <v>45</v>
      </c>
      <c r="AB825">
        <v>2345</v>
      </c>
      <c r="AC825" s="28">
        <f>ifood_data[[#This Row],[Customer_Days]]/365</f>
        <v>6.4246575342465757</v>
      </c>
      <c r="AD825">
        <v>0</v>
      </c>
      <c r="AE825">
        <v>0</v>
      </c>
      <c r="AF825">
        <v>0</v>
      </c>
      <c r="AG825">
        <v>0</v>
      </c>
      <c r="AH825">
        <v>1</v>
      </c>
      <c r="AI825">
        <v>0</v>
      </c>
      <c r="AJ825">
        <v>0</v>
      </c>
      <c r="AK825">
        <v>1</v>
      </c>
      <c r="AL825">
        <v>0</v>
      </c>
      <c r="AM825">
        <v>0</v>
      </c>
      <c r="AN825">
        <v>913</v>
      </c>
      <c r="AO825">
        <v>762</v>
      </c>
      <c r="AP825">
        <f>ifood_data[[#This Row],[MntTotal]]-ifood_data[[#This Row],[MntRegularProds]]</f>
        <v>151</v>
      </c>
      <c r="AQ825">
        <v>0</v>
      </c>
      <c r="AR825">
        <f>IF(SUM(ifood_data[[#This Row],[Kidhome]:[Teenhome]])&gt;0,1,0)</f>
        <v>1</v>
      </c>
      <c r="AS825" t="str">
        <f>IF(SUM(ifood_data[[#This Row],[Kidhome]:[Teenhome]])&gt;0,"Has Family","No Family")</f>
        <v>Has Family</v>
      </c>
      <c r="AT825" t="str">
        <f>IF(ifood_data[[#This Row],[marital_Married]]=1,"Married", (IF(ifood_data[[#This Row],[marital_Single]]=1,"Single",(IF(ifood_data[[#This Row],[marital_Divorced]]=1,"Divorced",(IF(ifood_data[[#This Row],[marital_Together]]=1,"Living Together",(IF(ifood_data[[#This Row],[marital_Widow]]=1,"Widow","Other")))))))))</f>
        <v>Widow</v>
      </c>
      <c r="AU825" t="str">
        <f>IF(ifood_data[[#This Row],[education_Basic]]=1,"High School",(IF(ifood_data[[#This Row],[education_Graduation]]=1,"Undergraduate Degree",(IF(SUM(AM825,AL825,AI825)&gt;0,"Master's Degree or Higher","Other")))))</f>
        <v>Undergraduate Degree</v>
      </c>
      <c r="AV825" t="str">
        <f>IF(ifood_data[[#All],[Income]]&gt;75000,"75K+",(IF(ifood_data[[#All],[Income]]&gt;50000,"50K-75K",(IF(ifood_data[[#All],[Income]]&gt;35000,"35K-50K","&lt;35K")))))</f>
        <v>50K-75K</v>
      </c>
      <c r="AW825" t="str">
        <f>IF(ifood_data[[#All],[Age]]&gt;60,"60+",(IF(ifood_data[[#All],[Age]]&gt;50,"50-60",(IF(ifood_data[[#All],[Age]]&gt;40,"40-50",(IF(ifood_data[[#All],[Age]]&gt;30,"30-40","&lt;30")))))))</f>
        <v>40-50</v>
      </c>
      <c r="AX825">
        <f t="shared" si="48"/>
        <v>28</v>
      </c>
      <c r="AY825">
        <f t="shared" si="49"/>
        <v>1.9999999999999996</v>
      </c>
      <c r="AZ825">
        <f t="shared" si="50"/>
        <v>8</v>
      </c>
      <c r="BA825">
        <f t="shared" si="51"/>
        <v>7</v>
      </c>
      <c r="BB825">
        <f>SUM(ifood_data[[#This Row],[Recency Score]:[Monetary Score]])</f>
        <v>17</v>
      </c>
      <c r="BC825">
        <f>(_xlfn.PERCENTRANK.INC(ifood_data[[#All],[RFM]],ifood_data[[#This Row],[RFM]],1))*10</f>
        <v>6</v>
      </c>
      <c r="BD825" t="str">
        <f>VLOOKUP(ifood_data[[#This Row],[RFM Score]],'RFM Analysis'!$A$3:$B$14,2,FALSE)</f>
        <v>Promising</v>
      </c>
      <c r="BE825">
        <f>'Regression Models'!$B$101+'Regression Models'!$B$102*ifood_data[[#This Row],[Income]]+'Regression Models'!$B$103*ifood_data[[#This Row],[Age]]+'Regression Models'!$B$104*ifood_data[[#This Row],[Family]]</f>
        <v>629.20819993589805</v>
      </c>
      <c r="BF825" t="str">
        <f>IF(ifood_data[[#This Row],[AcceptedCmpOverall]]=1,"Campaign Respondent","Non-respondent")</f>
        <v>Non-respondent</v>
      </c>
    </row>
    <row r="826" spans="1:58" x14ac:dyDescent="0.35">
      <c r="A826">
        <v>635</v>
      </c>
      <c r="B826">
        <v>59304</v>
      </c>
      <c r="C826">
        <v>0</v>
      </c>
      <c r="D826">
        <v>1</v>
      </c>
      <c r="E826">
        <v>81</v>
      </c>
      <c r="F826">
        <v>418</v>
      </c>
      <c r="G826">
        <v>61</v>
      </c>
      <c r="H826">
        <v>428</v>
      </c>
      <c r="I826">
        <v>80</v>
      </c>
      <c r="J826">
        <v>51</v>
      </c>
      <c r="K826">
        <v>10</v>
      </c>
      <c r="L826">
        <v>3</v>
      </c>
      <c r="M826">
        <v>7</v>
      </c>
      <c r="N826">
        <v>8</v>
      </c>
      <c r="O826">
        <v>10</v>
      </c>
      <c r="P826">
        <v>5</v>
      </c>
      <c r="Q826">
        <v>0</v>
      </c>
      <c r="R826">
        <v>0</v>
      </c>
      <c r="S826">
        <v>0</v>
      </c>
      <c r="T826">
        <v>0</v>
      </c>
      <c r="U826">
        <v>0</v>
      </c>
      <c r="V826">
        <f>IF(SUM(ifood_data[[#This Row],[AcceptedCmp1]:[AcceptedCmp5]])&gt;0,1,0)</f>
        <v>0</v>
      </c>
      <c r="W826">
        <v>0</v>
      </c>
      <c r="X826">
        <v>3</v>
      </c>
      <c r="Y826">
        <v>11</v>
      </c>
      <c r="Z826">
        <v>0</v>
      </c>
      <c r="AA826">
        <v>56</v>
      </c>
      <c r="AB826">
        <v>2494</v>
      </c>
      <c r="AC826" s="28">
        <f>ifood_data[[#This Row],[Customer_Days]]/365</f>
        <v>6.8328767123287673</v>
      </c>
      <c r="AD826">
        <v>0</v>
      </c>
      <c r="AE826">
        <v>1</v>
      </c>
      <c r="AF826">
        <v>0</v>
      </c>
      <c r="AG826">
        <v>0</v>
      </c>
      <c r="AH826">
        <v>0</v>
      </c>
      <c r="AI826">
        <v>0</v>
      </c>
      <c r="AJ826">
        <v>0</v>
      </c>
      <c r="AK826">
        <v>0</v>
      </c>
      <c r="AL826">
        <v>0</v>
      </c>
      <c r="AM826">
        <v>1</v>
      </c>
      <c r="AN826">
        <v>1038</v>
      </c>
      <c r="AO826">
        <v>1028</v>
      </c>
      <c r="AP826">
        <f>ifood_data[[#This Row],[MntTotal]]-ifood_data[[#This Row],[MntRegularProds]]</f>
        <v>10</v>
      </c>
      <c r="AQ826">
        <v>0</v>
      </c>
      <c r="AR826">
        <f>IF(SUM(ifood_data[[#This Row],[Kidhome]:[Teenhome]])&gt;0,1,0)</f>
        <v>1</v>
      </c>
      <c r="AS826" t="str">
        <f>IF(SUM(ifood_data[[#This Row],[Kidhome]:[Teenhome]])&gt;0,"Has Family","No Family")</f>
        <v>Has Family</v>
      </c>
      <c r="AT826" t="str">
        <f>IF(ifood_data[[#This Row],[marital_Married]]=1,"Married", (IF(ifood_data[[#This Row],[marital_Single]]=1,"Single",(IF(ifood_data[[#This Row],[marital_Divorced]]=1,"Divorced",(IF(ifood_data[[#This Row],[marital_Together]]=1,"Living Together",(IF(ifood_data[[#This Row],[marital_Widow]]=1,"Widow","Other")))))))))</f>
        <v>Married</v>
      </c>
      <c r="AU826" t="str">
        <f>IF(ifood_data[[#This Row],[education_Basic]]=1,"High School",(IF(ifood_data[[#This Row],[education_Graduation]]=1,"Undergraduate Degree",(IF(SUM(AM826,AL826,AI826)&gt;0,"Master's Degree or Higher","Other")))))</f>
        <v>Master's Degree or Higher</v>
      </c>
      <c r="AV826" t="str">
        <f>IF(ifood_data[[#All],[Income]]&gt;75000,"75K+",(IF(ifood_data[[#All],[Income]]&gt;50000,"50K-75K",(IF(ifood_data[[#All],[Income]]&gt;35000,"35K-50K","&lt;35K")))))</f>
        <v>50K-75K</v>
      </c>
      <c r="AW826" t="str">
        <f>IF(ifood_data[[#All],[Age]]&gt;60,"60+",(IF(ifood_data[[#All],[Age]]&gt;50,"50-60",(IF(ifood_data[[#All],[Age]]&gt;40,"40-50",(IF(ifood_data[[#All],[Age]]&gt;30,"30-40","&lt;30")))))))</f>
        <v>50-60</v>
      </c>
      <c r="AX826">
        <f t="shared" si="48"/>
        <v>33</v>
      </c>
      <c r="AY826">
        <f t="shared" si="49"/>
        <v>1.9999999999999996</v>
      </c>
      <c r="AZ826">
        <f t="shared" si="50"/>
        <v>9</v>
      </c>
      <c r="BA826">
        <f t="shared" si="51"/>
        <v>7</v>
      </c>
      <c r="BB826">
        <f>SUM(ifood_data[[#This Row],[Recency Score]:[Monetary Score]])</f>
        <v>18</v>
      </c>
      <c r="BC826">
        <f>(_xlfn.PERCENTRANK.INC(ifood_data[[#All],[RFM]],ifood_data[[#This Row],[RFM]],1))*10</f>
        <v>6</v>
      </c>
      <c r="BD826" t="str">
        <f>VLOOKUP(ifood_data[[#This Row],[RFM Score]],'RFM Analysis'!$A$3:$B$14,2,FALSE)</f>
        <v>Promising</v>
      </c>
      <c r="BE826">
        <f>'Regression Models'!$B$101+'Regression Models'!$B$102*ifood_data[[#This Row],[Income]]+'Regression Models'!$B$103*ifood_data[[#This Row],[Age]]+'Regression Models'!$B$104*ifood_data[[#This Row],[Family]]</f>
        <v>628.86603024021849</v>
      </c>
      <c r="BF826" t="str">
        <f>IF(ifood_data[[#This Row],[AcceptedCmpOverall]]=1,"Campaign Respondent","Non-respondent")</f>
        <v>Non-respondent</v>
      </c>
    </row>
    <row r="827" spans="1:58" x14ac:dyDescent="0.35">
      <c r="A827">
        <v>470</v>
      </c>
      <c r="B827">
        <v>59432</v>
      </c>
      <c r="C827">
        <v>0</v>
      </c>
      <c r="D827">
        <v>1</v>
      </c>
      <c r="E827">
        <v>88</v>
      </c>
      <c r="F827">
        <v>317</v>
      </c>
      <c r="G827">
        <v>25</v>
      </c>
      <c r="H827">
        <v>265</v>
      </c>
      <c r="I827">
        <v>25</v>
      </c>
      <c r="J827">
        <v>19</v>
      </c>
      <c r="K827">
        <v>12</v>
      </c>
      <c r="L827">
        <v>3</v>
      </c>
      <c r="M827">
        <v>5</v>
      </c>
      <c r="N827">
        <v>3</v>
      </c>
      <c r="O827">
        <v>11</v>
      </c>
      <c r="P827">
        <v>5</v>
      </c>
      <c r="Q827">
        <v>0</v>
      </c>
      <c r="R827">
        <v>0</v>
      </c>
      <c r="S827">
        <v>0</v>
      </c>
      <c r="T827">
        <v>0</v>
      </c>
      <c r="U827">
        <v>0</v>
      </c>
      <c r="V827">
        <f>IF(SUM(ifood_data[[#This Row],[AcceptedCmp1]:[AcceptedCmp5]])&gt;0,1,0)</f>
        <v>0</v>
      </c>
      <c r="W827">
        <v>0</v>
      </c>
      <c r="X827">
        <v>3</v>
      </c>
      <c r="Y827">
        <v>11</v>
      </c>
      <c r="Z827">
        <v>0</v>
      </c>
      <c r="AA827">
        <v>58</v>
      </c>
      <c r="AB827">
        <v>2601</v>
      </c>
      <c r="AC827" s="28">
        <f>ifood_data[[#This Row],[Customer_Days]]/365</f>
        <v>7.1260273972602741</v>
      </c>
      <c r="AD827">
        <v>1</v>
      </c>
      <c r="AE827">
        <v>0</v>
      </c>
      <c r="AF827">
        <v>0</v>
      </c>
      <c r="AG827">
        <v>0</v>
      </c>
      <c r="AH827">
        <v>0</v>
      </c>
      <c r="AI827">
        <v>0</v>
      </c>
      <c r="AJ827">
        <v>0</v>
      </c>
      <c r="AK827">
        <v>0</v>
      </c>
      <c r="AL827">
        <v>1</v>
      </c>
      <c r="AM827">
        <v>0</v>
      </c>
      <c r="AN827">
        <v>651</v>
      </c>
      <c r="AO827">
        <v>639</v>
      </c>
      <c r="AP827">
        <f>ifood_data[[#This Row],[MntTotal]]-ifood_data[[#This Row],[MntRegularProds]]</f>
        <v>12</v>
      </c>
      <c r="AQ827">
        <v>0</v>
      </c>
      <c r="AR827">
        <f>IF(SUM(ifood_data[[#This Row],[Kidhome]:[Teenhome]])&gt;0,1,0)</f>
        <v>1</v>
      </c>
      <c r="AS827" t="str">
        <f>IF(SUM(ifood_data[[#This Row],[Kidhome]:[Teenhome]])&gt;0,"Has Family","No Family")</f>
        <v>Has Family</v>
      </c>
      <c r="AT827" t="str">
        <f>IF(ifood_data[[#This Row],[marital_Married]]=1,"Married", (IF(ifood_data[[#This Row],[marital_Single]]=1,"Single",(IF(ifood_data[[#This Row],[marital_Divorced]]=1,"Divorced",(IF(ifood_data[[#This Row],[marital_Together]]=1,"Living Together",(IF(ifood_data[[#This Row],[marital_Widow]]=1,"Widow","Other")))))))))</f>
        <v>Divorced</v>
      </c>
      <c r="AU827" t="str">
        <f>IF(ifood_data[[#This Row],[education_Basic]]=1,"High School",(IF(ifood_data[[#This Row],[education_Graduation]]=1,"Undergraduate Degree",(IF(SUM(AM827,AL827,AI827)&gt;0,"Master's Degree or Higher","Other")))))</f>
        <v>Master's Degree or Higher</v>
      </c>
      <c r="AV827" t="str">
        <f>IF(ifood_data[[#All],[Income]]&gt;75000,"75K+",(IF(ifood_data[[#All],[Income]]&gt;50000,"50K-75K",(IF(ifood_data[[#All],[Income]]&gt;35000,"35K-50K","&lt;35K")))))</f>
        <v>50K-75K</v>
      </c>
      <c r="AW827" t="str">
        <f>IF(ifood_data[[#All],[Age]]&gt;60,"60+",(IF(ifood_data[[#All],[Age]]&gt;50,"50-60",(IF(ifood_data[[#All],[Age]]&gt;40,"40-50",(IF(ifood_data[[#All],[Age]]&gt;30,"30-40","&lt;30")))))))</f>
        <v>50-60</v>
      </c>
      <c r="AX827">
        <f t="shared" si="48"/>
        <v>27</v>
      </c>
      <c r="AY827">
        <f t="shared" si="49"/>
        <v>1.9999999999999996</v>
      </c>
      <c r="AZ827">
        <f t="shared" si="50"/>
        <v>7</v>
      </c>
      <c r="BA827">
        <f t="shared" si="51"/>
        <v>6</v>
      </c>
      <c r="BB827">
        <f>SUM(ifood_data[[#This Row],[Recency Score]:[Monetary Score]])</f>
        <v>15</v>
      </c>
      <c r="BC827">
        <f>(_xlfn.PERCENTRANK.INC(ifood_data[[#All],[RFM]],ifood_data[[#This Row],[RFM]],1))*10</f>
        <v>4</v>
      </c>
      <c r="BD827" t="str">
        <f>VLOOKUP(ifood_data[[#This Row],[RFM Score]],'RFM Analysis'!$A$3:$B$14,2,FALSE)</f>
        <v>At Risk</v>
      </c>
      <c r="BE827">
        <f>'Regression Models'!$B$101+'Regression Models'!$B$102*ifood_data[[#This Row],[Income]]+'Regression Models'!$B$103*ifood_data[[#This Row],[Age]]+'Regression Models'!$B$104*ifood_data[[#This Row],[Family]]</f>
        <v>627.80291440484905</v>
      </c>
      <c r="BF827" t="str">
        <f>IF(ifood_data[[#This Row],[AcceptedCmpOverall]]=1,"Campaign Respondent","Non-respondent")</f>
        <v>Non-respondent</v>
      </c>
    </row>
    <row r="828" spans="1:58" x14ac:dyDescent="0.35">
      <c r="A828">
        <v>679</v>
      </c>
      <c r="B828">
        <v>58710</v>
      </c>
      <c r="C828">
        <v>0</v>
      </c>
      <c r="D828">
        <v>1</v>
      </c>
      <c r="E828">
        <v>77</v>
      </c>
      <c r="F828">
        <v>440</v>
      </c>
      <c r="G828">
        <v>81</v>
      </c>
      <c r="H828">
        <v>368</v>
      </c>
      <c r="I828">
        <v>0</v>
      </c>
      <c r="J828">
        <v>122</v>
      </c>
      <c r="K828">
        <v>174</v>
      </c>
      <c r="L828">
        <v>6</v>
      </c>
      <c r="M828">
        <v>11</v>
      </c>
      <c r="N828">
        <v>5</v>
      </c>
      <c r="O828">
        <v>9</v>
      </c>
      <c r="P828">
        <v>6</v>
      </c>
      <c r="Q828">
        <v>0</v>
      </c>
      <c r="R828">
        <v>0</v>
      </c>
      <c r="S828">
        <v>0</v>
      </c>
      <c r="T828">
        <v>0</v>
      </c>
      <c r="U828">
        <v>0</v>
      </c>
      <c r="V828">
        <f>IF(SUM(ifood_data[[#This Row],[AcceptedCmp1]:[AcceptedCmp5]])&gt;0,1,0)</f>
        <v>0</v>
      </c>
      <c r="W828">
        <v>0</v>
      </c>
      <c r="X828">
        <v>3</v>
      </c>
      <c r="Y828">
        <v>11</v>
      </c>
      <c r="Z828">
        <v>0</v>
      </c>
      <c r="AA828">
        <v>50</v>
      </c>
      <c r="AB828">
        <v>2614</v>
      </c>
      <c r="AC828" s="28">
        <f>ifood_data[[#This Row],[Customer_Days]]/365</f>
        <v>7.161643835616438</v>
      </c>
      <c r="AD828">
        <v>1</v>
      </c>
      <c r="AE828">
        <v>0</v>
      </c>
      <c r="AF828">
        <v>0</v>
      </c>
      <c r="AG828">
        <v>0</v>
      </c>
      <c r="AH828">
        <v>0</v>
      </c>
      <c r="AI828">
        <v>0</v>
      </c>
      <c r="AJ828">
        <v>0</v>
      </c>
      <c r="AK828">
        <v>1</v>
      </c>
      <c r="AL828">
        <v>0</v>
      </c>
      <c r="AM828">
        <v>0</v>
      </c>
      <c r="AN828">
        <v>1011</v>
      </c>
      <c r="AO828">
        <v>837</v>
      </c>
      <c r="AP828">
        <f>ifood_data[[#This Row],[MntTotal]]-ifood_data[[#This Row],[MntRegularProds]]</f>
        <v>174</v>
      </c>
      <c r="AQ828">
        <v>0</v>
      </c>
      <c r="AR828">
        <f>IF(SUM(ifood_data[[#This Row],[Kidhome]:[Teenhome]])&gt;0,1,0)</f>
        <v>1</v>
      </c>
      <c r="AS828" t="str">
        <f>IF(SUM(ifood_data[[#This Row],[Kidhome]:[Teenhome]])&gt;0,"Has Family","No Family")</f>
        <v>Has Family</v>
      </c>
      <c r="AT828" t="str">
        <f>IF(ifood_data[[#This Row],[marital_Married]]=1,"Married", (IF(ifood_data[[#This Row],[marital_Single]]=1,"Single",(IF(ifood_data[[#This Row],[marital_Divorced]]=1,"Divorced",(IF(ifood_data[[#This Row],[marital_Together]]=1,"Living Together",(IF(ifood_data[[#This Row],[marital_Widow]]=1,"Widow","Other")))))))))</f>
        <v>Divorced</v>
      </c>
      <c r="AU828" t="str">
        <f>IF(ifood_data[[#This Row],[education_Basic]]=1,"High School",(IF(ifood_data[[#This Row],[education_Graduation]]=1,"Undergraduate Degree",(IF(SUM(AM828,AL828,AI828)&gt;0,"Master's Degree or Higher","Other")))))</f>
        <v>Undergraduate Degree</v>
      </c>
      <c r="AV828" t="str">
        <f>IF(ifood_data[[#All],[Income]]&gt;75000,"75K+",(IF(ifood_data[[#All],[Income]]&gt;50000,"50K-75K",(IF(ifood_data[[#All],[Income]]&gt;35000,"35K-50K","&lt;35K")))))</f>
        <v>50K-75K</v>
      </c>
      <c r="AW828" t="str">
        <f>IF(ifood_data[[#All],[Age]]&gt;60,"60+",(IF(ifood_data[[#All],[Age]]&gt;50,"50-60",(IF(ifood_data[[#All],[Age]]&gt;40,"40-50",(IF(ifood_data[[#All],[Age]]&gt;30,"30-40","&lt;30")))))))</f>
        <v>40-50</v>
      </c>
      <c r="AX828">
        <f t="shared" si="48"/>
        <v>37</v>
      </c>
      <c r="AY828">
        <f t="shared" si="49"/>
        <v>3.0000000000000004</v>
      </c>
      <c r="AZ828">
        <f t="shared" si="50"/>
        <v>9</v>
      </c>
      <c r="BA828">
        <f t="shared" si="51"/>
        <v>7</v>
      </c>
      <c r="BB828">
        <f>SUM(ifood_data[[#This Row],[Recency Score]:[Monetary Score]])</f>
        <v>19</v>
      </c>
      <c r="BC828">
        <f>(_xlfn.PERCENTRANK.INC(ifood_data[[#All],[RFM]],ifood_data[[#This Row],[RFM]],1))*10</f>
        <v>7</v>
      </c>
      <c r="BD828" t="str">
        <f>VLOOKUP(ifood_data[[#This Row],[RFM Score]],'RFM Analysis'!$A$3:$B$14,2,FALSE)</f>
        <v>Loyal Customer</v>
      </c>
      <c r="BE828">
        <f>'Regression Models'!$B$101+'Regression Models'!$B$102*ifood_data[[#This Row],[Income]]+'Regression Models'!$B$103*ifood_data[[#This Row],[Age]]+'Regression Models'!$B$104*ifood_data[[#This Row],[Family]]</f>
        <v>627.77373643610815</v>
      </c>
      <c r="BF828" t="str">
        <f>IF(ifood_data[[#This Row],[AcceptedCmpOverall]]=1,"Campaign Respondent","Non-respondent")</f>
        <v>Non-respondent</v>
      </c>
    </row>
    <row r="829" spans="1:58" x14ac:dyDescent="0.35">
      <c r="A829">
        <v>753</v>
      </c>
      <c r="B829">
        <v>45183</v>
      </c>
      <c r="C829">
        <v>0</v>
      </c>
      <c r="D829">
        <v>0</v>
      </c>
      <c r="E829">
        <v>33</v>
      </c>
      <c r="F829">
        <v>219</v>
      </c>
      <c r="G829">
        <v>3</v>
      </c>
      <c r="H829">
        <v>60</v>
      </c>
      <c r="I829">
        <v>12</v>
      </c>
      <c r="J829">
        <v>9</v>
      </c>
      <c r="K829">
        <v>12</v>
      </c>
      <c r="L829">
        <v>1</v>
      </c>
      <c r="M829">
        <v>4</v>
      </c>
      <c r="N829">
        <v>1</v>
      </c>
      <c r="O829">
        <v>7</v>
      </c>
      <c r="P829">
        <v>7</v>
      </c>
      <c r="Q829">
        <v>0</v>
      </c>
      <c r="R829">
        <v>0</v>
      </c>
      <c r="S829">
        <v>0</v>
      </c>
      <c r="T829">
        <v>1</v>
      </c>
      <c r="U829">
        <v>0</v>
      </c>
      <c r="V829">
        <f>IF(SUM(ifood_data[[#This Row],[AcceptedCmp1]:[AcceptedCmp5]])&gt;0,1,0)</f>
        <v>1</v>
      </c>
      <c r="W829">
        <v>0</v>
      </c>
      <c r="X829">
        <v>3</v>
      </c>
      <c r="Y829">
        <v>11</v>
      </c>
      <c r="Z829">
        <v>0</v>
      </c>
      <c r="AA829">
        <v>58</v>
      </c>
      <c r="AB829">
        <v>2684</v>
      </c>
      <c r="AC829" s="28">
        <f>ifood_data[[#This Row],[Customer_Days]]/365</f>
        <v>7.353424657534247</v>
      </c>
      <c r="AD829">
        <v>0</v>
      </c>
      <c r="AE829">
        <v>0</v>
      </c>
      <c r="AF829">
        <v>1</v>
      </c>
      <c r="AG829">
        <v>0</v>
      </c>
      <c r="AH829">
        <v>0</v>
      </c>
      <c r="AI829">
        <v>0</v>
      </c>
      <c r="AJ829">
        <v>0</v>
      </c>
      <c r="AK829">
        <v>0</v>
      </c>
      <c r="AL829">
        <v>1</v>
      </c>
      <c r="AM829">
        <v>0</v>
      </c>
      <c r="AN829">
        <v>303</v>
      </c>
      <c r="AO829">
        <v>291</v>
      </c>
      <c r="AP829">
        <f>ifood_data[[#This Row],[MntTotal]]-ifood_data[[#This Row],[MntRegularProds]]</f>
        <v>12</v>
      </c>
      <c r="AQ829">
        <v>1</v>
      </c>
      <c r="AR829">
        <f>IF(SUM(ifood_data[[#This Row],[Kidhome]:[Teenhome]])&gt;0,1,0)</f>
        <v>0</v>
      </c>
      <c r="AS829" t="str">
        <f>IF(SUM(ifood_data[[#This Row],[Kidhome]:[Teenhome]])&gt;0,"Has Family","No Family")</f>
        <v>No Family</v>
      </c>
      <c r="AT829" t="str">
        <f>IF(ifood_data[[#This Row],[marital_Married]]=1,"Married", (IF(ifood_data[[#This Row],[marital_Single]]=1,"Single",(IF(ifood_data[[#This Row],[marital_Divorced]]=1,"Divorced",(IF(ifood_data[[#This Row],[marital_Together]]=1,"Living Together",(IF(ifood_data[[#This Row],[marital_Widow]]=1,"Widow","Other")))))))))</f>
        <v>Single</v>
      </c>
      <c r="AU829" t="str">
        <f>IF(ifood_data[[#This Row],[education_Basic]]=1,"High School",(IF(ifood_data[[#This Row],[education_Graduation]]=1,"Undergraduate Degree",(IF(SUM(AM829,AL829,AI829)&gt;0,"Master's Degree or Higher","Other")))))</f>
        <v>Master's Degree or Higher</v>
      </c>
      <c r="AV829" t="str">
        <f>IF(ifood_data[[#All],[Income]]&gt;75000,"75K+",(IF(ifood_data[[#All],[Income]]&gt;50000,"50K-75K",(IF(ifood_data[[#All],[Income]]&gt;35000,"35K-50K","&lt;35K")))))</f>
        <v>35K-50K</v>
      </c>
      <c r="AW829" t="str">
        <f>IF(ifood_data[[#All],[Age]]&gt;60,"60+",(IF(ifood_data[[#All],[Age]]&gt;50,"50-60",(IF(ifood_data[[#All],[Age]]&gt;40,"40-50",(IF(ifood_data[[#All],[Age]]&gt;30,"30-40","&lt;30")))))))</f>
        <v>50-60</v>
      </c>
      <c r="AX829">
        <f t="shared" si="48"/>
        <v>20</v>
      </c>
      <c r="AY829">
        <f t="shared" si="49"/>
        <v>7</v>
      </c>
      <c r="AZ829">
        <f t="shared" si="50"/>
        <v>4</v>
      </c>
      <c r="BA829">
        <f t="shared" si="51"/>
        <v>4</v>
      </c>
      <c r="BB829">
        <f>SUM(ifood_data[[#This Row],[Recency Score]:[Monetary Score]])</f>
        <v>15</v>
      </c>
      <c r="BC829">
        <f>(_xlfn.PERCENTRANK.INC(ifood_data[[#All],[RFM]],ifood_data[[#This Row],[RFM]],1))*10</f>
        <v>4</v>
      </c>
      <c r="BD829" t="str">
        <f>VLOOKUP(ifood_data[[#This Row],[RFM Score]],'RFM Analysis'!$A$3:$B$14,2,FALSE)</f>
        <v>At Risk</v>
      </c>
      <c r="BE829">
        <f>'Regression Models'!$B$101+'Regression Models'!$B$102*ifood_data[[#This Row],[Income]]+'Regression Models'!$B$103*ifood_data[[#This Row],[Age]]+'Regression Models'!$B$104*ifood_data[[#This Row],[Family]]</f>
        <v>626.89698819544913</v>
      </c>
      <c r="BF829" t="str">
        <f>IF(ifood_data[[#This Row],[AcceptedCmpOverall]]=1,"Campaign Respondent","Non-respondent")</f>
        <v>Campaign Respondent</v>
      </c>
    </row>
    <row r="830" spans="1:58" x14ac:dyDescent="0.35">
      <c r="A830">
        <v>1492</v>
      </c>
      <c r="B830">
        <v>57100</v>
      </c>
      <c r="C830">
        <v>1</v>
      </c>
      <c r="D830">
        <v>0</v>
      </c>
      <c r="E830">
        <v>9</v>
      </c>
      <c r="F830">
        <v>158</v>
      </c>
      <c r="G830">
        <v>11</v>
      </c>
      <c r="H830">
        <v>99</v>
      </c>
      <c r="I830">
        <v>15</v>
      </c>
      <c r="J830">
        <v>11</v>
      </c>
      <c r="K830">
        <v>17</v>
      </c>
      <c r="L830">
        <v>2</v>
      </c>
      <c r="M830">
        <v>3</v>
      </c>
      <c r="N830">
        <v>2</v>
      </c>
      <c r="O830">
        <v>7</v>
      </c>
      <c r="P830">
        <v>3</v>
      </c>
      <c r="Q830">
        <v>0</v>
      </c>
      <c r="R830">
        <v>0</v>
      </c>
      <c r="S830">
        <v>0</v>
      </c>
      <c r="T830">
        <v>0</v>
      </c>
      <c r="U830">
        <v>0</v>
      </c>
      <c r="V830">
        <f>IF(SUM(ifood_data[[#This Row],[AcceptedCmp1]:[AcceptedCmp5]])&gt;0,1,0)</f>
        <v>0</v>
      </c>
      <c r="W830">
        <v>0</v>
      </c>
      <c r="X830">
        <v>3</v>
      </c>
      <c r="Y830">
        <v>11</v>
      </c>
      <c r="Z830">
        <v>0</v>
      </c>
      <c r="AA830">
        <v>33</v>
      </c>
      <c r="AB830">
        <v>2201</v>
      </c>
      <c r="AC830" s="28">
        <f>ifood_data[[#This Row],[Customer_Days]]/365</f>
        <v>6.0301369863013701</v>
      </c>
      <c r="AD830">
        <v>0</v>
      </c>
      <c r="AE830">
        <v>0</v>
      </c>
      <c r="AF830">
        <v>1</v>
      </c>
      <c r="AG830">
        <v>0</v>
      </c>
      <c r="AH830">
        <v>0</v>
      </c>
      <c r="AI830">
        <v>0</v>
      </c>
      <c r="AJ830">
        <v>0</v>
      </c>
      <c r="AK830">
        <v>1</v>
      </c>
      <c r="AL830">
        <v>0</v>
      </c>
      <c r="AM830">
        <v>0</v>
      </c>
      <c r="AN830">
        <v>294</v>
      </c>
      <c r="AO830">
        <v>277</v>
      </c>
      <c r="AP830">
        <f>ifood_data[[#This Row],[MntTotal]]-ifood_data[[#This Row],[MntRegularProds]]</f>
        <v>17</v>
      </c>
      <c r="AQ830">
        <v>0</v>
      </c>
      <c r="AR830">
        <f>IF(SUM(ifood_data[[#This Row],[Kidhome]:[Teenhome]])&gt;0,1,0)</f>
        <v>1</v>
      </c>
      <c r="AS830" t="str">
        <f>IF(SUM(ifood_data[[#This Row],[Kidhome]:[Teenhome]])&gt;0,"Has Family","No Family")</f>
        <v>Has Family</v>
      </c>
      <c r="AT830" t="str">
        <f>IF(ifood_data[[#This Row],[marital_Married]]=1,"Married", (IF(ifood_data[[#This Row],[marital_Single]]=1,"Single",(IF(ifood_data[[#This Row],[marital_Divorced]]=1,"Divorced",(IF(ifood_data[[#This Row],[marital_Together]]=1,"Living Together",(IF(ifood_data[[#This Row],[marital_Widow]]=1,"Widow","Other")))))))))</f>
        <v>Single</v>
      </c>
      <c r="AU830" t="str">
        <f>IF(ifood_data[[#This Row],[education_Basic]]=1,"High School",(IF(ifood_data[[#This Row],[education_Graduation]]=1,"Undergraduate Degree",(IF(SUM(AM830,AL830,AI830)&gt;0,"Master's Degree or Higher","Other")))))</f>
        <v>Undergraduate Degree</v>
      </c>
      <c r="AV830" t="str">
        <f>IF(ifood_data[[#All],[Income]]&gt;75000,"75K+",(IF(ifood_data[[#All],[Income]]&gt;50000,"50K-75K",(IF(ifood_data[[#All],[Income]]&gt;35000,"35K-50K","&lt;35K")))))</f>
        <v>50K-75K</v>
      </c>
      <c r="AW830" t="str">
        <f>IF(ifood_data[[#All],[Age]]&gt;60,"60+",(IF(ifood_data[[#All],[Age]]&gt;50,"50-60",(IF(ifood_data[[#All],[Age]]&gt;40,"40-50",(IF(ifood_data[[#All],[Age]]&gt;30,"30-40","&lt;30")))))))</f>
        <v>30-40</v>
      </c>
      <c r="AX830">
        <f t="shared" si="48"/>
        <v>17</v>
      </c>
      <c r="AY830">
        <f t="shared" si="49"/>
        <v>10</v>
      </c>
      <c r="AZ830">
        <f t="shared" si="50"/>
        <v>3</v>
      </c>
      <c r="BA830">
        <f t="shared" si="51"/>
        <v>4</v>
      </c>
      <c r="BB830">
        <f>SUM(ifood_data[[#This Row],[Recency Score]:[Monetary Score]])</f>
        <v>17</v>
      </c>
      <c r="BC830">
        <f>(_xlfn.PERCENTRANK.INC(ifood_data[[#All],[RFM]],ifood_data[[#This Row],[RFM]],1))*10</f>
        <v>6</v>
      </c>
      <c r="BD830" t="str">
        <f>VLOOKUP(ifood_data[[#This Row],[RFM Score]],'RFM Analysis'!$A$3:$B$14,2,FALSE)</f>
        <v>Promising</v>
      </c>
      <c r="BE830">
        <f>'Regression Models'!$B$101+'Regression Models'!$B$102*ifood_data[[#This Row],[Income]]+'Regression Models'!$B$103*ifood_data[[#This Row],[Age]]+'Regression Models'!$B$104*ifood_data[[#This Row],[Family]]</f>
        <v>626.16728406563368</v>
      </c>
      <c r="BF830" t="str">
        <f>IF(ifood_data[[#This Row],[AcceptedCmpOverall]]=1,"Campaign Respondent","Non-respondent")</f>
        <v>Non-respondent</v>
      </c>
    </row>
    <row r="831" spans="1:58" x14ac:dyDescent="0.35">
      <c r="A831">
        <v>1219</v>
      </c>
      <c r="B831">
        <v>60033</v>
      </c>
      <c r="C831">
        <v>0</v>
      </c>
      <c r="D831">
        <v>1</v>
      </c>
      <c r="E831">
        <v>28</v>
      </c>
      <c r="F831">
        <v>62</v>
      </c>
      <c r="G831">
        <v>1</v>
      </c>
      <c r="H831">
        <v>57</v>
      </c>
      <c r="I831">
        <v>19</v>
      </c>
      <c r="J831">
        <v>11</v>
      </c>
      <c r="K831">
        <v>48</v>
      </c>
      <c r="L831">
        <v>2</v>
      </c>
      <c r="M831">
        <v>2</v>
      </c>
      <c r="N831">
        <v>1</v>
      </c>
      <c r="O831">
        <v>5</v>
      </c>
      <c r="P831">
        <v>2</v>
      </c>
      <c r="Q831">
        <v>0</v>
      </c>
      <c r="R831">
        <v>0</v>
      </c>
      <c r="S831">
        <v>0</v>
      </c>
      <c r="T831">
        <v>0</v>
      </c>
      <c r="U831">
        <v>0</v>
      </c>
      <c r="V831">
        <f>IF(SUM(ifood_data[[#This Row],[AcceptedCmp1]:[AcceptedCmp5]])&gt;0,1,0)</f>
        <v>0</v>
      </c>
      <c r="W831">
        <v>0</v>
      </c>
      <c r="X831">
        <v>3</v>
      </c>
      <c r="Y831">
        <v>11</v>
      </c>
      <c r="Z831">
        <v>0</v>
      </c>
      <c r="AA831">
        <v>66</v>
      </c>
      <c r="AB831">
        <v>2251</v>
      </c>
      <c r="AC831" s="28">
        <f>ifood_data[[#This Row],[Customer_Days]]/365</f>
        <v>6.1671232876712327</v>
      </c>
      <c r="AD831">
        <v>0</v>
      </c>
      <c r="AE831">
        <v>0</v>
      </c>
      <c r="AF831">
        <v>0</v>
      </c>
      <c r="AG831">
        <v>1</v>
      </c>
      <c r="AH831">
        <v>0</v>
      </c>
      <c r="AI831">
        <v>0</v>
      </c>
      <c r="AJ831">
        <v>0</v>
      </c>
      <c r="AK831">
        <v>0</v>
      </c>
      <c r="AL831">
        <v>1</v>
      </c>
      <c r="AM831">
        <v>0</v>
      </c>
      <c r="AN831">
        <v>150</v>
      </c>
      <c r="AO831">
        <v>102</v>
      </c>
      <c r="AP831">
        <f>ifood_data[[#This Row],[MntTotal]]-ifood_data[[#This Row],[MntRegularProds]]</f>
        <v>48</v>
      </c>
      <c r="AQ831">
        <v>0</v>
      </c>
      <c r="AR831">
        <f>IF(SUM(ifood_data[[#This Row],[Kidhome]:[Teenhome]])&gt;0,1,0)</f>
        <v>1</v>
      </c>
      <c r="AS831" t="str">
        <f>IF(SUM(ifood_data[[#This Row],[Kidhome]:[Teenhome]])&gt;0,"Has Family","No Family")</f>
        <v>Has Family</v>
      </c>
      <c r="AT831" t="str">
        <f>IF(ifood_data[[#This Row],[marital_Married]]=1,"Married", (IF(ifood_data[[#This Row],[marital_Single]]=1,"Single",(IF(ifood_data[[#This Row],[marital_Divorced]]=1,"Divorced",(IF(ifood_data[[#This Row],[marital_Together]]=1,"Living Together",(IF(ifood_data[[#This Row],[marital_Widow]]=1,"Widow","Other")))))))))</f>
        <v>Living Together</v>
      </c>
      <c r="AU831" t="str">
        <f>IF(ifood_data[[#This Row],[education_Basic]]=1,"High School",(IF(ifood_data[[#This Row],[education_Graduation]]=1,"Undergraduate Degree",(IF(SUM(AM831,AL831,AI831)&gt;0,"Master's Degree or Higher","Other")))))</f>
        <v>Master's Degree or Higher</v>
      </c>
      <c r="AV831" t="str">
        <f>IF(ifood_data[[#All],[Income]]&gt;75000,"75K+",(IF(ifood_data[[#All],[Income]]&gt;50000,"50K-75K",(IF(ifood_data[[#All],[Income]]&gt;35000,"35K-50K","&lt;35K")))))</f>
        <v>50K-75K</v>
      </c>
      <c r="AW831" t="str">
        <f>IF(ifood_data[[#All],[Age]]&gt;60,"60+",(IF(ifood_data[[#All],[Age]]&gt;50,"50-60",(IF(ifood_data[[#All],[Age]]&gt;40,"40-50",(IF(ifood_data[[#All],[Age]]&gt;30,"30-40","&lt;30")))))))</f>
        <v>60+</v>
      </c>
      <c r="AX831">
        <f t="shared" si="48"/>
        <v>12</v>
      </c>
      <c r="AY831">
        <f t="shared" si="49"/>
        <v>8</v>
      </c>
      <c r="AZ831">
        <f t="shared" si="50"/>
        <v>1</v>
      </c>
      <c r="BA831">
        <f t="shared" si="51"/>
        <v>3</v>
      </c>
      <c r="BB831">
        <f>SUM(ifood_data[[#This Row],[Recency Score]:[Monetary Score]])</f>
        <v>12</v>
      </c>
      <c r="BC831">
        <f>(_xlfn.PERCENTRANK.INC(ifood_data[[#All],[RFM]],ifood_data[[#This Row],[RFM]],1))*10</f>
        <v>3</v>
      </c>
      <c r="BD831" t="str">
        <f>VLOOKUP(ifood_data[[#This Row],[RFM Score]],'RFM Analysis'!$A$3:$B$14,2,FALSE)</f>
        <v>At Risk</v>
      </c>
      <c r="BE831">
        <f>'Regression Models'!$B$101+'Regression Models'!$B$102*ifood_data[[#This Row],[Income]]+'Regression Models'!$B$103*ifood_data[[#This Row],[Age]]+'Regression Models'!$B$104*ifood_data[[#This Row],[Family]]</f>
        <v>625.36505142817805</v>
      </c>
      <c r="BF831" t="str">
        <f>IF(ifood_data[[#This Row],[AcceptedCmpOverall]]=1,"Campaign Respondent","Non-respondent")</f>
        <v>Non-respondent</v>
      </c>
    </row>
    <row r="832" spans="1:58" x14ac:dyDescent="0.35">
      <c r="A832">
        <v>1387</v>
      </c>
      <c r="B832">
        <v>57867</v>
      </c>
      <c r="C832">
        <v>1</v>
      </c>
      <c r="D832">
        <v>0</v>
      </c>
      <c r="E832">
        <v>48</v>
      </c>
      <c r="F832">
        <v>344</v>
      </c>
      <c r="G832">
        <v>35</v>
      </c>
      <c r="H832">
        <v>178</v>
      </c>
      <c r="I832">
        <v>15</v>
      </c>
      <c r="J832">
        <v>23</v>
      </c>
      <c r="K832">
        <v>17</v>
      </c>
      <c r="L832">
        <v>7</v>
      </c>
      <c r="M832">
        <v>7</v>
      </c>
      <c r="N832">
        <v>2</v>
      </c>
      <c r="O832">
        <v>9</v>
      </c>
      <c r="P832">
        <v>6</v>
      </c>
      <c r="Q832">
        <v>0</v>
      </c>
      <c r="R832">
        <v>0</v>
      </c>
      <c r="S832">
        <v>0</v>
      </c>
      <c r="T832">
        <v>0</v>
      </c>
      <c r="U832">
        <v>0</v>
      </c>
      <c r="V832">
        <f>IF(SUM(ifood_data[[#This Row],[AcceptedCmp1]:[AcceptedCmp5]])&gt;0,1,0)</f>
        <v>0</v>
      </c>
      <c r="W832">
        <v>0</v>
      </c>
      <c r="X832">
        <v>3</v>
      </c>
      <c r="Y832">
        <v>11</v>
      </c>
      <c r="Z832">
        <v>0</v>
      </c>
      <c r="AA832">
        <v>42</v>
      </c>
      <c r="AB832">
        <v>2430</v>
      </c>
      <c r="AC832" s="28">
        <f>ifood_data[[#This Row],[Customer_Days]]/365</f>
        <v>6.6575342465753424</v>
      </c>
      <c r="AD832">
        <v>0</v>
      </c>
      <c r="AE832">
        <v>0</v>
      </c>
      <c r="AF832">
        <v>0</v>
      </c>
      <c r="AG832">
        <v>1</v>
      </c>
      <c r="AH832">
        <v>0</v>
      </c>
      <c r="AI832">
        <v>0</v>
      </c>
      <c r="AJ832">
        <v>0</v>
      </c>
      <c r="AK832">
        <v>1</v>
      </c>
      <c r="AL832">
        <v>0</v>
      </c>
      <c r="AM832">
        <v>0</v>
      </c>
      <c r="AN832">
        <v>595</v>
      </c>
      <c r="AO832">
        <v>578</v>
      </c>
      <c r="AP832">
        <f>ifood_data[[#This Row],[MntTotal]]-ifood_data[[#This Row],[MntRegularProds]]</f>
        <v>17</v>
      </c>
      <c r="AQ832">
        <v>0</v>
      </c>
      <c r="AR832">
        <f>IF(SUM(ifood_data[[#This Row],[Kidhome]:[Teenhome]])&gt;0,1,0)</f>
        <v>1</v>
      </c>
      <c r="AS832" t="str">
        <f>IF(SUM(ifood_data[[#This Row],[Kidhome]:[Teenhome]])&gt;0,"Has Family","No Family")</f>
        <v>Has Family</v>
      </c>
      <c r="AT832" t="str">
        <f>IF(ifood_data[[#This Row],[marital_Married]]=1,"Married", (IF(ifood_data[[#This Row],[marital_Single]]=1,"Single",(IF(ifood_data[[#This Row],[marital_Divorced]]=1,"Divorced",(IF(ifood_data[[#This Row],[marital_Together]]=1,"Living Together",(IF(ifood_data[[#This Row],[marital_Widow]]=1,"Widow","Other")))))))))</f>
        <v>Living Together</v>
      </c>
      <c r="AU832" t="str">
        <f>IF(ifood_data[[#This Row],[education_Basic]]=1,"High School",(IF(ifood_data[[#This Row],[education_Graduation]]=1,"Undergraduate Degree",(IF(SUM(AM832,AL832,AI832)&gt;0,"Master's Degree or Higher","Other")))))</f>
        <v>Undergraduate Degree</v>
      </c>
      <c r="AV832" t="str">
        <f>IF(ifood_data[[#All],[Income]]&gt;75000,"75K+",(IF(ifood_data[[#All],[Income]]&gt;50000,"50K-75K",(IF(ifood_data[[#All],[Income]]&gt;35000,"35K-50K","&lt;35K")))))</f>
        <v>50K-75K</v>
      </c>
      <c r="AW832" t="str">
        <f>IF(ifood_data[[#All],[Age]]&gt;60,"60+",(IF(ifood_data[[#All],[Age]]&gt;50,"50-60",(IF(ifood_data[[#All],[Age]]&gt;40,"40-50",(IF(ifood_data[[#All],[Age]]&gt;30,"30-40","&lt;30")))))))</f>
        <v>40-50</v>
      </c>
      <c r="AX832">
        <f t="shared" si="48"/>
        <v>31</v>
      </c>
      <c r="AY832">
        <f t="shared" si="49"/>
        <v>6</v>
      </c>
      <c r="AZ832">
        <f t="shared" si="50"/>
        <v>9</v>
      </c>
      <c r="BA832">
        <f t="shared" si="51"/>
        <v>6</v>
      </c>
      <c r="BB832">
        <f>SUM(ifood_data[[#This Row],[Recency Score]:[Monetary Score]])</f>
        <v>21</v>
      </c>
      <c r="BC832">
        <f>(_xlfn.PERCENTRANK.INC(ifood_data[[#All],[RFM]],ifood_data[[#This Row],[RFM]],1))*10</f>
        <v>8</v>
      </c>
      <c r="BD832" t="str">
        <f>VLOOKUP(ifood_data[[#This Row],[RFM Score]],'RFM Analysis'!$A$3:$B$14,2,FALSE)</f>
        <v>Loyal Customer</v>
      </c>
      <c r="BE832">
        <f>'Regression Models'!$B$101+'Regression Models'!$B$102*ifood_data[[#This Row],[Income]]+'Regression Models'!$B$103*ifood_data[[#This Row],[Age]]+'Regression Models'!$B$104*ifood_data[[#This Row],[Family]]</f>
        <v>625.2775175219557</v>
      </c>
      <c r="BF832" t="str">
        <f>IF(ifood_data[[#This Row],[AcceptedCmpOverall]]=1,"Campaign Respondent","Non-respondent")</f>
        <v>Non-respondent</v>
      </c>
    </row>
    <row r="833" spans="1:58" x14ac:dyDescent="0.35">
      <c r="A833">
        <v>506</v>
      </c>
      <c r="B833">
        <v>57954</v>
      </c>
      <c r="C833">
        <v>1</v>
      </c>
      <c r="D833">
        <v>1</v>
      </c>
      <c r="E833">
        <v>52</v>
      </c>
      <c r="F833">
        <v>456</v>
      </c>
      <c r="G833">
        <v>4</v>
      </c>
      <c r="H833">
        <v>24</v>
      </c>
      <c r="I833">
        <v>0</v>
      </c>
      <c r="J833">
        <v>0</v>
      </c>
      <c r="K833">
        <v>9</v>
      </c>
      <c r="L833">
        <v>7</v>
      </c>
      <c r="M833">
        <v>8</v>
      </c>
      <c r="N833">
        <v>2</v>
      </c>
      <c r="O833">
        <v>6</v>
      </c>
      <c r="P833">
        <v>7</v>
      </c>
      <c r="Q833">
        <v>0</v>
      </c>
      <c r="R833">
        <v>0</v>
      </c>
      <c r="S833">
        <v>0</v>
      </c>
      <c r="T833">
        <v>1</v>
      </c>
      <c r="U833">
        <v>0</v>
      </c>
      <c r="V833">
        <f>IF(SUM(ifood_data[[#This Row],[AcceptedCmp1]:[AcceptedCmp5]])&gt;0,1,0)</f>
        <v>1</v>
      </c>
      <c r="W833">
        <v>0</v>
      </c>
      <c r="X833">
        <v>3</v>
      </c>
      <c r="Y833">
        <v>11</v>
      </c>
      <c r="Z833">
        <v>0</v>
      </c>
      <c r="AA833">
        <v>43</v>
      </c>
      <c r="AB833">
        <v>2170</v>
      </c>
      <c r="AC833" s="28">
        <f>ifood_data[[#This Row],[Customer_Days]]/365</f>
        <v>5.9452054794520546</v>
      </c>
      <c r="AD833">
        <v>0</v>
      </c>
      <c r="AE833">
        <v>0</v>
      </c>
      <c r="AF833">
        <v>0</v>
      </c>
      <c r="AG833">
        <v>1</v>
      </c>
      <c r="AH833">
        <v>0</v>
      </c>
      <c r="AI833">
        <v>0</v>
      </c>
      <c r="AJ833">
        <v>0</v>
      </c>
      <c r="AK833">
        <v>0</v>
      </c>
      <c r="AL833">
        <v>1</v>
      </c>
      <c r="AM833">
        <v>0</v>
      </c>
      <c r="AN833">
        <v>484</v>
      </c>
      <c r="AO833">
        <v>475</v>
      </c>
      <c r="AP833">
        <f>ifood_data[[#This Row],[MntTotal]]-ifood_data[[#This Row],[MntRegularProds]]</f>
        <v>9</v>
      </c>
      <c r="AQ833">
        <v>1</v>
      </c>
      <c r="AR833">
        <f>IF(SUM(ifood_data[[#This Row],[Kidhome]:[Teenhome]])&gt;0,1,0)</f>
        <v>1</v>
      </c>
      <c r="AS833" t="str">
        <f>IF(SUM(ifood_data[[#This Row],[Kidhome]:[Teenhome]])&gt;0,"Has Family","No Family")</f>
        <v>Has Family</v>
      </c>
      <c r="AT833" t="str">
        <f>IF(ifood_data[[#This Row],[marital_Married]]=1,"Married", (IF(ifood_data[[#This Row],[marital_Single]]=1,"Single",(IF(ifood_data[[#This Row],[marital_Divorced]]=1,"Divorced",(IF(ifood_data[[#This Row],[marital_Together]]=1,"Living Together",(IF(ifood_data[[#This Row],[marital_Widow]]=1,"Widow","Other")))))))))</f>
        <v>Living Together</v>
      </c>
      <c r="AU833" t="str">
        <f>IF(ifood_data[[#This Row],[education_Basic]]=1,"High School",(IF(ifood_data[[#This Row],[education_Graduation]]=1,"Undergraduate Degree",(IF(SUM(AM833,AL833,AI833)&gt;0,"Master's Degree or Higher","Other")))))</f>
        <v>Master's Degree or Higher</v>
      </c>
      <c r="AV833" t="str">
        <f>IF(ifood_data[[#All],[Income]]&gt;75000,"75K+",(IF(ifood_data[[#All],[Income]]&gt;50000,"50K-75K",(IF(ifood_data[[#All],[Income]]&gt;35000,"35K-50K","&lt;35K")))))</f>
        <v>50K-75K</v>
      </c>
      <c r="AW833" t="str">
        <f>IF(ifood_data[[#All],[Age]]&gt;60,"60+",(IF(ifood_data[[#All],[Age]]&gt;50,"50-60",(IF(ifood_data[[#All],[Age]]&gt;40,"40-50",(IF(ifood_data[[#All],[Age]]&gt;30,"30-40","&lt;30")))))))</f>
        <v>40-50</v>
      </c>
      <c r="AX833">
        <f t="shared" si="48"/>
        <v>30</v>
      </c>
      <c r="AY833">
        <f t="shared" si="49"/>
        <v>5</v>
      </c>
      <c r="AZ833">
        <f t="shared" si="50"/>
        <v>8</v>
      </c>
      <c r="BA833">
        <f t="shared" si="51"/>
        <v>5</v>
      </c>
      <c r="BB833">
        <f>SUM(ifood_data[[#This Row],[Recency Score]:[Monetary Score]])</f>
        <v>18</v>
      </c>
      <c r="BC833">
        <f>(_xlfn.PERCENTRANK.INC(ifood_data[[#All],[RFM]],ifood_data[[#This Row],[RFM]],1))*10</f>
        <v>6</v>
      </c>
      <c r="BD833" t="str">
        <f>VLOOKUP(ifood_data[[#This Row],[RFM Score]],'RFM Analysis'!$A$3:$B$14,2,FALSE)</f>
        <v>Promising</v>
      </c>
      <c r="BE833">
        <f>'Regression Models'!$B$101+'Regression Models'!$B$102*ifood_data[[#This Row],[Income]]+'Regression Models'!$B$103*ifood_data[[#This Row],[Age]]+'Regression Models'!$B$104*ifood_data[[#This Row],[Family]]</f>
        <v>625.21490127158052</v>
      </c>
      <c r="BF833" t="str">
        <f>IF(ifood_data[[#This Row],[AcceptedCmpOverall]]=1,"Campaign Respondent","Non-respondent")</f>
        <v>Campaign Respondent</v>
      </c>
    </row>
    <row r="834" spans="1:58" x14ac:dyDescent="0.35">
      <c r="A834">
        <v>1013</v>
      </c>
      <c r="B834">
        <v>59925</v>
      </c>
      <c r="C834">
        <v>0</v>
      </c>
      <c r="D834">
        <v>1</v>
      </c>
      <c r="E834">
        <v>83</v>
      </c>
      <c r="F834">
        <v>473</v>
      </c>
      <c r="G834">
        <v>21</v>
      </c>
      <c r="H834">
        <v>176</v>
      </c>
      <c r="I834">
        <v>19</v>
      </c>
      <c r="J834">
        <v>21</v>
      </c>
      <c r="K834">
        <v>56</v>
      </c>
      <c r="L834">
        <v>3</v>
      </c>
      <c r="M834">
        <v>9</v>
      </c>
      <c r="N834">
        <v>2</v>
      </c>
      <c r="O834">
        <v>9</v>
      </c>
      <c r="P834">
        <v>6</v>
      </c>
      <c r="Q834">
        <v>0</v>
      </c>
      <c r="R834">
        <v>0</v>
      </c>
      <c r="S834">
        <v>0</v>
      </c>
      <c r="T834">
        <v>0</v>
      </c>
      <c r="U834">
        <v>0</v>
      </c>
      <c r="V834">
        <f>IF(SUM(ifood_data[[#This Row],[AcceptedCmp1]:[AcceptedCmp5]])&gt;0,1,0)</f>
        <v>0</v>
      </c>
      <c r="W834">
        <v>0</v>
      </c>
      <c r="X834">
        <v>3</v>
      </c>
      <c r="Y834">
        <v>11</v>
      </c>
      <c r="Z834">
        <v>0</v>
      </c>
      <c r="AA834">
        <v>65</v>
      </c>
      <c r="AB834">
        <v>2735</v>
      </c>
      <c r="AC834" s="28">
        <f>ifood_data[[#This Row],[Customer_Days]]/365</f>
        <v>7.493150684931507</v>
      </c>
      <c r="AD834">
        <v>0</v>
      </c>
      <c r="AE834">
        <v>0</v>
      </c>
      <c r="AF834">
        <v>0</v>
      </c>
      <c r="AG834">
        <v>1</v>
      </c>
      <c r="AH834">
        <v>0</v>
      </c>
      <c r="AI834">
        <v>0</v>
      </c>
      <c r="AJ834">
        <v>0</v>
      </c>
      <c r="AK834">
        <v>1</v>
      </c>
      <c r="AL834">
        <v>0</v>
      </c>
      <c r="AM834">
        <v>0</v>
      </c>
      <c r="AN834">
        <v>710</v>
      </c>
      <c r="AO834">
        <v>654</v>
      </c>
      <c r="AP834">
        <f>ifood_data[[#This Row],[MntTotal]]-ifood_data[[#This Row],[MntRegularProds]]</f>
        <v>56</v>
      </c>
      <c r="AQ834">
        <v>0</v>
      </c>
      <c r="AR834">
        <f>IF(SUM(ifood_data[[#This Row],[Kidhome]:[Teenhome]])&gt;0,1,0)</f>
        <v>1</v>
      </c>
      <c r="AS834" t="str">
        <f>IF(SUM(ifood_data[[#This Row],[Kidhome]:[Teenhome]])&gt;0,"Has Family","No Family")</f>
        <v>Has Family</v>
      </c>
      <c r="AT834" t="str">
        <f>IF(ifood_data[[#This Row],[marital_Married]]=1,"Married", (IF(ifood_data[[#This Row],[marital_Single]]=1,"Single",(IF(ifood_data[[#This Row],[marital_Divorced]]=1,"Divorced",(IF(ifood_data[[#This Row],[marital_Together]]=1,"Living Together",(IF(ifood_data[[#This Row],[marital_Widow]]=1,"Widow","Other")))))))))</f>
        <v>Living Together</v>
      </c>
      <c r="AU834" t="str">
        <f>IF(ifood_data[[#This Row],[education_Basic]]=1,"High School",(IF(ifood_data[[#This Row],[education_Graduation]]=1,"Undergraduate Degree",(IF(SUM(AM834,AL834,AI834)&gt;0,"Master's Degree or Higher","Other")))))</f>
        <v>Undergraduate Degree</v>
      </c>
      <c r="AV834" t="str">
        <f>IF(ifood_data[[#All],[Income]]&gt;75000,"75K+",(IF(ifood_data[[#All],[Income]]&gt;50000,"50K-75K",(IF(ifood_data[[#All],[Income]]&gt;35000,"35K-50K","&lt;35K")))))</f>
        <v>50K-75K</v>
      </c>
      <c r="AW834" t="str">
        <f>IF(ifood_data[[#All],[Age]]&gt;60,"60+",(IF(ifood_data[[#All],[Age]]&gt;50,"50-60",(IF(ifood_data[[#All],[Age]]&gt;40,"40-50",(IF(ifood_data[[#All],[Age]]&gt;30,"30-40","&lt;30")))))))</f>
        <v>60+</v>
      </c>
      <c r="AX834">
        <f t="shared" ref="AX834:AX897" si="52">SUM(L834:P834)</f>
        <v>29</v>
      </c>
      <c r="AY834">
        <f t="shared" ref="AY834:AY897" si="53">(1-_xlfn.PERCENTRANK.INC($E$2:$E$2022,E834,1))*10</f>
        <v>1.9999999999999996</v>
      </c>
      <c r="AZ834">
        <f t="shared" ref="AZ834:AZ897" si="54">_xlfn.PERCENTRANK.INC($AX$2:$AX$2022,AX834,1)*10</f>
        <v>8</v>
      </c>
      <c r="BA834">
        <f t="shared" ref="BA834:BA897" si="55">_xlfn.PERCENTRANK.INC($AN$2:$AN$2022,AN834,1)*10</f>
        <v>6</v>
      </c>
      <c r="BB834">
        <f>SUM(ifood_data[[#This Row],[Recency Score]:[Monetary Score]])</f>
        <v>16</v>
      </c>
      <c r="BC834">
        <f>(_xlfn.PERCENTRANK.INC(ifood_data[[#All],[RFM]],ifood_data[[#This Row],[RFM]],1))*10</f>
        <v>5</v>
      </c>
      <c r="BD834" t="str">
        <f>VLOOKUP(ifood_data[[#This Row],[RFM Score]],'RFM Analysis'!$A$3:$B$14,2,FALSE)</f>
        <v>Promising</v>
      </c>
      <c r="BE834">
        <f>'Regression Models'!$B$101+'Regression Models'!$B$102*ifood_data[[#This Row],[Income]]+'Regression Models'!$B$103*ifood_data[[#This Row],[Age]]+'Regression Models'!$B$104*ifood_data[[#This Row],[Family]]</f>
        <v>624.99950354753128</v>
      </c>
      <c r="BF834" t="str">
        <f>IF(ifood_data[[#This Row],[AcceptedCmpOverall]]=1,"Campaign Respondent","Non-respondent")</f>
        <v>Non-respondent</v>
      </c>
    </row>
    <row r="835" spans="1:58" x14ac:dyDescent="0.35">
      <c r="A835">
        <v>636</v>
      </c>
      <c r="B835">
        <v>59247</v>
      </c>
      <c r="C835">
        <v>0</v>
      </c>
      <c r="D835">
        <v>2</v>
      </c>
      <c r="E835">
        <v>87</v>
      </c>
      <c r="F835">
        <v>327</v>
      </c>
      <c r="G835">
        <v>9</v>
      </c>
      <c r="H835">
        <v>122</v>
      </c>
      <c r="I835">
        <v>19</v>
      </c>
      <c r="J835">
        <v>14</v>
      </c>
      <c r="K835">
        <v>83</v>
      </c>
      <c r="L835">
        <v>5</v>
      </c>
      <c r="M835">
        <v>5</v>
      </c>
      <c r="N835">
        <v>2</v>
      </c>
      <c r="O835">
        <v>9</v>
      </c>
      <c r="P835">
        <v>6</v>
      </c>
      <c r="Q835">
        <v>0</v>
      </c>
      <c r="R835">
        <v>0</v>
      </c>
      <c r="S835">
        <v>0</v>
      </c>
      <c r="T835">
        <v>0</v>
      </c>
      <c r="U835">
        <v>0</v>
      </c>
      <c r="V835">
        <f>IF(SUM(ifood_data[[#This Row],[AcceptedCmp1]:[AcceptedCmp5]])&gt;0,1,0)</f>
        <v>0</v>
      </c>
      <c r="W835">
        <v>0</v>
      </c>
      <c r="X835">
        <v>3</v>
      </c>
      <c r="Y835">
        <v>11</v>
      </c>
      <c r="Z835">
        <v>0</v>
      </c>
      <c r="AA835">
        <v>58</v>
      </c>
      <c r="AB835">
        <v>2392</v>
      </c>
      <c r="AC835" s="28">
        <f>ifood_data[[#This Row],[Customer_Days]]/365</f>
        <v>6.5534246575342463</v>
      </c>
      <c r="AD835">
        <v>0</v>
      </c>
      <c r="AE835">
        <v>0</v>
      </c>
      <c r="AF835">
        <v>1</v>
      </c>
      <c r="AG835">
        <v>0</v>
      </c>
      <c r="AH835">
        <v>0</v>
      </c>
      <c r="AI835">
        <v>0</v>
      </c>
      <c r="AJ835">
        <v>0</v>
      </c>
      <c r="AK835">
        <v>0</v>
      </c>
      <c r="AL835">
        <v>1</v>
      </c>
      <c r="AM835">
        <v>0</v>
      </c>
      <c r="AN835">
        <v>491</v>
      </c>
      <c r="AO835">
        <v>408</v>
      </c>
      <c r="AP835">
        <f>ifood_data[[#This Row],[MntTotal]]-ifood_data[[#This Row],[MntRegularProds]]</f>
        <v>83</v>
      </c>
      <c r="AQ835">
        <v>0</v>
      </c>
      <c r="AR835">
        <f>IF(SUM(ifood_data[[#This Row],[Kidhome]:[Teenhome]])&gt;0,1,0)</f>
        <v>1</v>
      </c>
      <c r="AS835" t="str">
        <f>IF(SUM(ifood_data[[#This Row],[Kidhome]:[Teenhome]])&gt;0,"Has Family","No Family")</f>
        <v>Has Family</v>
      </c>
      <c r="AT835" t="str">
        <f>IF(ifood_data[[#This Row],[marital_Married]]=1,"Married", (IF(ifood_data[[#This Row],[marital_Single]]=1,"Single",(IF(ifood_data[[#This Row],[marital_Divorced]]=1,"Divorced",(IF(ifood_data[[#This Row],[marital_Together]]=1,"Living Together",(IF(ifood_data[[#This Row],[marital_Widow]]=1,"Widow","Other")))))))))</f>
        <v>Single</v>
      </c>
      <c r="AU835" t="str">
        <f>IF(ifood_data[[#This Row],[education_Basic]]=1,"High School",(IF(ifood_data[[#This Row],[education_Graduation]]=1,"Undergraduate Degree",(IF(SUM(AM835,AL835,AI835)&gt;0,"Master's Degree or Higher","Other")))))</f>
        <v>Master's Degree or Higher</v>
      </c>
      <c r="AV835" t="str">
        <f>IF(ifood_data[[#All],[Income]]&gt;75000,"75K+",(IF(ifood_data[[#All],[Income]]&gt;50000,"50K-75K",(IF(ifood_data[[#All],[Income]]&gt;35000,"35K-50K","&lt;35K")))))</f>
        <v>50K-75K</v>
      </c>
      <c r="AW835" t="str">
        <f>IF(ifood_data[[#All],[Age]]&gt;60,"60+",(IF(ifood_data[[#All],[Age]]&gt;50,"50-60",(IF(ifood_data[[#All],[Age]]&gt;40,"40-50",(IF(ifood_data[[#All],[Age]]&gt;30,"30-40","&lt;30")))))))</f>
        <v>50-60</v>
      </c>
      <c r="AX835">
        <f t="shared" si="52"/>
        <v>27</v>
      </c>
      <c r="AY835">
        <f t="shared" si="53"/>
        <v>1.9999999999999996</v>
      </c>
      <c r="AZ835">
        <f t="shared" si="54"/>
        <v>7</v>
      </c>
      <c r="BA835">
        <f t="shared" si="55"/>
        <v>5</v>
      </c>
      <c r="BB835">
        <f>SUM(ifood_data[[#This Row],[Recency Score]:[Monetary Score]])</f>
        <v>14</v>
      </c>
      <c r="BC835">
        <f>(_xlfn.PERCENTRANK.INC(ifood_data[[#All],[RFM]],ifood_data[[#This Row],[RFM]],1))*10</f>
        <v>4</v>
      </c>
      <c r="BD835" t="str">
        <f>VLOOKUP(ifood_data[[#This Row],[RFM Score]],'RFM Analysis'!$A$3:$B$14,2,FALSE)</f>
        <v>At Risk</v>
      </c>
      <c r="BE835">
        <f>'Regression Models'!$B$101+'Regression Models'!$B$102*ifood_data[[#This Row],[Income]]+'Regression Models'!$B$103*ifood_data[[#This Row],[Age]]+'Regression Models'!$B$104*ifood_data[[#This Row],[Family]]</f>
        <v>624.03099229822772</v>
      </c>
      <c r="BF835" t="str">
        <f>IF(ifood_data[[#This Row],[AcceptedCmpOverall]]=1,"Campaign Respondent","Non-respondent")</f>
        <v>Non-respondent</v>
      </c>
    </row>
    <row r="836" spans="1:58" x14ac:dyDescent="0.35">
      <c r="A836">
        <v>1506</v>
      </c>
      <c r="B836">
        <v>59821</v>
      </c>
      <c r="C836">
        <v>0</v>
      </c>
      <c r="D836">
        <v>1</v>
      </c>
      <c r="E836">
        <v>11</v>
      </c>
      <c r="F836">
        <v>629</v>
      </c>
      <c r="G836">
        <v>0</v>
      </c>
      <c r="H836">
        <v>70</v>
      </c>
      <c r="I836">
        <v>0</v>
      </c>
      <c r="J836">
        <v>0</v>
      </c>
      <c r="K836">
        <v>35</v>
      </c>
      <c r="L836">
        <v>6</v>
      </c>
      <c r="M836">
        <v>11</v>
      </c>
      <c r="N836">
        <v>2</v>
      </c>
      <c r="O836">
        <v>7</v>
      </c>
      <c r="P836">
        <v>8</v>
      </c>
      <c r="Q836">
        <v>0</v>
      </c>
      <c r="R836">
        <v>0</v>
      </c>
      <c r="S836">
        <v>0</v>
      </c>
      <c r="T836">
        <v>0</v>
      </c>
      <c r="U836">
        <v>0</v>
      </c>
      <c r="V836">
        <f>IF(SUM(ifood_data[[#This Row],[AcceptedCmp1]:[AcceptedCmp5]])&gt;0,1,0)</f>
        <v>0</v>
      </c>
      <c r="W836">
        <v>0</v>
      </c>
      <c r="X836">
        <v>3</v>
      </c>
      <c r="Y836">
        <v>11</v>
      </c>
      <c r="Z836">
        <v>0</v>
      </c>
      <c r="AA836">
        <v>65</v>
      </c>
      <c r="AB836">
        <v>2602</v>
      </c>
      <c r="AC836" s="28">
        <f>ifood_data[[#This Row],[Customer_Days]]/365</f>
        <v>7.1287671232876715</v>
      </c>
      <c r="AD836">
        <v>0</v>
      </c>
      <c r="AE836">
        <v>1</v>
      </c>
      <c r="AF836">
        <v>0</v>
      </c>
      <c r="AG836">
        <v>0</v>
      </c>
      <c r="AH836">
        <v>0</v>
      </c>
      <c r="AI836">
        <v>0</v>
      </c>
      <c r="AJ836">
        <v>0</v>
      </c>
      <c r="AK836">
        <v>0</v>
      </c>
      <c r="AL836">
        <v>0</v>
      </c>
      <c r="AM836">
        <v>1</v>
      </c>
      <c r="AN836">
        <v>699</v>
      </c>
      <c r="AO836">
        <v>664</v>
      </c>
      <c r="AP836">
        <f>ifood_data[[#This Row],[MntTotal]]-ifood_data[[#This Row],[MntRegularProds]]</f>
        <v>35</v>
      </c>
      <c r="AQ836">
        <v>0</v>
      </c>
      <c r="AR836">
        <f>IF(SUM(ifood_data[[#This Row],[Kidhome]:[Teenhome]])&gt;0,1,0)</f>
        <v>1</v>
      </c>
      <c r="AS836" t="str">
        <f>IF(SUM(ifood_data[[#This Row],[Kidhome]:[Teenhome]])&gt;0,"Has Family","No Family")</f>
        <v>Has Family</v>
      </c>
      <c r="AT836" t="str">
        <f>IF(ifood_data[[#This Row],[marital_Married]]=1,"Married", (IF(ifood_data[[#This Row],[marital_Single]]=1,"Single",(IF(ifood_data[[#This Row],[marital_Divorced]]=1,"Divorced",(IF(ifood_data[[#This Row],[marital_Together]]=1,"Living Together",(IF(ifood_data[[#This Row],[marital_Widow]]=1,"Widow","Other")))))))))</f>
        <v>Married</v>
      </c>
      <c r="AU836" t="str">
        <f>IF(ifood_data[[#This Row],[education_Basic]]=1,"High School",(IF(ifood_data[[#This Row],[education_Graduation]]=1,"Undergraduate Degree",(IF(SUM(AM836,AL836,AI836)&gt;0,"Master's Degree or Higher","Other")))))</f>
        <v>Master's Degree or Higher</v>
      </c>
      <c r="AV836" t="str">
        <f>IF(ifood_data[[#All],[Income]]&gt;75000,"75K+",(IF(ifood_data[[#All],[Income]]&gt;50000,"50K-75K",(IF(ifood_data[[#All],[Income]]&gt;35000,"35K-50K","&lt;35K")))))</f>
        <v>50K-75K</v>
      </c>
      <c r="AW836" t="str">
        <f>IF(ifood_data[[#All],[Age]]&gt;60,"60+",(IF(ifood_data[[#All],[Age]]&gt;50,"50-60",(IF(ifood_data[[#All],[Age]]&gt;40,"40-50",(IF(ifood_data[[#All],[Age]]&gt;30,"30-40","&lt;30")))))))</f>
        <v>60+</v>
      </c>
      <c r="AX836">
        <f t="shared" si="52"/>
        <v>34</v>
      </c>
      <c r="AY836">
        <f t="shared" si="53"/>
        <v>9</v>
      </c>
      <c r="AZ836">
        <f t="shared" si="54"/>
        <v>9</v>
      </c>
      <c r="BA836">
        <f t="shared" si="55"/>
        <v>6</v>
      </c>
      <c r="BB836">
        <f>SUM(ifood_data[[#This Row],[Recency Score]:[Monetary Score]])</f>
        <v>24</v>
      </c>
      <c r="BC836">
        <f>(_xlfn.PERCENTRANK.INC(ifood_data[[#All],[RFM]],ifood_data[[#This Row],[RFM]],1))*10</f>
        <v>9</v>
      </c>
      <c r="BD836" t="str">
        <f>VLOOKUP(ifood_data[[#This Row],[RFM Score]],'RFM Analysis'!$A$3:$B$14,2,FALSE)</f>
        <v>Top Customer</v>
      </c>
      <c r="BE836">
        <f>'Regression Models'!$B$101+'Regression Models'!$B$102*ifood_data[[#This Row],[Income]]+'Regression Models'!$B$103*ifood_data[[#This Row],[Age]]+'Regression Models'!$B$104*ifood_data[[#This Row],[Family]]</f>
        <v>622.87907166056584</v>
      </c>
      <c r="BF836" t="str">
        <f>IF(ifood_data[[#This Row],[AcceptedCmpOverall]]=1,"Campaign Respondent","Non-respondent")</f>
        <v>Non-respondent</v>
      </c>
    </row>
    <row r="837" spans="1:58" x14ac:dyDescent="0.35">
      <c r="A837">
        <v>1553</v>
      </c>
      <c r="B837">
        <v>58350</v>
      </c>
      <c r="C837">
        <v>0</v>
      </c>
      <c r="D837">
        <v>1</v>
      </c>
      <c r="E837">
        <v>5</v>
      </c>
      <c r="F837">
        <v>493</v>
      </c>
      <c r="G837">
        <v>26</v>
      </c>
      <c r="H837">
        <v>206</v>
      </c>
      <c r="I837">
        <v>116</v>
      </c>
      <c r="J837">
        <v>80</v>
      </c>
      <c r="K837">
        <v>80</v>
      </c>
      <c r="L837">
        <v>4</v>
      </c>
      <c r="M837">
        <v>8</v>
      </c>
      <c r="N837">
        <v>3</v>
      </c>
      <c r="O837">
        <v>12</v>
      </c>
      <c r="P837">
        <v>6</v>
      </c>
      <c r="Q837">
        <v>0</v>
      </c>
      <c r="R837">
        <v>0</v>
      </c>
      <c r="S837">
        <v>0</v>
      </c>
      <c r="T837">
        <v>0</v>
      </c>
      <c r="U837">
        <v>0</v>
      </c>
      <c r="V837">
        <f>IF(SUM(ifood_data[[#This Row],[AcceptedCmp1]:[AcceptedCmp5]])&gt;0,1,0)</f>
        <v>0</v>
      </c>
      <c r="W837">
        <v>0</v>
      </c>
      <c r="X837">
        <v>3</v>
      </c>
      <c r="Y837">
        <v>11</v>
      </c>
      <c r="Z837">
        <v>0</v>
      </c>
      <c r="AA837">
        <v>49</v>
      </c>
      <c r="AB837">
        <v>2700</v>
      </c>
      <c r="AC837" s="28">
        <f>ifood_data[[#This Row],[Customer_Days]]/365</f>
        <v>7.397260273972603</v>
      </c>
      <c r="AD837">
        <v>0</v>
      </c>
      <c r="AE837">
        <v>0</v>
      </c>
      <c r="AF837">
        <v>1</v>
      </c>
      <c r="AG837">
        <v>0</v>
      </c>
      <c r="AH837">
        <v>0</v>
      </c>
      <c r="AI837">
        <v>0</v>
      </c>
      <c r="AJ837">
        <v>0</v>
      </c>
      <c r="AK837">
        <v>1</v>
      </c>
      <c r="AL837">
        <v>0</v>
      </c>
      <c r="AM837">
        <v>0</v>
      </c>
      <c r="AN837">
        <v>921</v>
      </c>
      <c r="AO837">
        <v>841</v>
      </c>
      <c r="AP837">
        <f>ifood_data[[#This Row],[MntTotal]]-ifood_data[[#This Row],[MntRegularProds]]</f>
        <v>80</v>
      </c>
      <c r="AQ837">
        <v>0</v>
      </c>
      <c r="AR837">
        <f>IF(SUM(ifood_data[[#This Row],[Kidhome]:[Teenhome]])&gt;0,1,0)</f>
        <v>1</v>
      </c>
      <c r="AS837" t="str">
        <f>IF(SUM(ifood_data[[#This Row],[Kidhome]:[Teenhome]])&gt;0,"Has Family","No Family")</f>
        <v>Has Family</v>
      </c>
      <c r="AT837" t="str">
        <f>IF(ifood_data[[#This Row],[marital_Married]]=1,"Married", (IF(ifood_data[[#This Row],[marital_Single]]=1,"Single",(IF(ifood_data[[#This Row],[marital_Divorced]]=1,"Divorced",(IF(ifood_data[[#This Row],[marital_Together]]=1,"Living Together",(IF(ifood_data[[#This Row],[marital_Widow]]=1,"Widow","Other")))))))))</f>
        <v>Single</v>
      </c>
      <c r="AU837" t="str">
        <f>IF(ifood_data[[#This Row],[education_Basic]]=1,"High School",(IF(ifood_data[[#This Row],[education_Graduation]]=1,"Undergraduate Degree",(IF(SUM(AM837,AL837,AI837)&gt;0,"Master's Degree or Higher","Other")))))</f>
        <v>Undergraduate Degree</v>
      </c>
      <c r="AV837" t="str">
        <f>IF(ifood_data[[#All],[Income]]&gt;75000,"75K+",(IF(ifood_data[[#All],[Income]]&gt;50000,"50K-75K",(IF(ifood_data[[#All],[Income]]&gt;35000,"35K-50K","&lt;35K")))))</f>
        <v>50K-75K</v>
      </c>
      <c r="AW837" t="str">
        <f>IF(ifood_data[[#All],[Age]]&gt;60,"60+",(IF(ifood_data[[#All],[Age]]&gt;50,"50-60",(IF(ifood_data[[#All],[Age]]&gt;40,"40-50",(IF(ifood_data[[#All],[Age]]&gt;30,"30-40","&lt;30")))))))</f>
        <v>40-50</v>
      </c>
      <c r="AX837">
        <f t="shared" si="52"/>
        <v>33</v>
      </c>
      <c r="AY837">
        <f t="shared" si="53"/>
        <v>10</v>
      </c>
      <c r="AZ837">
        <f t="shared" si="54"/>
        <v>9</v>
      </c>
      <c r="BA837">
        <f t="shared" si="55"/>
        <v>7</v>
      </c>
      <c r="BB837">
        <f>SUM(ifood_data[[#This Row],[Recency Score]:[Monetary Score]])</f>
        <v>26</v>
      </c>
      <c r="BC837">
        <f>(_xlfn.PERCENTRANK.INC(ifood_data[[#All],[RFM]],ifood_data[[#This Row],[RFM]],1))*10</f>
        <v>9</v>
      </c>
      <c r="BD837" t="str">
        <f>VLOOKUP(ifood_data[[#This Row],[RFM Score]],'RFM Analysis'!$A$3:$B$14,2,FALSE)</f>
        <v>Top Customer</v>
      </c>
      <c r="BE837">
        <f>'Regression Models'!$B$101+'Regression Models'!$B$102*ifood_data[[#This Row],[Income]]+'Regression Models'!$B$103*ifood_data[[#This Row],[Age]]+'Regression Models'!$B$104*ifood_data[[#This Row],[Family]]</f>
        <v>622.27021898319879</v>
      </c>
      <c r="BF837" t="str">
        <f>IF(ifood_data[[#This Row],[AcceptedCmpOverall]]=1,"Campaign Respondent","Non-respondent")</f>
        <v>Non-respondent</v>
      </c>
    </row>
    <row r="838" spans="1:58" x14ac:dyDescent="0.35">
      <c r="A838">
        <v>1278</v>
      </c>
      <c r="B838">
        <v>58554</v>
      </c>
      <c r="C838">
        <v>1</v>
      </c>
      <c r="D838">
        <v>1</v>
      </c>
      <c r="E838">
        <v>55</v>
      </c>
      <c r="F838">
        <v>368</v>
      </c>
      <c r="G838">
        <v>24</v>
      </c>
      <c r="H838">
        <v>68</v>
      </c>
      <c r="I838">
        <v>38</v>
      </c>
      <c r="J838">
        <v>0</v>
      </c>
      <c r="K838">
        <v>88</v>
      </c>
      <c r="L838">
        <v>6</v>
      </c>
      <c r="M838">
        <v>8</v>
      </c>
      <c r="N838">
        <v>2</v>
      </c>
      <c r="O838">
        <v>6</v>
      </c>
      <c r="P838">
        <v>7</v>
      </c>
      <c r="Q838">
        <v>0</v>
      </c>
      <c r="R838">
        <v>0</v>
      </c>
      <c r="S838">
        <v>0</v>
      </c>
      <c r="T838">
        <v>0</v>
      </c>
      <c r="U838">
        <v>0</v>
      </c>
      <c r="V838">
        <f>IF(SUM(ifood_data[[#This Row],[AcceptedCmp1]:[AcceptedCmp5]])&gt;0,1,0)</f>
        <v>0</v>
      </c>
      <c r="W838">
        <v>0</v>
      </c>
      <c r="X838">
        <v>3</v>
      </c>
      <c r="Y838">
        <v>11</v>
      </c>
      <c r="Z838">
        <v>0</v>
      </c>
      <c r="AA838">
        <v>52</v>
      </c>
      <c r="AB838">
        <v>2800</v>
      </c>
      <c r="AC838" s="28">
        <f>ifood_data[[#This Row],[Customer_Days]]/365</f>
        <v>7.6712328767123283</v>
      </c>
      <c r="AD838">
        <v>0</v>
      </c>
      <c r="AE838">
        <v>0</v>
      </c>
      <c r="AF838">
        <v>0</v>
      </c>
      <c r="AG838">
        <v>1</v>
      </c>
      <c r="AH838">
        <v>0</v>
      </c>
      <c r="AI838">
        <v>0</v>
      </c>
      <c r="AJ838">
        <v>0</v>
      </c>
      <c r="AK838">
        <v>1</v>
      </c>
      <c r="AL838">
        <v>0</v>
      </c>
      <c r="AM838">
        <v>0</v>
      </c>
      <c r="AN838">
        <v>498</v>
      </c>
      <c r="AO838">
        <v>410</v>
      </c>
      <c r="AP838">
        <f>ifood_data[[#This Row],[MntTotal]]-ifood_data[[#This Row],[MntRegularProds]]</f>
        <v>88</v>
      </c>
      <c r="AQ838">
        <v>0</v>
      </c>
      <c r="AR838">
        <f>IF(SUM(ifood_data[[#This Row],[Kidhome]:[Teenhome]])&gt;0,1,0)</f>
        <v>1</v>
      </c>
      <c r="AS838" t="str">
        <f>IF(SUM(ifood_data[[#This Row],[Kidhome]:[Teenhome]])&gt;0,"Has Family","No Family")</f>
        <v>Has Family</v>
      </c>
      <c r="AT838" t="str">
        <f>IF(ifood_data[[#This Row],[marital_Married]]=1,"Married", (IF(ifood_data[[#This Row],[marital_Single]]=1,"Single",(IF(ifood_data[[#This Row],[marital_Divorced]]=1,"Divorced",(IF(ifood_data[[#This Row],[marital_Together]]=1,"Living Together",(IF(ifood_data[[#This Row],[marital_Widow]]=1,"Widow","Other")))))))))</f>
        <v>Living Together</v>
      </c>
      <c r="AU838" t="str">
        <f>IF(ifood_data[[#This Row],[education_Basic]]=1,"High School",(IF(ifood_data[[#This Row],[education_Graduation]]=1,"Undergraduate Degree",(IF(SUM(AM838,AL838,AI838)&gt;0,"Master's Degree or Higher","Other")))))</f>
        <v>Undergraduate Degree</v>
      </c>
      <c r="AV838" t="str">
        <f>IF(ifood_data[[#All],[Income]]&gt;75000,"75K+",(IF(ifood_data[[#All],[Income]]&gt;50000,"50K-75K",(IF(ifood_data[[#All],[Income]]&gt;35000,"35K-50K","&lt;35K")))))</f>
        <v>50K-75K</v>
      </c>
      <c r="AW838" t="str">
        <f>IF(ifood_data[[#All],[Age]]&gt;60,"60+",(IF(ifood_data[[#All],[Age]]&gt;50,"50-60",(IF(ifood_data[[#All],[Age]]&gt;40,"40-50",(IF(ifood_data[[#All],[Age]]&gt;30,"30-40","&lt;30")))))))</f>
        <v>50-60</v>
      </c>
      <c r="AX838">
        <f t="shared" si="52"/>
        <v>29</v>
      </c>
      <c r="AY838">
        <f t="shared" si="53"/>
        <v>5</v>
      </c>
      <c r="AZ838">
        <f t="shared" si="54"/>
        <v>8</v>
      </c>
      <c r="BA838">
        <f t="shared" si="55"/>
        <v>5</v>
      </c>
      <c r="BB838">
        <f>SUM(ifood_data[[#This Row],[Recency Score]:[Monetary Score]])</f>
        <v>18</v>
      </c>
      <c r="BC838">
        <f>(_xlfn.PERCENTRANK.INC(ifood_data[[#All],[RFM]],ifood_data[[#This Row],[RFM]],1))*10</f>
        <v>6</v>
      </c>
      <c r="BD838" t="str">
        <f>VLOOKUP(ifood_data[[#This Row],[RFM Score]],'RFM Analysis'!$A$3:$B$14,2,FALSE)</f>
        <v>Promising</v>
      </c>
      <c r="BE838">
        <f>'Regression Models'!$B$101+'Regression Models'!$B$102*ifood_data[[#This Row],[Income]]+'Regression Models'!$B$103*ifood_data[[#This Row],[Age]]+'Regression Models'!$B$104*ifood_data[[#This Row],[Family]]</f>
        <v>620.92021044787145</v>
      </c>
      <c r="BF838" t="str">
        <f>IF(ifood_data[[#This Row],[AcceptedCmpOverall]]=1,"Campaign Respondent","Non-respondent")</f>
        <v>Non-respondent</v>
      </c>
    </row>
    <row r="839" spans="1:58" x14ac:dyDescent="0.35">
      <c r="A839">
        <v>1131</v>
      </c>
      <c r="B839">
        <v>59184</v>
      </c>
      <c r="C839">
        <v>0</v>
      </c>
      <c r="D839">
        <v>1</v>
      </c>
      <c r="E839">
        <v>6</v>
      </c>
      <c r="F839">
        <v>341</v>
      </c>
      <c r="G839">
        <v>142</v>
      </c>
      <c r="H839">
        <v>113</v>
      </c>
      <c r="I839">
        <v>259</v>
      </c>
      <c r="J839">
        <v>151</v>
      </c>
      <c r="K839">
        <v>66</v>
      </c>
      <c r="L839">
        <v>3</v>
      </c>
      <c r="M839">
        <v>6</v>
      </c>
      <c r="N839">
        <v>6</v>
      </c>
      <c r="O839">
        <v>12</v>
      </c>
      <c r="P839">
        <v>5</v>
      </c>
      <c r="Q839">
        <v>0</v>
      </c>
      <c r="R839">
        <v>0</v>
      </c>
      <c r="S839">
        <v>0</v>
      </c>
      <c r="T839">
        <v>0</v>
      </c>
      <c r="U839">
        <v>0</v>
      </c>
      <c r="V839">
        <f>IF(SUM(ifood_data[[#This Row],[AcceptedCmp1]:[AcceptedCmp5]])&gt;0,1,0)</f>
        <v>0</v>
      </c>
      <c r="W839">
        <v>0</v>
      </c>
      <c r="X839">
        <v>3</v>
      </c>
      <c r="Y839">
        <v>11</v>
      </c>
      <c r="Z839">
        <v>0</v>
      </c>
      <c r="AA839">
        <v>59</v>
      </c>
      <c r="AB839">
        <v>2817</v>
      </c>
      <c r="AC839" s="28">
        <f>ifood_data[[#This Row],[Customer_Days]]/365</f>
        <v>7.7178082191780826</v>
      </c>
      <c r="AD839">
        <v>0</v>
      </c>
      <c r="AE839">
        <v>0</v>
      </c>
      <c r="AF839">
        <v>0</v>
      </c>
      <c r="AG839">
        <v>0</v>
      </c>
      <c r="AH839">
        <v>1</v>
      </c>
      <c r="AI839">
        <v>1</v>
      </c>
      <c r="AJ839">
        <v>0</v>
      </c>
      <c r="AK839">
        <v>0</v>
      </c>
      <c r="AL839">
        <v>0</v>
      </c>
      <c r="AM839">
        <v>0</v>
      </c>
      <c r="AN839">
        <v>1006</v>
      </c>
      <c r="AO839">
        <v>940</v>
      </c>
      <c r="AP839">
        <f>ifood_data[[#This Row],[MntTotal]]-ifood_data[[#This Row],[MntRegularProds]]</f>
        <v>66</v>
      </c>
      <c r="AQ839">
        <v>0</v>
      </c>
      <c r="AR839">
        <f>IF(SUM(ifood_data[[#This Row],[Kidhome]:[Teenhome]])&gt;0,1,0)</f>
        <v>1</v>
      </c>
      <c r="AS839" t="str">
        <f>IF(SUM(ifood_data[[#This Row],[Kidhome]:[Teenhome]])&gt;0,"Has Family","No Family")</f>
        <v>Has Family</v>
      </c>
      <c r="AT839" t="str">
        <f>IF(ifood_data[[#This Row],[marital_Married]]=1,"Married", (IF(ifood_data[[#This Row],[marital_Single]]=1,"Single",(IF(ifood_data[[#This Row],[marital_Divorced]]=1,"Divorced",(IF(ifood_data[[#This Row],[marital_Together]]=1,"Living Together",(IF(ifood_data[[#This Row],[marital_Widow]]=1,"Widow","Other")))))))))</f>
        <v>Widow</v>
      </c>
      <c r="AU839" t="str">
        <f>IF(ifood_data[[#This Row],[education_Basic]]=1,"High School",(IF(ifood_data[[#This Row],[education_Graduation]]=1,"Undergraduate Degree",(IF(SUM(AM839,AL839,AI839)&gt;0,"Master's Degree or Higher","Other")))))</f>
        <v>Master's Degree or Higher</v>
      </c>
      <c r="AV839" t="str">
        <f>IF(ifood_data[[#All],[Income]]&gt;75000,"75K+",(IF(ifood_data[[#All],[Income]]&gt;50000,"50K-75K",(IF(ifood_data[[#All],[Income]]&gt;35000,"35K-50K","&lt;35K")))))</f>
        <v>50K-75K</v>
      </c>
      <c r="AW839" t="str">
        <f>IF(ifood_data[[#All],[Age]]&gt;60,"60+",(IF(ifood_data[[#All],[Age]]&gt;50,"50-60",(IF(ifood_data[[#All],[Age]]&gt;40,"40-50",(IF(ifood_data[[#All],[Age]]&gt;30,"30-40","&lt;30")))))))</f>
        <v>50-60</v>
      </c>
      <c r="AX839">
        <f t="shared" si="52"/>
        <v>32</v>
      </c>
      <c r="AY839">
        <f t="shared" si="53"/>
        <v>10</v>
      </c>
      <c r="AZ839">
        <f t="shared" si="54"/>
        <v>9</v>
      </c>
      <c r="BA839">
        <f t="shared" si="55"/>
        <v>7</v>
      </c>
      <c r="BB839">
        <f>SUM(ifood_data[[#This Row],[Recency Score]:[Monetary Score]])</f>
        <v>26</v>
      </c>
      <c r="BC839">
        <f>(_xlfn.PERCENTRANK.INC(ifood_data[[#All],[RFM]],ifood_data[[#This Row],[RFM]],1))*10</f>
        <v>9</v>
      </c>
      <c r="BD839" t="str">
        <f>VLOOKUP(ifood_data[[#This Row],[RFM Score]],'RFM Analysis'!$A$3:$B$14,2,FALSE)</f>
        <v>Top Customer</v>
      </c>
      <c r="BE839">
        <f>'Regression Models'!$B$101+'Regression Models'!$B$102*ifood_data[[#This Row],[Income]]+'Regression Models'!$B$103*ifood_data[[#This Row],[Age]]+'Regression Models'!$B$104*ifood_data[[#This Row],[Family]]</f>
        <v>620.9100608262678</v>
      </c>
      <c r="BF839" t="str">
        <f>IF(ifood_data[[#This Row],[AcceptedCmpOverall]]=1,"Campaign Respondent","Non-respondent")</f>
        <v>Non-respondent</v>
      </c>
    </row>
    <row r="840" spans="1:58" x14ac:dyDescent="0.35">
      <c r="A840">
        <v>1321</v>
      </c>
      <c r="B840">
        <v>57537</v>
      </c>
      <c r="C840">
        <v>1</v>
      </c>
      <c r="D840">
        <v>0</v>
      </c>
      <c r="E840">
        <v>83</v>
      </c>
      <c r="F840">
        <v>191</v>
      </c>
      <c r="G840">
        <v>56</v>
      </c>
      <c r="H840">
        <v>139</v>
      </c>
      <c r="I840">
        <v>51</v>
      </c>
      <c r="J840">
        <v>8</v>
      </c>
      <c r="K840">
        <v>100</v>
      </c>
      <c r="L840">
        <v>4</v>
      </c>
      <c r="M840">
        <v>4</v>
      </c>
      <c r="N840">
        <v>3</v>
      </c>
      <c r="O840">
        <v>8</v>
      </c>
      <c r="P840">
        <v>4</v>
      </c>
      <c r="Q840">
        <v>0</v>
      </c>
      <c r="R840">
        <v>0</v>
      </c>
      <c r="S840">
        <v>0</v>
      </c>
      <c r="T840">
        <v>0</v>
      </c>
      <c r="U840">
        <v>0</v>
      </c>
      <c r="V840">
        <f>IF(SUM(ifood_data[[#This Row],[AcceptedCmp1]:[AcceptedCmp5]])&gt;0,1,0)</f>
        <v>0</v>
      </c>
      <c r="W840">
        <v>0</v>
      </c>
      <c r="X840">
        <v>3</v>
      </c>
      <c r="Y840">
        <v>11</v>
      </c>
      <c r="Z840">
        <v>0</v>
      </c>
      <c r="AA840">
        <v>41</v>
      </c>
      <c r="AB840">
        <v>2543</v>
      </c>
      <c r="AC840" s="28">
        <f>ifood_data[[#This Row],[Customer_Days]]/365</f>
        <v>6.9671232876712326</v>
      </c>
      <c r="AD840">
        <v>0</v>
      </c>
      <c r="AE840">
        <v>0</v>
      </c>
      <c r="AF840">
        <v>1</v>
      </c>
      <c r="AG840">
        <v>0</v>
      </c>
      <c r="AH840">
        <v>0</v>
      </c>
      <c r="AI840">
        <v>0</v>
      </c>
      <c r="AJ840">
        <v>0</v>
      </c>
      <c r="AK840">
        <v>1</v>
      </c>
      <c r="AL840">
        <v>0</v>
      </c>
      <c r="AM840">
        <v>0</v>
      </c>
      <c r="AN840">
        <v>445</v>
      </c>
      <c r="AO840">
        <v>345</v>
      </c>
      <c r="AP840">
        <f>ifood_data[[#This Row],[MntTotal]]-ifood_data[[#This Row],[MntRegularProds]]</f>
        <v>100</v>
      </c>
      <c r="AQ840">
        <v>0</v>
      </c>
      <c r="AR840">
        <f>IF(SUM(ifood_data[[#This Row],[Kidhome]:[Teenhome]])&gt;0,1,0)</f>
        <v>1</v>
      </c>
      <c r="AS840" t="str">
        <f>IF(SUM(ifood_data[[#This Row],[Kidhome]:[Teenhome]])&gt;0,"Has Family","No Family")</f>
        <v>Has Family</v>
      </c>
      <c r="AT840" t="str">
        <f>IF(ifood_data[[#This Row],[marital_Married]]=1,"Married", (IF(ifood_data[[#This Row],[marital_Single]]=1,"Single",(IF(ifood_data[[#This Row],[marital_Divorced]]=1,"Divorced",(IF(ifood_data[[#This Row],[marital_Together]]=1,"Living Together",(IF(ifood_data[[#This Row],[marital_Widow]]=1,"Widow","Other")))))))))</f>
        <v>Single</v>
      </c>
      <c r="AU840" t="str">
        <f>IF(ifood_data[[#This Row],[education_Basic]]=1,"High School",(IF(ifood_data[[#This Row],[education_Graduation]]=1,"Undergraduate Degree",(IF(SUM(AM840,AL840,AI840)&gt;0,"Master's Degree or Higher","Other")))))</f>
        <v>Undergraduate Degree</v>
      </c>
      <c r="AV840" t="str">
        <f>IF(ifood_data[[#All],[Income]]&gt;75000,"75K+",(IF(ifood_data[[#All],[Income]]&gt;50000,"50K-75K",(IF(ifood_data[[#All],[Income]]&gt;35000,"35K-50K","&lt;35K")))))</f>
        <v>50K-75K</v>
      </c>
      <c r="AW840" t="str">
        <f>IF(ifood_data[[#All],[Age]]&gt;60,"60+",(IF(ifood_data[[#All],[Age]]&gt;50,"50-60",(IF(ifood_data[[#All],[Age]]&gt;40,"40-50",(IF(ifood_data[[#All],[Age]]&gt;30,"30-40","&lt;30")))))))</f>
        <v>40-50</v>
      </c>
      <c r="AX840">
        <f t="shared" si="52"/>
        <v>23</v>
      </c>
      <c r="AY840">
        <f t="shared" si="53"/>
        <v>1.9999999999999996</v>
      </c>
      <c r="AZ840">
        <f t="shared" si="54"/>
        <v>6</v>
      </c>
      <c r="BA840">
        <f t="shared" si="55"/>
        <v>5</v>
      </c>
      <c r="BB840">
        <f>SUM(ifood_data[[#This Row],[Recency Score]:[Monetary Score]])</f>
        <v>13</v>
      </c>
      <c r="BC840">
        <f>(_xlfn.PERCENTRANK.INC(ifood_data[[#All],[RFM]],ifood_data[[#This Row],[RFM]],1))*10</f>
        <v>3</v>
      </c>
      <c r="BD840" t="str">
        <f>VLOOKUP(ifood_data[[#This Row],[RFM Score]],'RFM Analysis'!$A$3:$B$14,2,FALSE)</f>
        <v>At Risk</v>
      </c>
      <c r="BE840">
        <f>'Regression Models'!$B$101+'Regression Models'!$B$102*ifood_data[[#This Row],[Income]]+'Regression Models'!$B$103*ifood_data[[#This Row],[Age]]+'Regression Models'!$B$104*ifood_data[[#This Row],[Family]]</f>
        <v>620.38566311336319</v>
      </c>
      <c r="BF840" t="str">
        <f>IF(ifood_data[[#This Row],[AcceptedCmpOverall]]=1,"Campaign Respondent","Non-respondent")</f>
        <v>Non-respondent</v>
      </c>
    </row>
    <row r="841" spans="1:58" x14ac:dyDescent="0.35">
      <c r="A841">
        <v>1934</v>
      </c>
      <c r="B841">
        <v>58692</v>
      </c>
      <c r="C841">
        <v>0</v>
      </c>
      <c r="D841">
        <v>1</v>
      </c>
      <c r="E841">
        <v>21</v>
      </c>
      <c r="F841">
        <v>301</v>
      </c>
      <c r="G841">
        <v>11</v>
      </c>
      <c r="H841">
        <v>61</v>
      </c>
      <c r="I841">
        <v>4</v>
      </c>
      <c r="J841">
        <v>7</v>
      </c>
      <c r="K841">
        <v>11</v>
      </c>
      <c r="L841">
        <v>1</v>
      </c>
      <c r="M841">
        <v>8</v>
      </c>
      <c r="N841">
        <v>2</v>
      </c>
      <c r="O841">
        <v>4</v>
      </c>
      <c r="P841">
        <v>7</v>
      </c>
      <c r="Q841">
        <v>0</v>
      </c>
      <c r="R841">
        <v>0</v>
      </c>
      <c r="S841">
        <v>0</v>
      </c>
      <c r="T841">
        <v>0</v>
      </c>
      <c r="U841">
        <v>0</v>
      </c>
      <c r="V841">
        <f>IF(SUM(ifood_data[[#This Row],[AcceptedCmp1]:[AcceptedCmp5]])&gt;0,1,0)</f>
        <v>0</v>
      </c>
      <c r="W841">
        <v>0</v>
      </c>
      <c r="X841">
        <v>3</v>
      </c>
      <c r="Y841">
        <v>11</v>
      </c>
      <c r="Z841">
        <v>0</v>
      </c>
      <c r="AA841">
        <v>55</v>
      </c>
      <c r="AB841">
        <v>2243</v>
      </c>
      <c r="AC841" s="28">
        <f>ifood_data[[#This Row],[Customer_Days]]/365</f>
        <v>6.1452054794520548</v>
      </c>
      <c r="AD841">
        <v>0</v>
      </c>
      <c r="AE841">
        <v>1</v>
      </c>
      <c r="AF841">
        <v>0</v>
      </c>
      <c r="AG841">
        <v>0</v>
      </c>
      <c r="AH841">
        <v>0</v>
      </c>
      <c r="AI841">
        <v>0</v>
      </c>
      <c r="AJ841">
        <v>0</v>
      </c>
      <c r="AK841">
        <v>1</v>
      </c>
      <c r="AL841">
        <v>0</v>
      </c>
      <c r="AM841">
        <v>0</v>
      </c>
      <c r="AN841">
        <v>384</v>
      </c>
      <c r="AO841">
        <v>373</v>
      </c>
      <c r="AP841">
        <f>ifood_data[[#This Row],[MntTotal]]-ifood_data[[#This Row],[MntRegularProds]]</f>
        <v>11</v>
      </c>
      <c r="AQ841">
        <v>0</v>
      </c>
      <c r="AR841">
        <f>IF(SUM(ifood_data[[#This Row],[Kidhome]:[Teenhome]])&gt;0,1,0)</f>
        <v>1</v>
      </c>
      <c r="AS841" t="str">
        <f>IF(SUM(ifood_data[[#This Row],[Kidhome]:[Teenhome]])&gt;0,"Has Family","No Family")</f>
        <v>Has Family</v>
      </c>
      <c r="AT841" t="str">
        <f>IF(ifood_data[[#This Row],[marital_Married]]=1,"Married", (IF(ifood_data[[#This Row],[marital_Single]]=1,"Single",(IF(ifood_data[[#This Row],[marital_Divorced]]=1,"Divorced",(IF(ifood_data[[#This Row],[marital_Together]]=1,"Living Together",(IF(ifood_data[[#This Row],[marital_Widow]]=1,"Widow","Other")))))))))</f>
        <v>Married</v>
      </c>
      <c r="AU841" t="str">
        <f>IF(ifood_data[[#This Row],[education_Basic]]=1,"High School",(IF(ifood_data[[#This Row],[education_Graduation]]=1,"Undergraduate Degree",(IF(SUM(AM841,AL841,AI841)&gt;0,"Master's Degree or Higher","Other")))))</f>
        <v>Undergraduate Degree</v>
      </c>
      <c r="AV841" t="str">
        <f>IF(ifood_data[[#All],[Income]]&gt;75000,"75K+",(IF(ifood_data[[#All],[Income]]&gt;50000,"50K-75K",(IF(ifood_data[[#All],[Income]]&gt;35000,"35K-50K","&lt;35K")))))</f>
        <v>50K-75K</v>
      </c>
      <c r="AW841" t="str">
        <f>IF(ifood_data[[#All],[Age]]&gt;60,"60+",(IF(ifood_data[[#All],[Age]]&gt;50,"50-60",(IF(ifood_data[[#All],[Age]]&gt;40,"40-50",(IF(ifood_data[[#All],[Age]]&gt;30,"30-40","&lt;30")))))))</f>
        <v>50-60</v>
      </c>
      <c r="AX841">
        <f t="shared" si="52"/>
        <v>22</v>
      </c>
      <c r="AY841">
        <f t="shared" si="53"/>
        <v>8</v>
      </c>
      <c r="AZ841">
        <f t="shared" si="54"/>
        <v>5</v>
      </c>
      <c r="BA841">
        <f t="shared" si="55"/>
        <v>5</v>
      </c>
      <c r="BB841">
        <f>SUM(ifood_data[[#This Row],[Recency Score]:[Monetary Score]])</f>
        <v>18</v>
      </c>
      <c r="BC841">
        <f>(_xlfn.PERCENTRANK.INC(ifood_data[[#All],[RFM]],ifood_data[[#This Row],[RFM]],1))*10</f>
        <v>6</v>
      </c>
      <c r="BD841" t="str">
        <f>VLOOKUP(ifood_data[[#This Row],[RFM Score]],'RFM Analysis'!$A$3:$B$14,2,FALSE)</f>
        <v>Promising</v>
      </c>
      <c r="BE841">
        <f>'Regression Models'!$B$101+'Regression Models'!$B$102*ifood_data[[#This Row],[Income]]+'Regression Models'!$B$103*ifood_data[[#This Row],[Age]]+'Regression Models'!$B$104*ifood_data[[#This Row],[Family]]</f>
        <v>618.22454321504654</v>
      </c>
      <c r="BF841" t="str">
        <f>IF(ifood_data[[#This Row],[AcceptedCmpOverall]]=1,"Campaign Respondent","Non-respondent")</f>
        <v>Non-respondent</v>
      </c>
    </row>
    <row r="842" spans="1:58" x14ac:dyDescent="0.35">
      <c r="A842">
        <v>1712</v>
      </c>
      <c r="B842">
        <v>60200</v>
      </c>
      <c r="C842">
        <v>0</v>
      </c>
      <c r="D842">
        <v>1</v>
      </c>
      <c r="E842">
        <v>3</v>
      </c>
      <c r="F842">
        <v>502</v>
      </c>
      <c r="G842">
        <v>19</v>
      </c>
      <c r="H842">
        <v>132</v>
      </c>
      <c r="I842">
        <v>0</v>
      </c>
      <c r="J842">
        <v>6</v>
      </c>
      <c r="K842">
        <v>26</v>
      </c>
      <c r="L842">
        <v>6</v>
      </c>
      <c r="M842">
        <v>6</v>
      </c>
      <c r="N842">
        <v>2</v>
      </c>
      <c r="O842">
        <v>11</v>
      </c>
      <c r="P842">
        <v>6</v>
      </c>
      <c r="Q842">
        <v>0</v>
      </c>
      <c r="R842">
        <v>0</v>
      </c>
      <c r="S842">
        <v>0</v>
      </c>
      <c r="T842">
        <v>0</v>
      </c>
      <c r="U842">
        <v>0</v>
      </c>
      <c r="V842">
        <f>IF(SUM(ifood_data[[#This Row],[AcceptedCmp1]:[AcceptedCmp5]])&gt;0,1,0)</f>
        <v>0</v>
      </c>
      <c r="W842">
        <v>0</v>
      </c>
      <c r="X842">
        <v>3</v>
      </c>
      <c r="Y842">
        <v>11</v>
      </c>
      <c r="Z842">
        <v>0</v>
      </c>
      <c r="AA842">
        <v>72</v>
      </c>
      <c r="AB842">
        <v>2702</v>
      </c>
      <c r="AC842" s="28">
        <f>ifood_data[[#This Row],[Customer_Days]]/365</f>
        <v>7.4027397260273968</v>
      </c>
      <c r="AD842">
        <v>0</v>
      </c>
      <c r="AE842">
        <v>0</v>
      </c>
      <c r="AF842">
        <v>1</v>
      </c>
      <c r="AG842">
        <v>0</v>
      </c>
      <c r="AH842">
        <v>0</v>
      </c>
      <c r="AI842">
        <v>0</v>
      </c>
      <c r="AJ842">
        <v>0</v>
      </c>
      <c r="AK842">
        <v>0</v>
      </c>
      <c r="AL842">
        <v>0</v>
      </c>
      <c r="AM842">
        <v>1</v>
      </c>
      <c r="AN842">
        <v>659</v>
      </c>
      <c r="AO842">
        <v>633</v>
      </c>
      <c r="AP842">
        <f>ifood_data[[#This Row],[MntTotal]]-ifood_data[[#This Row],[MntRegularProds]]</f>
        <v>26</v>
      </c>
      <c r="AQ842">
        <v>0</v>
      </c>
      <c r="AR842">
        <f>IF(SUM(ifood_data[[#This Row],[Kidhome]:[Teenhome]])&gt;0,1,0)</f>
        <v>1</v>
      </c>
      <c r="AS842" t="str">
        <f>IF(SUM(ifood_data[[#This Row],[Kidhome]:[Teenhome]])&gt;0,"Has Family","No Family")</f>
        <v>Has Family</v>
      </c>
      <c r="AT842" t="str">
        <f>IF(ifood_data[[#This Row],[marital_Married]]=1,"Married", (IF(ifood_data[[#This Row],[marital_Single]]=1,"Single",(IF(ifood_data[[#This Row],[marital_Divorced]]=1,"Divorced",(IF(ifood_data[[#This Row],[marital_Together]]=1,"Living Together",(IF(ifood_data[[#This Row],[marital_Widow]]=1,"Widow","Other")))))))))</f>
        <v>Single</v>
      </c>
      <c r="AU842" t="str">
        <f>IF(ifood_data[[#This Row],[education_Basic]]=1,"High School",(IF(ifood_data[[#This Row],[education_Graduation]]=1,"Undergraduate Degree",(IF(SUM(AM842,AL842,AI842)&gt;0,"Master's Degree or Higher","Other")))))</f>
        <v>Master's Degree or Higher</v>
      </c>
      <c r="AV842" t="str">
        <f>IF(ifood_data[[#All],[Income]]&gt;75000,"75K+",(IF(ifood_data[[#All],[Income]]&gt;50000,"50K-75K",(IF(ifood_data[[#All],[Income]]&gt;35000,"35K-50K","&lt;35K")))))</f>
        <v>50K-75K</v>
      </c>
      <c r="AW842" t="str">
        <f>IF(ifood_data[[#All],[Age]]&gt;60,"60+",(IF(ifood_data[[#All],[Age]]&gt;50,"50-60",(IF(ifood_data[[#All],[Age]]&gt;40,"40-50",(IF(ifood_data[[#All],[Age]]&gt;30,"30-40","&lt;30")))))))</f>
        <v>60+</v>
      </c>
      <c r="AX842">
        <f t="shared" si="52"/>
        <v>31</v>
      </c>
      <c r="AY842">
        <f t="shared" si="53"/>
        <v>10</v>
      </c>
      <c r="AZ842">
        <f t="shared" si="54"/>
        <v>9</v>
      </c>
      <c r="BA842">
        <f t="shared" si="55"/>
        <v>6</v>
      </c>
      <c r="BB842">
        <f>SUM(ifood_data[[#This Row],[Recency Score]:[Monetary Score]])</f>
        <v>25</v>
      </c>
      <c r="BC842">
        <f>(_xlfn.PERCENTRANK.INC(ifood_data[[#All],[RFM]],ifood_data[[#This Row],[RFM]],1))*10</f>
        <v>9</v>
      </c>
      <c r="BD842" t="str">
        <f>VLOOKUP(ifood_data[[#This Row],[RFM Score]],'RFM Analysis'!$A$3:$B$14,2,FALSE)</f>
        <v>Top Customer</v>
      </c>
      <c r="BE842">
        <f>'Regression Models'!$B$101+'Regression Models'!$B$102*ifood_data[[#This Row],[Income]]+'Regression Models'!$B$103*ifood_data[[#This Row],[Age]]+'Regression Models'!$B$104*ifood_data[[#This Row],[Family]]</f>
        <v>617.75134123484349</v>
      </c>
      <c r="BF842" t="str">
        <f>IF(ifood_data[[#This Row],[AcceptedCmpOverall]]=1,"Campaign Respondent","Non-respondent")</f>
        <v>Non-respondent</v>
      </c>
    </row>
    <row r="843" spans="1:58" x14ac:dyDescent="0.35">
      <c r="A843">
        <v>819</v>
      </c>
      <c r="B843">
        <v>57906</v>
      </c>
      <c r="C843">
        <v>0</v>
      </c>
      <c r="D843">
        <v>1</v>
      </c>
      <c r="E843">
        <v>29</v>
      </c>
      <c r="F843">
        <v>243</v>
      </c>
      <c r="G843">
        <v>11</v>
      </c>
      <c r="H843">
        <v>119</v>
      </c>
      <c r="I843">
        <v>10</v>
      </c>
      <c r="J843">
        <v>3</v>
      </c>
      <c r="K843">
        <v>15</v>
      </c>
      <c r="L843">
        <v>3</v>
      </c>
      <c r="M843">
        <v>4</v>
      </c>
      <c r="N843">
        <v>2</v>
      </c>
      <c r="O843">
        <v>8</v>
      </c>
      <c r="P843">
        <v>4</v>
      </c>
      <c r="Q843">
        <v>0</v>
      </c>
      <c r="R843">
        <v>0</v>
      </c>
      <c r="S843">
        <v>0</v>
      </c>
      <c r="T843">
        <v>0</v>
      </c>
      <c r="U843">
        <v>0</v>
      </c>
      <c r="V843">
        <f>IF(SUM(ifood_data[[#This Row],[AcceptedCmp1]:[AcceptedCmp5]])&gt;0,1,0)</f>
        <v>0</v>
      </c>
      <c r="W843">
        <v>0</v>
      </c>
      <c r="X843">
        <v>3</v>
      </c>
      <c r="Y843">
        <v>11</v>
      </c>
      <c r="Z843">
        <v>0</v>
      </c>
      <c r="AA843">
        <v>47</v>
      </c>
      <c r="AB843">
        <v>2542</v>
      </c>
      <c r="AC843" s="28">
        <f>ifood_data[[#This Row],[Customer_Days]]/365</f>
        <v>6.9643835616438352</v>
      </c>
      <c r="AD843">
        <v>0</v>
      </c>
      <c r="AE843">
        <v>0</v>
      </c>
      <c r="AF843">
        <v>0</v>
      </c>
      <c r="AG843">
        <v>1</v>
      </c>
      <c r="AH843">
        <v>0</v>
      </c>
      <c r="AI843">
        <v>0</v>
      </c>
      <c r="AJ843">
        <v>0</v>
      </c>
      <c r="AK843">
        <v>0</v>
      </c>
      <c r="AL843">
        <v>0</v>
      </c>
      <c r="AM843">
        <v>1</v>
      </c>
      <c r="AN843">
        <v>386</v>
      </c>
      <c r="AO843">
        <v>371</v>
      </c>
      <c r="AP843">
        <f>ifood_data[[#This Row],[MntTotal]]-ifood_data[[#This Row],[MntRegularProds]]</f>
        <v>15</v>
      </c>
      <c r="AQ843">
        <v>0</v>
      </c>
      <c r="AR843">
        <f>IF(SUM(ifood_data[[#This Row],[Kidhome]:[Teenhome]])&gt;0,1,0)</f>
        <v>1</v>
      </c>
      <c r="AS843" t="str">
        <f>IF(SUM(ifood_data[[#This Row],[Kidhome]:[Teenhome]])&gt;0,"Has Family","No Family")</f>
        <v>Has Family</v>
      </c>
      <c r="AT843" t="str">
        <f>IF(ifood_data[[#This Row],[marital_Married]]=1,"Married", (IF(ifood_data[[#This Row],[marital_Single]]=1,"Single",(IF(ifood_data[[#This Row],[marital_Divorced]]=1,"Divorced",(IF(ifood_data[[#This Row],[marital_Together]]=1,"Living Together",(IF(ifood_data[[#This Row],[marital_Widow]]=1,"Widow","Other")))))))))</f>
        <v>Living Together</v>
      </c>
      <c r="AU843" t="str">
        <f>IF(ifood_data[[#This Row],[education_Basic]]=1,"High School",(IF(ifood_data[[#This Row],[education_Graduation]]=1,"Undergraduate Degree",(IF(SUM(AM843,AL843,AI843)&gt;0,"Master's Degree or Higher","Other")))))</f>
        <v>Master's Degree or Higher</v>
      </c>
      <c r="AV843" t="str">
        <f>IF(ifood_data[[#All],[Income]]&gt;75000,"75K+",(IF(ifood_data[[#All],[Income]]&gt;50000,"50K-75K",(IF(ifood_data[[#All],[Income]]&gt;35000,"35K-50K","&lt;35K")))))</f>
        <v>50K-75K</v>
      </c>
      <c r="AW843" t="str">
        <f>IF(ifood_data[[#All],[Age]]&gt;60,"60+",(IF(ifood_data[[#All],[Age]]&gt;50,"50-60",(IF(ifood_data[[#All],[Age]]&gt;40,"40-50",(IF(ifood_data[[#All],[Age]]&gt;30,"30-40","&lt;30")))))))</f>
        <v>40-50</v>
      </c>
      <c r="AX843">
        <f t="shared" si="52"/>
        <v>21</v>
      </c>
      <c r="AY843">
        <f t="shared" si="53"/>
        <v>8</v>
      </c>
      <c r="AZ843">
        <f t="shared" si="54"/>
        <v>5</v>
      </c>
      <c r="BA843">
        <f t="shared" si="55"/>
        <v>5</v>
      </c>
      <c r="BB843">
        <f>SUM(ifood_data[[#This Row],[Recency Score]:[Monetary Score]])</f>
        <v>18</v>
      </c>
      <c r="BC843">
        <f>(_xlfn.PERCENTRANK.INC(ifood_data[[#All],[RFM]],ifood_data[[#This Row],[RFM]],1))*10</f>
        <v>6</v>
      </c>
      <c r="BD843" t="str">
        <f>VLOOKUP(ifood_data[[#This Row],[RFM Score]],'RFM Analysis'!$A$3:$B$14,2,FALSE)</f>
        <v>Promising</v>
      </c>
      <c r="BE843">
        <f>'Regression Models'!$B$101+'Regression Models'!$B$102*ifood_data[[#This Row],[Income]]+'Regression Models'!$B$103*ifood_data[[#This Row],[Age]]+'Regression Models'!$B$104*ifood_data[[#This Row],[Family]]</f>
        <v>616.89048408509632</v>
      </c>
      <c r="BF843" t="str">
        <f>IF(ifood_data[[#This Row],[AcceptedCmpOverall]]=1,"Campaign Respondent","Non-respondent")</f>
        <v>Non-respondent</v>
      </c>
    </row>
    <row r="844" spans="1:58" x14ac:dyDescent="0.35">
      <c r="A844">
        <v>922</v>
      </c>
      <c r="B844">
        <v>59052</v>
      </c>
      <c r="C844">
        <v>0</v>
      </c>
      <c r="D844">
        <v>1</v>
      </c>
      <c r="E844">
        <v>29</v>
      </c>
      <c r="F844">
        <v>230</v>
      </c>
      <c r="G844">
        <v>35</v>
      </c>
      <c r="H844">
        <v>75</v>
      </c>
      <c r="I844">
        <v>63</v>
      </c>
      <c r="J844">
        <v>57</v>
      </c>
      <c r="K844">
        <v>31</v>
      </c>
      <c r="L844">
        <v>3</v>
      </c>
      <c r="M844">
        <v>7</v>
      </c>
      <c r="N844">
        <v>1</v>
      </c>
      <c r="O844">
        <v>7</v>
      </c>
      <c r="P844">
        <v>5</v>
      </c>
      <c r="Q844">
        <v>0</v>
      </c>
      <c r="R844">
        <v>0</v>
      </c>
      <c r="S844">
        <v>0</v>
      </c>
      <c r="T844">
        <v>0</v>
      </c>
      <c r="U844">
        <v>0</v>
      </c>
      <c r="V844">
        <f>IF(SUM(ifood_data[[#This Row],[AcceptedCmp1]:[AcceptedCmp5]])&gt;0,1,0)</f>
        <v>0</v>
      </c>
      <c r="W844">
        <v>0</v>
      </c>
      <c r="X844">
        <v>3</v>
      </c>
      <c r="Y844">
        <v>11</v>
      </c>
      <c r="Z844">
        <v>0</v>
      </c>
      <c r="AA844">
        <v>61</v>
      </c>
      <c r="AB844">
        <v>2383</v>
      </c>
      <c r="AC844" s="28">
        <f>ifood_data[[#This Row],[Customer_Days]]/365</f>
        <v>6.5287671232876709</v>
      </c>
      <c r="AD844">
        <v>1</v>
      </c>
      <c r="AE844">
        <v>0</v>
      </c>
      <c r="AF844">
        <v>0</v>
      </c>
      <c r="AG844">
        <v>0</v>
      </c>
      <c r="AH844">
        <v>0</v>
      </c>
      <c r="AI844">
        <v>1</v>
      </c>
      <c r="AJ844">
        <v>0</v>
      </c>
      <c r="AK844">
        <v>0</v>
      </c>
      <c r="AL844">
        <v>0</v>
      </c>
      <c r="AM844">
        <v>0</v>
      </c>
      <c r="AN844">
        <v>460</v>
      </c>
      <c r="AO844">
        <v>429</v>
      </c>
      <c r="AP844">
        <f>ifood_data[[#This Row],[MntTotal]]-ifood_data[[#This Row],[MntRegularProds]]</f>
        <v>31</v>
      </c>
      <c r="AQ844">
        <v>0</v>
      </c>
      <c r="AR844">
        <f>IF(SUM(ifood_data[[#This Row],[Kidhome]:[Teenhome]])&gt;0,1,0)</f>
        <v>1</v>
      </c>
      <c r="AS844" t="str">
        <f>IF(SUM(ifood_data[[#This Row],[Kidhome]:[Teenhome]])&gt;0,"Has Family","No Family")</f>
        <v>Has Family</v>
      </c>
      <c r="AT844" t="str">
        <f>IF(ifood_data[[#This Row],[marital_Married]]=1,"Married", (IF(ifood_data[[#This Row],[marital_Single]]=1,"Single",(IF(ifood_data[[#This Row],[marital_Divorced]]=1,"Divorced",(IF(ifood_data[[#This Row],[marital_Together]]=1,"Living Together",(IF(ifood_data[[#This Row],[marital_Widow]]=1,"Widow","Other")))))))))</f>
        <v>Divorced</v>
      </c>
      <c r="AU844" t="str">
        <f>IF(ifood_data[[#This Row],[education_Basic]]=1,"High School",(IF(ifood_data[[#This Row],[education_Graduation]]=1,"Undergraduate Degree",(IF(SUM(AM844,AL844,AI844)&gt;0,"Master's Degree or Higher","Other")))))</f>
        <v>Master's Degree or Higher</v>
      </c>
      <c r="AV844" t="str">
        <f>IF(ifood_data[[#All],[Income]]&gt;75000,"75K+",(IF(ifood_data[[#All],[Income]]&gt;50000,"50K-75K",(IF(ifood_data[[#All],[Income]]&gt;35000,"35K-50K","&lt;35K")))))</f>
        <v>50K-75K</v>
      </c>
      <c r="AW844" t="str">
        <f>IF(ifood_data[[#All],[Age]]&gt;60,"60+",(IF(ifood_data[[#All],[Age]]&gt;50,"50-60",(IF(ifood_data[[#All],[Age]]&gt;40,"40-50",(IF(ifood_data[[#All],[Age]]&gt;30,"30-40","&lt;30")))))))</f>
        <v>60+</v>
      </c>
      <c r="AX844">
        <f t="shared" si="52"/>
        <v>23</v>
      </c>
      <c r="AY844">
        <f t="shared" si="53"/>
        <v>8</v>
      </c>
      <c r="AZ844">
        <f t="shared" si="54"/>
        <v>6</v>
      </c>
      <c r="BA844">
        <f t="shared" si="55"/>
        <v>5</v>
      </c>
      <c r="BB844">
        <f>SUM(ifood_data[[#This Row],[Recency Score]:[Monetary Score]])</f>
        <v>19</v>
      </c>
      <c r="BC844">
        <f>(_xlfn.PERCENTRANK.INC(ifood_data[[#All],[RFM]],ifood_data[[#This Row],[RFM]],1))*10</f>
        <v>7</v>
      </c>
      <c r="BD844" t="str">
        <f>VLOOKUP(ifood_data[[#This Row],[RFM Score]],'RFM Analysis'!$A$3:$B$14,2,FALSE)</f>
        <v>Loyal Customer</v>
      </c>
      <c r="BE844">
        <f>'Regression Models'!$B$101+'Regression Models'!$B$102*ifood_data[[#This Row],[Income]]+'Regression Models'!$B$103*ifood_data[[#This Row],[Age]]+'Regression Models'!$B$104*ifood_data[[#This Row],[Family]]</f>
        <v>614.54586527348454</v>
      </c>
      <c r="BF844" t="str">
        <f>IF(ifood_data[[#This Row],[AcceptedCmpOverall]]=1,"Campaign Respondent","Non-respondent")</f>
        <v>Non-respondent</v>
      </c>
    </row>
    <row r="845" spans="1:58" x14ac:dyDescent="0.35">
      <c r="A845">
        <v>1604</v>
      </c>
      <c r="B845">
        <v>58086</v>
      </c>
      <c r="C845">
        <v>0</v>
      </c>
      <c r="D845">
        <v>1</v>
      </c>
      <c r="E845">
        <v>80</v>
      </c>
      <c r="F845">
        <v>708</v>
      </c>
      <c r="G845">
        <v>7</v>
      </c>
      <c r="H845">
        <v>62</v>
      </c>
      <c r="I845">
        <v>0</v>
      </c>
      <c r="J845">
        <v>0</v>
      </c>
      <c r="K845">
        <v>15</v>
      </c>
      <c r="L845">
        <v>2</v>
      </c>
      <c r="M845">
        <v>11</v>
      </c>
      <c r="N845">
        <v>3</v>
      </c>
      <c r="O845">
        <v>7</v>
      </c>
      <c r="P845">
        <v>8</v>
      </c>
      <c r="Q845">
        <v>0</v>
      </c>
      <c r="R845">
        <v>0</v>
      </c>
      <c r="S845">
        <v>0</v>
      </c>
      <c r="T845">
        <v>0</v>
      </c>
      <c r="U845">
        <v>0</v>
      </c>
      <c r="V845">
        <f>IF(SUM(ifood_data[[#This Row],[AcceptedCmp1]:[AcceptedCmp5]])&gt;0,1,0)</f>
        <v>0</v>
      </c>
      <c r="W845">
        <v>0</v>
      </c>
      <c r="X845">
        <v>3</v>
      </c>
      <c r="Y845">
        <v>11</v>
      </c>
      <c r="Z845">
        <v>0</v>
      </c>
      <c r="AA845">
        <v>51</v>
      </c>
      <c r="AB845">
        <v>2684</v>
      </c>
      <c r="AC845" s="28">
        <f>ifood_data[[#This Row],[Customer_Days]]/365</f>
        <v>7.353424657534247</v>
      </c>
      <c r="AD845">
        <v>1</v>
      </c>
      <c r="AE845">
        <v>0</v>
      </c>
      <c r="AF845">
        <v>0</v>
      </c>
      <c r="AG845">
        <v>0</v>
      </c>
      <c r="AH845">
        <v>0</v>
      </c>
      <c r="AI845">
        <v>0</v>
      </c>
      <c r="AJ845">
        <v>0</v>
      </c>
      <c r="AK845">
        <v>0</v>
      </c>
      <c r="AL845">
        <v>0</v>
      </c>
      <c r="AM845">
        <v>1</v>
      </c>
      <c r="AN845">
        <v>777</v>
      </c>
      <c r="AO845">
        <v>762</v>
      </c>
      <c r="AP845">
        <f>ifood_data[[#This Row],[MntTotal]]-ifood_data[[#This Row],[MntRegularProds]]</f>
        <v>15</v>
      </c>
      <c r="AQ845">
        <v>0</v>
      </c>
      <c r="AR845">
        <f>IF(SUM(ifood_data[[#This Row],[Kidhome]:[Teenhome]])&gt;0,1,0)</f>
        <v>1</v>
      </c>
      <c r="AS845" t="str">
        <f>IF(SUM(ifood_data[[#This Row],[Kidhome]:[Teenhome]])&gt;0,"Has Family","No Family")</f>
        <v>Has Family</v>
      </c>
      <c r="AT845" t="str">
        <f>IF(ifood_data[[#This Row],[marital_Married]]=1,"Married", (IF(ifood_data[[#This Row],[marital_Single]]=1,"Single",(IF(ifood_data[[#This Row],[marital_Divorced]]=1,"Divorced",(IF(ifood_data[[#This Row],[marital_Together]]=1,"Living Together",(IF(ifood_data[[#This Row],[marital_Widow]]=1,"Widow","Other")))))))))</f>
        <v>Divorced</v>
      </c>
      <c r="AU845" t="str">
        <f>IF(ifood_data[[#This Row],[education_Basic]]=1,"High School",(IF(ifood_data[[#This Row],[education_Graduation]]=1,"Undergraduate Degree",(IF(SUM(AM845,AL845,AI845)&gt;0,"Master's Degree or Higher","Other")))))</f>
        <v>Master's Degree or Higher</v>
      </c>
      <c r="AV845" t="str">
        <f>IF(ifood_data[[#All],[Income]]&gt;75000,"75K+",(IF(ifood_data[[#All],[Income]]&gt;50000,"50K-75K",(IF(ifood_data[[#All],[Income]]&gt;35000,"35K-50K","&lt;35K")))))</f>
        <v>50K-75K</v>
      </c>
      <c r="AW845" t="str">
        <f>IF(ifood_data[[#All],[Age]]&gt;60,"60+",(IF(ifood_data[[#All],[Age]]&gt;50,"50-60",(IF(ifood_data[[#All],[Age]]&gt;40,"40-50",(IF(ifood_data[[#All],[Age]]&gt;30,"30-40","&lt;30")))))))</f>
        <v>50-60</v>
      </c>
      <c r="AX845">
        <f t="shared" si="52"/>
        <v>31</v>
      </c>
      <c r="AY845">
        <f t="shared" si="53"/>
        <v>1.9999999999999996</v>
      </c>
      <c r="AZ845">
        <f t="shared" si="54"/>
        <v>9</v>
      </c>
      <c r="BA845">
        <f t="shared" si="55"/>
        <v>6</v>
      </c>
      <c r="BB845">
        <f>SUM(ifood_data[[#This Row],[Recency Score]:[Monetary Score]])</f>
        <v>17</v>
      </c>
      <c r="BC845">
        <f>(_xlfn.PERCENTRANK.INC(ifood_data[[#All],[RFM]],ifood_data[[#This Row],[RFM]],1))*10</f>
        <v>6</v>
      </c>
      <c r="BD845" t="str">
        <f>VLOOKUP(ifood_data[[#This Row],[RFM Score]],'RFM Analysis'!$A$3:$B$14,2,FALSE)</f>
        <v>Promising</v>
      </c>
      <c r="BE845">
        <f>'Regression Models'!$B$101+'Regression Models'!$B$102*ifood_data[[#This Row],[Income]]+'Regression Models'!$B$103*ifood_data[[#This Row],[Age]]+'Regression Models'!$B$104*ifood_data[[#This Row],[Family]]</f>
        <v>613.21470603542105</v>
      </c>
      <c r="BF845" t="str">
        <f>IF(ifood_data[[#This Row],[AcceptedCmpOverall]]=1,"Campaign Respondent","Non-respondent")</f>
        <v>Non-respondent</v>
      </c>
    </row>
    <row r="846" spans="1:58" x14ac:dyDescent="0.35">
      <c r="A846">
        <v>715</v>
      </c>
      <c r="B846">
        <v>58512</v>
      </c>
      <c r="C846">
        <v>0</v>
      </c>
      <c r="D846">
        <v>1</v>
      </c>
      <c r="E846">
        <v>25</v>
      </c>
      <c r="F846">
        <v>895</v>
      </c>
      <c r="G846">
        <v>10</v>
      </c>
      <c r="H846">
        <v>101</v>
      </c>
      <c r="I846">
        <v>13</v>
      </c>
      <c r="J846">
        <v>0</v>
      </c>
      <c r="K846">
        <v>152</v>
      </c>
      <c r="L846">
        <v>5</v>
      </c>
      <c r="M846">
        <v>3</v>
      </c>
      <c r="N846">
        <v>4</v>
      </c>
      <c r="O846">
        <v>8</v>
      </c>
      <c r="P846">
        <v>8</v>
      </c>
      <c r="Q846">
        <v>0</v>
      </c>
      <c r="R846">
        <v>0</v>
      </c>
      <c r="S846">
        <v>0</v>
      </c>
      <c r="T846">
        <v>0</v>
      </c>
      <c r="U846">
        <v>0</v>
      </c>
      <c r="V846">
        <f>IF(SUM(ifood_data[[#This Row],[AcceptedCmp1]:[AcceptedCmp5]])&gt;0,1,0)</f>
        <v>0</v>
      </c>
      <c r="W846">
        <v>0</v>
      </c>
      <c r="X846">
        <v>3</v>
      </c>
      <c r="Y846">
        <v>11</v>
      </c>
      <c r="Z846">
        <v>0</v>
      </c>
      <c r="AA846">
        <v>56</v>
      </c>
      <c r="AB846">
        <v>2442</v>
      </c>
      <c r="AC846" s="28">
        <f>ifood_data[[#This Row],[Customer_Days]]/365</f>
        <v>6.6904109589041099</v>
      </c>
      <c r="AD846">
        <v>0</v>
      </c>
      <c r="AE846">
        <v>1</v>
      </c>
      <c r="AF846">
        <v>0</v>
      </c>
      <c r="AG846">
        <v>0</v>
      </c>
      <c r="AH846">
        <v>0</v>
      </c>
      <c r="AI846">
        <v>0</v>
      </c>
      <c r="AJ846">
        <v>0</v>
      </c>
      <c r="AK846">
        <v>1</v>
      </c>
      <c r="AL846">
        <v>0</v>
      </c>
      <c r="AM846">
        <v>0</v>
      </c>
      <c r="AN846">
        <v>1019</v>
      </c>
      <c r="AO846">
        <v>867</v>
      </c>
      <c r="AP846">
        <f>ifood_data[[#This Row],[MntTotal]]-ifood_data[[#This Row],[MntRegularProds]]</f>
        <v>152</v>
      </c>
      <c r="AQ846">
        <v>0</v>
      </c>
      <c r="AR846">
        <f>IF(SUM(ifood_data[[#This Row],[Kidhome]:[Teenhome]])&gt;0,1,0)</f>
        <v>1</v>
      </c>
      <c r="AS846" t="str">
        <f>IF(SUM(ifood_data[[#This Row],[Kidhome]:[Teenhome]])&gt;0,"Has Family","No Family")</f>
        <v>Has Family</v>
      </c>
      <c r="AT846" t="str">
        <f>IF(ifood_data[[#This Row],[marital_Married]]=1,"Married", (IF(ifood_data[[#This Row],[marital_Single]]=1,"Single",(IF(ifood_data[[#This Row],[marital_Divorced]]=1,"Divorced",(IF(ifood_data[[#This Row],[marital_Together]]=1,"Living Together",(IF(ifood_data[[#This Row],[marital_Widow]]=1,"Widow","Other")))))))))</f>
        <v>Married</v>
      </c>
      <c r="AU846" t="str">
        <f>IF(ifood_data[[#This Row],[education_Basic]]=1,"High School",(IF(ifood_data[[#This Row],[education_Graduation]]=1,"Undergraduate Degree",(IF(SUM(AM846,AL846,AI846)&gt;0,"Master's Degree or Higher","Other")))))</f>
        <v>Undergraduate Degree</v>
      </c>
      <c r="AV846" t="str">
        <f>IF(ifood_data[[#All],[Income]]&gt;75000,"75K+",(IF(ifood_data[[#All],[Income]]&gt;50000,"50K-75K",(IF(ifood_data[[#All],[Income]]&gt;35000,"35K-50K","&lt;35K")))))</f>
        <v>50K-75K</v>
      </c>
      <c r="AW846" t="str">
        <f>IF(ifood_data[[#All],[Age]]&gt;60,"60+",(IF(ifood_data[[#All],[Age]]&gt;50,"50-60",(IF(ifood_data[[#All],[Age]]&gt;40,"40-50",(IF(ifood_data[[#All],[Age]]&gt;30,"30-40","&lt;30")))))))</f>
        <v>50-60</v>
      </c>
      <c r="AX846">
        <f t="shared" si="52"/>
        <v>28</v>
      </c>
      <c r="AY846">
        <f t="shared" si="53"/>
        <v>8</v>
      </c>
      <c r="AZ846">
        <f t="shared" si="54"/>
        <v>8</v>
      </c>
      <c r="BA846">
        <f t="shared" si="55"/>
        <v>7</v>
      </c>
      <c r="BB846">
        <f>SUM(ifood_data[[#This Row],[Recency Score]:[Monetary Score]])</f>
        <v>23</v>
      </c>
      <c r="BC846">
        <f>(_xlfn.PERCENTRANK.INC(ifood_data[[#All],[RFM]],ifood_data[[#This Row],[RFM]],1))*10</f>
        <v>8</v>
      </c>
      <c r="BD846" t="str">
        <f>VLOOKUP(ifood_data[[#This Row],[RFM Score]],'RFM Analysis'!$A$3:$B$14,2,FALSE)</f>
        <v>Loyal Customer</v>
      </c>
      <c r="BE846">
        <f>'Regression Models'!$B$101+'Regression Models'!$B$102*ifood_data[[#This Row],[Income]]+'Regression Models'!$B$103*ifood_data[[#This Row],[Age]]+'Regression Models'!$B$104*ifood_data[[#This Row],[Family]]</f>
        <v>612.71812587025067</v>
      </c>
      <c r="BF846" t="str">
        <f>IF(ifood_data[[#This Row],[AcceptedCmpOverall]]=1,"Campaign Respondent","Non-respondent")</f>
        <v>Non-respondent</v>
      </c>
    </row>
    <row r="847" spans="1:58" x14ac:dyDescent="0.35">
      <c r="A847">
        <v>447</v>
      </c>
      <c r="B847">
        <v>56937</v>
      </c>
      <c r="C847">
        <v>1</v>
      </c>
      <c r="D847">
        <v>0</v>
      </c>
      <c r="E847">
        <v>81</v>
      </c>
      <c r="F847">
        <v>746</v>
      </c>
      <c r="G847">
        <v>8</v>
      </c>
      <c r="H847">
        <v>125</v>
      </c>
      <c r="I847">
        <v>11</v>
      </c>
      <c r="J847">
        <v>8</v>
      </c>
      <c r="K847">
        <v>8</v>
      </c>
      <c r="L847">
        <v>7</v>
      </c>
      <c r="M847">
        <v>8</v>
      </c>
      <c r="N847">
        <v>6</v>
      </c>
      <c r="O847">
        <v>9</v>
      </c>
      <c r="P847">
        <v>6</v>
      </c>
      <c r="Q847">
        <v>0</v>
      </c>
      <c r="R847">
        <v>0</v>
      </c>
      <c r="S847">
        <v>0</v>
      </c>
      <c r="T847">
        <v>1</v>
      </c>
      <c r="U847">
        <v>0</v>
      </c>
      <c r="V847">
        <f>IF(SUM(ifood_data[[#This Row],[AcceptedCmp1]:[AcceptedCmp5]])&gt;0,1,0)</f>
        <v>1</v>
      </c>
      <c r="W847">
        <v>0</v>
      </c>
      <c r="X847">
        <v>3</v>
      </c>
      <c r="Y847">
        <v>11</v>
      </c>
      <c r="Z847">
        <v>1</v>
      </c>
      <c r="AA847">
        <v>39</v>
      </c>
      <c r="AB847">
        <v>2853</v>
      </c>
      <c r="AC847" s="28">
        <f>ifood_data[[#This Row],[Customer_Days]]/365</f>
        <v>7.816438356164384</v>
      </c>
      <c r="AD847">
        <v>0</v>
      </c>
      <c r="AE847">
        <v>0</v>
      </c>
      <c r="AF847">
        <v>0</v>
      </c>
      <c r="AG847">
        <v>1</v>
      </c>
      <c r="AH847">
        <v>0</v>
      </c>
      <c r="AI847">
        <v>0</v>
      </c>
      <c r="AJ847">
        <v>0</v>
      </c>
      <c r="AK847">
        <v>0</v>
      </c>
      <c r="AL847">
        <v>0</v>
      </c>
      <c r="AM847">
        <v>1</v>
      </c>
      <c r="AN847">
        <v>898</v>
      </c>
      <c r="AO847">
        <v>890</v>
      </c>
      <c r="AP847">
        <f>ifood_data[[#This Row],[MntTotal]]-ifood_data[[#This Row],[MntRegularProds]]</f>
        <v>8</v>
      </c>
      <c r="AQ847">
        <v>1</v>
      </c>
      <c r="AR847">
        <f>IF(SUM(ifood_data[[#This Row],[Kidhome]:[Teenhome]])&gt;0,1,0)</f>
        <v>1</v>
      </c>
      <c r="AS847" t="str">
        <f>IF(SUM(ifood_data[[#This Row],[Kidhome]:[Teenhome]])&gt;0,"Has Family","No Family")</f>
        <v>Has Family</v>
      </c>
      <c r="AT847" t="str">
        <f>IF(ifood_data[[#This Row],[marital_Married]]=1,"Married", (IF(ifood_data[[#This Row],[marital_Single]]=1,"Single",(IF(ifood_data[[#This Row],[marital_Divorced]]=1,"Divorced",(IF(ifood_data[[#This Row],[marital_Together]]=1,"Living Together",(IF(ifood_data[[#This Row],[marital_Widow]]=1,"Widow","Other")))))))))</f>
        <v>Living Together</v>
      </c>
      <c r="AU847" t="str">
        <f>IF(ifood_data[[#This Row],[education_Basic]]=1,"High School",(IF(ifood_data[[#This Row],[education_Graduation]]=1,"Undergraduate Degree",(IF(SUM(AM847,AL847,AI847)&gt;0,"Master's Degree or Higher","Other")))))</f>
        <v>Master's Degree or Higher</v>
      </c>
      <c r="AV847" t="str">
        <f>IF(ifood_data[[#All],[Income]]&gt;75000,"75K+",(IF(ifood_data[[#All],[Income]]&gt;50000,"50K-75K",(IF(ifood_data[[#All],[Income]]&gt;35000,"35K-50K","&lt;35K")))))</f>
        <v>50K-75K</v>
      </c>
      <c r="AW847" t="str">
        <f>IF(ifood_data[[#All],[Age]]&gt;60,"60+",(IF(ifood_data[[#All],[Age]]&gt;50,"50-60",(IF(ifood_data[[#All],[Age]]&gt;40,"40-50",(IF(ifood_data[[#All],[Age]]&gt;30,"30-40","&lt;30")))))))</f>
        <v>30-40</v>
      </c>
      <c r="AX847">
        <f t="shared" si="52"/>
        <v>36</v>
      </c>
      <c r="AY847">
        <f t="shared" si="53"/>
        <v>1.9999999999999996</v>
      </c>
      <c r="AZ847">
        <f t="shared" si="54"/>
        <v>9</v>
      </c>
      <c r="BA847">
        <f t="shared" si="55"/>
        <v>7</v>
      </c>
      <c r="BB847">
        <f>SUM(ifood_data[[#This Row],[Recency Score]:[Monetary Score]])</f>
        <v>18</v>
      </c>
      <c r="BC847">
        <f>(_xlfn.PERCENTRANK.INC(ifood_data[[#All],[RFM]],ifood_data[[#This Row],[RFM]],1))*10</f>
        <v>6</v>
      </c>
      <c r="BD847" t="str">
        <f>VLOOKUP(ifood_data[[#This Row],[RFM Score]],'RFM Analysis'!$A$3:$B$14,2,FALSE)</f>
        <v>Promising</v>
      </c>
      <c r="BE847">
        <f>'Regression Models'!$B$101+'Regression Models'!$B$102*ifood_data[[#This Row],[Income]]+'Regression Models'!$B$103*ifood_data[[#This Row],[Age]]+'Regression Models'!$B$104*ifood_data[[#This Row],[Family]]</f>
        <v>611.82528038481257</v>
      </c>
      <c r="BF847" t="str">
        <f>IF(ifood_data[[#This Row],[AcceptedCmpOverall]]=1,"Campaign Respondent","Non-respondent")</f>
        <v>Campaign Respondent</v>
      </c>
    </row>
    <row r="848" spans="1:58" x14ac:dyDescent="0.35">
      <c r="A848">
        <v>1808</v>
      </c>
      <c r="B848">
        <v>58646</v>
      </c>
      <c r="C848">
        <v>0</v>
      </c>
      <c r="D848">
        <v>1</v>
      </c>
      <c r="E848">
        <v>3</v>
      </c>
      <c r="F848">
        <v>62</v>
      </c>
      <c r="G848">
        <v>1</v>
      </c>
      <c r="H848">
        <v>44</v>
      </c>
      <c r="I848">
        <v>6</v>
      </c>
      <c r="J848">
        <v>5</v>
      </c>
      <c r="K848">
        <v>22</v>
      </c>
      <c r="L848">
        <v>1</v>
      </c>
      <c r="M848">
        <v>2</v>
      </c>
      <c r="N848">
        <v>1</v>
      </c>
      <c r="O848">
        <v>4</v>
      </c>
      <c r="P848">
        <v>4</v>
      </c>
      <c r="Q848">
        <v>0</v>
      </c>
      <c r="R848">
        <v>0</v>
      </c>
      <c r="S848">
        <v>0</v>
      </c>
      <c r="T848">
        <v>0</v>
      </c>
      <c r="U848">
        <v>0</v>
      </c>
      <c r="V848">
        <f>IF(SUM(ifood_data[[#This Row],[AcceptedCmp1]:[AcceptedCmp5]])&gt;0,1,0)</f>
        <v>0</v>
      </c>
      <c r="W848">
        <v>0</v>
      </c>
      <c r="X848">
        <v>3</v>
      </c>
      <c r="Y848">
        <v>11</v>
      </c>
      <c r="Z848">
        <v>0</v>
      </c>
      <c r="AA848">
        <v>58</v>
      </c>
      <c r="AB848">
        <v>2543</v>
      </c>
      <c r="AC848" s="28">
        <f>ifood_data[[#This Row],[Customer_Days]]/365</f>
        <v>6.9671232876712326</v>
      </c>
      <c r="AD848">
        <v>0</v>
      </c>
      <c r="AE848">
        <v>1</v>
      </c>
      <c r="AF848">
        <v>0</v>
      </c>
      <c r="AG848">
        <v>0</v>
      </c>
      <c r="AH848">
        <v>0</v>
      </c>
      <c r="AI848">
        <v>0</v>
      </c>
      <c r="AJ848">
        <v>0</v>
      </c>
      <c r="AK848">
        <v>0</v>
      </c>
      <c r="AL848">
        <v>1</v>
      </c>
      <c r="AM848">
        <v>0</v>
      </c>
      <c r="AN848">
        <v>118</v>
      </c>
      <c r="AO848">
        <v>96</v>
      </c>
      <c r="AP848">
        <f>ifood_data[[#This Row],[MntTotal]]-ifood_data[[#This Row],[MntRegularProds]]</f>
        <v>22</v>
      </c>
      <c r="AQ848">
        <v>0</v>
      </c>
      <c r="AR848">
        <f>IF(SUM(ifood_data[[#This Row],[Kidhome]:[Teenhome]])&gt;0,1,0)</f>
        <v>1</v>
      </c>
      <c r="AS848" t="str">
        <f>IF(SUM(ifood_data[[#This Row],[Kidhome]:[Teenhome]])&gt;0,"Has Family","No Family")</f>
        <v>Has Family</v>
      </c>
      <c r="AT848" t="str">
        <f>IF(ifood_data[[#This Row],[marital_Married]]=1,"Married", (IF(ifood_data[[#This Row],[marital_Single]]=1,"Single",(IF(ifood_data[[#This Row],[marital_Divorced]]=1,"Divorced",(IF(ifood_data[[#This Row],[marital_Together]]=1,"Living Together",(IF(ifood_data[[#This Row],[marital_Widow]]=1,"Widow","Other")))))))))</f>
        <v>Married</v>
      </c>
      <c r="AU848" t="str">
        <f>IF(ifood_data[[#This Row],[education_Basic]]=1,"High School",(IF(ifood_data[[#This Row],[education_Graduation]]=1,"Undergraduate Degree",(IF(SUM(AM848,AL848,AI848)&gt;0,"Master's Degree or Higher","Other")))))</f>
        <v>Master's Degree or Higher</v>
      </c>
      <c r="AV848" t="str">
        <f>IF(ifood_data[[#All],[Income]]&gt;75000,"75K+",(IF(ifood_data[[#All],[Income]]&gt;50000,"50K-75K",(IF(ifood_data[[#All],[Income]]&gt;35000,"35K-50K","&lt;35K")))))</f>
        <v>50K-75K</v>
      </c>
      <c r="AW848" t="str">
        <f>IF(ifood_data[[#All],[Age]]&gt;60,"60+",(IF(ifood_data[[#All],[Age]]&gt;50,"50-60",(IF(ifood_data[[#All],[Age]]&gt;40,"40-50",(IF(ifood_data[[#All],[Age]]&gt;30,"30-40","&lt;30")))))))</f>
        <v>50-60</v>
      </c>
      <c r="AX848">
        <f t="shared" si="52"/>
        <v>12</v>
      </c>
      <c r="AY848">
        <f t="shared" si="53"/>
        <v>10</v>
      </c>
      <c r="AZ848">
        <f t="shared" si="54"/>
        <v>1</v>
      </c>
      <c r="BA848">
        <f t="shared" si="55"/>
        <v>3</v>
      </c>
      <c r="BB848">
        <f>SUM(ifood_data[[#This Row],[Recency Score]:[Monetary Score]])</f>
        <v>14</v>
      </c>
      <c r="BC848">
        <f>(_xlfn.PERCENTRANK.INC(ifood_data[[#All],[RFM]],ifood_data[[#This Row],[RFM]],1))*10</f>
        <v>4</v>
      </c>
      <c r="BD848" t="str">
        <f>VLOOKUP(ifood_data[[#This Row],[RFM Score]],'RFM Analysis'!$A$3:$B$14,2,FALSE)</f>
        <v>At Risk</v>
      </c>
      <c r="BE848">
        <f>'Regression Models'!$B$101+'Regression Models'!$B$102*ifood_data[[#This Row],[Income]]+'Regression Models'!$B$103*ifood_data[[#This Row],[Age]]+'Regression Models'!$B$104*ifood_data[[#This Row],[Family]]</f>
        <v>611.77734264374442</v>
      </c>
      <c r="BF848" t="str">
        <f>IF(ifood_data[[#This Row],[AcceptedCmpOverall]]=1,"Campaign Respondent","Non-respondent")</f>
        <v>Non-respondent</v>
      </c>
    </row>
    <row r="849" spans="1:58" x14ac:dyDescent="0.35">
      <c r="A849">
        <v>1989</v>
      </c>
      <c r="B849">
        <v>43322</v>
      </c>
      <c r="C849">
        <v>0</v>
      </c>
      <c r="D849">
        <v>0</v>
      </c>
      <c r="E849">
        <v>25</v>
      </c>
      <c r="F849">
        <v>56</v>
      </c>
      <c r="G849">
        <v>7</v>
      </c>
      <c r="H849">
        <v>48</v>
      </c>
      <c r="I849">
        <v>10</v>
      </c>
      <c r="J849">
        <v>2</v>
      </c>
      <c r="K849">
        <v>18</v>
      </c>
      <c r="L849">
        <v>1</v>
      </c>
      <c r="M849">
        <v>3</v>
      </c>
      <c r="N849">
        <v>0</v>
      </c>
      <c r="O849">
        <v>4</v>
      </c>
      <c r="P849">
        <v>7</v>
      </c>
      <c r="Q849">
        <v>0</v>
      </c>
      <c r="R849">
        <v>0</v>
      </c>
      <c r="S849">
        <v>0</v>
      </c>
      <c r="T849">
        <v>0</v>
      </c>
      <c r="U849">
        <v>0</v>
      </c>
      <c r="V849">
        <f>IF(SUM(ifood_data[[#This Row],[AcceptedCmp1]:[AcceptedCmp5]])&gt;0,1,0)</f>
        <v>0</v>
      </c>
      <c r="W849">
        <v>0</v>
      </c>
      <c r="X849">
        <v>3</v>
      </c>
      <c r="Y849">
        <v>11</v>
      </c>
      <c r="Z849">
        <v>0</v>
      </c>
      <c r="AA849">
        <v>46</v>
      </c>
      <c r="AB849">
        <v>2228</v>
      </c>
      <c r="AC849" s="28">
        <f>ifood_data[[#This Row],[Customer_Days]]/365</f>
        <v>6.1041095890410961</v>
      </c>
      <c r="AD849">
        <v>0</v>
      </c>
      <c r="AE849">
        <v>0</v>
      </c>
      <c r="AF849">
        <v>1</v>
      </c>
      <c r="AG849">
        <v>0</v>
      </c>
      <c r="AH849">
        <v>0</v>
      </c>
      <c r="AI849">
        <v>0</v>
      </c>
      <c r="AJ849">
        <v>0</v>
      </c>
      <c r="AK849">
        <v>1</v>
      </c>
      <c r="AL849">
        <v>0</v>
      </c>
      <c r="AM849">
        <v>0</v>
      </c>
      <c r="AN849">
        <v>123</v>
      </c>
      <c r="AO849">
        <v>105</v>
      </c>
      <c r="AP849">
        <f>ifood_data[[#This Row],[MntTotal]]-ifood_data[[#This Row],[MntRegularProds]]</f>
        <v>18</v>
      </c>
      <c r="AQ849">
        <v>0</v>
      </c>
      <c r="AR849">
        <f>IF(SUM(ifood_data[[#This Row],[Kidhome]:[Teenhome]])&gt;0,1,0)</f>
        <v>0</v>
      </c>
      <c r="AS849" t="str">
        <f>IF(SUM(ifood_data[[#This Row],[Kidhome]:[Teenhome]])&gt;0,"Has Family","No Family")</f>
        <v>No Family</v>
      </c>
      <c r="AT849" t="str">
        <f>IF(ifood_data[[#This Row],[marital_Married]]=1,"Married", (IF(ifood_data[[#This Row],[marital_Single]]=1,"Single",(IF(ifood_data[[#This Row],[marital_Divorced]]=1,"Divorced",(IF(ifood_data[[#This Row],[marital_Together]]=1,"Living Together",(IF(ifood_data[[#This Row],[marital_Widow]]=1,"Widow","Other")))))))))</f>
        <v>Single</v>
      </c>
      <c r="AU849" t="str">
        <f>IF(ifood_data[[#This Row],[education_Basic]]=1,"High School",(IF(ifood_data[[#This Row],[education_Graduation]]=1,"Undergraduate Degree",(IF(SUM(AM849,AL849,AI849)&gt;0,"Master's Degree or Higher","Other")))))</f>
        <v>Undergraduate Degree</v>
      </c>
      <c r="AV849" t="str">
        <f>IF(ifood_data[[#All],[Income]]&gt;75000,"75K+",(IF(ifood_data[[#All],[Income]]&gt;50000,"50K-75K",(IF(ifood_data[[#All],[Income]]&gt;35000,"35K-50K","&lt;35K")))))</f>
        <v>35K-50K</v>
      </c>
      <c r="AW849" t="str">
        <f>IF(ifood_data[[#All],[Age]]&gt;60,"60+",(IF(ifood_data[[#All],[Age]]&gt;50,"50-60",(IF(ifood_data[[#All],[Age]]&gt;40,"40-50",(IF(ifood_data[[#All],[Age]]&gt;30,"30-40","&lt;30")))))))</f>
        <v>40-50</v>
      </c>
      <c r="AX849">
        <f t="shared" si="52"/>
        <v>15</v>
      </c>
      <c r="AY849">
        <f t="shared" si="53"/>
        <v>8</v>
      </c>
      <c r="AZ849">
        <f t="shared" si="54"/>
        <v>2</v>
      </c>
      <c r="BA849">
        <f t="shared" si="55"/>
        <v>3</v>
      </c>
      <c r="BB849">
        <f>SUM(ifood_data[[#This Row],[Recency Score]:[Monetary Score]])</f>
        <v>13</v>
      </c>
      <c r="BC849">
        <f>(_xlfn.PERCENTRANK.INC(ifood_data[[#All],[RFM]],ifood_data[[#This Row],[RFM]],1))*10</f>
        <v>3</v>
      </c>
      <c r="BD849" t="str">
        <f>VLOOKUP(ifood_data[[#This Row],[RFM Score]],'RFM Analysis'!$A$3:$B$14,2,FALSE)</f>
        <v>At Risk</v>
      </c>
      <c r="BE849">
        <f>'Regression Models'!$B$101+'Regression Models'!$B$102*ifood_data[[#This Row],[Income]]+'Regression Models'!$B$103*ifood_data[[#This Row],[Age]]+'Regression Models'!$B$104*ifood_data[[#This Row],[Family]]</f>
        <v>610.9907596263846</v>
      </c>
      <c r="BF849" t="str">
        <f>IF(ifood_data[[#This Row],[AcceptedCmpOverall]]=1,"Campaign Respondent","Non-respondent")</f>
        <v>Non-respondent</v>
      </c>
    </row>
    <row r="850" spans="1:58" x14ac:dyDescent="0.35">
      <c r="A850">
        <v>1810</v>
      </c>
      <c r="B850">
        <v>57113</v>
      </c>
      <c r="C850">
        <v>1</v>
      </c>
      <c r="D850">
        <v>1</v>
      </c>
      <c r="E850">
        <v>45</v>
      </c>
      <c r="F850">
        <v>182</v>
      </c>
      <c r="G850">
        <v>4</v>
      </c>
      <c r="H850">
        <v>33</v>
      </c>
      <c r="I850">
        <v>0</v>
      </c>
      <c r="J850">
        <v>2</v>
      </c>
      <c r="K850">
        <v>42</v>
      </c>
      <c r="L850">
        <v>6</v>
      </c>
      <c r="M850">
        <v>4</v>
      </c>
      <c r="N850">
        <v>1</v>
      </c>
      <c r="O850">
        <v>5</v>
      </c>
      <c r="P850">
        <v>7</v>
      </c>
      <c r="Q850">
        <v>0</v>
      </c>
      <c r="R850">
        <v>0</v>
      </c>
      <c r="S850">
        <v>0</v>
      </c>
      <c r="T850">
        <v>0</v>
      </c>
      <c r="U850">
        <v>0</v>
      </c>
      <c r="V850">
        <f>IF(SUM(ifood_data[[#This Row],[AcceptedCmp1]:[AcceptedCmp5]])&gt;0,1,0)</f>
        <v>0</v>
      </c>
      <c r="W850">
        <v>0</v>
      </c>
      <c r="X850">
        <v>3</v>
      </c>
      <c r="Y850">
        <v>11</v>
      </c>
      <c r="Z850">
        <v>0</v>
      </c>
      <c r="AA850">
        <v>42</v>
      </c>
      <c r="AB850">
        <v>2667</v>
      </c>
      <c r="AC850" s="28">
        <f>ifood_data[[#This Row],[Customer_Days]]/365</f>
        <v>7.3068493150684928</v>
      </c>
      <c r="AD850">
        <v>0</v>
      </c>
      <c r="AE850">
        <v>1</v>
      </c>
      <c r="AF850">
        <v>0</v>
      </c>
      <c r="AG850">
        <v>0</v>
      </c>
      <c r="AH850">
        <v>0</v>
      </c>
      <c r="AI850">
        <v>0</v>
      </c>
      <c r="AJ850">
        <v>0</v>
      </c>
      <c r="AK850">
        <v>1</v>
      </c>
      <c r="AL850">
        <v>0</v>
      </c>
      <c r="AM850">
        <v>0</v>
      </c>
      <c r="AN850">
        <v>221</v>
      </c>
      <c r="AO850">
        <v>179</v>
      </c>
      <c r="AP850">
        <f>ifood_data[[#This Row],[MntTotal]]-ifood_data[[#This Row],[MntRegularProds]]</f>
        <v>42</v>
      </c>
      <c r="AQ850">
        <v>0</v>
      </c>
      <c r="AR850">
        <f>IF(SUM(ifood_data[[#This Row],[Kidhome]:[Teenhome]])&gt;0,1,0)</f>
        <v>1</v>
      </c>
      <c r="AS850" t="str">
        <f>IF(SUM(ifood_data[[#This Row],[Kidhome]:[Teenhome]])&gt;0,"Has Family","No Family")</f>
        <v>Has Family</v>
      </c>
      <c r="AT850" t="str">
        <f>IF(ifood_data[[#This Row],[marital_Married]]=1,"Married", (IF(ifood_data[[#This Row],[marital_Single]]=1,"Single",(IF(ifood_data[[#This Row],[marital_Divorced]]=1,"Divorced",(IF(ifood_data[[#This Row],[marital_Together]]=1,"Living Together",(IF(ifood_data[[#This Row],[marital_Widow]]=1,"Widow","Other")))))))))</f>
        <v>Married</v>
      </c>
      <c r="AU850" t="str">
        <f>IF(ifood_data[[#This Row],[education_Basic]]=1,"High School",(IF(ifood_data[[#This Row],[education_Graduation]]=1,"Undergraduate Degree",(IF(SUM(AM850,AL850,AI850)&gt;0,"Master's Degree or Higher","Other")))))</f>
        <v>Undergraduate Degree</v>
      </c>
      <c r="AV850" t="str">
        <f>IF(ifood_data[[#All],[Income]]&gt;75000,"75K+",(IF(ifood_data[[#All],[Income]]&gt;50000,"50K-75K",(IF(ifood_data[[#All],[Income]]&gt;35000,"35K-50K","&lt;35K")))))</f>
        <v>50K-75K</v>
      </c>
      <c r="AW850" t="str">
        <f>IF(ifood_data[[#All],[Age]]&gt;60,"60+",(IF(ifood_data[[#All],[Age]]&gt;50,"50-60",(IF(ifood_data[[#All],[Age]]&gt;40,"40-50",(IF(ifood_data[[#All],[Age]]&gt;30,"30-40","&lt;30")))))))</f>
        <v>40-50</v>
      </c>
      <c r="AX850">
        <f t="shared" si="52"/>
        <v>23</v>
      </c>
      <c r="AY850">
        <f t="shared" si="53"/>
        <v>6</v>
      </c>
      <c r="AZ850">
        <f t="shared" si="54"/>
        <v>6</v>
      </c>
      <c r="BA850">
        <f t="shared" si="55"/>
        <v>4</v>
      </c>
      <c r="BB850">
        <f>SUM(ifood_data[[#This Row],[Recency Score]:[Monetary Score]])</f>
        <v>16</v>
      </c>
      <c r="BC850">
        <f>(_xlfn.PERCENTRANK.INC(ifood_data[[#All],[RFM]],ifood_data[[#This Row],[RFM]],1))*10</f>
        <v>5</v>
      </c>
      <c r="BD850" t="str">
        <f>VLOOKUP(ifood_data[[#This Row],[RFM Score]],'RFM Analysis'!$A$3:$B$14,2,FALSE)</f>
        <v>Promising</v>
      </c>
      <c r="BE850">
        <f>'Regression Models'!$B$101+'Regression Models'!$B$102*ifood_data[[#This Row],[Income]]+'Regression Models'!$B$103*ifood_data[[#This Row],[Age]]+'Regression Models'!$B$104*ifood_data[[#This Row],[Family]]</f>
        <v>609.90438634145596</v>
      </c>
      <c r="BF850" t="str">
        <f>IF(ifood_data[[#This Row],[AcceptedCmpOverall]]=1,"Campaign Respondent","Non-respondent")</f>
        <v>Non-respondent</v>
      </c>
    </row>
    <row r="851" spans="1:58" x14ac:dyDescent="0.35">
      <c r="A851">
        <v>139</v>
      </c>
      <c r="B851">
        <v>59354</v>
      </c>
      <c r="C851">
        <v>0</v>
      </c>
      <c r="D851">
        <v>2</v>
      </c>
      <c r="E851">
        <v>59</v>
      </c>
      <c r="F851">
        <v>295</v>
      </c>
      <c r="G851">
        <v>21</v>
      </c>
      <c r="H851">
        <v>78</v>
      </c>
      <c r="I851">
        <v>39</v>
      </c>
      <c r="J851">
        <v>13</v>
      </c>
      <c r="K851">
        <v>13</v>
      </c>
      <c r="L851">
        <v>1</v>
      </c>
      <c r="M851">
        <v>4</v>
      </c>
      <c r="N851">
        <v>4</v>
      </c>
      <c r="O851">
        <v>7</v>
      </c>
      <c r="P851">
        <v>3</v>
      </c>
      <c r="Q851">
        <v>0</v>
      </c>
      <c r="R851">
        <v>0</v>
      </c>
      <c r="S851">
        <v>0</v>
      </c>
      <c r="T851">
        <v>0</v>
      </c>
      <c r="U851">
        <v>0</v>
      </c>
      <c r="V851">
        <f>IF(SUM(ifood_data[[#This Row],[AcceptedCmp1]:[AcceptedCmp5]])&gt;0,1,0)</f>
        <v>0</v>
      </c>
      <c r="W851">
        <v>0</v>
      </c>
      <c r="X851">
        <v>3</v>
      </c>
      <c r="Y851">
        <v>11</v>
      </c>
      <c r="Z851">
        <v>0</v>
      </c>
      <c r="AA851">
        <v>67</v>
      </c>
      <c r="AB851">
        <v>2225</v>
      </c>
      <c r="AC851" s="28">
        <f>ifood_data[[#This Row],[Customer_Days]]/365</f>
        <v>6.095890410958904</v>
      </c>
      <c r="AD851">
        <v>0</v>
      </c>
      <c r="AE851">
        <v>1</v>
      </c>
      <c r="AF851">
        <v>0</v>
      </c>
      <c r="AG851">
        <v>0</v>
      </c>
      <c r="AH851">
        <v>0</v>
      </c>
      <c r="AI851">
        <v>0</v>
      </c>
      <c r="AJ851">
        <v>0</v>
      </c>
      <c r="AK851">
        <v>0</v>
      </c>
      <c r="AL851">
        <v>1</v>
      </c>
      <c r="AM851">
        <v>0</v>
      </c>
      <c r="AN851">
        <v>446</v>
      </c>
      <c r="AO851">
        <v>433</v>
      </c>
      <c r="AP851">
        <f>ifood_data[[#This Row],[MntTotal]]-ifood_data[[#This Row],[MntRegularProds]]</f>
        <v>13</v>
      </c>
      <c r="AQ851">
        <v>0</v>
      </c>
      <c r="AR851">
        <f>IF(SUM(ifood_data[[#This Row],[Kidhome]:[Teenhome]])&gt;0,1,0)</f>
        <v>1</v>
      </c>
      <c r="AS851" t="str">
        <f>IF(SUM(ifood_data[[#This Row],[Kidhome]:[Teenhome]])&gt;0,"Has Family","No Family")</f>
        <v>Has Family</v>
      </c>
      <c r="AT851" t="str">
        <f>IF(ifood_data[[#This Row],[marital_Married]]=1,"Married", (IF(ifood_data[[#This Row],[marital_Single]]=1,"Single",(IF(ifood_data[[#This Row],[marital_Divorced]]=1,"Divorced",(IF(ifood_data[[#This Row],[marital_Together]]=1,"Living Together",(IF(ifood_data[[#This Row],[marital_Widow]]=1,"Widow","Other")))))))))</f>
        <v>Married</v>
      </c>
      <c r="AU851" t="str">
        <f>IF(ifood_data[[#This Row],[education_Basic]]=1,"High School",(IF(ifood_data[[#This Row],[education_Graduation]]=1,"Undergraduate Degree",(IF(SUM(AM851,AL851,AI851)&gt;0,"Master's Degree or Higher","Other")))))</f>
        <v>Master's Degree or Higher</v>
      </c>
      <c r="AV851" t="str">
        <f>IF(ifood_data[[#All],[Income]]&gt;75000,"75K+",(IF(ifood_data[[#All],[Income]]&gt;50000,"50K-75K",(IF(ifood_data[[#All],[Income]]&gt;35000,"35K-50K","&lt;35K")))))</f>
        <v>50K-75K</v>
      </c>
      <c r="AW851" t="str">
        <f>IF(ifood_data[[#All],[Age]]&gt;60,"60+",(IF(ifood_data[[#All],[Age]]&gt;50,"50-60",(IF(ifood_data[[#All],[Age]]&gt;40,"40-50",(IF(ifood_data[[#All],[Age]]&gt;30,"30-40","&lt;30")))))))</f>
        <v>60+</v>
      </c>
      <c r="AX851">
        <f t="shared" si="52"/>
        <v>19</v>
      </c>
      <c r="AY851">
        <f t="shared" si="53"/>
        <v>4</v>
      </c>
      <c r="AZ851">
        <f t="shared" si="54"/>
        <v>4</v>
      </c>
      <c r="BA851">
        <f t="shared" si="55"/>
        <v>5</v>
      </c>
      <c r="BB851">
        <f>SUM(ifood_data[[#This Row],[Recency Score]:[Monetary Score]])</f>
        <v>13</v>
      </c>
      <c r="BC851">
        <f>(_xlfn.PERCENTRANK.INC(ifood_data[[#All],[RFM]],ifood_data[[#This Row],[RFM]],1))*10</f>
        <v>3</v>
      </c>
      <c r="BD851" t="str">
        <f>VLOOKUP(ifood_data[[#This Row],[RFM Score]],'RFM Analysis'!$A$3:$B$14,2,FALSE)</f>
        <v>At Risk</v>
      </c>
      <c r="BE851">
        <f>'Regression Models'!$B$101+'Regression Models'!$B$102*ifood_data[[#This Row],[Income]]+'Regression Models'!$B$103*ifood_data[[#This Row],[Age]]+'Regression Models'!$B$104*ifood_data[[#This Row],[Family]]</f>
        <v>609.6846387795764</v>
      </c>
      <c r="BF851" t="str">
        <f>IF(ifood_data[[#This Row],[AcceptedCmpOverall]]=1,"Campaign Respondent","Non-respondent")</f>
        <v>Non-respondent</v>
      </c>
    </row>
    <row r="852" spans="1:58" x14ac:dyDescent="0.35">
      <c r="A852">
        <v>1287</v>
      </c>
      <c r="B852">
        <v>57338</v>
      </c>
      <c r="C852">
        <v>0</v>
      </c>
      <c r="D852">
        <v>1</v>
      </c>
      <c r="E852">
        <v>96</v>
      </c>
      <c r="F852">
        <v>143</v>
      </c>
      <c r="G852">
        <v>6</v>
      </c>
      <c r="H852">
        <v>52</v>
      </c>
      <c r="I852">
        <v>11</v>
      </c>
      <c r="J852">
        <v>8</v>
      </c>
      <c r="K852">
        <v>17</v>
      </c>
      <c r="L852">
        <v>2</v>
      </c>
      <c r="M852">
        <v>4</v>
      </c>
      <c r="N852">
        <v>1</v>
      </c>
      <c r="O852">
        <v>5</v>
      </c>
      <c r="P852">
        <v>5</v>
      </c>
      <c r="Q852">
        <v>0</v>
      </c>
      <c r="R852">
        <v>0</v>
      </c>
      <c r="S852">
        <v>0</v>
      </c>
      <c r="T852">
        <v>0</v>
      </c>
      <c r="U852">
        <v>0</v>
      </c>
      <c r="V852">
        <f>IF(SUM(ifood_data[[#This Row],[AcceptedCmp1]:[AcceptedCmp5]])&gt;0,1,0)</f>
        <v>0</v>
      </c>
      <c r="W852">
        <v>0</v>
      </c>
      <c r="X852">
        <v>3</v>
      </c>
      <c r="Y852">
        <v>11</v>
      </c>
      <c r="Z852">
        <v>0</v>
      </c>
      <c r="AA852">
        <v>45</v>
      </c>
      <c r="AB852">
        <v>2220</v>
      </c>
      <c r="AC852" s="28">
        <f>ifood_data[[#This Row],[Customer_Days]]/365</f>
        <v>6.0821917808219181</v>
      </c>
      <c r="AD852">
        <v>0</v>
      </c>
      <c r="AE852">
        <v>0</v>
      </c>
      <c r="AF852">
        <v>1</v>
      </c>
      <c r="AG852">
        <v>0</v>
      </c>
      <c r="AH852">
        <v>0</v>
      </c>
      <c r="AI852">
        <v>0</v>
      </c>
      <c r="AJ852">
        <v>0</v>
      </c>
      <c r="AK852">
        <v>1</v>
      </c>
      <c r="AL852">
        <v>0</v>
      </c>
      <c r="AM852">
        <v>0</v>
      </c>
      <c r="AN852">
        <v>220</v>
      </c>
      <c r="AO852">
        <v>203</v>
      </c>
      <c r="AP852">
        <f>ifood_data[[#This Row],[MntTotal]]-ifood_data[[#This Row],[MntRegularProds]]</f>
        <v>17</v>
      </c>
      <c r="AQ852">
        <v>0</v>
      </c>
      <c r="AR852">
        <f>IF(SUM(ifood_data[[#This Row],[Kidhome]:[Teenhome]])&gt;0,1,0)</f>
        <v>1</v>
      </c>
      <c r="AS852" t="str">
        <f>IF(SUM(ifood_data[[#This Row],[Kidhome]:[Teenhome]])&gt;0,"Has Family","No Family")</f>
        <v>Has Family</v>
      </c>
      <c r="AT852" t="str">
        <f>IF(ifood_data[[#This Row],[marital_Married]]=1,"Married", (IF(ifood_data[[#This Row],[marital_Single]]=1,"Single",(IF(ifood_data[[#This Row],[marital_Divorced]]=1,"Divorced",(IF(ifood_data[[#This Row],[marital_Together]]=1,"Living Together",(IF(ifood_data[[#This Row],[marital_Widow]]=1,"Widow","Other")))))))))</f>
        <v>Single</v>
      </c>
      <c r="AU852" t="str">
        <f>IF(ifood_data[[#This Row],[education_Basic]]=1,"High School",(IF(ifood_data[[#This Row],[education_Graduation]]=1,"Undergraduate Degree",(IF(SUM(AM852,AL852,AI852)&gt;0,"Master's Degree or Higher","Other")))))</f>
        <v>Undergraduate Degree</v>
      </c>
      <c r="AV852" t="str">
        <f>IF(ifood_data[[#All],[Income]]&gt;75000,"75K+",(IF(ifood_data[[#All],[Income]]&gt;50000,"50K-75K",(IF(ifood_data[[#All],[Income]]&gt;35000,"35K-50K","&lt;35K")))))</f>
        <v>50K-75K</v>
      </c>
      <c r="AW852" t="str">
        <f>IF(ifood_data[[#All],[Age]]&gt;60,"60+",(IF(ifood_data[[#All],[Age]]&gt;50,"50-60",(IF(ifood_data[[#All],[Age]]&gt;40,"40-50",(IF(ifood_data[[#All],[Age]]&gt;30,"30-40","&lt;30")))))))</f>
        <v>40-50</v>
      </c>
      <c r="AX852">
        <f t="shared" si="52"/>
        <v>17</v>
      </c>
      <c r="AY852">
        <f t="shared" si="53"/>
        <v>0.99999999999999978</v>
      </c>
      <c r="AZ852">
        <f t="shared" si="54"/>
        <v>3</v>
      </c>
      <c r="BA852">
        <f t="shared" si="55"/>
        <v>4</v>
      </c>
      <c r="BB852">
        <f>SUM(ifood_data[[#This Row],[Recency Score]:[Monetary Score]])</f>
        <v>8</v>
      </c>
      <c r="BC852">
        <f>(_xlfn.PERCENTRANK.INC(ifood_data[[#All],[RFM]],ifood_data[[#This Row],[RFM]],1))*10</f>
        <v>1</v>
      </c>
      <c r="BD852" t="str">
        <f>VLOOKUP(ifood_data[[#This Row],[RFM Score]],'RFM Analysis'!$A$3:$B$14,2,FALSE)</f>
        <v>At Risk</v>
      </c>
      <c r="BE852">
        <f>'Regression Models'!$B$101+'Regression Models'!$B$102*ifood_data[[#This Row],[Income]]+'Regression Models'!$B$103*ifood_data[[#This Row],[Age]]+'Regression Models'!$B$104*ifood_data[[#This Row],[Family]]</f>
        <v>608.98254193715036</v>
      </c>
      <c r="BF852" t="str">
        <f>IF(ifood_data[[#This Row],[AcceptedCmpOverall]]=1,"Campaign Respondent","Non-respondent")</f>
        <v>Non-respondent</v>
      </c>
    </row>
    <row r="853" spans="1:58" x14ac:dyDescent="0.35">
      <c r="A853">
        <v>468</v>
      </c>
      <c r="B853">
        <v>58308</v>
      </c>
      <c r="C853">
        <v>0</v>
      </c>
      <c r="D853">
        <v>1</v>
      </c>
      <c r="E853">
        <v>77</v>
      </c>
      <c r="F853">
        <v>691</v>
      </c>
      <c r="G853">
        <v>0</v>
      </c>
      <c r="H853">
        <v>69</v>
      </c>
      <c r="I853">
        <v>10</v>
      </c>
      <c r="J853">
        <v>0</v>
      </c>
      <c r="K853">
        <v>130</v>
      </c>
      <c r="L853">
        <v>4</v>
      </c>
      <c r="M853">
        <v>2</v>
      </c>
      <c r="N853">
        <v>6</v>
      </c>
      <c r="O853">
        <v>3</v>
      </c>
      <c r="P853">
        <v>8</v>
      </c>
      <c r="Q853">
        <v>0</v>
      </c>
      <c r="R853">
        <v>0</v>
      </c>
      <c r="S853">
        <v>0</v>
      </c>
      <c r="T853">
        <v>0</v>
      </c>
      <c r="U853">
        <v>0</v>
      </c>
      <c r="V853">
        <f>IF(SUM(ifood_data[[#This Row],[AcceptedCmp1]:[AcceptedCmp5]])&gt;0,1,0)</f>
        <v>0</v>
      </c>
      <c r="W853">
        <v>0</v>
      </c>
      <c r="X853">
        <v>3</v>
      </c>
      <c r="Y853">
        <v>11</v>
      </c>
      <c r="Z853">
        <v>0</v>
      </c>
      <c r="AA853">
        <v>56</v>
      </c>
      <c r="AB853">
        <v>2692</v>
      </c>
      <c r="AC853" s="28">
        <f>ifood_data[[#This Row],[Customer_Days]]/365</f>
        <v>7.375342465753425</v>
      </c>
      <c r="AD853">
        <v>0</v>
      </c>
      <c r="AE853">
        <v>0</v>
      </c>
      <c r="AF853">
        <v>1</v>
      </c>
      <c r="AG853">
        <v>0</v>
      </c>
      <c r="AH853">
        <v>0</v>
      </c>
      <c r="AI853">
        <v>0</v>
      </c>
      <c r="AJ853">
        <v>0</v>
      </c>
      <c r="AK853">
        <v>0</v>
      </c>
      <c r="AL853">
        <v>1</v>
      </c>
      <c r="AM853">
        <v>0</v>
      </c>
      <c r="AN853">
        <v>770</v>
      </c>
      <c r="AO853">
        <v>640</v>
      </c>
      <c r="AP853">
        <f>ifood_data[[#This Row],[MntTotal]]-ifood_data[[#This Row],[MntRegularProds]]</f>
        <v>130</v>
      </c>
      <c r="AQ853">
        <v>0</v>
      </c>
      <c r="AR853">
        <f>IF(SUM(ifood_data[[#This Row],[Kidhome]:[Teenhome]])&gt;0,1,0)</f>
        <v>1</v>
      </c>
      <c r="AS853" t="str">
        <f>IF(SUM(ifood_data[[#This Row],[Kidhome]:[Teenhome]])&gt;0,"Has Family","No Family")</f>
        <v>Has Family</v>
      </c>
      <c r="AT853" t="str">
        <f>IF(ifood_data[[#This Row],[marital_Married]]=1,"Married", (IF(ifood_data[[#This Row],[marital_Single]]=1,"Single",(IF(ifood_data[[#This Row],[marital_Divorced]]=1,"Divorced",(IF(ifood_data[[#This Row],[marital_Together]]=1,"Living Together",(IF(ifood_data[[#This Row],[marital_Widow]]=1,"Widow","Other")))))))))</f>
        <v>Single</v>
      </c>
      <c r="AU853" t="str">
        <f>IF(ifood_data[[#This Row],[education_Basic]]=1,"High School",(IF(ifood_data[[#This Row],[education_Graduation]]=1,"Undergraduate Degree",(IF(SUM(AM853,AL853,AI853)&gt;0,"Master's Degree or Higher","Other")))))</f>
        <v>Master's Degree or Higher</v>
      </c>
      <c r="AV853" t="str">
        <f>IF(ifood_data[[#All],[Income]]&gt;75000,"75K+",(IF(ifood_data[[#All],[Income]]&gt;50000,"50K-75K",(IF(ifood_data[[#All],[Income]]&gt;35000,"35K-50K","&lt;35K")))))</f>
        <v>50K-75K</v>
      </c>
      <c r="AW853" t="str">
        <f>IF(ifood_data[[#All],[Age]]&gt;60,"60+",(IF(ifood_data[[#All],[Age]]&gt;50,"50-60",(IF(ifood_data[[#All],[Age]]&gt;40,"40-50",(IF(ifood_data[[#All],[Age]]&gt;30,"30-40","&lt;30")))))))</f>
        <v>50-60</v>
      </c>
      <c r="AX853">
        <f t="shared" si="52"/>
        <v>23</v>
      </c>
      <c r="AY853">
        <f t="shared" si="53"/>
        <v>3.0000000000000004</v>
      </c>
      <c r="AZ853">
        <f t="shared" si="54"/>
        <v>6</v>
      </c>
      <c r="BA853">
        <f t="shared" si="55"/>
        <v>6</v>
      </c>
      <c r="BB853">
        <f>SUM(ifood_data[[#This Row],[Recency Score]:[Monetary Score]])</f>
        <v>15</v>
      </c>
      <c r="BC853">
        <f>(_xlfn.PERCENTRANK.INC(ifood_data[[#All],[RFM]],ifood_data[[#This Row],[RFM]],1))*10</f>
        <v>4</v>
      </c>
      <c r="BD853" t="str">
        <f>VLOOKUP(ifood_data[[#This Row],[RFM Score]],'RFM Analysis'!$A$3:$B$14,2,FALSE)</f>
        <v>At Risk</v>
      </c>
      <c r="BE853">
        <f>'Regression Models'!$B$101+'Regression Models'!$B$102*ifood_data[[#This Row],[Income]]+'Regression Models'!$B$103*ifood_data[[#This Row],[Age]]+'Regression Models'!$B$104*ifood_data[[#This Row],[Family]]</f>
        <v>608.55881716889519</v>
      </c>
      <c r="BF853" t="str">
        <f>IF(ifood_data[[#This Row],[AcceptedCmpOverall]]=1,"Campaign Respondent","Non-respondent")</f>
        <v>Non-respondent</v>
      </c>
    </row>
    <row r="854" spans="1:58" x14ac:dyDescent="0.35">
      <c r="A854">
        <v>1004</v>
      </c>
      <c r="B854">
        <v>42000</v>
      </c>
      <c r="C854">
        <v>0</v>
      </c>
      <c r="D854">
        <v>0</v>
      </c>
      <c r="E854">
        <v>23</v>
      </c>
      <c r="F854">
        <v>124</v>
      </c>
      <c r="G854">
        <v>83</v>
      </c>
      <c r="H854">
        <v>267</v>
      </c>
      <c r="I854">
        <v>85</v>
      </c>
      <c r="J854">
        <v>59</v>
      </c>
      <c r="K854">
        <v>35</v>
      </c>
      <c r="L854">
        <v>2</v>
      </c>
      <c r="M854">
        <v>5</v>
      </c>
      <c r="N854">
        <v>2</v>
      </c>
      <c r="O854">
        <v>11</v>
      </c>
      <c r="P854">
        <v>5</v>
      </c>
      <c r="Q854">
        <v>0</v>
      </c>
      <c r="R854">
        <v>0</v>
      </c>
      <c r="S854">
        <v>0</v>
      </c>
      <c r="T854">
        <v>0</v>
      </c>
      <c r="U854">
        <v>0</v>
      </c>
      <c r="V854">
        <f>IF(SUM(ifood_data[[#This Row],[AcceptedCmp1]:[AcceptedCmp5]])&gt;0,1,0)</f>
        <v>0</v>
      </c>
      <c r="W854">
        <v>0</v>
      </c>
      <c r="X854">
        <v>3</v>
      </c>
      <c r="Y854">
        <v>11</v>
      </c>
      <c r="Z854">
        <v>1</v>
      </c>
      <c r="AA854">
        <v>33</v>
      </c>
      <c r="AB854">
        <v>2694</v>
      </c>
      <c r="AC854" s="28">
        <f>ifood_data[[#This Row],[Customer_Days]]/365</f>
        <v>7.3808219178082188</v>
      </c>
      <c r="AD854">
        <v>0</v>
      </c>
      <c r="AE854">
        <v>0</v>
      </c>
      <c r="AF854">
        <v>1</v>
      </c>
      <c r="AG854">
        <v>0</v>
      </c>
      <c r="AH854">
        <v>0</v>
      </c>
      <c r="AI854">
        <v>0</v>
      </c>
      <c r="AJ854">
        <v>0</v>
      </c>
      <c r="AK854">
        <v>0</v>
      </c>
      <c r="AL854">
        <v>0</v>
      </c>
      <c r="AM854">
        <v>1</v>
      </c>
      <c r="AN854">
        <v>618</v>
      </c>
      <c r="AO854">
        <v>583</v>
      </c>
      <c r="AP854">
        <f>ifood_data[[#This Row],[MntTotal]]-ifood_data[[#This Row],[MntRegularProds]]</f>
        <v>35</v>
      </c>
      <c r="AQ854">
        <v>0</v>
      </c>
      <c r="AR854">
        <f>IF(SUM(ifood_data[[#This Row],[Kidhome]:[Teenhome]])&gt;0,1,0)</f>
        <v>0</v>
      </c>
      <c r="AS854" t="str">
        <f>IF(SUM(ifood_data[[#This Row],[Kidhome]:[Teenhome]])&gt;0,"Has Family","No Family")</f>
        <v>No Family</v>
      </c>
      <c r="AT854" t="str">
        <f>IF(ifood_data[[#This Row],[marital_Married]]=1,"Married", (IF(ifood_data[[#This Row],[marital_Single]]=1,"Single",(IF(ifood_data[[#This Row],[marital_Divorced]]=1,"Divorced",(IF(ifood_data[[#This Row],[marital_Together]]=1,"Living Together",(IF(ifood_data[[#This Row],[marital_Widow]]=1,"Widow","Other")))))))))</f>
        <v>Single</v>
      </c>
      <c r="AU854" t="str">
        <f>IF(ifood_data[[#This Row],[education_Basic]]=1,"High School",(IF(ifood_data[[#This Row],[education_Graduation]]=1,"Undergraduate Degree",(IF(SUM(AM854,AL854,AI854)&gt;0,"Master's Degree or Higher","Other")))))</f>
        <v>Master's Degree or Higher</v>
      </c>
      <c r="AV854" t="str">
        <f>IF(ifood_data[[#All],[Income]]&gt;75000,"75K+",(IF(ifood_data[[#All],[Income]]&gt;50000,"50K-75K",(IF(ifood_data[[#All],[Income]]&gt;35000,"35K-50K","&lt;35K")))))</f>
        <v>35K-50K</v>
      </c>
      <c r="AW854" t="str">
        <f>IF(ifood_data[[#All],[Age]]&gt;60,"60+",(IF(ifood_data[[#All],[Age]]&gt;50,"50-60",(IF(ifood_data[[#All],[Age]]&gt;40,"40-50",(IF(ifood_data[[#All],[Age]]&gt;30,"30-40","&lt;30")))))))</f>
        <v>30-40</v>
      </c>
      <c r="AX854">
        <f t="shared" si="52"/>
        <v>25</v>
      </c>
      <c r="AY854">
        <f t="shared" si="53"/>
        <v>8</v>
      </c>
      <c r="AZ854">
        <f t="shared" si="54"/>
        <v>7</v>
      </c>
      <c r="BA854">
        <f t="shared" si="55"/>
        <v>6</v>
      </c>
      <c r="BB854">
        <f>SUM(ifood_data[[#This Row],[Recency Score]:[Monetary Score]])</f>
        <v>21</v>
      </c>
      <c r="BC854">
        <f>(_xlfn.PERCENTRANK.INC(ifood_data[[#All],[RFM]],ifood_data[[#This Row],[RFM]],1))*10</f>
        <v>8</v>
      </c>
      <c r="BD854" t="str">
        <f>VLOOKUP(ifood_data[[#This Row],[RFM Score]],'RFM Analysis'!$A$3:$B$14,2,FALSE)</f>
        <v>Loyal Customer</v>
      </c>
      <c r="BE854">
        <f>'Regression Models'!$B$101+'Regression Models'!$B$102*ifood_data[[#This Row],[Income]]+'Regression Models'!$B$103*ifood_data[[#This Row],[Age]]+'Regression Models'!$B$104*ifood_data[[#This Row],[Family]]</f>
        <v>607.91051616577579</v>
      </c>
      <c r="BF854" t="str">
        <f>IF(ifood_data[[#This Row],[AcceptedCmpOverall]]=1,"Campaign Respondent","Non-respondent")</f>
        <v>Non-respondent</v>
      </c>
    </row>
    <row r="855" spans="1:58" x14ac:dyDescent="0.35">
      <c r="A855">
        <v>13</v>
      </c>
      <c r="B855">
        <v>59354</v>
      </c>
      <c r="C855">
        <v>1</v>
      </c>
      <c r="D855">
        <v>1</v>
      </c>
      <c r="E855">
        <v>53</v>
      </c>
      <c r="F855">
        <v>233</v>
      </c>
      <c r="G855">
        <v>2</v>
      </c>
      <c r="H855">
        <v>53</v>
      </c>
      <c r="I855">
        <v>3</v>
      </c>
      <c r="J855">
        <v>5</v>
      </c>
      <c r="K855">
        <v>14</v>
      </c>
      <c r="L855">
        <v>3</v>
      </c>
      <c r="M855">
        <v>6</v>
      </c>
      <c r="N855">
        <v>1</v>
      </c>
      <c r="O855">
        <v>5</v>
      </c>
      <c r="P855">
        <v>6</v>
      </c>
      <c r="Q855">
        <v>0</v>
      </c>
      <c r="R855">
        <v>0</v>
      </c>
      <c r="S855">
        <v>0</v>
      </c>
      <c r="T855">
        <v>0</v>
      </c>
      <c r="U855">
        <v>0</v>
      </c>
      <c r="V855">
        <f>IF(SUM(ifood_data[[#This Row],[AcceptedCmp1]:[AcceptedCmp5]])&gt;0,1,0)</f>
        <v>0</v>
      </c>
      <c r="W855">
        <v>0</v>
      </c>
      <c r="X855">
        <v>3</v>
      </c>
      <c r="Y855">
        <v>11</v>
      </c>
      <c r="Z855">
        <v>0</v>
      </c>
      <c r="AA855">
        <v>68</v>
      </c>
      <c r="AB855">
        <v>2385</v>
      </c>
      <c r="AC855" s="28">
        <f>ifood_data[[#This Row],[Customer_Days]]/365</f>
        <v>6.5342465753424657</v>
      </c>
      <c r="AD855">
        <v>1</v>
      </c>
      <c r="AE855">
        <v>0</v>
      </c>
      <c r="AF855">
        <v>0</v>
      </c>
      <c r="AG855">
        <v>0</v>
      </c>
      <c r="AH855">
        <v>0</v>
      </c>
      <c r="AI855">
        <v>0</v>
      </c>
      <c r="AJ855">
        <v>0</v>
      </c>
      <c r="AK855">
        <v>0</v>
      </c>
      <c r="AL855">
        <v>1</v>
      </c>
      <c r="AM855">
        <v>0</v>
      </c>
      <c r="AN855">
        <v>296</v>
      </c>
      <c r="AO855">
        <v>282</v>
      </c>
      <c r="AP855">
        <f>ifood_data[[#This Row],[MntTotal]]-ifood_data[[#This Row],[MntRegularProds]]</f>
        <v>14</v>
      </c>
      <c r="AQ855">
        <v>0</v>
      </c>
      <c r="AR855">
        <f>IF(SUM(ifood_data[[#This Row],[Kidhome]:[Teenhome]])&gt;0,1,0)</f>
        <v>1</v>
      </c>
      <c r="AS855" t="str">
        <f>IF(SUM(ifood_data[[#This Row],[Kidhome]:[Teenhome]])&gt;0,"Has Family","No Family")</f>
        <v>Has Family</v>
      </c>
      <c r="AT855" t="str">
        <f>IF(ifood_data[[#This Row],[marital_Married]]=1,"Married", (IF(ifood_data[[#This Row],[marital_Single]]=1,"Single",(IF(ifood_data[[#This Row],[marital_Divorced]]=1,"Divorced",(IF(ifood_data[[#This Row],[marital_Together]]=1,"Living Together",(IF(ifood_data[[#This Row],[marital_Widow]]=1,"Widow","Other")))))))))</f>
        <v>Divorced</v>
      </c>
      <c r="AU855" t="str">
        <f>IF(ifood_data[[#This Row],[education_Basic]]=1,"High School",(IF(ifood_data[[#This Row],[education_Graduation]]=1,"Undergraduate Degree",(IF(SUM(AM855,AL855,AI855)&gt;0,"Master's Degree or Higher","Other")))))</f>
        <v>Master's Degree or Higher</v>
      </c>
      <c r="AV855" t="str">
        <f>IF(ifood_data[[#All],[Income]]&gt;75000,"75K+",(IF(ifood_data[[#All],[Income]]&gt;50000,"50K-75K",(IF(ifood_data[[#All],[Income]]&gt;35000,"35K-50K","&lt;35K")))))</f>
        <v>50K-75K</v>
      </c>
      <c r="AW855" t="str">
        <f>IF(ifood_data[[#All],[Age]]&gt;60,"60+",(IF(ifood_data[[#All],[Age]]&gt;50,"50-60",(IF(ifood_data[[#All],[Age]]&gt;40,"40-50",(IF(ifood_data[[#All],[Age]]&gt;30,"30-40","&lt;30")))))))</f>
        <v>60+</v>
      </c>
      <c r="AX855">
        <f t="shared" si="52"/>
        <v>21</v>
      </c>
      <c r="AY855">
        <f t="shared" si="53"/>
        <v>5</v>
      </c>
      <c r="AZ855">
        <f t="shared" si="54"/>
        <v>5</v>
      </c>
      <c r="BA855">
        <f t="shared" si="55"/>
        <v>4</v>
      </c>
      <c r="BB855">
        <f>SUM(ifood_data[[#This Row],[Recency Score]:[Monetary Score]])</f>
        <v>14</v>
      </c>
      <c r="BC855">
        <f>(_xlfn.PERCENTRANK.INC(ifood_data[[#All],[RFM]],ifood_data[[#This Row],[RFM]],1))*10</f>
        <v>4</v>
      </c>
      <c r="BD855" t="str">
        <f>VLOOKUP(ifood_data[[#This Row],[RFM Score]],'RFM Analysis'!$A$3:$B$14,2,FALSE)</f>
        <v>At Risk</v>
      </c>
      <c r="BE855">
        <f>'Regression Models'!$B$101+'Regression Models'!$B$102*ifood_data[[#This Row],[Income]]+'Regression Models'!$B$103*ifood_data[[#This Row],[Age]]+'Regression Models'!$B$104*ifood_data[[#This Row],[Family]]</f>
        <v>607.84819970068213</v>
      </c>
      <c r="BF855" t="str">
        <f>IF(ifood_data[[#This Row],[AcceptedCmpOverall]]=1,"Campaign Respondent","Non-respondent")</f>
        <v>Non-respondent</v>
      </c>
    </row>
    <row r="856" spans="1:58" x14ac:dyDescent="0.35">
      <c r="A856">
        <v>1648</v>
      </c>
      <c r="B856">
        <v>59385</v>
      </c>
      <c r="C856">
        <v>1</v>
      </c>
      <c r="D856">
        <v>1</v>
      </c>
      <c r="E856">
        <v>85</v>
      </c>
      <c r="F856">
        <v>135</v>
      </c>
      <c r="G856">
        <v>0</v>
      </c>
      <c r="H856">
        <v>10</v>
      </c>
      <c r="I856">
        <v>0</v>
      </c>
      <c r="J856">
        <v>4</v>
      </c>
      <c r="K856">
        <v>36</v>
      </c>
      <c r="L856">
        <v>2</v>
      </c>
      <c r="M856">
        <v>3</v>
      </c>
      <c r="N856">
        <v>1</v>
      </c>
      <c r="O856">
        <v>4</v>
      </c>
      <c r="P856">
        <v>5</v>
      </c>
      <c r="Q856">
        <v>0</v>
      </c>
      <c r="R856">
        <v>0</v>
      </c>
      <c r="S856">
        <v>0</v>
      </c>
      <c r="T856">
        <v>0</v>
      </c>
      <c r="U856">
        <v>0</v>
      </c>
      <c r="V856">
        <f>IF(SUM(ifood_data[[#This Row],[AcceptedCmp1]:[AcceptedCmp5]])&gt;0,1,0)</f>
        <v>0</v>
      </c>
      <c r="W856">
        <v>0</v>
      </c>
      <c r="X856">
        <v>3</v>
      </c>
      <c r="Y856">
        <v>11</v>
      </c>
      <c r="Z856">
        <v>0</v>
      </c>
      <c r="AA856">
        <v>69</v>
      </c>
      <c r="AB856">
        <v>2586</v>
      </c>
      <c r="AC856" s="28">
        <f>ifood_data[[#This Row],[Customer_Days]]/365</f>
        <v>7.0849315068493155</v>
      </c>
      <c r="AD856">
        <v>0</v>
      </c>
      <c r="AE856">
        <v>0</v>
      </c>
      <c r="AF856">
        <v>0</v>
      </c>
      <c r="AG856">
        <v>1</v>
      </c>
      <c r="AH856">
        <v>0</v>
      </c>
      <c r="AI856">
        <v>0</v>
      </c>
      <c r="AJ856">
        <v>0</v>
      </c>
      <c r="AK856">
        <v>0</v>
      </c>
      <c r="AL856">
        <v>1</v>
      </c>
      <c r="AM856">
        <v>0</v>
      </c>
      <c r="AN856">
        <v>149</v>
      </c>
      <c r="AO856">
        <v>113</v>
      </c>
      <c r="AP856">
        <f>ifood_data[[#This Row],[MntTotal]]-ifood_data[[#This Row],[MntRegularProds]]</f>
        <v>36</v>
      </c>
      <c r="AQ856">
        <v>0</v>
      </c>
      <c r="AR856">
        <f>IF(SUM(ifood_data[[#This Row],[Kidhome]:[Teenhome]])&gt;0,1,0)</f>
        <v>1</v>
      </c>
      <c r="AS856" t="str">
        <f>IF(SUM(ifood_data[[#This Row],[Kidhome]:[Teenhome]])&gt;0,"Has Family","No Family")</f>
        <v>Has Family</v>
      </c>
      <c r="AT856" t="str">
        <f>IF(ifood_data[[#This Row],[marital_Married]]=1,"Married", (IF(ifood_data[[#This Row],[marital_Single]]=1,"Single",(IF(ifood_data[[#This Row],[marital_Divorced]]=1,"Divorced",(IF(ifood_data[[#This Row],[marital_Together]]=1,"Living Together",(IF(ifood_data[[#This Row],[marital_Widow]]=1,"Widow","Other")))))))))</f>
        <v>Living Together</v>
      </c>
      <c r="AU856" t="str">
        <f>IF(ifood_data[[#This Row],[education_Basic]]=1,"High School",(IF(ifood_data[[#This Row],[education_Graduation]]=1,"Undergraduate Degree",(IF(SUM(AM856,AL856,AI856)&gt;0,"Master's Degree or Higher","Other")))))</f>
        <v>Master's Degree or Higher</v>
      </c>
      <c r="AV856" t="str">
        <f>IF(ifood_data[[#All],[Income]]&gt;75000,"75K+",(IF(ifood_data[[#All],[Income]]&gt;50000,"50K-75K",(IF(ifood_data[[#All],[Income]]&gt;35000,"35K-50K","&lt;35K")))))</f>
        <v>50K-75K</v>
      </c>
      <c r="AW856" t="str">
        <f>IF(ifood_data[[#All],[Age]]&gt;60,"60+",(IF(ifood_data[[#All],[Age]]&gt;50,"50-60",(IF(ifood_data[[#All],[Age]]&gt;40,"40-50",(IF(ifood_data[[#All],[Age]]&gt;30,"30-40","&lt;30")))))))</f>
        <v>60+</v>
      </c>
      <c r="AX856">
        <f t="shared" si="52"/>
        <v>15</v>
      </c>
      <c r="AY856">
        <f t="shared" si="53"/>
        <v>1.9999999999999996</v>
      </c>
      <c r="AZ856">
        <f t="shared" si="54"/>
        <v>2</v>
      </c>
      <c r="BA856">
        <f t="shared" si="55"/>
        <v>3</v>
      </c>
      <c r="BB856">
        <f>SUM(ifood_data[[#This Row],[Recency Score]:[Monetary Score]])</f>
        <v>7</v>
      </c>
      <c r="BC856">
        <f>(_xlfn.PERCENTRANK.INC(ifood_data[[#All],[RFM]],ifood_data[[#This Row],[RFM]],1))*10</f>
        <v>1</v>
      </c>
      <c r="BD856" t="str">
        <f>VLOOKUP(ifood_data[[#This Row],[RFM Score]],'RFM Analysis'!$A$3:$B$14,2,FALSE)</f>
        <v>At Risk</v>
      </c>
      <c r="BE856">
        <f>'Regression Models'!$B$101+'Regression Models'!$B$102*ifood_data[[#This Row],[Income]]+'Regression Models'!$B$103*ifood_data[[#This Row],[Age]]+'Regression Models'!$B$104*ifood_data[[#This Row],[Family]]</f>
        <v>606.64381243424884</v>
      </c>
      <c r="BF856" t="str">
        <f>IF(ifood_data[[#This Row],[AcceptedCmpOverall]]=1,"Campaign Respondent","Non-respondent")</f>
        <v>Non-respondent</v>
      </c>
    </row>
    <row r="857" spans="1:58" x14ac:dyDescent="0.35">
      <c r="A857">
        <v>1878</v>
      </c>
      <c r="B857">
        <v>59462</v>
      </c>
      <c r="C857">
        <v>0</v>
      </c>
      <c r="D857">
        <v>1</v>
      </c>
      <c r="E857">
        <v>29</v>
      </c>
      <c r="F857">
        <v>724</v>
      </c>
      <c r="G857">
        <v>17</v>
      </c>
      <c r="H857">
        <v>143</v>
      </c>
      <c r="I857">
        <v>0</v>
      </c>
      <c r="J857">
        <v>8</v>
      </c>
      <c r="K857">
        <v>196</v>
      </c>
      <c r="L857">
        <v>2</v>
      </c>
      <c r="M857">
        <v>9</v>
      </c>
      <c r="N857">
        <v>2</v>
      </c>
      <c r="O857">
        <v>12</v>
      </c>
      <c r="P857">
        <v>7</v>
      </c>
      <c r="Q857">
        <v>0</v>
      </c>
      <c r="R857">
        <v>0</v>
      </c>
      <c r="S857">
        <v>0</v>
      </c>
      <c r="T857">
        <v>0</v>
      </c>
      <c r="U857">
        <v>0</v>
      </c>
      <c r="V857">
        <f>IF(SUM(ifood_data[[#This Row],[AcceptedCmp1]:[AcceptedCmp5]])&gt;0,1,0)</f>
        <v>0</v>
      </c>
      <c r="W857">
        <v>0</v>
      </c>
      <c r="X857">
        <v>3</v>
      </c>
      <c r="Y857">
        <v>11</v>
      </c>
      <c r="Z857">
        <v>0</v>
      </c>
      <c r="AA857">
        <v>70</v>
      </c>
      <c r="AB857">
        <v>2699</v>
      </c>
      <c r="AC857" s="28">
        <f>ifood_data[[#This Row],[Customer_Days]]/365</f>
        <v>7.3945205479452056</v>
      </c>
      <c r="AD857">
        <v>0</v>
      </c>
      <c r="AE857">
        <v>1</v>
      </c>
      <c r="AF857">
        <v>0</v>
      </c>
      <c r="AG857">
        <v>0</v>
      </c>
      <c r="AH857">
        <v>0</v>
      </c>
      <c r="AI857">
        <v>0</v>
      </c>
      <c r="AJ857">
        <v>0</v>
      </c>
      <c r="AK857">
        <v>1</v>
      </c>
      <c r="AL857">
        <v>0</v>
      </c>
      <c r="AM857">
        <v>0</v>
      </c>
      <c r="AN857">
        <v>892</v>
      </c>
      <c r="AO857">
        <v>696</v>
      </c>
      <c r="AP857">
        <f>ifood_data[[#This Row],[MntTotal]]-ifood_data[[#This Row],[MntRegularProds]]</f>
        <v>196</v>
      </c>
      <c r="AQ857">
        <v>0</v>
      </c>
      <c r="AR857">
        <f>IF(SUM(ifood_data[[#This Row],[Kidhome]:[Teenhome]])&gt;0,1,0)</f>
        <v>1</v>
      </c>
      <c r="AS857" t="str">
        <f>IF(SUM(ifood_data[[#This Row],[Kidhome]:[Teenhome]])&gt;0,"Has Family","No Family")</f>
        <v>Has Family</v>
      </c>
      <c r="AT857" t="str">
        <f>IF(ifood_data[[#This Row],[marital_Married]]=1,"Married", (IF(ifood_data[[#This Row],[marital_Single]]=1,"Single",(IF(ifood_data[[#This Row],[marital_Divorced]]=1,"Divorced",(IF(ifood_data[[#This Row],[marital_Together]]=1,"Living Together",(IF(ifood_data[[#This Row],[marital_Widow]]=1,"Widow","Other")))))))))</f>
        <v>Married</v>
      </c>
      <c r="AU857" t="str">
        <f>IF(ifood_data[[#This Row],[education_Basic]]=1,"High School",(IF(ifood_data[[#This Row],[education_Graduation]]=1,"Undergraduate Degree",(IF(SUM(AM857,AL857,AI857)&gt;0,"Master's Degree or Higher","Other")))))</f>
        <v>Undergraduate Degree</v>
      </c>
      <c r="AV857" t="str">
        <f>IF(ifood_data[[#All],[Income]]&gt;75000,"75K+",(IF(ifood_data[[#All],[Income]]&gt;50000,"50K-75K",(IF(ifood_data[[#All],[Income]]&gt;35000,"35K-50K","&lt;35K")))))</f>
        <v>50K-75K</v>
      </c>
      <c r="AW857" t="str">
        <f>IF(ifood_data[[#All],[Age]]&gt;60,"60+",(IF(ifood_data[[#All],[Age]]&gt;50,"50-60",(IF(ifood_data[[#All],[Age]]&gt;40,"40-50",(IF(ifood_data[[#All],[Age]]&gt;30,"30-40","&lt;30")))))))</f>
        <v>60+</v>
      </c>
      <c r="AX857">
        <f t="shared" si="52"/>
        <v>32</v>
      </c>
      <c r="AY857">
        <f t="shared" si="53"/>
        <v>8</v>
      </c>
      <c r="AZ857">
        <f t="shared" si="54"/>
        <v>9</v>
      </c>
      <c r="BA857">
        <f t="shared" si="55"/>
        <v>7</v>
      </c>
      <c r="BB857">
        <f>SUM(ifood_data[[#This Row],[Recency Score]:[Monetary Score]])</f>
        <v>24</v>
      </c>
      <c r="BC857">
        <f>(_xlfn.PERCENTRANK.INC(ifood_data[[#All],[RFM]],ifood_data[[#This Row],[RFM]],1))*10</f>
        <v>9</v>
      </c>
      <c r="BD857" t="str">
        <f>VLOOKUP(ifood_data[[#This Row],[RFM Score]],'RFM Analysis'!$A$3:$B$14,2,FALSE)</f>
        <v>Top Customer</v>
      </c>
      <c r="BE857">
        <f>'Regression Models'!$B$101+'Regression Models'!$B$102*ifood_data[[#This Row],[Income]]+'Regression Models'!$B$103*ifood_data[[#This Row],[Age]]+'Regression Models'!$B$104*ifood_data[[#This Row],[Family]]</f>
        <v>606.37730850243452</v>
      </c>
      <c r="BF857" t="str">
        <f>IF(ifood_data[[#This Row],[AcceptedCmpOverall]]=1,"Campaign Respondent","Non-respondent")</f>
        <v>Non-respondent</v>
      </c>
    </row>
    <row r="858" spans="1:58" x14ac:dyDescent="0.35">
      <c r="A858">
        <v>2011</v>
      </c>
      <c r="B858">
        <v>57642</v>
      </c>
      <c r="C858">
        <v>0</v>
      </c>
      <c r="D858">
        <v>1</v>
      </c>
      <c r="E858">
        <v>24</v>
      </c>
      <c r="F858">
        <v>580</v>
      </c>
      <c r="G858">
        <v>6</v>
      </c>
      <c r="H858">
        <v>58</v>
      </c>
      <c r="I858">
        <v>8</v>
      </c>
      <c r="J858">
        <v>0</v>
      </c>
      <c r="K858">
        <v>27</v>
      </c>
      <c r="L858">
        <v>3</v>
      </c>
      <c r="M858">
        <v>7</v>
      </c>
      <c r="N858">
        <v>6</v>
      </c>
      <c r="O858">
        <v>6</v>
      </c>
      <c r="P858">
        <v>4</v>
      </c>
      <c r="Q858">
        <v>0</v>
      </c>
      <c r="R858">
        <v>0</v>
      </c>
      <c r="S858">
        <v>1</v>
      </c>
      <c r="T858">
        <v>0</v>
      </c>
      <c r="U858">
        <v>0</v>
      </c>
      <c r="V858">
        <f>IF(SUM(ifood_data[[#This Row],[AcceptedCmp1]:[AcceptedCmp5]])&gt;0,1,0)</f>
        <v>1</v>
      </c>
      <c r="W858">
        <v>0</v>
      </c>
      <c r="X858">
        <v>3</v>
      </c>
      <c r="Y858">
        <v>11</v>
      </c>
      <c r="Z858">
        <v>0</v>
      </c>
      <c r="AA858">
        <v>50</v>
      </c>
      <c r="AB858">
        <v>2330</v>
      </c>
      <c r="AC858" s="28">
        <f>ifood_data[[#This Row],[Customer_Days]]/365</f>
        <v>6.3835616438356162</v>
      </c>
      <c r="AD858">
        <v>0</v>
      </c>
      <c r="AE858">
        <v>0</v>
      </c>
      <c r="AF858">
        <v>1</v>
      </c>
      <c r="AG858">
        <v>0</v>
      </c>
      <c r="AH858">
        <v>0</v>
      </c>
      <c r="AI858">
        <v>0</v>
      </c>
      <c r="AJ858">
        <v>0</v>
      </c>
      <c r="AK858">
        <v>0</v>
      </c>
      <c r="AL858">
        <v>0</v>
      </c>
      <c r="AM858">
        <v>1</v>
      </c>
      <c r="AN858">
        <v>652</v>
      </c>
      <c r="AO858">
        <v>625</v>
      </c>
      <c r="AP858">
        <f>ifood_data[[#This Row],[MntTotal]]-ifood_data[[#This Row],[MntRegularProds]]</f>
        <v>27</v>
      </c>
      <c r="AQ858">
        <v>1</v>
      </c>
      <c r="AR858">
        <f>IF(SUM(ifood_data[[#This Row],[Kidhome]:[Teenhome]])&gt;0,1,0)</f>
        <v>1</v>
      </c>
      <c r="AS858" t="str">
        <f>IF(SUM(ifood_data[[#This Row],[Kidhome]:[Teenhome]])&gt;0,"Has Family","No Family")</f>
        <v>Has Family</v>
      </c>
      <c r="AT858" t="str">
        <f>IF(ifood_data[[#This Row],[marital_Married]]=1,"Married", (IF(ifood_data[[#This Row],[marital_Single]]=1,"Single",(IF(ifood_data[[#This Row],[marital_Divorced]]=1,"Divorced",(IF(ifood_data[[#This Row],[marital_Together]]=1,"Living Together",(IF(ifood_data[[#This Row],[marital_Widow]]=1,"Widow","Other")))))))))</f>
        <v>Single</v>
      </c>
      <c r="AU858" t="str">
        <f>IF(ifood_data[[#This Row],[education_Basic]]=1,"High School",(IF(ifood_data[[#This Row],[education_Graduation]]=1,"Undergraduate Degree",(IF(SUM(AM858,AL858,AI858)&gt;0,"Master's Degree or Higher","Other")))))</f>
        <v>Master's Degree or Higher</v>
      </c>
      <c r="AV858" t="str">
        <f>IF(ifood_data[[#All],[Income]]&gt;75000,"75K+",(IF(ifood_data[[#All],[Income]]&gt;50000,"50K-75K",(IF(ifood_data[[#All],[Income]]&gt;35000,"35K-50K","&lt;35K")))))</f>
        <v>50K-75K</v>
      </c>
      <c r="AW858" t="str">
        <f>IF(ifood_data[[#All],[Age]]&gt;60,"60+",(IF(ifood_data[[#All],[Age]]&gt;50,"50-60",(IF(ifood_data[[#All],[Age]]&gt;40,"40-50",(IF(ifood_data[[#All],[Age]]&gt;30,"30-40","&lt;30")))))))</f>
        <v>40-50</v>
      </c>
      <c r="AX858">
        <f t="shared" si="52"/>
        <v>26</v>
      </c>
      <c r="AY858">
        <f t="shared" si="53"/>
        <v>8</v>
      </c>
      <c r="AZ858">
        <f t="shared" si="54"/>
        <v>7</v>
      </c>
      <c r="BA858">
        <f t="shared" si="55"/>
        <v>6</v>
      </c>
      <c r="BB858">
        <f>SUM(ifood_data[[#This Row],[Recency Score]:[Monetary Score]])</f>
        <v>21</v>
      </c>
      <c r="BC858">
        <f>(_xlfn.PERCENTRANK.INC(ifood_data[[#All],[RFM]],ifood_data[[#This Row],[RFM]],1))*10</f>
        <v>8</v>
      </c>
      <c r="BD858" t="str">
        <f>VLOOKUP(ifood_data[[#This Row],[RFM Score]],'RFM Analysis'!$A$3:$B$14,2,FALSE)</f>
        <v>Loyal Customer</v>
      </c>
      <c r="BE858">
        <f>'Regression Models'!$B$101+'Regression Models'!$B$102*ifood_data[[#This Row],[Income]]+'Regression Models'!$B$103*ifood_data[[#This Row],[Age]]+'Regression Models'!$B$104*ifood_data[[#This Row],[Family]]</f>
        <v>605.9985320584243</v>
      </c>
      <c r="BF858" t="str">
        <f>IF(ifood_data[[#This Row],[AcceptedCmpOverall]]=1,"Campaign Respondent","Non-respondent")</f>
        <v>Campaign Respondent</v>
      </c>
    </row>
    <row r="859" spans="1:58" x14ac:dyDescent="0.35">
      <c r="A859">
        <v>1994</v>
      </c>
      <c r="B859">
        <v>57731</v>
      </c>
      <c r="C859">
        <v>0</v>
      </c>
      <c r="D859">
        <v>1</v>
      </c>
      <c r="E859">
        <v>0</v>
      </c>
      <c r="F859">
        <v>266</v>
      </c>
      <c r="G859">
        <v>21</v>
      </c>
      <c r="H859">
        <v>300</v>
      </c>
      <c r="I859">
        <v>65</v>
      </c>
      <c r="J859">
        <v>8</v>
      </c>
      <c r="K859">
        <v>44</v>
      </c>
      <c r="L859">
        <v>4</v>
      </c>
      <c r="M859">
        <v>8</v>
      </c>
      <c r="N859">
        <v>8</v>
      </c>
      <c r="O859">
        <v>6</v>
      </c>
      <c r="P859">
        <v>6</v>
      </c>
      <c r="Q859">
        <v>0</v>
      </c>
      <c r="R859">
        <v>0</v>
      </c>
      <c r="S859">
        <v>0</v>
      </c>
      <c r="T859">
        <v>0</v>
      </c>
      <c r="U859">
        <v>0</v>
      </c>
      <c r="V859">
        <f>IF(SUM(ifood_data[[#This Row],[AcceptedCmp1]:[AcceptedCmp5]])&gt;0,1,0)</f>
        <v>0</v>
      </c>
      <c r="W859">
        <v>0</v>
      </c>
      <c r="X859">
        <v>3</v>
      </c>
      <c r="Y859">
        <v>11</v>
      </c>
      <c r="Z859">
        <v>0</v>
      </c>
      <c r="AA859">
        <v>51</v>
      </c>
      <c r="AB859">
        <v>2742</v>
      </c>
      <c r="AC859" s="28">
        <f>ifood_data[[#This Row],[Customer_Days]]/365</f>
        <v>7.5123287671232877</v>
      </c>
      <c r="AD859">
        <v>0</v>
      </c>
      <c r="AE859">
        <v>0</v>
      </c>
      <c r="AF859">
        <v>1</v>
      </c>
      <c r="AG859">
        <v>0</v>
      </c>
      <c r="AH859">
        <v>0</v>
      </c>
      <c r="AI859">
        <v>0</v>
      </c>
      <c r="AJ859">
        <v>0</v>
      </c>
      <c r="AK859">
        <v>1</v>
      </c>
      <c r="AL859">
        <v>0</v>
      </c>
      <c r="AM859">
        <v>0</v>
      </c>
      <c r="AN859">
        <v>660</v>
      </c>
      <c r="AO859">
        <v>616</v>
      </c>
      <c r="AP859">
        <f>ifood_data[[#This Row],[MntTotal]]-ifood_data[[#This Row],[MntRegularProds]]</f>
        <v>44</v>
      </c>
      <c r="AQ859">
        <v>0</v>
      </c>
      <c r="AR859">
        <f>IF(SUM(ifood_data[[#This Row],[Kidhome]:[Teenhome]])&gt;0,1,0)</f>
        <v>1</v>
      </c>
      <c r="AS859" t="str">
        <f>IF(SUM(ifood_data[[#This Row],[Kidhome]:[Teenhome]])&gt;0,"Has Family","No Family")</f>
        <v>Has Family</v>
      </c>
      <c r="AT859" t="str">
        <f>IF(ifood_data[[#This Row],[marital_Married]]=1,"Married", (IF(ifood_data[[#This Row],[marital_Single]]=1,"Single",(IF(ifood_data[[#This Row],[marital_Divorced]]=1,"Divorced",(IF(ifood_data[[#This Row],[marital_Together]]=1,"Living Together",(IF(ifood_data[[#This Row],[marital_Widow]]=1,"Widow","Other")))))))))</f>
        <v>Single</v>
      </c>
      <c r="AU859" t="str">
        <f>IF(ifood_data[[#This Row],[education_Basic]]=1,"High School",(IF(ifood_data[[#This Row],[education_Graduation]]=1,"Undergraduate Degree",(IF(SUM(AM859,AL859,AI859)&gt;0,"Master's Degree or Higher","Other")))))</f>
        <v>Undergraduate Degree</v>
      </c>
      <c r="AV859" t="str">
        <f>IF(ifood_data[[#All],[Income]]&gt;75000,"75K+",(IF(ifood_data[[#All],[Income]]&gt;50000,"50K-75K",(IF(ifood_data[[#All],[Income]]&gt;35000,"35K-50K","&lt;35K")))))</f>
        <v>50K-75K</v>
      </c>
      <c r="AW859" t="str">
        <f>IF(ifood_data[[#All],[Age]]&gt;60,"60+",(IF(ifood_data[[#All],[Age]]&gt;50,"50-60",(IF(ifood_data[[#All],[Age]]&gt;40,"40-50",(IF(ifood_data[[#All],[Age]]&gt;30,"30-40","&lt;30")))))))</f>
        <v>50-60</v>
      </c>
      <c r="AX859">
        <f t="shared" si="52"/>
        <v>32</v>
      </c>
      <c r="AY859">
        <f t="shared" si="53"/>
        <v>10</v>
      </c>
      <c r="AZ859">
        <f t="shared" si="54"/>
        <v>9</v>
      </c>
      <c r="BA859">
        <f t="shared" si="55"/>
        <v>6</v>
      </c>
      <c r="BB859">
        <f>SUM(ifood_data[[#This Row],[Recency Score]:[Monetary Score]])</f>
        <v>25</v>
      </c>
      <c r="BC859">
        <f>(_xlfn.PERCENTRANK.INC(ifood_data[[#All],[RFM]],ifood_data[[#This Row],[RFM]],1))*10</f>
        <v>9</v>
      </c>
      <c r="BD859" t="str">
        <f>VLOOKUP(ifood_data[[#This Row],[RFM Score]],'RFM Analysis'!$A$3:$B$14,2,FALSE)</f>
        <v>Top Customer</v>
      </c>
      <c r="BE859">
        <f>'Regression Models'!$B$101+'Regression Models'!$B$102*ifood_data[[#This Row],[Income]]+'Regression Models'!$B$103*ifood_data[[#This Row],[Age]]+'Regression Models'!$B$104*ifood_data[[#This Row],[Family]]</f>
        <v>605.97669334433692</v>
      </c>
      <c r="BF859" t="str">
        <f>IF(ifood_data[[#This Row],[AcceptedCmpOverall]]=1,"Campaign Respondent","Non-respondent")</f>
        <v>Non-respondent</v>
      </c>
    </row>
    <row r="860" spans="1:58" x14ac:dyDescent="0.35">
      <c r="A860">
        <v>1039</v>
      </c>
      <c r="B860">
        <v>56775</v>
      </c>
      <c r="C860">
        <v>0</v>
      </c>
      <c r="D860">
        <v>1</v>
      </c>
      <c r="E860">
        <v>62</v>
      </c>
      <c r="F860">
        <v>614</v>
      </c>
      <c r="G860">
        <v>35</v>
      </c>
      <c r="H860">
        <v>160</v>
      </c>
      <c r="I860">
        <v>58</v>
      </c>
      <c r="J860">
        <v>35</v>
      </c>
      <c r="K860">
        <v>35</v>
      </c>
      <c r="L860">
        <v>2</v>
      </c>
      <c r="M860">
        <v>5</v>
      </c>
      <c r="N860">
        <v>8</v>
      </c>
      <c r="O860">
        <v>10</v>
      </c>
      <c r="P860">
        <v>5</v>
      </c>
      <c r="Q860">
        <v>0</v>
      </c>
      <c r="R860">
        <v>0</v>
      </c>
      <c r="S860">
        <v>0</v>
      </c>
      <c r="T860">
        <v>0</v>
      </c>
      <c r="U860">
        <v>0</v>
      </c>
      <c r="V860">
        <f>IF(SUM(ifood_data[[#This Row],[AcceptedCmp1]:[AcceptedCmp5]])&gt;0,1,0)</f>
        <v>0</v>
      </c>
      <c r="W860">
        <v>0</v>
      </c>
      <c r="X860">
        <v>3</v>
      </c>
      <c r="Y860">
        <v>11</v>
      </c>
      <c r="Z860">
        <v>0</v>
      </c>
      <c r="AA860">
        <v>41</v>
      </c>
      <c r="AB860">
        <v>2702</v>
      </c>
      <c r="AC860" s="28">
        <f>ifood_data[[#This Row],[Customer_Days]]/365</f>
        <v>7.4027397260273968</v>
      </c>
      <c r="AD860">
        <v>0</v>
      </c>
      <c r="AE860">
        <v>1</v>
      </c>
      <c r="AF860">
        <v>0</v>
      </c>
      <c r="AG860">
        <v>0</v>
      </c>
      <c r="AH860">
        <v>0</v>
      </c>
      <c r="AI860">
        <v>0</v>
      </c>
      <c r="AJ860">
        <v>0</v>
      </c>
      <c r="AK860">
        <v>1</v>
      </c>
      <c r="AL860">
        <v>0</v>
      </c>
      <c r="AM860">
        <v>0</v>
      </c>
      <c r="AN860">
        <v>902</v>
      </c>
      <c r="AO860">
        <v>867</v>
      </c>
      <c r="AP860">
        <f>ifood_data[[#This Row],[MntTotal]]-ifood_data[[#This Row],[MntRegularProds]]</f>
        <v>35</v>
      </c>
      <c r="AQ860">
        <v>0</v>
      </c>
      <c r="AR860">
        <f>IF(SUM(ifood_data[[#This Row],[Kidhome]:[Teenhome]])&gt;0,1,0)</f>
        <v>1</v>
      </c>
      <c r="AS860" t="str">
        <f>IF(SUM(ifood_data[[#This Row],[Kidhome]:[Teenhome]])&gt;0,"Has Family","No Family")</f>
        <v>Has Family</v>
      </c>
      <c r="AT860" t="str">
        <f>IF(ifood_data[[#This Row],[marital_Married]]=1,"Married", (IF(ifood_data[[#This Row],[marital_Single]]=1,"Single",(IF(ifood_data[[#This Row],[marital_Divorced]]=1,"Divorced",(IF(ifood_data[[#This Row],[marital_Together]]=1,"Living Together",(IF(ifood_data[[#This Row],[marital_Widow]]=1,"Widow","Other")))))))))</f>
        <v>Married</v>
      </c>
      <c r="AU860" t="str">
        <f>IF(ifood_data[[#This Row],[education_Basic]]=1,"High School",(IF(ifood_data[[#This Row],[education_Graduation]]=1,"Undergraduate Degree",(IF(SUM(AM860,AL860,AI860)&gt;0,"Master's Degree or Higher","Other")))))</f>
        <v>Undergraduate Degree</v>
      </c>
      <c r="AV860" t="str">
        <f>IF(ifood_data[[#All],[Income]]&gt;75000,"75K+",(IF(ifood_data[[#All],[Income]]&gt;50000,"50K-75K",(IF(ifood_data[[#All],[Income]]&gt;35000,"35K-50K","&lt;35K")))))</f>
        <v>50K-75K</v>
      </c>
      <c r="AW860" t="str">
        <f>IF(ifood_data[[#All],[Age]]&gt;60,"60+",(IF(ifood_data[[#All],[Age]]&gt;50,"50-60",(IF(ifood_data[[#All],[Age]]&gt;40,"40-50",(IF(ifood_data[[#All],[Age]]&gt;30,"30-40","&lt;30")))))))</f>
        <v>40-50</v>
      </c>
      <c r="AX860">
        <f t="shared" si="52"/>
        <v>30</v>
      </c>
      <c r="AY860">
        <f t="shared" si="53"/>
        <v>4</v>
      </c>
      <c r="AZ860">
        <f t="shared" si="54"/>
        <v>8</v>
      </c>
      <c r="BA860">
        <f t="shared" si="55"/>
        <v>7</v>
      </c>
      <c r="BB860">
        <f>SUM(ifood_data[[#This Row],[Recency Score]:[Monetary Score]])</f>
        <v>19</v>
      </c>
      <c r="BC860">
        <f>(_xlfn.PERCENTRANK.INC(ifood_data[[#All],[RFM]],ifood_data[[#This Row],[RFM]],1))*10</f>
        <v>7</v>
      </c>
      <c r="BD860" t="str">
        <f>VLOOKUP(ifood_data[[#This Row],[RFM Score]],'RFM Analysis'!$A$3:$B$14,2,FALSE)</f>
        <v>Loyal Customer</v>
      </c>
      <c r="BE860">
        <f>'Regression Models'!$B$101+'Regression Models'!$B$102*ifood_data[[#This Row],[Income]]+'Regression Models'!$B$103*ifood_data[[#This Row],[Age]]+'Regression Models'!$B$104*ifood_data[[#This Row],[Family]]</f>
        <v>604.84942178771223</v>
      </c>
      <c r="BF860" t="str">
        <f>IF(ifood_data[[#This Row],[AcceptedCmpOverall]]=1,"Campaign Respondent","Non-respondent")</f>
        <v>Non-respondent</v>
      </c>
    </row>
    <row r="861" spans="1:58" x14ac:dyDescent="0.35">
      <c r="A861">
        <v>284</v>
      </c>
      <c r="B861">
        <v>58821</v>
      </c>
      <c r="C861">
        <v>0</v>
      </c>
      <c r="D861">
        <v>1</v>
      </c>
      <c r="E861">
        <v>44</v>
      </c>
      <c r="F861">
        <v>513</v>
      </c>
      <c r="G861">
        <v>14</v>
      </c>
      <c r="H861">
        <v>154</v>
      </c>
      <c r="I861">
        <v>19</v>
      </c>
      <c r="J861">
        <v>0</v>
      </c>
      <c r="K861">
        <v>28</v>
      </c>
      <c r="L861">
        <v>1</v>
      </c>
      <c r="M861">
        <v>9</v>
      </c>
      <c r="N861">
        <v>2</v>
      </c>
      <c r="O861">
        <v>9</v>
      </c>
      <c r="P861">
        <v>6</v>
      </c>
      <c r="Q861">
        <v>0</v>
      </c>
      <c r="R861">
        <v>0</v>
      </c>
      <c r="S861">
        <v>0</v>
      </c>
      <c r="T861">
        <v>0</v>
      </c>
      <c r="U861">
        <v>0</v>
      </c>
      <c r="V861">
        <f>IF(SUM(ifood_data[[#This Row],[AcceptedCmp1]:[AcceptedCmp5]])&gt;0,1,0)</f>
        <v>0</v>
      </c>
      <c r="W861">
        <v>0</v>
      </c>
      <c r="X861">
        <v>3</v>
      </c>
      <c r="Y861">
        <v>11</v>
      </c>
      <c r="Z861">
        <v>0</v>
      </c>
      <c r="AA861">
        <v>64</v>
      </c>
      <c r="AB861">
        <v>2419</v>
      </c>
      <c r="AC861" s="28">
        <f>ifood_data[[#This Row],[Customer_Days]]/365</f>
        <v>6.6273972602739724</v>
      </c>
      <c r="AD861">
        <v>0</v>
      </c>
      <c r="AE861">
        <v>0</v>
      </c>
      <c r="AF861">
        <v>0</v>
      </c>
      <c r="AG861">
        <v>1</v>
      </c>
      <c r="AH861">
        <v>0</v>
      </c>
      <c r="AI861">
        <v>1</v>
      </c>
      <c r="AJ861">
        <v>0</v>
      </c>
      <c r="AK861">
        <v>0</v>
      </c>
      <c r="AL861">
        <v>0</v>
      </c>
      <c r="AM861">
        <v>0</v>
      </c>
      <c r="AN861">
        <v>700</v>
      </c>
      <c r="AO861">
        <v>672</v>
      </c>
      <c r="AP861">
        <f>ifood_data[[#This Row],[MntTotal]]-ifood_data[[#This Row],[MntRegularProds]]</f>
        <v>28</v>
      </c>
      <c r="AQ861">
        <v>0</v>
      </c>
      <c r="AR861">
        <f>IF(SUM(ifood_data[[#This Row],[Kidhome]:[Teenhome]])&gt;0,1,0)</f>
        <v>1</v>
      </c>
      <c r="AS861" t="str">
        <f>IF(SUM(ifood_data[[#This Row],[Kidhome]:[Teenhome]])&gt;0,"Has Family","No Family")</f>
        <v>Has Family</v>
      </c>
      <c r="AT861" t="str">
        <f>IF(ifood_data[[#This Row],[marital_Married]]=1,"Married", (IF(ifood_data[[#This Row],[marital_Single]]=1,"Single",(IF(ifood_data[[#This Row],[marital_Divorced]]=1,"Divorced",(IF(ifood_data[[#This Row],[marital_Together]]=1,"Living Together",(IF(ifood_data[[#This Row],[marital_Widow]]=1,"Widow","Other")))))))))</f>
        <v>Living Together</v>
      </c>
      <c r="AU861" t="str">
        <f>IF(ifood_data[[#This Row],[education_Basic]]=1,"High School",(IF(ifood_data[[#This Row],[education_Graduation]]=1,"Undergraduate Degree",(IF(SUM(AM861,AL861,AI861)&gt;0,"Master's Degree or Higher","Other")))))</f>
        <v>Master's Degree or Higher</v>
      </c>
      <c r="AV861" t="str">
        <f>IF(ifood_data[[#All],[Income]]&gt;75000,"75K+",(IF(ifood_data[[#All],[Income]]&gt;50000,"50K-75K",(IF(ifood_data[[#All],[Income]]&gt;35000,"35K-50K","&lt;35K")))))</f>
        <v>50K-75K</v>
      </c>
      <c r="AW861" t="str">
        <f>IF(ifood_data[[#All],[Age]]&gt;60,"60+",(IF(ifood_data[[#All],[Age]]&gt;50,"50-60",(IF(ifood_data[[#All],[Age]]&gt;40,"40-50",(IF(ifood_data[[#All],[Age]]&gt;30,"30-40","&lt;30")))))))</f>
        <v>60+</v>
      </c>
      <c r="AX861">
        <f t="shared" si="52"/>
        <v>27</v>
      </c>
      <c r="AY861">
        <f t="shared" si="53"/>
        <v>6</v>
      </c>
      <c r="AZ861">
        <f t="shared" si="54"/>
        <v>7</v>
      </c>
      <c r="BA861">
        <f t="shared" si="55"/>
        <v>6</v>
      </c>
      <c r="BB861">
        <f>SUM(ifood_data[[#This Row],[Recency Score]:[Monetary Score]])</f>
        <v>19</v>
      </c>
      <c r="BC861">
        <f>(_xlfn.PERCENTRANK.INC(ifood_data[[#All],[RFM]],ifood_data[[#This Row],[RFM]],1))*10</f>
        <v>7</v>
      </c>
      <c r="BD861" t="str">
        <f>VLOOKUP(ifood_data[[#This Row],[RFM Score]],'RFM Analysis'!$A$3:$B$14,2,FALSE)</f>
        <v>Loyal Customer</v>
      </c>
      <c r="BE861">
        <f>'Regression Models'!$B$101+'Regression Models'!$B$102*ifood_data[[#This Row],[Income]]+'Regression Models'!$B$103*ifood_data[[#This Row],[Age]]+'Regression Models'!$B$104*ifood_data[[#This Row],[Family]]</f>
        <v>604.32674259556109</v>
      </c>
      <c r="BF861" t="str">
        <f>IF(ifood_data[[#This Row],[AcceptedCmpOverall]]=1,"Campaign Respondent","Non-respondent")</f>
        <v>Non-respondent</v>
      </c>
    </row>
    <row r="862" spans="1:58" x14ac:dyDescent="0.35">
      <c r="A862">
        <v>1602</v>
      </c>
      <c r="B862">
        <v>45576</v>
      </c>
      <c r="C862">
        <v>0</v>
      </c>
      <c r="D862">
        <v>0</v>
      </c>
      <c r="E862">
        <v>9</v>
      </c>
      <c r="F862">
        <v>56</v>
      </c>
      <c r="G862">
        <v>19</v>
      </c>
      <c r="H862">
        <v>29</v>
      </c>
      <c r="I862">
        <v>2</v>
      </c>
      <c r="J862">
        <v>14</v>
      </c>
      <c r="K862">
        <v>25</v>
      </c>
      <c r="L862">
        <v>1</v>
      </c>
      <c r="M862">
        <v>3</v>
      </c>
      <c r="N862">
        <v>1</v>
      </c>
      <c r="O862">
        <v>3</v>
      </c>
      <c r="P862">
        <v>8</v>
      </c>
      <c r="Q862">
        <v>0</v>
      </c>
      <c r="R862">
        <v>0</v>
      </c>
      <c r="S862">
        <v>0</v>
      </c>
      <c r="T862">
        <v>0</v>
      </c>
      <c r="U862">
        <v>0</v>
      </c>
      <c r="V862">
        <f>IF(SUM(ifood_data[[#This Row],[AcceptedCmp1]:[AcceptedCmp5]])&gt;0,1,0)</f>
        <v>0</v>
      </c>
      <c r="W862">
        <v>0</v>
      </c>
      <c r="X862">
        <v>3</v>
      </c>
      <c r="Y862">
        <v>11</v>
      </c>
      <c r="Z862">
        <v>1</v>
      </c>
      <c r="AA862">
        <v>75</v>
      </c>
      <c r="AB862">
        <v>2191</v>
      </c>
      <c r="AC862" s="28">
        <f>ifood_data[[#This Row],[Customer_Days]]/365</f>
        <v>6.0027397260273974</v>
      </c>
      <c r="AD862">
        <v>0</v>
      </c>
      <c r="AE862">
        <v>0</v>
      </c>
      <c r="AF862">
        <v>1</v>
      </c>
      <c r="AG862">
        <v>0</v>
      </c>
      <c r="AH862">
        <v>0</v>
      </c>
      <c r="AI862">
        <v>0</v>
      </c>
      <c r="AJ862">
        <v>0</v>
      </c>
      <c r="AK862">
        <v>0</v>
      </c>
      <c r="AL862">
        <v>0</v>
      </c>
      <c r="AM862">
        <v>1</v>
      </c>
      <c r="AN862">
        <v>120</v>
      </c>
      <c r="AO862">
        <v>95</v>
      </c>
      <c r="AP862">
        <f>ifood_data[[#This Row],[MntTotal]]-ifood_data[[#This Row],[MntRegularProds]]</f>
        <v>25</v>
      </c>
      <c r="AQ862">
        <v>0</v>
      </c>
      <c r="AR862">
        <f>IF(SUM(ifood_data[[#This Row],[Kidhome]:[Teenhome]])&gt;0,1,0)</f>
        <v>0</v>
      </c>
      <c r="AS862" t="str">
        <f>IF(SUM(ifood_data[[#This Row],[Kidhome]:[Teenhome]])&gt;0,"Has Family","No Family")</f>
        <v>No Family</v>
      </c>
      <c r="AT862" t="str">
        <f>IF(ifood_data[[#This Row],[marital_Married]]=1,"Married", (IF(ifood_data[[#This Row],[marital_Single]]=1,"Single",(IF(ifood_data[[#This Row],[marital_Divorced]]=1,"Divorced",(IF(ifood_data[[#This Row],[marital_Together]]=1,"Living Together",(IF(ifood_data[[#This Row],[marital_Widow]]=1,"Widow","Other")))))))))</f>
        <v>Single</v>
      </c>
      <c r="AU862" t="str">
        <f>IF(ifood_data[[#This Row],[education_Basic]]=1,"High School",(IF(ifood_data[[#This Row],[education_Graduation]]=1,"Undergraduate Degree",(IF(SUM(AM862,AL862,AI862)&gt;0,"Master's Degree or Higher","Other")))))</f>
        <v>Master's Degree or Higher</v>
      </c>
      <c r="AV862" t="str">
        <f>IF(ifood_data[[#All],[Income]]&gt;75000,"75K+",(IF(ifood_data[[#All],[Income]]&gt;50000,"50K-75K",(IF(ifood_data[[#All],[Income]]&gt;35000,"35K-50K","&lt;35K")))))</f>
        <v>35K-50K</v>
      </c>
      <c r="AW862" t="str">
        <f>IF(ifood_data[[#All],[Age]]&gt;60,"60+",(IF(ifood_data[[#All],[Age]]&gt;50,"50-60",(IF(ifood_data[[#All],[Age]]&gt;40,"40-50",(IF(ifood_data[[#All],[Age]]&gt;30,"30-40","&lt;30")))))))</f>
        <v>60+</v>
      </c>
      <c r="AX862">
        <f t="shared" si="52"/>
        <v>16</v>
      </c>
      <c r="AY862">
        <f t="shared" si="53"/>
        <v>10</v>
      </c>
      <c r="AZ862">
        <f t="shared" si="54"/>
        <v>3</v>
      </c>
      <c r="BA862">
        <f t="shared" si="55"/>
        <v>3</v>
      </c>
      <c r="BB862">
        <f>SUM(ifood_data[[#This Row],[Recency Score]:[Monetary Score]])</f>
        <v>16</v>
      </c>
      <c r="BC862">
        <f>(_xlfn.PERCENTRANK.INC(ifood_data[[#All],[RFM]],ifood_data[[#This Row],[RFM]],1))*10</f>
        <v>5</v>
      </c>
      <c r="BD862" t="str">
        <f>VLOOKUP(ifood_data[[#This Row],[RFM Score]],'RFM Analysis'!$A$3:$B$14,2,FALSE)</f>
        <v>Promising</v>
      </c>
      <c r="BE862">
        <f>'Regression Models'!$B$101+'Regression Models'!$B$102*ifood_data[[#This Row],[Income]]+'Regression Models'!$B$103*ifood_data[[#This Row],[Age]]+'Regression Models'!$B$104*ifood_data[[#This Row],[Family]]</f>
        <v>603.69030973479869</v>
      </c>
      <c r="BF862" t="str">
        <f>IF(ifood_data[[#This Row],[AcceptedCmpOverall]]=1,"Campaign Respondent","Non-respondent")</f>
        <v>Non-respondent</v>
      </c>
    </row>
    <row r="863" spans="1:58" x14ac:dyDescent="0.35">
      <c r="A863">
        <v>1294</v>
      </c>
      <c r="B863">
        <v>57420</v>
      </c>
      <c r="C863">
        <v>0</v>
      </c>
      <c r="D863">
        <v>1</v>
      </c>
      <c r="E863">
        <v>22</v>
      </c>
      <c r="F863">
        <v>280</v>
      </c>
      <c r="G863">
        <v>0</v>
      </c>
      <c r="H863">
        <v>18</v>
      </c>
      <c r="I863">
        <v>0</v>
      </c>
      <c r="J863">
        <v>0</v>
      </c>
      <c r="K863">
        <v>24</v>
      </c>
      <c r="L863">
        <v>3</v>
      </c>
      <c r="M863">
        <v>5</v>
      </c>
      <c r="N863">
        <v>1</v>
      </c>
      <c r="O863">
        <v>6</v>
      </c>
      <c r="P863">
        <v>7</v>
      </c>
      <c r="Q863">
        <v>0</v>
      </c>
      <c r="R863">
        <v>0</v>
      </c>
      <c r="S863">
        <v>0</v>
      </c>
      <c r="T863">
        <v>1</v>
      </c>
      <c r="U863">
        <v>0</v>
      </c>
      <c r="V863">
        <f>IF(SUM(ifood_data[[#This Row],[AcceptedCmp1]:[AcceptedCmp5]])&gt;0,1,0)</f>
        <v>1</v>
      </c>
      <c r="W863">
        <v>0</v>
      </c>
      <c r="X863">
        <v>3</v>
      </c>
      <c r="Y863">
        <v>11</v>
      </c>
      <c r="Z863">
        <v>0</v>
      </c>
      <c r="AA863">
        <v>49</v>
      </c>
      <c r="AB863">
        <v>2528</v>
      </c>
      <c r="AC863" s="28">
        <f>ifood_data[[#This Row],[Customer_Days]]/365</f>
        <v>6.9260273972602739</v>
      </c>
      <c r="AD863">
        <v>0</v>
      </c>
      <c r="AE863">
        <v>0</v>
      </c>
      <c r="AF863">
        <v>0</v>
      </c>
      <c r="AG863">
        <v>1</v>
      </c>
      <c r="AH863">
        <v>0</v>
      </c>
      <c r="AI863">
        <v>0</v>
      </c>
      <c r="AJ863">
        <v>0</v>
      </c>
      <c r="AK863">
        <v>0</v>
      </c>
      <c r="AL863">
        <v>1</v>
      </c>
      <c r="AM863">
        <v>0</v>
      </c>
      <c r="AN863">
        <v>298</v>
      </c>
      <c r="AO863">
        <v>274</v>
      </c>
      <c r="AP863">
        <f>ifood_data[[#This Row],[MntTotal]]-ifood_data[[#This Row],[MntRegularProds]]</f>
        <v>24</v>
      </c>
      <c r="AQ863">
        <v>1</v>
      </c>
      <c r="AR863">
        <f>IF(SUM(ifood_data[[#This Row],[Kidhome]:[Teenhome]])&gt;0,1,0)</f>
        <v>1</v>
      </c>
      <c r="AS863" t="str">
        <f>IF(SUM(ifood_data[[#This Row],[Kidhome]:[Teenhome]])&gt;0,"Has Family","No Family")</f>
        <v>Has Family</v>
      </c>
      <c r="AT863" t="str">
        <f>IF(ifood_data[[#This Row],[marital_Married]]=1,"Married", (IF(ifood_data[[#This Row],[marital_Single]]=1,"Single",(IF(ifood_data[[#This Row],[marital_Divorced]]=1,"Divorced",(IF(ifood_data[[#This Row],[marital_Together]]=1,"Living Together",(IF(ifood_data[[#This Row],[marital_Widow]]=1,"Widow","Other")))))))))</f>
        <v>Living Together</v>
      </c>
      <c r="AU863" t="str">
        <f>IF(ifood_data[[#This Row],[education_Basic]]=1,"High School",(IF(ifood_data[[#This Row],[education_Graduation]]=1,"Undergraduate Degree",(IF(SUM(AM863,AL863,AI863)&gt;0,"Master's Degree or Higher","Other")))))</f>
        <v>Master's Degree or Higher</v>
      </c>
      <c r="AV863" t="str">
        <f>IF(ifood_data[[#All],[Income]]&gt;75000,"75K+",(IF(ifood_data[[#All],[Income]]&gt;50000,"50K-75K",(IF(ifood_data[[#All],[Income]]&gt;35000,"35K-50K","&lt;35K")))))</f>
        <v>50K-75K</v>
      </c>
      <c r="AW863" t="str">
        <f>IF(ifood_data[[#All],[Age]]&gt;60,"60+",(IF(ifood_data[[#All],[Age]]&gt;50,"50-60",(IF(ifood_data[[#All],[Age]]&gt;40,"40-50",(IF(ifood_data[[#All],[Age]]&gt;30,"30-40","&lt;30")))))))</f>
        <v>40-50</v>
      </c>
      <c r="AX863">
        <f t="shared" si="52"/>
        <v>22</v>
      </c>
      <c r="AY863">
        <f t="shared" si="53"/>
        <v>8</v>
      </c>
      <c r="AZ863">
        <f t="shared" si="54"/>
        <v>5</v>
      </c>
      <c r="BA863">
        <f t="shared" si="55"/>
        <v>4</v>
      </c>
      <c r="BB863">
        <f>SUM(ifood_data[[#This Row],[Recency Score]:[Monetary Score]])</f>
        <v>17</v>
      </c>
      <c r="BC863">
        <f>(_xlfn.PERCENTRANK.INC(ifood_data[[#All],[RFM]],ifood_data[[#This Row],[RFM]],1))*10</f>
        <v>6</v>
      </c>
      <c r="BD863" t="str">
        <f>VLOOKUP(ifood_data[[#This Row],[RFM Score]],'RFM Analysis'!$A$3:$B$14,2,FALSE)</f>
        <v>Promising</v>
      </c>
      <c r="BE863">
        <f>'Regression Models'!$B$101+'Regression Models'!$B$102*ifood_data[[#This Row],[Income]]+'Regression Models'!$B$103*ifood_data[[#This Row],[Age]]+'Regression Models'!$B$104*ifood_data[[#This Row],[Family]]</f>
        <v>603.30866460937284</v>
      </c>
      <c r="BF863" t="str">
        <f>IF(ifood_data[[#This Row],[AcceptedCmpOverall]]=1,"Campaign Respondent","Non-respondent")</f>
        <v>Campaign Respondent</v>
      </c>
    </row>
    <row r="864" spans="1:58" x14ac:dyDescent="0.35">
      <c r="A864">
        <v>1126</v>
      </c>
      <c r="B864">
        <v>58401</v>
      </c>
      <c r="C864">
        <v>0</v>
      </c>
      <c r="D864">
        <v>1</v>
      </c>
      <c r="E864">
        <v>55</v>
      </c>
      <c r="F864">
        <v>10</v>
      </c>
      <c r="G864">
        <v>0</v>
      </c>
      <c r="H864">
        <v>11</v>
      </c>
      <c r="I864">
        <v>17</v>
      </c>
      <c r="J864">
        <v>29</v>
      </c>
      <c r="K864">
        <v>29</v>
      </c>
      <c r="L864">
        <v>1</v>
      </c>
      <c r="M864">
        <v>1</v>
      </c>
      <c r="N864">
        <v>2</v>
      </c>
      <c r="O864">
        <v>2</v>
      </c>
      <c r="P864">
        <v>4</v>
      </c>
      <c r="Q864">
        <v>0</v>
      </c>
      <c r="R864">
        <v>0</v>
      </c>
      <c r="S864">
        <v>0</v>
      </c>
      <c r="T864">
        <v>0</v>
      </c>
      <c r="U864">
        <v>0</v>
      </c>
      <c r="V864">
        <f>IF(SUM(ifood_data[[#This Row],[AcceptedCmp1]:[AcceptedCmp5]])&gt;0,1,0)</f>
        <v>0</v>
      </c>
      <c r="W864">
        <v>0</v>
      </c>
      <c r="X864">
        <v>3</v>
      </c>
      <c r="Y864">
        <v>11</v>
      </c>
      <c r="Z864">
        <v>0</v>
      </c>
      <c r="AA864">
        <v>60</v>
      </c>
      <c r="AB864">
        <v>2229</v>
      </c>
      <c r="AC864" s="28">
        <f>ifood_data[[#This Row],[Customer_Days]]/365</f>
        <v>6.1068493150684935</v>
      </c>
      <c r="AD864">
        <v>1</v>
      </c>
      <c r="AE864">
        <v>0</v>
      </c>
      <c r="AF864">
        <v>0</v>
      </c>
      <c r="AG864">
        <v>0</v>
      </c>
      <c r="AH864">
        <v>0</v>
      </c>
      <c r="AI864">
        <v>0</v>
      </c>
      <c r="AJ864">
        <v>0</v>
      </c>
      <c r="AK864">
        <v>1</v>
      </c>
      <c r="AL864">
        <v>0</v>
      </c>
      <c r="AM864">
        <v>0</v>
      </c>
      <c r="AN864">
        <v>67</v>
      </c>
      <c r="AO864">
        <v>38</v>
      </c>
      <c r="AP864">
        <f>ifood_data[[#This Row],[MntTotal]]-ifood_data[[#This Row],[MntRegularProds]]</f>
        <v>29</v>
      </c>
      <c r="AQ864">
        <v>0</v>
      </c>
      <c r="AR864">
        <f>IF(SUM(ifood_data[[#This Row],[Kidhome]:[Teenhome]])&gt;0,1,0)</f>
        <v>1</v>
      </c>
      <c r="AS864" t="str">
        <f>IF(SUM(ifood_data[[#This Row],[Kidhome]:[Teenhome]])&gt;0,"Has Family","No Family")</f>
        <v>Has Family</v>
      </c>
      <c r="AT864" t="str">
        <f>IF(ifood_data[[#This Row],[marital_Married]]=1,"Married", (IF(ifood_data[[#This Row],[marital_Single]]=1,"Single",(IF(ifood_data[[#This Row],[marital_Divorced]]=1,"Divorced",(IF(ifood_data[[#This Row],[marital_Together]]=1,"Living Together",(IF(ifood_data[[#This Row],[marital_Widow]]=1,"Widow","Other")))))))))</f>
        <v>Divorced</v>
      </c>
      <c r="AU864" t="str">
        <f>IF(ifood_data[[#This Row],[education_Basic]]=1,"High School",(IF(ifood_data[[#This Row],[education_Graduation]]=1,"Undergraduate Degree",(IF(SUM(AM864,AL864,AI864)&gt;0,"Master's Degree or Higher","Other")))))</f>
        <v>Undergraduate Degree</v>
      </c>
      <c r="AV864" t="str">
        <f>IF(ifood_data[[#All],[Income]]&gt;75000,"75K+",(IF(ifood_data[[#All],[Income]]&gt;50000,"50K-75K",(IF(ifood_data[[#All],[Income]]&gt;35000,"35K-50K","&lt;35K")))))</f>
        <v>50K-75K</v>
      </c>
      <c r="AW864" t="str">
        <f>IF(ifood_data[[#All],[Age]]&gt;60,"60+",(IF(ifood_data[[#All],[Age]]&gt;50,"50-60",(IF(ifood_data[[#All],[Age]]&gt;40,"40-50",(IF(ifood_data[[#All],[Age]]&gt;30,"30-40","&lt;30")))))))</f>
        <v>50-60</v>
      </c>
      <c r="AX864">
        <f t="shared" si="52"/>
        <v>10</v>
      </c>
      <c r="AY864">
        <f t="shared" si="53"/>
        <v>5</v>
      </c>
      <c r="AZ864">
        <f t="shared" si="54"/>
        <v>0</v>
      </c>
      <c r="BA864">
        <f t="shared" si="55"/>
        <v>2</v>
      </c>
      <c r="BB864">
        <f>SUM(ifood_data[[#This Row],[Recency Score]:[Monetary Score]])</f>
        <v>7</v>
      </c>
      <c r="BC864">
        <f>(_xlfn.PERCENTRANK.INC(ifood_data[[#All],[RFM]],ifood_data[[#This Row],[RFM]],1))*10</f>
        <v>1</v>
      </c>
      <c r="BD864" t="str">
        <f>VLOOKUP(ifood_data[[#This Row],[RFM Score]],'RFM Analysis'!$A$3:$B$14,2,FALSE)</f>
        <v>At Risk</v>
      </c>
      <c r="BE864">
        <f>'Regression Models'!$B$101+'Regression Models'!$B$102*ifood_data[[#This Row],[Income]]+'Regression Models'!$B$103*ifood_data[[#This Row],[Age]]+'Regression Models'!$B$104*ifood_data[[#This Row],[Family]]</f>
        <v>603.1092162907006</v>
      </c>
      <c r="BF864" t="str">
        <f>IF(ifood_data[[#This Row],[AcceptedCmpOverall]]=1,"Campaign Respondent","Non-respondent")</f>
        <v>Non-respondent</v>
      </c>
    </row>
    <row r="865" spans="1:58" x14ac:dyDescent="0.35">
      <c r="A865">
        <v>323</v>
      </c>
      <c r="B865">
        <v>59292</v>
      </c>
      <c r="C865">
        <v>0</v>
      </c>
      <c r="D865">
        <v>1</v>
      </c>
      <c r="E865">
        <v>71</v>
      </c>
      <c r="F865">
        <v>378</v>
      </c>
      <c r="G865">
        <v>14</v>
      </c>
      <c r="H865">
        <v>68</v>
      </c>
      <c r="I865">
        <v>19</v>
      </c>
      <c r="J865">
        <v>14</v>
      </c>
      <c r="K865">
        <v>14</v>
      </c>
      <c r="L865">
        <v>2</v>
      </c>
      <c r="M865">
        <v>3</v>
      </c>
      <c r="N865">
        <v>5</v>
      </c>
      <c r="O865">
        <v>8</v>
      </c>
      <c r="P865">
        <v>3</v>
      </c>
      <c r="Q865">
        <v>0</v>
      </c>
      <c r="R865">
        <v>0</v>
      </c>
      <c r="S865">
        <v>0</v>
      </c>
      <c r="T865">
        <v>0</v>
      </c>
      <c r="U865">
        <v>0</v>
      </c>
      <c r="V865">
        <f>IF(SUM(ifood_data[[#This Row],[AcceptedCmp1]:[AcceptedCmp5]])&gt;0,1,0)</f>
        <v>0</v>
      </c>
      <c r="W865">
        <v>0</v>
      </c>
      <c r="X865">
        <v>3</v>
      </c>
      <c r="Y865">
        <v>11</v>
      </c>
      <c r="Z865">
        <v>0</v>
      </c>
      <c r="AA865">
        <v>70</v>
      </c>
      <c r="AB865">
        <v>2540</v>
      </c>
      <c r="AC865" s="28">
        <f>ifood_data[[#This Row],[Customer_Days]]/365</f>
        <v>6.9589041095890414</v>
      </c>
      <c r="AD865">
        <v>0</v>
      </c>
      <c r="AE865">
        <v>0</v>
      </c>
      <c r="AF865">
        <v>0</v>
      </c>
      <c r="AG865">
        <v>1</v>
      </c>
      <c r="AH865">
        <v>0</v>
      </c>
      <c r="AI865">
        <v>0</v>
      </c>
      <c r="AJ865">
        <v>0</v>
      </c>
      <c r="AK865">
        <v>0</v>
      </c>
      <c r="AL865">
        <v>0</v>
      </c>
      <c r="AM865">
        <v>1</v>
      </c>
      <c r="AN865">
        <v>493</v>
      </c>
      <c r="AO865">
        <v>479</v>
      </c>
      <c r="AP865">
        <f>ifood_data[[#This Row],[MntTotal]]-ifood_data[[#This Row],[MntRegularProds]]</f>
        <v>14</v>
      </c>
      <c r="AQ865">
        <v>0</v>
      </c>
      <c r="AR865">
        <f>IF(SUM(ifood_data[[#This Row],[Kidhome]:[Teenhome]])&gt;0,1,0)</f>
        <v>1</v>
      </c>
      <c r="AS865" t="str">
        <f>IF(SUM(ifood_data[[#This Row],[Kidhome]:[Teenhome]])&gt;0,"Has Family","No Family")</f>
        <v>Has Family</v>
      </c>
      <c r="AT865" t="str">
        <f>IF(ifood_data[[#This Row],[marital_Married]]=1,"Married", (IF(ifood_data[[#This Row],[marital_Single]]=1,"Single",(IF(ifood_data[[#This Row],[marital_Divorced]]=1,"Divorced",(IF(ifood_data[[#This Row],[marital_Together]]=1,"Living Together",(IF(ifood_data[[#This Row],[marital_Widow]]=1,"Widow","Other")))))))))</f>
        <v>Living Together</v>
      </c>
      <c r="AU865" t="str">
        <f>IF(ifood_data[[#This Row],[education_Basic]]=1,"High School",(IF(ifood_data[[#This Row],[education_Graduation]]=1,"Undergraduate Degree",(IF(SUM(AM865,AL865,AI865)&gt;0,"Master's Degree or Higher","Other")))))</f>
        <v>Master's Degree or Higher</v>
      </c>
      <c r="AV865" t="str">
        <f>IF(ifood_data[[#All],[Income]]&gt;75000,"75K+",(IF(ifood_data[[#All],[Income]]&gt;50000,"50K-75K",(IF(ifood_data[[#All],[Income]]&gt;35000,"35K-50K","&lt;35K")))))</f>
        <v>50K-75K</v>
      </c>
      <c r="AW865" t="str">
        <f>IF(ifood_data[[#All],[Age]]&gt;60,"60+",(IF(ifood_data[[#All],[Age]]&gt;50,"50-60",(IF(ifood_data[[#All],[Age]]&gt;40,"40-50",(IF(ifood_data[[#All],[Age]]&gt;30,"30-40","&lt;30")))))))</f>
        <v>60+</v>
      </c>
      <c r="AX865">
        <f t="shared" si="52"/>
        <v>21</v>
      </c>
      <c r="AY865">
        <f t="shared" si="53"/>
        <v>3.0000000000000004</v>
      </c>
      <c r="AZ865">
        <f t="shared" si="54"/>
        <v>5</v>
      </c>
      <c r="BA865">
        <f t="shared" si="55"/>
        <v>5</v>
      </c>
      <c r="BB865">
        <f>SUM(ifood_data[[#This Row],[Recency Score]:[Monetary Score]])</f>
        <v>13</v>
      </c>
      <c r="BC865">
        <f>(_xlfn.PERCENTRANK.INC(ifood_data[[#All],[RFM]],ifood_data[[#This Row],[RFM]],1))*10</f>
        <v>3</v>
      </c>
      <c r="BD865" t="str">
        <f>VLOOKUP(ifood_data[[#This Row],[RFM Score]],'RFM Analysis'!$A$3:$B$14,2,FALSE)</f>
        <v>At Risk</v>
      </c>
      <c r="BE865">
        <f>'Regression Models'!$B$101+'Regression Models'!$B$102*ifood_data[[#This Row],[Income]]+'Regression Models'!$B$103*ifood_data[[#This Row],[Age]]+'Regression Models'!$B$104*ifood_data[[#This Row],[Family]]</f>
        <v>602.91121791797184</v>
      </c>
      <c r="BF865" t="str">
        <f>IF(ifood_data[[#This Row],[AcceptedCmpOverall]]=1,"Campaign Respondent","Non-respondent")</f>
        <v>Non-respondent</v>
      </c>
    </row>
    <row r="866" spans="1:58" x14ac:dyDescent="0.35">
      <c r="A866">
        <v>1419</v>
      </c>
      <c r="B866">
        <v>57036</v>
      </c>
      <c r="C866">
        <v>0</v>
      </c>
      <c r="D866">
        <v>1</v>
      </c>
      <c r="E866">
        <v>33</v>
      </c>
      <c r="F866">
        <v>1171</v>
      </c>
      <c r="G866">
        <v>43</v>
      </c>
      <c r="H866">
        <v>219</v>
      </c>
      <c r="I866">
        <v>19</v>
      </c>
      <c r="J866">
        <v>14</v>
      </c>
      <c r="K866">
        <v>47</v>
      </c>
      <c r="L866">
        <v>4</v>
      </c>
      <c r="M866">
        <v>6</v>
      </c>
      <c r="N866">
        <v>3</v>
      </c>
      <c r="O866">
        <v>13</v>
      </c>
      <c r="P866">
        <v>9</v>
      </c>
      <c r="Q866">
        <v>0</v>
      </c>
      <c r="R866">
        <v>0</v>
      </c>
      <c r="S866">
        <v>1</v>
      </c>
      <c r="T866">
        <v>0</v>
      </c>
      <c r="U866">
        <v>0</v>
      </c>
      <c r="V866">
        <f>IF(SUM(ifood_data[[#This Row],[AcceptedCmp1]:[AcceptedCmp5]])&gt;0,1,0)</f>
        <v>1</v>
      </c>
      <c r="W866">
        <v>0</v>
      </c>
      <c r="X866">
        <v>3</v>
      </c>
      <c r="Y866">
        <v>11</v>
      </c>
      <c r="Z866">
        <v>0</v>
      </c>
      <c r="AA866">
        <v>45</v>
      </c>
      <c r="AB866">
        <v>2724</v>
      </c>
      <c r="AC866" s="28">
        <f>ifood_data[[#This Row],[Customer_Days]]/365</f>
        <v>7.463013698630137</v>
      </c>
      <c r="AD866">
        <v>0</v>
      </c>
      <c r="AE866">
        <v>1</v>
      </c>
      <c r="AF866">
        <v>0</v>
      </c>
      <c r="AG866">
        <v>0</v>
      </c>
      <c r="AH866">
        <v>0</v>
      </c>
      <c r="AI866">
        <v>1</v>
      </c>
      <c r="AJ866">
        <v>0</v>
      </c>
      <c r="AK866">
        <v>0</v>
      </c>
      <c r="AL866">
        <v>0</v>
      </c>
      <c r="AM866">
        <v>0</v>
      </c>
      <c r="AN866">
        <v>1466</v>
      </c>
      <c r="AO866">
        <v>1419</v>
      </c>
      <c r="AP866">
        <f>ifood_data[[#This Row],[MntTotal]]-ifood_data[[#This Row],[MntRegularProds]]</f>
        <v>47</v>
      </c>
      <c r="AQ866">
        <v>1</v>
      </c>
      <c r="AR866">
        <f>IF(SUM(ifood_data[[#This Row],[Kidhome]:[Teenhome]])&gt;0,1,0)</f>
        <v>1</v>
      </c>
      <c r="AS866" t="str">
        <f>IF(SUM(ifood_data[[#This Row],[Kidhome]:[Teenhome]])&gt;0,"Has Family","No Family")</f>
        <v>Has Family</v>
      </c>
      <c r="AT866" t="str">
        <f>IF(ifood_data[[#This Row],[marital_Married]]=1,"Married", (IF(ifood_data[[#This Row],[marital_Single]]=1,"Single",(IF(ifood_data[[#This Row],[marital_Divorced]]=1,"Divorced",(IF(ifood_data[[#This Row],[marital_Together]]=1,"Living Together",(IF(ifood_data[[#This Row],[marital_Widow]]=1,"Widow","Other")))))))))</f>
        <v>Married</v>
      </c>
      <c r="AU866" t="str">
        <f>IF(ifood_data[[#This Row],[education_Basic]]=1,"High School",(IF(ifood_data[[#This Row],[education_Graduation]]=1,"Undergraduate Degree",(IF(SUM(AM866,AL866,AI866)&gt;0,"Master's Degree or Higher","Other")))))</f>
        <v>Master's Degree or Higher</v>
      </c>
      <c r="AV866" t="str">
        <f>IF(ifood_data[[#All],[Income]]&gt;75000,"75K+",(IF(ifood_data[[#All],[Income]]&gt;50000,"50K-75K",(IF(ifood_data[[#All],[Income]]&gt;35000,"35K-50K","&lt;35K")))))</f>
        <v>50K-75K</v>
      </c>
      <c r="AW866" t="str">
        <f>IF(ifood_data[[#All],[Age]]&gt;60,"60+",(IF(ifood_data[[#All],[Age]]&gt;50,"50-60",(IF(ifood_data[[#All],[Age]]&gt;40,"40-50",(IF(ifood_data[[#All],[Age]]&gt;30,"30-40","&lt;30")))))))</f>
        <v>40-50</v>
      </c>
      <c r="AX866">
        <f t="shared" si="52"/>
        <v>35</v>
      </c>
      <c r="AY866">
        <f t="shared" si="53"/>
        <v>7</v>
      </c>
      <c r="AZ866">
        <f t="shared" si="54"/>
        <v>9</v>
      </c>
      <c r="BA866">
        <f t="shared" si="55"/>
        <v>8</v>
      </c>
      <c r="BB866">
        <f>SUM(ifood_data[[#This Row],[Recency Score]:[Monetary Score]])</f>
        <v>24</v>
      </c>
      <c r="BC866">
        <f>(_xlfn.PERCENTRANK.INC(ifood_data[[#All],[RFM]],ifood_data[[#This Row],[RFM]],1))*10</f>
        <v>9</v>
      </c>
      <c r="BD866" t="str">
        <f>VLOOKUP(ifood_data[[#This Row],[RFM Score]],'RFM Analysis'!$A$3:$B$14,2,FALSE)</f>
        <v>Top Customer</v>
      </c>
      <c r="BE866">
        <f>'Regression Models'!$B$101+'Regression Models'!$B$102*ifood_data[[#This Row],[Income]]+'Regression Models'!$B$103*ifood_data[[#This Row],[Age]]+'Regression Models'!$B$104*ifood_data[[#This Row],[Family]]</f>
        <v>602.82513395769286</v>
      </c>
      <c r="BF866" t="str">
        <f>IF(ifood_data[[#This Row],[AcceptedCmpOverall]]=1,"Campaign Respondent","Non-respondent")</f>
        <v>Campaign Respondent</v>
      </c>
    </row>
    <row r="867" spans="1:58" x14ac:dyDescent="0.35">
      <c r="A867">
        <v>1780</v>
      </c>
      <c r="B867">
        <v>56939</v>
      </c>
      <c r="C867">
        <v>0</v>
      </c>
      <c r="D867">
        <v>1</v>
      </c>
      <c r="E867">
        <v>19</v>
      </c>
      <c r="F867">
        <v>256</v>
      </c>
      <c r="G867">
        <v>34</v>
      </c>
      <c r="H867">
        <v>103</v>
      </c>
      <c r="I867">
        <v>90</v>
      </c>
      <c r="J867">
        <v>29</v>
      </c>
      <c r="K867">
        <v>49</v>
      </c>
      <c r="L867">
        <v>2</v>
      </c>
      <c r="M867">
        <v>3</v>
      </c>
      <c r="N867">
        <v>3</v>
      </c>
      <c r="O867">
        <v>10</v>
      </c>
      <c r="P867">
        <v>3</v>
      </c>
      <c r="Q867">
        <v>0</v>
      </c>
      <c r="R867">
        <v>0</v>
      </c>
      <c r="S867">
        <v>0</v>
      </c>
      <c r="T867">
        <v>0</v>
      </c>
      <c r="U867">
        <v>0</v>
      </c>
      <c r="V867">
        <f>IF(SUM(ifood_data[[#This Row],[AcceptedCmp1]:[AcceptedCmp5]])&gt;0,1,0)</f>
        <v>0</v>
      </c>
      <c r="W867">
        <v>0</v>
      </c>
      <c r="X867">
        <v>3</v>
      </c>
      <c r="Y867">
        <v>11</v>
      </c>
      <c r="Z867">
        <v>0</v>
      </c>
      <c r="AA867">
        <v>44</v>
      </c>
      <c r="AB867">
        <v>2443</v>
      </c>
      <c r="AC867" s="28">
        <f>ifood_data[[#This Row],[Customer_Days]]/365</f>
        <v>6.6931506849315072</v>
      </c>
      <c r="AD867">
        <v>0</v>
      </c>
      <c r="AE867">
        <v>1</v>
      </c>
      <c r="AF867">
        <v>0</v>
      </c>
      <c r="AG867">
        <v>0</v>
      </c>
      <c r="AH867">
        <v>0</v>
      </c>
      <c r="AI867">
        <v>0</v>
      </c>
      <c r="AJ867">
        <v>0</v>
      </c>
      <c r="AK867">
        <v>1</v>
      </c>
      <c r="AL867">
        <v>0</v>
      </c>
      <c r="AM867">
        <v>0</v>
      </c>
      <c r="AN867">
        <v>512</v>
      </c>
      <c r="AO867">
        <v>463</v>
      </c>
      <c r="AP867">
        <f>ifood_data[[#This Row],[MntTotal]]-ifood_data[[#This Row],[MntRegularProds]]</f>
        <v>49</v>
      </c>
      <c r="AQ867">
        <v>0</v>
      </c>
      <c r="AR867">
        <f>IF(SUM(ifood_data[[#This Row],[Kidhome]:[Teenhome]])&gt;0,1,0)</f>
        <v>1</v>
      </c>
      <c r="AS867" t="str">
        <f>IF(SUM(ifood_data[[#This Row],[Kidhome]:[Teenhome]])&gt;0,"Has Family","No Family")</f>
        <v>Has Family</v>
      </c>
      <c r="AT867" t="str">
        <f>IF(ifood_data[[#This Row],[marital_Married]]=1,"Married", (IF(ifood_data[[#This Row],[marital_Single]]=1,"Single",(IF(ifood_data[[#This Row],[marital_Divorced]]=1,"Divorced",(IF(ifood_data[[#This Row],[marital_Together]]=1,"Living Together",(IF(ifood_data[[#This Row],[marital_Widow]]=1,"Widow","Other")))))))))</f>
        <v>Married</v>
      </c>
      <c r="AU867" t="str">
        <f>IF(ifood_data[[#This Row],[education_Basic]]=1,"High School",(IF(ifood_data[[#This Row],[education_Graduation]]=1,"Undergraduate Degree",(IF(SUM(AM867,AL867,AI867)&gt;0,"Master's Degree or Higher","Other")))))</f>
        <v>Undergraduate Degree</v>
      </c>
      <c r="AV867" t="str">
        <f>IF(ifood_data[[#All],[Income]]&gt;75000,"75K+",(IF(ifood_data[[#All],[Income]]&gt;50000,"50K-75K",(IF(ifood_data[[#All],[Income]]&gt;35000,"35K-50K","&lt;35K")))))</f>
        <v>50K-75K</v>
      </c>
      <c r="AW867" t="str">
        <f>IF(ifood_data[[#All],[Age]]&gt;60,"60+",(IF(ifood_data[[#All],[Age]]&gt;50,"50-60",(IF(ifood_data[[#All],[Age]]&gt;40,"40-50",(IF(ifood_data[[#All],[Age]]&gt;30,"30-40","&lt;30")))))))</f>
        <v>40-50</v>
      </c>
      <c r="AX867">
        <f t="shared" si="52"/>
        <v>21</v>
      </c>
      <c r="AY867">
        <f t="shared" si="53"/>
        <v>9</v>
      </c>
      <c r="AZ867">
        <f t="shared" si="54"/>
        <v>5</v>
      </c>
      <c r="BA867">
        <f t="shared" si="55"/>
        <v>5</v>
      </c>
      <c r="BB867">
        <f>SUM(ifood_data[[#This Row],[Recency Score]:[Monetary Score]])</f>
        <v>19</v>
      </c>
      <c r="BC867">
        <f>(_xlfn.PERCENTRANK.INC(ifood_data[[#All],[RFM]],ifood_data[[#This Row],[RFM]],1))*10</f>
        <v>7</v>
      </c>
      <c r="BD867" t="str">
        <f>VLOOKUP(ifood_data[[#This Row],[RFM Score]],'RFM Analysis'!$A$3:$B$14,2,FALSE)</f>
        <v>Loyal Customer</v>
      </c>
      <c r="BE867">
        <f>'Regression Models'!$B$101+'Regression Models'!$B$102*ifood_data[[#This Row],[Income]]+'Regression Models'!$B$103*ifood_data[[#This Row],[Age]]+'Regression Models'!$B$104*ifood_data[[#This Row],[Family]]</f>
        <v>602.68386252662901</v>
      </c>
      <c r="BF867" t="str">
        <f>IF(ifood_data[[#This Row],[AcceptedCmpOverall]]=1,"Campaign Respondent","Non-respondent")</f>
        <v>Non-respondent</v>
      </c>
    </row>
    <row r="868" spans="1:58" x14ac:dyDescent="0.35">
      <c r="A868">
        <v>282</v>
      </c>
      <c r="B868">
        <v>57912</v>
      </c>
      <c r="C868">
        <v>0</v>
      </c>
      <c r="D868">
        <v>1</v>
      </c>
      <c r="E868">
        <v>34</v>
      </c>
      <c r="F868">
        <v>801</v>
      </c>
      <c r="G868">
        <v>0</v>
      </c>
      <c r="H868">
        <v>80</v>
      </c>
      <c r="I868">
        <v>0</v>
      </c>
      <c r="J868">
        <v>0</v>
      </c>
      <c r="K868">
        <v>35</v>
      </c>
      <c r="L868">
        <v>5</v>
      </c>
      <c r="M868">
        <v>8</v>
      </c>
      <c r="N868">
        <v>3</v>
      </c>
      <c r="O868">
        <v>12</v>
      </c>
      <c r="P868">
        <v>5</v>
      </c>
      <c r="Q868">
        <v>0</v>
      </c>
      <c r="R868">
        <v>0</v>
      </c>
      <c r="S868">
        <v>0</v>
      </c>
      <c r="T868">
        <v>1</v>
      </c>
      <c r="U868">
        <v>0</v>
      </c>
      <c r="V868">
        <f>IF(SUM(ifood_data[[#This Row],[AcceptedCmp1]:[AcceptedCmp5]])&gt;0,1,0)</f>
        <v>1</v>
      </c>
      <c r="W868">
        <v>0</v>
      </c>
      <c r="X868">
        <v>3</v>
      </c>
      <c r="Y868">
        <v>11</v>
      </c>
      <c r="Z868">
        <v>0</v>
      </c>
      <c r="AA868">
        <v>55</v>
      </c>
      <c r="AB868">
        <v>2263</v>
      </c>
      <c r="AC868" s="28">
        <f>ifood_data[[#This Row],[Customer_Days]]/365</f>
        <v>6.2</v>
      </c>
      <c r="AD868">
        <v>1</v>
      </c>
      <c r="AE868">
        <v>0</v>
      </c>
      <c r="AF868">
        <v>0</v>
      </c>
      <c r="AG868">
        <v>0</v>
      </c>
      <c r="AH868">
        <v>0</v>
      </c>
      <c r="AI868">
        <v>0</v>
      </c>
      <c r="AJ868">
        <v>0</v>
      </c>
      <c r="AK868">
        <v>0</v>
      </c>
      <c r="AL868">
        <v>0</v>
      </c>
      <c r="AM868">
        <v>1</v>
      </c>
      <c r="AN868">
        <v>881</v>
      </c>
      <c r="AO868">
        <v>846</v>
      </c>
      <c r="AP868">
        <f>ifood_data[[#This Row],[MntTotal]]-ifood_data[[#This Row],[MntRegularProds]]</f>
        <v>35</v>
      </c>
      <c r="AQ868">
        <v>1</v>
      </c>
      <c r="AR868">
        <f>IF(SUM(ifood_data[[#This Row],[Kidhome]:[Teenhome]])&gt;0,1,0)</f>
        <v>1</v>
      </c>
      <c r="AS868" t="str">
        <f>IF(SUM(ifood_data[[#This Row],[Kidhome]:[Teenhome]])&gt;0,"Has Family","No Family")</f>
        <v>Has Family</v>
      </c>
      <c r="AT868" t="str">
        <f>IF(ifood_data[[#This Row],[marital_Married]]=1,"Married", (IF(ifood_data[[#This Row],[marital_Single]]=1,"Single",(IF(ifood_data[[#This Row],[marital_Divorced]]=1,"Divorced",(IF(ifood_data[[#This Row],[marital_Together]]=1,"Living Together",(IF(ifood_data[[#This Row],[marital_Widow]]=1,"Widow","Other")))))))))</f>
        <v>Divorced</v>
      </c>
      <c r="AU868" t="str">
        <f>IF(ifood_data[[#This Row],[education_Basic]]=1,"High School",(IF(ifood_data[[#This Row],[education_Graduation]]=1,"Undergraduate Degree",(IF(SUM(AM868,AL868,AI868)&gt;0,"Master's Degree or Higher","Other")))))</f>
        <v>Master's Degree or Higher</v>
      </c>
      <c r="AV868" t="str">
        <f>IF(ifood_data[[#All],[Income]]&gt;75000,"75K+",(IF(ifood_data[[#All],[Income]]&gt;50000,"50K-75K",(IF(ifood_data[[#All],[Income]]&gt;35000,"35K-50K","&lt;35K")))))</f>
        <v>50K-75K</v>
      </c>
      <c r="AW868" t="str">
        <f>IF(ifood_data[[#All],[Age]]&gt;60,"60+",(IF(ifood_data[[#All],[Age]]&gt;50,"50-60",(IF(ifood_data[[#All],[Age]]&gt;40,"40-50",(IF(ifood_data[[#All],[Age]]&gt;30,"30-40","&lt;30")))))))</f>
        <v>50-60</v>
      </c>
      <c r="AX868">
        <f t="shared" si="52"/>
        <v>33</v>
      </c>
      <c r="AY868">
        <f t="shared" si="53"/>
        <v>7</v>
      </c>
      <c r="AZ868">
        <f t="shared" si="54"/>
        <v>9</v>
      </c>
      <c r="BA868">
        <f t="shared" si="55"/>
        <v>7</v>
      </c>
      <c r="BB868">
        <f>SUM(ifood_data[[#This Row],[Recency Score]:[Monetary Score]])</f>
        <v>23</v>
      </c>
      <c r="BC868">
        <f>(_xlfn.PERCENTRANK.INC(ifood_data[[#All],[RFM]],ifood_data[[#This Row],[RFM]],1))*10</f>
        <v>8</v>
      </c>
      <c r="BD868" t="str">
        <f>VLOOKUP(ifood_data[[#This Row],[RFM Score]],'RFM Analysis'!$A$3:$B$14,2,FALSE)</f>
        <v>Loyal Customer</v>
      </c>
      <c r="BE868">
        <f>'Regression Models'!$B$101+'Regression Models'!$B$102*ifood_data[[#This Row],[Income]]+'Regression Models'!$B$103*ifood_data[[#This Row],[Age]]+'Regression Models'!$B$104*ifood_data[[#This Row],[Family]]</f>
        <v>602.32130406280555</v>
      </c>
      <c r="BF868" t="str">
        <f>IF(ifood_data[[#This Row],[AcceptedCmpOverall]]=1,"Campaign Respondent","Non-respondent")</f>
        <v>Campaign Respondent</v>
      </c>
    </row>
    <row r="869" spans="1:58" x14ac:dyDescent="0.35">
      <c r="A869">
        <v>1221</v>
      </c>
      <c r="B869">
        <v>57811</v>
      </c>
      <c r="C869">
        <v>0</v>
      </c>
      <c r="D869">
        <v>1</v>
      </c>
      <c r="E869">
        <v>49</v>
      </c>
      <c r="F869">
        <v>545</v>
      </c>
      <c r="G869">
        <v>7</v>
      </c>
      <c r="H869">
        <v>114</v>
      </c>
      <c r="I869">
        <v>37</v>
      </c>
      <c r="J869">
        <v>21</v>
      </c>
      <c r="K869">
        <v>78</v>
      </c>
      <c r="L869">
        <v>5</v>
      </c>
      <c r="M869">
        <v>7</v>
      </c>
      <c r="N869">
        <v>2</v>
      </c>
      <c r="O869">
        <v>11</v>
      </c>
      <c r="P869">
        <v>5</v>
      </c>
      <c r="Q869">
        <v>0</v>
      </c>
      <c r="R869">
        <v>0</v>
      </c>
      <c r="S869">
        <v>0</v>
      </c>
      <c r="T869">
        <v>1</v>
      </c>
      <c r="U869">
        <v>0</v>
      </c>
      <c r="V869">
        <f>IF(SUM(ifood_data[[#This Row],[AcceptedCmp1]:[AcceptedCmp5]])&gt;0,1,0)</f>
        <v>1</v>
      </c>
      <c r="W869">
        <v>0</v>
      </c>
      <c r="X869">
        <v>3</v>
      </c>
      <c r="Y869">
        <v>11</v>
      </c>
      <c r="Z869">
        <v>0</v>
      </c>
      <c r="AA869">
        <v>54</v>
      </c>
      <c r="AB869">
        <v>2529</v>
      </c>
      <c r="AC869" s="28">
        <f>ifood_data[[#This Row],[Customer_Days]]/365</f>
        <v>6.9287671232876713</v>
      </c>
      <c r="AD869">
        <v>0</v>
      </c>
      <c r="AE869">
        <v>0</v>
      </c>
      <c r="AF869">
        <v>0</v>
      </c>
      <c r="AG869">
        <v>1</v>
      </c>
      <c r="AH869">
        <v>0</v>
      </c>
      <c r="AI869">
        <v>0</v>
      </c>
      <c r="AJ869">
        <v>0</v>
      </c>
      <c r="AK869">
        <v>1</v>
      </c>
      <c r="AL869">
        <v>0</v>
      </c>
      <c r="AM869">
        <v>0</v>
      </c>
      <c r="AN869">
        <v>724</v>
      </c>
      <c r="AO869">
        <v>646</v>
      </c>
      <c r="AP869">
        <f>ifood_data[[#This Row],[MntTotal]]-ifood_data[[#This Row],[MntRegularProds]]</f>
        <v>78</v>
      </c>
      <c r="AQ869">
        <v>1</v>
      </c>
      <c r="AR869">
        <f>IF(SUM(ifood_data[[#This Row],[Kidhome]:[Teenhome]])&gt;0,1,0)</f>
        <v>1</v>
      </c>
      <c r="AS869" t="str">
        <f>IF(SUM(ifood_data[[#This Row],[Kidhome]:[Teenhome]])&gt;0,"Has Family","No Family")</f>
        <v>Has Family</v>
      </c>
      <c r="AT869" t="str">
        <f>IF(ifood_data[[#This Row],[marital_Married]]=1,"Married", (IF(ifood_data[[#This Row],[marital_Single]]=1,"Single",(IF(ifood_data[[#This Row],[marital_Divorced]]=1,"Divorced",(IF(ifood_data[[#This Row],[marital_Together]]=1,"Living Together",(IF(ifood_data[[#This Row],[marital_Widow]]=1,"Widow","Other")))))))))</f>
        <v>Living Together</v>
      </c>
      <c r="AU869" t="str">
        <f>IF(ifood_data[[#This Row],[education_Basic]]=1,"High School",(IF(ifood_data[[#This Row],[education_Graduation]]=1,"Undergraduate Degree",(IF(SUM(AM869,AL869,AI869)&gt;0,"Master's Degree or Higher","Other")))))</f>
        <v>Undergraduate Degree</v>
      </c>
      <c r="AV869" t="str">
        <f>IF(ifood_data[[#All],[Income]]&gt;75000,"75K+",(IF(ifood_data[[#All],[Income]]&gt;50000,"50K-75K",(IF(ifood_data[[#All],[Income]]&gt;35000,"35K-50K","&lt;35K")))))</f>
        <v>50K-75K</v>
      </c>
      <c r="AW869" t="str">
        <f>IF(ifood_data[[#All],[Age]]&gt;60,"60+",(IF(ifood_data[[#All],[Age]]&gt;50,"50-60",(IF(ifood_data[[#All],[Age]]&gt;40,"40-50",(IF(ifood_data[[#All],[Age]]&gt;30,"30-40","&lt;30")))))))</f>
        <v>50-60</v>
      </c>
      <c r="AX869">
        <f t="shared" si="52"/>
        <v>30</v>
      </c>
      <c r="AY869">
        <f t="shared" si="53"/>
        <v>6</v>
      </c>
      <c r="AZ869">
        <f t="shared" si="54"/>
        <v>8</v>
      </c>
      <c r="BA869">
        <f t="shared" si="55"/>
        <v>6</v>
      </c>
      <c r="BB869">
        <f>SUM(ifood_data[[#This Row],[Recency Score]:[Monetary Score]])</f>
        <v>20</v>
      </c>
      <c r="BC869">
        <f>(_xlfn.PERCENTRANK.INC(ifood_data[[#All],[RFM]],ifood_data[[#This Row],[RFM]],1))*10</f>
        <v>7</v>
      </c>
      <c r="BD869" t="str">
        <f>VLOOKUP(ifood_data[[#This Row],[RFM Score]],'RFM Analysis'!$A$3:$B$14,2,FALSE)</f>
        <v>Loyal Customer</v>
      </c>
      <c r="BE869">
        <f>'Regression Models'!$B$101+'Regression Models'!$B$102*ifood_data[[#This Row],[Income]]+'Regression Models'!$B$103*ifood_data[[#This Row],[Age]]+'Regression Models'!$B$104*ifood_data[[#This Row],[Family]]</f>
        <v>602.0984775591661</v>
      </c>
      <c r="BF869" t="str">
        <f>IF(ifood_data[[#This Row],[AcceptedCmpOverall]]=1,"Campaign Respondent","Non-respondent")</f>
        <v>Campaign Respondent</v>
      </c>
    </row>
    <row r="870" spans="1:58" x14ac:dyDescent="0.35">
      <c r="A870">
        <v>1569</v>
      </c>
      <c r="B870">
        <v>58656</v>
      </c>
      <c r="C870">
        <v>0</v>
      </c>
      <c r="D870">
        <v>1</v>
      </c>
      <c r="E870">
        <v>25</v>
      </c>
      <c r="F870">
        <v>962</v>
      </c>
      <c r="G870">
        <v>12</v>
      </c>
      <c r="H870">
        <v>194</v>
      </c>
      <c r="I870">
        <v>16</v>
      </c>
      <c r="J870">
        <v>24</v>
      </c>
      <c r="K870">
        <v>12</v>
      </c>
      <c r="L870">
        <v>4</v>
      </c>
      <c r="M870">
        <v>7</v>
      </c>
      <c r="N870">
        <v>8</v>
      </c>
      <c r="O870">
        <v>13</v>
      </c>
      <c r="P870">
        <v>6</v>
      </c>
      <c r="Q870">
        <v>0</v>
      </c>
      <c r="R870">
        <v>0</v>
      </c>
      <c r="S870">
        <v>0</v>
      </c>
      <c r="T870">
        <v>0</v>
      </c>
      <c r="U870">
        <v>1</v>
      </c>
      <c r="V870">
        <f>IF(SUM(ifood_data[[#This Row],[AcceptedCmp1]:[AcceptedCmp5]])&gt;0,1,0)</f>
        <v>1</v>
      </c>
      <c r="W870">
        <v>0</v>
      </c>
      <c r="X870">
        <v>3</v>
      </c>
      <c r="Y870">
        <v>11</v>
      </c>
      <c r="Z870">
        <v>0</v>
      </c>
      <c r="AA870">
        <v>64</v>
      </c>
      <c r="AB870">
        <v>2806</v>
      </c>
      <c r="AC870" s="28">
        <f>ifood_data[[#This Row],[Customer_Days]]/365</f>
        <v>7.6876712328767125</v>
      </c>
      <c r="AD870">
        <v>0</v>
      </c>
      <c r="AE870">
        <v>0</v>
      </c>
      <c r="AF870">
        <v>0</v>
      </c>
      <c r="AG870">
        <v>1</v>
      </c>
      <c r="AH870">
        <v>0</v>
      </c>
      <c r="AI870">
        <v>0</v>
      </c>
      <c r="AJ870">
        <v>0</v>
      </c>
      <c r="AK870">
        <v>0</v>
      </c>
      <c r="AL870">
        <v>1</v>
      </c>
      <c r="AM870">
        <v>0</v>
      </c>
      <c r="AN870">
        <v>1208</v>
      </c>
      <c r="AO870">
        <v>1196</v>
      </c>
      <c r="AP870">
        <f>ifood_data[[#This Row],[MntTotal]]-ifood_data[[#This Row],[MntRegularProds]]</f>
        <v>12</v>
      </c>
      <c r="AQ870">
        <v>1</v>
      </c>
      <c r="AR870">
        <f>IF(SUM(ifood_data[[#This Row],[Kidhome]:[Teenhome]])&gt;0,1,0)</f>
        <v>1</v>
      </c>
      <c r="AS870" t="str">
        <f>IF(SUM(ifood_data[[#This Row],[Kidhome]:[Teenhome]])&gt;0,"Has Family","No Family")</f>
        <v>Has Family</v>
      </c>
      <c r="AT870" t="str">
        <f>IF(ifood_data[[#This Row],[marital_Married]]=1,"Married", (IF(ifood_data[[#This Row],[marital_Single]]=1,"Single",(IF(ifood_data[[#This Row],[marital_Divorced]]=1,"Divorced",(IF(ifood_data[[#This Row],[marital_Together]]=1,"Living Together",(IF(ifood_data[[#This Row],[marital_Widow]]=1,"Widow","Other")))))))))</f>
        <v>Living Together</v>
      </c>
      <c r="AU870" t="str">
        <f>IF(ifood_data[[#This Row],[education_Basic]]=1,"High School",(IF(ifood_data[[#This Row],[education_Graduation]]=1,"Undergraduate Degree",(IF(SUM(AM870,AL870,AI870)&gt;0,"Master's Degree or Higher","Other")))))</f>
        <v>Master's Degree or Higher</v>
      </c>
      <c r="AV870" t="str">
        <f>IF(ifood_data[[#All],[Income]]&gt;75000,"75K+",(IF(ifood_data[[#All],[Income]]&gt;50000,"50K-75K",(IF(ifood_data[[#All],[Income]]&gt;35000,"35K-50K","&lt;35K")))))</f>
        <v>50K-75K</v>
      </c>
      <c r="AW870" t="str">
        <f>IF(ifood_data[[#All],[Age]]&gt;60,"60+",(IF(ifood_data[[#All],[Age]]&gt;50,"50-60",(IF(ifood_data[[#All],[Age]]&gt;40,"40-50",(IF(ifood_data[[#All],[Age]]&gt;30,"30-40","&lt;30")))))))</f>
        <v>60+</v>
      </c>
      <c r="AX870">
        <f t="shared" si="52"/>
        <v>38</v>
      </c>
      <c r="AY870">
        <f t="shared" si="53"/>
        <v>8</v>
      </c>
      <c r="AZ870">
        <f t="shared" si="54"/>
        <v>9</v>
      </c>
      <c r="BA870">
        <f t="shared" si="55"/>
        <v>8</v>
      </c>
      <c r="BB870">
        <f>SUM(ifood_data[[#This Row],[Recency Score]:[Monetary Score]])</f>
        <v>25</v>
      </c>
      <c r="BC870">
        <f>(_xlfn.PERCENTRANK.INC(ifood_data[[#All],[RFM]],ifood_data[[#This Row],[RFM]],1))*10</f>
        <v>9</v>
      </c>
      <c r="BD870" t="str">
        <f>VLOOKUP(ifood_data[[#This Row],[RFM Score]],'RFM Analysis'!$A$3:$B$14,2,FALSE)</f>
        <v>Top Customer</v>
      </c>
      <c r="BE870">
        <f>'Regression Models'!$B$101+'Regression Models'!$B$102*ifood_data[[#This Row],[Income]]+'Regression Models'!$B$103*ifood_data[[#This Row],[Age]]+'Regression Models'!$B$104*ifood_data[[#This Row],[Family]]</f>
        <v>600.96259585181781</v>
      </c>
      <c r="BF870" t="str">
        <f>IF(ifood_data[[#This Row],[AcceptedCmpOverall]]=1,"Campaign Respondent","Non-respondent")</f>
        <v>Campaign Respondent</v>
      </c>
    </row>
    <row r="871" spans="1:58" x14ac:dyDescent="0.35">
      <c r="A871">
        <v>1513</v>
      </c>
      <c r="B871">
        <v>56386</v>
      </c>
      <c r="C871">
        <v>1</v>
      </c>
      <c r="D871">
        <v>1</v>
      </c>
      <c r="E871">
        <v>51</v>
      </c>
      <c r="F871">
        <v>230</v>
      </c>
      <c r="G871">
        <v>48</v>
      </c>
      <c r="H871">
        <v>214</v>
      </c>
      <c r="I871">
        <v>13</v>
      </c>
      <c r="J871">
        <v>32</v>
      </c>
      <c r="K871">
        <v>75</v>
      </c>
      <c r="L871">
        <v>8</v>
      </c>
      <c r="M871">
        <v>9</v>
      </c>
      <c r="N871">
        <v>1</v>
      </c>
      <c r="O871">
        <v>7</v>
      </c>
      <c r="P871">
        <v>9</v>
      </c>
      <c r="Q871">
        <v>0</v>
      </c>
      <c r="R871">
        <v>0</v>
      </c>
      <c r="S871">
        <v>0</v>
      </c>
      <c r="T871">
        <v>0</v>
      </c>
      <c r="U871">
        <v>0</v>
      </c>
      <c r="V871">
        <f>IF(SUM(ifood_data[[#This Row],[AcceptedCmp1]:[AcceptedCmp5]])&gt;0,1,0)</f>
        <v>0</v>
      </c>
      <c r="W871">
        <v>0</v>
      </c>
      <c r="X871">
        <v>3</v>
      </c>
      <c r="Y871">
        <v>11</v>
      </c>
      <c r="Z871">
        <v>0</v>
      </c>
      <c r="AA871">
        <v>39</v>
      </c>
      <c r="AB871">
        <v>2769</v>
      </c>
      <c r="AC871" s="28">
        <f>ifood_data[[#This Row],[Customer_Days]]/365</f>
        <v>7.5863013698630137</v>
      </c>
      <c r="AD871">
        <v>0</v>
      </c>
      <c r="AE871">
        <v>0</v>
      </c>
      <c r="AF871">
        <v>0</v>
      </c>
      <c r="AG871">
        <v>1</v>
      </c>
      <c r="AH871">
        <v>0</v>
      </c>
      <c r="AI871">
        <v>0</v>
      </c>
      <c r="AJ871">
        <v>0</v>
      </c>
      <c r="AK871">
        <v>1</v>
      </c>
      <c r="AL871">
        <v>0</v>
      </c>
      <c r="AM871">
        <v>0</v>
      </c>
      <c r="AN871">
        <v>537</v>
      </c>
      <c r="AO871">
        <v>462</v>
      </c>
      <c r="AP871">
        <f>ifood_data[[#This Row],[MntTotal]]-ifood_data[[#This Row],[MntRegularProds]]</f>
        <v>75</v>
      </c>
      <c r="AQ871">
        <v>0</v>
      </c>
      <c r="AR871">
        <f>IF(SUM(ifood_data[[#This Row],[Kidhome]:[Teenhome]])&gt;0,1,0)</f>
        <v>1</v>
      </c>
      <c r="AS871" t="str">
        <f>IF(SUM(ifood_data[[#This Row],[Kidhome]:[Teenhome]])&gt;0,"Has Family","No Family")</f>
        <v>Has Family</v>
      </c>
      <c r="AT871" t="str">
        <f>IF(ifood_data[[#This Row],[marital_Married]]=1,"Married", (IF(ifood_data[[#This Row],[marital_Single]]=1,"Single",(IF(ifood_data[[#This Row],[marital_Divorced]]=1,"Divorced",(IF(ifood_data[[#This Row],[marital_Together]]=1,"Living Together",(IF(ifood_data[[#This Row],[marital_Widow]]=1,"Widow","Other")))))))))</f>
        <v>Living Together</v>
      </c>
      <c r="AU871" t="str">
        <f>IF(ifood_data[[#This Row],[education_Basic]]=1,"High School",(IF(ifood_data[[#This Row],[education_Graduation]]=1,"Undergraduate Degree",(IF(SUM(AM871,AL871,AI871)&gt;0,"Master's Degree or Higher","Other")))))</f>
        <v>Undergraduate Degree</v>
      </c>
      <c r="AV871" t="str">
        <f>IF(ifood_data[[#All],[Income]]&gt;75000,"75K+",(IF(ifood_data[[#All],[Income]]&gt;50000,"50K-75K",(IF(ifood_data[[#All],[Income]]&gt;35000,"35K-50K","&lt;35K")))))</f>
        <v>50K-75K</v>
      </c>
      <c r="AW871" t="str">
        <f>IF(ifood_data[[#All],[Age]]&gt;60,"60+",(IF(ifood_data[[#All],[Age]]&gt;50,"50-60",(IF(ifood_data[[#All],[Age]]&gt;40,"40-50",(IF(ifood_data[[#All],[Age]]&gt;30,"30-40","&lt;30")))))))</f>
        <v>30-40</v>
      </c>
      <c r="AX871">
        <f t="shared" si="52"/>
        <v>34</v>
      </c>
      <c r="AY871">
        <f t="shared" si="53"/>
        <v>5</v>
      </c>
      <c r="AZ871">
        <f t="shared" si="54"/>
        <v>9</v>
      </c>
      <c r="BA871">
        <f t="shared" si="55"/>
        <v>5</v>
      </c>
      <c r="BB871">
        <f>SUM(ifood_data[[#This Row],[Recency Score]:[Monetary Score]])</f>
        <v>19</v>
      </c>
      <c r="BC871">
        <f>(_xlfn.PERCENTRANK.INC(ifood_data[[#All],[RFM]],ifood_data[[#This Row],[RFM]],1))*10</f>
        <v>7</v>
      </c>
      <c r="BD871" t="str">
        <f>VLOOKUP(ifood_data[[#This Row],[RFM Score]],'RFM Analysis'!$A$3:$B$14,2,FALSE)</f>
        <v>Loyal Customer</v>
      </c>
      <c r="BE871">
        <f>'Regression Models'!$B$101+'Regression Models'!$B$102*ifood_data[[#This Row],[Income]]+'Regression Models'!$B$103*ifood_data[[#This Row],[Age]]+'Regression Models'!$B$104*ifood_data[[#This Row],[Family]]</f>
        <v>600.59106913752419</v>
      </c>
      <c r="BF871" t="str">
        <f>IF(ifood_data[[#This Row],[AcceptedCmpOverall]]=1,"Campaign Respondent","Non-respondent")</f>
        <v>Non-respondent</v>
      </c>
    </row>
    <row r="872" spans="1:58" x14ac:dyDescent="0.35">
      <c r="A872">
        <v>1689</v>
      </c>
      <c r="B872">
        <v>57705</v>
      </c>
      <c r="C872">
        <v>0</v>
      </c>
      <c r="D872">
        <v>1</v>
      </c>
      <c r="E872">
        <v>14</v>
      </c>
      <c r="F872">
        <v>383</v>
      </c>
      <c r="G872">
        <v>0</v>
      </c>
      <c r="H872">
        <v>53</v>
      </c>
      <c r="I872">
        <v>6</v>
      </c>
      <c r="J872">
        <v>4</v>
      </c>
      <c r="K872">
        <v>40</v>
      </c>
      <c r="L872">
        <v>3</v>
      </c>
      <c r="M872">
        <v>8</v>
      </c>
      <c r="N872">
        <v>1</v>
      </c>
      <c r="O872">
        <v>6</v>
      </c>
      <c r="P872">
        <v>6</v>
      </c>
      <c r="Q872">
        <v>0</v>
      </c>
      <c r="R872">
        <v>0</v>
      </c>
      <c r="S872">
        <v>0</v>
      </c>
      <c r="T872">
        <v>0</v>
      </c>
      <c r="U872">
        <v>0</v>
      </c>
      <c r="V872">
        <f>IF(SUM(ifood_data[[#This Row],[AcceptedCmp1]:[AcceptedCmp5]])&gt;0,1,0)</f>
        <v>0</v>
      </c>
      <c r="W872">
        <v>0</v>
      </c>
      <c r="X872">
        <v>3</v>
      </c>
      <c r="Y872">
        <v>11</v>
      </c>
      <c r="Z872">
        <v>0</v>
      </c>
      <c r="AA872">
        <v>54</v>
      </c>
      <c r="AB872">
        <v>2328</v>
      </c>
      <c r="AC872" s="28">
        <f>ifood_data[[#This Row],[Customer_Days]]/365</f>
        <v>6.3780821917808215</v>
      </c>
      <c r="AD872">
        <v>0</v>
      </c>
      <c r="AE872">
        <v>1</v>
      </c>
      <c r="AF872">
        <v>0</v>
      </c>
      <c r="AG872">
        <v>0</v>
      </c>
      <c r="AH872">
        <v>0</v>
      </c>
      <c r="AI872">
        <v>0</v>
      </c>
      <c r="AJ872">
        <v>0</v>
      </c>
      <c r="AK872">
        <v>0</v>
      </c>
      <c r="AL872">
        <v>0</v>
      </c>
      <c r="AM872">
        <v>1</v>
      </c>
      <c r="AN872">
        <v>446</v>
      </c>
      <c r="AO872">
        <v>406</v>
      </c>
      <c r="AP872">
        <f>ifood_data[[#This Row],[MntTotal]]-ifood_data[[#This Row],[MntRegularProds]]</f>
        <v>40</v>
      </c>
      <c r="AQ872">
        <v>0</v>
      </c>
      <c r="AR872">
        <f>IF(SUM(ifood_data[[#This Row],[Kidhome]:[Teenhome]])&gt;0,1,0)</f>
        <v>1</v>
      </c>
      <c r="AS872" t="str">
        <f>IF(SUM(ifood_data[[#This Row],[Kidhome]:[Teenhome]])&gt;0,"Has Family","No Family")</f>
        <v>Has Family</v>
      </c>
      <c r="AT872" t="str">
        <f>IF(ifood_data[[#This Row],[marital_Married]]=1,"Married", (IF(ifood_data[[#This Row],[marital_Single]]=1,"Single",(IF(ifood_data[[#This Row],[marital_Divorced]]=1,"Divorced",(IF(ifood_data[[#This Row],[marital_Together]]=1,"Living Together",(IF(ifood_data[[#This Row],[marital_Widow]]=1,"Widow","Other")))))))))</f>
        <v>Married</v>
      </c>
      <c r="AU872" t="str">
        <f>IF(ifood_data[[#This Row],[education_Basic]]=1,"High School",(IF(ifood_data[[#This Row],[education_Graduation]]=1,"Undergraduate Degree",(IF(SUM(AM872,AL872,AI872)&gt;0,"Master's Degree or Higher","Other")))))</f>
        <v>Master's Degree or Higher</v>
      </c>
      <c r="AV872" t="str">
        <f>IF(ifood_data[[#All],[Income]]&gt;75000,"75K+",(IF(ifood_data[[#All],[Income]]&gt;50000,"50K-75K",(IF(ifood_data[[#All],[Income]]&gt;35000,"35K-50K","&lt;35K")))))</f>
        <v>50K-75K</v>
      </c>
      <c r="AW872" t="str">
        <f>IF(ifood_data[[#All],[Age]]&gt;60,"60+",(IF(ifood_data[[#All],[Age]]&gt;50,"50-60",(IF(ifood_data[[#All],[Age]]&gt;40,"40-50",(IF(ifood_data[[#All],[Age]]&gt;30,"30-40","&lt;30")))))))</f>
        <v>50-60</v>
      </c>
      <c r="AX872">
        <f t="shared" si="52"/>
        <v>24</v>
      </c>
      <c r="AY872">
        <f t="shared" si="53"/>
        <v>9</v>
      </c>
      <c r="AZ872">
        <f t="shared" si="54"/>
        <v>6</v>
      </c>
      <c r="BA872">
        <f t="shared" si="55"/>
        <v>5</v>
      </c>
      <c r="BB872">
        <f>SUM(ifood_data[[#This Row],[Recency Score]:[Monetary Score]])</f>
        <v>20</v>
      </c>
      <c r="BC872">
        <f>(_xlfn.PERCENTRANK.INC(ifood_data[[#All],[RFM]],ifood_data[[#This Row],[RFM]],1))*10</f>
        <v>7</v>
      </c>
      <c r="BD872" t="str">
        <f>VLOOKUP(ifood_data[[#This Row],[RFM Score]],'RFM Analysis'!$A$3:$B$14,2,FALSE)</f>
        <v>Loyal Customer</v>
      </c>
      <c r="BE872">
        <f>'Regression Models'!$B$101+'Regression Models'!$B$102*ifood_data[[#This Row],[Income]]+'Regression Models'!$B$103*ifood_data[[#This Row],[Age]]+'Regression Models'!$B$104*ifood_data[[#This Row],[Family]]</f>
        <v>599.93726813591263</v>
      </c>
      <c r="BF872" t="str">
        <f>IF(ifood_data[[#This Row],[AcceptedCmpOverall]]=1,"Campaign Respondent","Non-respondent")</f>
        <v>Non-respondent</v>
      </c>
    </row>
    <row r="873" spans="1:58" x14ac:dyDescent="0.35">
      <c r="A873">
        <v>947</v>
      </c>
      <c r="B873">
        <v>56337</v>
      </c>
      <c r="C873">
        <v>1</v>
      </c>
      <c r="D873">
        <v>1</v>
      </c>
      <c r="E873">
        <v>25</v>
      </c>
      <c r="F873">
        <v>349</v>
      </c>
      <c r="G873">
        <v>16</v>
      </c>
      <c r="H873">
        <v>144</v>
      </c>
      <c r="I873">
        <v>28</v>
      </c>
      <c r="J873">
        <v>5</v>
      </c>
      <c r="K873">
        <v>182</v>
      </c>
      <c r="L873">
        <v>5</v>
      </c>
      <c r="M873">
        <v>8</v>
      </c>
      <c r="N873">
        <v>5</v>
      </c>
      <c r="O873">
        <v>4</v>
      </c>
      <c r="P873">
        <v>8</v>
      </c>
      <c r="Q873">
        <v>1</v>
      </c>
      <c r="R873">
        <v>0</v>
      </c>
      <c r="S873">
        <v>1</v>
      </c>
      <c r="T873">
        <v>0</v>
      </c>
      <c r="U873">
        <v>0</v>
      </c>
      <c r="V873">
        <f>IF(SUM(ifood_data[[#This Row],[AcceptedCmp1]:[AcceptedCmp5]])&gt;0,1,0)</f>
        <v>1</v>
      </c>
      <c r="W873">
        <v>0</v>
      </c>
      <c r="X873">
        <v>3</v>
      </c>
      <c r="Y873">
        <v>11</v>
      </c>
      <c r="Z873">
        <v>1</v>
      </c>
      <c r="AA873">
        <v>39</v>
      </c>
      <c r="AB873">
        <v>2618</v>
      </c>
      <c r="AC873" s="28">
        <f>ifood_data[[#This Row],[Customer_Days]]/365</f>
        <v>7.1726027397260275</v>
      </c>
      <c r="AD873">
        <v>0</v>
      </c>
      <c r="AE873">
        <v>1</v>
      </c>
      <c r="AF873">
        <v>0</v>
      </c>
      <c r="AG873">
        <v>0</v>
      </c>
      <c r="AH873">
        <v>0</v>
      </c>
      <c r="AI873">
        <v>1</v>
      </c>
      <c r="AJ873">
        <v>0</v>
      </c>
      <c r="AK873">
        <v>0</v>
      </c>
      <c r="AL873">
        <v>0</v>
      </c>
      <c r="AM873">
        <v>0</v>
      </c>
      <c r="AN873">
        <v>542</v>
      </c>
      <c r="AO873">
        <v>360</v>
      </c>
      <c r="AP873">
        <f>ifood_data[[#This Row],[MntTotal]]-ifood_data[[#This Row],[MntRegularProds]]</f>
        <v>182</v>
      </c>
      <c r="AQ873">
        <v>2</v>
      </c>
      <c r="AR873">
        <f>IF(SUM(ifood_data[[#This Row],[Kidhome]:[Teenhome]])&gt;0,1,0)</f>
        <v>1</v>
      </c>
      <c r="AS873" t="str">
        <f>IF(SUM(ifood_data[[#This Row],[Kidhome]:[Teenhome]])&gt;0,"Has Family","No Family")</f>
        <v>Has Family</v>
      </c>
      <c r="AT873" t="str">
        <f>IF(ifood_data[[#This Row],[marital_Married]]=1,"Married", (IF(ifood_data[[#This Row],[marital_Single]]=1,"Single",(IF(ifood_data[[#This Row],[marital_Divorced]]=1,"Divorced",(IF(ifood_data[[#This Row],[marital_Together]]=1,"Living Together",(IF(ifood_data[[#This Row],[marital_Widow]]=1,"Widow","Other")))))))))</f>
        <v>Married</v>
      </c>
      <c r="AU873" t="str">
        <f>IF(ifood_data[[#This Row],[education_Basic]]=1,"High School",(IF(ifood_data[[#This Row],[education_Graduation]]=1,"Undergraduate Degree",(IF(SUM(AM873,AL873,AI873)&gt;0,"Master's Degree or Higher","Other")))))</f>
        <v>Master's Degree or Higher</v>
      </c>
      <c r="AV873" t="str">
        <f>IF(ifood_data[[#All],[Income]]&gt;75000,"75K+",(IF(ifood_data[[#All],[Income]]&gt;50000,"50K-75K",(IF(ifood_data[[#All],[Income]]&gt;35000,"35K-50K","&lt;35K")))))</f>
        <v>50K-75K</v>
      </c>
      <c r="AW873" t="str">
        <f>IF(ifood_data[[#All],[Age]]&gt;60,"60+",(IF(ifood_data[[#All],[Age]]&gt;50,"50-60",(IF(ifood_data[[#All],[Age]]&gt;40,"40-50",(IF(ifood_data[[#All],[Age]]&gt;30,"30-40","&lt;30")))))))</f>
        <v>30-40</v>
      </c>
      <c r="AX873">
        <f t="shared" si="52"/>
        <v>30</v>
      </c>
      <c r="AY873">
        <f t="shared" si="53"/>
        <v>8</v>
      </c>
      <c r="AZ873">
        <f t="shared" si="54"/>
        <v>8</v>
      </c>
      <c r="BA873">
        <f t="shared" si="55"/>
        <v>5</v>
      </c>
      <c r="BB873">
        <f>SUM(ifood_data[[#This Row],[Recency Score]:[Monetary Score]])</f>
        <v>21</v>
      </c>
      <c r="BC873">
        <f>(_xlfn.PERCENTRANK.INC(ifood_data[[#All],[RFM]],ifood_data[[#This Row],[RFM]],1))*10</f>
        <v>8</v>
      </c>
      <c r="BD873" t="str">
        <f>VLOOKUP(ifood_data[[#This Row],[RFM Score]],'RFM Analysis'!$A$3:$B$14,2,FALSE)</f>
        <v>Loyal Customer</v>
      </c>
      <c r="BE873">
        <f>'Regression Models'!$B$101+'Regression Models'!$B$102*ifood_data[[#This Row],[Income]]+'Regression Models'!$B$103*ifood_data[[#This Row],[Age]]+'Regression Models'!$B$104*ifood_data[[#This Row],[Family]]</f>
        <v>599.59201949847318</v>
      </c>
      <c r="BF873" t="str">
        <f>IF(ifood_data[[#This Row],[AcceptedCmpOverall]]=1,"Campaign Respondent","Non-respondent")</f>
        <v>Campaign Respondent</v>
      </c>
    </row>
    <row r="874" spans="1:58" x14ac:dyDescent="0.35">
      <c r="A874">
        <v>1399</v>
      </c>
      <c r="B874">
        <v>57136</v>
      </c>
      <c r="C874">
        <v>1</v>
      </c>
      <c r="D874">
        <v>1</v>
      </c>
      <c r="E874">
        <v>48</v>
      </c>
      <c r="F874">
        <v>306</v>
      </c>
      <c r="G874">
        <v>5</v>
      </c>
      <c r="H874">
        <v>109</v>
      </c>
      <c r="I874">
        <v>21</v>
      </c>
      <c r="J874">
        <v>109</v>
      </c>
      <c r="K874">
        <v>92</v>
      </c>
      <c r="L874">
        <v>9</v>
      </c>
      <c r="M874">
        <v>5</v>
      </c>
      <c r="N874">
        <v>2</v>
      </c>
      <c r="O874">
        <v>10</v>
      </c>
      <c r="P874">
        <v>6</v>
      </c>
      <c r="Q874">
        <v>0</v>
      </c>
      <c r="R874">
        <v>0</v>
      </c>
      <c r="S874">
        <v>0</v>
      </c>
      <c r="T874">
        <v>0</v>
      </c>
      <c r="U874">
        <v>0</v>
      </c>
      <c r="V874">
        <f>IF(SUM(ifood_data[[#This Row],[AcceptedCmp1]:[AcceptedCmp5]])&gt;0,1,0)</f>
        <v>0</v>
      </c>
      <c r="W874">
        <v>0</v>
      </c>
      <c r="X874">
        <v>3</v>
      </c>
      <c r="Y874">
        <v>11</v>
      </c>
      <c r="Z874">
        <v>0</v>
      </c>
      <c r="AA874">
        <v>48</v>
      </c>
      <c r="AB874">
        <v>2514</v>
      </c>
      <c r="AC874" s="28">
        <f>ifood_data[[#This Row],[Customer_Days]]/365</f>
        <v>6.8876712328767127</v>
      </c>
      <c r="AD874">
        <v>0</v>
      </c>
      <c r="AE874">
        <v>1</v>
      </c>
      <c r="AF874">
        <v>0</v>
      </c>
      <c r="AG874">
        <v>0</v>
      </c>
      <c r="AH874">
        <v>0</v>
      </c>
      <c r="AI874">
        <v>0</v>
      </c>
      <c r="AJ874">
        <v>0</v>
      </c>
      <c r="AK874">
        <v>0</v>
      </c>
      <c r="AL874">
        <v>1</v>
      </c>
      <c r="AM874">
        <v>0</v>
      </c>
      <c r="AN874">
        <v>550</v>
      </c>
      <c r="AO874">
        <v>458</v>
      </c>
      <c r="AP874">
        <f>ifood_data[[#This Row],[MntTotal]]-ifood_data[[#This Row],[MntRegularProds]]</f>
        <v>92</v>
      </c>
      <c r="AQ874">
        <v>0</v>
      </c>
      <c r="AR874">
        <f>IF(SUM(ifood_data[[#This Row],[Kidhome]:[Teenhome]])&gt;0,1,0)</f>
        <v>1</v>
      </c>
      <c r="AS874" t="str">
        <f>IF(SUM(ifood_data[[#This Row],[Kidhome]:[Teenhome]])&gt;0,"Has Family","No Family")</f>
        <v>Has Family</v>
      </c>
      <c r="AT874" t="str">
        <f>IF(ifood_data[[#This Row],[marital_Married]]=1,"Married", (IF(ifood_data[[#This Row],[marital_Single]]=1,"Single",(IF(ifood_data[[#This Row],[marital_Divorced]]=1,"Divorced",(IF(ifood_data[[#This Row],[marital_Together]]=1,"Living Together",(IF(ifood_data[[#This Row],[marital_Widow]]=1,"Widow","Other")))))))))</f>
        <v>Married</v>
      </c>
      <c r="AU874" t="str">
        <f>IF(ifood_data[[#This Row],[education_Basic]]=1,"High School",(IF(ifood_data[[#This Row],[education_Graduation]]=1,"Undergraduate Degree",(IF(SUM(AM874,AL874,AI874)&gt;0,"Master's Degree or Higher","Other")))))</f>
        <v>Master's Degree or Higher</v>
      </c>
      <c r="AV874" t="str">
        <f>IF(ifood_data[[#All],[Income]]&gt;75000,"75K+",(IF(ifood_data[[#All],[Income]]&gt;50000,"50K-75K",(IF(ifood_data[[#All],[Income]]&gt;35000,"35K-50K","&lt;35K")))))</f>
        <v>50K-75K</v>
      </c>
      <c r="AW874" t="str">
        <f>IF(ifood_data[[#All],[Age]]&gt;60,"60+",(IF(ifood_data[[#All],[Age]]&gt;50,"50-60",(IF(ifood_data[[#All],[Age]]&gt;40,"40-50",(IF(ifood_data[[#All],[Age]]&gt;30,"30-40","&lt;30")))))))</f>
        <v>40-50</v>
      </c>
      <c r="AX874">
        <f t="shared" si="52"/>
        <v>32</v>
      </c>
      <c r="AY874">
        <f t="shared" si="53"/>
        <v>6</v>
      </c>
      <c r="AZ874">
        <f t="shared" si="54"/>
        <v>9</v>
      </c>
      <c r="BA874">
        <f t="shared" si="55"/>
        <v>5</v>
      </c>
      <c r="BB874">
        <f>SUM(ifood_data[[#This Row],[Recency Score]:[Monetary Score]])</f>
        <v>20</v>
      </c>
      <c r="BC874">
        <f>(_xlfn.PERCENTRANK.INC(ifood_data[[#All],[RFM]],ifood_data[[#This Row],[RFM]],1))*10</f>
        <v>7</v>
      </c>
      <c r="BD874" t="str">
        <f>VLOOKUP(ifood_data[[#This Row],[RFM Score]],'RFM Analysis'!$A$3:$B$14,2,FALSE)</f>
        <v>Loyal Customer</v>
      </c>
      <c r="BE874">
        <f>'Regression Models'!$B$101+'Regression Models'!$B$102*ifood_data[[#This Row],[Income]]+'Regression Models'!$B$103*ifood_data[[#This Row],[Age]]+'Regression Models'!$B$104*ifood_data[[#This Row],[Family]]</f>
        <v>599.35469353539986</v>
      </c>
      <c r="BF874" t="str">
        <f>IF(ifood_data[[#This Row],[AcceptedCmpOverall]]=1,"Campaign Respondent","Non-respondent")</f>
        <v>Non-respondent</v>
      </c>
    </row>
    <row r="875" spans="1:58" x14ac:dyDescent="0.35">
      <c r="A875">
        <v>1211</v>
      </c>
      <c r="B875">
        <v>57091</v>
      </c>
      <c r="C875">
        <v>0</v>
      </c>
      <c r="D875">
        <v>1</v>
      </c>
      <c r="E875">
        <v>82</v>
      </c>
      <c r="F875">
        <v>462</v>
      </c>
      <c r="G875">
        <v>0</v>
      </c>
      <c r="H875">
        <v>24</v>
      </c>
      <c r="I875">
        <v>6</v>
      </c>
      <c r="J875">
        <v>0</v>
      </c>
      <c r="K875">
        <v>4</v>
      </c>
      <c r="L875">
        <v>2</v>
      </c>
      <c r="M875">
        <v>9</v>
      </c>
      <c r="N875">
        <v>2</v>
      </c>
      <c r="O875">
        <v>5</v>
      </c>
      <c r="P875">
        <v>7</v>
      </c>
      <c r="Q875">
        <v>0</v>
      </c>
      <c r="R875">
        <v>0</v>
      </c>
      <c r="S875">
        <v>0</v>
      </c>
      <c r="T875">
        <v>1</v>
      </c>
      <c r="U875">
        <v>0</v>
      </c>
      <c r="V875">
        <f>IF(SUM(ifood_data[[#This Row],[AcceptedCmp1]:[AcceptedCmp5]])&gt;0,1,0)</f>
        <v>1</v>
      </c>
      <c r="W875">
        <v>0</v>
      </c>
      <c r="X875">
        <v>3</v>
      </c>
      <c r="Y875">
        <v>11</v>
      </c>
      <c r="Z875">
        <v>1</v>
      </c>
      <c r="AA875">
        <v>48</v>
      </c>
      <c r="AB875">
        <v>2742</v>
      </c>
      <c r="AC875" s="28">
        <f>ifood_data[[#This Row],[Customer_Days]]/365</f>
        <v>7.5123287671232877</v>
      </c>
      <c r="AD875">
        <v>0</v>
      </c>
      <c r="AE875">
        <v>1</v>
      </c>
      <c r="AF875">
        <v>0</v>
      </c>
      <c r="AG875">
        <v>0</v>
      </c>
      <c r="AH875">
        <v>0</v>
      </c>
      <c r="AI875">
        <v>0</v>
      </c>
      <c r="AJ875">
        <v>0</v>
      </c>
      <c r="AK875">
        <v>0</v>
      </c>
      <c r="AL875">
        <v>0</v>
      </c>
      <c r="AM875">
        <v>1</v>
      </c>
      <c r="AN875">
        <v>492</v>
      </c>
      <c r="AO875">
        <v>488</v>
      </c>
      <c r="AP875">
        <f>ifood_data[[#This Row],[MntTotal]]-ifood_data[[#This Row],[MntRegularProds]]</f>
        <v>4</v>
      </c>
      <c r="AQ875">
        <v>1</v>
      </c>
      <c r="AR875">
        <f>IF(SUM(ifood_data[[#This Row],[Kidhome]:[Teenhome]])&gt;0,1,0)</f>
        <v>1</v>
      </c>
      <c r="AS875" t="str">
        <f>IF(SUM(ifood_data[[#This Row],[Kidhome]:[Teenhome]])&gt;0,"Has Family","No Family")</f>
        <v>Has Family</v>
      </c>
      <c r="AT875" t="str">
        <f>IF(ifood_data[[#This Row],[marital_Married]]=1,"Married", (IF(ifood_data[[#This Row],[marital_Single]]=1,"Single",(IF(ifood_data[[#This Row],[marital_Divorced]]=1,"Divorced",(IF(ifood_data[[#This Row],[marital_Together]]=1,"Living Together",(IF(ifood_data[[#This Row],[marital_Widow]]=1,"Widow","Other")))))))))</f>
        <v>Married</v>
      </c>
      <c r="AU875" t="str">
        <f>IF(ifood_data[[#This Row],[education_Basic]]=1,"High School",(IF(ifood_data[[#This Row],[education_Graduation]]=1,"Undergraduate Degree",(IF(SUM(AM875,AL875,AI875)&gt;0,"Master's Degree or Higher","Other")))))</f>
        <v>Master's Degree or Higher</v>
      </c>
      <c r="AV875" t="str">
        <f>IF(ifood_data[[#All],[Income]]&gt;75000,"75K+",(IF(ifood_data[[#All],[Income]]&gt;50000,"50K-75K",(IF(ifood_data[[#All],[Income]]&gt;35000,"35K-50K","&lt;35K")))))</f>
        <v>50K-75K</v>
      </c>
      <c r="AW875" t="str">
        <f>IF(ifood_data[[#All],[Age]]&gt;60,"60+",(IF(ifood_data[[#All],[Age]]&gt;50,"50-60",(IF(ifood_data[[#All],[Age]]&gt;40,"40-50",(IF(ifood_data[[#All],[Age]]&gt;30,"30-40","&lt;30")))))))</f>
        <v>40-50</v>
      </c>
      <c r="AX875">
        <f t="shared" si="52"/>
        <v>25</v>
      </c>
      <c r="AY875">
        <f t="shared" si="53"/>
        <v>1.9999999999999996</v>
      </c>
      <c r="AZ875">
        <f t="shared" si="54"/>
        <v>7</v>
      </c>
      <c r="BA875">
        <f t="shared" si="55"/>
        <v>5</v>
      </c>
      <c r="BB875">
        <f>SUM(ifood_data[[#This Row],[Recency Score]:[Monetary Score]])</f>
        <v>14</v>
      </c>
      <c r="BC875">
        <f>(_xlfn.PERCENTRANK.INC(ifood_data[[#All],[RFM]],ifood_data[[#This Row],[RFM]],1))*10</f>
        <v>4</v>
      </c>
      <c r="BD875" t="str">
        <f>VLOOKUP(ifood_data[[#This Row],[RFM Score]],'RFM Analysis'!$A$3:$B$14,2,FALSE)</f>
        <v>At Risk</v>
      </c>
      <c r="BE875">
        <f>'Regression Models'!$B$101+'Regression Models'!$B$102*ifood_data[[#This Row],[Income]]+'Regression Models'!$B$103*ifood_data[[#This Row],[Age]]+'Regression Models'!$B$104*ifood_data[[#This Row],[Family]]</f>
        <v>598.43719896892446</v>
      </c>
      <c r="BF875" t="str">
        <f>IF(ifood_data[[#This Row],[AcceptedCmpOverall]]=1,"Campaign Respondent","Non-respondent")</f>
        <v>Campaign Respondent</v>
      </c>
    </row>
    <row r="876" spans="1:58" x14ac:dyDescent="0.35">
      <c r="A876">
        <v>795</v>
      </c>
      <c r="B876">
        <v>56628</v>
      </c>
      <c r="C876">
        <v>0</v>
      </c>
      <c r="D876">
        <v>1</v>
      </c>
      <c r="E876">
        <v>30</v>
      </c>
      <c r="F876">
        <v>479</v>
      </c>
      <c r="G876">
        <v>5</v>
      </c>
      <c r="H876">
        <v>82</v>
      </c>
      <c r="I876">
        <v>7</v>
      </c>
      <c r="J876">
        <v>17</v>
      </c>
      <c r="K876">
        <v>171</v>
      </c>
      <c r="L876">
        <v>2</v>
      </c>
      <c r="M876">
        <v>7</v>
      </c>
      <c r="N876">
        <v>6</v>
      </c>
      <c r="O876">
        <v>5</v>
      </c>
      <c r="P876">
        <v>5</v>
      </c>
      <c r="Q876">
        <v>0</v>
      </c>
      <c r="R876">
        <v>0</v>
      </c>
      <c r="S876">
        <v>1</v>
      </c>
      <c r="T876">
        <v>0</v>
      </c>
      <c r="U876">
        <v>0</v>
      </c>
      <c r="V876">
        <f>IF(SUM(ifood_data[[#This Row],[AcceptedCmp1]:[AcceptedCmp5]])&gt;0,1,0)</f>
        <v>1</v>
      </c>
      <c r="W876">
        <v>0</v>
      </c>
      <c r="X876">
        <v>3</v>
      </c>
      <c r="Y876">
        <v>11</v>
      </c>
      <c r="Z876">
        <v>0</v>
      </c>
      <c r="AA876">
        <v>43</v>
      </c>
      <c r="AB876">
        <v>2259</v>
      </c>
      <c r="AC876" s="28">
        <f>ifood_data[[#This Row],[Customer_Days]]/365</f>
        <v>6.1890410958904107</v>
      </c>
      <c r="AD876">
        <v>0</v>
      </c>
      <c r="AE876">
        <v>0</v>
      </c>
      <c r="AF876">
        <v>1</v>
      </c>
      <c r="AG876">
        <v>0</v>
      </c>
      <c r="AH876">
        <v>0</v>
      </c>
      <c r="AI876">
        <v>0</v>
      </c>
      <c r="AJ876">
        <v>0</v>
      </c>
      <c r="AK876">
        <v>1</v>
      </c>
      <c r="AL876">
        <v>0</v>
      </c>
      <c r="AM876">
        <v>0</v>
      </c>
      <c r="AN876">
        <v>590</v>
      </c>
      <c r="AO876">
        <v>419</v>
      </c>
      <c r="AP876">
        <f>ifood_data[[#This Row],[MntTotal]]-ifood_data[[#This Row],[MntRegularProds]]</f>
        <v>171</v>
      </c>
      <c r="AQ876">
        <v>1</v>
      </c>
      <c r="AR876">
        <f>IF(SUM(ifood_data[[#This Row],[Kidhome]:[Teenhome]])&gt;0,1,0)</f>
        <v>1</v>
      </c>
      <c r="AS876" t="str">
        <f>IF(SUM(ifood_data[[#This Row],[Kidhome]:[Teenhome]])&gt;0,"Has Family","No Family")</f>
        <v>Has Family</v>
      </c>
      <c r="AT876" t="str">
        <f>IF(ifood_data[[#This Row],[marital_Married]]=1,"Married", (IF(ifood_data[[#This Row],[marital_Single]]=1,"Single",(IF(ifood_data[[#This Row],[marital_Divorced]]=1,"Divorced",(IF(ifood_data[[#This Row],[marital_Together]]=1,"Living Together",(IF(ifood_data[[#This Row],[marital_Widow]]=1,"Widow","Other")))))))))</f>
        <v>Single</v>
      </c>
      <c r="AU876" t="str">
        <f>IF(ifood_data[[#This Row],[education_Basic]]=1,"High School",(IF(ifood_data[[#This Row],[education_Graduation]]=1,"Undergraduate Degree",(IF(SUM(AM876,AL876,AI876)&gt;0,"Master's Degree or Higher","Other")))))</f>
        <v>Undergraduate Degree</v>
      </c>
      <c r="AV876" t="str">
        <f>IF(ifood_data[[#All],[Income]]&gt;75000,"75K+",(IF(ifood_data[[#All],[Income]]&gt;50000,"50K-75K",(IF(ifood_data[[#All],[Income]]&gt;35000,"35K-50K","&lt;35K")))))</f>
        <v>50K-75K</v>
      </c>
      <c r="AW876" t="str">
        <f>IF(ifood_data[[#All],[Age]]&gt;60,"60+",(IF(ifood_data[[#All],[Age]]&gt;50,"50-60",(IF(ifood_data[[#All],[Age]]&gt;40,"40-50",(IF(ifood_data[[#All],[Age]]&gt;30,"30-40","&lt;30")))))))</f>
        <v>40-50</v>
      </c>
      <c r="AX876">
        <f t="shared" si="52"/>
        <v>25</v>
      </c>
      <c r="AY876">
        <f t="shared" si="53"/>
        <v>7</v>
      </c>
      <c r="AZ876">
        <f t="shared" si="54"/>
        <v>7</v>
      </c>
      <c r="BA876">
        <f t="shared" si="55"/>
        <v>6</v>
      </c>
      <c r="BB876">
        <f>SUM(ifood_data[[#This Row],[Recency Score]:[Monetary Score]])</f>
        <v>20</v>
      </c>
      <c r="BC876">
        <f>(_xlfn.PERCENTRANK.INC(ifood_data[[#All],[RFM]],ifood_data[[#This Row],[RFM]],1))*10</f>
        <v>7</v>
      </c>
      <c r="BD876" t="str">
        <f>VLOOKUP(ifood_data[[#This Row],[RFM Score]],'RFM Analysis'!$A$3:$B$14,2,FALSE)</f>
        <v>Loyal Customer</v>
      </c>
      <c r="BE876">
        <f>'Regression Models'!$B$101+'Regression Models'!$B$102*ifood_data[[#This Row],[Income]]+'Regression Models'!$B$103*ifood_data[[#This Row],[Age]]+'Regression Models'!$B$104*ifood_data[[#This Row],[Family]]</f>
        <v>598.17939471277066</v>
      </c>
      <c r="BF876" t="str">
        <f>IF(ifood_data[[#This Row],[AcceptedCmpOverall]]=1,"Campaign Respondent","Non-respondent")</f>
        <v>Campaign Respondent</v>
      </c>
    </row>
    <row r="877" spans="1:58" x14ac:dyDescent="0.35">
      <c r="A877">
        <v>2013</v>
      </c>
      <c r="B877">
        <v>57967</v>
      </c>
      <c r="C877">
        <v>0</v>
      </c>
      <c r="D877">
        <v>1</v>
      </c>
      <c r="E877">
        <v>39</v>
      </c>
      <c r="F877">
        <v>229</v>
      </c>
      <c r="G877">
        <v>7</v>
      </c>
      <c r="H877">
        <v>137</v>
      </c>
      <c r="I877">
        <v>4</v>
      </c>
      <c r="J877">
        <v>0</v>
      </c>
      <c r="K877">
        <v>91</v>
      </c>
      <c r="L877">
        <v>5</v>
      </c>
      <c r="M877">
        <v>4</v>
      </c>
      <c r="N877">
        <v>2</v>
      </c>
      <c r="O877">
        <v>8</v>
      </c>
      <c r="P877">
        <v>5</v>
      </c>
      <c r="Q877">
        <v>0</v>
      </c>
      <c r="R877">
        <v>0</v>
      </c>
      <c r="S877">
        <v>0</v>
      </c>
      <c r="T877">
        <v>0</v>
      </c>
      <c r="U877">
        <v>0</v>
      </c>
      <c r="V877">
        <f>IF(SUM(ifood_data[[#This Row],[AcceptedCmp1]:[AcceptedCmp5]])&gt;0,1,0)</f>
        <v>0</v>
      </c>
      <c r="W877">
        <v>0</v>
      </c>
      <c r="X877">
        <v>3</v>
      </c>
      <c r="Y877">
        <v>11</v>
      </c>
      <c r="Z877">
        <v>0</v>
      </c>
      <c r="AA877">
        <v>58</v>
      </c>
      <c r="AB877">
        <v>2642</v>
      </c>
      <c r="AC877" s="28">
        <f>ifood_data[[#This Row],[Customer_Days]]/365</f>
        <v>7.2383561643835614</v>
      </c>
      <c r="AD877">
        <v>0</v>
      </c>
      <c r="AE877">
        <v>0</v>
      </c>
      <c r="AF877">
        <v>1</v>
      </c>
      <c r="AG877">
        <v>0</v>
      </c>
      <c r="AH877">
        <v>0</v>
      </c>
      <c r="AI877">
        <v>0</v>
      </c>
      <c r="AJ877">
        <v>0</v>
      </c>
      <c r="AK877">
        <v>1</v>
      </c>
      <c r="AL877">
        <v>0</v>
      </c>
      <c r="AM877">
        <v>0</v>
      </c>
      <c r="AN877">
        <v>377</v>
      </c>
      <c r="AO877">
        <v>286</v>
      </c>
      <c r="AP877">
        <f>ifood_data[[#This Row],[MntTotal]]-ifood_data[[#This Row],[MntRegularProds]]</f>
        <v>91</v>
      </c>
      <c r="AQ877">
        <v>0</v>
      </c>
      <c r="AR877">
        <f>IF(SUM(ifood_data[[#This Row],[Kidhome]:[Teenhome]])&gt;0,1,0)</f>
        <v>1</v>
      </c>
      <c r="AS877" t="str">
        <f>IF(SUM(ifood_data[[#This Row],[Kidhome]:[Teenhome]])&gt;0,"Has Family","No Family")</f>
        <v>Has Family</v>
      </c>
      <c r="AT877" t="str">
        <f>IF(ifood_data[[#This Row],[marital_Married]]=1,"Married", (IF(ifood_data[[#This Row],[marital_Single]]=1,"Single",(IF(ifood_data[[#This Row],[marital_Divorced]]=1,"Divorced",(IF(ifood_data[[#This Row],[marital_Together]]=1,"Living Together",(IF(ifood_data[[#This Row],[marital_Widow]]=1,"Widow","Other")))))))))</f>
        <v>Single</v>
      </c>
      <c r="AU877" t="str">
        <f>IF(ifood_data[[#This Row],[education_Basic]]=1,"High School",(IF(ifood_data[[#This Row],[education_Graduation]]=1,"Undergraduate Degree",(IF(SUM(AM877,AL877,AI877)&gt;0,"Master's Degree or Higher","Other")))))</f>
        <v>Undergraduate Degree</v>
      </c>
      <c r="AV877" t="str">
        <f>IF(ifood_data[[#All],[Income]]&gt;75000,"75K+",(IF(ifood_data[[#All],[Income]]&gt;50000,"50K-75K",(IF(ifood_data[[#All],[Income]]&gt;35000,"35K-50K","&lt;35K")))))</f>
        <v>50K-75K</v>
      </c>
      <c r="AW877" t="str">
        <f>IF(ifood_data[[#All],[Age]]&gt;60,"60+",(IF(ifood_data[[#All],[Age]]&gt;50,"50-60",(IF(ifood_data[[#All],[Age]]&gt;40,"40-50",(IF(ifood_data[[#All],[Age]]&gt;30,"30-40","&lt;30")))))))</f>
        <v>50-60</v>
      </c>
      <c r="AX877">
        <f t="shared" si="52"/>
        <v>24</v>
      </c>
      <c r="AY877">
        <f t="shared" si="53"/>
        <v>7</v>
      </c>
      <c r="AZ877">
        <f t="shared" si="54"/>
        <v>6</v>
      </c>
      <c r="BA877">
        <f t="shared" si="55"/>
        <v>5</v>
      </c>
      <c r="BB877">
        <f>SUM(ifood_data[[#This Row],[Recency Score]:[Monetary Score]])</f>
        <v>18</v>
      </c>
      <c r="BC877">
        <f>(_xlfn.PERCENTRANK.INC(ifood_data[[#All],[RFM]],ifood_data[[#This Row],[RFM]],1))*10</f>
        <v>6</v>
      </c>
      <c r="BD877" t="str">
        <f>VLOOKUP(ifood_data[[#This Row],[RFM Score]],'RFM Analysis'!$A$3:$B$14,2,FALSE)</f>
        <v>Promising</v>
      </c>
      <c r="BE877">
        <f>'Regression Models'!$B$101+'Regression Models'!$B$102*ifood_data[[#This Row],[Income]]+'Regression Models'!$B$103*ifood_data[[#This Row],[Age]]+'Regression Models'!$B$104*ifood_data[[#This Row],[Family]]</f>
        <v>597.93336907403716</v>
      </c>
      <c r="BF877" t="str">
        <f>IF(ifood_data[[#This Row],[AcceptedCmpOverall]]=1,"Campaign Respondent","Non-respondent")</f>
        <v>Non-respondent</v>
      </c>
    </row>
    <row r="878" spans="1:58" x14ac:dyDescent="0.35">
      <c r="A878">
        <v>1954</v>
      </c>
      <c r="B878">
        <v>58482</v>
      </c>
      <c r="C878">
        <v>0</v>
      </c>
      <c r="D878">
        <v>1</v>
      </c>
      <c r="E878">
        <v>59</v>
      </c>
      <c r="F878">
        <v>576</v>
      </c>
      <c r="G878">
        <v>7</v>
      </c>
      <c r="H878">
        <v>115</v>
      </c>
      <c r="I878">
        <v>19</v>
      </c>
      <c r="J878">
        <v>7</v>
      </c>
      <c r="K878">
        <v>7</v>
      </c>
      <c r="L878">
        <v>2</v>
      </c>
      <c r="M878">
        <v>7</v>
      </c>
      <c r="N878">
        <v>4</v>
      </c>
      <c r="O878">
        <v>9</v>
      </c>
      <c r="P878">
        <v>6</v>
      </c>
      <c r="Q878">
        <v>0</v>
      </c>
      <c r="R878">
        <v>0</v>
      </c>
      <c r="S878">
        <v>0</v>
      </c>
      <c r="T878">
        <v>1</v>
      </c>
      <c r="U878">
        <v>0</v>
      </c>
      <c r="V878">
        <f>IF(SUM(ifood_data[[#This Row],[AcceptedCmp1]:[AcceptedCmp5]])&gt;0,1,0)</f>
        <v>1</v>
      </c>
      <c r="W878">
        <v>0</v>
      </c>
      <c r="X878">
        <v>3</v>
      </c>
      <c r="Y878">
        <v>11</v>
      </c>
      <c r="Z878">
        <v>0</v>
      </c>
      <c r="AA878">
        <v>65</v>
      </c>
      <c r="AB878">
        <v>2268</v>
      </c>
      <c r="AC878" s="28">
        <f>ifood_data[[#This Row],[Customer_Days]]/365</f>
        <v>6.2136986301369861</v>
      </c>
      <c r="AD878">
        <v>0</v>
      </c>
      <c r="AE878">
        <v>1</v>
      </c>
      <c r="AF878">
        <v>0</v>
      </c>
      <c r="AG878">
        <v>0</v>
      </c>
      <c r="AH878">
        <v>0</v>
      </c>
      <c r="AI878">
        <v>0</v>
      </c>
      <c r="AJ878">
        <v>0</v>
      </c>
      <c r="AK878">
        <v>0</v>
      </c>
      <c r="AL878">
        <v>0</v>
      </c>
      <c r="AM878">
        <v>1</v>
      </c>
      <c r="AN878">
        <v>724</v>
      </c>
      <c r="AO878">
        <v>717</v>
      </c>
      <c r="AP878">
        <f>ifood_data[[#This Row],[MntTotal]]-ifood_data[[#This Row],[MntRegularProds]]</f>
        <v>7</v>
      </c>
      <c r="AQ878">
        <v>1</v>
      </c>
      <c r="AR878">
        <f>IF(SUM(ifood_data[[#This Row],[Kidhome]:[Teenhome]])&gt;0,1,0)</f>
        <v>1</v>
      </c>
      <c r="AS878" t="str">
        <f>IF(SUM(ifood_data[[#This Row],[Kidhome]:[Teenhome]])&gt;0,"Has Family","No Family")</f>
        <v>Has Family</v>
      </c>
      <c r="AT878" t="str">
        <f>IF(ifood_data[[#This Row],[marital_Married]]=1,"Married", (IF(ifood_data[[#This Row],[marital_Single]]=1,"Single",(IF(ifood_data[[#This Row],[marital_Divorced]]=1,"Divorced",(IF(ifood_data[[#This Row],[marital_Together]]=1,"Living Together",(IF(ifood_data[[#This Row],[marital_Widow]]=1,"Widow","Other")))))))))</f>
        <v>Married</v>
      </c>
      <c r="AU878" t="str">
        <f>IF(ifood_data[[#This Row],[education_Basic]]=1,"High School",(IF(ifood_data[[#This Row],[education_Graduation]]=1,"Undergraduate Degree",(IF(SUM(AM878,AL878,AI878)&gt;0,"Master's Degree or Higher","Other")))))</f>
        <v>Master's Degree or Higher</v>
      </c>
      <c r="AV878" t="str">
        <f>IF(ifood_data[[#All],[Income]]&gt;75000,"75K+",(IF(ifood_data[[#All],[Income]]&gt;50000,"50K-75K",(IF(ifood_data[[#All],[Income]]&gt;35000,"35K-50K","&lt;35K")))))</f>
        <v>50K-75K</v>
      </c>
      <c r="AW878" t="str">
        <f>IF(ifood_data[[#All],[Age]]&gt;60,"60+",(IF(ifood_data[[#All],[Age]]&gt;50,"50-60",(IF(ifood_data[[#All],[Age]]&gt;40,"40-50",(IF(ifood_data[[#All],[Age]]&gt;30,"30-40","&lt;30")))))))</f>
        <v>60+</v>
      </c>
      <c r="AX878">
        <f t="shared" si="52"/>
        <v>28</v>
      </c>
      <c r="AY878">
        <f t="shared" si="53"/>
        <v>4</v>
      </c>
      <c r="AZ878">
        <f t="shared" si="54"/>
        <v>8</v>
      </c>
      <c r="BA878">
        <f t="shared" si="55"/>
        <v>6</v>
      </c>
      <c r="BB878">
        <f>SUM(ifood_data[[#This Row],[Recency Score]:[Monetary Score]])</f>
        <v>18</v>
      </c>
      <c r="BC878">
        <f>(_xlfn.PERCENTRANK.INC(ifood_data[[#All],[RFM]],ifood_data[[#This Row],[RFM]],1))*10</f>
        <v>6</v>
      </c>
      <c r="BD878" t="str">
        <f>VLOOKUP(ifood_data[[#This Row],[RFM Score]],'RFM Analysis'!$A$3:$B$14,2,FALSE)</f>
        <v>Promising</v>
      </c>
      <c r="BE878">
        <f>'Regression Models'!$B$101+'Regression Models'!$B$102*ifood_data[[#This Row],[Income]]+'Regression Models'!$B$103*ifood_data[[#This Row],[Age]]+'Regression Models'!$B$104*ifood_data[[#This Row],[Family]]</f>
        <v>595.57851111588514</v>
      </c>
      <c r="BF878" t="str">
        <f>IF(ifood_data[[#This Row],[AcceptedCmpOverall]]=1,"Campaign Respondent","Non-respondent")</f>
        <v>Campaign Respondent</v>
      </c>
    </row>
    <row r="879" spans="1:58" x14ac:dyDescent="0.35">
      <c r="A879">
        <v>1133</v>
      </c>
      <c r="B879">
        <v>58113</v>
      </c>
      <c r="C879">
        <v>0</v>
      </c>
      <c r="D879">
        <v>1</v>
      </c>
      <c r="E879">
        <v>66</v>
      </c>
      <c r="F879">
        <v>221</v>
      </c>
      <c r="G879">
        <v>104</v>
      </c>
      <c r="H879">
        <v>169</v>
      </c>
      <c r="I879">
        <v>102</v>
      </c>
      <c r="J879">
        <v>78</v>
      </c>
      <c r="K879">
        <v>84</v>
      </c>
      <c r="L879">
        <v>3</v>
      </c>
      <c r="M879">
        <v>9</v>
      </c>
      <c r="N879">
        <v>2</v>
      </c>
      <c r="O879">
        <v>8</v>
      </c>
      <c r="P879">
        <v>7</v>
      </c>
      <c r="Q879">
        <v>0</v>
      </c>
      <c r="R879">
        <v>0</v>
      </c>
      <c r="S879">
        <v>0</v>
      </c>
      <c r="T879">
        <v>0</v>
      </c>
      <c r="U879">
        <v>0</v>
      </c>
      <c r="V879">
        <f>IF(SUM(ifood_data[[#This Row],[AcceptedCmp1]:[AcceptedCmp5]])&gt;0,1,0)</f>
        <v>0</v>
      </c>
      <c r="W879">
        <v>1</v>
      </c>
      <c r="X879">
        <v>3</v>
      </c>
      <c r="Y879">
        <v>11</v>
      </c>
      <c r="Z879">
        <v>0</v>
      </c>
      <c r="AA879">
        <v>61</v>
      </c>
      <c r="AB879">
        <v>2679</v>
      </c>
      <c r="AC879" s="28">
        <f>ifood_data[[#This Row],[Customer_Days]]/365</f>
        <v>7.3397260273972602</v>
      </c>
      <c r="AD879">
        <v>0</v>
      </c>
      <c r="AE879">
        <v>1</v>
      </c>
      <c r="AF879">
        <v>0</v>
      </c>
      <c r="AG879">
        <v>0</v>
      </c>
      <c r="AH879">
        <v>0</v>
      </c>
      <c r="AI879">
        <v>0</v>
      </c>
      <c r="AJ879">
        <v>0</v>
      </c>
      <c r="AK879">
        <v>1</v>
      </c>
      <c r="AL879">
        <v>0</v>
      </c>
      <c r="AM879">
        <v>0</v>
      </c>
      <c r="AN879">
        <v>674</v>
      </c>
      <c r="AO879">
        <v>590</v>
      </c>
      <c r="AP879">
        <f>ifood_data[[#This Row],[MntTotal]]-ifood_data[[#This Row],[MntRegularProds]]</f>
        <v>84</v>
      </c>
      <c r="AQ879">
        <v>0</v>
      </c>
      <c r="AR879">
        <f>IF(SUM(ifood_data[[#This Row],[Kidhome]:[Teenhome]])&gt;0,1,0)</f>
        <v>1</v>
      </c>
      <c r="AS879" t="str">
        <f>IF(SUM(ifood_data[[#This Row],[Kidhome]:[Teenhome]])&gt;0,"Has Family","No Family")</f>
        <v>Has Family</v>
      </c>
      <c r="AT879" t="str">
        <f>IF(ifood_data[[#This Row],[marital_Married]]=1,"Married", (IF(ifood_data[[#This Row],[marital_Single]]=1,"Single",(IF(ifood_data[[#This Row],[marital_Divorced]]=1,"Divorced",(IF(ifood_data[[#This Row],[marital_Together]]=1,"Living Together",(IF(ifood_data[[#This Row],[marital_Widow]]=1,"Widow","Other")))))))))</f>
        <v>Married</v>
      </c>
      <c r="AU879" t="str">
        <f>IF(ifood_data[[#This Row],[education_Basic]]=1,"High School",(IF(ifood_data[[#This Row],[education_Graduation]]=1,"Undergraduate Degree",(IF(SUM(AM879,AL879,AI879)&gt;0,"Master's Degree or Higher","Other")))))</f>
        <v>Undergraduate Degree</v>
      </c>
      <c r="AV879" t="str">
        <f>IF(ifood_data[[#All],[Income]]&gt;75000,"75K+",(IF(ifood_data[[#All],[Income]]&gt;50000,"50K-75K",(IF(ifood_data[[#All],[Income]]&gt;35000,"35K-50K","&lt;35K")))))</f>
        <v>50K-75K</v>
      </c>
      <c r="AW879" t="str">
        <f>IF(ifood_data[[#All],[Age]]&gt;60,"60+",(IF(ifood_data[[#All],[Age]]&gt;50,"50-60",(IF(ifood_data[[#All],[Age]]&gt;40,"40-50",(IF(ifood_data[[#All],[Age]]&gt;30,"30-40","&lt;30")))))))</f>
        <v>60+</v>
      </c>
      <c r="AX879">
        <f t="shared" si="52"/>
        <v>29</v>
      </c>
      <c r="AY879">
        <f t="shared" si="53"/>
        <v>4</v>
      </c>
      <c r="AZ879">
        <f t="shared" si="54"/>
        <v>8</v>
      </c>
      <c r="BA879">
        <f t="shared" si="55"/>
        <v>6</v>
      </c>
      <c r="BB879">
        <f>SUM(ifood_data[[#This Row],[Recency Score]:[Monetary Score]])</f>
        <v>18</v>
      </c>
      <c r="BC879">
        <f>(_xlfn.PERCENTRANK.INC(ifood_data[[#All],[RFM]],ifood_data[[#This Row],[RFM]],1))*10</f>
        <v>6</v>
      </c>
      <c r="BD879" t="str">
        <f>VLOOKUP(ifood_data[[#This Row],[RFM Score]],'RFM Analysis'!$A$3:$B$14,2,FALSE)</f>
        <v>Promising</v>
      </c>
      <c r="BE879">
        <f>'Regression Models'!$B$101+'Regression Models'!$B$102*ifood_data[[#This Row],[Income]]+'Regression Models'!$B$103*ifood_data[[#This Row],[Age]]+'Regression Models'!$B$104*ifood_data[[#This Row],[Family]]</f>
        <v>595.40081198636346</v>
      </c>
      <c r="BF879" t="str">
        <f>IF(ifood_data[[#This Row],[AcceptedCmpOverall]]=1,"Campaign Respondent","Non-respondent")</f>
        <v>Non-respondent</v>
      </c>
    </row>
    <row r="880" spans="1:58" x14ac:dyDescent="0.35">
      <c r="A880">
        <v>321</v>
      </c>
      <c r="B880">
        <v>41411</v>
      </c>
      <c r="C880">
        <v>0</v>
      </c>
      <c r="D880">
        <v>0</v>
      </c>
      <c r="E880">
        <v>11</v>
      </c>
      <c r="F880">
        <v>37</v>
      </c>
      <c r="G880">
        <v>32</v>
      </c>
      <c r="H880">
        <v>38</v>
      </c>
      <c r="I880">
        <v>11</v>
      </c>
      <c r="J880">
        <v>3</v>
      </c>
      <c r="K880">
        <v>18</v>
      </c>
      <c r="L880">
        <v>1</v>
      </c>
      <c r="M880">
        <v>2</v>
      </c>
      <c r="N880">
        <v>1</v>
      </c>
      <c r="O880">
        <v>4</v>
      </c>
      <c r="P880">
        <v>6</v>
      </c>
      <c r="Q880">
        <v>0</v>
      </c>
      <c r="R880">
        <v>0</v>
      </c>
      <c r="S880">
        <v>0</v>
      </c>
      <c r="T880">
        <v>0</v>
      </c>
      <c r="U880">
        <v>0</v>
      </c>
      <c r="V880">
        <f>IF(SUM(ifood_data[[#This Row],[AcceptedCmp1]:[AcceptedCmp5]])&gt;0,1,0)</f>
        <v>0</v>
      </c>
      <c r="W880">
        <v>0</v>
      </c>
      <c r="X880">
        <v>3</v>
      </c>
      <c r="Y880">
        <v>11</v>
      </c>
      <c r="Z880">
        <v>0</v>
      </c>
      <c r="AA880">
        <v>34</v>
      </c>
      <c r="AB880">
        <v>2363</v>
      </c>
      <c r="AC880" s="28">
        <f>ifood_data[[#This Row],[Customer_Days]]/365</f>
        <v>6.4739726027397264</v>
      </c>
      <c r="AD880">
        <v>1</v>
      </c>
      <c r="AE880">
        <v>0</v>
      </c>
      <c r="AF880">
        <v>0</v>
      </c>
      <c r="AG880">
        <v>0</v>
      </c>
      <c r="AH880">
        <v>0</v>
      </c>
      <c r="AI880">
        <v>0</v>
      </c>
      <c r="AJ880">
        <v>0</v>
      </c>
      <c r="AK880">
        <v>1</v>
      </c>
      <c r="AL880">
        <v>0</v>
      </c>
      <c r="AM880">
        <v>0</v>
      </c>
      <c r="AN880">
        <v>121</v>
      </c>
      <c r="AO880">
        <v>103</v>
      </c>
      <c r="AP880">
        <f>ifood_data[[#This Row],[MntTotal]]-ifood_data[[#This Row],[MntRegularProds]]</f>
        <v>18</v>
      </c>
      <c r="AQ880">
        <v>0</v>
      </c>
      <c r="AR880">
        <f>IF(SUM(ifood_data[[#This Row],[Kidhome]:[Teenhome]])&gt;0,1,0)</f>
        <v>0</v>
      </c>
      <c r="AS880" t="str">
        <f>IF(SUM(ifood_data[[#This Row],[Kidhome]:[Teenhome]])&gt;0,"Has Family","No Family")</f>
        <v>No Family</v>
      </c>
      <c r="AT880" t="str">
        <f>IF(ifood_data[[#This Row],[marital_Married]]=1,"Married", (IF(ifood_data[[#This Row],[marital_Single]]=1,"Single",(IF(ifood_data[[#This Row],[marital_Divorced]]=1,"Divorced",(IF(ifood_data[[#This Row],[marital_Together]]=1,"Living Together",(IF(ifood_data[[#This Row],[marital_Widow]]=1,"Widow","Other")))))))))</f>
        <v>Divorced</v>
      </c>
      <c r="AU880" t="str">
        <f>IF(ifood_data[[#This Row],[education_Basic]]=1,"High School",(IF(ifood_data[[#This Row],[education_Graduation]]=1,"Undergraduate Degree",(IF(SUM(AM880,AL880,AI880)&gt;0,"Master's Degree or Higher","Other")))))</f>
        <v>Undergraduate Degree</v>
      </c>
      <c r="AV880" t="str">
        <f>IF(ifood_data[[#All],[Income]]&gt;75000,"75K+",(IF(ifood_data[[#All],[Income]]&gt;50000,"50K-75K",(IF(ifood_data[[#All],[Income]]&gt;35000,"35K-50K","&lt;35K")))))</f>
        <v>35K-50K</v>
      </c>
      <c r="AW880" t="str">
        <f>IF(ifood_data[[#All],[Age]]&gt;60,"60+",(IF(ifood_data[[#All],[Age]]&gt;50,"50-60",(IF(ifood_data[[#All],[Age]]&gt;40,"40-50",(IF(ifood_data[[#All],[Age]]&gt;30,"30-40","&lt;30")))))))</f>
        <v>30-40</v>
      </c>
      <c r="AX880">
        <f t="shared" si="52"/>
        <v>14</v>
      </c>
      <c r="AY880">
        <f t="shared" si="53"/>
        <v>9</v>
      </c>
      <c r="AZ880">
        <f t="shared" si="54"/>
        <v>2</v>
      </c>
      <c r="BA880">
        <f t="shared" si="55"/>
        <v>3</v>
      </c>
      <c r="BB880">
        <f>SUM(ifood_data[[#This Row],[Recency Score]:[Monetary Score]])</f>
        <v>14</v>
      </c>
      <c r="BC880">
        <f>(_xlfn.PERCENTRANK.INC(ifood_data[[#All],[RFM]],ifood_data[[#This Row],[RFM]],1))*10</f>
        <v>4</v>
      </c>
      <c r="BD880" t="str">
        <f>VLOOKUP(ifood_data[[#This Row],[RFM Score]],'RFM Analysis'!$A$3:$B$14,2,FALSE)</f>
        <v>At Risk</v>
      </c>
      <c r="BE880">
        <f>'Regression Models'!$B$101+'Regression Models'!$B$102*ifood_data[[#This Row],[Income]]+'Regression Models'!$B$103*ifood_data[[#This Row],[Age]]+'Regression Models'!$B$104*ifood_data[[#This Row],[Family]]</f>
        <v>594.06509265012505</v>
      </c>
      <c r="BF880" t="str">
        <f>IF(ifood_data[[#This Row],[AcceptedCmpOverall]]=1,"Campaign Respondent","Non-respondent")</f>
        <v>Non-respondent</v>
      </c>
    </row>
    <row r="881" spans="1:58" x14ac:dyDescent="0.35">
      <c r="A881">
        <v>1821</v>
      </c>
      <c r="B881">
        <v>56559</v>
      </c>
      <c r="C881">
        <v>0</v>
      </c>
      <c r="D881">
        <v>1</v>
      </c>
      <c r="E881">
        <v>46</v>
      </c>
      <c r="F881">
        <v>226</v>
      </c>
      <c r="G881">
        <v>22</v>
      </c>
      <c r="H881">
        <v>133</v>
      </c>
      <c r="I881">
        <v>41</v>
      </c>
      <c r="J881">
        <v>31</v>
      </c>
      <c r="K881">
        <v>31</v>
      </c>
      <c r="L881">
        <v>3</v>
      </c>
      <c r="M881">
        <v>4</v>
      </c>
      <c r="N881">
        <v>3</v>
      </c>
      <c r="O881">
        <v>8</v>
      </c>
      <c r="P881">
        <v>4</v>
      </c>
      <c r="Q881">
        <v>0</v>
      </c>
      <c r="R881">
        <v>0</v>
      </c>
      <c r="S881">
        <v>0</v>
      </c>
      <c r="T881">
        <v>0</v>
      </c>
      <c r="U881">
        <v>0</v>
      </c>
      <c r="V881">
        <f>IF(SUM(ifood_data[[#This Row],[AcceptedCmp1]:[AcceptedCmp5]])&gt;0,1,0)</f>
        <v>0</v>
      </c>
      <c r="W881">
        <v>0</v>
      </c>
      <c r="X881">
        <v>3</v>
      </c>
      <c r="Y881">
        <v>11</v>
      </c>
      <c r="Z881">
        <v>0</v>
      </c>
      <c r="AA881">
        <v>45</v>
      </c>
      <c r="AB881">
        <v>2710</v>
      </c>
      <c r="AC881" s="28">
        <f>ifood_data[[#This Row],[Customer_Days]]/365</f>
        <v>7.4246575342465757</v>
      </c>
      <c r="AD881">
        <v>0</v>
      </c>
      <c r="AE881">
        <v>0</v>
      </c>
      <c r="AF881">
        <v>0</v>
      </c>
      <c r="AG881">
        <v>1</v>
      </c>
      <c r="AH881">
        <v>0</v>
      </c>
      <c r="AI881">
        <v>0</v>
      </c>
      <c r="AJ881">
        <v>0</v>
      </c>
      <c r="AK881">
        <v>0</v>
      </c>
      <c r="AL881">
        <v>0</v>
      </c>
      <c r="AM881">
        <v>1</v>
      </c>
      <c r="AN881">
        <v>453</v>
      </c>
      <c r="AO881">
        <v>422</v>
      </c>
      <c r="AP881">
        <f>ifood_data[[#This Row],[MntTotal]]-ifood_data[[#This Row],[MntRegularProds]]</f>
        <v>31</v>
      </c>
      <c r="AQ881">
        <v>0</v>
      </c>
      <c r="AR881">
        <f>IF(SUM(ifood_data[[#This Row],[Kidhome]:[Teenhome]])&gt;0,1,0)</f>
        <v>1</v>
      </c>
      <c r="AS881" t="str">
        <f>IF(SUM(ifood_data[[#This Row],[Kidhome]:[Teenhome]])&gt;0,"Has Family","No Family")</f>
        <v>Has Family</v>
      </c>
      <c r="AT881" t="str">
        <f>IF(ifood_data[[#This Row],[marital_Married]]=1,"Married", (IF(ifood_data[[#This Row],[marital_Single]]=1,"Single",(IF(ifood_data[[#This Row],[marital_Divorced]]=1,"Divorced",(IF(ifood_data[[#This Row],[marital_Together]]=1,"Living Together",(IF(ifood_data[[#This Row],[marital_Widow]]=1,"Widow","Other")))))))))</f>
        <v>Living Together</v>
      </c>
      <c r="AU881" t="str">
        <f>IF(ifood_data[[#This Row],[education_Basic]]=1,"High School",(IF(ifood_data[[#This Row],[education_Graduation]]=1,"Undergraduate Degree",(IF(SUM(AM881,AL881,AI881)&gt;0,"Master's Degree or Higher","Other")))))</f>
        <v>Master's Degree or Higher</v>
      </c>
      <c r="AV881" t="str">
        <f>IF(ifood_data[[#All],[Income]]&gt;75000,"75K+",(IF(ifood_data[[#All],[Income]]&gt;50000,"50K-75K",(IF(ifood_data[[#All],[Income]]&gt;35000,"35K-50K","&lt;35K")))))</f>
        <v>50K-75K</v>
      </c>
      <c r="AW881" t="str">
        <f>IF(ifood_data[[#All],[Age]]&gt;60,"60+",(IF(ifood_data[[#All],[Age]]&gt;50,"50-60",(IF(ifood_data[[#All],[Age]]&gt;40,"40-50",(IF(ifood_data[[#All],[Age]]&gt;30,"30-40","&lt;30")))))))</f>
        <v>40-50</v>
      </c>
      <c r="AX881">
        <f t="shared" si="52"/>
        <v>22</v>
      </c>
      <c r="AY881">
        <f t="shared" si="53"/>
        <v>6</v>
      </c>
      <c r="AZ881">
        <f t="shared" si="54"/>
        <v>5</v>
      </c>
      <c r="BA881">
        <f t="shared" si="55"/>
        <v>5</v>
      </c>
      <c r="BB881">
        <f>SUM(ifood_data[[#This Row],[Recency Score]:[Monetary Score]])</f>
        <v>16</v>
      </c>
      <c r="BC881">
        <f>(_xlfn.PERCENTRANK.INC(ifood_data[[#All],[RFM]],ifood_data[[#This Row],[RFM]],1))*10</f>
        <v>5</v>
      </c>
      <c r="BD881" t="str">
        <f>VLOOKUP(ifood_data[[#This Row],[RFM Score]],'RFM Analysis'!$A$3:$B$14,2,FALSE)</f>
        <v>Promising</v>
      </c>
      <c r="BE881">
        <f>'Regression Models'!$B$101+'Regression Models'!$B$102*ifood_data[[#This Row],[Income]]+'Regression Models'!$B$103*ifood_data[[#This Row],[Age]]+'Regression Models'!$B$104*ifood_data[[#This Row],[Family]]</f>
        <v>593.09969155305305</v>
      </c>
      <c r="BF881" t="str">
        <f>IF(ifood_data[[#This Row],[AcceptedCmpOverall]]=1,"Campaign Respondent","Non-respondent")</f>
        <v>Non-respondent</v>
      </c>
    </row>
    <row r="882" spans="1:58" x14ac:dyDescent="0.35">
      <c r="A882">
        <v>1360</v>
      </c>
      <c r="B882">
        <v>57957</v>
      </c>
      <c r="C882">
        <v>0</v>
      </c>
      <c r="D882">
        <v>1</v>
      </c>
      <c r="E882">
        <v>24</v>
      </c>
      <c r="F882">
        <v>290</v>
      </c>
      <c r="G882">
        <v>59</v>
      </c>
      <c r="H882">
        <v>177</v>
      </c>
      <c r="I882">
        <v>77</v>
      </c>
      <c r="J882">
        <v>5</v>
      </c>
      <c r="K882">
        <v>29</v>
      </c>
      <c r="L882">
        <v>7</v>
      </c>
      <c r="M882">
        <v>4</v>
      </c>
      <c r="N882">
        <v>6</v>
      </c>
      <c r="O882">
        <v>8</v>
      </c>
      <c r="P882">
        <v>3</v>
      </c>
      <c r="Q882">
        <v>0</v>
      </c>
      <c r="R882">
        <v>0</v>
      </c>
      <c r="S882">
        <v>0</v>
      </c>
      <c r="T882">
        <v>0</v>
      </c>
      <c r="U882">
        <v>0</v>
      </c>
      <c r="V882">
        <f>IF(SUM(ifood_data[[#This Row],[AcceptedCmp1]:[AcceptedCmp5]])&gt;0,1,0)</f>
        <v>0</v>
      </c>
      <c r="W882">
        <v>1</v>
      </c>
      <c r="X882">
        <v>3</v>
      </c>
      <c r="Y882">
        <v>11</v>
      </c>
      <c r="Z882">
        <v>0</v>
      </c>
      <c r="AA882">
        <v>61</v>
      </c>
      <c r="AB882">
        <v>2473</v>
      </c>
      <c r="AC882" s="28">
        <f>ifood_data[[#This Row],[Customer_Days]]/365</f>
        <v>6.7753424657534245</v>
      </c>
      <c r="AD882">
        <v>0</v>
      </c>
      <c r="AE882">
        <v>0</v>
      </c>
      <c r="AF882">
        <v>0</v>
      </c>
      <c r="AG882">
        <v>1</v>
      </c>
      <c r="AH882">
        <v>0</v>
      </c>
      <c r="AI882">
        <v>0</v>
      </c>
      <c r="AJ882">
        <v>0</v>
      </c>
      <c r="AK882">
        <v>1</v>
      </c>
      <c r="AL882">
        <v>0</v>
      </c>
      <c r="AM882">
        <v>0</v>
      </c>
      <c r="AN882">
        <v>608</v>
      </c>
      <c r="AO882">
        <v>579</v>
      </c>
      <c r="AP882">
        <f>ifood_data[[#This Row],[MntTotal]]-ifood_data[[#This Row],[MntRegularProds]]</f>
        <v>29</v>
      </c>
      <c r="AQ882">
        <v>0</v>
      </c>
      <c r="AR882">
        <f>IF(SUM(ifood_data[[#This Row],[Kidhome]:[Teenhome]])&gt;0,1,0)</f>
        <v>1</v>
      </c>
      <c r="AS882" t="str">
        <f>IF(SUM(ifood_data[[#This Row],[Kidhome]:[Teenhome]])&gt;0,"Has Family","No Family")</f>
        <v>Has Family</v>
      </c>
      <c r="AT882" t="str">
        <f>IF(ifood_data[[#This Row],[marital_Married]]=1,"Married", (IF(ifood_data[[#This Row],[marital_Single]]=1,"Single",(IF(ifood_data[[#This Row],[marital_Divorced]]=1,"Divorced",(IF(ifood_data[[#This Row],[marital_Together]]=1,"Living Together",(IF(ifood_data[[#This Row],[marital_Widow]]=1,"Widow","Other")))))))))</f>
        <v>Living Together</v>
      </c>
      <c r="AU882" t="str">
        <f>IF(ifood_data[[#This Row],[education_Basic]]=1,"High School",(IF(ifood_data[[#This Row],[education_Graduation]]=1,"Undergraduate Degree",(IF(SUM(AM882,AL882,AI882)&gt;0,"Master's Degree or Higher","Other")))))</f>
        <v>Undergraduate Degree</v>
      </c>
      <c r="AV882" t="str">
        <f>IF(ifood_data[[#All],[Income]]&gt;75000,"75K+",(IF(ifood_data[[#All],[Income]]&gt;50000,"50K-75K",(IF(ifood_data[[#All],[Income]]&gt;35000,"35K-50K","&lt;35K")))))</f>
        <v>50K-75K</v>
      </c>
      <c r="AW882" t="str">
        <f>IF(ifood_data[[#All],[Age]]&gt;60,"60+",(IF(ifood_data[[#All],[Age]]&gt;50,"50-60",(IF(ifood_data[[#All],[Age]]&gt;40,"40-50",(IF(ifood_data[[#All],[Age]]&gt;30,"30-40","&lt;30")))))))</f>
        <v>60+</v>
      </c>
      <c r="AX882">
        <f t="shared" si="52"/>
        <v>28</v>
      </c>
      <c r="AY882">
        <f t="shared" si="53"/>
        <v>8</v>
      </c>
      <c r="AZ882">
        <f t="shared" si="54"/>
        <v>8</v>
      </c>
      <c r="BA882">
        <f t="shared" si="55"/>
        <v>6</v>
      </c>
      <c r="BB882">
        <f>SUM(ifood_data[[#This Row],[Recency Score]:[Monetary Score]])</f>
        <v>22</v>
      </c>
      <c r="BC882">
        <f>(_xlfn.PERCENTRANK.INC(ifood_data[[#All],[RFM]],ifood_data[[#This Row],[RFM]],1))*10</f>
        <v>8</v>
      </c>
      <c r="BD882" t="str">
        <f>VLOOKUP(ifood_data[[#This Row],[RFM Score]],'RFM Analysis'!$A$3:$B$14,2,FALSE)</f>
        <v>Loyal Customer</v>
      </c>
      <c r="BE882">
        <f>'Regression Models'!$B$101+'Regression Models'!$B$102*ifood_data[[#This Row],[Income]]+'Regression Models'!$B$103*ifood_data[[#This Row],[Age]]+'Regression Models'!$B$104*ifood_data[[#This Row],[Family]]</f>
        <v>592.22016415591531</v>
      </c>
      <c r="BF882" t="str">
        <f>IF(ifood_data[[#This Row],[AcceptedCmpOverall]]=1,"Campaign Respondent","Non-respondent")</f>
        <v>Non-respondent</v>
      </c>
    </row>
    <row r="883" spans="1:58" x14ac:dyDescent="0.35">
      <c r="A883">
        <v>764</v>
      </c>
      <c r="B883">
        <v>56850</v>
      </c>
      <c r="C883">
        <v>0</v>
      </c>
      <c r="D883">
        <v>1</v>
      </c>
      <c r="E883">
        <v>83</v>
      </c>
      <c r="F883">
        <v>34</v>
      </c>
      <c r="G883">
        <v>1</v>
      </c>
      <c r="H883">
        <v>19</v>
      </c>
      <c r="I883">
        <v>2</v>
      </c>
      <c r="J883">
        <v>7</v>
      </c>
      <c r="K883">
        <v>0</v>
      </c>
      <c r="L883">
        <v>1</v>
      </c>
      <c r="M883">
        <v>1</v>
      </c>
      <c r="N883">
        <v>1</v>
      </c>
      <c r="O883">
        <v>3</v>
      </c>
      <c r="P883">
        <v>2</v>
      </c>
      <c r="Q883">
        <v>0</v>
      </c>
      <c r="R883">
        <v>0</v>
      </c>
      <c r="S883">
        <v>0</v>
      </c>
      <c r="T883">
        <v>0</v>
      </c>
      <c r="U883">
        <v>0</v>
      </c>
      <c r="V883">
        <f>IF(SUM(ifood_data[[#This Row],[AcceptedCmp1]:[AcceptedCmp5]])&gt;0,1,0)</f>
        <v>0</v>
      </c>
      <c r="W883">
        <v>0</v>
      </c>
      <c r="X883">
        <v>3</v>
      </c>
      <c r="Y883">
        <v>11</v>
      </c>
      <c r="Z883">
        <v>0</v>
      </c>
      <c r="AA883">
        <v>49</v>
      </c>
      <c r="AB883">
        <v>2257</v>
      </c>
      <c r="AC883" s="28">
        <f>ifood_data[[#This Row],[Customer_Days]]/365</f>
        <v>6.183561643835616</v>
      </c>
      <c r="AD883">
        <v>0</v>
      </c>
      <c r="AE883">
        <v>1</v>
      </c>
      <c r="AF883">
        <v>0</v>
      </c>
      <c r="AG883">
        <v>0</v>
      </c>
      <c r="AH883">
        <v>0</v>
      </c>
      <c r="AI883">
        <v>0</v>
      </c>
      <c r="AJ883">
        <v>0</v>
      </c>
      <c r="AK883">
        <v>0</v>
      </c>
      <c r="AL883">
        <v>1</v>
      </c>
      <c r="AM883">
        <v>0</v>
      </c>
      <c r="AN883">
        <v>63</v>
      </c>
      <c r="AO883">
        <v>63</v>
      </c>
      <c r="AP883">
        <f>ifood_data[[#This Row],[MntTotal]]-ifood_data[[#This Row],[MntRegularProds]]</f>
        <v>0</v>
      </c>
      <c r="AQ883">
        <v>0</v>
      </c>
      <c r="AR883">
        <f>IF(SUM(ifood_data[[#This Row],[Kidhome]:[Teenhome]])&gt;0,1,0)</f>
        <v>1</v>
      </c>
      <c r="AS883" t="str">
        <f>IF(SUM(ifood_data[[#This Row],[Kidhome]:[Teenhome]])&gt;0,"Has Family","No Family")</f>
        <v>Has Family</v>
      </c>
      <c r="AT883" t="str">
        <f>IF(ifood_data[[#This Row],[marital_Married]]=1,"Married", (IF(ifood_data[[#This Row],[marital_Single]]=1,"Single",(IF(ifood_data[[#This Row],[marital_Divorced]]=1,"Divorced",(IF(ifood_data[[#This Row],[marital_Together]]=1,"Living Together",(IF(ifood_data[[#This Row],[marital_Widow]]=1,"Widow","Other")))))))))</f>
        <v>Married</v>
      </c>
      <c r="AU883" t="str">
        <f>IF(ifood_data[[#This Row],[education_Basic]]=1,"High School",(IF(ifood_data[[#This Row],[education_Graduation]]=1,"Undergraduate Degree",(IF(SUM(AM883,AL883,AI883)&gt;0,"Master's Degree or Higher","Other")))))</f>
        <v>Master's Degree or Higher</v>
      </c>
      <c r="AV883" t="str">
        <f>IF(ifood_data[[#All],[Income]]&gt;75000,"75K+",(IF(ifood_data[[#All],[Income]]&gt;50000,"50K-75K",(IF(ifood_data[[#All],[Income]]&gt;35000,"35K-50K","&lt;35K")))))</f>
        <v>50K-75K</v>
      </c>
      <c r="AW883" t="str">
        <f>IF(ifood_data[[#All],[Age]]&gt;60,"60+",(IF(ifood_data[[#All],[Age]]&gt;50,"50-60",(IF(ifood_data[[#All],[Age]]&gt;40,"40-50",(IF(ifood_data[[#All],[Age]]&gt;30,"30-40","&lt;30")))))))</f>
        <v>40-50</v>
      </c>
      <c r="AX883">
        <f t="shared" si="52"/>
        <v>8</v>
      </c>
      <c r="AY883">
        <f t="shared" si="53"/>
        <v>1.9999999999999996</v>
      </c>
      <c r="AZ883">
        <f t="shared" si="54"/>
        <v>0</v>
      </c>
      <c r="BA883">
        <f t="shared" si="55"/>
        <v>2</v>
      </c>
      <c r="BB883">
        <f>SUM(ifood_data[[#This Row],[Recency Score]:[Monetary Score]])</f>
        <v>3.9999999999999996</v>
      </c>
      <c r="BC883">
        <f>(_xlfn.PERCENTRANK.INC(ifood_data[[#All],[RFM]],ifood_data[[#This Row],[RFM]],1))*10</f>
        <v>0</v>
      </c>
      <c r="BD883" t="str">
        <f>VLOOKUP(ifood_data[[#This Row],[RFM Score]],'RFM Analysis'!$A$3:$B$14,2,FALSE)</f>
        <v>Lost</v>
      </c>
      <c r="BE883">
        <f>'Regression Models'!$B$101+'Regression Models'!$B$102*ifood_data[[#This Row],[Income]]+'Regression Models'!$B$103*ifood_data[[#This Row],[Age]]+'Regression Models'!$B$104*ifood_data[[#This Row],[Family]]</f>
        <v>591.68706676735053</v>
      </c>
      <c r="BF883" t="str">
        <f>IF(ifood_data[[#This Row],[AcceptedCmpOverall]]=1,"Campaign Respondent","Non-respondent")</f>
        <v>Non-respondent</v>
      </c>
    </row>
    <row r="884" spans="1:58" x14ac:dyDescent="0.35">
      <c r="A884">
        <v>1748</v>
      </c>
      <c r="B884">
        <v>57107</v>
      </c>
      <c r="C884">
        <v>0</v>
      </c>
      <c r="D884">
        <v>1</v>
      </c>
      <c r="E884">
        <v>44</v>
      </c>
      <c r="F884">
        <v>159</v>
      </c>
      <c r="G884">
        <v>0</v>
      </c>
      <c r="H884">
        <v>120</v>
      </c>
      <c r="I884">
        <v>0</v>
      </c>
      <c r="J884">
        <v>0</v>
      </c>
      <c r="K884">
        <v>137</v>
      </c>
      <c r="L884">
        <v>7</v>
      </c>
      <c r="M884">
        <v>4</v>
      </c>
      <c r="N884">
        <v>4</v>
      </c>
      <c r="O884">
        <v>8</v>
      </c>
      <c r="P884">
        <v>8</v>
      </c>
      <c r="Q884">
        <v>0</v>
      </c>
      <c r="R884">
        <v>1</v>
      </c>
      <c r="S884">
        <v>0</v>
      </c>
      <c r="T884">
        <v>1</v>
      </c>
      <c r="U884">
        <v>0</v>
      </c>
      <c r="V884">
        <f>IF(SUM(ifood_data[[#This Row],[AcceptedCmp1]:[AcceptedCmp5]])&gt;0,1,0)</f>
        <v>1</v>
      </c>
      <c r="W884">
        <v>0</v>
      </c>
      <c r="X884">
        <v>3</v>
      </c>
      <c r="Y884">
        <v>11</v>
      </c>
      <c r="Z884">
        <v>1</v>
      </c>
      <c r="AA884">
        <v>52</v>
      </c>
      <c r="AB884">
        <v>2833</v>
      </c>
      <c r="AC884" s="28">
        <f>ifood_data[[#This Row],[Customer_Days]]/365</f>
        <v>7.7616438356164386</v>
      </c>
      <c r="AD884">
        <v>0</v>
      </c>
      <c r="AE884">
        <v>0</v>
      </c>
      <c r="AF884">
        <v>1</v>
      </c>
      <c r="AG884">
        <v>0</v>
      </c>
      <c r="AH884">
        <v>0</v>
      </c>
      <c r="AI884">
        <v>0</v>
      </c>
      <c r="AJ884">
        <v>0</v>
      </c>
      <c r="AK884">
        <v>1</v>
      </c>
      <c r="AL884">
        <v>0</v>
      </c>
      <c r="AM884">
        <v>0</v>
      </c>
      <c r="AN884">
        <v>279</v>
      </c>
      <c r="AO884">
        <v>142</v>
      </c>
      <c r="AP884">
        <f>ifood_data[[#This Row],[MntTotal]]-ifood_data[[#This Row],[MntRegularProds]]</f>
        <v>137</v>
      </c>
      <c r="AQ884">
        <v>2</v>
      </c>
      <c r="AR884">
        <f>IF(SUM(ifood_data[[#This Row],[Kidhome]:[Teenhome]])&gt;0,1,0)</f>
        <v>1</v>
      </c>
      <c r="AS884" t="str">
        <f>IF(SUM(ifood_data[[#This Row],[Kidhome]:[Teenhome]])&gt;0,"Has Family","No Family")</f>
        <v>Has Family</v>
      </c>
      <c r="AT884" t="str">
        <f>IF(ifood_data[[#This Row],[marital_Married]]=1,"Married", (IF(ifood_data[[#This Row],[marital_Single]]=1,"Single",(IF(ifood_data[[#This Row],[marital_Divorced]]=1,"Divorced",(IF(ifood_data[[#This Row],[marital_Together]]=1,"Living Together",(IF(ifood_data[[#This Row],[marital_Widow]]=1,"Widow","Other")))))))))</f>
        <v>Single</v>
      </c>
      <c r="AU884" t="str">
        <f>IF(ifood_data[[#This Row],[education_Basic]]=1,"High School",(IF(ifood_data[[#This Row],[education_Graduation]]=1,"Undergraduate Degree",(IF(SUM(AM884,AL884,AI884)&gt;0,"Master's Degree or Higher","Other")))))</f>
        <v>Undergraduate Degree</v>
      </c>
      <c r="AV884" t="str">
        <f>IF(ifood_data[[#All],[Income]]&gt;75000,"75K+",(IF(ifood_data[[#All],[Income]]&gt;50000,"50K-75K",(IF(ifood_data[[#All],[Income]]&gt;35000,"35K-50K","&lt;35K")))))</f>
        <v>50K-75K</v>
      </c>
      <c r="AW884" t="str">
        <f>IF(ifood_data[[#All],[Age]]&gt;60,"60+",(IF(ifood_data[[#All],[Age]]&gt;50,"50-60",(IF(ifood_data[[#All],[Age]]&gt;40,"40-50",(IF(ifood_data[[#All],[Age]]&gt;30,"30-40","&lt;30")))))))</f>
        <v>50-60</v>
      </c>
      <c r="AX884">
        <f t="shared" si="52"/>
        <v>31</v>
      </c>
      <c r="AY884">
        <f t="shared" si="53"/>
        <v>6</v>
      </c>
      <c r="AZ884">
        <f t="shared" si="54"/>
        <v>9</v>
      </c>
      <c r="BA884">
        <f t="shared" si="55"/>
        <v>4</v>
      </c>
      <c r="BB884">
        <f>SUM(ifood_data[[#This Row],[Recency Score]:[Monetary Score]])</f>
        <v>19</v>
      </c>
      <c r="BC884">
        <f>(_xlfn.PERCENTRANK.INC(ifood_data[[#All],[RFM]],ifood_data[[#This Row],[RFM]],1))*10</f>
        <v>7</v>
      </c>
      <c r="BD884" t="str">
        <f>VLOOKUP(ifood_data[[#This Row],[RFM Score]],'RFM Analysis'!$A$3:$B$14,2,FALSE)</f>
        <v>Loyal Customer</v>
      </c>
      <c r="BE884">
        <f>'Regression Models'!$B$101+'Regression Models'!$B$102*ifood_data[[#This Row],[Income]]+'Regression Models'!$B$103*ifood_data[[#This Row],[Age]]+'Regression Models'!$B$104*ifood_data[[#This Row],[Family]]</f>
        <v>591.41766294364982</v>
      </c>
      <c r="BF884" t="str">
        <f>IF(ifood_data[[#This Row],[AcceptedCmpOverall]]=1,"Campaign Respondent","Non-respondent")</f>
        <v>Campaign Respondent</v>
      </c>
    </row>
    <row r="885" spans="1:58" x14ac:dyDescent="0.35">
      <c r="A885">
        <v>1913</v>
      </c>
      <c r="B885">
        <v>58275</v>
      </c>
      <c r="C885">
        <v>1</v>
      </c>
      <c r="D885">
        <v>1</v>
      </c>
      <c r="E885">
        <v>48</v>
      </c>
      <c r="F885">
        <v>189</v>
      </c>
      <c r="G885">
        <v>10</v>
      </c>
      <c r="H885">
        <v>253</v>
      </c>
      <c r="I885">
        <v>56</v>
      </c>
      <c r="J885">
        <v>43</v>
      </c>
      <c r="K885">
        <v>64</v>
      </c>
      <c r="L885">
        <v>6</v>
      </c>
      <c r="M885">
        <v>8</v>
      </c>
      <c r="N885">
        <v>2</v>
      </c>
      <c r="O885">
        <v>7</v>
      </c>
      <c r="P885">
        <v>7</v>
      </c>
      <c r="Q885">
        <v>0</v>
      </c>
      <c r="R885">
        <v>0</v>
      </c>
      <c r="S885">
        <v>0</v>
      </c>
      <c r="T885">
        <v>0</v>
      </c>
      <c r="U885">
        <v>0</v>
      </c>
      <c r="V885">
        <f>IF(SUM(ifood_data[[#This Row],[AcceptedCmp1]:[AcceptedCmp5]])&gt;0,1,0)</f>
        <v>0</v>
      </c>
      <c r="W885">
        <v>0</v>
      </c>
      <c r="X885">
        <v>3</v>
      </c>
      <c r="Y885">
        <v>11</v>
      </c>
      <c r="Z885">
        <v>0</v>
      </c>
      <c r="AA885">
        <v>65</v>
      </c>
      <c r="AB885">
        <v>2551</v>
      </c>
      <c r="AC885" s="28">
        <f>ifood_data[[#This Row],[Customer_Days]]/365</f>
        <v>6.9890410958904106</v>
      </c>
      <c r="AD885">
        <v>0</v>
      </c>
      <c r="AE885">
        <v>0</v>
      </c>
      <c r="AF885">
        <v>0</v>
      </c>
      <c r="AG885">
        <v>0</v>
      </c>
      <c r="AH885">
        <v>1</v>
      </c>
      <c r="AI885">
        <v>0</v>
      </c>
      <c r="AJ885">
        <v>0</v>
      </c>
      <c r="AK885">
        <v>1</v>
      </c>
      <c r="AL885">
        <v>0</v>
      </c>
      <c r="AM885">
        <v>0</v>
      </c>
      <c r="AN885">
        <v>551</v>
      </c>
      <c r="AO885">
        <v>487</v>
      </c>
      <c r="AP885">
        <f>ifood_data[[#This Row],[MntTotal]]-ifood_data[[#This Row],[MntRegularProds]]</f>
        <v>64</v>
      </c>
      <c r="AQ885">
        <v>0</v>
      </c>
      <c r="AR885">
        <f>IF(SUM(ifood_data[[#This Row],[Kidhome]:[Teenhome]])&gt;0,1,0)</f>
        <v>1</v>
      </c>
      <c r="AS885" t="str">
        <f>IF(SUM(ifood_data[[#This Row],[Kidhome]:[Teenhome]])&gt;0,"Has Family","No Family")</f>
        <v>Has Family</v>
      </c>
      <c r="AT885" t="str">
        <f>IF(ifood_data[[#This Row],[marital_Married]]=1,"Married", (IF(ifood_data[[#This Row],[marital_Single]]=1,"Single",(IF(ifood_data[[#This Row],[marital_Divorced]]=1,"Divorced",(IF(ifood_data[[#This Row],[marital_Together]]=1,"Living Together",(IF(ifood_data[[#This Row],[marital_Widow]]=1,"Widow","Other")))))))))</f>
        <v>Widow</v>
      </c>
      <c r="AU885" t="str">
        <f>IF(ifood_data[[#This Row],[education_Basic]]=1,"High School",(IF(ifood_data[[#This Row],[education_Graduation]]=1,"Undergraduate Degree",(IF(SUM(AM885,AL885,AI885)&gt;0,"Master's Degree or Higher","Other")))))</f>
        <v>Undergraduate Degree</v>
      </c>
      <c r="AV885" t="str">
        <f>IF(ifood_data[[#All],[Income]]&gt;75000,"75K+",(IF(ifood_data[[#All],[Income]]&gt;50000,"50K-75K",(IF(ifood_data[[#All],[Income]]&gt;35000,"35K-50K","&lt;35K")))))</f>
        <v>50K-75K</v>
      </c>
      <c r="AW885" t="str">
        <f>IF(ifood_data[[#All],[Age]]&gt;60,"60+",(IF(ifood_data[[#All],[Age]]&gt;50,"50-60",(IF(ifood_data[[#All],[Age]]&gt;40,"40-50",(IF(ifood_data[[#All],[Age]]&gt;30,"30-40","&lt;30")))))))</f>
        <v>60+</v>
      </c>
      <c r="AX885">
        <f t="shared" si="52"/>
        <v>30</v>
      </c>
      <c r="AY885">
        <f t="shared" si="53"/>
        <v>6</v>
      </c>
      <c r="AZ885">
        <f t="shared" si="54"/>
        <v>8</v>
      </c>
      <c r="BA885">
        <f t="shared" si="55"/>
        <v>5</v>
      </c>
      <c r="BB885">
        <f>SUM(ifood_data[[#This Row],[Recency Score]:[Monetary Score]])</f>
        <v>19</v>
      </c>
      <c r="BC885">
        <f>(_xlfn.PERCENTRANK.INC(ifood_data[[#All],[RFM]],ifood_data[[#This Row],[RFM]],1))*10</f>
        <v>7</v>
      </c>
      <c r="BD885" t="str">
        <f>VLOOKUP(ifood_data[[#This Row],[RFM Score]],'RFM Analysis'!$A$3:$B$14,2,FALSE)</f>
        <v>Loyal Customer</v>
      </c>
      <c r="BE885">
        <f>'Regression Models'!$B$101+'Regression Models'!$B$102*ifood_data[[#This Row],[Income]]+'Regression Models'!$B$103*ifood_data[[#This Row],[Age]]+'Regression Models'!$B$104*ifood_data[[#This Row],[Family]]</f>
        <v>591.35803611009817</v>
      </c>
      <c r="BF885" t="str">
        <f>IF(ifood_data[[#This Row],[AcceptedCmpOverall]]=1,"Campaign Respondent","Non-respondent")</f>
        <v>Non-respondent</v>
      </c>
    </row>
    <row r="886" spans="1:58" x14ac:dyDescent="0.35">
      <c r="A886">
        <v>1144</v>
      </c>
      <c r="B886">
        <v>56721</v>
      </c>
      <c r="C886">
        <v>1</v>
      </c>
      <c r="D886">
        <v>1</v>
      </c>
      <c r="E886">
        <v>64</v>
      </c>
      <c r="F886">
        <v>157</v>
      </c>
      <c r="G886">
        <v>6</v>
      </c>
      <c r="H886">
        <v>39</v>
      </c>
      <c r="I886">
        <v>6</v>
      </c>
      <c r="J886">
        <v>13</v>
      </c>
      <c r="K886">
        <v>75</v>
      </c>
      <c r="L886">
        <v>5</v>
      </c>
      <c r="M886">
        <v>4</v>
      </c>
      <c r="N886">
        <v>1</v>
      </c>
      <c r="O886">
        <v>5</v>
      </c>
      <c r="P886">
        <v>6</v>
      </c>
      <c r="Q886">
        <v>0</v>
      </c>
      <c r="R886">
        <v>0</v>
      </c>
      <c r="S886">
        <v>0</v>
      </c>
      <c r="T886">
        <v>0</v>
      </c>
      <c r="U886">
        <v>0</v>
      </c>
      <c r="V886">
        <f>IF(SUM(ifood_data[[#This Row],[AcceptedCmp1]:[AcceptedCmp5]])&gt;0,1,0)</f>
        <v>0</v>
      </c>
      <c r="W886">
        <v>0</v>
      </c>
      <c r="X886">
        <v>3</v>
      </c>
      <c r="Y886">
        <v>11</v>
      </c>
      <c r="Z886">
        <v>0</v>
      </c>
      <c r="AA886">
        <v>48</v>
      </c>
      <c r="AB886">
        <v>2765</v>
      </c>
      <c r="AC886" s="28">
        <f>ifood_data[[#This Row],[Customer_Days]]/365</f>
        <v>7.5753424657534243</v>
      </c>
      <c r="AD886">
        <v>0</v>
      </c>
      <c r="AE886">
        <v>1</v>
      </c>
      <c r="AF886">
        <v>0</v>
      </c>
      <c r="AG886">
        <v>0</v>
      </c>
      <c r="AH886">
        <v>0</v>
      </c>
      <c r="AI886">
        <v>0</v>
      </c>
      <c r="AJ886">
        <v>0</v>
      </c>
      <c r="AK886">
        <v>1</v>
      </c>
      <c r="AL886">
        <v>0</v>
      </c>
      <c r="AM886">
        <v>0</v>
      </c>
      <c r="AN886">
        <v>221</v>
      </c>
      <c r="AO886">
        <v>146</v>
      </c>
      <c r="AP886">
        <f>ifood_data[[#This Row],[MntTotal]]-ifood_data[[#This Row],[MntRegularProds]]</f>
        <v>75</v>
      </c>
      <c r="AQ886">
        <v>0</v>
      </c>
      <c r="AR886">
        <f>IF(SUM(ifood_data[[#This Row],[Kidhome]:[Teenhome]])&gt;0,1,0)</f>
        <v>1</v>
      </c>
      <c r="AS886" t="str">
        <f>IF(SUM(ifood_data[[#This Row],[Kidhome]:[Teenhome]])&gt;0,"Has Family","No Family")</f>
        <v>Has Family</v>
      </c>
      <c r="AT886" t="str">
        <f>IF(ifood_data[[#This Row],[marital_Married]]=1,"Married", (IF(ifood_data[[#This Row],[marital_Single]]=1,"Single",(IF(ifood_data[[#This Row],[marital_Divorced]]=1,"Divorced",(IF(ifood_data[[#This Row],[marital_Together]]=1,"Living Together",(IF(ifood_data[[#This Row],[marital_Widow]]=1,"Widow","Other")))))))))</f>
        <v>Married</v>
      </c>
      <c r="AU886" t="str">
        <f>IF(ifood_data[[#This Row],[education_Basic]]=1,"High School",(IF(ifood_data[[#This Row],[education_Graduation]]=1,"Undergraduate Degree",(IF(SUM(AM886,AL886,AI886)&gt;0,"Master's Degree or Higher","Other")))))</f>
        <v>Undergraduate Degree</v>
      </c>
      <c r="AV886" t="str">
        <f>IF(ifood_data[[#All],[Income]]&gt;75000,"75K+",(IF(ifood_data[[#All],[Income]]&gt;50000,"50K-75K",(IF(ifood_data[[#All],[Income]]&gt;35000,"35K-50K","&lt;35K")))))</f>
        <v>50K-75K</v>
      </c>
      <c r="AW886" t="str">
        <f>IF(ifood_data[[#All],[Age]]&gt;60,"60+",(IF(ifood_data[[#All],[Age]]&gt;50,"50-60",(IF(ifood_data[[#All],[Age]]&gt;40,"40-50",(IF(ifood_data[[#All],[Age]]&gt;30,"30-40","&lt;30")))))))</f>
        <v>40-50</v>
      </c>
      <c r="AX886">
        <f t="shared" si="52"/>
        <v>21</v>
      </c>
      <c r="AY886">
        <f t="shared" si="53"/>
        <v>4</v>
      </c>
      <c r="AZ886">
        <f t="shared" si="54"/>
        <v>5</v>
      </c>
      <c r="BA886">
        <f t="shared" si="55"/>
        <v>4</v>
      </c>
      <c r="BB886">
        <f>SUM(ifood_data[[#This Row],[Recency Score]:[Monetary Score]])</f>
        <v>13</v>
      </c>
      <c r="BC886">
        <f>(_xlfn.PERCENTRANK.INC(ifood_data[[#All],[RFM]],ifood_data[[#This Row],[RFM]],1))*10</f>
        <v>3</v>
      </c>
      <c r="BD886" t="str">
        <f>VLOOKUP(ifood_data[[#This Row],[RFM Score]],'RFM Analysis'!$A$3:$B$14,2,FALSE)</f>
        <v>At Risk</v>
      </c>
      <c r="BE886">
        <f>'Regression Models'!$B$101+'Regression Models'!$B$102*ifood_data[[#This Row],[Income]]+'Regression Models'!$B$103*ifood_data[[#This Row],[Age]]+'Regression Models'!$B$104*ifood_data[[#This Row],[Family]]</f>
        <v>590.8933547556818</v>
      </c>
      <c r="BF886" t="str">
        <f>IF(ifood_data[[#This Row],[AcceptedCmpOverall]]=1,"Campaign Respondent","Non-respondent")</f>
        <v>Non-respondent</v>
      </c>
    </row>
    <row r="887" spans="1:58" x14ac:dyDescent="0.35">
      <c r="A887">
        <v>583</v>
      </c>
      <c r="B887">
        <v>45006</v>
      </c>
      <c r="C887">
        <v>0</v>
      </c>
      <c r="D887">
        <v>0</v>
      </c>
      <c r="E887">
        <v>90</v>
      </c>
      <c r="F887">
        <v>162</v>
      </c>
      <c r="G887">
        <v>25</v>
      </c>
      <c r="H887">
        <v>53</v>
      </c>
      <c r="I887">
        <v>16</v>
      </c>
      <c r="J887">
        <v>0</v>
      </c>
      <c r="K887">
        <v>10</v>
      </c>
      <c r="L887">
        <v>1</v>
      </c>
      <c r="M887">
        <v>3</v>
      </c>
      <c r="N887">
        <v>1</v>
      </c>
      <c r="O887">
        <v>7</v>
      </c>
      <c r="P887">
        <v>3</v>
      </c>
      <c r="Q887">
        <v>0</v>
      </c>
      <c r="R887">
        <v>0</v>
      </c>
      <c r="S887">
        <v>0</v>
      </c>
      <c r="T887">
        <v>0</v>
      </c>
      <c r="U887">
        <v>0</v>
      </c>
      <c r="V887">
        <f>IF(SUM(ifood_data[[#This Row],[AcceptedCmp1]:[AcceptedCmp5]])&gt;0,1,0)</f>
        <v>0</v>
      </c>
      <c r="W887">
        <v>0</v>
      </c>
      <c r="X887">
        <v>3</v>
      </c>
      <c r="Y887">
        <v>11</v>
      </c>
      <c r="Z887">
        <v>0</v>
      </c>
      <c r="AA887">
        <v>76</v>
      </c>
      <c r="AB887">
        <v>2505</v>
      </c>
      <c r="AC887" s="28">
        <f>ifood_data[[#This Row],[Customer_Days]]/365</f>
        <v>6.8630136986301373</v>
      </c>
      <c r="AD887">
        <v>0</v>
      </c>
      <c r="AE887">
        <v>0</v>
      </c>
      <c r="AF887">
        <v>0</v>
      </c>
      <c r="AG887">
        <v>0</v>
      </c>
      <c r="AH887">
        <v>1</v>
      </c>
      <c r="AI887">
        <v>0</v>
      </c>
      <c r="AJ887">
        <v>0</v>
      </c>
      <c r="AK887">
        <v>0</v>
      </c>
      <c r="AL887">
        <v>1</v>
      </c>
      <c r="AM887">
        <v>0</v>
      </c>
      <c r="AN887">
        <v>256</v>
      </c>
      <c r="AO887">
        <v>246</v>
      </c>
      <c r="AP887">
        <f>ifood_data[[#This Row],[MntTotal]]-ifood_data[[#This Row],[MntRegularProds]]</f>
        <v>10</v>
      </c>
      <c r="AQ887">
        <v>0</v>
      </c>
      <c r="AR887">
        <f>IF(SUM(ifood_data[[#This Row],[Kidhome]:[Teenhome]])&gt;0,1,0)</f>
        <v>0</v>
      </c>
      <c r="AS887" t="str">
        <f>IF(SUM(ifood_data[[#This Row],[Kidhome]:[Teenhome]])&gt;0,"Has Family","No Family")</f>
        <v>No Family</v>
      </c>
      <c r="AT887" t="str">
        <f>IF(ifood_data[[#This Row],[marital_Married]]=1,"Married", (IF(ifood_data[[#This Row],[marital_Single]]=1,"Single",(IF(ifood_data[[#This Row],[marital_Divorced]]=1,"Divorced",(IF(ifood_data[[#This Row],[marital_Together]]=1,"Living Together",(IF(ifood_data[[#This Row],[marital_Widow]]=1,"Widow","Other")))))))))</f>
        <v>Widow</v>
      </c>
      <c r="AU887" t="str">
        <f>IF(ifood_data[[#This Row],[education_Basic]]=1,"High School",(IF(ifood_data[[#This Row],[education_Graduation]]=1,"Undergraduate Degree",(IF(SUM(AM887,AL887,AI887)&gt;0,"Master's Degree or Higher","Other")))))</f>
        <v>Master's Degree or Higher</v>
      </c>
      <c r="AV887" t="str">
        <f>IF(ifood_data[[#All],[Income]]&gt;75000,"75K+",(IF(ifood_data[[#All],[Income]]&gt;50000,"50K-75K",(IF(ifood_data[[#All],[Income]]&gt;35000,"35K-50K","&lt;35K")))))</f>
        <v>35K-50K</v>
      </c>
      <c r="AW887" t="str">
        <f>IF(ifood_data[[#All],[Age]]&gt;60,"60+",(IF(ifood_data[[#All],[Age]]&gt;50,"50-60",(IF(ifood_data[[#All],[Age]]&gt;40,"40-50",(IF(ifood_data[[#All],[Age]]&gt;30,"30-40","&lt;30")))))))</f>
        <v>60+</v>
      </c>
      <c r="AX887">
        <f t="shared" si="52"/>
        <v>15</v>
      </c>
      <c r="AY887">
        <f t="shared" si="53"/>
        <v>0.99999999999999978</v>
      </c>
      <c r="AZ887">
        <f t="shared" si="54"/>
        <v>2</v>
      </c>
      <c r="BA887">
        <f t="shared" si="55"/>
        <v>4</v>
      </c>
      <c r="BB887">
        <f>SUM(ifood_data[[#This Row],[Recency Score]:[Monetary Score]])</f>
        <v>7</v>
      </c>
      <c r="BC887">
        <f>(_xlfn.PERCENTRANK.INC(ifood_data[[#All],[RFM]],ifood_data[[#This Row],[RFM]],1))*10</f>
        <v>1</v>
      </c>
      <c r="BD887" t="str">
        <f>VLOOKUP(ifood_data[[#This Row],[RFM Score]],'RFM Analysis'!$A$3:$B$14,2,FALSE)</f>
        <v>At Risk</v>
      </c>
      <c r="BE887">
        <f>'Regression Models'!$B$101+'Regression Models'!$B$102*ifood_data[[#This Row],[Income]]+'Regression Models'!$B$103*ifood_data[[#This Row],[Age]]+'Regression Models'!$B$104*ifood_data[[#This Row],[Family]]</f>
        <v>590.2322728138821</v>
      </c>
      <c r="BF887" t="str">
        <f>IF(ifood_data[[#This Row],[AcceptedCmpOverall]]=1,"Campaign Respondent","Non-respondent")</f>
        <v>Non-respondent</v>
      </c>
    </row>
    <row r="888" spans="1:58" x14ac:dyDescent="0.35">
      <c r="A888">
        <v>1813</v>
      </c>
      <c r="B888">
        <v>58116</v>
      </c>
      <c r="C888">
        <v>0</v>
      </c>
      <c r="D888">
        <v>1</v>
      </c>
      <c r="E888">
        <v>38</v>
      </c>
      <c r="F888">
        <v>228</v>
      </c>
      <c r="G888">
        <v>19</v>
      </c>
      <c r="H888">
        <v>130</v>
      </c>
      <c r="I888">
        <v>4</v>
      </c>
      <c r="J888">
        <v>11</v>
      </c>
      <c r="K888">
        <v>51</v>
      </c>
      <c r="L888">
        <v>2</v>
      </c>
      <c r="M888">
        <v>3</v>
      </c>
      <c r="N888">
        <v>3</v>
      </c>
      <c r="O888">
        <v>8</v>
      </c>
      <c r="P888">
        <v>2</v>
      </c>
      <c r="Q888">
        <v>0</v>
      </c>
      <c r="R888">
        <v>0</v>
      </c>
      <c r="S888">
        <v>0</v>
      </c>
      <c r="T888">
        <v>0</v>
      </c>
      <c r="U888">
        <v>0</v>
      </c>
      <c r="V888">
        <f>IF(SUM(ifood_data[[#This Row],[AcceptedCmp1]:[AcceptedCmp5]])&gt;0,1,0)</f>
        <v>0</v>
      </c>
      <c r="W888">
        <v>0</v>
      </c>
      <c r="X888">
        <v>3</v>
      </c>
      <c r="Y888">
        <v>11</v>
      </c>
      <c r="Z888">
        <v>0</v>
      </c>
      <c r="AA888">
        <v>64</v>
      </c>
      <c r="AB888">
        <v>2236</v>
      </c>
      <c r="AC888" s="28">
        <f>ifood_data[[#This Row],[Customer_Days]]/365</f>
        <v>6.1260273972602741</v>
      </c>
      <c r="AD888">
        <v>0</v>
      </c>
      <c r="AE888">
        <v>1</v>
      </c>
      <c r="AF888">
        <v>0</v>
      </c>
      <c r="AG888">
        <v>0</v>
      </c>
      <c r="AH888">
        <v>0</v>
      </c>
      <c r="AI888">
        <v>0</v>
      </c>
      <c r="AJ888">
        <v>0</v>
      </c>
      <c r="AK888">
        <v>1</v>
      </c>
      <c r="AL888">
        <v>0</v>
      </c>
      <c r="AM888">
        <v>0</v>
      </c>
      <c r="AN888">
        <v>392</v>
      </c>
      <c r="AO888">
        <v>341</v>
      </c>
      <c r="AP888">
        <f>ifood_data[[#This Row],[MntTotal]]-ifood_data[[#This Row],[MntRegularProds]]</f>
        <v>51</v>
      </c>
      <c r="AQ888">
        <v>0</v>
      </c>
      <c r="AR888">
        <f>IF(SUM(ifood_data[[#This Row],[Kidhome]:[Teenhome]])&gt;0,1,0)</f>
        <v>1</v>
      </c>
      <c r="AS888" t="str">
        <f>IF(SUM(ifood_data[[#This Row],[Kidhome]:[Teenhome]])&gt;0,"Has Family","No Family")</f>
        <v>Has Family</v>
      </c>
      <c r="AT888" t="str">
        <f>IF(ifood_data[[#This Row],[marital_Married]]=1,"Married", (IF(ifood_data[[#This Row],[marital_Single]]=1,"Single",(IF(ifood_data[[#This Row],[marital_Divorced]]=1,"Divorced",(IF(ifood_data[[#This Row],[marital_Together]]=1,"Living Together",(IF(ifood_data[[#This Row],[marital_Widow]]=1,"Widow","Other")))))))))</f>
        <v>Married</v>
      </c>
      <c r="AU888" t="str">
        <f>IF(ifood_data[[#This Row],[education_Basic]]=1,"High School",(IF(ifood_data[[#This Row],[education_Graduation]]=1,"Undergraduate Degree",(IF(SUM(AM888,AL888,AI888)&gt;0,"Master's Degree or Higher","Other")))))</f>
        <v>Undergraduate Degree</v>
      </c>
      <c r="AV888" t="str">
        <f>IF(ifood_data[[#All],[Income]]&gt;75000,"75K+",(IF(ifood_data[[#All],[Income]]&gt;50000,"50K-75K",(IF(ifood_data[[#All],[Income]]&gt;35000,"35K-50K","&lt;35K")))))</f>
        <v>50K-75K</v>
      </c>
      <c r="AW888" t="str">
        <f>IF(ifood_data[[#All],[Age]]&gt;60,"60+",(IF(ifood_data[[#All],[Age]]&gt;50,"50-60",(IF(ifood_data[[#All],[Age]]&gt;40,"40-50",(IF(ifood_data[[#All],[Age]]&gt;30,"30-40","&lt;30")))))))</f>
        <v>60+</v>
      </c>
      <c r="AX888">
        <f t="shared" si="52"/>
        <v>18</v>
      </c>
      <c r="AY888">
        <f t="shared" si="53"/>
        <v>7</v>
      </c>
      <c r="AZ888">
        <f t="shared" si="54"/>
        <v>4</v>
      </c>
      <c r="BA888">
        <f t="shared" si="55"/>
        <v>5</v>
      </c>
      <c r="BB888">
        <f>SUM(ifood_data[[#This Row],[Recency Score]:[Monetary Score]])</f>
        <v>16</v>
      </c>
      <c r="BC888">
        <f>(_xlfn.PERCENTRANK.INC(ifood_data[[#All],[RFM]],ifood_data[[#This Row],[RFM]],1))*10</f>
        <v>5</v>
      </c>
      <c r="BD888" t="str">
        <f>VLOOKUP(ifood_data[[#This Row],[RFM Score]],'RFM Analysis'!$A$3:$B$14,2,FALSE)</f>
        <v>Promising</v>
      </c>
      <c r="BE888">
        <f>'Regression Models'!$B$101+'Regression Models'!$B$102*ifood_data[[#This Row],[Income]]+'Regression Models'!$B$103*ifood_data[[#This Row],[Age]]+'Regression Models'!$B$104*ifood_data[[#This Row],[Family]]</f>
        <v>589.95266105411235</v>
      </c>
      <c r="BF888" t="str">
        <f>IF(ifood_data[[#This Row],[AcceptedCmpOverall]]=1,"Campaign Respondent","Non-respondent")</f>
        <v>Non-respondent</v>
      </c>
    </row>
    <row r="889" spans="1:58" x14ac:dyDescent="0.35">
      <c r="A889">
        <v>1198</v>
      </c>
      <c r="B889">
        <v>57183</v>
      </c>
      <c r="C889">
        <v>1</v>
      </c>
      <c r="D889">
        <v>1</v>
      </c>
      <c r="E889">
        <v>51</v>
      </c>
      <c r="F889">
        <v>464</v>
      </c>
      <c r="G889">
        <v>5</v>
      </c>
      <c r="H889">
        <v>64</v>
      </c>
      <c r="I889">
        <v>7</v>
      </c>
      <c r="J889">
        <v>0</v>
      </c>
      <c r="K889">
        <v>70</v>
      </c>
      <c r="L889">
        <v>8</v>
      </c>
      <c r="M889">
        <v>9</v>
      </c>
      <c r="N889">
        <v>1</v>
      </c>
      <c r="O889">
        <v>7</v>
      </c>
      <c r="P889">
        <v>8</v>
      </c>
      <c r="Q889">
        <v>0</v>
      </c>
      <c r="R889">
        <v>0</v>
      </c>
      <c r="S889">
        <v>0</v>
      </c>
      <c r="T889">
        <v>0</v>
      </c>
      <c r="U889">
        <v>0</v>
      </c>
      <c r="V889">
        <f>IF(SUM(ifood_data[[#This Row],[AcceptedCmp1]:[AcceptedCmp5]])&gt;0,1,0)</f>
        <v>0</v>
      </c>
      <c r="W889">
        <v>0</v>
      </c>
      <c r="X889">
        <v>3</v>
      </c>
      <c r="Y889">
        <v>11</v>
      </c>
      <c r="Z889">
        <v>0</v>
      </c>
      <c r="AA889">
        <v>54</v>
      </c>
      <c r="AB889">
        <v>2626</v>
      </c>
      <c r="AC889" s="28">
        <f>ifood_data[[#This Row],[Customer_Days]]/365</f>
        <v>7.1945205479452055</v>
      </c>
      <c r="AD889">
        <v>0</v>
      </c>
      <c r="AE889">
        <v>1</v>
      </c>
      <c r="AF889">
        <v>0</v>
      </c>
      <c r="AG889">
        <v>0</v>
      </c>
      <c r="AH889">
        <v>0</v>
      </c>
      <c r="AI889">
        <v>0</v>
      </c>
      <c r="AJ889">
        <v>0</v>
      </c>
      <c r="AK889">
        <v>0</v>
      </c>
      <c r="AL889">
        <v>1</v>
      </c>
      <c r="AM889">
        <v>0</v>
      </c>
      <c r="AN889">
        <v>540</v>
      </c>
      <c r="AO889">
        <v>470</v>
      </c>
      <c r="AP889">
        <f>ifood_data[[#This Row],[MntTotal]]-ifood_data[[#This Row],[MntRegularProds]]</f>
        <v>70</v>
      </c>
      <c r="AQ889">
        <v>0</v>
      </c>
      <c r="AR889">
        <f>IF(SUM(ifood_data[[#This Row],[Kidhome]:[Teenhome]])&gt;0,1,0)</f>
        <v>1</v>
      </c>
      <c r="AS889" t="str">
        <f>IF(SUM(ifood_data[[#This Row],[Kidhome]:[Teenhome]])&gt;0,"Has Family","No Family")</f>
        <v>Has Family</v>
      </c>
      <c r="AT889" t="str">
        <f>IF(ifood_data[[#This Row],[marital_Married]]=1,"Married", (IF(ifood_data[[#This Row],[marital_Single]]=1,"Single",(IF(ifood_data[[#This Row],[marital_Divorced]]=1,"Divorced",(IF(ifood_data[[#This Row],[marital_Together]]=1,"Living Together",(IF(ifood_data[[#This Row],[marital_Widow]]=1,"Widow","Other")))))))))</f>
        <v>Married</v>
      </c>
      <c r="AU889" t="str">
        <f>IF(ifood_data[[#This Row],[education_Basic]]=1,"High School",(IF(ifood_data[[#This Row],[education_Graduation]]=1,"Undergraduate Degree",(IF(SUM(AM889,AL889,AI889)&gt;0,"Master's Degree or Higher","Other")))))</f>
        <v>Master's Degree or Higher</v>
      </c>
      <c r="AV889" t="str">
        <f>IF(ifood_data[[#All],[Income]]&gt;75000,"75K+",(IF(ifood_data[[#All],[Income]]&gt;50000,"50K-75K",(IF(ifood_data[[#All],[Income]]&gt;35000,"35K-50K","&lt;35K")))))</f>
        <v>50K-75K</v>
      </c>
      <c r="AW889" t="str">
        <f>IF(ifood_data[[#All],[Age]]&gt;60,"60+",(IF(ifood_data[[#All],[Age]]&gt;50,"50-60",(IF(ifood_data[[#All],[Age]]&gt;40,"40-50",(IF(ifood_data[[#All],[Age]]&gt;30,"30-40","&lt;30")))))))</f>
        <v>50-60</v>
      </c>
      <c r="AX889">
        <f t="shared" si="52"/>
        <v>33</v>
      </c>
      <c r="AY889">
        <f t="shared" si="53"/>
        <v>5</v>
      </c>
      <c r="AZ889">
        <f t="shared" si="54"/>
        <v>9</v>
      </c>
      <c r="BA889">
        <f t="shared" si="55"/>
        <v>5</v>
      </c>
      <c r="BB889">
        <f>SUM(ifood_data[[#This Row],[Recency Score]:[Monetary Score]])</f>
        <v>19</v>
      </c>
      <c r="BC889">
        <f>(_xlfn.PERCENTRANK.INC(ifood_data[[#All],[RFM]],ifood_data[[#This Row],[RFM]],1))*10</f>
        <v>7</v>
      </c>
      <c r="BD889" t="str">
        <f>VLOOKUP(ifood_data[[#This Row],[RFM Score]],'RFM Analysis'!$A$3:$B$14,2,FALSE)</f>
        <v>Loyal Customer</v>
      </c>
      <c r="BE889">
        <f>'Regression Models'!$B$101+'Regression Models'!$B$102*ifood_data[[#This Row],[Income]]+'Regression Models'!$B$103*ifood_data[[#This Row],[Age]]+'Regression Models'!$B$104*ifood_data[[#This Row],[Family]]</f>
        <v>589.29433116479743</v>
      </c>
      <c r="BF889" t="str">
        <f>IF(ifood_data[[#This Row],[AcceptedCmpOverall]]=1,"Campaign Respondent","Non-respondent")</f>
        <v>Non-respondent</v>
      </c>
    </row>
    <row r="890" spans="1:58" x14ac:dyDescent="0.35">
      <c r="A890">
        <v>1034</v>
      </c>
      <c r="B890">
        <v>57236</v>
      </c>
      <c r="C890">
        <v>1</v>
      </c>
      <c r="D890">
        <v>1</v>
      </c>
      <c r="E890">
        <v>22</v>
      </c>
      <c r="F890">
        <v>105</v>
      </c>
      <c r="G890">
        <v>0</v>
      </c>
      <c r="H890">
        <v>9</v>
      </c>
      <c r="I890">
        <v>2</v>
      </c>
      <c r="J890">
        <v>1</v>
      </c>
      <c r="K890">
        <v>4</v>
      </c>
      <c r="L890">
        <v>3</v>
      </c>
      <c r="M890">
        <v>2</v>
      </c>
      <c r="N890">
        <v>1</v>
      </c>
      <c r="O890">
        <v>4</v>
      </c>
      <c r="P890">
        <v>3</v>
      </c>
      <c r="Q890">
        <v>0</v>
      </c>
      <c r="R890">
        <v>0</v>
      </c>
      <c r="S890">
        <v>0</v>
      </c>
      <c r="T890">
        <v>0</v>
      </c>
      <c r="U890">
        <v>0</v>
      </c>
      <c r="V890">
        <f>IF(SUM(ifood_data[[#This Row],[AcceptedCmp1]:[AcceptedCmp5]])&gt;0,1,0)</f>
        <v>0</v>
      </c>
      <c r="W890">
        <v>0</v>
      </c>
      <c r="X890">
        <v>3</v>
      </c>
      <c r="Y890">
        <v>11</v>
      </c>
      <c r="Z890">
        <v>0</v>
      </c>
      <c r="AA890">
        <v>55</v>
      </c>
      <c r="AB890">
        <v>2268</v>
      </c>
      <c r="AC890" s="28">
        <f>ifood_data[[#This Row],[Customer_Days]]/365</f>
        <v>6.2136986301369861</v>
      </c>
      <c r="AD890">
        <v>0</v>
      </c>
      <c r="AE890">
        <v>1</v>
      </c>
      <c r="AF890">
        <v>0</v>
      </c>
      <c r="AG890">
        <v>0</v>
      </c>
      <c r="AH890">
        <v>0</v>
      </c>
      <c r="AI890">
        <v>0</v>
      </c>
      <c r="AJ890">
        <v>0</v>
      </c>
      <c r="AK890">
        <v>0</v>
      </c>
      <c r="AL890">
        <v>0</v>
      </c>
      <c r="AM890">
        <v>1</v>
      </c>
      <c r="AN890">
        <v>117</v>
      </c>
      <c r="AO890">
        <v>113</v>
      </c>
      <c r="AP890">
        <f>ifood_data[[#This Row],[MntTotal]]-ifood_data[[#This Row],[MntRegularProds]]</f>
        <v>4</v>
      </c>
      <c r="AQ890">
        <v>0</v>
      </c>
      <c r="AR890">
        <f>IF(SUM(ifood_data[[#This Row],[Kidhome]:[Teenhome]])&gt;0,1,0)</f>
        <v>1</v>
      </c>
      <c r="AS890" t="str">
        <f>IF(SUM(ifood_data[[#This Row],[Kidhome]:[Teenhome]])&gt;0,"Has Family","No Family")</f>
        <v>Has Family</v>
      </c>
      <c r="AT890" t="str">
        <f>IF(ifood_data[[#This Row],[marital_Married]]=1,"Married", (IF(ifood_data[[#This Row],[marital_Single]]=1,"Single",(IF(ifood_data[[#This Row],[marital_Divorced]]=1,"Divorced",(IF(ifood_data[[#This Row],[marital_Together]]=1,"Living Together",(IF(ifood_data[[#This Row],[marital_Widow]]=1,"Widow","Other")))))))))</f>
        <v>Married</v>
      </c>
      <c r="AU890" t="str">
        <f>IF(ifood_data[[#This Row],[education_Basic]]=1,"High School",(IF(ifood_data[[#This Row],[education_Graduation]]=1,"Undergraduate Degree",(IF(SUM(AM890,AL890,AI890)&gt;0,"Master's Degree or Higher","Other")))))</f>
        <v>Master's Degree or Higher</v>
      </c>
      <c r="AV890" t="str">
        <f>IF(ifood_data[[#All],[Income]]&gt;75000,"75K+",(IF(ifood_data[[#All],[Income]]&gt;50000,"50K-75K",(IF(ifood_data[[#All],[Income]]&gt;35000,"35K-50K","&lt;35K")))))</f>
        <v>50K-75K</v>
      </c>
      <c r="AW890" t="str">
        <f>IF(ifood_data[[#All],[Age]]&gt;60,"60+",(IF(ifood_data[[#All],[Age]]&gt;50,"50-60",(IF(ifood_data[[#All],[Age]]&gt;40,"40-50",(IF(ifood_data[[#All],[Age]]&gt;30,"30-40","&lt;30")))))))</f>
        <v>50-60</v>
      </c>
      <c r="AX890">
        <f t="shared" si="52"/>
        <v>13</v>
      </c>
      <c r="AY890">
        <f t="shared" si="53"/>
        <v>8</v>
      </c>
      <c r="AZ890">
        <f t="shared" si="54"/>
        <v>1</v>
      </c>
      <c r="BA890">
        <f t="shared" si="55"/>
        <v>3</v>
      </c>
      <c r="BB890">
        <f>SUM(ifood_data[[#This Row],[Recency Score]:[Monetary Score]])</f>
        <v>12</v>
      </c>
      <c r="BC890">
        <f>(_xlfn.PERCENTRANK.INC(ifood_data[[#All],[RFM]],ifood_data[[#This Row],[RFM]],1))*10</f>
        <v>3</v>
      </c>
      <c r="BD890" t="str">
        <f>VLOOKUP(ifood_data[[#This Row],[RFM Score]],'RFM Analysis'!$A$3:$B$14,2,FALSE)</f>
        <v>At Risk</v>
      </c>
      <c r="BE890">
        <f>'Regression Models'!$B$101+'Regression Models'!$B$102*ifood_data[[#This Row],[Income]]+'Regression Models'!$B$103*ifood_data[[#This Row],[Age]]+'Regression Models'!$B$104*ifood_data[[#This Row],[Family]]</f>
        <v>588.53849679752977</v>
      </c>
      <c r="BF890" t="str">
        <f>IF(ifood_data[[#This Row],[AcceptedCmpOverall]]=1,"Campaign Respondent","Non-respondent")</f>
        <v>Non-respondent</v>
      </c>
    </row>
    <row r="891" spans="1:58" x14ac:dyDescent="0.35">
      <c r="A891">
        <v>1374</v>
      </c>
      <c r="B891">
        <v>41020</v>
      </c>
      <c r="C891">
        <v>0</v>
      </c>
      <c r="D891">
        <v>0</v>
      </c>
      <c r="E891">
        <v>68</v>
      </c>
      <c r="F891">
        <v>112</v>
      </c>
      <c r="G891">
        <v>1</v>
      </c>
      <c r="H891">
        <v>54</v>
      </c>
      <c r="I891">
        <v>7</v>
      </c>
      <c r="J891">
        <v>7</v>
      </c>
      <c r="K891">
        <v>36</v>
      </c>
      <c r="L891">
        <v>1</v>
      </c>
      <c r="M891">
        <v>3</v>
      </c>
      <c r="N891">
        <v>2</v>
      </c>
      <c r="O891">
        <v>4</v>
      </c>
      <c r="P891">
        <v>3</v>
      </c>
      <c r="Q891">
        <v>0</v>
      </c>
      <c r="R891">
        <v>0</v>
      </c>
      <c r="S891">
        <v>0</v>
      </c>
      <c r="T891">
        <v>0</v>
      </c>
      <c r="U891">
        <v>0</v>
      </c>
      <c r="V891">
        <f>IF(SUM(ifood_data[[#This Row],[AcceptedCmp1]:[AcceptedCmp5]])&gt;0,1,0)</f>
        <v>0</v>
      </c>
      <c r="W891">
        <v>0</v>
      </c>
      <c r="X891">
        <v>3</v>
      </c>
      <c r="Y891">
        <v>11</v>
      </c>
      <c r="Z891">
        <v>0</v>
      </c>
      <c r="AA891">
        <v>33</v>
      </c>
      <c r="AB891">
        <v>2403</v>
      </c>
      <c r="AC891" s="28">
        <f>ifood_data[[#This Row],[Customer_Days]]/365</f>
        <v>6.5835616438356164</v>
      </c>
      <c r="AD891">
        <v>0</v>
      </c>
      <c r="AE891">
        <v>0</v>
      </c>
      <c r="AF891">
        <v>1</v>
      </c>
      <c r="AG891">
        <v>0</v>
      </c>
      <c r="AH891">
        <v>0</v>
      </c>
      <c r="AI891">
        <v>0</v>
      </c>
      <c r="AJ891">
        <v>0</v>
      </c>
      <c r="AK891">
        <v>0</v>
      </c>
      <c r="AL891">
        <v>1</v>
      </c>
      <c r="AM891">
        <v>0</v>
      </c>
      <c r="AN891">
        <v>181</v>
      </c>
      <c r="AO891">
        <v>145</v>
      </c>
      <c r="AP891">
        <f>ifood_data[[#This Row],[MntTotal]]-ifood_data[[#This Row],[MntRegularProds]]</f>
        <v>36</v>
      </c>
      <c r="AQ891">
        <v>0</v>
      </c>
      <c r="AR891">
        <f>IF(SUM(ifood_data[[#This Row],[Kidhome]:[Teenhome]])&gt;0,1,0)</f>
        <v>0</v>
      </c>
      <c r="AS891" t="str">
        <f>IF(SUM(ifood_data[[#This Row],[Kidhome]:[Teenhome]])&gt;0,"Has Family","No Family")</f>
        <v>No Family</v>
      </c>
      <c r="AT891" t="str">
        <f>IF(ifood_data[[#This Row],[marital_Married]]=1,"Married", (IF(ifood_data[[#This Row],[marital_Single]]=1,"Single",(IF(ifood_data[[#This Row],[marital_Divorced]]=1,"Divorced",(IF(ifood_data[[#This Row],[marital_Together]]=1,"Living Together",(IF(ifood_data[[#This Row],[marital_Widow]]=1,"Widow","Other")))))))))</f>
        <v>Single</v>
      </c>
      <c r="AU891" t="str">
        <f>IF(ifood_data[[#This Row],[education_Basic]]=1,"High School",(IF(ifood_data[[#This Row],[education_Graduation]]=1,"Undergraduate Degree",(IF(SUM(AM891,AL891,AI891)&gt;0,"Master's Degree or Higher","Other")))))</f>
        <v>Master's Degree or Higher</v>
      </c>
      <c r="AV891" t="str">
        <f>IF(ifood_data[[#All],[Income]]&gt;75000,"75K+",(IF(ifood_data[[#All],[Income]]&gt;50000,"50K-75K",(IF(ifood_data[[#All],[Income]]&gt;35000,"35K-50K","&lt;35K")))))</f>
        <v>35K-50K</v>
      </c>
      <c r="AW891" t="str">
        <f>IF(ifood_data[[#All],[Age]]&gt;60,"60+",(IF(ifood_data[[#All],[Age]]&gt;50,"50-60",(IF(ifood_data[[#All],[Age]]&gt;40,"40-50",(IF(ifood_data[[#All],[Age]]&gt;30,"30-40","&lt;30")))))))</f>
        <v>30-40</v>
      </c>
      <c r="AX891">
        <f t="shared" si="52"/>
        <v>13</v>
      </c>
      <c r="AY891">
        <f t="shared" si="53"/>
        <v>4</v>
      </c>
      <c r="AZ891">
        <f t="shared" si="54"/>
        <v>1</v>
      </c>
      <c r="BA891">
        <f t="shared" si="55"/>
        <v>3</v>
      </c>
      <c r="BB891">
        <f>SUM(ifood_data[[#This Row],[Recency Score]:[Monetary Score]])</f>
        <v>8</v>
      </c>
      <c r="BC891">
        <f>(_xlfn.PERCENTRANK.INC(ifood_data[[#All],[RFM]],ifood_data[[#This Row],[RFM]],1))*10</f>
        <v>1</v>
      </c>
      <c r="BD891" t="str">
        <f>VLOOKUP(ifood_data[[#This Row],[RFM Score]],'RFM Analysis'!$A$3:$B$14,2,FALSE)</f>
        <v>At Risk</v>
      </c>
      <c r="BE891">
        <f>'Regression Models'!$B$101+'Regression Models'!$B$102*ifood_data[[#This Row],[Income]]+'Regression Models'!$B$103*ifood_data[[#This Row],[Age]]+'Regression Models'!$B$104*ifood_data[[#This Row],[Family]]</f>
        <v>587.92952338475493</v>
      </c>
      <c r="BF891" t="str">
        <f>IF(ifood_data[[#This Row],[AcceptedCmpOverall]]=1,"Campaign Respondent","Non-respondent")</f>
        <v>Non-respondent</v>
      </c>
    </row>
    <row r="892" spans="1:58" x14ac:dyDescent="0.35">
      <c r="A892">
        <v>22</v>
      </c>
      <c r="B892">
        <v>58607</v>
      </c>
      <c r="C892">
        <v>0</v>
      </c>
      <c r="D892">
        <v>1</v>
      </c>
      <c r="E892">
        <v>63</v>
      </c>
      <c r="F892">
        <v>867</v>
      </c>
      <c r="G892">
        <v>0</v>
      </c>
      <c r="H892">
        <v>86</v>
      </c>
      <c r="I892">
        <v>0</v>
      </c>
      <c r="J892">
        <v>0</v>
      </c>
      <c r="K892">
        <v>19</v>
      </c>
      <c r="L892">
        <v>3</v>
      </c>
      <c r="M892">
        <v>2</v>
      </c>
      <c r="N892">
        <v>3</v>
      </c>
      <c r="O892">
        <v>9</v>
      </c>
      <c r="P892">
        <v>8</v>
      </c>
      <c r="Q892">
        <v>0</v>
      </c>
      <c r="R892">
        <v>0</v>
      </c>
      <c r="S892">
        <v>0</v>
      </c>
      <c r="T892">
        <v>1</v>
      </c>
      <c r="U892">
        <v>0</v>
      </c>
      <c r="V892">
        <f>IF(SUM(ifood_data[[#This Row],[AcceptedCmp1]:[AcceptedCmp5]])&gt;0,1,0)</f>
        <v>1</v>
      </c>
      <c r="W892">
        <v>0</v>
      </c>
      <c r="X892">
        <v>3</v>
      </c>
      <c r="Y892">
        <v>11</v>
      </c>
      <c r="Z892">
        <v>0</v>
      </c>
      <c r="AA892">
        <v>71</v>
      </c>
      <c r="AB892">
        <v>2712</v>
      </c>
      <c r="AC892" s="28">
        <f>ifood_data[[#This Row],[Customer_Days]]/365</f>
        <v>7.4301369863013695</v>
      </c>
      <c r="AD892">
        <v>0</v>
      </c>
      <c r="AE892">
        <v>1</v>
      </c>
      <c r="AF892">
        <v>0</v>
      </c>
      <c r="AG892">
        <v>0</v>
      </c>
      <c r="AH892">
        <v>0</v>
      </c>
      <c r="AI892">
        <v>0</v>
      </c>
      <c r="AJ892">
        <v>0</v>
      </c>
      <c r="AK892">
        <v>0</v>
      </c>
      <c r="AL892">
        <v>0</v>
      </c>
      <c r="AM892">
        <v>1</v>
      </c>
      <c r="AN892">
        <v>953</v>
      </c>
      <c r="AO892">
        <v>934</v>
      </c>
      <c r="AP892">
        <f>ifood_data[[#This Row],[MntTotal]]-ifood_data[[#This Row],[MntRegularProds]]</f>
        <v>19</v>
      </c>
      <c r="AQ892">
        <v>1</v>
      </c>
      <c r="AR892">
        <f>IF(SUM(ifood_data[[#This Row],[Kidhome]:[Teenhome]])&gt;0,1,0)</f>
        <v>1</v>
      </c>
      <c r="AS892" t="str">
        <f>IF(SUM(ifood_data[[#This Row],[Kidhome]:[Teenhome]])&gt;0,"Has Family","No Family")</f>
        <v>Has Family</v>
      </c>
      <c r="AT892" t="str">
        <f>IF(ifood_data[[#This Row],[marital_Married]]=1,"Married", (IF(ifood_data[[#This Row],[marital_Single]]=1,"Single",(IF(ifood_data[[#This Row],[marital_Divorced]]=1,"Divorced",(IF(ifood_data[[#This Row],[marital_Together]]=1,"Living Together",(IF(ifood_data[[#This Row],[marital_Widow]]=1,"Widow","Other")))))))))</f>
        <v>Married</v>
      </c>
      <c r="AU892" t="str">
        <f>IF(ifood_data[[#This Row],[education_Basic]]=1,"High School",(IF(ifood_data[[#This Row],[education_Graduation]]=1,"Undergraduate Degree",(IF(SUM(AM892,AL892,AI892)&gt;0,"Master's Degree or Higher","Other")))))</f>
        <v>Master's Degree or Higher</v>
      </c>
      <c r="AV892" t="str">
        <f>IF(ifood_data[[#All],[Income]]&gt;75000,"75K+",(IF(ifood_data[[#All],[Income]]&gt;50000,"50K-75K",(IF(ifood_data[[#All],[Income]]&gt;35000,"35K-50K","&lt;35K")))))</f>
        <v>50K-75K</v>
      </c>
      <c r="AW892" t="str">
        <f>IF(ifood_data[[#All],[Age]]&gt;60,"60+",(IF(ifood_data[[#All],[Age]]&gt;50,"50-60",(IF(ifood_data[[#All],[Age]]&gt;40,"40-50",(IF(ifood_data[[#All],[Age]]&gt;30,"30-40","&lt;30")))))))</f>
        <v>60+</v>
      </c>
      <c r="AX892">
        <f t="shared" si="52"/>
        <v>25</v>
      </c>
      <c r="AY892">
        <f t="shared" si="53"/>
        <v>4</v>
      </c>
      <c r="AZ892">
        <f t="shared" si="54"/>
        <v>7</v>
      </c>
      <c r="BA892">
        <f t="shared" si="55"/>
        <v>7</v>
      </c>
      <c r="BB892">
        <f>SUM(ifood_data[[#This Row],[Recency Score]:[Monetary Score]])</f>
        <v>18</v>
      </c>
      <c r="BC892">
        <f>(_xlfn.PERCENTRANK.INC(ifood_data[[#All],[RFM]],ifood_data[[#This Row],[RFM]],1))*10</f>
        <v>6</v>
      </c>
      <c r="BD892" t="str">
        <f>VLOOKUP(ifood_data[[#This Row],[RFM Score]],'RFM Analysis'!$A$3:$B$14,2,FALSE)</f>
        <v>Promising</v>
      </c>
      <c r="BE892">
        <f>'Regression Models'!$B$101+'Regression Models'!$B$102*ifood_data[[#This Row],[Income]]+'Regression Models'!$B$103*ifood_data[[#This Row],[Age]]+'Regression Models'!$B$104*ifood_data[[#This Row],[Family]]</f>
        <v>587.10847266050689</v>
      </c>
      <c r="BF892" t="str">
        <f>IF(ifood_data[[#This Row],[AcceptedCmpOverall]]=1,"Campaign Respondent","Non-respondent")</f>
        <v>Campaign Respondent</v>
      </c>
    </row>
    <row r="893" spans="1:58" x14ac:dyDescent="0.35">
      <c r="A893">
        <v>811</v>
      </c>
      <c r="B893">
        <v>55357</v>
      </c>
      <c r="C893">
        <v>2</v>
      </c>
      <c r="D893">
        <v>0</v>
      </c>
      <c r="E893">
        <v>66</v>
      </c>
      <c r="F893">
        <v>374</v>
      </c>
      <c r="G893">
        <v>64</v>
      </c>
      <c r="H893">
        <v>116</v>
      </c>
      <c r="I893">
        <v>84</v>
      </c>
      <c r="J893">
        <v>25</v>
      </c>
      <c r="K893">
        <v>64</v>
      </c>
      <c r="L893">
        <v>3</v>
      </c>
      <c r="M893">
        <v>6</v>
      </c>
      <c r="N893">
        <v>2</v>
      </c>
      <c r="O893">
        <v>11</v>
      </c>
      <c r="P893">
        <v>5</v>
      </c>
      <c r="Q893">
        <v>0</v>
      </c>
      <c r="R893">
        <v>0</v>
      </c>
      <c r="S893">
        <v>0</v>
      </c>
      <c r="T893">
        <v>0</v>
      </c>
      <c r="U893">
        <v>0</v>
      </c>
      <c r="V893">
        <f>IF(SUM(ifood_data[[#This Row],[AcceptedCmp1]:[AcceptedCmp5]])&gt;0,1,0)</f>
        <v>0</v>
      </c>
      <c r="W893">
        <v>0</v>
      </c>
      <c r="X893">
        <v>3</v>
      </c>
      <c r="Y893">
        <v>11</v>
      </c>
      <c r="Z893">
        <v>0</v>
      </c>
      <c r="AA893">
        <v>35</v>
      </c>
      <c r="AB893">
        <v>2654</v>
      </c>
      <c r="AC893" s="28">
        <f>ifood_data[[#This Row],[Customer_Days]]/365</f>
        <v>7.2712328767123289</v>
      </c>
      <c r="AD893">
        <v>0</v>
      </c>
      <c r="AE893">
        <v>1</v>
      </c>
      <c r="AF893">
        <v>0</v>
      </c>
      <c r="AG893">
        <v>0</v>
      </c>
      <c r="AH893">
        <v>0</v>
      </c>
      <c r="AI893">
        <v>0</v>
      </c>
      <c r="AJ893">
        <v>0</v>
      </c>
      <c r="AK893">
        <v>1</v>
      </c>
      <c r="AL893">
        <v>0</v>
      </c>
      <c r="AM893">
        <v>0</v>
      </c>
      <c r="AN893">
        <v>663</v>
      </c>
      <c r="AO893">
        <v>599</v>
      </c>
      <c r="AP893">
        <f>ifood_data[[#This Row],[MntTotal]]-ifood_data[[#This Row],[MntRegularProds]]</f>
        <v>64</v>
      </c>
      <c r="AQ893">
        <v>0</v>
      </c>
      <c r="AR893">
        <f>IF(SUM(ifood_data[[#This Row],[Kidhome]:[Teenhome]])&gt;0,1,0)</f>
        <v>1</v>
      </c>
      <c r="AS893" t="str">
        <f>IF(SUM(ifood_data[[#This Row],[Kidhome]:[Teenhome]])&gt;0,"Has Family","No Family")</f>
        <v>Has Family</v>
      </c>
      <c r="AT893" t="str">
        <f>IF(ifood_data[[#This Row],[marital_Married]]=1,"Married", (IF(ifood_data[[#This Row],[marital_Single]]=1,"Single",(IF(ifood_data[[#This Row],[marital_Divorced]]=1,"Divorced",(IF(ifood_data[[#This Row],[marital_Together]]=1,"Living Together",(IF(ifood_data[[#This Row],[marital_Widow]]=1,"Widow","Other")))))))))</f>
        <v>Married</v>
      </c>
      <c r="AU893" t="str">
        <f>IF(ifood_data[[#This Row],[education_Basic]]=1,"High School",(IF(ifood_data[[#This Row],[education_Graduation]]=1,"Undergraduate Degree",(IF(SUM(AM893,AL893,AI893)&gt;0,"Master's Degree or Higher","Other")))))</f>
        <v>Undergraduate Degree</v>
      </c>
      <c r="AV893" t="str">
        <f>IF(ifood_data[[#All],[Income]]&gt;75000,"75K+",(IF(ifood_data[[#All],[Income]]&gt;50000,"50K-75K",(IF(ifood_data[[#All],[Income]]&gt;35000,"35K-50K","&lt;35K")))))</f>
        <v>50K-75K</v>
      </c>
      <c r="AW893" t="str">
        <f>IF(ifood_data[[#All],[Age]]&gt;60,"60+",(IF(ifood_data[[#All],[Age]]&gt;50,"50-60",(IF(ifood_data[[#All],[Age]]&gt;40,"40-50",(IF(ifood_data[[#All],[Age]]&gt;30,"30-40","&lt;30")))))))</f>
        <v>30-40</v>
      </c>
      <c r="AX893">
        <f t="shared" si="52"/>
        <v>27</v>
      </c>
      <c r="AY893">
        <f t="shared" si="53"/>
        <v>4</v>
      </c>
      <c r="AZ893">
        <f t="shared" si="54"/>
        <v>7</v>
      </c>
      <c r="BA893">
        <f t="shared" si="55"/>
        <v>6</v>
      </c>
      <c r="BB893">
        <f>SUM(ifood_data[[#This Row],[Recency Score]:[Monetary Score]])</f>
        <v>17</v>
      </c>
      <c r="BC893">
        <f>(_xlfn.PERCENTRANK.INC(ifood_data[[#All],[RFM]],ifood_data[[#This Row],[RFM]],1))*10</f>
        <v>6</v>
      </c>
      <c r="BD893" t="str">
        <f>VLOOKUP(ifood_data[[#This Row],[RFM Score]],'RFM Analysis'!$A$3:$B$14,2,FALSE)</f>
        <v>Promising</v>
      </c>
      <c r="BE893">
        <f>'Regression Models'!$B$101+'Regression Models'!$B$102*ifood_data[[#This Row],[Income]]+'Regression Models'!$B$103*ifood_data[[#This Row],[Age]]+'Regression Models'!$B$104*ifood_data[[#This Row],[Family]]</f>
        <v>586.95678303302941</v>
      </c>
      <c r="BF893" t="str">
        <f>IF(ifood_data[[#This Row],[AcceptedCmpOverall]]=1,"Campaign Respondent","Non-respondent")</f>
        <v>Non-respondent</v>
      </c>
    </row>
    <row r="894" spans="1:58" x14ac:dyDescent="0.35">
      <c r="A894">
        <v>427</v>
      </c>
      <c r="B894">
        <v>56796</v>
      </c>
      <c r="C894">
        <v>0</v>
      </c>
      <c r="D894">
        <v>1</v>
      </c>
      <c r="E894">
        <v>24</v>
      </c>
      <c r="F894">
        <v>656</v>
      </c>
      <c r="G894">
        <v>38</v>
      </c>
      <c r="H894">
        <v>161</v>
      </c>
      <c r="I894">
        <v>62</v>
      </c>
      <c r="J894">
        <v>47</v>
      </c>
      <c r="K894">
        <v>37</v>
      </c>
      <c r="L894">
        <v>3</v>
      </c>
      <c r="M894">
        <v>8</v>
      </c>
      <c r="N894">
        <v>9</v>
      </c>
      <c r="O894">
        <v>7</v>
      </c>
      <c r="P894">
        <v>7</v>
      </c>
      <c r="Q894">
        <v>0</v>
      </c>
      <c r="R894">
        <v>0</v>
      </c>
      <c r="S894">
        <v>0</v>
      </c>
      <c r="T894">
        <v>0</v>
      </c>
      <c r="U894">
        <v>0</v>
      </c>
      <c r="V894">
        <f>IF(SUM(ifood_data[[#This Row],[AcceptedCmp1]:[AcceptedCmp5]])&gt;0,1,0)</f>
        <v>0</v>
      </c>
      <c r="W894">
        <v>0</v>
      </c>
      <c r="X894">
        <v>3</v>
      </c>
      <c r="Y894">
        <v>11</v>
      </c>
      <c r="Z894">
        <v>0</v>
      </c>
      <c r="AA894">
        <v>51</v>
      </c>
      <c r="AB894">
        <v>2657</v>
      </c>
      <c r="AC894" s="28">
        <f>ifood_data[[#This Row],[Customer_Days]]/365</f>
        <v>7.279452054794521</v>
      </c>
      <c r="AD894">
        <v>0</v>
      </c>
      <c r="AE894">
        <v>1</v>
      </c>
      <c r="AF894">
        <v>0</v>
      </c>
      <c r="AG894">
        <v>0</v>
      </c>
      <c r="AH894">
        <v>0</v>
      </c>
      <c r="AI894">
        <v>0</v>
      </c>
      <c r="AJ894">
        <v>0</v>
      </c>
      <c r="AK894">
        <v>1</v>
      </c>
      <c r="AL894">
        <v>0</v>
      </c>
      <c r="AM894">
        <v>0</v>
      </c>
      <c r="AN894">
        <v>964</v>
      </c>
      <c r="AO894">
        <v>927</v>
      </c>
      <c r="AP894">
        <f>ifood_data[[#This Row],[MntTotal]]-ifood_data[[#This Row],[MntRegularProds]]</f>
        <v>37</v>
      </c>
      <c r="AQ894">
        <v>0</v>
      </c>
      <c r="AR894">
        <f>IF(SUM(ifood_data[[#This Row],[Kidhome]:[Teenhome]])&gt;0,1,0)</f>
        <v>1</v>
      </c>
      <c r="AS894" t="str">
        <f>IF(SUM(ifood_data[[#This Row],[Kidhome]:[Teenhome]])&gt;0,"Has Family","No Family")</f>
        <v>Has Family</v>
      </c>
      <c r="AT894" t="str">
        <f>IF(ifood_data[[#This Row],[marital_Married]]=1,"Married", (IF(ifood_data[[#This Row],[marital_Single]]=1,"Single",(IF(ifood_data[[#This Row],[marital_Divorced]]=1,"Divorced",(IF(ifood_data[[#This Row],[marital_Together]]=1,"Living Together",(IF(ifood_data[[#This Row],[marital_Widow]]=1,"Widow","Other")))))))))</f>
        <v>Married</v>
      </c>
      <c r="AU894" t="str">
        <f>IF(ifood_data[[#This Row],[education_Basic]]=1,"High School",(IF(ifood_data[[#This Row],[education_Graduation]]=1,"Undergraduate Degree",(IF(SUM(AM894,AL894,AI894)&gt;0,"Master's Degree or Higher","Other")))))</f>
        <v>Undergraduate Degree</v>
      </c>
      <c r="AV894" t="str">
        <f>IF(ifood_data[[#All],[Income]]&gt;75000,"75K+",(IF(ifood_data[[#All],[Income]]&gt;50000,"50K-75K",(IF(ifood_data[[#All],[Income]]&gt;35000,"35K-50K","&lt;35K")))))</f>
        <v>50K-75K</v>
      </c>
      <c r="AW894" t="str">
        <f>IF(ifood_data[[#All],[Age]]&gt;60,"60+",(IF(ifood_data[[#All],[Age]]&gt;50,"50-60",(IF(ifood_data[[#All],[Age]]&gt;40,"40-50",(IF(ifood_data[[#All],[Age]]&gt;30,"30-40","&lt;30")))))))</f>
        <v>50-60</v>
      </c>
      <c r="AX894">
        <f t="shared" si="52"/>
        <v>34</v>
      </c>
      <c r="AY894">
        <f t="shared" si="53"/>
        <v>8</v>
      </c>
      <c r="AZ894">
        <f t="shared" si="54"/>
        <v>9</v>
      </c>
      <c r="BA894">
        <f t="shared" si="55"/>
        <v>7</v>
      </c>
      <c r="BB894">
        <f>SUM(ifood_data[[#This Row],[Recency Score]:[Monetary Score]])</f>
        <v>24</v>
      </c>
      <c r="BC894">
        <f>(_xlfn.PERCENTRANK.INC(ifood_data[[#All],[RFM]],ifood_data[[#This Row],[RFM]],1))*10</f>
        <v>9</v>
      </c>
      <c r="BD894" t="str">
        <f>VLOOKUP(ifood_data[[#This Row],[RFM Score]],'RFM Analysis'!$A$3:$B$14,2,FALSE)</f>
        <v>Top Customer</v>
      </c>
      <c r="BE894">
        <f>'Regression Models'!$B$101+'Regression Models'!$B$102*ifood_data[[#This Row],[Income]]+'Regression Models'!$B$103*ifood_data[[#This Row],[Age]]+'Regression Models'!$B$104*ifood_data[[#This Row],[Family]]</f>
        <v>586.91319512979146</v>
      </c>
      <c r="BF894" t="str">
        <f>IF(ifood_data[[#This Row],[AcceptedCmpOverall]]=1,"Campaign Respondent","Non-respondent")</f>
        <v>Non-respondent</v>
      </c>
    </row>
    <row r="895" spans="1:58" x14ac:dyDescent="0.35">
      <c r="A895">
        <v>1490</v>
      </c>
      <c r="B895">
        <v>55434</v>
      </c>
      <c r="C895">
        <v>1</v>
      </c>
      <c r="D895">
        <v>0</v>
      </c>
      <c r="E895">
        <v>21</v>
      </c>
      <c r="F895">
        <v>238</v>
      </c>
      <c r="G895">
        <v>115</v>
      </c>
      <c r="H895">
        <v>215</v>
      </c>
      <c r="I895">
        <v>169</v>
      </c>
      <c r="J895">
        <v>69</v>
      </c>
      <c r="K895">
        <v>76</v>
      </c>
      <c r="L895">
        <v>3</v>
      </c>
      <c r="M895">
        <v>5</v>
      </c>
      <c r="N895">
        <v>3</v>
      </c>
      <c r="O895">
        <v>13</v>
      </c>
      <c r="P895">
        <v>4</v>
      </c>
      <c r="Q895">
        <v>0</v>
      </c>
      <c r="R895">
        <v>0</v>
      </c>
      <c r="S895">
        <v>0</v>
      </c>
      <c r="T895">
        <v>0</v>
      </c>
      <c r="U895">
        <v>0</v>
      </c>
      <c r="V895">
        <f>IF(SUM(ifood_data[[#This Row],[AcceptedCmp1]:[AcceptedCmp5]])&gt;0,1,0)</f>
        <v>0</v>
      </c>
      <c r="W895">
        <v>0</v>
      </c>
      <c r="X895">
        <v>3</v>
      </c>
      <c r="Y895">
        <v>11</v>
      </c>
      <c r="Z895">
        <v>0</v>
      </c>
      <c r="AA895">
        <v>36</v>
      </c>
      <c r="AB895">
        <v>2426</v>
      </c>
      <c r="AC895" s="28">
        <f>ifood_data[[#This Row],[Customer_Days]]/365</f>
        <v>6.646575342465753</v>
      </c>
      <c r="AD895">
        <v>0</v>
      </c>
      <c r="AE895">
        <v>1</v>
      </c>
      <c r="AF895">
        <v>0</v>
      </c>
      <c r="AG895">
        <v>0</v>
      </c>
      <c r="AH895">
        <v>0</v>
      </c>
      <c r="AI895">
        <v>0</v>
      </c>
      <c r="AJ895">
        <v>0</v>
      </c>
      <c r="AK895">
        <v>1</v>
      </c>
      <c r="AL895">
        <v>0</v>
      </c>
      <c r="AM895">
        <v>0</v>
      </c>
      <c r="AN895">
        <v>806</v>
      </c>
      <c r="AO895">
        <v>730</v>
      </c>
      <c r="AP895">
        <f>ifood_data[[#This Row],[MntTotal]]-ifood_data[[#This Row],[MntRegularProds]]</f>
        <v>76</v>
      </c>
      <c r="AQ895">
        <v>0</v>
      </c>
      <c r="AR895">
        <f>IF(SUM(ifood_data[[#This Row],[Kidhome]:[Teenhome]])&gt;0,1,0)</f>
        <v>1</v>
      </c>
      <c r="AS895" t="str">
        <f>IF(SUM(ifood_data[[#This Row],[Kidhome]:[Teenhome]])&gt;0,"Has Family","No Family")</f>
        <v>Has Family</v>
      </c>
      <c r="AT895" t="str">
        <f>IF(ifood_data[[#This Row],[marital_Married]]=1,"Married", (IF(ifood_data[[#This Row],[marital_Single]]=1,"Single",(IF(ifood_data[[#This Row],[marital_Divorced]]=1,"Divorced",(IF(ifood_data[[#This Row],[marital_Together]]=1,"Living Together",(IF(ifood_data[[#This Row],[marital_Widow]]=1,"Widow","Other")))))))))</f>
        <v>Married</v>
      </c>
      <c r="AU895" t="str">
        <f>IF(ifood_data[[#This Row],[education_Basic]]=1,"High School",(IF(ifood_data[[#This Row],[education_Graduation]]=1,"Undergraduate Degree",(IF(SUM(AM895,AL895,AI895)&gt;0,"Master's Degree or Higher","Other")))))</f>
        <v>Undergraduate Degree</v>
      </c>
      <c r="AV895" t="str">
        <f>IF(ifood_data[[#All],[Income]]&gt;75000,"75K+",(IF(ifood_data[[#All],[Income]]&gt;50000,"50K-75K",(IF(ifood_data[[#All],[Income]]&gt;35000,"35K-50K","&lt;35K")))))</f>
        <v>50K-75K</v>
      </c>
      <c r="AW895" t="str">
        <f>IF(ifood_data[[#All],[Age]]&gt;60,"60+",(IF(ifood_data[[#All],[Age]]&gt;50,"50-60",(IF(ifood_data[[#All],[Age]]&gt;40,"40-50",(IF(ifood_data[[#All],[Age]]&gt;30,"30-40","&lt;30")))))))</f>
        <v>30-40</v>
      </c>
      <c r="AX895">
        <f t="shared" si="52"/>
        <v>28</v>
      </c>
      <c r="AY895">
        <f t="shared" si="53"/>
        <v>8</v>
      </c>
      <c r="AZ895">
        <f t="shared" si="54"/>
        <v>8</v>
      </c>
      <c r="BA895">
        <f t="shared" si="55"/>
        <v>6</v>
      </c>
      <c r="BB895">
        <f>SUM(ifood_data[[#This Row],[Recency Score]:[Monetary Score]])</f>
        <v>22</v>
      </c>
      <c r="BC895">
        <f>(_xlfn.PERCENTRANK.INC(ifood_data[[#All],[RFM]],ifood_data[[#This Row],[RFM]],1))*10</f>
        <v>8</v>
      </c>
      <c r="BD895" t="str">
        <f>VLOOKUP(ifood_data[[#This Row],[RFM Score]],'RFM Analysis'!$A$3:$B$14,2,FALSE)</f>
        <v>Loyal Customer</v>
      </c>
      <c r="BE895">
        <f>'Regression Models'!$B$101+'Regression Models'!$B$102*ifood_data[[#This Row],[Income]]+'Regression Models'!$B$103*ifood_data[[#This Row],[Age]]+'Regression Models'!$B$104*ifood_data[[#This Row],[Family]]</f>
        <v>586.6902791012152</v>
      </c>
      <c r="BF895" t="str">
        <f>IF(ifood_data[[#This Row],[AcceptedCmpOverall]]=1,"Campaign Respondent","Non-respondent")</f>
        <v>Non-respondent</v>
      </c>
    </row>
    <row r="896" spans="1:58" x14ac:dyDescent="0.35">
      <c r="A896">
        <v>1292</v>
      </c>
      <c r="B896">
        <v>56243</v>
      </c>
      <c r="C896">
        <v>1</v>
      </c>
      <c r="D896">
        <v>2</v>
      </c>
      <c r="E896">
        <v>26</v>
      </c>
      <c r="F896">
        <v>347</v>
      </c>
      <c r="G896">
        <v>0</v>
      </c>
      <c r="H896">
        <v>35</v>
      </c>
      <c r="I896">
        <v>4</v>
      </c>
      <c r="J896">
        <v>3</v>
      </c>
      <c r="K896">
        <v>7</v>
      </c>
      <c r="L896">
        <v>6</v>
      </c>
      <c r="M896">
        <v>4</v>
      </c>
      <c r="N896">
        <v>2</v>
      </c>
      <c r="O896">
        <v>8</v>
      </c>
      <c r="P896">
        <v>5</v>
      </c>
      <c r="Q896">
        <v>0</v>
      </c>
      <c r="R896">
        <v>0</v>
      </c>
      <c r="S896">
        <v>0</v>
      </c>
      <c r="T896">
        <v>0</v>
      </c>
      <c r="U896">
        <v>0</v>
      </c>
      <c r="V896">
        <f>IF(SUM(ifood_data[[#This Row],[AcceptedCmp1]:[AcceptedCmp5]])&gt;0,1,0)</f>
        <v>0</v>
      </c>
      <c r="W896">
        <v>0</v>
      </c>
      <c r="X896">
        <v>3</v>
      </c>
      <c r="Y896">
        <v>11</v>
      </c>
      <c r="Z896">
        <v>0</v>
      </c>
      <c r="AA896">
        <v>45</v>
      </c>
      <c r="AB896">
        <v>2340</v>
      </c>
      <c r="AC896" s="28">
        <f>ifood_data[[#This Row],[Customer_Days]]/365</f>
        <v>6.4109589041095889</v>
      </c>
      <c r="AD896">
        <v>0</v>
      </c>
      <c r="AE896">
        <v>0</v>
      </c>
      <c r="AF896">
        <v>1</v>
      </c>
      <c r="AG896">
        <v>0</v>
      </c>
      <c r="AH896">
        <v>0</v>
      </c>
      <c r="AI896">
        <v>0</v>
      </c>
      <c r="AJ896">
        <v>0</v>
      </c>
      <c r="AK896">
        <v>1</v>
      </c>
      <c r="AL896">
        <v>0</v>
      </c>
      <c r="AM896">
        <v>0</v>
      </c>
      <c r="AN896">
        <v>389</v>
      </c>
      <c r="AO896">
        <v>382</v>
      </c>
      <c r="AP896">
        <f>ifood_data[[#This Row],[MntTotal]]-ifood_data[[#This Row],[MntRegularProds]]</f>
        <v>7</v>
      </c>
      <c r="AQ896">
        <v>0</v>
      </c>
      <c r="AR896">
        <f>IF(SUM(ifood_data[[#This Row],[Kidhome]:[Teenhome]])&gt;0,1,0)</f>
        <v>1</v>
      </c>
      <c r="AS896" t="str">
        <f>IF(SUM(ifood_data[[#This Row],[Kidhome]:[Teenhome]])&gt;0,"Has Family","No Family")</f>
        <v>Has Family</v>
      </c>
      <c r="AT896" t="str">
        <f>IF(ifood_data[[#This Row],[marital_Married]]=1,"Married", (IF(ifood_data[[#This Row],[marital_Single]]=1,"Single",(IF(ifood_data[[#This Row],[marital_Divorced]]=1,"Divorced",(IF(ifood_data[[#This Row],[marital_Together]]=1,"Living Together",(IF(ifood_data[[#This Row],[marital_Widow]]=1,"Widow","Other")))))))))</f>
        <v>Single</v>
      </c>
      <c r="AU896" t="str">
        <f>IF(ifood_data[[#This Row],[education_Basic]]=1,"High School",(IF(ifood_data[[#This Row],[education_Graduation]]=1,"Undergraduate Degree",(IF(SUM(AM896,AL896,AI896)&gt;0,"Master's Degree or Higher","Other")))))</f>
        <v>Undergraduate Degree</v>
      </c>
      <c r="AV896" t="str">
        <f>IF(ifood_data[[#All],[Income]]&gt;75000,"75K+",(IF(ifood_data[[#All],[Income]]&gt;50000,"50K-75K",(IF(ifood_data[[#All],[Income]]&gt;35000,"35K-50K","&lt;35K")))))</f>
        <v>50K-75K</v>
      </c>
      <c r="AW896" t="str">
        <f>IF(ifood_data[[#All],[Age]]&gt;60,"60+",(IF(ifood_data[[#All],[Age]]&gt;50,"50-60",(IF(ifood_data[[#All],[Age]]&gt;40,"40-50",(IF(ifood_data[[#All],[Age]]&gt;30,"30-40","&lt;30")))))))</f>
        <v>40-50</v>
      </c>
      <c r="AX896">
        <f t="shared" si="52"/>
        <v>25</v>
      </c>
      <c r="AY896">
        <f t="shared" si="53"/>
        <v>8</v>
      </c>
      <c r="AZ896">
        <f t="shared" si="54"/>
        <v>7</v>
      </c>
      <c r="BA896">
        <f t="shared" si="55"/>
        <v>5</v>
      </c>
      <c r="BB896">
        <f>SUM(ifood_data[[#This Row],[Recency Score]:[Monetary Score]])</f>
        <v>20</v>
      </c>
      <c r="BC896">
        <f>(_xlfn.PERCENTRANK.INC(ifood_data[[#All],[RFM]],ifood_data[[#This Row],[RFM]],1))*10</f>
        <v>7</v>
      </c>
      <c r="BD896" t="str">
        <f>VLOOKUP(ifood_data[[#This Row],[RFM Score]],'RFM Analysis'!$A$3:$B$14,2,FALSE)</f>
        <v>Loyal Customer</v>
      </c>
      <c r="BE896">
        <f>'Regression Models'!$B$101+'Regression Models'!$B$102*ifood_data[[#This Row],[Income]]+'Regression Models'!$B$103*ifood_data[[#This Row],[Age]]+'Regression Models'!$B$104*ifood_data[[#This Row],[Family]]</f>
        <v>586.65684081958113</v>
      </c>
      <c r="BF896" t="str">
        <f>IF(ifood_data[[#This Row],[AcceptedCmpOverall]]=1,"Campaign Respondent","Non-respondent")</f>
        <v>Non-respondent</v>
      </c>
    </row>
    <row r="897" spans="1:58" x14ac:dyDescent="0.35">
      <c r="A897">
        <v>103</v>
      </c>
      <c r="B897">
        <v>57288</v>
      </c>
      <c r="C897">
        <v>0</v>
      </c>
      <c r="D897">
        <v>1</v>
      </c>
      <c r="E897">
        <v>27</v>
      </c>
      <c r="F897">
        <v>527</v>
      </c>
      <c r="G897">
        <v>0</v>
      </c>
      <c r="H897">
        <v>21</v>
      </c>
      <c r="I897">
        <v>0</v>
      </c>
      <c r="J897">
        <v>0</v>
      </c>
      <c r="K897">
        <v>60</v>
      </c>
      <c r="L897">
        <v>3</v>
      </c>
      <c r="M897">
        <v>8</v>
      </c>
      <c r="N897">
        <v>1</v>
      </c>
      <c r="O897">
        <v>8</v>
      </c>
      <c r="P897">
        <v>6</v>
      </c>
      <c r="Q897">
        <v>0</v>
      </c>
      <c r="R897">
        <v>0</v>
      </c>
      <c r="S897">
        <v>0</v>
      </c>
      <c r="T897">
        <v>1</v>
      </c>
      <c r="U897">
        <v>0</v>
      </c>
      <c r="V897">
        <f>IF(SUM(ifood_data[[#This Row],[AcceptedCmp1]:[AcceptedCmp5]])&gt;0,1,0)</f>
        <v>1</v>
      </c>
      <c r="W897">
        <v>0</v>
      </c>
      <c r="X897">
        <v>3</v>
      </c>
      <c r="Y897">
        <v>11</v>
      </c>
      <c r="Z897">
        <v>0</v>
      </c>
      <c r="AA897">
        <v>57</v>
      </c>
      <c r="AB897">
        <v>2163</v>
      </c>
      <c r="AC897" s="28">
        <f>ifood_data[[#This Row],[Customer_Days]]/365</f>
        <v>5.9260273972602739</v>
      </c>
      <c r="AD897">
        <v>0</v>
      </c>
      <c r="AE897">
        <v>0</v>
      </c>
      <c r="AF897">
        <v>0</v>
      </c>
      <c r="AG897">
        <v>1</v>
      </c>
      <c r="AH897">
        <v>0</v>
      </c>
      <c r="AI897">
        <v>0</v>
      </c>
      <c r="AJ897">
        <v>0</v>
      </c>
      <c r="AK897">
        <v>0</v>
      </c>
      <c r="AL897">
        <v>1</v>
      </c>
      <c r="AM897">
        <v>0</v>
      </c>
      <c r="AN897">
        <v>548</v>
      </c>
      <c r="AO897">
        <v>488</v>
      </c>
      <c r="AP897">
        <f>ifood_data[[#This Row],[MntTotal]]-ifood_data[[#This Row],[MntRegularProds]]</f>
        <v>60</v>
      </c>
      <c r="AQ897">
        <v>1</v>
      </c>
      <c r="AR897">
        <f>IF(SUM(ifood_data[[#This Row],[Kidhome]:[Teenhome]])&gt;0,1,0)</f>
        <v>1</v>
      </c>
      <c r="AS897" t="str">
        <f>IF(SUM(ifood_data[[#This Row],[Kidhome]:[Teenhome]])&gt;0,"Has Family","No Family")</f>
        <v>Has Family</v>
      </c>
      <c r="AT897" t="str">
        <f>IF(ifood_data[[#This Row],[marital_Married]]=1,"Married", (IF(ifood_data[[#This Row],[marital_Single]]=1,"Single",(IF(ifood_data[[#This Row],[marital_Divorced]]=1,"Divorced",(IF(ifood_data[[#This Row],[marital_Together]]=1,"Living Together",(IF(ifood_data[[#This Row],[marital_Widow]]=1,"Widow","Other")))))))))</f>
        <v>Living Together</v>
      </c>
      <c r="AU897" t="str">
        <f>IF(ifood_data[[#This Row],[education_Basic]]=1,"High School",(IF(ifood_data[[#This Row],[education_Graduation]]=1,"Undergraduate Degree",(IF(SUM(AM897,AL897,AI897)&gt;0,"Master's Degree or Higher","Other")))))</f>
        <v>Master's Degree or Higher</v>
      </c>
      <c r="AV897" t="str">
        <f>IF(ifood_data[[#All],[Income]]&gt;75000,"75K+",(IF(ifood_data[[#All],[Income]]&gt;50000,"50K-75K",(IF(ifood_data[[#All],[Income]]&gt;35000,"35K-50K","&lt;35K")))))</f>
        <v>50K-75K</v>
      </c>
      <c r="AW897" t="str">
        <f>IF(ifood_data[[#All],[Age]]&gt;60,"60+",(IF(ifood_data[[#All],[Age]]&gt;50,"50-60",(IF(ifood_data[[#All],[Age]]&gt;40,"40-50",(IF(ifood_data[[#All],[Age]]&gt;30,"30-40","&lt;30")))))))</f>
        <v>50-60</v>
      </c>
      <c r="AX897">
        <f t="shared" si="52"/>
        <v>26</v>
      </c>
      <c r="AY897">
        <f t="shared" si="53"/>
        <v>8</v>
      </c>
      <c r="AZ897">
        <f t="shared" si="54"/>
        <v>7</v>
      </c>
      <c r="BA897">
        <f t="shared" si="55"/>
        <v>5</v>
      </c>
      <c r="BB897">
        <f>SUM(ifood_data[[#This Row],[Recency Score]:[Monetary Score]])</f>
        <v>20</v>
      </c>
      <c r="BC897">
        <f>(_xlfn.PERCENTRANK.INC(ifood_data[[#All],[RFM]],ifood_data[[#This Row],[RFM]],1))*10</f>
        <v>7</v>
      </c>
      <c r="BD897" t="str">
        <f>VLOOKUP(ifood_data[[#This Row],[RFM Score]],'RFM Analysis'!$A$3:$B$14,2,FALSE)</f>
        <v>Loyal Customer</v>
      </c>
      <c r="BE897">
        <f>'Regression Models'!$B$101+'Regression Models'!$B$102*ifood_data[[#This Row],[Income]]+'Regression Models'!$B$103*ifood_data[[#This Row],[Age]]+'Regression Models'!$B$104*ifood_data[[#This Row],[Family]]</f>
        <v>585.92583458322417</v>
      </c>
      <c r="BF897" t="str">
        <f>IF(ifood_data[[#This Row],[AcceptedCmpOverall]]=1,"Campaign Respondent","Non-respondent")</f>
        <v>Campaign Respondent</v>
      </c>
    </row>
    <row r="898" spans="1:58" x14ac:dyDescent="0.35">
      <c r="A898">
        <v>426</v>
      </c>
      <c r="B898">
        <v>57959</v>
      </c>
      <c r="C898">
        <v>0</v>
      </c>
      <c r="D898">
        <v>1</v>
      </c>
      <c r="E898">
        <v>71</v>
      </c>
      <c r="F898">
        <v>430</v>
      </c>
      <c r="G898">
        <v>16</v>
      </c>
      <c r="H898">
        <v>322</v>
      </c>
      <c r="I898">
        <v>43</v>
      </c>
      <c r="J898">
        <v>24</v>
      </c>
      <c r="K898">
        <v>33</v>
      </c>
      <c r="L898">
        <v>5</v>
      </c>
      <c r="M898">
        <v>4</v>
      </c>
      <c r="N898">
        <v>7</v>
      </c>
      <c r="O898">
        <v>11</v>
      </c>
      <c r="P898">
        <v>3</v>
      </c>
      <c r="Q898">
        <v>0</v>
      </c>
      <c r="R898">
        <v>0</v>
      </c>
      <c r="S898">
        <v>0</v>
      </c>
      <c r="T898">
        <v>0</v>
      </c>
      <c r="U898">
        <v>0</v>
      </c>
      <c r="V898">
        <f>IF(SUM(ifood_data[[#This Row],[AcceptedCmp1]:[AcceptedCmp5]])&gt;0,1,0)</f>
        <v>0</v>
      </c>
      <c r="W898">
        <v>0</v>
      </c>
      <c r="X898">
        <v>3</v>
      </c>
      <c r="Y898">
        <v>11</v>
      </c>
      <c r="Z898">
        <v>0</v>
      </c>
      <c r="AA898">
        <v>65</v>
      </c>
      <c r="AB898">
        <v>2582</v>
      </c>
      <c r="AC898" s="28">
        <f>ifood_data[[#This Row],[Customer_Days]]/365</f>
        <v>7.0739726027397261</v>
      </c>
      <c r="AD898">
        <v>0</v>
      </c>
      <c r="AE898">
        <v>0</v>
      </c>
      <c r="AF898">
        <v>1</v>
      </c>
      <c r="AG898">
        <v>0</v>
      </c>
      <c r="AH898">
        <v>0</v>
      </c>
      <c r="AI898">
        <v>0</v>
      </c>
      <c r="AJ898">
        <v>0</v>
      </c>
      <c r="AK898">
        <v>1</v>
      </c>
      <c r="AL898">
        <v>0</v>
      </c>
      <c r="AM898">
        <v>0</v>
      </c>
      <c r="AN898">
        <v>835</v>
      </c>
      <c r="AO898">
        <v>802</v>
      </c>
      <c r="AP898">
        <f>ifood_data[[#This Row],[MntTotal]]-ifood_data[[#This Row],[MntRegularProds]]</f>
        <v>33</v>
      </c>
      <c r="AQ898">
        <v>0</v>
      </c>
      <c r="AR898">
        <f>IF(SUM(ifood_data[[#This Row],[Kidhome]:[Teenhome]])&gt;0,1,0)</f>
        <v>1</v>
      </c>
      <c r="AS898" t="str">
        <f>IF(SUM(ifood_data[[#This Row],[Kidhome]:[Teenhome]])&gt;0,"Has Family","No Family")</f>
        <v>Has Family</v>
      </c>
      <c r="AT898" t="str">
        <f>IF(ifood_data[[#This Row],[marital_Married]]=1,"Married", (IF(ifood_data[[#This Row],[marital_Single]]=1,"Single",(IF(ifood_data[[#This Row],[marital_Divorced]]=1,"Divorced",(IF(ifood_data[[#This Row],[marital_Together]]=1,"Living Together",(IF(ifood_data[[#This Row],[marital_Widow]]=1,"Widow","Other")))))))))</f>
        <v>Single</v>
      </c>
      <c r="AU898" t="str">
        <f>IF(ifood_data[[#This Row],[education_Basic]]=1,"High School",(IF(ifood_data[[#This Row],[education_Graduation]]=1,"Undergraduate Degree",(IF(SUM(AM898,AL898,AI898)&gt;0,"Master's Degree or Higher","Other")))))</f>
        <v>Undergraduate Degree</v>
      </c>
      <c r="AV898" t="str">
        <f>IF(ifood_data[[#All],[Income]]&gt;75000,"75K+",(IF(ifood_data[[#All],[Income]]&gt;50000,"50K-75K",(IF(ifood_data[[#All],[Income]]&gt;35000,"35K-50K","&lt;35K")))))</f>
        <v>50K-75K</v>
      </c>
      <c r="AW898" t="str">
        <f>IF(ifood_data[[#All],[Age]]&gt;60,"60+",(IF(ifood_data[[#All],[Age]]&gt;50,"50-60",(IF(ifood_data[[#All],[Age]]&gt;40,"40-50",(IF(ifood_data[[#All],[Age]]&gt;30,"30-40","&lt;30")))))))</f>
        <v>60+</v>
      </c>
      <c r="AX898">
        <f t="shared" ref="AX898:AX961" si="56">SUM(L898:P898)</f>
        <v>30</v>
      </c>
      <c r="AY898">
        <f t="shared" ref="AY898:AY961" si="57">(1-_xlfn.PERCENTRANK.INC($E$2:$E$2022,E898,1))*10</f>
        <v>3.0000000000000004</v>
      </c>
      <c r="AZ898">
        <f t="shared" ref="AZ898:AZ961" si="58">_xlfn.PERCENTRANK.INC($AX$2:$AX$2022,AX898,1)*10</f>
        <v>8</v>
      </c>
      <c r="BA898">
        <f t="shared" ref="BA898:BA961" si="59">_xlfn.PERCENTRANK.INC($AN$2:$AN$2022,AN898,1)*10</f>
        <v>6</v>
      </c>
      <c r="BB898">
        <f>SUM(ifood_data[[#This Row],[Recency Score]:[Monetary Score]])</f>
        <v>17</v>
      </c>
      <c r="BC898">
        <f>(_xlfn.PERCENTRANK.INC(ifood_data[[#All],[RFM]],ifood_data[[#This Row],[RFM]],1))*10</f>
        <v>6</v>
      </c>
      <c r="BD898" t="str">
        <f>VLOOKUP(ifood_data[[#This Row],[RFM Score]],'RFM Analysis'!$A$3:$B$14,2,FALSE)</f>
        <v>Promising</v>
      </c>
      <c r="BE898">
        <f>'Regression Models'!$B$101+'Regression Models'!$B$102*ifood_data[[#This Row],[Income]]+'Regression Models'!$B$103*ifood_data[[#This Row],[Age]]+'Regression Models'!$B$104*ifood_data[[#This Row],[Family]]</f>
        <v>584.91518537662603</v>
      </c>
      <c r="BF898" t="str">
        <f>IF(ifood_data[[#This Row],[AcceptedCmpOverall]]=1,"Campaign Respondent","Non-respondent")</f>
        <v>Non-respondent</v>
      </c>
    </row>
    <row r="899" spans="1:58" x14ac:dyDescent="0.35">
      <c r="A899">
        <v>688</v>
      </c>
      <c r="B899">
        <v>56962</v>
      </c>
      <c r="C899">
        <v>2</v>
      </c>
      <c r="D899">
        <v>1</v>
      </c>
      <c r="E899">
        <v>60</v>
      </c>
      <c r="F899">
        <v>292</v>
      </c>
      <c r="G899">
        <v>3</v>
      </c>
      <c r="H899">
        <v>77</v>
      </c>
      <c r="I899">
        <v>10</v>
      </c>
      <c r="J899">
        <v>3</v>
      </c>
      <c r="K899">
        <v>26</v>
      </c>
      <c r="L899">
        <v>7</v>
      </c>
      <c r="M899">
        <v>6</v>
      </c>
      <c r="N899">
        <v>3</v>
      </c>
      <c r="O899">
        <v>5</v>
      </c>
      <c r="P899">
        <v>7</v>
      </c>
      <c r="Q899">
        <v>0</v>
      </c>
      <c r="R899">
        <v>0</v>
      </c>
      <c r="S899">
        <v>0</v>
      </c>
      <c r="T899">
        <v>0</v>
      </c>
      <c r="U899">
        <v>0</v>
      </c>
      <c r="V899">
        <f>IF(SUM(ifood_data[[#This Row],[AcceptedCmp1]:[AcceptedCmp5]])&gt;0,1,0)</f>
        <v>0</v>
      </c>
      <c r="W899">
        <v>0</v>
      </c>
      <c r="X899">
        <v>3</v>
      </c>
      <c r="Y899">
        <v>11</v>
      </c>
      <c r="Z899">
        <v>0</v>
      </c>
      <c r="AA899">
        <v>55</v>
      </c>
      <c r="AB899">
        <v>2420</v>
      </c>
      <c r="AC899" s="28">
        <f>ifood_data[[#This Row],[Customer_Days]]/365</f>
        <v>6.6301369863013697</v>
      </c>
      <c r="AD899">
        <v>0</v>
      </c>
      <c r="AE899">
        <v>1</v>
      </c>
      <c r="AF899">
        <v>0</v>
      </c>
      <c r="AG899">
        <v>0</v>
      </c>
      <c r="AH899">
        <v>0</v>
      </c>
      <c r="AI899">
        <v>0</v>
      </c>
      <c r="AJ899">
        <v>0</v>
      </c>
      <c r="AK899">
        <v>0</v>
      </c>
      <c r="AL899">
        <v>1</v>
      </c>
      <c r="AM899">
        <v>0</v>
      </c>
      <c r="AN899">
        <v>385</v>
      </c>
      <c r="AO899">
        <v>359</v>
      </c>
      <c r="AP899">
        <f>ifood_data[[#This Row],[MntTotal]]-ifood_data[[#This Row],[MntRegularProds]]</f>
        <v>26</v>
      </c>
      <c r="AQ899">
        <v>0</v>
      </c>
      <c r="AR899">
        <f>IF(SUM(ifood_data[[#This Row],[Kidhome]:[Teenhome]])&gt;0,1,0)</f>
        <v>1</v>
      </c>
      <c r="AS899" t="str">
        <f>IF(SUM(ifood_data[[#This Row],[Kidhome]:[Teenhome]])&gt;0,"Has Family","No Family")</f>
        <v>Has Family</v>
      </c>
      <c r="AT899" t="str">
        <f>IF(ifood_data[[#This Row],[marital_Married]]=1,"Married", (IF(ifood_data[[#This Row],[marital_Single]]=1,"Single",(IF(ifood_data[[#This Row],[marital_Divorced]]=1,"Divorced",(IF(ifood_data[[#This Row],[marital_Together]]=1,"Living Together",(IF(ifood_data[[#This Row],[marital_Widow]]=1,"Widow","Other")))))))))</f>
        <v>Married</v>
      </c>
      <c r="AU899" t="str">
        <f>IF(ifood_data[[#This Row],[education_Basic]]=1,"High School",(IF(ifood_data[[#This Row],[education_Graduation]]=1,"Undergraduate Degree",(IF(SUM(AM899,AL899,AI899)&gt;0,"Master's Degree or Higher","Other")))))</f>
        <v>Master's Degree or Higher</v>
      </c>
      <c r="AV899" t="str">
        <f>IF(ifood_data[[#All],[Income]]&gt;75000,"75K+",(IF(ifood_data[[#All],[Income]]&gt;50000,"50K-75K",(IF(ifood_data[[#All],[Income]]&gt;35000,"35K-50K","&lt;35K")))))</f>
        <v>50K-75K</v>
      </c>
      <c r="AW899" t="str">
        <f>IF(ifood_data[[#All],[Age]]&gt;60,"60+",(IF(ifood_data[[#All],[Age]]&gt;50,"50-60",(IF(ifood_data[[#All],[Age]]&gt;40,"40-50",(IF(ifood_data[[#All],[Age]]&gt;30,"30-40","&lt;30")))))))</f>
        <v>50-60</v>
      </c>
      <c r="AX899">
        <f t="shared" si="56"/>
        <v>28</v>
      </c>
      <c r="AY899">
        <f t="shared" si="57"/>
        <v>4</v>
      </c>
      <c r="AZ899">
        <f t="shared" si="58"/>
        <v>8</v>
      </c>
      <c r="BA899">
        <f t="shared" si="59"/>
        <v>5</v>
      </c>
      <c r="BB899">
        <f>SUM(ifood_data[[#This Row],[Recency Score]:[Monetary Score]])</f>
        <v>17</v>
      </c>
      <c r="BC899">
        <f>(_xlfn.PERCENTRANK.INC(ifood_data[[#All],[RFM]],ifood_data[[#This Row],[RFM]],1))*10</f>
        <v>6</v>
      </c>
      <c r="BD899" t="str">
        <f>VLOOKUP(ifood_data[[#This Row],[RFM Score]],'RFM Analysis'!$A$3:$B$14,2,FALSE)</f>
        <v>Promising</v>
      </c>
      <c r="BE899">
        <f>'Regression Models'!$B$101+'Regression Models'!$B$102*ifood_data[[#This Row],[Income]]+'Regression Models'!$B$103*ifood_data[[#This Row],[Age]]+'Regression Models'!$B$104*ifood_data[[#This Row],[Family]]</f>
        <v>582.95197432610155</v>
      </c>
      <c r="BF899" t="str">
        <f>IF(ifood_data[[#This Row],[AcceptedCmpOverall]]=1,"Campaign Respondent","Non-respondent")</f>
        <v>Non-respondent</v>
      </c>
    </row>
    <row r="900" spans="1:58" x14ac:dyDescent="0.35">
      <c r="A900">
        <v>1697</v>
      </c>
      <c r="B900">
        <v>58217</v>
      </c>
      <c r="C900">
        <v>2</v>
      </c>
      <c r="D900">
        <v>1</v>
      </c>
      <c r="E900">
        <v>84</v>
      </c>
      <c r="F900">
        <v>68</v>
      </c>
      <c r="G900">
        <v>1</v>
      </c>
      <c r="H900">
        <v>13</v>
      </c>
      <c r="I900">
        <v>3</v>
      </c>
      <c r="J900">
        <v>5</v>
      </c>
      <c r="K900">
        <v>13</v>
      </c>
      <c r="L900">
        <v>1</v>
      </c>
      <c r="M900">
        <v>2</v>
      </c>
      <c r="N900">
        <v>0</v>
      </c>
      <c r="O900">
        <v>4</v>
      </c>
      <c r="P900">
        <v>6</v>
      </c>
      <c r="Q900">
        <v>0</v>
      </c>
      <c r="R900">
        <v>0</v>
      </c>
      <c r="S900">
        <v>0</v>
      </c>
      <c r="T900">
        <v>0</v>
      </c>
      <c r="U900">
        <v>0</v>
      </c>
      <c r="V900">
        <f>IF(SUM(ifood_data[[#This Row],[AcceptedCmp1]:[AcceptedCmp5]])&gt;0,1,0)</f>
        <v>0</v>
      </c>
      <c r="W900">
        <v>0</v>
      </c>
      <c r="X900">
        <v>3</v>
      </c>
      <c r="Y900">
        <v>11</v>
      </c>
      <c r="Z900">
        <v>0</v>
      </c>
      <c r="AA900">
        <v>69</v>
      </c>
      <c r="AB900">
        <v>2748</v>
      </c>
      <c r="AC900" s="28">
        <f>ifood_data[[#This Row],[Customer_Days]]/365</f>
        <v>7.5287671232876709</v>
      </c>
      <c r="AD900">
        <v>0</v>
      </c>
      <c r="AE900">
        <v>0</v>
      </c>
      <c r="AF900">
        <v>1</v>
      </c>
      <c r="AG900">
        <v>0</v>
      </c>
      <c r="AH900">
        <v>0</v>
      </c>
      <c r="AI900">
        <v>0</v>
      </c>
      <c r="AJ900">
        <v>0</v>
      </c>
      <c r="AK900">
        <v>0</v>
      </c>
      <c r="AL900">
        <v>1</v>
      </c>
      <c r="AM900">
        <v>0</v>
      </c>
      <c r="AN900">
        <v>90</v>
      </c>
      <c r="AO900">
        <v>77</v>
      </c>
      <c r="AP900">
        <f>ifood_data[[#This Row],[MntTotal]]-ifood_data[[#This Row],[MntRegularProds]]</f>
        <v>13</v>
      </c>
      <c r="AQ900">
        <v>0</v>
      </c>
      <c r="AR900">
        <f>IF(SUM(ifood_data[[#This Row],[Kidhome]:[Teenhome]])&gt;0,1,0)</f>
        <v>1</v>
      </c>
      <c r="AS900" t="str">
        <f>IF(SUM(ifood_data[[#This Row],[Kidhome]:[Teenhome]])&gt;0,"Has Family","No Family")</f>
        <v>Has Family</v>
      </c>
      <c r="AT900" t="str">
        <f>IF(ifood_data[[#This Row],[marital_Married]]=1,"Married", (IF(ifood_data[[#This Row],[marital_Single]]=1,"Single",(IF(ifood_data[[#This Row],[marital_Divorced]]=1,"Divorced",(IF(ifood_data[[#This Row],[marital_Together]]=1,"Living Together",(IF(ifood_data[[#This Row],[marital_Widow]]=1,"Widow","Other")))))))))</f>
        <v>Single</v>
      </c>
      <c r="AU900" t="str">
        <f>IF(ifood_data[[#This Row],[education_Basic]]=1,"High School",(IF(ifood_data[[#This Row],[education_Graduation]]=1,"Undergraduate Degree",(IF(SUM(AM900,AL900,AI900)&gt;0,"Master's Degree or Higher","Other")))))</f>
        <v>Master's Degree or Higher</v>
      </c>
      <c r="AV900" t="str">
        <f>IF(ifood_data[[#All],[Income]]&gt;75000,"75K+",(IF(ifood_data[[#All],[Income]]&gt;50000,"50K-75K",(IF(ifood_data[[#All],[Income]]&gt;35000,"35K-50K","&lt;35K")))))</f>
        <v>50K-75K</v>
      </c>
      <c r="AW900" t="str">
        <f>IF(ifood_data[[#All],[Age]]&gt;60,"60+",(IF(ifood_data[[#All],[Age]]&gt;50,"50-60",(IF(ifood_data[[#All],[Age]]&gt;40,"40-50",(IF(ifood_data[[#All],[Age]]&gt;30,"30-40","&lt;30")))))))</f>
        <v>60+</v>
      </c>
      <c r="AX900">
        <f t="shared" si="56"/>
        <v>13</v>
      </c>
      <c r="AY900">
        <f t="shared" si="57"/>
        <v>1.9999999999999996</v>
      </c>
      <c r="AZ900">
        <f t="shared" si="58"/>
        <v>1</v>
      </c>
      <c r="BA900">
        <f t="shared" si="59"/>
        <v>3</v>
      </c>
      <c r="BB900">
        <f>SUM(ifood_data[[#This Row],[Recency Score]:[Monetary Score]])</f>
        <v>6</v>
      </c>
      <c r="BC900">
        <f>(_xlfn.PERCENTRANK.INC(ifood_data[[#All],[RFM]],ifood_data[[#This Row],[RFM]],1))*10</f>
        <v>0</v>
      </c>
      <c r="BD900" t="str">
        <f>VLOOKUP(ifood_data[[#This Row],[RFM Score]],'RFM Analysis'!$A$3:$B$14,2,FALSE)</f>
        <v>Lost</v>
      </c>
      <c r="BE900">
        <f>'Regression Models'!$B$101+'Regression Models'!$B$102*ifood_data[[#This Row],[Income]]+'Regression Models'!$B$103*ifood_data[[#This Row],[Age]]+'Regression Models'!$B$104*ifood_data[[#This Row],[Family]]</f>
        <v>582.82973124217494</v>
      </c>
      <c r="BF900" t="str">
        <f>IF(ifood_data[[#This Row],[AcceptedCmpOverall]]=1,"Campaign Respondent","Non-respondent")</f>
        <v>Non-respondent</v>
      </c>
    </row>
    <row r="901" spans="1:58" x14ac:dyDescent="0.35">
      <c r="A901">
        <v>452</v>
      </c>
      <c r="B901">
        <v>55842</v>
      </c>
      <c r="C901">
        <v>0</v>
      </c>
      <c r="D901">
        <v>1</v>
      </c>
      <c r="E901">
        <v>19</v>
      </c>
      <c r="F901">
        <v>451</v>
      </c>
      <c r="G901">
        <v>0</v>
      </c>
      <c r="H901">
        <v>39</v>
      </c>
      <c r="I901">
        <v>0</v>
      </c>
      <c r="J901">
        <v>4</v>
      </c>
      <c r="K901">
        <v>24</v>
      </c>
      <c r="L901">
        <v>1</v>
      </c>
      <c r="M901">
        <v>7</v>
      </c>
      <c r="N901">
        <v>1</v>
      </c>
      <c r="O901">
        <v>8</v>
      </c>
      <c r="P901">
        <v>5</v>
      </c>
      <c r="Q901">
        <v>0</v>
      </c>
      <c r="R901">
        <v>0</v>
      </c>
      <c r="S901">
        <v>0</v>
      </c>
      <c r="T901">
        <v>0</v>
      </c>
      <c r="U901">
        <v>0</v>
      </c>
      <c r="V901">
        <f>IF(SUM(ifood_data[[#This Row],[AcceptedCmp1]:[AcceptedCmp5]])&gt;0,1,0)</f>
        <v>0</v>
      </c>
      <c r="W901">
        <v>0</v>
      </c>
      <c r="X901">
        <v>3</v>
      </c>
      <c r="Y901">
        <v>11</v>
      </c>
      <c r="Z901">
        <v>0</v>
      </c>
      <c r="AA901">
        <v>43</v>
      </c>
      <c r="AB901">
        <v>2196</v>
      </c>
      <c r="AC901" s="28">
        <f>ifood_data[[#This Row],[Customer_Days]]/365</f>
        <v>6.0164383561643833</v>
      </c>
      <c r="AD901">
        <v>0</v>
      </c>
      <c r="AE901">
        <v>1</v>
      </c>
      <c r="AF901">
        <v>0</v>
      </c>
      <c r="AG901">
        <v>0</v>
      </c>
      <c r="AH901">
        <v>0</v>
      </c>
      <c r="AI901">
        <v>0</v>
      </c>
      <c r="AJ901">
        <v>0</v>
      </c>
      <c r="AK901">
        <v>0</v>
      </c>
      <c r="AL901">
        <v>1</v>
      </c>
      <c r="AM901">
        <v>0</v>
      </c>
      <c r="AN901">
        <v>494</v>
      </c>
      <c r="AO901">
        <v>470</v>
      </c>
      <c r="AP901">
        <f>ifood_data[[#This Row],[MntTotal]]-ifood_data[[#This Row],[MntRegularProds]]</f>
        <v>24</v>
      </c>
      <c r="AQ901">
        <v>0</v>
      </c>
      <c r="AR901">
        <f>IF(SUM(ifood_data[[#This Row],[Kidhome]:[Teenhome]])&gt;0,1,0)</f>
        <v>1</v>
      </c>
      <c r="AS901" t="str">
        <f>IF(SUM(ifood_data[[#This Row],[Kidhome]:[Teenhome]])&gt;0,"Has Family","No Family")</f>
        <v>Has Family</v>
      </c>
      <c r="AT901" t="str">
        <f>IF(ifood_data[[#This Row],[marital_Married]]=1,"Married", (IF(ifood_data[[#This Row],[marital_Single]]=1,"Single",(IF(ifood_data[[#This Row],[marital_Divorced]]=1,"Divorced",(IF(ifood_data[[#This Row],[marital_Together]]=1,"Living Together",(IF(ifood_data[[#This Row],[marital_Widow]]=1,"Widow","Other")))))))))</f>
        <v>Married</v>
      </c>
      <c r="AU901" t="str">
        <f>IF(ifood_data[[#This Row],[education_Basic]]=1,"High School",(IF(ifood_data[[#This Row],[education_Graduation]]=1,"Undergraduate Degree",(IF(SUM(AM901,AL901,AI901)&gt;0,"Master's Degree or Higher","Other")))))</f>
        <v>Master's Degree or Higher</v>
      </c>
      <c r="AV901" t="str">
        <f>IF(ifood_data[[#All],[Income]]&gt;75000,"75K+",(IF(ifood_data[[#All],[Income]]&gt;50000,"50K-75K",(IF(ifood_data[[#All],[Income]]&gt;35000,"35K-50K","&lt;35K")))))</f>
        <v>50K-75K</v>
      </c>
      <c r="AW901" t="str">
        <f>IF(ifood_data[[#All],[Age]]&gt;60,"60+",(IF(ifood_data[[#All],[Age]]&gt;50,"50-60",(IF(ifood_data[[#All],[Age]]&gt;40,"40-50",(IF(ifood_data[[#All],[Age]]&gt;30,"30-40","&lt;30")))))))</f>
        <v>40-50</v>
      </c>
      <c r="AX901">
        <f t="shared" si="56"/>
        <v>22</v>
      </c>
      <c r="AY901">
        <f t="shared" si="57"/>
        <v>9</v>
      </c>
      <c r="AZ901">
        <f t="shared" si="58"/>
        <v>5</v>
      </c>
      <c r="BA901">
        <f t="shared" si="59"/>
        <v>5</v>
      </c>
      <c r="BB901">
        <f>SUM(ifood_data[[#This Row],[Recency Score]:[Monetary Score]])</f>
        <v>19</v>
      </c>
      <c r="BC901">
        <f>(_xlfn.PERCENTRANK.INC(ifood_data[[#All],[RFM]],ifood_data[[#This Row],[RFM]],1))*10</f>
        <v>7</v>
      </c>
      <c r="BD901" t="str">
        <f>VLOOKUP(ifood_data[[#This Row],[RFM Score]],'RFM Analysis'!$A$3:$B$14,2,FALSE)</f>
        <v>Loyal Customer</v>
      </c>
      <c r="BE901">
        <f>'Regression Models'!$B$101+'Regression Models'!$B$102*ifood_data[[#This Row],[Income]]+'Regression Models'!$B$103*ifood_data[[#This Row],[Age]]+'Regression Models'!$B$104*ifood_data[[#This Row],[Family]]</f>
        <v>582.15382295166603</v>
      </c>
      <c r="BF901" t="str">
        <f>IF(ifood_data[[#This Row],[AcceptedCmpOverall]]=1,"Campaign Respondent","Non-respondent")</f>
        <v>Non-respondent</v>
      </c>
    </row>
    <row r="902" spans="1:58" x14ac:dyDescent="0.35">
      <c r="A902">
        <v>1854</v>
      </c>
      <c r="B902">
        <v>55914</v>
      </c>
      <c r="C902">
        <v>0</v>
      </c>
      <c r="D902">
        <v>1</v>
      </c>
      <c r="E902">
        <v>32</v>
      </c>
      <c r="F902">
        <v>384</v>
      </c>
      <c r="G902">
        <v>60</v>
      </c>
      <c r="H902">
        <v>364</v>
      </c>
      <c r="I902">
        <v>119</v>
      </c>
      <c r="J902">
        <v>101</v>
      </c>
      <c r="K902">
        <v>232</v>
      </c>
      <c r="L902">
        <v>4</v>
      </c>
      <c r="M902">
        <v>11</v>
      </c>
      <c r="N902">
        <v>6</v>
      </c>
      <c r="O902">
        <v>8</v>
      </c>
      <c r="P902">
        <v>7</v>
      </c>
      <c r="Q902">
        <v>0</v>
      </c>
      <c r="R902">
        <v>0</v>
      </c>
      <c r="S902">
        <v>0</v>
      </c>
      <c r="T902">
        <v>0</v>
      </c>
      <c r="U902">
        <v>0</v>
      </c>
      <c r="V902">
        <f>IF(SUM(ifood_data[[#This Row],[AcceptedCmp1]:[AcceptedCmp5]])&gt;0,1,0)</f>
        <v>0</v>
      </c>
      <c r="W902">
        <v>0</v>
      </c>
      <c r="X902">
        <v>3</v>
      </c>
      <c r="Y902">
        <v>11</v>
      </c>
      <c r="Z902">
        <v>0</v>
      </c>
      <c r="AA902">
        <v>45</v>
      </c>
      <c r="AB902">
        <v>2585</v>
      </c>
      <c r="AC902" s="28">
        <f>ifood_data[[#This Row],[Customer_Days]]/365</f>
        <v>7.0821917808219181</v>
      </c>
      <c r="AD902">
        <v>0</v>
      </c>
      <c r="AE902">
        <v>0</v>
      </c>
      <c r="AF902">
        <v>0</v>
      </c>
      <c r="AG902">
        <v>1</v>
      </c>
      <c r="AH902">
        <v>0</v>
      </c>
      <c r="AI902">
        <v>0</v>
      </c>
      <c r="AJ902">
        <v>0</v>
      </c>
      <c r="AK902">
        <v>1</v>
      </c>
      <c r="AL902">
        <v>0</v>
      </c>
      <c r="AM902">
        <v>0</v>
      </c>
      <c r="AN902">
        <v>1028</v>
      </c>
      <c r="AO902">
        <v>796</v>
      </c>
      <c r="AP902">
        <f>ifood_data[[#This Row],[MntTotal]]-ifood_data[[#This Row],[MntRegularProds]]</f>
        <v>232</v>
      </c>
      <c r="AQ902">
        <v>0</v>
      </c>
      <c r="AR902">
        <f>IF(SUM(ifood_data[[#This Row],[Kidhome]:[Teenhome]])&gt;0,1,0)</f>
        <v>1</v>
      </c>
      <c r="AS902" t="str">
        <f>IF(SUM(ifood_data[[#This Row],[Kidhome]:[Teenhome]])&gt;0,"Has Family","No Family")</f>
        <v>Has Family</v>
      </c>
      <c r="AT902" t="str">
        <f>IF(ifood_data[[#This Row],[marital_Married]]=1,"Married", (IF(ifood_data[[#This Row],[marital_Single]]=1,"Single",(IF(ifood_data[[#This Row],[marital_Divorced]]=1,"Divorced",(IF(ifood_data[[#This Row],[marital_Together]]=1,"Living Together",(IF(ifood_data[[#This Row],[marital_Widow]]=1,"Widow","Other")))))))))</f>
        <v>Living Together</v>
      </c>
      <c r="AU902" t="str">
        <f>IF(ifood_data[[#This Row],[education_Basic]]=1,"High School",(IF(ifood_data[[#This Row],[education_Graduation]]=1,"Undergraduate Degree",(IF(SUM(AM902,AL902,AI902)&gt;0,"Master's Degree or Higher","Other")))))</f>
        <v>Undergraduate Degree</v>
      </c>
      <c r="AV902" t="str">
        <f>IF(ifood_data[[#All],[Income]]&gt;75000,"75K+",(IF(ifood_data[[#All],[Income]]&gt;50000,"50K-75K",(IF(ifood_data[[#All],[Income]]&gt;35000,"35K-50K","&lt;35K")))))</f>
        <v>50K-75K</v>
      </c>
      <c r="AW902" t="str">
        <f>IF(ifood_data[[#All],[Age]]&gt;60,"60+",(IF(ifood_data[[#All],[Age]]&gt;50,"50-60",(IF(ifood_data[[#All],[Age]]&gt;40,"40-50",(IF(ifood_data[[#All],[Age]]&gt;30,"30-40","&lt;30")))))))</f>
        <v>40-50</v>
      </c>
      <c r="AX902">
        <f t="shared" si="56"/>
        <v>36</v>
      </c>
      <c r="AY902">
        <f t="shared" si="57"/>
        <v>7</v>
      </c>
      <c r="AZ902">
        <f t="shared" si="58"/>
        <v>9</v>
      </c>
      <c r="BA902">
        <f t="shared" si="59"/>
        <v>7</v>
      </c>
      <c r="BB902">
        <f>SUM(ifood_data[[#This Row],[Recency Score]:[Monetary Score]])</f>
        <v>23</v>
      </c>
      <c r="BC902">
        <f>(_xlfn.PERCENTRANK.INC(ifood_data[[#All],[RFM]],ifood_data[[#This Row],[RFM]],1))*10</f>
        <v>8</v>
      </c>
      <c r="BD902" t="str">
        <f>VLOOKUP(ifood_data[[#This Row],[RFM Score]],'RFM Analysis'!$A$3:$B$14,2,FALSE)</f>
        <v>Loyal Customer</v>
      </c>
      <c r="BE902">
        <f>'Regression Models'!$B$101+'Regression Models'!$B$102*ifood_data[[#This Row],[Income]]+'Regression Models'!$B$103*ifood_data[[#This Row],[Age]]+'Regression Models'!$B$104*ifood_data[[#This Row],[Family]]</f>
        <v>579.94893610023826</v>
      </c>
      <c r="BF902" t="str">
        <f>IF(ifood_data[[#This Row],[AcceptedCmpOverall]]=1,"Campaign Respondent","Non-respondent")</f>
        <v>Non-respondent</v>
      </c>
    </row>
    <row r="903" spans="1:58" x14ac:dyDescent="0.35">
      <c r="A903">
        <v>1552</v>
      </c>
      <c r="B903">
        <v>56534</v>
      </c>
      <c r="C903">
        <v>0</v>
      </c>
      <c r="D903">
        <v>1</v>
      </c>
      <c r="E903">
        <v>35</v>
      </c>
      <c r="F903">
        <v>691</v>
      </c>
      <c r="G903">
        <v>7</v>
      </c>
      <c r="H903">
        <v>61</v>
      </c>
      <c r="I903">
        <v>10</v>
      </c>
      <c r="J903">
        <v>0</v>
      </c>
      <c r="K903">
        <v>46</v>
      </c>
      <c r="L903">
        <v>4</v>
      </c>
      <c r="M903">
        <v>10</v>
      </c>
      <c r="N903">
        <v>4</v>
      </c>
      <c r="O903">
        <v>7</v>
      </c>
      <c r="P903">
        <v>8</v>
      </c>
      <c r="Q903">
        <v>0</v>
      </c>
      <c r="R903">
        <v>1</v>
      </c>
      <c r="S903">
        <v>0</v>
      </c>
      <c r="T903">
        <v>1</v>
      </c>
      <c r="U903">
        <v>0</v>
      </c>
      <c r="V903">
        <f>IF(SUM(ifood_data[[#This Row],[AcceptedCmp1]:[AcceptedCmp5]])&gt;0,1,0)</f>
        <v>1</v>
      </c>
      <c r="W903">
        <v>0</v>
      </c>
      <c r="X903">
        <v>3</v>
      </c>
      <c r="Y903">
        <v>11</v>
      </c>
      <c r="Z903">
        <v>1</v>
      </c>
      <c r="AA903">
        <v>52</v>
      </c>
      <c r="AB903">
        <v>2500</v>
      </c>
      <c r="AC903" s="28">
        <f>ifood_data[[#This Row],[Customer_Days]]/365</f>
        <v>6.8493150684931505</v>
      </c>
      <c r="AD903">
        <v>0</v>
      </c>
      <c r="AE903">
        <v>0</v>
      </c>
      <c r="AF903">
        <v>0</v>
      </c>
      <c r="AG903">
        <v>1</v>
      </c>
      <c r="AH903">
        <v>0</v>
      </c>
      <c r="AI903">
        <v>0</v>
      </c>
      <c r="AJ903">
        <v>0</v>
      </c>
      <c r="AK903">
        <v>1</v>
      </c>
      <c r="AL903">
        <v>0</v>
      </c>
      <c r="AM903">
        <v>0</v>
      </c>
      <c r="AN903">
        <v>769</v>
      </c>
      <c r="AO903">
        <v>723</v>
      </c>
      <c r="AP903">
        <f>ifood_data[[#This Row],[MntTotal]]-ifood_data[[#This Row],[MntRegularProds]]</f>
        <v>46</v>
      </c>
      <c r="AQ903">
        <v>2</v>
      </c>
      <c r="AR903">
        <f>IF(SUM(ifood_data[[#This Row],[Kidhome]:[Teenhome]])&gt;0,1,0)</f>
        <v>1</v>
      </c>
      <c r="AS903" t="str">
        <f>IF(SUM(ifood_data[[#This Row],[Kidhome]:[Teenhome]])&gt;0,"Has Family","No Family")</f>
        <v>Has Family</v>
      </c>
      <c r="AT903" t="str">
        <f>IF(ifood_data[[#This Row],[marital_Married]]=1,"Married", (IF(ifood_data[[#This Row],[marital_Single]]=1,"Single",(IF(ifood_data[[#This Row],[marital_Divorced]]=1,"Divorced",(IF(ifood_data[[#This Row],[marital_Together]]=1,"Living Together",(IF(ifood_data[[#This Row],[marital_Widow]]=1,"Widow","Other")))))))))</f>
        <v>Living Together</v>
      </c>
      <c r="AU903" t="str">
        <f>IF(ifood_data[[#This Row],[education_Basic]]=1,"High School",(IF(ifood_data[[#This Row],[education_Graduation]]=1,"Undergraduate Degree",(IF(SUM(AM903,AL903,AI903)&gt;0,"Master's Degree or Higher","Other")))))</f>
        <v>Undergraduate Degree</v>
      </c>
      <c r="AV903" t="str">
        <f>IF(ifood_data[[#All],[Income]]&gt;75000,"75K+",(IF(ifood_data[[#All],[Income]]&gt;50000,"50K-75K",(IF(ifood_data[[#All],[Income]]&gt;35000,"35K-50K","&lt;35K")))))</f>
        <v>50K-75K</v>
      </c>
      <c r="AW903" t="str">
        <f>IF(ifood_data[[#All],[Age]]&gt;60,"60+",(IF(ifood_data[[#All],[Age]]&gt;50,"50-60",(IF(ifood_data[[#All],[Age]]&gt;40,"40-50",(IF(ifood_data[[#All],[Age]]&gt;30,"30-40","&lt;30")))))))</f>
        <v>50-60</v>
      </c>
      <c r="AX903">
        <f t="shared" si="56"/>
        <v>33</v>
      </c>
      <c r="AY903">
        <f t="shared" si="57"/>
        <v>7</v>
      </c>
      <c r="AZ903">
        <f t="shared" si="58"/>
        <v>9</v>
      </c>
      <c r="BA903">
        <f t="shared" si="59"/>
        <v>6</v>
      </c>
      <c r="BB903">
        <f>SUM(ifood_data[[#This Row],[Recency Score]:[Monetary Score]])</f>
        <v>22</v>
      </c>
      <c r="BC903">
        <f>(_xlfn.PERCENTRANK.INC(ifood_data[[#All],[RFM]],ifood_data[[#This Row],[RFM]],1))*10</f>
        <v>8</v>
      </c>
      <c r="BD903" t="str">
        <f>VLOOKUP(ifood_data[[#This Row],[RFM Score]],'RFM Analysis'!$A$3:$B$14,2,FALSE)</f>
        <v>Loyal Customer</v>
      </c>
      <c r="BE903">
        <f>'Regression Models'!$B$101+'Regression Models'!$B$102*ifood_data[[#This Row],[Income]]+'Regression Models'!$B$103*ifood_data[[#This Row],[Age]]+'Regression Models'!$B$104*ifood_data[[#This Row],[Family]]</f>
        <v>579.7348987971958</v>
      </c>
      <c r="BF903" t="str">
        <f>IF(ifood_data[[#This Row],[AcceptedCmpOverall]]=1,"Campaign Respondent","Non-respondent")</f>
        <v>Campaign Respondent</v>
      </c>
    </row>
    <row r="904" spans="1:58" x14ac:dyDescent="0.35">
      <c r="A904">
        <v>646</v>
      </c>
      <c r="B904">
        <v>41039</v>
      </c>
      <c r="C904">
        <v>0</v>
      </c>
      <c r="D904">
        <v>0</v>
      </c>
      <c r="E904">
        <v>32</v>
      </c>
      <c r="F904">
        <v>34</v>
      </c>
      <c r="G904">
        <v>11</v>
      </c>
      <c r="H904">
        <v>137</v>
      </c>
      <c r="I904">
        <v>179</v>
      </c>
      <c r="J904">
        <v>61</v>
      </c>
      <c r="K904">
        <v>45</v>
      </c>
      <c r="L904">
        <v>1</v>
      </c>
      <c r="M904">
        <v>8</v>
      </c>
      <c r="N904">
        <v>1</v>
      </c>
      <c r="O904">
        <v>5</v>
      </c>
      <c r="P904">
        <v>8</v>
      </c>
      <c r="Q904">
        <v>0</v>
      </c>
      <c r="R904">
        <v>0</v>
      </c>
      <c r="S904">
        <v>0</v>
      </c>
      <c r="T904">
        <v>0</v>
      </c>
      <c r="U904">
        <v>0</v>
      </c>
      <c r="V904">
        <f>IF(SUM(ifood_data[[#This Row],[AcceptedCmp1]:[AcceptedCmp5]])&gt;0,1,0)</f>
        <v>0</v>
      </c>
      <c r="W904">
        <v>0</v>
      </c>
      <c r="X904">
        <v>3</v>
      </c>
      <c r="Y904">
        <v>11</v>
      </c>
      <c r="Z904">
        <v>0</v>
      </c>
      <c r="AA904">
        <v>38</v>
      </c>
      <c r="AB904">
        <v>2498</v>
      </c>
      <c r="AC904" s="28">
        <f>ifood_data[[#This Row],[Customer_Days]]/365</f>
        <v>6.8438356164383558</v>
      </c>
      <c r="AD904">
        <v>0</v>
      </c>
      <c r="AE904">
        <v>0</v>
      </c>
      <c r="AF904">
        <v>0</v>
      </c>
      <c r="AG904">
        <v>1</v>
      </c>
      <c r="AH904">
        <v>0</v>
      </c>
      <c r="AI904">
        <v>1</v>
      </c>
      <c r="AJ904">
        <v>0</v>
      </c>
      <c r="AK904">
        <v>0</v>
      </c>
      <c r="AL904">
        <v>0</v>
      </c>
      <c r="AM904">
        <v>0</v>
      </c>
      <c r="AN904">
        <v>422</v>
      </c>
      <c r="AO904">
        <v>377</v>
      </c>
      <c r="AP904">
        <f>ifood_data[[#This Row],[MntTotal]]-ifood_data[[#This Row],[MntRegularProds]]</f>
        <v>45</v>
      </c>
      <c r="AQ904">
        <v>0</v>
      </c>
      <c r="AR904">
        <f>IF(SUM(ifood_data[[#This Row],[Kidhome]:[Teenhome]])&gt;0,1,0)</f>
        <v>0</v>
      </c>
      <c r="AS904" t="str">
        <f>IF(SUM(ifood_data[[#This Row],[Kidhome]:[Teenhome]])&gt;0,"Has Family","No Family")</f>
        <v>No Family</v>
      </c>
      <c r="AT904" t="str">
        <f>IF(ifood_data[[#This Row],[marital_Married]]=1,"Married", (IF(ifood_data[[#This Row],[marital_Single]]=1,"Single",(IF(ifood_data[[#This Row],[marital_Divorced]]=1,"Divorced",(IF(ifood_data[[#This Row],[marital_Together]]=1,"Living Together",(IF(ifood_data[[#This Row],[marital_Widow]]=1,"Widow","Other")))))))))</f>
        <v>Living Together</v>
      </c>
      <c r="AU904" t="str">
        <f>IF(ifood_data[[#This Row],[education_Basic]]=1,"High School",(IF(ifood_data[[#This Row],[education_Graduation]]=1,"Undergraduate Degree",(IF(SUM(AM904,AL904,AI904)&gt;0,"Master's Degree or Higher","Other")))))</f>
        <v>Master's Degree or Higher</v>
      </c>
      <c r="AV904" t="str">
        <f>IF(ifood_data[[#All],[Income]]&gt;75000,"75K+",(IF(ifood_data[[#All],[Income]]&gt;50000,"50K-75K",(IF(ifood_data[[#All],[Income]]&gt;35000,"35K-50K","&lt;35K")))))</f>
        <v>35K-50K</v>
      </c>
      <c r="AW904" t="str">
        <f>IF(ifood_data[[#All],[Age]]&gt;60,"60+",(IF(ifood_data[[#All],[Age]]&gt;50,"50-60",(IF(ifood_data[[#All],[Age]]&gt;40,"40-50",(IF(ifood_data[[#All],[Age]]&gt;30,"30-40","&lt;30")))))))</f>
        <v>30-40</v>
      </c>
      <c r="AX904">
        <f t="shared" si="56"/>
        <v>23</v>
      </c>
      <c r="AY904">
        <f t="shared" si="57"/>
        <v>7</v>
      </c>
      <c r="AZ904">
        <f t="shared" si="58"/>
        <v>6</v>
      </c>
      <c r="BA904">
        <f t="shared" si="59"/>
        <v>5</v>
      </c>
      <c r="BB904">
        <f>SUM(ifood_data[[#This Row],[Recency Score]:[Monetary Score]])</f>
        <v>18</v>
      </c>
      <c r="BC904">
        <f>(_xlfn.PERCENTRANK.INC(ifood_data[[#All],[RFM]],ifood_data[[#This Row],[RFM]],1))*10</f>
        <v>6</v>
      </c>
      <c r="BD904" t="str">
        <f>VLOOKUP(ifood_data[[#This Row],[RFM Score]],'RFM Analysis'!$A$3:$B$14,2,FALSE)</f>
        <v>Promising</v>
      </c>
      <c r="BE904">
        <f>'Regression Models'!$B$101+'Regression Models'!$B$102*ifood_data[[#This Row],[Income]]+'Regression Models'!$B$103*ifood_data[[#This Row],[Age]]+'Regression Models'!$B$104*ifood_data[[#This Row],[Family]]</f>
        <v>579.1347145850176</v>
      </c>
      <c r="BF904" t="str">
        <f>IF(ifood_data[[#This Row],[AcceptedCmpOverall]]=1,"Campaign Respondent","Non-respondent")</f>
        <v>Non-respondent</v>
      </c>
    </row>
    <row r="905" spans="1:58" x14ac:dyDescent="0.35">
      <c r="A905">
        <v>788</v>
      </c>
      <c r="B905">
        <v>56575</v>
      </c>
      <c r="C905">
        <v>0</v>
      </c>
      <c r="D905">
        <v>2</v>
      </c>
      <c r="E905">
        <v>42</v>
      </c>
      <c r="F905">
        <v>421</v>
      </c>
      <c r="G905">
        <v>5</v>
      </c>
      <c r="H905">
        <v>90</v>
      </c>
      <c r="I905">
        <v>0</v>
      </c>
      <c r="J905">
        <v>16</v>
      </c>
      <c r="K905">
        <v>10</v>
      </c>
      <c r="L905">
        <v>3</v>
      </c>
      <c r="M905">
        <v>7</v>
      </c>
      <c r="N905">
        <v>3</v>
      </c>
      <c r="O905">
        <v>7</v>
      </c>
      <c r="P905">
        <v>5</v>
      </c>
      <c r="Q905">
        <v>0</v>
      </c>
      <c r="R905">
        <v>0</v>
      </c>
      <c r="S905">
        <v>0</v>
      </c>
      <c r="T905">
        <v>0</v>
      </c>
      <c r="U905">
        <v>0</v>
      </c>
      <c r="V905">
        <f>IF(SUM(ifood_data[[#This Row],[AcceptedCmp1]:[AcceptedCmp5]])&gt;0,1,0)</f>
        <v>0</v>
      </c>
      <c r="W905">
        <v>0</v>
      </c>
      <c r="X905">
        <v>3</v>
      </c>
      <c r="Y905">
        <v>11</v>
      </c>
      <c r="Z905">
        <v>0</v>
      </c>
      <c r="AA905">
        <v>53</v>
      </c>
      <c r="AB905">
        <v>2579</v>
      </c>
      <c r="AC905" s="28">
        <f>ifood_data[[#This Row],[Customer_Days]]/365</f>
        <v>7.065753424657534</v>
      </c>
      <c r="AD905">
        <v>0</v>
      </c>
      <c r="AE905">
        <v>0</v>
      </c>
      <c r="AF905">
        <v>0</v>
      </c>
      <c r="AG905">
        <v>1</v>
      </c>
      <c r="AH905">
        <v>0</v>
      </c>
      <c r="AI905">
        <v>0</v>
      </c>
      <c r="AJ905">
        <v>0</v>
      </c>
      <c r="AK905">
        <v>0</v>
      </c>
      <c r="AL905">
        <v>0</v>
      </c>
      <c r="AM905">
        <v>1</v>
      </c>
      <c r="AN905">
        <v>532</v>
      </c>
      <c r="AO905">
        <v>522</v>
      </c>
      <c r="AP905">
        <f>ifood_data[[#This Row],[MntTotal]]-ifood_data[[#This Row],[MntRegularProds]]</f>
        <v>10</v>
      </c>
      <c r="AQ905">
        <v>0</v>
      </c>
      <c r="AR905">
        <f>IF(SUM(ifood_data[[#This Row],[Kidhome]:[Teenhome]])&gt;0,1,0)</f>
        <v>1</v>
      </c>
      <c r="AS905" t="str">
        <f>IF(SUM(ifood_data[[#This Row],[Kidhome]:[Teenhome]])&gt;0,"Has Family","No Family")</f>
        <v>Has Family</v>
      </c>
      <c r="AT905" t="str">
        <f>IF(ifood_data[[#This Row],[marital_Married]]=1,"Married", (IF(ifood_data[[#This Row],[marital_Single]]=1,"Single",(IF(ifood_data[[#This Row],[marital_Divorced]]=1,"Divorced",(IF(ifood_data[[#This Row],[marital_Together]]=1,"Living Together",(IF(ifood_data[[#This Row],[marital_Widow]]=1,"Widow","Other")))))))))</f>
        <v>Living Together</v>
      </c>
      <c r="AU905" t="str">
        <f>IF(ifood_data[[#This Row],[education_Basic]]=1,"High School",(IF(ifood_data[[#This Row],[education_Graduation]]=1,"Undergraduate Degree",(IF(SUM(AM905,AL905,AI905)&gt;0,"Master's Degree or Higher","Other")))))</f>
        <v>Master's Degree or Higher</v>
      </c>
      <c r="AV905" t="str">
        <f>IF(ifood_data[[#All],[Income]]&gt;75000,"75K+",(IF(ifood_data[[#All],[Income]]&gt;50000,"50K-75K",(IF(ifood_data[[#All],[Income]]&gt;35000,"35K-50K","&lt;35K")))))</f>
        <v>50K-75K</v>
      </c>
      <c r="AW905" t="str">
        <f>IF(ifood_data[[#All],[Age]]&gt;60,"60+",(IF(ifood_data[[#All],[Age]]&gt;50,"50-60",(IF(ifood_data[[#All],[Age]]&gt;40,"40-50",(IF(ifood_data[[#All],[Age]]&gt;30,"30-40","&lt;30")))))))</f>
        <v>50-60</v>
      </c>
      <c r="AX905">
        <f t="shared" si="56"/>
        <v>25</v>
      </c>
      <c r="AY905">
        <f t="shared" si="57"/>
        <v>6</v>
      </c>
      <c r="AZ905">
        <f t="shared" si="58"/>
        <v>7</v>
      </c>
      <c r="BA905">
        <f t="shared" si="59"/>
        <v>5</v>
      </c>
      <c r="BB905">
        <f>SUM(ifood_data[[#This Row],[Recency Score]:[Monetary Score]])</f>
        <v>18</v>
      </c>
      <c r="BC905">
        <f>(_xlfn.PERCENTRANK.INC(ifood_data[[#All],[RFM]],ifood_data[[#This Row],[RFM]],1))*10</f>
        <v>6</v>
      </c>
      <c r="BD905" t="str">
        <f>VLOOKUP(ifood_data[[#This Row],[RFM Score]],'RFM Analysis'!$A$3:$B$14,2,FALSE)</f>
        <v>Promising</v>
      </c>
      <c r="BE905">
        <f>'Regression Models'!$B$101+'Regression Models'!$B$102*ifood_data[[#This Row],[Income]]+'Regression Models'!$B$103*ifood_data[[#This Row],[Age]]+'Regression Models'!$B$104*ifood_data[[#This Row],[Family]]</f>
        <v>578.73439921220131</v>
      </c>
      <c r="BF905" t="str">
        <f>IF(ifood_data[[#This Row],[AcceptedCmpOverall]]=1,"Campaign Respondent","Non-respondent")</f>
        <v>Non-respondent</v>
      </c>
    </row>
    <row r="906" spans="1:58" x14ac:dyDescent="0.35">
      <c r="A906">
        <v>1084</v>
      </c>
      <c r="B906">
        <v>57744</v>
      </c>
      <c r="C906">
        <v>0</v>
      </c>
      <c r="D906">
        <v>1</v>
      </c>
      <c r="E906">
        <v>91</v>
      </c>
      <c r="F906">
        <v>350</v>
      </c>
      <c r="G906">
        <v>3</v>
      </c>
      <c r="H906">
        <v>39</v>
      </c>
      <c r="I906">
        <v>0</v>
      </c>
      <c r="J906">
        <v>0</v>
      </c>
      <c r="K906">
        <v>19</v>
      </c>
      <c r="L906">
        <v>2</v>
      </c>
      <c r="M906">
        <v>9</v>
      </c>
      <c r="N906">
        <v>1</v>
      </c>
      <c r="O906">
        <v>4</v>
      </c>
      <c r="P906">
        <v>8</v>
      </c>
      <c r="Q906">
        <v>0</v>
      </c>
      <c r="R906">
        <v>0</v>
      </c>
      <c r="S906">
        <v>0</v>
      </c>
      <c r="T906">
        <v>0</v>
      </c>
      <c r="U906">
        <v>0</v>
      </c>
      <c r="V906">
        <f>IF(SUM(ifood_data[[#This Row],[AcceptedCmp1]:[AcceptedCmp5]])&gt;0,1,0)</f>
        <v>0</v>
      </c>
      <c r="W906">
        <v>0</v>
      </c>
      <c r="X906">
        <v>3</v>
      </c>
      <c r="Y906">
        <v>11</v>
      </c>
      <c r="Z906">
        <v>0</v>
      </c>
      <c r="AA906">
        <v>66</v>
      </c>
      <c r="AB906">
        <v>2388</v>
      </c>
      <c r="AC906" s="28">
        <f>ifood_data[[#This Row],[Customer_Days]]/365</f>
        <v>6.5424657534246577</v>
      </c>
      <c r="AD906">
        <v>0</v>
      </c>
      <c r="AE906">
        <v>1</v>
      </c>
      <c r="AF906">
        <v>0</v>
      </c>
      <c r="AG906">
        <v>0</v>
      </c>
      <c r="AH906">
        <v>0</v>
      </c>
      <c r="AI906">
        <v>0</v>
      </c>
      <c r="AJ906">
        <v>0</v>
      </c>
      <c r="AK906">
        <v>0</v>
      </c>
      <c r="AL906">
        <v>0</v>
      </c>
      <c r="AM906">
        <v>1</v>
      </c>
      <c r="AN906">
        <v>392</v>
      </c>
      <c r="AO906">
        <v>373</v>
      </c>
      <c r="AP906">
        <f>ifood_data[[#This Row],[MntTotal]]-ifood_data[[#This Row],[MntRegularProds]]</f>
        <v>19</v>
      </c>
      <c r="AQ906">
        <v>0</v>
      </c>
      <c r="AR906">
        <f>IF(SUM(ifood_data[[#This Row],[Kidhome]:[Teenhome]])&gt;0,1,0)</f>
        <v>1</v>
      </c>
      <c r="AS906" t="str">
        <f>IF(SUM(ifood_data[[#This Row],[Kidhome]:[Teenhome]])&gt;0,"Has Family","No Family")</f>
        <v>Has Family</v>
      </c>
      <c r="AT906" t="str">
        <f>IF(ifood_data[[#This Row],[marital_Married]]=1,"Married", (IF(ifood_data[[#This Row],[marital_Single]]=1,"Single",(IF(ifood_data[[#This Row],[marital_Divorced]]=1,"Divorced",(IF(ifood_data[[#This Row],[marital_Together]]=1,"Living Together",(IF(ifood_data[[#This Row],[marital_Widow]]=1,"Widow","Other")))))))))</f>
        <v>Married</v>
      </c>
      <c r="AU906" t="str">
        <f>IF(ifood_data[[#This Row],[education_Basic]]=1,"High School",(IF(ifood_data[[#This Row],[education_Graduation]]=1,"Undergraduate Degree",(IF(SUM(AM906,AL906,AI906)&gt;0,"Master's Degree or Higher","Other")))))</f>
        <v>Master's Degree or Higher</v>
      </c>
      <c r="AV906" t="str">
        <f>IF(ifood_data[[#All],[Income]]&gt;75000,"75K+",(IF(ifood_data[[#All],[Income]]&gt;50000,"50K-75K",(IF(ifood_data[[#All],[Income]]&gt;35000,"35K-50K","&lt;35K")))))</f>
        <v>50K-75K</v>
      </c>
      <c r="AW906" t="str">
        <f>IF(ifood_data[[#All],[Age]]&gt;60,"60+",(IF(ifood_data[[#All],[Age]]&gt;50,"50-60",(IF(ifood_data[[#All],[Age]]&gt;40,"40-50",(IF(ifood_data[[#All],[Age]]&gt;30,"30-40","&lt;30")))))))</f>
        <v>60+</v>
      </c>
      <c r="AX906">
        <f t="shared" si="56"/>
        <v>24</v>
      </c>
      <c r="AY906">
        <f t="shared" si="57"/>
        <v>0.99999999999999978</v>
      </c>
      <c r="AZ906">
        <f t="shared" si="58"/>
        <v>6</v>
      </c>
      <c r="BA906">
        <f t="shared" si="59"/>
        <v>5</v>
      </c>
      <c r="BB906">
        <f>SUM(ifood_data[[#This Row],[Recency Score]:[Monetary Score]])</f>
        <v>12</v>
      </c>
      <c r="BC906">
        <f>(_xlfn.PERCENTRANK.INC(ifood_data[[#All],[RFM]],ifood_data[[#This Row],[RFM]],1))*10</f>
        <v>3</v>
      </c>
      <c r="BD906" t="str">
        <f>VLOOKUP(ifood_data[[#This Row],[RFM Score]],'RFM Analysis'!$A$3:$B$14,2,FALSE)</f>
        <v>At Risk</v>
      </c>
      <c r="BE906">
        <f>'Regression Models'!$B$101+'Regression Models'!$B$102*ifood_data[[#This Row],[Income]]+'Regression Models'!$B$103*ifood_data[[#This Row],[Age]]+'Regression Models'!$B$104*ifood_data[[#This Row],[Family]]</f>
        <v>578.69516114679357</v>
      </c>
      <c r="BF906" t="str">
        <f>IF(ifood_data[[#This Row],[AcceptedCmpOverall]]=1,"Campaign Respondent","Non-respondent")</f>
        <v>Non-respondent</v>
      </c>
    </row>
    <row r="907" spans="1:58" x14ac:dyDescent="0.35">
      <c r="A907">
        <v>471</v>
      </c>
      <c r="B907">
        <v>55563</v>
      </c>
      <c r="C907">
        <v>0</v>
      </c>
      <c r="D907">
        <v>1</v>
      </c>
      <c r="E907">
        <v>22</v>
      </c>
      <c r="F907">
        <v>29</v>
      </c>
      <c r="G907">
        <v>1</v>
      </c>
      <c r="H907">
        <v>9</v>
      </c>
      <c r="I907">
        <v>2</v>
      </c>
      <c r="J907">
        <v>0</v>
      </c>
      <c r="K907">
        <v>2</v>
      </c>
      <c r="L907">
        <v>1</v>
      </c>
      <c r="M907">
        <v>2</v>
      </c>
      <c r="N907">
        <v>0</v>
      </c>
      <c r="O907">
        <v>3</v>
      </c>
      <c r="P907">
        <v>3</v>
      </c>
      <c r="Q907">
        <v>0</v>
      </c>
      <c r="R907">
        <v>0</v>
      </c>
      <c r="S907">
        <v>0</v>
      </c>
      <c r="T907">
        <v>0</v>
      </c>
      <c r="U907">
        <v>0</v>
      </c>
      <c r="V907">
        <f>IF(SUM(ifood_data[[#This Row],[AcceptedCmp1]:[AcceptedCmp5]])&gt;0,1,0)</f>
        <v>0</v>
      </c>
      <c r="W907">
        <v>0</v>
      </c>
      <c r="X907">
        <v>3</v>
      </c>
      <c r="Y907">
        <v>11</v>
      </c>
      <c r="Z907">
        <v>0</v>
      </c>
      <c r="AA907">
        <v>42</v>
      </c>
      <c r="AB907">
        <v>2244</v>
      </c>
      <c r="AC907" s="28">
        <f>ifood_data[[#This Row],[Customer_Days]]/365</f>
        <v>6.1479452054794521</v>
      </c>
      <c r="AD907">
        <v>1</v>
      </c>
      <c r="AE907">
        <v>0</v>
      </c>
      <c r="AF907">
        <v>0</v>
      </c>
      <c r="AG907">
        <v>0</v>
      </c>
      <c r="AH907">
        <v>0</v>
      </c>
      <c r="AI907">
        <v>0</v>
      </c>
      <c r="AJ907">
        <v>0</v>
      </c>
      <c r="AK907">
        <v>1</v>
      </c>
      <c r="AL907">
        <v>0</v>
      </c>
      <c r="AM907">
        <v>0</v>
      </c>
      <c r="AN907">
        <v>41</v>
      </c>
      <c r="AO907">
        <v>39</v>
      </c>
      <c r="AP907">
        <f>ifood_data[[#This Row],[MntTotal]]-ifood_data[[#This Row],[MntRegularProds]]</f>
        <v>2</v>
      </c>
      <c r="AQ907">
        <v>0</v>
      </c>
      <c r="AR907">
        <f>IF(SUM(ifood_data[[#This Row],[Kidhome]:[Teenhome]])&gt;0,1,0)</f>
        <v>1</v>
      </c>
      <c r="AS907" t="str">
        <f>IF(SUM(ifood_data[[#This Row],[Kidhome]:[Teenhome]])&gt;0,"Has Family","No Family")</f>
        <v>Has Family</v>
      </c>
      <c r="AT907" t="str">
        <f>IF(ifood_data[[#This Row],[marital_Married]]=1,"Married", (IF(ifood_data[[#This Row],[marital_Single]]=1,"Single",(IF(ifood_data[[#This Row],[marital_Divorced]]=1,"Divorced",(IF(ifood_data[[#This Row],[marital_Together]]=1,"Living Together",(IF(ifood_data[[#This Row],[marital_Widow]]=1,"Widow","Other")))))))))</f>
        <v>Divorced</v>
      </c>
      <c r="AU907" t="str">
        <f>IF(ifood_data[[#This Row],[education_Basic]]=1,"High School",(IF(ifood_data[[#This Row],[education_Graduation]]=1,"Undergraduate Degree",(IF(SUM(AM907,AL907,AI907)&gt;0,"Master's Degree or Higher","Other")))))</f>
        <v>Undergraduate Degree</v>
      </c>
      <c r="AV907" t="str">
        <f>IF(ifood_data[[#All],[Income]]&gt;75000,"75K+",(IF(ifood_data[[#All],[Income]]&gt;50000,"50K-75K",(IF(ifood_data[[#All],[Income]]&gt;35000,"35K-50K","&lt;35K")))))</f>
        <v>50K-75K</v>
      </c>
      <c r="AW907" t="str">
        <f>IF(ifood_data[[#All],[Age]]&gt;60,"60+",(IF(ifood_data[[#All],[Age]]&gt;50,"50-60",(IF(ifood_data[[#All],[Age]]&gt;40,"40-50",(IF(ifood_data[[#All],[Age]]&gt;30,"30-40","&lt;30")))))))</f>
        <v>40-50</v>
      </c>
      <c r="AX907">
        <f t="shared" si="56"/>
        <v>9</v>
      </c>
      <c r="AY907">
        <f t="shared" si="57"/>
        <v>8</v>
      </c>
      <c r="AZ907">
        <f t="shared" si="58"/>
        <v>0</v>
      </c>
      <c r="BA907">
        <f t="shared" si="59"/>
        <v>1</v>
      </c>
      <c r="BB907">
        <f>SUM(ifood_data[[#This Row],[Recency Score]:[Monetary Score]])</f>
        <v>9</v>
      </c>
      <c r="BC907">
        <f>(_xlfn.PERCENTRANK.INC(ifood_data[[#All],[RFM]],ifood_data[[#This Row],[RFM]],1))*10</f>
        <v>1</v>
      </c>
      <c r="BD907" t="str">
        <f>VLOOKUP(ifood_data[[#This Row],[RFM Score]],'RFM Analysis'!$A$3:$B$14,2,FALSE)</f>
        <v>At Risk</v>
      </c>
      <c r="BE907">
        <f>'Regression Models'!$B$101+'Regression Models'!$B$102*ifood_data[[#This Row],[Income]]+'Regression Models'!$B$103*ifood_data[[#This Row],[Age]]+'Regression Models'!$B$104*ifood_data[[#This Row],[Family]]</f>
        <v>578.30179571841256</v>
      </c>
      <c r="BF907" t="str">
        <f>IF(ifood_data[[#This Row],[AcceptedCmpOverall]]=1,"Campaign Respondent","Non-respondent")</f>
        <v>Non-respondent</v>
      </c>
    </row>
    <row r="908" spans="1:58" x14ac:dyDescent="0.35">
      <c r="A908">
        <v>1375</v>
      </c>
      <c r="B908">
        <v>57072</v>
      </c>
      <c r="C908">
        <v>0</v>
      </c>
      <c r="D908">
        <v>1</v>
      </c>
      <c r="E908">
        <v>79</v>
      </c>
      <c r="F908">
        <v>944</v>
      </c>
      <c r="G908">
        <v>0</v>
      </c>
      <c r="H908">
        <v>60</v>
      </c>
      <c r="I908">
        <v>0</v>
      </c>
      <c r="J908">
        <v>0</v>
      </c>
      <c r="K908">
        <v>30</v>
      </c>
      <c r="L908">
        <v>2</v>
      </c>
      <c r="M908">
        <v>7</v>
      </c>
      <c r="N908">
        <v>5</v>
      </c>
      <c r="O908">
        <v>13</v>
      </c>
      <c r="P908">
        <v>5</v>
      </c>
      <c r="Q908">
        <v>0</v>
      </c>
      <c r="R908">
        <v>0</v>
      </c>
      <c r="S908">
        <v>1</v>
      </c>
      <c r="T908">
        <v>0</v>
      </c>
      <c r="U908">
        <v>0</v>
      </c>
      <c r="V908">
        <f>IF(SUM(ifood_data[[#This Row],[AcceptedCmp1]:[AcceptedCmp5]])&gt;0,1,0)</f>
        <v>1</v>
      </c>
      <c r="W908">
        <v>0</v>
      </c>
      <c r="X908">
        <v>3</v>
      </c>
      <c r="Y908">
        <v>11</v>
      </c>
      <c r="Z908">
        <v>0</v>
      </c>
      <c r="AA908">
        <v>59</v>
      </c>
      <c r="AB908">
        <v>2315</v>
      </c>
      <c r="AC908" s="28">
        <f>ifood_data[[#This Row],[Customer_Days]]/365</f>
        <v>6.3424657534246576</v>
      </c>
      <c r="AD908">
        <v>0</v>
      </c>
      <c r="AE908">
        <v>1</v>
      </c>
      <c r="AF908">
        <v>0</v>
      </c>
      <c r="AG908">
        <v>0</v>
      </c>
      <c r="AH908">
        <v>0</v>
      </c>
      <c r="AI908">
        <v>0</v>
      </c>
      <c r="AJ908">
        <v>0</v>
      </c>
      <c r="AK908">
        <v>0</v>
      </c>
      <c r="AL908">
        <v>0</v>
      </c>
      <c r="AM908">
        <v>1</v>
      </c>
      <c r="AN908">
        <v>1004</v>
      </c>
      <c r="AO908">
        <v>974</v>
      </c>
      <c r="AP908">
        <f>ifood_data[[#This Row],[MntTotal]]-ifood_data[[#This Row],[MntRegularProds]]</f>
        <v>30</v>
      </c>
      <c r="AQ908">
        <v>1</v>
      </c>
      <c r="AR908">
        <f>IF(SUM(ifood_data[[#This Row],[Kidhome]:[Teenhome]])&gt;0,1,0)</f>
        <v>1</v>
      </c>
      <c r="AS908" t="str">
        <f>IF(SUM(ifood_data[[#This Row],[Kidhome]:[Teenhome]])&gt;0,"Has Family","No Family")</f>
        <v>Has Family</v>
      </c>
      <c r="AT908" t="str">
        <f>IF(ifood_data[[#This Row],[marital_Married]]=1,"Married", (IF(ifood_data[[#This Row],[marital_Single]]=1,"Single",(IF(ifood_data[[#This Row],[marital_Divorced]]=1,"Divorced",(IF(ifood_data[[#This Row],[marital_Together]]=1,"Living Together",(IF(ifood_data[[#This Row],[marital_Widow]]=1,"Widow","Other")))))))))</f>
        <v>Married</v>
      </c>
      <c r="AU908" t="str">
        <f>IF(ifood_data[[#This Row],[education_Basic]]=1,"High School",(IF(ifood_data[[#This Row],[education_Graduation]]=1,"Undergraduate Degree",(IF(SUM(AM908,AL908,AI908)&gt;0,"Master's Degree or Higher","Other")))))</f>
        <v>Master's Degree or Higher</v>
      </c>
      <c r="AV908" t="str">
        <f>IF(ifood_data[[#All],[Income]]&gt;75000,"75K+",(IF(ifood_data[[#All],[Income]]&gt;50000,"50K-75K",(IF(ifood_data[[#All],[Income]]&gt;35000,"35K-50K","&lt;35K")))))</f>
        <v>50K-75K</v>
      </c>
      <c r="AW908" t="str">
        <f>IF(ifood_data[[#All],[Age]]&gt;60,"60+",(IF(ifood_data[[#All],[Age]]&gt;50,"50-60",(IF(ifood_data[[#All],[Age]]&gt;40,"40-50",(IF(ifood_data[[#All],[Age]]&gt;30,"30-40","&lt;30")))))))</f>
        <v>50-60</v>
      </c>
      <c r="AX908">
        <f t="shared" si="56"/>
        <v>32</v>
      </c>
      <c r="AY908">
        <f t="shared" si="57"/>
        <v>3.0000000000000004</v>
      </c>
      <c r="AZ908">
        <f t="shared" si="58"/>
        <v>9</v>
      </c>
      <c r="BA908">
        <f t="shared" si="59"/>
        <v>7</v>
      </c>
      <c r="BB908">
        <f>SUM(ifood_data[[#This Row],[Recency Score]:[Monetary Score]])</f>
        <v>19</v>
      </c>
      <c r="BC908">
        <f>(_xlfn.PERCENTRANK.INC(ifood_data[[#All],[RFM]],ifood_data[[#This Row],[RFM]],1))*10</f>
        <v>7</v>
      </c>
      <c r="BD908" t="str">
        <f>VLOOKUP(ifood_data[[#This Row],[RFM Score]],'RFM Analysis'!$A$3:$B$14,2,FALSE)</f>
        <v>Loyal Customer</v>
      </c>
      <c r="BE908">
        <f>'Regression Models'!$B$101+'Regression Models'!$B$102*ifood_data[[#This Row],[Income]]+'Regression Models'!$B$103*ifood_data[[#This Row],[Age]]+'Regression Models'!$B$104*ifood_data[[#This Row],[Family]]</f>
        <v>577.84898250635331</v>
      </c>
      <c r="BF908" t="str">
        <f>IF(ifood_data[[#This Row],[AcceptedCmpOverall]]=1,"Campaign Respondent","Non-respondent")</f>
        <v>Campaign Respondent</v>
      </c>
    </row>
    <row r="909" spans="1:58" x14ac:dyDescent="0.35">
      <c r="A909">
        <v>1872</v>
      </c>
      <c r="B909">
        <v>55801</v>
      </c>
      <c r="C909">
        <v>1</v>
      </c>
      <c r="D909">
        <v>1</v>
      </c>
      <c r="E909">
        <v>35</v>
      </c>
      <c r="F909">
        <v>367</v>
      </c>
      <c r="G909">
        <v>4</v>
      </c>
      <c r="H909">
        <v>51</v>
      </c>
      <c r="I909">
        <v>6</v>
      </c>
      <c r="J909">
        <v>4</v>
      </c>
      <c r="K909">
        <v>95</v>
      </c>
      <c r="L909">
        <v>6</v>
      </c>
      <c r="M909">
        <v>7</v>
      </c>
      <c r="N909">
        <v>2</v>
      </c>
      <c r="O909">
        <v>6</v>
      </c>
      <c r="P909">
        <v>7</v>
      </c>
      <c r="Q909">
        <v>1</v>
      </c>
      <c r="R909">
        <v>0</v>
      </c>
      <c r="S909">
        <v>0</v>
      </c>
      <c r="T909">
        <v>0</v>
      </c>
      <c r="U909">
        <v>0</v>
      </c>
      <c r="V909">
        <f>IF(SUM(ifood_data[[#This Row],[AcceptedCmp1]:[AcceptedCmp5]])&gt;0,1,0)</f>
        <v>1</v>
      </c>
      <c r="W909">
        <v>0</v>
      </c>
      <c r="X909">
        <v>3</v>
      </c>
      <c r="Y909">
        <v>11</v>
      </c>
      <c r="Z909">
        <v>0</v>
      </c>
      <c r="AA909">
        <v>45</v>
      </c>
      <c r="AB909">
        <v>2439</v>
      </c>
      <c r="AC909" s="28">
        <f>ifood_data[[#This Row],[Customer_Days]]/365</f>
        <v>6.6821917808219178</v>
      </c>
      <c r="AD909">
        <v>0</v>
      </c>
      <c r="AE909">
        <v>0</v>
      </c>
      <c r="AF909">
        <v>1</v>
      </c>
      <c r="AG909">
        <v>0</v>
      </c>
      <c r="AH909">
        <v>0</v>
      </c>
      <c r="AI909">
        <v>0</v>
      </c>
      <c r="AJ909">
        <v>0</v>
      </c>
      <c r="AK909">
        <v>1</v>
      </c>
      <c r="AL909">
        <v>0</v>
      </c>
      <c r="AM909">
        <v>0</v>
      </c>
      <c r="AN909">
        <v>432</v>
      </c>
      <c r="AO909">
        <v>337</v>
      </c>
      <c r="AP909">
        <f>ifood_data[[#This Row],[MntTotal]]-ifood_data[[#This Row],[MntRegularProds]]</f>
        <v>95</v>
      </c>
      <c r="AQ909">
        <v>1</v>
      </c>
      <c r="AR909">
        <f>IF(SUM(ifood_data[[#This Row],[Kidhome]:[Teenhome]])&gt;0,1,0)</f>
        <v>1</v>
      </c>
      <c r="AS909" t="str">
        <f>IF(SUM(ifood_data[[#This Row],[Kidhome]:[Teenhome]])&gt;0,"Has Family","No Family")</f>
        <v>Has Family</v>
      </c>
      <c r="AT909" t="str">
        <f>IF(ifood_data[[#This Row],[marital_Married]]=1,"Married", (IF(ifood_data[[#This Row],[marital_Single]]=1,"Single",(IF(ifood_data[[#This Row],[marital_Divorced]]=1,"Divorced",(IF(ifood_data[[#This Row],[marital_Together]]=1,"Living Together",(IF(ifood_data[[#This Row],[marital_Widow]]=1,"Widow","Other")))))))))</f>
        <v>Single</v>
      </c>
      <c r="AU909" t="str">
        <f>IF(ifood_data[[#This Row],[education_Basic]]=1,"High School",(IF(ifood_data[[#This Row],[education_Graduation]]=1,"Undergraduate Degree",(IF(SUM(AM909,AL909,AI909)&gt;0,"Master's Degree or Higher","Other")))))</f>
        <v>Undergraduate Degree</v>
      </c>
      <c r="AV909" t="str">
        <f>IF(ifood_data[[#All],[Income]]&gt;75000,"75K+",(IF(ifood_data[[#All],[Income]]&gt;50000,"50K-75K",(IF(ifood_data[[#All],[Income]]&gt;35000,"35K-50K","&lt;35K")))))</f>
        <v>50K-75K</v>
      </c>
      <c r="AW909" t="str">
        <f>IF(ifood_data[[#All],[Age]]&gt;60,"60+",(IF(ifood_data[[#All],[Age]]&gt;50,"50-60",(IF(ifood_data[[#All],[Age]]&gt;40,"40-50",(IF(ifood_data[[#All],[Age]]&gt;30,"30-40","&lt;30")))))))</f>
        <v>40-50</v>
      </c>
      <c r="AX909">
        <f t="shared" si="56"/>
        <v>28</v>
      </c>
      <c r="AY909">
        <f t="shared" si="57"/>
        <v>7</v>
      </c>
      <c r="AZ909">
        <f t="shared" si="58"/>
        <v>8</v>
      </c>
      <c r="BA909">
        <f t="shared" si="59"/>
        <v>5</v>
      </c>
      <c r="BB909">
        <f>SUM(ifood_data[[#This Row],[Recency Score]:[Monetary Score]])</f>
        <v>20</v>
      </c>
      <c r="BC909">
        <f>(_xlfn.PERCENTRANK.INC(ifood_data[[#All],[RFM]],ifood_data[[#This Row],[RFM]],1))*10</f>
        <v>7</v>
      </c>
      <c r="BD909" t="str">
        <f>VLOOKUP(ifood_data[[#This Row],[RFM Score]],'RFM Analysis'!$A$3:$B$14,2,FALSE)</f>
        <v>Loyal Customer</v>
      </c>
      <c r="BE909">
        <f>'Regression Models'!$B$101+'Regression Models'!$B$102*ifood_data[[#This Row],[Income]]+'Regression Models'!$B$103*ifood_data[[#This Row],[Age]]+'Regression Models'!$B$104*ifood_data[[#This Row],[Family]]</f>
        <v>577.6450052999777</v>
      </c>
      <c r="BF909" t="str">
        <f>IF(ifood_data[[#This Row],[AcceptedCmpOverall]]=1,"Campaign Respondent","Non-respondent")</f>
        <v>Campaign Respondent</v>
      </c>
    </row>
    <row r="910" spans="1:58" x14ac:dyDescent="0.35">
      <c r="A910">
        <v>1339</v>
      </c>
      <c r="B910">
        <v>42523</v>
      </c>
      <c r="C910">
        <v>0</v>
      </c>
      <c r="D910">
        <v>0</v>
      </c>
      <c r="E910">
        <v>96</v>
      </c>
      <c r="F910">
        <v>14</v>
      </c>
      <c r="G910">
        <v>36</v>
      </c>
      <c r="H910">
        <v>11</v>
      </c>
      <c r="I910">
        <v>3</v>
      </c>
      <c r="J910">
        <v>26</v>
      </c>
      <c r="K910">
        <v>35</v>
      </c>
      <c r="L910">
        <v>1</v>
      </c>
      <c r="M910">
        <v>1</v>
      </c>
      <c r="N910">
        <v>1</v>
      </c>
      <c r="O910">
        <v>4</v>
      </c>
      <c r="P910">
        <v>2</v>
      </c>
      <c r="Q910">
        <v>0</v>
      </c>
      <c r="R910">
        <v>0</v>
      </c>
      <c r="S910">
        <v>0</v>
      </c>
      <c r="T910">
        <v>0</v>
      </c>
      <c r="U910">
        <v>0</v>
      </c>
      <c r="V910">
        <f>IF(SUM(ifood_data[[#This Row],[AcceptedCmp1]:[AcceptedCmp5]])&gt;0,1,0)</f>
        <v>0</v>
      </c>
      <c r="W910">
        <v>0</v>
      </c>
      <c r="X910">
        <v>3</v>
      </c>
      <c r="Y910">
        <v>11</v>
      </c>
      <c r="Z910">
        <v>0</v>
      </c>
      <c r="AA910">
        <v>56</v>
      </c>
      <c r="AB910">
        <v>2226</v>
      </c>
      <c r="AC910" s="28">
        <f>ifood_data[[#This Row],[Customer_Days]]/365</f>
        <v>6.0986301369863014</v>
      </c>
      <c r="AD910">
        <v>0</v>
      </c>
      <c r="AE910">
        <v>1</v>
      </c>
      <c r="AF910">
        <v>0</v>
      </c>
      <c r="AG910">
        <v>0</v>
      </c>
      <c r="AH910">
        <v>0</v>
      </c>
      <c r="AI910">
        <v>0</v>
      </c>
      <c r="AJ910">
        <v>0</v>
      </c>
      <c r="AK910">
        <v>1</v>
      </c>
      <c r="AL910">
        <v>0</v>
      </c>
      <c r="AM910">
        <v>0</v>
      </c>
      <c r="AN910">
        <v>90</v>
      </c>
      <c r="AO910">
        <v>55</v>
      </c>
      <c r="AP910">
        <f>ifood_data[[#This Row],[MntTotal]]-ifood_data[[#This Row],[MntRegularProds]]</f>
        <v>35</v>
      </c>
      <c r="AQ910">
        <v>0</v>
      </c>
      <c r="AR910">
        <f>IF(SUM(ifood_data[[#This Row],[Kidhome]:[Teenhome]])&gt;0,1,0)</f>
        <v>0</v>
      </c>
      <c r="AS910" t="str">
        <f>IF(SUM(ifood_data[[#This Row],[Kidhome]:[Teenhome]])&gt;0,"Has Family","No Family")</f>
        <v>No Family</v>
      </c>
      <c r="AT910" t="str">
        <f>IF(ifood_data[[#This Row],[marital_Married]]=1,"Married", (IF(ifood_data[[#This Row],[marital_Single]]=1,"Single",(IF(ifood_data[[#This Row],[marital_Divorced]]=1,"Divorced",(IF(ifood_data[[#This Row],[marital_Together]]=1,"Living Together",(IF(ifood_data[[#This Row],[marital_Widow]]=1,"Widow","Other")))))))))</f>
        <v>Married</v>
      </c>
      <c r="AU910" t="str">
        <f>IF(ifood_data[[#This Row],[education_Basic]]=1,"High School",(IF(ifood_data[[#This Row],[education_Graduation]]=1,"Undergraduate Degree",(IF(SUM(AM910,AL910,AI910)&gt;0,"Master's Degree or Higher","Other")))))</f>
        <v>Undergraduate Degree</v>
      </c>
      <c r="AV910" t="str">
        <f>IF(ifood_data[[#All],[Income]]&gt;75000,"75K+",(IF(ifood_data[[#All],[Income]]&gt;50000,"50K-75K",(IF(ifood_data[[#All],[Income]]&gt;35000,"35K-50K","&lt;35K")))))</f>
        <v>35K-50K</v>
      </c>
      <c r="AW910" t="str">
        <f>IF(ifood_data[[#All],[Age]]&gt;60,"60+",(IF(ifood_data[[#All],[Age]]&gt;50,"50-60",(IF(ifood_data[[#All],[Age]]&gt;40,"40-50",(IF(ifood_data[[#All],[Age]]&gt;30,"30-40","&lt;30")))))))</f>
        <v>50-60</v>
      </c>
      <c r="AX910">
        <f t="shared" si="56"/>
        <v>9</v>
      </c>
      <c r="AY910">
        <f t="shared" si="57"/>
        <v>0.99999999999999978</v>
      </c>
      <c r="AZ910">
        <f t="shared" si="58"/>
        <v>0</v>
      </c>
      <c r="BA910">
        <f t="shared" si="59"/>
        <v>3</v>
      </c>
      <c r="BB910">
        <f>SUM(ifood_data[[#This Row],[Recency Score]:[Monetary Score]])</f>
        <v>4</v>
      </c>
      <c r="BC910">
        <f>(_xlfn.PERCENTRANK.INC(ifood_data[[#All],[RFM]],ifood_data[[#This Row],[RFM]],1))*10</f>
        <v>0</v>
      </c>
      <c r="BD910" t="str">
        <f>VLOOKUP(ifood_data[[#This Row],[RFM Score]],'RFM Analysis'!$A$3:$B$14,2,FALSE)</f>
        <v>Lost</v>
      </c>
      <c r="BE910">
        <f>'Regression Models'!$B$101+'Regression Models'!$B$102*ifood_data[[#This Row],[Income]]+'Regression Models'!$B$103*ifood_data[[#This Row],[Age]]+'Regression Models'!$B$104*ifood_data[[#This Row],[Family]]</f>
        <v>576.33574309046662</v>
      </c>
      <c r="BF910" t="str">
        <f>IF(ifood_data[[#This Row],[AcceptedCmpOverall]]=1,"Campaign Respondent","Non-respondent")</f>
        <v>Non-respondent</v>
      </c>
    </row>
    <row r="911" spans="1:58" x14ac:dyDescent="0.35">
      <c r="A911">
        <v>1290</v>
      </c>
      <c r="B911">
        <v>56242</v>
      </c>
      <c r="C911">
        <v>0</v>
      </c>
      <c r="D911">
        <v>1</v>
      </c>
      <c r="E911">
        <v>72</v>
      </c>
      <c r="F911">
        <v>689</v>
      </c>
      <c r="G911">
        <v>8</v>
      </c>
      <c r="H911">
        <v>167</v>
      </c>
      <c r="I911">
        <v>11</v>
      </c>
      <c r="J911">
        <v>8</v>
      </c>
      <c r="K911">
        <v>88</v>
      </c>
      <c r="L911">
        <v>5</v>
      </c>
      <c r="M911">
        <v>8</v>
      </c>
      <c r="N911">
        <v>4</v>
      </c>
      <c r="O911">
        <v>11</v>
      </c>
      <c r="P911">
        <v>6</v>
      </c>
      <c r="Q911">
        <v>0</v>
      </c>
      <c r="R911">
        <v>0</v>
      </c>
      <c r="S911">
        <v>0</v>
      </c>
      <c r="T911">
        <v>0</v>
      </c>
      <c r="U911">
        <v>0</v>
      </c>
      <c r="V911">
        <f>IF(SUM(ifood_data[[#This Row],[AcceptedCmp1]:[AcceptedCmp5]])&gt;0,1,0)</f>
        <v>0</v>
      </c>
      <c r="W911">
        <v>0</v>
      </c>
      <c r="X911">
        <v>3</v>
      </c>
      <c r="Y911">
        <v>11</v>
      </c>
      <c r="Z911">
        <v>0</v>
      </c>
      <c r="AA911">
        <v>51</v>
      </c>
      <c r="AB911">
        <v>2642</v>
      </c>
      <c r="AC911" s="28">
        <f>ifood_data[[#This Row],[Customer_Days]]/365</f>
        <v>7.2383561643835614</v>
      </c>
      <c r="AD911">
        <v>0</v>
      </c>
      <c r="AE911">
        <v>1</v>
      </c>
      <c r="AF911">
        <v>0</v>
      </c>
      <c r="AG911">
        <v>0</v>
      </c>
      <c r="AH911">
        <v>0</v>
      </c>
      <c r="AI911">
        <v>0</v>
      </c>
      <c r="AJ911">
        <v>0</v>
      </c>
      <c r="AK911">
        <v>0</v>
      </c>
      <c r="AL911">
        <v>0</v>
      </c>
      <c r="AM911">
        <v>1</v>
      </c>
      <c r="AN911">
        <v>883</v>
      </c>
      <c r="AO911">
        <v>795</v>
      </c>
      <c r="AP911">
        <f>ifood_data[[#This Row],[MntTotal]]-ifood_data[[#This Row],[MntRegularProds]]</f>
        <v>88</v>
      </c>
      <c r="AQ911">
        <v>0</v>
      </c>
      <c r="AR911">
        <f>IF(SUM(ifood_data[[#This Row],[Kidhome]:[Teenhome]])&gt;0,1,0)</f>
        <v>1</v>
      </c>
      <c r="AS911" t="str">
        <f>IF(SUM(ifood_data[[#This Row],[Kidhome]:[Teenhome]])&gt;0,"Has Family","No Family")</f>
        <v>Has Family</v>
      </c>
      <c r="AT911" t="str">
        <f>IF(ifood_data[[#This Row],[marital_Married]]=1,"Married", (IF(ifood_data[[#This Row],[marital_Single]]=1,"Single",(IF(ifood_data[[#This Row],[marital_Divorced]]=1,"Divorced",(IF(ifood_data[[#This Row],[marital_Together]]=1,"Living Together",(IF(ifood_data[[#This Row],[marital_Widow]]=1,"Widow","Other")))))))))</f>
        <v>Married</v>
      </c>
      <c r="AU911" t="str">
        <f>IF(ifood_data[[#This Row],[education_Basic]]=1,"High School",(IF(ifood_data[[#This Row],[education_Graduation]]=1,"Undergraduate Degree",(IF(SUM(AM911,AL911,AI911)&gt;0,"Master's Degree or Higher","Other")))))</f>
        <v>Master's Degree or Higher</v>
      </c>
      <c r="AV911" t="str">
        <f>IF(ifood_data[[#All],[Income]]&gt;75000,"75K+",(IF(ifood_data[[#All],[Income]]&gt;50000,"50K-75K",(IF(ifood_data[[#All],[Income]]&gt;35000,"35K-50K","&lt;35K")))))</f>
        <v>50K-75K</v>
      </c>
      <c r="AW911" t="str">
        <f>IF(ifood_data[[#All],[Age]]&gt;60,"60+",(IF(ifood_data[[#All],[Age]]&gt;50,"50-60",(IF(ifood_data[[#All],[Age]]&gt;40,"40-50",(IF(ifood_data[[#All],[Age]]&gt;30,"30-40","&lt;30")))))))</f>
        <v>50-60</v>
      </c>
      <c r="AX911">
        <f t="shared" si="56"/>
        <v>34</v>
      </c>
      <c r="AY911">
        <f t="shared" si="57"/>
        <v>3.0000000000000004</v>
      </c>
      <c r="AZ911">
        <f t="shared" si="58"/>
        <v>9</v>
      </c>
      <c r="BA911">
        <f t="shared" si="59"/>
        <v>7</v>
      </c>
      <c r="BB911">
        <f>SUM(ifood_data[[#This Row],[Recency Score]:[Monetary Score]])</f>
        <v>19</v>
      </c>
      <c r="BC911">
        <f>(_xlfn.PERCENTRANK.INC(ifood_data[[#All],[RFM]],ifood_data[[#This Row],[RFM]],1))*10</f>
        <v>7</v>
      </c>
      <c r="BD911" t="str">
        <f>VLOOKUP(ifood_data[[#This Row],[RFM Score]],'RFM Analysis'!$A$3:$B$14,2,FALSE)</f>
        <v>Loyal Customer</v>
      </c>
      <c r="BE911">
        <f>'Regression Models'!$B$101+'Regression Models'!$B$102*ifood_data[[#This Row],[Income]]+'Regression Models'!$B$103*ifood_data[[#This Row],[Age]]+'Regression Models'!$B$104*ifood_data[[#This Row],[Family]]</f>
        <v>575.61781757807159</v>
      </c>
      <c r="BF911" t="str">
        <f>IF(ifood_data[[#This Row],[AcceptedCmpOverall]]=1,"Campaign Respondent","Non-respondent")</f>
        <v>Non-respondent</v>
      </c>
    </row>
    <row r="912" spans="1:58" x14ac:dyDescent="0.35">
      <c r="A912">
        <v>969</v>
      </c>
      <c r="B912">
        <v>56320</v>
      </c>
      <c r="C912">
        <v>0</v>
      </c>
      <c r="D912">
        <v>1</v>
      </c>
      <c r="E912">
        <v>11</v>
      </c>
      <c r="F912">
        <v>201</v>
      </c>
      <c r="G912">
        <v>53</v>
      </c>
      <c r="H912">
        <v>172</v>
      </c>
      <c r="I912">
        <v>116</v>
      </c>
      <c r="J912">
        <v>77</v>
      </c>
      <c r="K912">
        <v>83</v>
      </c>
      <c r="L912">
        <v>3</v>
      </c>
      <c r="M912">
        <v>5</v>
      </c>
      <c r="N912">
        <v>4</v>
      </c>
      <c r="O912">
        <v>9</v>
      </c>
      <c r="P912">
        <v>4</v>
      </c>
      <c r="Q912">
        <v>0</v>
      </c>
      <c r="R912">
        <v>0</v>
      </c>
      <c r="S912">
        <v>0</v>
      </c>
      <c r="T912">
        <v>0</v>
      </c>
      <c r="U912">
        <v>0</v>
      </c>
      <c r="V912">
        <f>IF(SUM(ifood_data[[#This Row],[AcceptedCmp1]:[AcceptedCmp5]])&gt;0,1,0)</f>
        <v>0</v>
      </c>
      <c r="W912">
        <v>0</v>
      </c>
      <c r="X912">
        <v>3</v>
      </c>
      <c r="Y912">
        <v>11</v>
      </c>
      <c r="Z912">
        <v>0</v>
      </c>
      <c r="AA912">
        <v>53</v>
      </c>
      <c r="AB912">
        <v>2606</v>
      </c>
      <c r="AC912" s="28">
        <f>ifood_data[[#This Row],[Customer_Days]]/365</f>
        <v>7.13972602739726</v>
      </c>
      <c r="AD912">
        <v>0</v>
      </c>
      <c r="AE912">
        <v>1</v>
      </c>
      <c r="AF912">
        <v>0</v>
      </c>
      <c r="AG912">
        <v>0</v>
      </c>
      <c r="AH912">
        <v>0</v>
      </c>
      <c r="AI912">
        <v>0</v>
      </c>
      <c r="AJ912">
        <v>0</v>
      </c>
      <c r="AK912">
        <v>0</v>
      </c>
      <c r="AL912">
        <v>0</v>
      </c>
      <c r="AM912">
        <v>1</v>
      </c>
      <c r="AN912">
        <v>619</v>
      </c>
      <c r="AO912">
        <v>536</v>
      </c>
      <c r="AP912">
        <f>ifood_data[[#This Row],[MntTotal]]-ifood_data[[#This Row],[MntRegularProds]]</f>
        <v>83</v>
      </c>
      <c r="AQ912">
        <v>0</v>
      </c>
      <c r="AR912">
        <f>IF(SUM(ifood_data[[#This Row],[Kidhome]:[Teenhome]])&gt;0,1,0)</f>
        <v>1</v>
      </c>
      <c r="AS912" t="str">
        <f>IF(SUM(ifood_data[[#This Row],[Kidhome]:[Teenhome]])&gt;0,"Has Family","No Family")</f>
        <v>Has Family</v>
      </c>
      <c r="AT912" t="str">
        <f>IF(ifood_data[[#This Row],[marital_Married]]=1,"Married", (IF(ifood_data[[#This Row],[marital_Single]]=1,"Single",(IF(ifood_data[[#This Row],[marital_Divorced]]=1,"Divorced",(IF(ifood_data[[#This Row],[marital_Together]]=1,"Living Together",(IF(ifood_data[[#This Row],[marital_Widow]]=1,"Widow","Other")))))))))</f>
        <v>Married</v>
      </c>
      <c r="AU912" t="str">
        <f>IF(ifood_data[[#This Row],[education_Basic]]=1,"High School",(IF(ifood_data[[#This Row],[education_Graduation]]=1,"Undergraduate Degree",(IF(SUM(AM912,AL912,AI912)&gt;0,"Master's Degree or Higher","Other")))))</f>
        <v>Master's Degree or Higher</v>
      </c>
      <c r="AV912" t="str">
        <f>IF(ifood_data[[#All],[Income]]&gt;75000,"75K+",(IF(ifood_data[[#All],[Income]]&gt;50000,"50K-75K",(IF(ifood_data[[#All],[Income]]&gt;35000,"35K-50K","&lt;35K")))))</f>
        <v>50K-75K</v>
      </c>
      <c r="AW912" t="str">
        <f>IF(ifood_data[[#All],[Age]]&gt;60,"60+",(IF(ifood_data[[#All],[Age]]&gt;50,"50-60",(IF(ifood_data[[#All],[Age]]&gt;40,"40-50",(IF(ifood_data[[#All],[Age]]&gt;30,"30-40","&lt;30")))))))</f>
        <v>50-60</v>
      </c>
      <c r="AX912">
        <f t="shared" si="56"/>
        <v>25</v>
      </c>
      <c r="AY912">
        <f t="shared" si="57"/>
        <v>9</v>
      </c>
      <c r="AZ912">
        <f t="shared" si="58"/>
        <v>7</v>
      </c>
      <c r="BA912">
        <f t="shared" si="59"/>
        <v>6</v>
      </c>
      <c r="BB912">
        <f>SUM(ifood_data[[#This Row],[Recency Score]:[Monetary Score]])</f>
        <v>22</v>
      </c>
      <c r="BC912">
        <f>(_xlfn.PERCENTRANK.INC(ifood_data[[#All],[RFM]],ifood_data[[#This Row],[RFM]],1))*10</f>
        <v>8</v>
      </c>
      <c r="BD912" t="str">
        <f>VLOOKUP(ifood_data[[#This Row],[RFM Score]],'RFM Analysis'!$A$3:$B$14,2,FALSE)</f>
        <v>Loyal Customer</v>
      </c>
      <c r="BE912">
        <f>'Regression Models'!$B$101+'Regression Models'!$B$102*ifood_data[[#This Row],[Income]]+'Regression Models'!$B$103*ifood_data[[#This Row],[Age]]+'Regression Models'!$B$104*ifood_data[[#This Row],[Family]]</f>
        <v>573.53526333550701</v>
      </c>
      <c r="BF912" t="str">
        <f>IF(ifood_data[[#This Row],[AcceptedCmpOverall]]=1,"Campaign Respondent","Non-respondent")</f>
        <v>Non-respondent</v>
      </c>
    </row>
    <row r="913" spans="1:58" x14ac:dyDescent="0.35">
      <c r="A913">
        <v>147</v>
      </c>
      <c r="B913">
        <v>55375</v>
      </c>
      <c r="C913">
        <v>0</v>
      </c>
      <c r="D913">
        <v>1</v>
      </c>
      <c r="E913">
        <v>3</v>
      </c>
      <c r="F913">
        <v>42</v>
      </c>
      <c r="G913">
        <v>11</v>
      </c>
      <c r="H913">
        <v>57</v>
      </c>
      <c r="I913">
        <v>10</v>
      </c>
      <c r="J913">
        <v>28</v>
      </c>
      <c r="K913">
        <v>14</v>
      </c>
      <c r="L913">
        <v>1</v>
      </c>
      <c r="M913">
        <v>1</v>
      </c>
      <c r="N913">
        <v>1</v>
      </c>
      <c r="O913">
        <v>6</v>
      </c>
      <c r="P913">
        <v>2</v>
      </c>
      <c r="Q913">
        <v>0</v>
      </c>
      <c r="R913">
        <v>0</v>
      </c>
      <c r="S913">
        <v>0</v>
      </c>
      <c r="T913">
        <v>0</v>
      </c>
      <c r="U913">
        <v>0</v>
      </c>
      <c r="V913">
        <f>IF(SUM(ifood_data[[#This Row],[AcceptedCmp1]:[AcceptedCmp5]])&gt;0,1,0)</f>
        <v>0</v>
      </c>
      <c r="W913">
        <v>0</v>
      </c>
      <c r="X913">
        <v>3</v>
      </c>
      <c r="Y913">
        <v>11</v>
      </c>
      <c r="Z913">
        <v>0</v>
      </c>
      <c r="AA913">
        <v>43</v>
      </c>
      <c r="AB913">
        <v>2414</v>
      </c>
      <c r="AC913" s="28">
        <f>ifood_data[[#This Row],[Customer_Days]]/365</f>
        <v>6.6136986301369864</v>
      </c>
      <c r="AD913">
        <v>0</v>
      </c>
      <c r="AE913">
        <v>0</v>
      </c>
      <c r="AF913">
        <v>0</v>
      </c>
      <c r="AG913">
        <v>1</v>
      </c>
      <c r="AH913">
        <v>0</v>
      </c>
      <c r="AI913">
        <v>0</v>
      </c>
      <c r="AJ913">
        <v>0</v>
      </c>
      <c r="AK913">
        <v>1</v>
      </c>
      <c r="AL913">
        <v>0</v>
      </c>
      <c r="AM913">
        <v>0</v>
      </c>
      <c r="AN913">
        <v>148</v>
      </c>
      <c r="AO913">
        <v>134</v>
      </c>
      <c r="AP913">
        <f>ifood_data[[#This Row],[MntTotal]]-ifood_data[[#This Row],[MntRegularProds]]</f>
        <v>14</v>
      </c>
      <c r="AQ913">
        <v>0</v>
      </c>
      <c r="AR913">
        <f>IF(SUM(ifood_data[[#This Row],[Kidhome]:[Teenhome]])&gt;0,1,0)</f>
        <v>1</v>
      </c>
      <c r="AS913" t="str">
        <f>IF(SUM(ifood_data[[#This Row],[Kidhome]:[Teenhome]])&gt;0,"Has Family","No Family")</f>
        <v>Has Family</v>
      </c>
      <c r="AT913" t="str">
        <f>IF(ifood_data[[#This Row],[marital_Married]]=1,"Married", (IF(ifood_data[[#This Row],[marital_Single]]=1,"Single",(IF(ifood_data[[#This Row],[marital_Divorced]]=1,"Divorced",(IF(ifood_data[[#This Row],[marital_Together]]=1,"Living Together",(IF(ifood_data[[#This Row],[marital_Widow]]=1,"Widow","Other")))))))))</f>
        <v>Living Together</v>
      </c>
      <c r="AU913" t="str">
        <f>IF(ifood_data[[#This Row],[education_Basic]]=1,"High School",(IF(ifood_data[[#This Row],[education_Graduation]]=1,"Undergraduate Degree",(IF(SUM(AM913,AL913,AI913)&gt;0,"Master's Degree or Higher","Other")))))</f>
        <v>Undergraduate Degree</v>
      </c>
      <c r="AV913" t="str">
        <f>IF(ifood_data[[#All],[Income]]&gt;75000,"75K+",(IF(ifood_data[[#All],[Income]]&gt;50000,"50K-75K",(IF(ifood_data[[#All],[Income]]&gt;35000,"35K-50K","&lt;35K")))))</f>
        <v>50K-75K</v>
      </c>
      <c r="AW913" t="str">
        <f>IF(ifood_data[[#All],[Age]]&gt;60,"60+",(IF(ifood_data[[#All],[Age]]&gt;50,"50-60",(IF(ifood_data[[#All],[Age]]&gt;40,"40-50",(IF(ifood_data[[#All],[Age]]&gt;30,"30-40","&lt;30")))))))</f>
        <v>40-50</v>
      </c>
      <c r="AX913">
        <f t="shared" si="56"/>
        <v>11</v>
      </c>
      <c r="AY913">
        <f t="shared" si="57"/>
        <v>10</v>
      </c>
      <c r="AZ913">
        <f t="shared" si="58"/>
        <v>0</v>
      </c>
      <c r="BA913">
        <f t="shared" si="59"/>
        <v>3</v>
      </c>
      <c r="BB913">
        <f>SUM(ifood_data[[#This Row],[Recency Score]:[Monetary Score]])</f>
        <v>13</v>
      </c>
      <c r="BC913">
        <f>(_xlfn.PERCENTRANK.INC(ifood_data[[#All],[RFM]],ifood_data[[#This Row],[RFM]],1))*10</f>
        <v>3</v>
      </c>
      <c r="BD913" t="str">
        <f>VLOOKUP(ifood_data[[#This Row],[RFM Score]],'RFM Analysis'!$A$3:$B$14,2,FALSE)</f>
        <v>At Risk</v>
      </c>
      <c r="BE913">
        <f>'Regression Models'!$B$101+'Regression Models'!$B$102*ifood_data[[#This Row],[Income]]+'Regression Models'!$B$103*ifood_data[[#This Row],[Age]]+'Regression Models'!$B$104*ifood_data[[#This Row],[Family]]</f>
        <v>572.63226822846525</v>
      </c>
      <c r="BF913" t="str">
        <f>IF(ifood_data[[#This Row],[AcceptedCmpOverall]]=1,"Campaign Respondent","Non-respondent")</f>
        <v>Non-respondent</v>
      </c>
    </row>
    <row r="914" spans="1:58" x14ac:dyDescent="0.35">
      <c r="A914">
        <v>1582</v>
      </c>
      <c r="B914">
        <v>55424</v>
      </c>
      <c r="C914">
        <v>0</v>
      </c>
      <c r="D914">
        <v>1</v>
      </c>
      <c r="E914">
        <v>6</v>
      </c>
      <c r="F914">
        <v>462</v>
      </c>
      <c r="G914">
        <v>61</v>
      </c>
      <c r="H914">
        <v>184</v>
      </c>
      <c r="I914">
        <v>10</v>
      </c>
      <c r="J914">
        <v>53</v>
      </c>
      <c r="K914">
        <v>107</v>
      </c>
      <c r="L914">
        <v>4</v>
      </c>
      <c r="M914">
        <v>7</v>
      </c>
      <c r="N914">
        <v>5</v>
      </c>
      <c r="O914">
        <v>9</v>
      </c>
      <c r="P914">
        <v>6</v>
      </c>
      <c r="Q914">
        <v>0</v>
      </c>
      <c r="R914">
        <v>0</v>
      </c>
      <c r="S914">
        <v>1</v>
      </c>
      <c r="T914">
        <v>0</v>
      </c>
      <c r="U914">
        <v>0</v>
      </c>
      <c r="V914">
        <f>IF(SUM(ifood_data[[#This Row],[AcceptedCmp1]:[AcceptedCmp5]])&gt;0,1,0)</f>
        <v>1</v>
      </c>
      <c r="W914">
        <v>0</v>
      </c>
      <c r="X914">
        <v>3</v>
      </c>
      <c r="Y914">
        <v>11</v>
      </c>
      <c r="Z914">
        <v>1</v>
      </c>
      <c r="AA914">
        <v>44</v>
      </c>
      <c r="AB914">
        <v>2740</v>
      </c>
      <c r="AC914" s="28">
        <f>ifood_data[[#This Row],[Customer_Days]]/365</f>
        <v>7.506849315068493</v>
      </c>
      <c r="AD914">
        <v>0</v>
      </c>
      <c r="AE914">
        <v>1</v>
      </c>
      <c r="AF914">
        <v>0</v>
      </c>
      <c r="AG914">
        <v>0</v>
      </c>
      <c r="AH914">
        <v>0</v>
      </c>
      <c r="AI914">
        <v>0</v>
      </c>
      <c r="AJ914">
        <v>0</v>
      </c>
      <c r="AK914">
        <v>0</v>
      </c>
      <c r="AL914">
        <v>0</v>
      </c>
      <c r="AM914">
        <v>1</v>
      </c>
      <c r="AN914">
        <v>770</v>
      </c>
      <c r="AO914">
        <v>663</v>
      </c>
      <c r="AP914">
        <f>ifood_data[[#This Row],[MntTotal]]-ifood_data[[#This Row],[MntRegularProds]]</f>
        <v>107</v>
      </c>
      <c r="AQ914">
        <v>1</v>
      </c>
      <c r="AR914">
        <f>IF(SUM(ifood_data[[#This Row],[Kidhome]:[Teenhome]])&gt;0,1,0)</f>
        <v>1</v>
      </c>
      <c r="AS914" t="str">
        <f>IF(SUM(ifood_data[[#This Row],[Kidhome]:[Teenhome]])&gt;0,"Has Family","No Family")</f>
        <v>Has Family</v>
      </c>
      <c r="AT914" t="str">
        <f>IF(ifood_data[[#This Row],[marital_Married]]=1,"Married", (IF(ifood_data[[#This Row],[marital_Single]]=1,"Single",(IF(ifood_data[[#This Row],[marital_Divorced]]=1,"Divorced",(IF(ifood_data[[#This Row],[marital_Together]]=1,"Living Together",(IF(ifood_data[[#This Row],[marital_Widow]]=1,"Widow","Other")))))))))</f>
        <v>Married</v>
      </c>
      <c r="AU914" t="str">
        <f>IF(ifood_data[[#This Row],[education_Basic]]=1,"High School",(IF(ifood_data[[#This Row],[education_Graduation]]=1,"Undergraduate Degree",(IF(SUM(AM914,AL914,AI914)&gt;0,"Master's Degree or Higher","Other")))))</f>
        <v>Master's Degree or Higher</v>
      </c>
      <c r="AV914" t="str">
        <f>IF(ifood_data[[#All],[Income]]&gt;75000,"75K+",(IF(ifood_data[[#All],[Income]]&gt;50000,"50K-75K",(IF(ifood_data[[#All],[Income]]&gt;35000,"35K-50K","&lt;35K")))))</f>
        <v>50K-75K</v>
      </c>
      <c r="AW914" t="str">
        <f>IF(ifood_data[[#All],[Age]]&gt;60,"60+",(IF(ifood_data[[#All],[Age]]&gt;50,"50-60",(IF(ifood_data[[#All],[Age]]&gt;40,"40-50",(IF(ifood_data[[#All],[Age]]&gt;30,"30-40","&lt;30")))))))</f>
        <v>40-50</v>
      </c>
      <c r="AX914">
        <f t="shared" si="56"/>
        <v>31</v>
      </c>
      <c r="AY914">
        <f t="shared" si="57"/>
        <v>10</v>
      </c>
      <c r="AZ914">
        <f t="shared" si="58"/>
        <v>9</v>
      </c>
      <c r="BA914">
        <f t="shared" si="59"/>
        <v>6</v>
      </c>
      <c r="BB914">
        <f>SUM(ifood_data[[#This Row],[Recency Score]:[Monetary Score]])</f>
        <v>25</v>
      </c>
      <c r="BC914">
        <f>(_xlfn.PERCENTRANK.INC(ifood_data[[#All],[RFM]],ifood_data[[#This Row],[RFM]],1))*10</f>
        <v>9</v>
      </c>
      <c r="BD914" t="str">
        <f>VLOOKUP(ifood_data[[#This Row],[RFM Score]],'RFM Analysis'!$A$3:$B$14,2,FALSE)</f>
        <v>Top Customer</v>
      </c>
      <c r="BE914">
        <f>'Regression Models'!$B$101+'Regression Models'!$B$102*ifood_data[[#This Row],[Income]]+'Regression Models'!$B$103*ifood_data[[#This Row],[Age]]+'Regression Models'!$B$104*ifood_data[[#This Row],[Family]]</f>
        <v>571.79487878862221</v>
      </c>
      <c r="BF914" t="str">
        <f>IF(ifood_data[[#This Row],[AcceptedCmpOverall]]=1,"Campaign Respondent","Non-respondent")</f>
        <v>Campaign Respondent</v>
      </c>
    </row>
    <row r="915" spans="1:58" x14ac:dyDescent="0.35">
      <c r="A915">
        <v>786</v>
      </c>
      <c r="B915">
        <v>55412</v>
      </c>
      <c r="C915">
        <v>1</v>
      </c>
      <c r="D915">
        <v>1</v>
      </c>
      <c r="E915">
        <v>65</v>
      </c>
      <c r="F915">
        <v>10</v>
      </c>
      <c r="G915">
        <v>5</v>
      </c>
      <c r="H915">
        <v>28</v>
      </c>
      <c r="I915">
        <v>11</v>
      </c>
      <c r="J915">
        <v>1</v>
      </c>
      <c r="K915">
        <v>8</v>
      </c>
      <c r="L915">
        <v>1</v>
      </c>
      <c r="M915">
        <v>2</v>
      </c>
      <c r="N915">
        <v>0</v>
      </c>
      <c r="O915">
        <v>3</v>
      </c>
      <c r="P915">
        <v>5</v>
      </c>
      <c r="Q915">
        <v>0</v>
      </c>
      <c r="R915">
        <v>0</v>
      </c>
      <c r="S915">
        <v>0</v>
      </c>
      <c r="T915">
        <v>0</v>
      </c>
      <c r="U915">
        <v>0</v>
      </c>
      <c r="V915">
        <f>IF(SUM(ifood_data[[#This Row],[AcceptedCmp1]:[AcceptedCmp5]])&gt;0,1,0)</f>
        <v>0</v>
      </c>
      <c r="W915">
        <v>0</v>
      </c>
      <c r="X915">
        <v>3</v>
      </c>
      <c r="Y915">
        <v>11</v>
      </c>
      <c r="Z915">
        <v>0</v>
      </c>
      <c r="AA915">
        <v>44</v>
      </c>
      <c r="AB915">
        <v>2378</v>
      </c>
      <c r="AC915" s="28">
        <f>ifood_data[[#This Row],[Customer_Days]]/365</f>
        <v>6.515068493150685</v>
      </c>
      <c r="AD915">
        <v>1</v>
      </c>
      <c r="AE915">
        <v>0</v>
      </c>
      <c r="AF915">
        <v>0</v>
      </c>
      <c r="AG915">
        <v>0</v>
      </c>
      <c r="AH915">
        <v>0</v>
      </c>
      <c r="AI915">
        <v>0</v>
      </c>
      <c r="AJ915">
        <v>0</v>
      </c>
      <c r="AK915">
        <v>0</v>
      </c>
      <c r="AL915">
        <v>0</v>
      </c>
      <c r="AM915">
        <v>1</v>
      </c>
      <c r="AN915">
        <v>55</v>
      </c>
      <c r="AO915">
        <v>47</v>
      </c>
      <c r="AP915">
        <f>ifood_data[[#This Row],[MntTotal]]-ifood_data[[#This Row],[MntRegularProds]]</f>
        <v>8</v>
      </c>
      <c r="AQ915">
        <v>0</v>
      </c>
      <c r="AR915">
        <f>IF(SUM(ifood_data[[#This Row],[Kidhome]:[Teenhome]])&gt;0,1,0)</f>
        <v>1</v>
      </c>
      <c r="AS915" t="str">
        <f>IF(SUM(ifood_data[[#This Row],[Kidhome]:[Teenhome]])&gt;0,"Has Family","No Family")</f>
        <v>Has Family</v>
      </c>
      <c r="AT915" t="str">
        <f>IF(ifood_data[[#This Row],[marital_Married]]=1,"Married", (IF(ifood_data[[#This Row],[marital_Single]]=1,"Single",(IF(ifood_data[[#This Row],[marital_Divorced]]=1,"Divorced",(IF(ifood_data[[#This Row],[marital_Together]]=1,"Living Together",(IF(ifood_data[[#This Row],[marital_Widow]]=1,"Widow","Other")))))))))</f>
        <v>Divorced</v>
      </c>
      <c r="AU915" t="str">
        <f>IF(ifood_data[[#This Row],[education_Basic]]=1,"High School",(IF(ifood_data[[#This Row],[education_Graduation]]=1,"Undergraduate Degree",(IF(SUM(AM915,AL915,AI915)&gt;0,"Master's Degree or Higher","Other")))))</f>
        <v>Master's Degree or Higher</v>
      </c>
      <c r="AV915" t="str">
        <f>IF(ifood_data[[#All],[Income]]&gt;75000,"75K+",(IF(ifood_data[[#All],[Income]]&gt;50000,"50K-75K",(IF(ifood_data[[#All],[Income]]&gt;35000,"35K-50K","&lt;35K")))))</f>
        <v>50K-75K</v>
      </c>
      <c r="AW915" t="str">
        <f>IF(ifood_data[[#All],[Age]]&gt;60,"60+",(IF(ifood_data[[#All],[Age]]&gt;50,"50-60",(IF(ifood_data[[#All],[Age]]&gt;40,"40-50",(IF(ifood_data[[#All],[Age]]&gt;30,"30-40","&lt;30")))))))</f>
        <v>40-50</v>
      </c>
      <c r="AX915">
        <f t="shared" si="56"/>
        <v>11</v>
      </c>
      <c r="AY915">
        <f t="shared" si="57"/>
        <v>4</v>
      </c>
      <c r="AZ915">
        <f t="shared" si="58"/>
        <v>0</v>
      </c>
      <c r="BA915">
        <f t="shared" si="59"/>
        <v>2</v>
      </c>
      <c r="BB915">
        <f>SUM(ifood_data[[#This Row],[Recency Score]:[Monetary Score]])</f>
        <v>6</v>
      </c>
      <c r="BC915">
        <f>(_xlfn.PERCENTRANK.INC(ifood_data[[#All],[RFM]],ifood_data[[#This Row],[RFM]],1))*10</f>
        <v>0</v>
      </c>
      <c r="BD915" t="str">
        <f>VLOOKUP(ifood_data[[#This Row],[RFM Score]],'RFM Analysis'!$A$3:$B$14,2,FALSE)</f>
        <v>Lost</v>
      </c>
      <c r="BE915">
        <f>'Regression Models'!$B$101+'Regression Models'!$B$102*ifood_data[[#This Row],[Income]]+'Regression Models'!$B$103*ifood_data[[#This Row],[Age]]+'Regression Models'!$B$104*ifood_data[[#This Row],[Family]]</f>
        <v>571.55021357089538</v>
      </c>
      <c r="BF915" t="str">
        <f>IF(ifood_data[[#This Row],[AcceptedCmpOverall]]=1,"Campaign Respondent","Non-respondent")</f>
        <v>Non-respondent</v>
      </c>
    </row>
    <row r="916" spans="1:58" x14ac:dyDescent="0.35">
      <c r="A916">
        <v>1680</v>
      </c>
      <c r="B916">
        <v>57333</v>
      </c>
      <c r="C916">
        <v>0</v>
      </c>
      <c r="D916">
        <v>1</v>
      </c>
      <c r="E916">
        <v>55</v>
      </c>
      <c r="F916">
        <v>941</v>
      </c>
      <c r="G916">
        <v>14</v>
      </c>
      <c r="H916">
        <v>397</v>
      </c>
      <c r="I916">
        <v>76</v>
      </c>
      <c r="J916">
        <v>58</v>
      </c>
      <c r="K916">
        <v>176</v>
      </c>
      <c r="L916">
        <v>11</v>
      </c>
      <c r="M916">
        <v>8</v>
      </c>
      <c r="N916">
        <v>5</v>
      </c>
      <c r="O916">
        <v>9</v>
      </c>
      <c r="P916">
        <v>6</v>
      </c>
      <c r="Q916">
        <v>0</v>
      </c>
      <c r="R916">
        <v>0</v>
      </c>
      <c r="S916">
        <v>0</v>
      </c>
      <c r="T916">
        <v>0</v>
      </c>
      <c r="U916">
        <v>0</v>
      </c>
      <c r="V916">
        <f>IF(SUM(ifood_data[[#This Row],[AcceptedCmp1]:[AcceptedCmp5]])&gt;0,1,0)</f>
        <v>0</v>
      </c>
      <c r="W916">
        <v>0</v>
      </c>
      <c r="X916">
        <v>3</v>
      </c>
      <c r="Y916">
        <v>11</v>
      </c>
      <c r="Z916">
        <v>1</v>
      </c>
      <c r="AA916">
        <v>66</v>
      </c>
      <c r="AB916">
        <v>2804</v>
      </c>
      <c r="AC916" s="28">
        <f>ifood_data[[#This Row],[Customer_Days]]/365</f>
        <v>7.6821917808219178</v>
      </c>
      <c r="AD916">
        <v>1</v>
      </c>
      <c r="AE916">
        <v>0</v>
      </c>
      <c r="AF916">
        <v>0</v>
      </c>
      <c r="AG916">
        <v>0</v>
      </c>
      <c r="AH916">
        <v>0</v>
      </c>
      <c r="AI916">
        <v>0</v>
      </c>
      <c r="AJ916">
        <v>0</v>
      </c>
      <c r="AK916">
        <v>0</v>
      </c>
      <c r="AL916">
        <v>0</v>
      </c>
      <c r="AM916">
        <v>1</v>
      </c>
      <c r="AN916">
        <v>1486</v>
      </c>
      <c r="AO916">
        <v>1310</v>
      </c>
      <c r="AP916">
        <f>ifood_data[[#This Row],[MntTotal]]-ifood_data[[#This Row],[MntRegularProds]]</f>
        <v>176</v>
      </c>
      <c r="AQ916">
        <v>0</v>
      </c>
      <c r="AR916">
        <f>IF(SUM(ifood_data[[#This Row],[Kidhome]:[Teenhome]])&gt;0,1,0)</f>
        <v>1</v>
      </c>
      <c r="AS916" t="str">
        <f>IF(SUM(ifood_data[[#This Row],[Kidhome]:[Teenhome]])&gt;0,"Has Family","No Family")</f>
        <v>Has Family</v>
      </c>
      <c r="AT916" t="str">
        <f>IF(ifood_data[[#This Row],[marital_Married]]=1,"Married", (IF(ifood_data[[#This Row],[marital_Single]]=1,"Single",(IF(ifood_data[[#This Row],[marital_Divorced]]=1,"Divorced",(IF(ifood_data[[#This Row],[marital_Together]]=1,"Living Together",(IF(ifood_data[[#This Row],[marital_Widow]]=1,"Widow","Other")))))))))</f>
        <v>Divorced</v>
      </c>
      <c r="AU916" t="str">
        <f>IF(ifood_data[[#This Row],[education_Basic]]=1,"High School",(IF(ifood_data[[#This Row],[education_Graduation]]=1,"Undergraduate Degree",(IF(SUM(AM916,AL916,AI916)&gt;0,"Master's Degree or Higher","Other")))))</f>
        <v>Master's Degree or Higher</v>
      </c>
      <c r="AV916" t="str">
        <f>IF(ifood_data[[#All],[Income]]&gt;75000,"75K+",(IF(ifood_data[[#All],[Income]]&gt;50000,"50K-75K",(IF(ifood_data[[#All],[Income]]&gt;35000,"35K-50K","&lt;35K")))))</f>
        <v>50K-75K</v>
      </c>
      <c r="AW916" t="str">
        <f>IF(ifood_data[[#All],[Age]]&gt;60,"60+",(IF(ifood_data[[#All],[Age]]&gt;50,"50-60",(IF(ifood_data[[#All],[Age]]&gt;40,"40-50",(IF(ifood_data[[#All],[Age]]&gt;30,"30-40","&lt;30")))))))</f>
        <v>60+</v>
      </c>
      <c r="AX916">
        <f t="shared" si="56"/>
        <v>39</v>
      </c>
      <c r="AY916">
        <f t="shared" si="57"/>
        <v>5</v>
      </c>
      <c r="AZ916">
        <f t="shared" si="58"/>
        <v>9</v>
      </c>
      <c r="BA916">
        <f t="shared" si="59"/>
        <v>9</v>
      </c>
      <c r="BB916">
        <f>SUM(ifood_data[[#This Row],[Recency Score]:[Monetary Score]])</f>
        <v>23</v>
      </c>
      <c r="BC916">
        <f>(_xlfn.PERCENTRANK.INC(ifood_data[[#All],[RFM]],ifood_data[[#This Row],[RFM]],1))*10</f>
        <v>8</v>
      </c>
      <c r="BD916" t="str">
        <f>VLOOKUP(ifood_data[[#This Row],[RFM Score]],'RFM Analysis'!$A$3:$B$14,2,FALSE)</f>
        <v>Loyal Customer</v>
      </c>
      <c r="BE916">
        <f>'Regression Models'!$B$101+'Regression Models'!$B$102*ifood_data[[#This Row],[Income]]+'Regression Models'!$B$103*ifood_data[[#This Row],[Age]]+'Regression Models'!$B$104*ifood_data[[#This Row],[Family]]</f>
        <v>570.31537743965112</v>
      </c>
      <c r="BF916" t="str">
        <f>IF(ifood_data[[#This Row],[AcceptedCmpOverall]]=1,"Campaign Respondent","Non-respondent")</f>
        <v>Non-respondent</v>
      </c>
    </row>
    <row r="917" spans="1:58" x14ac:dyDescent="0.35">
      <c r="A917">
        <v>1990</v>
      </c>
      <c r="B917">
        <v>55593</v>
      </c>
      <c r="C917">
        <v>0</v>
      </c>
      <c r="D917">
        <v>1</v>
      </c>
      <c r="E917">
        <v>63</v>
      </c>
      <c r="F917">
        <v>293</v>
      </c>
      <c r="G917">
        <v>8</v>
      </c>
      <c r="H917">
        <v>124</v>
      </c>
      <c r="I917">
        <v>11</v>
      </c>
      <c r="J917">
        <v>4</v>
      </c>
      <c r="K917">
        <v>106</v>
      </c>
      <c r="L917">
        <v>2</v>
      </c>
      <c r="M917">
        <v>6</v>
      </c>
      <c r="N917">
        <v>6</v>
      </c>
      <c r="O917">
        <v>3</v>
      </c>
      <c r="P917">
        <v>6</v>
      </c>
      <c r="Q917">
        <v>0</v>
      </c>
      <c r="R917">
        <v>0</v>
      </c>
      <c r="S917">
        <v>1</v>
      </c>
      <c r="T917">
        <v>0</v>
      </c>
      <c r="U917">
        <v>0</v>
      </c>
      <c r="V917">
        <f>IF(SUM(ifood_data[[#This Row],[AcceptedCmp1]:[AcceptedCmp5]])&gt;0,1,0)</f>
        <v>1</v>
      </c>
      <c r="W917">
        <v>0</v>
      </c>
      <c r="X917">
        <v>3</v>
      </c>
      <c r="Y917">
        <v>11</v>
      </c>
      <c r="Z917">
        <v>0</v>
      </c>
      <c r="AA917">
        <v>47</v>
      </c>
      <c r="AB917">
        <v>2471</v>
      </c>
      <c r="AC917" s="28">
        <f>ifood_data[[#This Row],[Customer_Days]]/365</f>
        <v>6.7698630136986298</v>
      </c>
      <c r="AD917">
        <v>0</v>
      </c>
      <c r="AE917">
        <v>0</v>
      </c>
      <c r="AF917">
        <v>0</v>
      </c>
      <c r="AG917">
        <v>1</v>
      </c>
      <c r="AH917">
        <v>0</v>
      </c>
      <c r="AI917">
        <v>0</v>
      </c>
      <c r="AJ917">
        <v>0</v>
      </c>
      <c r="AK917">
        <v>1</v>
      </c>
      <c r="AL917">
        <v>0</v>
      </c>
      <c r="AM917">
        <v>0</v>
      </c>
      <c r="AN917">
        <v>440</v>
      </c>
      <c r="AO917">
        <v>334</v>
      </c>
      <c r="AP917">
        <f>ifood_data[[#This Row],[MntTotal]]-ifood_data[[#This Row],[MntRegularProds]]</f>
        <v>106</v>
      </c>
      <c r="AQ917">
        <v>1</v>
      </c>
      <c r="AR917">
        <f>IF(SUM(ifood_data[[#This Row],[Kidhome]:[Teenhome]])&gt;0,1,0)</f>
        <v>1</v>
      </c>
      <c r="AS917" t="str">
        <f>IF(SUM(ifood_data[[#This Row],[Kidhome]:[Teenhome]])&gt;0,"Has Family","No Family")</f>
        <v>Has Family</v>
      </c>
      <c r="AT917" t="str">
        <f>IF(ifood_data[[#This Row],[marital_Married]]=1,"Married", (IF(ifood_data[[#This Row],[marital_Single]]=1,"Single",(IF(ifood_data[[#This Row],[marital_Divorced]]=1,"Divorced",(IF(ifood_data[[#This Row],[marital_Together]]=1,"Living Together",(IF(ifood_data[[#This Row],[marital_Widow]]=1,"Widow","Other")))))))))</f>
        <v>Living Together</v>
      </c>
      <c r="AU917" t="str">
        <f>IF(ifood_data[[#This Row],[education_Basic]]=1,"High School",(IF(ifood_data[[#This Row],[education_Graduation]]=1,"Undergraduate Degree",(IF(SUM(AM917,AL917,AI917)&gt;0,"Master's Degree or Higher","Other")))))</f>
        <v>Undergraduate Degree</v>
      </c>
      <c r="AV917" t="str">
        <f>IF(ifood_data[[#All],[Income]]&gt;75000,"75K+",(IF(ifood_data[[#All],[Income]]&gt;50000,"50K-75K",(IF(ifood_data[[#All],[Income]]&gt;35000,"35K-50K","&lt;35K")))))</f>
        <v>50K-75K</v>
      </c>
      <c r="AW917" t="str">
        <f>IF(ifood_data[[#All],[Age]]&gt;60,"60+",(IF(ifood_data[[#All],[Age]]&gt;50,"50-60",(IF(ifood_data[[#All],[Age]]&gt;40,"40-50",(IF(ifood_data[[#All],[Age]]&gt;30,"30-40","&lt;30")))))))</f>
        <v>40-50</v>
      </c>
      <c r="AX917">
        <f t="shared" si="56"/>
        <v>23</v>
      </c>
      <c r="AY917">
        <f t="shared" si="57"/>
        <v>4</v>
      </c>
      <c r="AZ917">
        <f t="shared" si="58"/>
        <v>6</v>
      </c>
      <c r="BA917">
        <f t="shared" si="59"/>
        <v>5</v>
      </c>
      <c r="BB917">
        <f>SUM(ifood_data[[#This Row],[Recency Score]:[Monetary Score]])</f>
        <v>15</v>
      </c>
      <c r="BC917">
        <f>(_xlfn.PERCENTRANK.INC(ifood_data[[#All],[RFM]],ifood_data[[#This Row],[RFM]],1))*10</f>
        <v>4</v>
      </c>
      <c r="BD917" t="str">
        <f>VLOOKUP(ifood_data[[#This Row],[RFM Score]],'RFM Analysis'!$A$3:$B$14,2,FALSE)</f>
        <v>At Risk</v>
      </c>
      <c r="BE917">
        <f>'Regression Models'!$B$101+'Regression Models'!$B$102*ifood_data[[#This Row],[Income]]+'Regression Models'!$B$103*ifood_data[[#This Row],[Age]]+'Regression Models'!$B$104*ifood_data[[#This Row],[Family]]</f>
        <v>569.73126336825828</v>
      </c>
      <c r="BF917" t="str">
        <f>IF(ifood_data[[#This Row],[AcceptedCmpOverall]]=1,"Campaign Respondent","Non-respondent")</f>
        <v>Campaign Respondent</v>
      </c>
    </row>
    <row r="918" spans="1:58" x14ac:dyDescent="0.35">
      <c r="A918">
        <v>1438</v>
      </c>
      <c r="B918">
        <v>57530</v>
      </c>
      <c r="C918">
        <v>0</v>
      </c>
      <c r="D918">
        <v>1</v>
      </c>
      <c r="E918">
        <v>68</v>
      </c>
      <c r="F918">
        <v>50</v>
      </c>
      <c r="G918">
        <v>1</v>
      </c>
      <c r="H918">
        <v>27</v>
      </c>
      <c r="I918">
        <v>6</v>
      </c>
      <c r="J918">
        <v>7</v>
      </c>
      <c r="K918">
        <v>1</v>
      </c>
      <c r="L918">
        <v>1</v>
      </c>
      <c r="M918">
        <v>1</v>
      </c>
      <c r="N918">
        <v>1</v>
      </c>
      <c r="O918">
        <v>4</v>
      </c>
      <c r="P918">
        <v>1</v>
      </c>
      <c r="Q918">
        <v>0</v>
      </c>
      <c r="R918">
        <v>0</v>
      </c>
      <c r="S918">
        <v>0</v>
      </c>
      <c r="T918">
        <v>0</v>
      </c>
      <c r="U918">
        <v>0</v>
      </c>
      <c r="V918">
        <f>IF(SUM(ifood_data[[#This Row],[AcceptedCmp1]:[AcceptedCmp5]])&gt;0,1,0)</f>
        <v>0</v>
      </c>
      <c r="W918">
        <v>0</v>
      </c>
      <c r="X918">
        <v>3</v>
      </c>
      <c r="Y918">
        <v>11</v>
      </c>
      <c r="Z918">
        <v>0</v>
      </c>
      <c r="AA918">
        <v>69</v>
      </c>
      <c r="AB918">
        <v>2419</v>
      </c>
      <c r="AC918" s="28">
        <f>ifood_data[[#This Row],[Customer_Days]]/365</f>
        <v>6.6273972602739724</v>
      </c>
      <c r="AD918">
        <v>1</v>
      </c>
      <c r="AE918">
        <v>0</v>
      </c>
      <c r="AF918">
        <v>0</v>
      </c>
      <c r="AG918">
        <v>0</v>
      </c>
      <c r="AH918">
        <v>0</v>
      </c>
      <c r="AI918">
        <v>0</v>
      </c>
      <c r="AJ918">
        <v>0</v>
      </c>
      <c r="AK918">
        <v>0</v>
      </c>
      <c r="AL918">
        <v>1</v>
      </c>
      <c r="AM918">
        <v>0</v>
      </c>
      <c r="AN918">
        <v>91</v>
      </c>
      <c r="AO918">
        <v>90</v>
      </c>
      <c r="AP918">
        <f>ifood_data[[#This Row],[MntTotal]]-ifood_data[[#This Row],[MntRegularProds]]</f>
        <v>1</v>
      </c>
      <c r="AQ918">
        <v>0</v>
      </c>
      <c r="AR918">
        <f>IF(SUM(ifood_data[[#This Row],[Kidhome]:[Teenhome]])&gt;0,1,0)</f>
        <v>1</v>
      </c>
      <c r="AS918" t="str">
        <f>IF(SUM(ifood_data[[#This Row],[Kidhome]:[Teenhome]])&gt;0,"Has Family","No Family")</f>
        <v>Has Family</v>
      </c>
      <c r="AT918" t="str">
        <f>IF(ifood_data[[#This Row],[marital_Married]]=1,"Married", (IF(ifood_data[[#This Row],[marital_Single]]=1,"Single",(IF(ifood_data[[#This Row],[marital_Divorced]]=1,"Divorced",(IF(ifood_data[[#This Row],[marital_Together]]=1,"Living Together",(IF(ifood_data[[#This Row],[marital_Widow]]=1,"Widow","Other")))))))))</f>
        <v>Divorced</v>
      </c>
      <c r="AU918" t="str">
        <f>IF(ifood_data[[#This Row],[education_Basic]]=1,"High School",(IF(ifood_data[[#This Row],[education_Graduation]]=1,"Undergraduate Degree",(IF(SUM(AM918,AL918,AI918)&gt;0,"Master's Degree or Higher","Other")))))</f>
        <v>Master's Degree or Higher</v>
      </c>
      <c r="AV918" t="str">
        <f>IF(ifood_data[[#All],[Income]]&gt;75000,"75K+",(IF(ifood_data[[#All],[Income]]&gt;50000,"50K-75K",(IF(ifood_data[[#All],[Income]]&gt;35000,"35K-50K","&lt;35K")))))</f>
        <v>50K-75K</v>
      </c>
      <c r="AW918" t="str">
        <f>IF(ifood_data[[#All],[Age]]&gt;60,"60+",(IF(ifood_data[[#All],[Age]]&gt;50,"50-60",(IF(ifood_data[[#All],[Age]]&gt;40,"40-50",(IF(ifood_data[[#All],[Age]]&gt;30,"30-40","&lt;30")))))))</f>
        <v>60+</v>
      </c>
      <c r="AX918">
        <f t="shared" si="56"/>
        <v>8</v>
      </c>
      <c r="AY918">
        <f t="shared" si="57"/>
        <v>4</v>
      </c>
      <c r="AZ918">
        <f t="shared" si="58"/>
        <v>0</v>
      </c>
      <c r="BA918">
        <f t="shared" si="59"/>
        <v>3</v>
      </c>
      <c r="BB918">
        <f>SUM(ifood_data[[#This Row],[Recency Score]:[Monetary Score]])</f>
        <v>7</v>
      </c>
      <c r="BC918">
        <f>(_xlfn.PERCENTRANK.INC(ifood_data[[#All],[RFM]],ifood_data[[#This Row],[RFM]],1))*10</f>
        <v>1</v>
      </c>
      <c r="BD918" t="str">
        <f>VLOOKUP(ifood_data[[#This Row],[RFM Score]],'RFM Analysis'!$A$3:$B$14,2,FALSE)</f>
        <v>At Risk</v>
      </c>
      <c r="BE918">
        <f>'Regression Models'!$B$101+'Regression Models'!$B$102*ifood_data[[#This Row],[Income]]+'Regression Models'!$B$103*ifood_data[[#This Row],[Age]]+'Regression Models'!$B$104*ifood_data[[#This Row],[Family]]</f>
        <v>568.82264752731624</v>
      </c>
      <c r="BF918" t="str">
        <f>IF(ifood_data[[#This Row],[AcceptedCmpOverall]]=1,"Campaign Respondent","Non-respondent")</f>
        <v>Non-respondent</v>
      </c>
    </row>
    <row r="919" spans="1:58" x14ac:dyDescent="0.35">
      <c r="A919">
        <v>55</v>
      </c>
      <c r="B919">
        <v>55954</v>
      </c>
      <c r="C919">
        <v>0</v>
      </c>
      <c r="D919">
        <v>1</v>
      </c>
      <c r="E919">
        <v>63</v>
      </c>
      <c r="F919">
        <v>447</v>
      </c>
      <c r="G919">
        <v>0</v>
      </c>
      <c r="H919">
        <v>28</v>
      </c>
      <c r="I919">
        <v>0</v>
      </c>
      <c r="J919">
        <v>0</v>
      </c>
      <c r="K919">
        <v>43</v>
      </c>
      <c r="L919">
        <v>3</v>
      </c>
      <c r="M919">
        <v>8</v>
      </c>
      <c r="N919">
        <v>2</v>
      </c>
      <c r="O919">
        <v>6</v>
      </c>
      <c r="P919">
        <v>7</v>
      </c>
      <c r="Q919">
        <v>0</v>
      </c>
      <c r="R919">
        <v>0</v>
      </c>
      <c r="S919">
        <v>0</v>
      </c>
      <c r="T919">
        <v>0</v>
      </c>
      <c r="U919">
        <v>0</v>
      </c>
      <c r="V919">
        <f>IF(SUM(ifood_data[[#This Row],[AcceptedCmp1]:[AcceptedCmp5]])&gt;0,1,0)</f>
        <v>0</v>
      </c>
      <c r="W919">
        <v>0</v>
      </c>
      <c r="X919">
        <v>3</v>
      </c>
      <c r="Y919">
        <v>11</v>
      </c>
      <c r="Z919">
        <v>0</v>
      </c>
      <c r="AA919">
        <v>52</v>
      </c>
      <c r="AB919">
        <v>2277</v>
      </c>
      <c r="AC919" s="28">
        <f>ifood_data[[#This Row],[Customer_Days]]/365</f>
        <v>6.2383561643835614</v>
      </c>
      <c r="AD919">
        <v>0</v>
      </c>
      <c r="AE919">
        <v>1</v>
      </c>
      <c r="AF919">
        <v>0</v>
      </c>
      <c r="AG919">
        <v>0</v>
      </c>
      <c r="AH919">
        <v>0</v>
      </c>
      <c r="AI919">
        <v>0</v>
      </c>
      <c r="AJ919">
        <v>0</v>
      </c>
      <c r="AK919">
        <v>0</v>
      </c>
      <c r="AL919">
        <v>0</v>
      </c>
      <c r="AM919">
        <v>1</v>
      </c>
      <c r="AN919">
        <v>475</v>
      </c>
      <c r="AO919">
        <v>432</v>
      </c>
      <c r="AP919">
        <f>ifood_data[[#This Row],[MntTotal]]-ifood_data[[#This Row],[MntRegularProds]]</f>
        <v>43</v>
      </c>
      <c r="AQ919">
        <v>0</v>
      </c>
      <c r="AR919">
        <f>IF(SUM(ifood_data[[#This Row],[Kidhome]:[Teenhome]])&gt;0,1,0)</f>
        <v>1</v>
      </c>
      <c r="AS919" t="str">
        <f>IF(SUM(ifood_data[[#This Row],[Kidhome]:[Teenhome]])&gt;0,"Has Family","No Family")</f>
        <v>Has Family</v>
      </c>
      <c r="AT919" t="str">
        <f>IF(ifood_data[[#This Row],[marital_Married]]=1,"Married", (IF(ifood_data[[#This Row],[marital_Single]]=1,"Single",(IF(ifood_data[[#This Row],[marital_Divorced]]=1,"Divorced",(IF(ifood_data[[#This Row],[marital_Together]]=1,"Living Together",(IF(ifood_data[[#This Row],[marital_Widow]]=1,"Widow","Other")))))))))</f>
        <v>Married</v>
      </c>
      <c r="AU919" t="str">
        <f>IF(ifood_data[[#This Row],[education_Basic]]=1,"High School",(IF(ifood_data[[#This Row],[education_Graduation]]=1,"Undergraduate Degree",(IF(SUM(AM919,AL919,AI919)&gt;0,"Master's Degree or Higher","Other")))))</f>
        <v>Master's Degree or Higher</v>
      </c>
      <c r="AV919" t="str">
        <f>IF(ifood_data[[#All],[Income]]&gt;75000,"75K+",(IF(ifood_data[[#All],[Income]]&gt;50000,"50K-75K",(IF(ifood_data[[#All],[Income]]&gt;35000,"35K-50K","&lt;35K")))))</f>
        <v>50K-75K</v>
      </c>
      <c r="AW919" t="str">
        <f>IF(ifood_data[[#All],[Age]]&gt;60,"60+",(IF(ifood_data[[#All],[Age]]&gt;50,"50-60",(IF(ifood_data[[#All],[Age]]&gt;40,"40-50",(IF(ifood_data[[#All],[Age]]&gt;30,"30-40","&lt;30")))))))</f>
        <v>50-60</v>
      </c>
      <c r="AX919">
        <f t="shared" si="56"/>
        <v>26</v>
      </c>
      <c r="AY919">
        <f t="shared" si="57"/>
        <v>4</v>
      </c>
      <c r="AZ919">
        <f t="shared" si="58"/>
        <v>7</v>
      </c>
      <c r="BA919">
        <f t="shared" si="59"/>
        <v>5</v>
      </c>
      <c r="BB919">
        <f>SUM(ifood_data[[#This Row],[Recency Score]:[Monetary Score]])</f>
        <v>16</v>
      </c>
      <c r="BC919">
        <f>(_xlfn.PERCENTRANK.INC(ifood_data[[#All],[RFM]],ifood_data[[#This Row],[RFM]],1))*10</f>
        <v>5</v>
      </c>
      <c r="BD919" t="str">
        <f>VLOOKUP(ifood_data[[#This Row],[RFM Score]],'RFM Analysis'!$A$3:$B$14,2,FALSE)</f>
        <v>Promising</v>
      </c>
      <c r="BE919">
        <f>'Regression Models'!$B$101+'Regression Models'!$B$102*ifood_data[[#This Row],[Income]]+'Regression Models'!$B$103*ifood_data[[#This Row],[Age]]+'Regression Models'!$B$104*ifood_data[[#This Row],[Family]]</f>
        <v>567.90941327373423</v>
      </c>
      <c r="BF919" t="str">
        <f>IF(ifood_data[[#This Row],[AcceptedCmpOverall]]=1,"Campaign Respondent","Non-respondent")</f>
        <v>Non-respondent</v>
      </c>
    </row>
    <row r="920" spans="1:58" x14ac:dyDescent="0.35">
      <c r="A920">
        <v>7</v>
      </c>
      <c r="B920">
        <v>55635</v>
      </c>
      <c r="C920">
        <v>0</v>
      </c>
      <c r="D920">
        <v>1</v>
      </c>
      <c r="E920">
        <v>34</v>
      </c>
      <c r="F920">
        <v>235</v>
      </c>
      <c r="G920">
        <v>65</v>
      </c>
      <c r="H920">
        <v>164</v>
      </c>
      <c r="I920">
        <v>50</v>
      </c>
      <c r="J920">
        <v>49</v>
      </c>
      <c r="K920">
        <v>27</v>
      </c>
      <c r="L920">
        <v>4</v>
      </c>
      <c r="M920">
        <v>7</v>
      </c>
      <c r="N920">
        <v>3</v>
      </c>
      <c r="O920">
        <v>7</v>
      </c>
      <c r="P920">
        <v>6</v>
      </c>
      <c r="Q920">
        <v>0</v>
      </c>
      <c r="R920">
        <v>0</v>
      </c>
      <c r="S920">
        <v>0</v>
      </c>
      <c r="T920">
        <v>0</v>
      </c>
      <c r="U920">
        <v>0</v>
      </c>
      <c r="V920">
        <f>IF(SUM(ifood_data[[#This Row],[AcceptedCmp1]:[AcceptedCmp5]])&gt;0,1,0)</f>
        <v>0</v>
      </c>
      <c r="W920">
        <v>0</v>
      </c>
      <c r="X920">
        <v>3</v>
      </c>
      <c r="Y920">
        <v>11</v>
      </c>
      <c r="Z920">
        <v>0</v>
      </c>
      <c r="AA920">
        <v>49</v>
      </c>
      <c r="AB920">
        <v>2752</v>
      </c>
      <c r="AC920" s="28">
        <f>ifood_data[[#This Row],[Customer_Days]]/365</f>
        <v>7.5397260273972604</v>
      </c>
      <c r="AD920">
        <v>1</v>
      </c>
      <c r="AE920">
        <v>0</v>
      </c>
      <c r="AF920">
        <v>0</v>
      </c>
      <c r="AG920">
        <v>0</v>
      </c>
      <c r="AH920">
        <v>0</v>
      </c>
      <c r="AI920">
        <v>0</v>
      </c>
      <c r="AJ920">
        <v>0</v>
      </c>
      <c r="AK920">
        <v>1</v>
      </c>
      <c r="AL920">
        <v>0</v>
      </c>
      <c r="AM920">
        <v>0</v>
      </c>
      <c r="AN920">
        <v>563</v>
      </c>
      <c r="AO920">
        <v>536</v>
      </c>
      <c r="AP920">
        <f>ifood_data[[#This Row],[MntTotal]]-ifood_data[[#This Row],[MntRegularProds]]</f>
        <v>27</v>
      </c>
      <c r="AQ920">
        <v>0</v>
      </c>
      <c r="AR920">
        <f>IF(SUM(ifood_data[[#This Row],[Kidhome]:[Teenhome]])&gt;0,1,0)</f>
        <v>1</v>
      </c>
      <c r="AS920" t="str">
        <f>IF(SUM(ifood_data[[#This Row],[Kidhome]:[Teenhome]])&gt;0,"Has Family","No Family")</f>
        <v>Has Family</v>
      </c>
      <c r="AT920" t="str">
        <f>IF(ifood_data[[#This Row],[marital_Married]]=1,"Married", (IF(ifood_data[[#This Row],[marital_Single]]=1,"Single",(IF(ifood_data[[#This Row],[marital_Divorced]]=1,"Divorced",(IF(ifood_data[[#This Row],[marital_Together]]=1,"Living Together",(IF(ifood_data[[#This Row],[marital_Widow]]=1,"Widow","Other")))))))))</f>
        <v>Divorced</v>
      </c>
      <c r="AU920" t="str">
        <f>IF(ifood_data[[#This Row],[education_Basic]]=1,"High School",(IF(ifood_data[[#This Row],[education_Graduation]]=1,"Undergraduate Degree",(IF(SUM(AM920,AL920,AI920)&gt;0,"Master's Degree or Higher","Other")))))</f>
        <v>Undergraduate Degree</v>
      </c>
      <c r="AV920" t="str">
        <f>IF(ifood_data[[#All],[Income]]&gt;75000,"75K+",(IF(ifood_data[[#All],[Income]]&gt;50000,"50K-75K",(IF(ifood_data[[#All],[Income]]&gt;35000,"35K-50K","&lt;35K")))))</f>
        <v>50K-75K</v>
      </c>
      <c r="AW920" t="str">
        <f>IF(ifood_data[[#All],[Age]]&gt;60,"60+",(IF(ifood_data[[#All],[Age]]&gt;50,"50-60",(IF(ifood_data[[#All],[Age]]&gt;40,"40-50",(IF(ifood_data[[#All],[Age]]&gt;30,"30-40","&lt;30")))))))</f>
        <v>40-50</v>
      </c>
      <c r="AX920">
        <f t="shared" si="56"/>
        <v>27</v>
      </c>
      <c r="AY920">
        <f t="shared" si="57"/>
        <v>7</v>
      </c>
      <c r="AZ920">
        <f t="shared" si="58"/>
        <v>7</v>
      </c>
      <c r="BA920">
        <f t="shared" si="59"/>
        <v>5</v>
      </c>
      <c r="BB920">
        <f>SUM(ifood_data[[#This Row],[Recency Score]:[Monetary Score]])</f>
        <v>19</v>
      </c>
      <c r="BC920">
        <f>(_xlfn.PERCENTRANK.INC(ifood_data[[#All],[RFM]],ifood_data[[#This Row],[RFM]],1))*10</f>
        <v>7</v>
      </c>
      <c r="BD920" t="str">
        <f>VLOOKUP(ifood_data[[#This Row],[RFM Score]],'RFM Analysis'!$A$3:$B$14,2,FALSE)</f>
        <v>Loyal Customer</v>
      </c>
      <c r="BE920">
        <f>'Regression Models'!$B$101+'Regression Models'!$B$102*ifood_data[[#This Row],[Income]]+'Regression Models'!$B$103*ifood_data[[#This Row],[Age]]+'Regression Models'!$B$104*ifood_data[[#This Row],[Family]]</f>
        <v>566.91471347251343</v>
      </c>
      <c r="BF920" t="str">
        <f>IF(ifood_data[[#This Row],[AcceptedCmpOverall]]=1,"Campaign Respondent","Non-respondent")</f>
        <v>Non-respondent</v>
      </c>
    </row>
    <row r="921" spans="1:58" x14ac:dyDescent="0.35">
      <c r="A921">
        <v>512</v>
      </c>
      <c r="B921">
        <v>57247</v>
      </c>
      <c r="C921">
        <v>0</v>
      </c>
      <c r="D921">
        <v>1</v>
      </c>
      <c r="E921">
        <v>50</v>
      </c>
      <c r="F921">
        <v>99</v>
      </c>
      <c r="G921">
        <v>4</v>
      </c>
      <c r="H921">
        <v>32</v>
      </c>
      <c r="I921">
        <v>37</v>
      </c>
      <c r="J921">
        <v>54</v>
      </c>
      <c r="K921">
        <v>6</v>
      </c>
      <c r="L921">
        <v>2</v>
      </c>
      <c r="M921">
        <v>2</v>
      </c>
      <c r="N921">
        <v>1</v>
      </c>
      <c r="O921">
        <v>7</v>
      </c>
      <c r="P921">
        <v>2</v>
      </c>
      <c r="Q921">
        <v>0</v>
      </c>
      <c r="R921">
        <v>0</v>
      </c>
      <c r="S921">
        <v>0</v>
      </c>
      <c r="T921">
        <v>0</v>
      </c>
      <c r="U921">
        <v>0</v>
      </c>
      <c r="V921">
        <f>IF(SUM(ifood_data[[#This Row],[AcceptedCmp1]:[AcceptedCmp5]])&gt;0,1,0)</f>
        <v>0</v>
      </c>
      <c r="W921">
        <v>0</v>
      </c>
      <c r="X921">
        <v>3</v>
      </c>
      <c r="Y921">
        <v>11</v>
      </c>
      <c r="Z921">
        <v>0</v>
      </c>
      <c r="AA921">
        <v>68</v>
      </c>
      <c r="AB921">
        <v>2484</v>
      </c>
      <c r="AC921" s="28">
        <f>ifood_data[[#This Row],[Customer_Days]]/365</f>
        <v>6.8054794520547945</v>
      </c>
      <c r="AD921">
        <v>0</v>
      </c>
      <c r="AE921">
        <v>0</v>
      </c>
      <c r="AF921">
        <v>0</v>
      </c>
      <c r="AG921">
        <v>1</v>
      </c>
      <c r="AH921">
        <v>0</v>
      </c>
      <c r="AI921">
        <v>1</v>
      </c>
      <c r="AJ921">
        <v>0</v>
      </c>
      <c r="AK921">
        <v>0</v>
      </c>
      <c r="AL921">
        <v>0</v>
      </c>
      <c r="AM921">
        <v>0</v>
      </c>
      <c r="AN921">
        <v>226</v>
      </c>
      <c r="AO921">
        <v>220</v>
      </c>
      <c r="AP921">
        <f>ifood_data[[#This Row],[MntTotal]]-ifood_data[[#This Row],[MntRegularProds]]</f>
        <v>6</v>
      </c>
      <c r="AQ921">
        <v>0</v>
      </c>
      <c r="AR921">
        <f>IF(SUM(ifood_data[[#This Row],[Kidhome]:[Teenhome]])&gt;0,1,0)</f>
        <v>1</v>
      </c>
      <c r="AS921" t="str">
        <f>IF(SUM(ifood_data[[#This Row],[Kidhome]:[Teenhome]])&gt;0,"Has Family","No Family")</f>
        <v>Has Family</v>
      </c>
      <c r="AT921" t="str">
        <f>IF(ifood_data[[#This Row],[marital_Married]]=1,"Married", (IF(ifood_data[[#This Row],[marital_Single]]=1,"Single",(IF(ifood_data[[#This Row],[marital_Divorced]]=1,"Divorced",(IF(ifood_data[[#This Row],[marital_Together]]=1,"Living Together",(IF(ifood_data[[#This Row],[marital_Widow]]=1,"Widow","Other")))))))))</f>
        <v>Living Together</v>
      </c>
      <c r="AU921" t="str">
        <f>IF(ifood_data[[#This Row],[education_Basic]]=1,"High School",(IF(ifood_data[[#This Row],[education_Graduation]]=1,"Undergraduate Degree",(IF(SUM(AM921,AL921,AI921)&gt;0,"Master's Degree or Higher","Other")))))</f>
        <v>Master's Degree or Higher</v>
      </c>
      <c r="AV921" t="str">
        <f>IF(ifood_data[[#All],[Income]]&gt;75000,"75K+",(IF(ifood_data[[#All],[Income]]&gt;50000,"50K-75K",(IF(ifood_data[[#All],[Income]]&gt;35000,"35K-50K","&lt;35K")))))</f>
        <v>50K-75K</v>
      </c>
      <c r="AW921" t="str">
        <f>IF(ifood_data[[#All],[Age]]&gt;60,"60+",(IF(ifood_data[[#All],[Age]]&gt;50,"50-60",(IF(ifood_data[[#All],[Age]]&gt;40,"40-50",(IF(ifood_data[[#All],[Age]]&gt;30,"30-40","&lt;30")))))))</f>
        <v>60+</v>
      </c>
      <c r="AX921">
        <f t="shared" si="56"/>
        <v>14</v>
      </c>
      <c r="AY921">
        <f t="shared" si="57"/>
        <v>5</v>
      </c>
      <c r="AZ921">
        <f t="shared" si="58"/>
        <v>2</v>
      </c>
      <c r="BA921">
        <f t="shared" si="59"/>
        <v>4</v>
      </c>
      <c r="BB921">
        <f>SUM(ifood_data[[#This Row],[Recency Score]:[Monetary Score]])</f>
        <v>11</v>
      </c>
      <c r="BC921">
        <f>(_xlfn.PERCENTRANK.INC(ifood_data[[#All],[RFM]],ifood_data[[#This Row],[RFM]],1))*10</f>
        <v>2</v>
      </c>
      <c r="BD921" t="str">
        <f>VLOOKUP(ifood_data[[#This Row],[RFM Score]],'RFM Analysis'!$A$3:$B$14,2,FALSE)</f>
        <v>At Risk</v>
      </c>
      <c r="BE921">
        <f>'Regression Models'!$B$101+'Regression Models'!$B$102*ifood_data[[#This Row],[Income]]+'Regression Models'!$B$103*ifood_data[[#This Row],[Age]]+'Regression Models'!$B$104*ifood_data[[#This Row],[Family]]</f>
        <v>564.88906522148716</v>
      </c>
      <c r="BF921" t="str">
        <f>IF(ifood_data[[#This Row],[AcceptedCmpOverall]]=1,"Campaign Respondent","Non-respondent")</f>
        <v>Non-respondent</v>
      </c>
    </row>
    <row r="922" spans="1:58" x14ac:dyDescent="0.35">
      <c r="A922">
        <v>626</v>
      </c>
      <c r="B922">
        <v>56253</v>
      </c>
      <c r="C922">
        <v>0</v>
      </c>
      <c r="D922">
        <v>1</v>
      </c>
      <c r="E922">
        <v>83</v>
      </c>
      <c r="F922">
        <v>509</v>
      </c>
      <c r="G922">
        <v>0</v>
      </c>
      <c r="H922">
        <v>65</v>
      </c>
      <c r="I922">
        <v>7</v>
      </c>
      <c r="J922">
        <v>11</v>
      </c>
      <c r="K922">
        <v>5</v>
      </c>
      <c r="L922">
        <v>4</v>
      </c>
      <c r="M922">
        <v>7</v>
      </c>
      <c r="N922">
        <v>2</v>
      </c>
      <c r="O922">
        <v>9</v>
      </c>
      <c r="P922">
        <v>6</v>
      </c>
      <c r="Q922">
        <v>0</v>
      </c>
      <c r="R922">
        <v>0</v>
      </c>
      <c r="S922">
        <v>0</v>
      </c>
      <c r="T922">
        <v>0</v>
      </c>
      <c r="U922">
        <v>0</v>
      </c>
      <c r="V922">
        <f>IF(SUM(ifood_data[[#This Row],[AcceptedCmp1]:[AcceptedCmp5]])&gt;0,1,0)</f>
        <v>0</v>
      </c>
      <c r="W922">
        <v>0</v>
      </c>
      <c r="X922">
        <v>3</v>
      </c>
      <c r="Y922">
        <v>11</v>
      </c>
      <c r="Z922">
        <v>0</v>
      </c>
      <c r="AA922">
        <v>57</v>
      </c>
      <c r="AB922">
        <v>2728</v>
      </c>
      <c r="AC922" s="28">
        <f>ifood_data[[#This Row],[Customer_Days]]/365</f>
        <v>7.4739726027397264</v>
      </c>
      <c r="AD922">
        <v>0</v>
      </c>
      <c r="AE922">
        <v>0</v>
      </c>
      <c r="AF922">
        <v>0</v>
      </c>
      <c r="AG922">
        <v>1</v>
      </c>
      <c r="AH922">
        <v>0</v>
      </c>
      <c r="AI922">
        <v>0</v>
      </c>
      <c r="AJ922">
        <v>0</v>
      </c>
      <c r="AK922">
        <v>1</v>
      </c>
      <c r="AL922">
        <v>0</v>
      </c>
      <c r="AM922">
        <v>0</v>
      </c>
      <c r="AN922">
        <v>592</v>
      </c>
      <c r="AO922">
        <v>587</v>
      </c>
      <c r="AP922">
        <f>ifood_data[[#This Row],[MntTotal]]-ifood_data[[#This Row],[MntRegularProds]]</f>
        <v>5</v>
      </c>
      <c r="AQ922">
        <v>0</v>
      </c>
      <c r="AR922">
        <f>IF(SUM(ifood_data[[#This Row],[Kidhome]:[Teenhome]])&gt;0,1,0)</f>
        <v>1</v>
      </c>
      <c r="AS922" t="str">
        <f>IF(SUM(ifood_data[[#This Row],[Kidhome]:[Teenhome]])&gt;0,"Has Family","No Family")</f>
        <v>Has Family</v>
      </c>
      <c r="AT922" t="str">
        <f>IF(ifood_data[[#This Row],[marital_Married]]=1,"Married", (IF(ifood_data[[#This Row],[marital_Single]]=1,"Single",(IF(ifood_data[[#This Row],[marital_Divorced]]=1,"Divorced",(IF(ifood_data[[#This Row],[marital_Together]]=1,"Living Together",(IF(ifood_data[[#This Row],[marital_Widow]]=1,"Widow","Other")))))))))</f>
        <v>Living Together</v>
      </c>
      <c r="AU922" t="str">
        <f>IF(ifood_data[[#This Row],[education_Basic]]=1,"High School",(IF(ifood_data[[#This Row],[education_Graduation]]=1,"Undergraduate Degree",(IF(SUM(AM922,AL922,AI922)&gt;0,"Master's Degree or Higher","Other")))))</f>
        <v>Undergraduate Degree</v>
      </c>
      <c r="AV922" t="str">
        <f>IF(ifood_data[[#All],[Income]]&gt;75000,"75K+",(IF(ifood_data[[#All],[Income]]&gt;50000,"50K-75K",(IF(ifood_data[[#All],[Income]]&gt;35000,"35K-50K","&lt;35K")))))</f>
        <v>50K-75K</v>
      </c>
      <c r="AW922" t="str">
        <f>IF(ifood_data[[#All],[Age]]&gt;60,"60+",(IF(ifood_data[[#All],[Age]]&gt;50,"50-60",(IF(ifood_data[[#All],[Age]]&gt;40,"40-50",(IF(ifood_data[[#All],[Age]]&gt;30,"30-40","&lt;30")))))))</f>
        <v>50-60</v>
      </c>
      <c r="AX922">
        <f t="shared" si="56"/>
        <v>28</v>
      </c>
      <c r="AY922">
        <f t="shared" si="57"/>
        <v>1.9999999999999996</v>
      </c>
      <c r="AZ922">
        <f t="shared" si="58"/>
        <v>8</v>
      </c>
      <c r="BA922">
        <f t="shared" si="59"/>
        <v>6</v>
      </c>
      <c r="BB922">
        <f>SUM(ifood_data[[#This Row],[Recency Score]:[Monetary Score]])</f>
        <v>16</v>
      </c>
      <c r="BC922">
        <f>(_xlfn.PERCENTRANK.INC(ifood_data[[#All],[RFM]],ifood_data[[#This Row],[RFM]],1))*10</f>
        <v>5</v>
      </c>
      <c r="BD922" t="str">
        <f>VLOOKUP(ifood_data[[#This Row],[RFM Score]],'RFM Analysis'!$A$3:$B$14,2,FALSE)</f>
        <v>Promising</v>
      </c>
      <c r="BE922">
        <f>'Regression Models'!$B$101+'Regression Models'!$B$102*ifood_data[[#This Row],[Income]]+'Regression Models'!$B$103*ifood_data[[#This Row],[Age]]+'Regression Models'!$B$104*ifood_data[[#This Row],[Family]]</f>
        <v>564.82345955428866</v>
      </c>
      <c r="BF922" t="str">
        <f>IF(ifood_data[[#This Row],[AcceptedCmpOverall]]=1,"Campaign Respondent","Non-respondent")</f>
        <v>Non-respondent</v>
      </c>
    </row>
    <row r="923" spans="1:58" x14ac:dyDescent="0.35">
      <c r="A923">
        <v>530</v>
      </c>
      <c r="B923">
        <v>54880</v>
      </c>
      <c r="C923">
        <v>1</v>
      </c>
      <c r="D923">
        <v>0</v>
      </c>
      <c r="E923">
        <v>57</v>
      </c>
      <c r="F923">
        <v>308</v>
      </c>
      <c r="G923">
        <v>85</v>
      </c>
      <c r="H923">
        <v>137</v>
      </c>
      <c r="I923">
        <v>102</v>
      </c>
      <c r="J923">
        <v>45</v>
      </c>
      <c r="K923">
        <v>118</v>
      </c>
      <c r="L923">
        <v>2</v>
      </c>
      <c r="M923">
        <v>6</v>
      </c>
      <c r="N923">
        <v>2</v>
      </c>
      <c r="O923">
        <v>11</v>
      </c>
      <c r="P923">
        <v>5</v>
      </c>
      <c r="Q923">
        <v>0</v>
      </c>
      <c r="R923">
        <v>0</v>
      </c>
      <c r="S923">
        <v>0</v>
      </c>
      <c r="T923">
        <v>0</v>
      </c>
      <c r="U923">
        <v>0</v>
      </c>
      <c r="V923">
        <f>IF(SUM(ifood_data[[#This Row],[AcceptedCmp1]:[AcceptedCmp5]])&gt;0,1,0)</f>
        <v>0</v>
      </c>
      <c r="W923">
        <v>0</v>
      </c>
      <c r="X923">
        <v>3</v>
      </c>
      <c r="Y923">
        <v>11</v>
      </c>
      <c r="Z923">
        <v>0</v>
      </c>
      <c r="AA923">
        <v>42</v>
      </c>
      <c r="AB923">
        <v>2644</v>
      </c>
      <c r="AC923" s="28">
        <f>ifood_data[[#This Row],[Customer_Days]]/365</f>
        <v>7.2438356164383562</v>
      </c>
      <c r="AD923">
        <v>0</v>
      </c>
      <c r="AE923">
        <v>0</v>
      </c>
      <c r="AF923">
        <v>1</v>
      </c>
      <c r="AG923">
        <v>0</v>
      </c>
      <c r="AH923">
        <v>0</v>
      </c>
      <c r="AI923">
        <v>0</v>
      </c>
      <c r="AJ923">
        <v>0</v>
      </c>
      <c r="AK923">
        <v>0</v>
      </c>
      <c r="AL923">
        <v>0</v>
      </c>
      <c r="AM923">
        <v>1</v>
      </c>
      <c r="AN923">
        <v>677</v>
      </c>
      <c r="AO923">
        <v>559</v>
      </c>
      <c r="AP923">
        <f>ifood_data[[#This Row],[MntTotal]]-ifood_data[[#This Row],[MntRegularProds]]</f>
        <v>118</v>
      </c>
      <c r="AQ923">
        <v>0</v>
      </c>
      <c r="AR923">
        <f>IF(SUM(ifood_data[[#This Row],[Kidhome]:[Teenhome]])&gt;0,1,0)</f>
        <v>1</v>
      </c>
      <c r="AS923" t="str">
        <f>IF(SUM(ifood_data[[#This Row],[Kidhome]:[Teenhome]])&gt;0,"Has Family","No Family")</f>
        <v>Has Family</v>
      </c>
      <c r="AT923" t="str">
        <f>IF(ifood_data[[#This Row],[marital_Married]]=1,"Married", (IF(ifood_data[[#This Row],[marital_Single]]=1,"Single",(IF(ifood_data[[#This Row],[marital_Divorced]]=1,"Divorced",(IF(ifood_data[[#This Row],[marital_Together]]=1,"Living Together",(IF(ifood_data[[#This Row],[marital_Widow]]=1,"Widow","Other")))))))))</f>
        <v>Single</v>
      </c>
      <c r="AU923" t="str">
        <f>IF(ifood_data[[#This Row],[education_Basic]]=1,"High School",(IF(ifood_data[[#This Row],[education_Graduation]]=1,"Undergraduate Degree",(IF(SUM(AM923,AL923,AI923)&gt;0,"Master's Degree or Higher","Other")))))</f>
        <v>Master's Degree or Higher</v>
      </c>
      <c r="AV923" t="str">
        <f>IF(ifood_data[[#All],[Income]]&gt;75000,"75K+",(IF(ifood_data[[#All],[Income]]&gt;50000,"50K-75K",(IF(ifood_data[[#All],[Income]]&gt;35000,"35K-50K","&lt;35K")))))</f>
        <v>50K-75K</v>
      </c>
      <c r="AW923" t="str">
        <f>IF(ifood_data[[#All],[Age]]&gt;60,"60+",(IF(ifood_data[[#All],[Age]]&gt;50,"50-60",(IF(ifood_data[[#All],[Age]]&gt;40,"40-50",(IF(ifood_data[[#All],[Age]]&gt;30,"30-40","&lt;30")))))))</f>
        <v>40-50</v>
      </c>
      <c r="AX923">
        <f t="shared" si="56"/>
        <v>26</v>
      </c>
      <c r="AY923">
        <f t="shared" si="57"/>
        <v>5</v>
      </c>
      <c r="AZ923">
        <f t="shared" si="58"/>
        <v>7</v>
      </c>
      <c r="BA923">
        <f t="shared" si="59"/>
        <v>6</v>
      </c>
      <c r="BB923">
        <f>SUM(ifood_data[[#This Row],[Recency Score]:[Monetary Score]])</f>
        <v>18</v>
      </c>
      <c r="BC923">
        <f>(_xlfn.PERCENTRANK.INC(ifood_data[[#All],[RFM]],ifood_data[[#This Row],[RFM]],1))*10</f>
        <v>6</v>
      </c>
      <c r="BD923" t="str">
        <f>VLOOKUP(ifood_data[[#This Row],[RFM Score]],'RFM Analysis'!$A$3:$B$14,2,FALSE)</f>
        <v>Promising</v>
      </c>
      <c r="BE923">
        <f>'Regression Models'!$B$101+'Regression Models'!$B$102*ifood_data[[#This Row],[Income]]+'Regression Models'!$B$103*ifood_data[[#This Row],[Age]]+'Regression Models'!$B$104*ifood_data[[#This Row],[Family]]</f>
        <v>564.37626707612969</v>
      </c>
      <c r="BF923" t="str">
        <f>IF(ifood_data[[#This Row],[AcceptedCmpOverall]]=1,"Campaign Respondent","Non-respondent")</f>
        <v>Non-respondent</v>
      </c>
    </row>
    <row r="924" spans="1:58" x14ac:dyDescent="0.35">
      <c r="A924">
        <v>1095</v>
      </c>
      <c r="B924">
        <v>57304</v>
      </c>
      <c r="C924">
        <v>0</v>
      </c>
      <c r="D924">
        <v>1</v>
      </c>
      <c r="E924">
        <v>61</v>
      </c>
      <c r="F924">
        <v>356</v>
      </c>
      <c r="G924">
        <v>80</v>
      </c>
      <c r="H924">
        <v>329</v>
      </c>
      <c r="I924">
        <v>138</v>
      </c>
      <c r="J924">
        <v>17</v>
      </c>
      <c r="K924">
        <v>106</v>
      </c>
      <c r="L924">
        <v>2</v>
      </c>
      <c r="M924">
        <v>7</v>
      </c>
      <c r="N924">
        <v>6</v>
      </c>
      <c r="O924">
        <v>10</v>
      </c>
      <c r="P924">
        <v>5</v>
      </c>
      <c r="Q924">
        <v>0</v>
      </c>
      <c r="R924">
        <v>0</v>
      </c>
      <c r="S924">
        <v>0</v>
      </c>
      <c r="T924">
        <v>0</v>
      </c>
      <c r="U924">
        <v>0</v>
      </c>
      <c r="V924">
        <f>IF(SUM(ifood_data[[#This Row],[AcceptedCmp1]:[AcceptedCmp5]])&gt;0,1,0)</f>
        <v>0</v>
      </c>
      <c r="W924">
        <v>0</v>
      </c>
      <c r="X924">
        <v>3</v>
      </c>
      <c r="Y924">
        <v>11</v>
      </c>
      <c r="Z924">
        <v>0</v>
      </c>
      <c r="AA924">
        <v>69</v>
      </c>
      <c r="AB924">
        <v>2634</v>
      </c>
      <c r="AC924" s="28">
        <f>ifood_data[[#This Row],[Customer_Days]]/365</f>
        <v>7.2164383561643834</v>
      </c>
      <c r="AD924">
        <v>0</v>
      </c>
      <c r="AE924">
        <v>1</v>
      </c>
      <c r="AF924">
        <v>0</v>
      </c>
      <c r="AG924">
        <v>0</v>
      </c>
      <c r="AH924">
        <v>0</v>
      </c>
      <c r="AI924">
        <v>0</v>
      </c>
      <c r="AJ924">
        <v>0</v>
      </c>
      <c r="AK924">
        <v>1</v>
      </c>
      <c r="AL924">
        <v>0</v>
      </c>
      <c r="AM924">
        <v>0</v>
      </c>
      <c r="AN924">
        <v>920</v>
      </c>
      <c r="AO924">
        <v>814</v>
      </c>
      <c r="AP924">
        <f>ifood_data[[#This Row],[MntTotal]]-ifood_data[[#This Row],[MntRegularProds]]</f>
        <v>106</v>
      </c>
      <c r="AQ924">
        <v>0</v>
      </c>
      <c r="AR924">
        <f>IF(SUM(ifood_data[[#This Row],[Kidhome]:[Teenhome]])&gt;0,1,0)</f>
        <v>1</v>
      </c>
      <c r="AS924" t="str">
        <f>IF(SUM(ifood_data[[#This Row],[Kidhome]:[Teenhome]])&gt;0,"Has Family","No Family")</f>
        <v>Has Family</v>
      </c>
      <c r="AT924" t="str">
        <f>IF(ifood_data[[#This Row],[marital_Married]]=1,"Married", (IF(ifood_data[[#This Row],[marital_Single]]=1,"Single",(IF(ifood_data[[#This Row],[marital_Divorced]]=1,"Divorced",(IF(ifood_data[[#This Row],[marital_Together]]=1,"Living Together",(IF(ifood_data[[#This Row],[marital_Widow]]=1,"Widow","Other")))))))))</f>
        <v>Married</v>
      </c>
      <c r="AU924" t="str">
        <f>IF(ifood_data[[#This Row],[education_Basic]]=1,"High School",(IF(ifood_data[[#This Row],[education_Graduation]]=1,"Undergraduate Degree",(IF(SUM(AM924,AL924,AI924)&gt;0,"Master's Degree or Higher","Other")))))</f>
        <v>Undergraduate Degree</v>
      </c>
      <c r="AV924" t="str">
        <f>IF(ifood_data[[#All],[Income]]&gt;75000,"75K+",(IF(ifood_data[[#All],[Income]]&gt;50000,"50K-75K",(IF(ifood_data[[#All],[Income]]&gt;35000,"35K-50K","&lt;35K")))))</f>
        <v>50K-75K</v>
      </c>
      <c r="AW924" t="str">
        <f>IF(ifood_data[[#All],[Age]]&gt;60,"60+",(IF(ifood_data[[#All],[Age]]&gt;50,"50-60",(IF(ifood_data[[#All],[Age]]&gt;40,"40-50",(IF(ifood_data[[#All],[Age]]&gt;30,"30-40","&lt;30")))))))</f>
        <v>60+</v>
      </c>
      <c r="AX924">
        <f t="shared" si="56"/>
        <v>30</v>
      </c>
      <c r="AY924">
        <f t="shared" si="57"/>
        <v>4</v>
      </c>
      <c r="AZ924">
        <f t="shared" si="58"/>
        <v>8</v>
      </c>
      <c r="BA924">
        <f t="shared" si="59"/>
        <v>7</v>
      </c>
      <c r="BB924">
        <f>SUM(ifood_data[[#This Row],[Recency Score]:[Monetary Score]])</f>
        <v>19</v>
      </c>
      <c r="BC924">
        <f>(_xlfn.PERCENTRANK.INC(ifood_data[[#All],[RFM]],ifood_data[[#This Row],[RFM]],1))*10</f>
        <v>7</v>
      </c>
      <c r="BD924" t="str">
        <f>VLOOKUP(ifood_data[[#This Row],[RFM Score]],'RFM Analysis'!$A$3:$B$14,2,FALSE)</f>
        <v>Loyal Customer</v>
      </c>
      <c r="BE924">
        <f>'Regression Models'!$B$101+'Regression Models'!$B$102*ifood_data[[#This Row],[Income]]+'Regression Models'!$B$103*ifood_data[[#This Row],[Age]]+'Regression Models'!$B$104*ifood_data[[#This Row],[Family]]</f>
        <v>564.21478592679512</v>
      </c>
      <c r="BF924" t="str">
        <f>IF(ifood_data[[#This Row],[AcceptedCmpOverall]]=1,"Campaign Respondent","Non-respondent")</f>
        <v>Non-respondent</v>
      </c>
    </row>
    <row r="925" spans="1:58" x14ac:dyDescent="0.35">
      <c r="A925">
        <v>606</v>
      </c>
      <c r="B925">
        <v>56181</v>
      </c>
      <c r="C925">
        <v>0</v>
      </c>
      <c r="D925">
        <v>1</v>
      </c>
      <c r="E925">
        <v>6</v>
      </c>
      <c r="F925">
        <v>121</v>
      </c>
      <c r="G925">
        <v>103</v>
      </c>
      <c r="H925">
        <v>69</v>
      </c>
      <c r="I925">
        <v>8</v>
      </c>
      <c r="J925">
        <v>44</v>
      </c>
      <c r="K925">
        <v>48</v>
      </c>
      <c r="L925">
        <v>1</v>
      </c>
      <c r="M925">
        <v>4</v>
      </c>
      <c r="N925">
        <v>2</v>
      </c>
      <c r="O925">
        <v>7</v>
      </c>
      <c r="P925">
        <v>4</v>
      </c>
      <c r="Q925">
        <v>0</v>
      </c>
      <c r="R925">
        <v>0</v>
      </c>
      <c r="S925">
        <v>0</v>
      </c>
      <c r="T925">
        <v>0</v>
      </c>
      <c r="U925">
        <v>0</v>
      </c>
      <c r="V925">
        <f>IF(SUM(ifood_data[[#This Row],[AcceptedCmp1]:[AcceptedCmp5]])&gt;0,1,0)</f>
        <v>0</v>
      </c>
      <c r="W925">
        <v>0</v>
      </c>
      <c r="X925">
        <v>3</v>
      </c>
      <c r="Y925">
        <v>11</v>
      </c>
      <c r="Z925">
        <v>0</v>
      </c>
      <c r="AA925">
        <v>58</v>
      </c>
      <c r="AB925">
        <v>2696</v>
      </c>
      <c r="AC925" s="28">
        <f>ifood_data[[#This Row],[Customer_Days]]/365</f>
        <v>7.3863013698630136</v>
      </c>
      <c r="AD925">
        <v>0</v>
      </c>
      <c r="AE925">
        <v>1</v>
      </c>
      <c r="AF925">
        <v>0</v>
      </c>
      <c r="AG925">
        <v>0</v>
      </c>
      <c r="AH925">
        <v>0</v>
      </c>
      <c r="AI925">
        <v>0</v>
      </c>
      <c r="AJ925">
        <v>0</v>
      </c>
      <c r="AK925">
        <v>1</v>
      </c>
      <c r="AL925">
        <v>0</v>
      </c>
      <c r="AM925">
        <v>0</v>
      </c>
      <c r="AN925">
        <v>345</v>
      </c>
      <c r="AO925">
        <v>297</v>
      </c>
      <c r="AP925">
        <f>ifood_data[[#This Row],[MntTotal]]-ifood_data[[#This Row],[MntRegularProds]]</f>
        <v>48</v>
      </c>
      <c r="AQ925">
        <v>0</v>
      </c>
      <c r="AR925">
        <f>IF(SUM(ifood_data[[#This Row],[Kidhome]:[Teenhome]])&gt;0,1,0)</f>
        <v>1</v>
      </c>
      <c r="AS925" t="str">
        <f>IF(SUM(ifood_data[[#This Row],[Kidhome]:[Teenhome]])&gt;0,"Has Family","No Family")</f>
        <v>Has Family</v>
      </c>
      <c r="AT925" t="str">
        <f>IF(ifood_data[[#This Row],[marital_Married]]=1,"Married", (IF(ifood_data[[#This Row],[marital_Single]]=1,"Single",(IF(ifood_data[[#This Row],[marital_Divorced]]=1,"Divorced",(IF(ifood_data[[#This Row],[marital_Together]]=1,"Living Together",(IF(ifood_data[[#This Row],[marital_Widow]]=1,"Widow","Other")))))))))</f>
        <v>Married</v>
      </c>
      <c r="AU925" t="str">
        <f>IF(ifood_data[[#This Row],[education_Basic]]=1,"High School",(IF(ifood_data[[#This Row],[education_Graduation]]=1,"Undergraduate Degree",(IF(SUM(AM925,AL925,AI925)&gt;0,"Master's Degree or Higher","Other")))))</f>
        <v>Undergraduate Degree</v>
      </c>
      <c r="AV925" t="str">
        <f>IF(ifood_data[[#All],[Income]]&gt;75000,"75K+",(IF(ifood_data[[#All],[Income]]&gt;50000,"50K-75K",(IF(ifood_data[[#All],[Income]]&gt;35000,"35K-50K","&lt;35K")))))</f>
        <v>50K-75K</v>
      </c>
      <c r="AW925" t="str">
        <f>IF(ifood_data[[#All],[Age]]&gt;60,"60+",(IF(ifood_data[[#All],[Age]]&gt;50,"50-60",(IF(ifood_data[[#All],[Age]]&gt;40,"40-50",(IF(ifood_data[[#All],[Age]]&gt;30,"30-40","&lt;30")))))))</f>
        <v>50-60</v>
      </c>
      <c r="AX925">
        <f t="shared" si="56"/>
        <v>18</v>
      </c>
      <c r="AY925">
        <f t="shared" si="57"/>
        <v>10</v>
      </c>
      <c r="AZ925">
        <f t="shared" si="58"/>
        <v>4</v>
      </c>
      <c r="BA925">
        <f t="shared" si="59"/>
        <v>5</v>
      </c>
      <c r="BB925">
        <f>SUM(ifood_data[[#This Row],[Recency Score]:[Monetary Score]])</f>
        <v>19</v>
      </c>
      <c r="BC925">
        <f>(_xlfn.PERCENTRANK.INC(ifood_data[[#All],[RFM]],ifood_data[[#This Row],[RFM]],1))*10</f>
        <v>7</v>
      </c>
      <c r="BD925" t="str">
        <f>VLOOKUP(ifood_data[[#This Row],[RFM Score]],'RFM Analysis'!$A$3:$B$14,2,FALSE)</f>
        <v>Loyal Customer</v>
      </c>
      <c r="BE925">
        <f>'Regression Models'!$B$101+'Regression Models'!$B$102*ifood_data[[#This Row],[Income]]+'Regression Models'!$B$103*ifood_data[[#This Row],[Age]]+'Regression Models'!$B$104*ifood_data[[#This Row],[Family]]</f>
        <v>561.51902916903384</v>
      </c>
      <c r="BF925" t="str">
        <f>IF(ifood_data[[#This Row],[AcceptedCmpOverall]]=1,"Campaign Respondent","Non-respondent")</f>
        <v>Non-respondent</v>
      </c>
    </row>
    <row r="926" spans="1:58" x14ac:dyDescent="0.35">
      <c r="A926">
        <v>847</v>
      </c>
      <c r="B926">
        <v>55260</v>
      </c>
      <c r="C926">
        <v>0</v>
      </c>
      <c r="D926">
        <v>1</v>
      </c>
      <c r="E926">
        <v>81</v>
      </c>
      <c r="F926">
        <v>825</v>
      </c>
      <c r="G926">
        <v>8</v>
      </c>
      <c r="H926">
        <v>53</v>
      </c>
      <c r="I926">
        <v>11</v>
      </c>
      <c r="J926">
        <v>0</v>
      </c>
      <c r="K926">
        <v>242</v>
      </c>
      <c r="L926">
        <v>2</v>
      </c>
      <c r="M926">
        <v>8</v>
      </c>
      <c r="N926">
        <v>10</v>
      </c>
      <c r="O926">
        <v>5</v>
      </c>
      <c r="P926">
        <v>6</v>
      </c>
      <c r="Q926">
        <v>0</v>
      </c>
      <c r="R926">
        <v>0</v>
      </c>
      <c r="S926">
        <v>0</v>
      </c>
      <c r="T926">
        <v>0</v>
      </c>
      <c r="U926">
        <v>0</v>
      </c>
      <c r="V926">
        <f>IF(SUM(ifood_data[[#This Row],[AcceptedCmp1]:[AcceptedCmp5]])&gt;0,1,0)</f>
        <v>0</v>
      </c>
      <c r="W926">
        <v>0</v>
      </c>
      <c r="X926">
        <v>3</v>
      </c>
      <c r="Y926">
        <v>11</v>
      </c>
      <c r="Z926">
        <v>0</v>
      </c>
      <c r="AA926">
        <v>48</v>
      </c>
      <c r="AB926">
        <v>2723</v>
      </c>
      <c r="AC926" s="28">
        <f>ifood_data[[#This Row],[Customer_Days]]/365</f>
        <v>7.4602739726027396</v>
      </c>
      <c r="AD926">
        <v>0</v>
      </c>
      <c r="AE926">
        <v>0</v>
      </c>
      <c r="AF926">
        <v>1</v>
      </c>
      <c r="AG926">
        <v>0</v>
      </c>
      <c r="AH926">
        <v>0</v>
      </c>
      <c r="AI926">
        <v>0</v>
      </c>
      <c r="AJ926">
        <v>0</v>
      </c>
      <c r="AK926">
        <v>0</v>
      </c>
      <c r="AL926">
        <v>0</v>
      </c>
      <c r="AM926">
        <v>1</v>
      </c>
      <c r="AN926">
        <v>897</v>
      </c>
      <c r="AO926">
        <v>655</v>
      </c>
      <c r="AP926">
        <f>ifood_data[[#This Row],[MntTotal]]-ifood_data[[#This Row],[MntRegularProds]]</f>
        <v>242</v>
      </c>
      <c r="AQ926">
        <v>0</v>
      </c>
      <c r="AR926">
        <f>IF(SUM(ifood_data[[#This Row],[Kidhome]:[Teenhome]])&gt;0,1,0)</f>
        <v>1</v>
      </c>
      <c r="AS926" t="str">
        <f>IF(SUM(ifood_data[[#This Row],[Kidhome]:[Teenhome]])&gt;0,"Has Family","No Family")</f>
        <v>Has Family</v>
      </c>
      <c r="AT926" t="str">
        <f>IF(ifood_data[[#This Row],[marital_Married]]=1,"Married", (IF(ifood_data[[#This Row],[marital_Single]]=1,"Single",(IF(ifood_data[[#This Row],[marital_Divorced]]=1,"Divorced",(IF(ifood_data[[#This Row],[marital_Together]]=1,"Living Together",(IF(ifood_data[[#This Row],[marital_Widow]]=1,"Widow","Other")))))))))</f>
        <v>Single</v>
      </c>
      <c r="AU926" t="str">
        <f>IF(ifood_data[[#This Row],[education_Basic]]=1,"High School",(IF(ifood_data[[#This Row],[education_Graduation]]=1,"Undergraduate Degree",(IF(SUM(AM926,AL926,AI926)&gt;0,"Master's Degree or Higher","Other")))))</f>
        <v>Master's Degree or Higher</v>
      </c>
      <c r="AV926" t="str">
        <f>IF(ifood_data[[#All],[Income]]&gt;75000,"75K+",(IF(ifood_data[[#All],[Income]]&gt;50000,"50K-75K",(IF(ifood_data[[#All],[Income]]&gt;35000,"35K-50K","&lt;35K")))))</f>
        <v>50K-75K</v>
      </c>
      <c r="AW926" t="str">
        <f>IF(ifood_data[[#All],[Age]]&gt;60,"60+",(IF(ifood_data[[#All],[Age]]&gt;50,"50-60",(IF(ifood_data[[#All],[Age]]&gt;40,"40-50",(IF(ifood_data[[#All],[Age]]&gt;30,"30-40","&lt;30")))))))</f>
        <v>40-50</v>
      </c>
      <c r="AX926">
        <f t="shared" si="56"/>
        <v>31</v>
      </c>
      <c r="AY926">
        <f t="shared" si="57"/>
        <v>1.9999999999999996</v>
      </c>
      <c r="AZ926">
        <f t="shared" si="58"/>
        <v>9</v>
      </c>
      <c r="BA926">
        <f t="shared" si="59"/>
        <v>7</v>
      </c>
      <c r="BB926">
        <f>SUM(ifood_data[[#This Row],[Recency Score]:[Monetary Score]])</f>
        <v>18</v>
      </c>
      <c r="BC926">
        <f>(_xlfn.PERCENTRANK.INC(ifood_data[[#All],[RFM]],ifood_data[[#This Row],[RFM]],1))*10</f>
        <v>6</v>
      </c>
      <c r="BD926" t="str">
        <f>VLOOKUP(ifood_data[[#This Row],[RFM Score]],'RFM Analysis'!$A$3:$B$14,2,FALSE)</f>
        <v>Promising</v>
      </c>
      <c r="BE926">
        <f>'Regression Models'!$B$101+'Regression Models'!$B$102*ifood_data[[#This Row],[Income]]+'Regression Models'!$B$103*ifood_data[[#This Row],[Age]]+'Regression Models'!$B$104*ifood_data[[#This Row],[Family]]</f>
        <v>561.10536449744552</v>
      </c>
      <c r="BF926" t="str">
        <f>IF(ifood_data[[#This Row],[AcceptedCmpOverall]]=1,"Campaign Respondent","Non-respondent")</f>
        <v>Non-respondent</v>
      </c>
    </row>
    <row r="927" spans="1:58" x14ac:dyDescent="0.35">
      <c r="A927">
        <v>1132</v>
      </c>
      <c r="B927">
        <v>54809</v>
      </c>
      <c r="C927">
        <v>1</v>
      </c>
      <c r="D927">
        <v>1</v>
      </c>
      <c r="E927">
        <v>0</v>
      </c>
      <c r="F927">
        <v>63</v>
      </c>
      <c r="G927">
        <v>6</v>
      </c>
      <c r="H927">
        <v>57</v>
      </c>
      <c r="I927">
        <v>13</v>
      </c>
      <c r="J927">
        <v>13</v>
      </c>
      <c r="K927">
        <v>22</v>
      </c>
      <c r="L927">
        <v>4</v>
      </c>
      <c r="M927">
        <v>2</v>
      </c>
      <c r="N927">
        <v>1</v>
      </c>
      <c r="O927">
        <v>5</v>
      </c>
      <c r="P927">
        <v>4</v>
      </c>
      <c r="Q927">
        <v>0</v>
      </c>
      <c r="R927">
        <v>0</v>
      </c>
      <c r="S927">
        <v>0</v>
      </c>
      <c r="T927">
        <v>0</v>
      </c>
      <c r="U927">
        <v>0</v>
      </c>
      <c r="V927">
        <f>IF(SUM(ifood_data[[#This Row],[AcceptedCmp1]:[AcceptedCmp5]])&gt;0,1,0)</f>
        <v>0</v>
      </c>
      <c r="W927">
        <v>0</v>
      </c>
      <c r="X927">
        <v>3</v>
      </c>
      <c r="Y927">
        <v>11</v>
      </c>
      <c r="Z927">
        <v>0</v>
      </c>
      <c r="AA927">
        <v>43</v>
      </c>
      <c r="AB927">
        <v>2450</v>
      </c>
      <c r="AC927" s="28">
        <f>ifood_data[[#This Row],[Customer_Days]]/365</f>
        <v>6.7123287671232879</v>
      </c>
      <c r="AD927">
        <v>0</v>
      </c>
      <c r="AE927">
        <v>1</v>
      </c>
      <c r="AF927">
        <v>0</v>
      </c>
      <c r="AG927">
        <v>0</v>
      </c>
      <c r="AH927">
        <v>0</v>
      </c>
      <c r="AI927">
        <v>0</v>
      </c>
      <c r="AJ927">
        <v>0</v>
      </c>
      <c r="AK927">
        <v>1</v>
      </c>
      <c r="AL927">
        <v>0</v>
      </c>
      <c r="AM927">
        <v>0</v>
      </c>
      <c r="AN927">
        <v>152</v>
      </c>
      <c r="AO927">
        <v>130</v>
      </c>
      <c r="AP927">
        <f>ifood_data[[#This Row],[MntTotal]]-ifood_data[[#This Row],[MntRegularProds]]</f>
        <v>22</v>
      </c>
      <c r="AQ927">
        <v>0</v>
      </c>
      <c r="AR927">
        <f>IF(SUM(ifood_data[[#This Row],[Kidhome]:[Teenhome]])&gt;0,1,0)</f>
        <v>1</v>
      </c>
      <c r="AS927" t="str">
        <f>IF(SUM(ifood_data[[#This Row],[Kidhome]:[Teenhome]])&gt;0,"Has Family","No Family")</f>
        <v>Has Family</v>
      </c>
      <c r="AT927" t="str">
        <f>IF(ifood_data[[#This Row],[marital_Married]]=1,"Married", (IF(ifood_data[[#This Row],[marital_Single]]=1,"Single",(IF(ifood_data[[#This Row],[marital_Divorced]]=1,"Divorced",(IF(ifood_data[[#This Row],[marital_Together]]=1,"Living Together",(IF(ifood_data[[#This Row],[marital_Widow]]=1,"Widow","Other")))))))))</f>
        <v>Married</v>
      </c>
      <c r="AU927" t="str">
        <f>IF(ifood_data[[#This Row],[education_Basic]]=1,"High School",(IF(ifood_data[[#This Row],[education_Graduation]]=1,"Undergraduate Degree",(IF(SUM(AM927,AL927,AI927)&gt;0,"Master's Degree or Higher","Other")))))</f>
        <v>Undergraduate Degree</v>
      </c>
      <c r="AV927" t="str">
        <f>IF(ifood_data[[#All],[Income]]&gt;75000,"75K+",(IF(ifood_data[[#All],[Income]]&gt;50000,"50K-75K",(IF(ifood_data[[#All],[Income]]&gt;35000,"35K-50K","&lt;35K")))))</f>
        <v>50K-75K</v>
      </c>
      <c r="AW927" t="str">
        <f>IF(ifood_data[[#All],[Age]]&gt;60,"60+",(IF(ifood_data[[#All],[Age]]&gt;50,"50-60",(IF(ifood_data[[#All],[Age]]&gt;40,"40-50",(IF(ifood_data[[#All],[Age]]&gt;30,"30-40","&lt;30")))))))</f>
        <v>40-50</v>
      </c>
      <c r="AX927">
        <f t="shared" si="56"/>
        <v>16</v>
      </c>
      <c r="AY927">
        <f t="shared" si="57"/>
        <v>10</v>
      </c>
      <c r="AZ927">
        <f t="shared" si="58"/>
        <v>3</v>
      </c>
      <c r="BA927">
        <f t="shared" si="59"/>
        <v>3</v>
      </c>
      <c r="BB927">
        <f>SUM(ifood_data[[#This Row],[Recency Score]:[Monetary Score]])</f>
        <v>16</v>
      </c>
      <c r="BC927">
        <f>(_xlfn.PERCENTRANK.INC(ifood_data[[#All],[RFM]],ifood_data[[#This Row],[RFM]],1))*10</f>
        <v>5</v>
      </c>
      <c r="BD927" t="str">
        <f>VLOOKUP(ifood_data[[#This Row],[RFM Score]],'RFM Analysis'!$A$3:$B$14,2,FALSE)</f>
        <v>Promising</v>
      </c>
      <c r="BE927">
        <f>'Regression Models'!$B$101+'Regression Models'!$B$102*ifood_data[[#This Row],[Income]]+'Regression Models'!$B$103*ifood_data[[#This Row],[Age]]+'Regression Models'!$B$104*ifood_data[[#This Row],[Family]]</f>
        <v>561.09222545901855</v>
      </c>
      <c r="BF927" t="str">
        <f>IF(ifood_data[[#This Row],[AcceptedCmpOverall]]=1,"Campaign Respondent","Non-respondent")</f>
        <v>Non-respondent</v>
      </c>
    </row>
    <row r="928" spans="1:58" x14ac:dyDescent="0.35">
      <c r="A928">
        <v>1675</v>
      </c>
      <c r="B928">
        <v>54809</v>
      </c>
      <c r="C928">
        <v>1</v>
      </c>
      <c r="D928">
        <v>1</v>
      </c>
      <c r="E928">
        <v>0</v>
      </c>
      <c r="F928">
        <v>63</v>
      </c>
      <c r="G928">
        <v>6</v>
      </c>
      <c r="H928">
        <v>57</v>
      </c>
      <c r="I928">
        <v>13</v>
      </c>
      <c r="J928">
        <v>13</v>
      </c>
      <c r="K928">
        <v>22</v>
      </c>
      <c r="L928">
        <v>4</v>
      </c>
      <c r="M928">
        <v>2</v>
      </c>
      <c r="N928">
        <v>1</v>
      </c>
      <c r="O928">
        <v>5</v>
      </c>
      <c r="P928">
        <v>4</v>
      </c>
      <c r="Q928">
        <v>0</v>
      </c>
      <c r="R928">
        <v>0</v>
      </c>
      <c r="S928">
        <v>0</v>
      </c>
      <c r="T928">
        <v>0</v>
      </c>
      <c r="U928">
        <v>0</v>
      </c>
      <c r="V928">
        <f>IF(SUM(ifood_data[[#This Row],[AcceptedCmp1]:[AcceptedCmp5]])&gt;0,1,0)</f>
        <v>0</v>
      </c>
      <c r="W928">
        <v>0</v>
      </c>
      <c r="X928">
        <v>3</v>
      </c>
      <c r="Y928">
        <v>11</v>
      </c>
      <c r="Z928">
        <v>1</v>
      </c>
      <c r="AA928">
        <v>43</v>
      </c>
      <c r="AB928">
        <v>2450</v>
      </c>
      <c r="AC928" s="28">
        <f>ifood_data[[#This Row],[Customer_Days]]/365</f>
        <v>6.7123287671232879</v>
      </c>
      <c r="AD928">
        <v>0</v>
      </c>
      <c r="AE928">
        <v>1</v>
      </c>
      <c r="AF928">
        <v>0</v>
      </c>
      <c r="AG928">
        <v>0</v>
      </c>
      <c r="AH928">
        <v>0</v>
      </c>
      <c r="AI928">
        <v>0</v>
      </c>
      <c r="AJ928">
        <v>0</v>
      </c>
      <c r="AK928">
        <v>1</v>
      </c>
      <c r="AL928">
        <v>0</v>
      </c>
      <c r="AM928">
        <v>0</v>
      </c>
      <c r="AN928">
        <v>152</v>
      </c>
      <c r="AO928">
        <v>130</v>
      </c>
      <c r="AP928">
        <f>ifood_data[[#This Row],[MntTotal]]-ifood_data[[#This Row],[MntRegularProds]]</f>
        <v>22</v>
      </c>
      <c r="AQ928">
        <v>0</v>
      </c>
      <c r="AR928">
        <f>IF(SUM(ifood_data[[#This Row],[Kidhome]:[Teenhome]])&gt;0,1,0)</f>
        <v>1</v>
      </c>
      <c r="AS928" t="str">
        <f>IF(SUM(ifood_data[[#This Row],[Kidhome]:[Teenhome]])&gt;0,"Has Family","No Family")</f>
        <v>Has Family</v>
      </c>
      <c r="AT928" t="str">
        <f>IF(ifood_data[[#This Row],[marital_Married]]=1,"Married", (IF(ifood_data[[#This Row],[marital_Single]]=1,"Single",(IF(ifood_data[[#This Row],[marital_Divorced]]=1,"Divorced",(IF(ifood_data[[#This Row],[marital_Together]]=1,"Living Together",(IF(ifood_data[[#This Row],[marital_Widow]]=1,"Widow","Other")))))))))</f>
        <v>Married</v>
      </c>
      <c r="AU928" t="str">
        <f>IF(ifood_data[[#This Row],[education_Basic]]=1,"High School",(IF(ifood_data[[#This Row],[education_Graduation]]=1,"Undergraduate Degree",(IF(SUM(AM928,AL928,AI928)&gt;0,"Master's Degree or Higher","Other")))))</f>
        <v>Undergraduate Degree</v>
      </c>
      <c r="AV928" t="str">
        <f>IF(ifood_data[[#All],[Income]]&gt;75000,"75K+",(IF(ifood_data[[#All],[Income]]&gt;50000,"50K-75K",(IF(ifood_data[[#All],[Income]]&gt;35000,"35K-50K","&lt;35K")))))</f>
        <v>50K-75K</v>
      </c>
      <c r="AW928" t="str">
        <f>IF(ifood_data[[#All],[Age]]&gt;60,"60+",(IF(ifood_data[[#All],[Age]]&gt;50,"50-60",(IF(ifood_data[[#All],[Age]]&gt;40,"40-50",(IF(ifood_data[[#All],[Age]]&gt;30,"30-40","&lt;30")))))))</f>
        <v>40-50</v>
      </c>
      <c r="AX928">
        <f t="shared" si="56"/>
        <v>16</v>
      </c>
      <c r="AY928">
        <f t="shared" si="57"/>
        <v>10</v>
      </c>
      <c r="AZ928">
        <f t="shared" si="58"/>
        <v>3</v>
      </c>
      <c r="BA928">
        <f t="shared" si="59"/>
        <v>3</v>
      </c>
      <c r="BB928">
        <f>SUM(ifood_data[[#This Row],[Recency Score]:[Monetary Score]])</f>
        <v>16</v>
      </c>
      <c r="BC928">
        <f>(_xlfn.PERCENTRANK.INC(ifood_data[[#All],[RFM]],ifood_data[[#This Row],[RFM]],1))*10</f>
        <v>5</v>
      </c>
      <c r="BD928" t="str">
        <f>VLOOKUP(ifood_data[[#This Row],[RFM Score]],'RFM Analysis'!$A$3:$B$14,2,FALSE)</f>
        <v>Promising</v>
      </c>
      <c r="BE928">
        <f>'Regression Models'!$B$101+'Regression Models'!$B$102*ifood_data[[#This Row],[Income]]+'Regression Models'!$B$103*ifood_data[[#This Row],[Age]]+'Regression Models'!$B$104*ifood_data[[#This Row],[Family]]</f>
        <v>561.09222545901855</v>
      </c>
      <c r="BF928" t="str">
        <f>IF(ifood_data[[#This Row],[AcceptedCmpOverall]]=1,"Campaign Respondent","Non-respondent")</f>
        <v>Non-respondent</v>
      </c>
    </row>
    <row r="929" spans="1:58" x14ac:dyDescent="0.35">
      <c r="A929">
        <v>1111</v>
      </c>
      <c r="B929">
        <v>54386</v>
      </c>
      <c r="C929">
        <v>0</v>
      </c>
      <c r="D929">
        <v>1</v>
      </c>
      <c r="E929">
        <v>8</v>
      </c>
      <c r="F929">
        <v>277</v>
      </c>
      <c r="G929">
        <v>21</v>
      </c>
      <c r="H929">
        <v>64</v>
      </c>
      <c r="I929">
        <v>62</v>
      </c>
      <c r="J929">
        <v>21</v>
      </c>
      <c r="K929">
        <v>25</v>
      </c>
      <c r="L929">
        <v>2</v>
      </c>
      <c r="M929">
        <v>3</v>
      </c>
      <c r="N929">
        <v>2</v>
      </c>
      <c r="O929">
        <v>10</v>
      </c>
      <c r="P929">
        <v>3</v>
      </c>
      <c r="Q929">
        <v>0</v>
      </c>
      <c r="R929">
        <v>0</v>
      </c>
      <c r="S929">
        <v>0</v>
      </c>
      <c r="T929">
        <v>0</v>
      </c>
      <c r="U929">
        <v>0</v>
      </c>
      <c r="V929">
        <f>IF(SUM(ifood_data[[#This Row],[AcceptedCmp1]:[AcceptedCmp5]])&gt;0,1,0)</f>
        <v>0</v>
      </c>
      <c r="W929">
        <v>0</v>
      </c>
      <c r="X929">
        <v>3</v>
      </c>
      <c r="Y929">
        <v>11</v>
      </c>
      <c r="Z929">
        <v>0</v>
      </c>
      <c r="AA929">
        <v>39</v>
      </c>
      <c r="AB929">
        <v>2567</v>
      </c>
      <c r="AC929" s="28">
        <f>ifood_data[[#This Row],[Customer_Days]]/365</f>
        <v>7.0328767123287674</v>
      </c>
      <c r="AD929">
        <v>0</v>
      </c>
      <c r="AE929">
        <v>1</v>
      </c>
      <c r="AF929">
        <v>0</v>
      </c>
      <c r="AG929">
        <v>0</v>
      </c>
      <c r="AH929">
        <v>0</v>
      </c>
      <c r="AI929">
        <v>0</v>
      </c>
      <c r="AJ929">
        <v>0</v>
      </c>
      <c r="AK929">
        <v>1</v>
      </c>
      <c r="AL929">
        <v>0</v>
      </c>
      <c r="AM929">
        <v>0</v>
      </c>
      <c r="AN929">
        <v>445</v>
      </c>
      <c r="AO929">
        <v>420</v>
      </c>
      <c r="AP929">
        <f>ifood_data[[#This Row],[MntTotal]]-ifood_data[[#This Row],[MntRegularProds]]</f>
        <v>25</v>
      </c>
      <c r="AQ929">
        <v>0</v>
      </c>
      <c r="AR929">
        <f>IF(SUM(ifood_data[[#This Row],[Kidhome]:[Teenhome]])&gt;0,1,0)</f>
        <v>1</v>
      </c>
      <c r="AS929" t="str">
        <f>IF(SUM(ifood_data[[#This Row],[Kidhome]:[Teenhome]])&gt;0,"Has Family","No Family")</f>
        <v>Has Family</v>
      </c>
      <c r="AT929" t="str">
        <f>IF(ifood_data[[#This Row],[marital_Married]]=1,"Married", (IF(ifood_data[[#This Row],[marital_Single]]=1,"Single",(IF(ifood_data[[#This Row],[marital_Divorced]]=1,"Divorced",(IF(ifood_data[[#This Row],[marital_Together]]=1,"Living Together",(IF(ifood_data[[#This Row],[marital_Widow]]=1,"Widow","Other")))))))))</f>
        <v>Married</v>
      </c>
      <c r="AU929" t="str">
        <f>IF(ifood_data[[#This Row],[education_Basic]]=1,"High School",(IF(ifood_data[[#This Row],[education_Graduation]]=1,"Undergraduate Degree",(IF(SUM(AM929,AL929,AI929)&gt;0,"Master's Degree or Higher","Other")))))</f>
        <v>Undergraduate Degree</v>
      </c>
      <c r="AV929" t="str">
        <f>IF(ifood_data[[#All],[Income]]&gt;75000,"75K+",(IF(ifood_data[[#All],[Income]]&gt;50000,"50K-75K",(IF(ifood_data[[#All],[Income]]&gt;35000,"35K-50K","&lt;35K")))))</f>
        <v>50K-75K</v>
      </c>
      <c r="AW929" t="str">
        <f>IF(ifood_data[[#All],[Age]]&gt;60,"60+",(IF(ifood_data[[#All],[Age]]&gt;50,"50-60",(IF(ifood_data[[#All],[Age]]&gt;40,"40-50",(IF(ifood_data[[#All],[Age]]&gt;30,"30-40","&lt;30")))))))</f>
        <v>30-40</v>
      </c>
      <c r="AX929">
        <f t="shared" si="56"/>
        <v>20</v>
      </c>
      <c r="AY929">
        <f t="shared" si="57"/>
        <v>10</v>
      </c>
      <c r="AZ929">
        <f t="shared" si="58"/>
        <v>4</v>
      </c>
      <c r="BA929">
        <f t="shared" si="59"/>
        <v>5</v>
      </c>
      <c r="BB929">
        <f>SUM(ifood_data[[#This Row],[Recency Score]:[Monetary Score]])</f>
        <v>19</v>
      </c>
      <c r="BC929">
        <f>(_xlfn.PERCENTRANK.INC(ifood_data[[#All],[RFM]],ifood_data[[#This Row],[RFM]],1))*10</f>
        <v>7</v>
      </c>
      <c r="BD929" t="str">
        <f>VLOOKUP(ifood_data[[#This Row],[RFM Score]],'RFM Analysis'!$A$3:$B$14,2,FALSE)</f>
        <v>Loyal Customer</v>
      </c>
      <c r="BE929">
        <f>'Regression Models'!$B$101+'Regression Models'!$B$102*ifood_data[[#This Row],[Income]]+'Regression Models'!$B$103*ifood_data[[#This Row],[Age]]+'Regression Models'!$B$104*ifood_data[[#This Row],[Family]]</f>
        <v>559.81353284972636</v>
      </c>
      <c r="BF929" t="str">
        <f>IF(ifood_data[[#This Row],[AcceptedCmpOverall]]=1,"Campaign Respondent","Non-respondent")</f>
        <v>Non-respondent</v>
      </c>
    </row>
    <row r="930" spans="1:58" x14ac:dyDescent="0.35">
      <c r="A930">
        <v>1700</v>
      </c>
      <c r="B930">
        <v>54006</v>
      </c>
      <c r="C930">
        <v>1</v>
      </c>
      <c r="D930">
        <v>0</v>
      </c>
      <c r="E930">
        <v>42</v>
      </c>
      <c r="F930">
        <v>174</v>
      </c>
      <c r="G930">
        <v>77</v>
      </c>
      <c r="H930">
        <v>203</v>
      </c>
      <c r="I930">
        <v>6</v>
      </c>
      <c r="J930">
        <v>24</v>
      </c>
      <c r="K930">
        <v>97</v>
      </c>
      <c r="L930">
        <v>2</v>
      </c>
      <c r="M930">
        <v>8</v>
      </c>
      <c r="N930">
        <v>1</v>
      </c>
      <c r="O930">
        <v>7</v>
      </c>
      <c r="P930">
        <v>7</v>
      </c>
      <c r="Q930">
        <v>0</v>
      </c>
      <c r="R930">
        <v>0</v>
      </c>
      <c r="S930">
        <v>0</v>
      </c>
      <c r="T930">
        <v>0</v>
      </c>
      <c r="U930">
        <v>0</v>
      </c>
      <c r="V930">
        <f>IF(SUM(ifood_data[[#This Row],[AcceptedCmp1]:[AcceptedCmp5]])&gt;0,1,0)</f>
        <v>0</v>
      </c>
      <c r="W930">
        <v>0</v>
      </c>
      <c r="X930">
        <v>3</v>
      </c>
      <c r="Y930">
        <v>11</v>
      </c>
      <c r="Z930">
        <v>0</v>
      </c>
      <c r="AA930">
        <v>35</v>
      </c>
      <c r="AB930">
        <v>2808</v>
      </c>
      <c r="AC930" s="28">
        <f>ifood_data[[#This Row],[Customer_Days]]/365</f>
        <v>7.6931506849315072</v>
      </c>
      <c r="AD930">
        <v>0</v>
      </c>
      <c r="AE930">
        <v>0</v>
      </c>
      <c r="AF930">
        <v>0</v>
      </c>
      <c r="AG930">
        <v>1</v>
      </c>
      <c r="AH930">
        <v>0</v>
      </c>
      <c r="AI930">
        <v>0</v>
      </c>
      <c r="AJ930">
        <v>0</v>
      </c>
      <c r="AK930">
        <v>1</v>
      </c>
      <c r="AL930">
        <v>0</v>
      </c>
      <c r="AM930">
        <v>0</v>
      </c>
      <c r="AN930">
        <v>484</v>
      </c>
      <c r="AO930">
        <v>387</v>
      </c>
      <c r="AP930">
        <f>ifood_data[[#This Row],[MntTotal]]-ifood_data[[#This Row],[MntRegularProds]]</f>
        <v>97</v>
      </c>
      <c r="AQ930">
        <v>0</v>
      </c>
      <c r="AR930">
        <f>IF(SUM(ifood_data[[#This Row],[Kidhome]:[Teenhome]])&gt;0,1,0)</f>
        <v>1</v>
      </c>
      <c r="AS930" t="str">
        <f>IF(SUM(ifood_data[[#This Row],[Kidhome]:[Teenhome]])&gt;0,"Has Family","No Family")</f>
        <v>Has Family</v>
      </c>
      <c r="AT930" t="str">
        <f>IF(ifood_data[[#This Row],[marital_Married]]=1,"Married", (IF(ifood_data[[#This Row],[marital_Single]]=1,"Single",(IF(ifood_data[[#This Row],[marital_Divorced]]=1,"Divorced",(IF(ifood_data[[#This Row],[marital_Together]]=1,"Living Together",(IF(ifood_data[[#This Row],[marital_Widow]]=1,"Widow","Other")))))))))</f>
        <v>Living Together</v>
      </c>
      <c r="AU930" t="str">
        <f>IF(ifood_data[[#This Row],[education_Basic]]=1,"High School",(IF(ifood_data[[#This Row],[education_Graduation]]=1,"Undergraduate Degree",(IF(SUM(AM930,AL930,AI930)&gt;0,"Master's Degree or Higher","Other")))))</f>
        <v>Undergraduate Degree</v>
      </c>
      <c r="AV930" t="str">
        <f>IF(ifood_data[[#All],[Income]]&gt;75000,"75K+",(IF(ifood_data[[#All],[Income]]&gt;50000,"50K-75K",(IF(ifood_data[[#All],[Income]]&gt;35000,"35K-50K","&lt;35K")))))</f>
        <v>50K-75K</v>
      </c>
      <c r="AW930" t="str">
        <f>IF(ifood_data[[#All],[Age]]&gt;60,"60+",(IF(ifood_data[[#All],[Age]]&gt;50,"50-60",(IF(ifood_data[[#All],[Age]]&gt;40,"40-50",(IF(ifood_data[[#All],[Age]]&gt;30,"30-40","&lt;30")))))))</f>
        <v>30-40</v>
      </c>
      <c r="AX930">
        <f t="shared" si="56"/>
        <v>25</v>
      </c>
      <c r="AY930">
        <f t="shared" si="57"/>
        <v>6</v>
      </c>
      <c r="AZ930">
        <f t="shared" si="58"/>
        <v>7</v>
      </c>
      <c r="BA930">
        <f t="shared" si="59"/>
        <v>5</v>
      </c>
      <c r="BB930">
        <f>SUM(ifood_data[[#This Row],[Recency Score]:[Monetary Score]])</f>
        <v>18</v>
      </c>
      <c r="BC930">
        <f>(_xlfn.PERCENTRANK.INC(ifood_data[[#All],[RFM]],ifood_data[[#This Row],[RFM]],1))*10</f>
        <v>6</v>
      </c>
      <c r="BD930" t="str">
        <f>VLOOKUP(ifood_data[[#This Row],[RFM Score]],'RFM Analysis'!$A$3:$B$14,2,FALSE)</f>
        <v>Promising</v>
      </c>
      <c r="BE930">
        <f>'Regression Models'!$B$101+'Regression Models'!$B$102*ifood_data[[#This Row],[Income]]+'Regression Models'!$B$103*ifood_data[[#This Row],[Age]]+'Regression Models'!$B$104*ifood_data[[#This Row],[Family]]</f>
        <v>559.41155727062198</v>
      </c>
      <c r="BF930" t="str">
        <f>IF(ifood_data[[#This Row],[AcceptedCmpOverall]]=1,"Campaign Respondent","Non-respondent")</f>
        <v>Non-respondent</v>
      </c>
    </row>
    <row r="931" spans="1:58" x14ac:dyDescent="0.35">
      <c r="A931">
        <v>890</v>
      </c>
      <c r="B931">
        <v>56067</v>
      </c>
      <c r="C931">
        <v>0</v>
      </c>
      <c r="D931">
        <v>1</v>
      </c>
      <c r="E931">
        <v>51</v>
      </c>
      <c r="F931">
        <v>517</v>
      </c>
      <c r="G931">
        <v>12</v>
      </c>
      <c r="H931">
        <v>54</v>
      </c>
      <c r="I931">
        <v>16</v>
      </c>
      <c r="J931">
        <v>6</v>
      </c>
      <c r="K931">
        <v>120</v>
      </c>
      <c r="L931">
        <v>2</v>
      </c>
      <c r="M931">
        <v>7</v>
      </c>
      <c r="N931">
        <v>4</v>
      </c>
      <c r="O931">
        <v>7</v>
      </c>
      <c r="P931">
        <v>5</v>
      </c>
      <c r="Q931">
        <v>0</v>
      </c>
      <c r="R931">
        <v>0</v>
      </c>
      <c r="S931">
        <v>0</v>
      </c>
      <c r="T931">
        <v>0</v>
      </c>
      <c r="U931">
        <v>0</v>
      </c>
      <c r="V931">
        <f>IF(SUM(ifood_data[[#This Row],[AcceptedCmp1]:[AcceptedCmp5]])&gt;0,1,0)</f>
        <v>0</v>
      </c>
      <c r="W931">
        <v>0</v>
      </c>
      <c r="X931">
        <v>3</v>
      </c>
      <c r="Y931">
        <v>11</v>
      </c>
      <c r="Z931">
        <v>0</v>
      </c>
      <c r="AA931">
        <v>58</v>
      </c>
      <c r="AB931">
        <v>2503</v>
      </c>
      <c r="AC931" s="28">
        <f>ifood_data[[#This Row],[Customer_Days]]/365</f>
        <v>6.8575342465753426</v>
      </c>
      <c r="AD931">
        <v>0</v>
      </c>
      <c r="AE931">
        <v>0</v>
      </c>
      <c r="AF931">
        <v>0</v>
      </c>
      <c r="AG931">
        <v>1</v>
      </c>
      <c r="AH931">
        <v>0</v>
      </c>
      <c r="AI931">
        <v>0</v>
      </c>
      <c r="AJ931">
        <v>0</v>
      </c>
      <c r="AK931">
        <v>0</v>
      </c>
      <c r="AL931">
        <v>0</v>
      </c>
      <c r="AM931">
        <v>1</v>
      </c>
      <c r="AN931">
        <v>605</v>
      </c>
      <c r="AO931">
        <v>485</v>
      </c>
      <c r="AP931">
        <f>ifood_data[[#This Row],[MntTotal]]-ifood_data[[#This Row],[MntRegularProds]]</f>
        <v>120</v>
      </c>
      <c r="AQ931">
        <v>0</v>
      </c>
      <c r="AR931">
        <f>IF(SUM(ifood_data[[#This Row],[Kidhome]:[Teenhome]])&gt;0,1,0)</f>
        <v>1</v>
      </c>
      <c r="AS931" t="str">
        <f>IF(SUM(ifood_data[[#This Row],[Kidhome]:[Teenhome]])&gt;0,"Has Family","No Family")</f>
        <v>Has Family</v>
      </c>
      <c r="AT931" t="str">
        <f>IF(ifood_data[[#This Row],[marital_Married]]=1,"Married", (IF(ifood_data[[#This Row],[marital_Single]]=1,"Single",(IF(ifood_data[[#This Row],[marital_Divorced]]=1,"Divorced",(IF(ifood_data[[#This Row],[marital_Together]]=1,"Living Together",(IF(ifood_data[[#This Row],[marital_Widow]]=1,"Widow","Other")))))))))</f>
        <v>Living Together</v>
      </c>
      <c r="AU931" t="str">
        <f>IF(ifood_data[[#This Row],[education_Basic]]=1,"High School",(IF(ifood_data[[#This Row],[education_Graduation]]=1,"Undergraduate Degree",(IF(SUM(AM931,AL931,AI931)&gt;0,"Master's Degree or Higher","Other")))))</f>
        <v>Master's Degree or Higher</v>
      </c>
      <c r="AV931" t="str">
        <f>IF(ifood_data[[#All],[Income]]&gt;75000,"75K+",(IF(ifood_data[[#All],[Income]]&gt;50000,"50K-75K",(IF(ifood_data[[#All],[Income]]&gt;35000,"35K-50K","&lt;35K")))))</f>
        <v>50K-75K</v>
      </c>
      <c r="AW931" t="str">
        <f>IF(ifood_data[[#All],[Age]]&gt;60,"60+",(IF(ifood_data[[#All],[Age]]&gt;50,"50-60",(IF(ifood_data[[#All],[Age]]&gt;40,"40-50",(IF(ifood_data[[#All],[Age]]&gt;30,"30-40","&lt;30")))))))</f>
        <v>50-60</v>
      </c>
      <c r="AX931">
        <f t="shared" si="56"/>
        <v>25</v>
      </c>
      <c r="AY931">
        <f t="shared" si="57"/>
        <v>5</v>
      </c>
      <c r="AZ931">
        <f t="shared" si="58"/>
        <v>7</v>
      </c>
      <c r="BA931">
        <f t="shared" si="59"/>
        <v>6</v>
      </c>
      <c r="BB931">
        <f>SUM(ifood_data[[#This Row],[Recency Score]:[Monetary Score]])</f>
        <v>18</v>
      </c>
      <c r="BC931">
        <f>(_xlfn.PERCENTRANK.INC(ifood_data[[#All],[RFM]],ifood_data[[#This Row],[RFM]],1))*10</f>
        <v>6</v>
      </c>
      <c r="BD931" t="str">
        <f>VLOOKUP(ifood_data[[#This Row],[RFM Score]],'RFM Analysis'!$A$3:$B$14,2,FALSE)</f>
        <v>Promising</v>
      </c>
      <c r="BE931">
        <f>'Regression Models'!$B$101+'Regression Models'!$B$102*ifood_data[[#This Row],[Income]]+'Regression Models'!$B$103*ifood_data[[#This Row],[Age]]+'Regression Models'!$B$104*ifood_data[[#This Row],[Family]]</f>
        <v>559.19470960062938</v>
      </c>
      <c r="BF931" t="str">
        <f>IF(ifood_data[[#This Row],[AcceptedCmpOverall]]=1,"Campaign Respondent","Non-respondent")</f>
        <v>Non-respondent</v>
      </c>
    </row>
    <row r="932" spans="1:58" x14ac:dyDescent="0.35">
      <c r="A932">
        <v>887</v>
      </c>
      <c r="B932">
        <v>55239</v>
      </c>
      <c r="C932">
        <v>0</v>
      </c>
      <c r="D932">
        <v>1</v>
      </c>
      <c r="E932">
        <v>59</v>
      </c>
      <c r="F932">
        <v>371</v>
      </c>
      <c r="G932">
        <v>17</v>
      </c>
      <c r="H932">
        <v>238</v>
      </c>
      <c r="I932">
        <v>23</v>
      </c>
      <c r="J932">
        <v>24</v>
      </c>
      <c r="K932">
        <v>106</v>
      </c>
      <c r="L932">
        <v>3</v>
      </c>
      <c r="M932">
        <v>7</v>
      </c>
      <c r="N932">
        <v>5</v>
      </c>
      <c r="O932">
        <v>11</v>
      </c>
      <c r="P932">
        <v>5</v>
      </c>
      <c r="Q932">
        <v>0</v>
      </c>
      <c r="R932">
        <v>0</v>
      </c>
      <c r="S932">
        <v>0</v>
      </c>
      <c r="T932">
        <v>0</v>
      </c>
      <c r="U932">
        <v>0</v>
      </c>
      <c r="V932">
        <f>IF(SUM(ifood_data[[#This Row],[AcceptedCmp1]:[AcceptedCmp5]])&gt;0,1,0)</f>
        <v>0</v>
      </c>
      <c r="W932">
        <v>0</v>
      </c>
      <c r="X932">
        <v>3</v>
      </c>
      <c r="Y932">
        <v>11</v>
      </c>
      <c r="Z932">
        <v>0</v>
      </c>
      <c r="AA932">
        <v>49</v>
      </c>
      <c r="AB932">
        <v>2509</v>
      </c>
      <c r="AC932" s="28">
        <f>ifood_data[[#This Row],[Customer_Days]]/365</f>
        <v>6.8739726027397259</v>
      </c>
      <c r="AD932">
        <v>0</v>
      </c>
      <c r="AE932">
        <v>0</v>
      </c>
      <c r="AF932">
        <v>1</v>
      </c>
      <c r="AG932">
        <v>0</v>
      </c>
      <c r="AH932">
        <v>0</v>
      </c>
      <c r="AI932">
        <v>0</v>
      </c>
      <c r="AJ932">
        <v>0</v>
      </c>
      <c r="AK932">
        <v>1</v>
      </c>
      <c r="AL932">
        <v>0</v>
      </c>
      <c r="AM932">
        <v>0</v>
      </c>
      <c r="AN932">
        <v>673</v>
      </c>
      <c r="AO932">
        <v>567</v>
      </c>
      <c r="AP932">
        <f>ifood_data[[#This Row],[MntTotal]]-ifood_data[[#This Row],[MntRegularProds]]</f>
        <v>106</v>
      </c>
      <c r="AQ932">
        <v>0</v>
      </c>
      <c r="AR932">
        <f>IF(SUM(ifood_data[[#This Row],[Kidhome]:[Teenhome]])&gt;0,1,0)</f>
        <v>1</v>
      </c>
      <c r="AS932" t="str">
        <f>IF(SUM(ifood_data[[#This Row],[Kidhome]:[Teenhome]])&gt;0,"Has Family","No Family")</f>
        <v>Has Family</v>
      </c>
      <c r="AT932" t="str">
        <f>IF(ifood_data[[#This Row],[marital_Married]]=1,"Married", (IF(ifood_data[[#This Row],[marital_Single]]=1,"Single",(IF(ifood_data[[#This Row],[marital_Divorced]]=1,"Divorced",(IF(ifood_data[[#This Row],[marital_Together]]=1,"Living Together",(IF(ifood_data[[#This Row],[marital_Widow]]=1,"Widow","Other")))))))))</f>
        <v>Single</v>
      </c>
      <c r="AU932" t="str">
        <f>IF(ifood_data[[#This Row],[education_Basic]]=1,"High School",(IF(ifood_data[[#This Row],[education_Graduation]]=1,"Undergraduate Degree",(IF(SUM(AM932,AL932,AI932)&gt;0,"Master's Degree or Higher","Other")))))</f>
        <v>Undergraduate Degree</v>
      </c>
      <c r="AV932" t="str">
        <f>IF(ifood_data[[#All],[Income]]&gt;75000,"75K+",(IF(ifood_data[[#All],[Income]]&gt;50000,"50K-75K",(IF(ifood_data[[#All],[Income]]&gt;35000,"35K-50K","&lt;35K")))))</f>
        <v>50K-75K</v>
      </c>
      <c r="AW932" t="str">
        <f>IF(ifood_data[[#All],[Age]]&gt;60,"60+",(IF(ifood_data[[#All],[Age]]&gt;50,"50-60",(IF(ifood_data[[#All],[Age]]&gt;40,"40-50",(IF(ifood_data[[#All],[Age]]&gt;30,"30-40","&lt;30")))))))</f>
        <v>40-50</v>
      </c>
      <c r="AX932">
        <f t="shared" si="56"/>
        <v>31</v>
      </c>
      <c r="AY932">
        <f t="shared" si="57"/>
        <v>4</v>
      </c>
      <c r="AZ932">
        <f t="shared" si="58"/>
        <v>9</v>
      </c>
      <c r="BA932">
        <f t="shared" si="59"/>
        <v>6</v>
      </c>
      <c r="BB932">
        <f>SUM(ifood_data[[#This Row],[Recency Score]:[Monetary Score]])</f>
        <v>19</v>
      </c>
      <c r="BC932">
        <f>(_xlfn.PERCENTRANK.INC(ifood_data[[#All],[RFM]],ifood_data[[#This Row],[RFM]],1))*10</f>
        <v>7</v>
      </c>
      <c r="BD932" t="str">
        <f>VLOOKUP(ifood_data[[#This Row],[RFM Score]],'RFM Analysis'!$A$3:$B$14,2,FALSE)</f>
        <v>Loyal Customer</v>
      </c>
      <c r="BE932">
        <f>'Regression Models'!$B$101+'Regression Models'!$B$102*ifood_data[[#This Row],[Income]]+'Regression Models'!$B$103*ifood_data[[#This Row],[Age]]+'Regression Models'!$B$104*ifood_data[[#This Row],[Family]]</f>
        <v>558.84076128752952</v>
      </c>
      <c r="BF932" t="str">
        <f>IF(ifood_data[[#This Row],[AcceptedCmpOverall]]=1,"Campaign Respondent","Non-respondent")</f>
        <v>Non-respondent</v>
      </c>
    </row>
    <row r="933" spans="1:58" x14ac:dyDescent="0.35">
      <c r="A933">
        <v>1798</v>
      </c>
      <c r="B933">
        <v>55686</v>
      </c>
      <c r="C933">
        <v>0</v>
      </c>
      <c r="D933">
        <v>1</v>
      </c>
      <c r="E933">
        <v>27</v>
      </c>
      <c r="F933">
        <v>673</v>
      </c>
      <c r="G933">
        <v>0</v>
      </c>
      <c r="H933">
        <v>199</v>
      </c>
      <c r="I933">
        <v>37</v>
      </c>
      <c r="J933">
        <v>47</v>
      </c>
      <c r="K933">
        <v>26</v>
      </c>
      <c r="L933">
        <v>2</v>
      </c>
      <c r="M933">
        <v>6</v>
      </c>
      <c r="N933">
        <v>3</v>
      </c>
      <c r="O933">
        <v>5</v>
      </c>
      <c r="P933">
        <v>4</v>
      </c>
      <c r="Q933">
        <v>0</v>
      </c>
      <c r="R933">
        <v>0</v>
      </c>
      <c r="S933">
        <v>1</v>
      </c>
      <c r="T933">
        <v>0</v>
      </c>
      <c r="U933">
        <v>0</v>
      </c>
      <c r="V933">
        <f>IF(SUM(ifood_data[[#This Row],[AcceptedCmp1]:[AcceptedCmp5]])&gt;0,1,0)</f>
        <v>1</v>
      </c>
      <c r="W933">
        <v>0</v>
      </c>
      <c r="X933">
        <v>3</v>
      </c>
      <c r="Y933">
        <v>11</v>
      </c>
      <c r="Z933">
        <v>0</v>
      </c>
      <c r="AA933">
        <v>54</v>
      </c>
      <c r="AB933">
        <v>2659</v>
      </c>
      <c r="AC933" s="28">
        <f>ifood_data[[#This Row],[Customer_Days]]/365</f>
        <v>7.2849315068493148</v>
      </c>
      <c r="AD933">
        <v>1</v>
      </c>
      <c r="AE933">
        <v>0</v>
      </c>
      <c r="AF933">
        <v>0</v>
      </c>
      <c r="AG933">
        <v>0</v>
      </c>
      <c r="AH933">
        <v>0</v>
      </c>
      <c r="AI933">
        <v>0</v>
      </c>
      <c r="AJ933">
        <v>0</v>
      </c>
      <c r="AK933">
        <v>1</v>
      </c>
      <c r="AL933">
        <v>0</v>
      </c>
      <c r="AM933">
        <v>0</v>
      </c>
      <c r="AN933">
        <v>956</v>
      </c>
      <c r="AO933">
        <v>930</v>
      </c>
      <c r="AP933">
        <f>ifood_data[[#This Row],[MntTotal]]-ifood_data[[#This Row],[MntRegularProds]]</f>
        <v>26</v>
      </c>
      <c r="AQ933">
        <v>1</v>
      </c>
      <c r="AR933">
        <f>IF(SUM(ifood_data[[#This Row],[Kidhome]:[Teenhome]])&gt;0,1,0)</f>
        <v>1</v>
      </c>
      <c r="AS933" t="str">
        <f>IF(SUM(ifood_data[[#This Row],[Kidhome]:[Teenhome]])&gt;0,"Has Family","No Family")</f>
        <v>Has Family</v>
      </c>
      <c r="AT933" t="str">
        <f>IF(ifood_data[[#This Row],[marital_Married]]=1,"Married", (IF(ifood_data[[#This Row],[marital_Single]]=1,"Single",(IF(ifood_data[[#This Row],[marital_Divorced]]=1,"Divorced",(IF(ifood_data[[#This Row],[marital_Together]]=1,"Living Together",(IF(ifood_data[[#This Row],[marital_Widow]]=1,"Widow","Other")))))))))</f>
        <v>Divorced</v>
      </c>
      <c r="AU933" t="str">
        <f>IF(ifood_data[[#This Row],[education_Basic]]=1,"High School",(IF(ifood_data[[#This Row],[education_Graduation]]=1,"Undergraduate Degree",(IF(SUM(AM933,AL933,AI933)&gt;0,"Master's Degree or Higher","Other")))))</f>
        <v>Undergraduate Degree</v>
      </c>
      <c r="AV933" t="str">
        <f>IF(ifood_data[[#All],[Income]]&gt;75000,"75K+",(IF(ifood_data[[#All],[Income]]&gt;50000,"50K-75K",(IF(ifood_data[[#All],[Income]]&gt;35000,"35K-50K","&lt;35K")))))</f>
        <v>50K-75K</v>
      </c>
      <c r="AW933" t="str">
        <f>IF(ifood_data[[#All],[Age]]&gt;60,"60+",(IF(ifood_data[[#All],[Age]]&gt;50,"50-60",(IF(ifood_data[[#All],[Age]]&gt;40,"40-50",(IF(ifood_data[[#All],[Age]]&gt;30,"30-40","&lt;30")))))))</f>
        <v>50-60</v>
      </c>
      <c r="AX933">
        <f t="shared" si="56"/>
        <v>20</v>
      </c>
      <c r="AY933">
        <f t="shared" si="57"/>
        <v>8</v>
      </c>
      <c r="AZ933">
        <f t="shared" si="58"/>
        <v>4</v>
      </c>
      <c r="BA933">
        <f t="shared" si="59"/>
        <v>7</v>
      </c>
      <c r="BB933">
        <f>SUM(ifood_data[[#This Row],[Recency Score]:[Monetary Score]])</f>
        <v>19</v>
      </c>
      <c r="BC933">
        <f>(_xlfn.PERCENTRANK.INC(ifood_data[[#All],[RFM]],ifood_data[[#This Row],[RFM]],1))*10</f>
        <v>7</v>
      </c>
      <c r="BD933" t="str">
        <f>VLOOKUP(ifood_data[[#This Row],[RFM Score]],'RFM Analysis'!$A$3:$B$14,2,FALSE)</f>
        <v>Loyal Customer</v>
      </c>
      <c r="BE933">
        <f>'Regression Models'!$B$101+'Regression Models'!$B$102*ifood_data[[#This Row],[Income]]+'Regression Models'!$B$103*ifood_data[[#This Row],[Age]]+'Regression Models'!$B$104*ifood_data[[#This Row],[Family]]</f>
        <v>558.77234525338088</v>
      </c>
      <c r="BF933" t="str">
        <f>IF(ifood_data[[#This Row],[AcceptedCmpOverall]]=1,"Campaign Respondent","Non-respondent")</f>
        <v>Campaign Respondent</v>
      </c>
    </row>
    <row r="934" spans="1:58" x14ac:dyDescent="0.35">
      <c r="A934">
        <v>1566</v>
      </c>
      <c r="B934">
        <v>55012</v>
      </c>
      <c r="C934">
        <v>0</v>
      </c>
      <c r="D934">
        <v>1</v>
      </c>
      <c r="E934">
        <v>85</v>
      </c>
      <c r="F934">
        <v>582</v>
      </c>
      <c r="G934">
        <v>0</v>
      </c>
      <c r="H934">
        <v>65</v>
      </c>
      <c r="I934">
        <v>0</v>
      </c>
      <c r="J934">
        <v>0</v>
      </c>
      <c r="K934">
        <v>13</v>
      </c>
      <c r="L934">
        <v>6</v>
      </c>
      <c r="M934">
        <v>8</v>
      </c>
      <c r="N934">
        <v>2</v>
      </c>
      <c r="O934">
        <v>9</v>
      </c>
      <c r="P934">
        <v>5</v>
      </c>
      <c r="Q934">
        <v>0</v>
      </c>
      <c r="R934">
        <v>0</v>
      </c>
      <c r="S934">
        <v>0</v>
      </c>
      <c r="T934">
        <v>0</v>
      </c>
      <c r="U934">
        <v>0</v>
      </c>
      <c r="V934">
        <f>IF(SUM(ifood_data[[#This Row],[AcceptedCmp1]:[AcceptedCmp5]])&gt;0,1,0)</f>
        <v>0</v>
      </c>
      <c r="W934">
        <v>0</v>
      </c>
      <c r="X934">
        <v>3</v>
      </c>
      <c r="Y934">
        <v>11</v>
      </c>
      <c r="Z934">
        <v>0</v>
      </c>
      <c r="AA934">
        <v>47</v>
      </c>
      <c r="AB934">
        <v>2259</v>
      </c>
      <c r="AC934" s="28">
        <f>ifood_data[[#This Row],[Customer_Days]]/365</f>
        <v>6.1890410958904107</v>
      </c>
      <c r="AD934">
        <v>0</v>
      </c>
      <c r="AE934">
        <v>0</v>
      </c>
      <c r="AF934">
        <v>0</v>
      </c>
      <c r="AG934">
        <v>1</v>
      </c>
      <c r="AH934">
        <v>0</v>
      </c>
      <c r="AI934">
        <v>0</v>
      </c>
      <c r="AJ934">
        <v>0</v>
      </c>
      <c r="AK934">
        <v>0</v>
      </c>
      <c r="AL934">
        <v>0</v>
      </c>
      <c r="AM934">
        <v>1</v>
      </c>
      <c r="AN934">
        <v>647</v>
      </c>
      <c r="AO934">
        <v>634</v>
      </c>
      <c r="AP934">
        <f>ifood_data[[#This Row],[MntTotal]]-ifood_data[[#This Row],[MntRegularProds]]</f>
        <v>13</v>
      </c>
      <c r="AQ934">
        <v>0</v>
      </c>
      <c r="AR934">
        <f>IF(SUM(ifood_data[[#This Row],[Kidhome]:[Teenhome]])&gt;0,1,0)</f>
        <v>1</v>
      </c>
      <c r="AS934" t="str">
        <f>IF(SUM(ifood_data[[#This Row],[Kidhome]:[Teenhome]])&gt;0,"Has Family","No Family")</f>
        <v>Has Family</v>
      </c>
      <c r="AT934" t="str">
        <f>IF(ifood_data[[#This Row],[marital_Married]]=1,"Married", (IF(ifood_data[[#This Row],[marital_Single]]=1,"Single",(IF(ifood_data[[#This Row],[marital_Divorced]]=1,"Divorced",(IF(ifood_data[[#This Row],[marital_Together]]=1,"Living Together",(IF(ifood_data[[#This Row],[marital_Widow]]=1,"Widow","Other")))))))))</f>
        <v>Living Together</v>
      </c>
      <c r="AU934" t="str">
        <f>IF(ifood_data[[#This Row],[education_Basic]]=1,"High School",(IF(ifood_data[[#This Row],[education_Graduation]]=1,"Undergraduate Degree",(IF(SUM(AM934,AL934,AI934)&gt;0,"Master's Degree or Higher","Other")))))</f>
        <v>Master's Degree or Higher</v>
      </c>
      <c r="AV934" t="str">
        <f>IF(ifood_data[[#All],[Income]]&gt;75000,"75K+",(IF(ifood_data[[#All],[Income]]&gt;50000,"50K-75K",(IF(ifood_data[[#All],[Income]]&gt;35000,"35K-50K","&lt;35K")))))</f>
        <v>50K-75K</v>
      </c>
      <c r="AW934" t="str">
        <f>IF(ifood_data[[#All],[Age]]&gt;60,"60+",(IF(ifood_data[[#All],[Age]]&gt;50,"50-60",(IF(ifood_data[[#All],[Age]]&gt;40,"40-50",(IF(ifood_data[[#All],[Age]]&gt;30,"30-40","&lt;30")))))))</f>
        <v>40-50</v>
      </c>
      <c r="AX934">
        <f t="shared" si="56"/>
        <v>30</v>
      </c>
      <c r="AY934">
        <f t="shared" si="57"/>
        <v>1.9999999999999996</v>
      </c>
      <c r="AZ934">
        <f t="shared" si="58"/>
        <v>8</v>
      </c>
      <c r="BA934">
        <f t="shared" si="59"/>
        <v>6</v>
      </c>
      <c r="BB934">
        <f>SUM(ifood_data[[#This Row],[Recency Score]:[Monetary Score]])</f>
        <v>16</v>
      </c>
      <c r="BC934">
        <f>(_xlfn.PERCENTRANK.INC(ifood_data[[#All],[RFM]],ifood_data[[#This Row],[RFM]],1))*10</f>
        <v>5</v>
      </c>
      <c r="BD934" t="str">
        <f>VLOOKUP(ifood_data[[#This Row],[RFM Score]],'RFM Analysis'!$A$3:$B$14,2,FALSE)</f>
        <v>Promising</v>
      </c>
      <c r="BE934">
        <f>'Regression Models'!$B$101+'Regression Models'!$B$102*ifood_data[[#This Row],[Income]]+'Regression Models'!$B$103*ifood_data[[#This Row],[Age]]+'Regression Models'!$B$104*ifood_data[[#This Row],[Family]]</f>
        <v>557.88538907665304</v>
      </c>
      <c r="BF934" t="str">
        <f>IF(ifood_data[[#This Row],[AcceptedCmpOverall]]=1,"Campaign Respondent","Non-respondent")</f>
        <v>Non-respondent</v>
      </c>
    </row>
    <row r="935" spans="1:58" x14ac:dyDescent="0.35">
      <c r="A935">
        <v>615</v>
      </c>
      <c r="B935">
        <v>55282</v>
      </c>
      <c r="C935">
        <v>1</v>
      </c>
      <c r="D935">
        <v>0</v>
      </c>
      <c r="E935">
        <v>9</v>
      </c>
      <c r="F935">
        <v>125</v>
      </c>
      <c r="G935">
        <v>6</v>
      </c>
      <c r="H935">
        <v>73</v>
      </c>
      <c r="I935">
        <v>8</v>
      </c>
      <c r="J935">
        <v>4</v>
      </c>
      <c r="K935">
        <v>19</v>
      </c>
      <c r="L935">
        <v>1</v>
      </c>
      <c r="M935">
        <v>3</v>
      </c>
      <c r="N935">
        <v>1</v>
      </c>
      <c r="O935">
        <v>6</v>
      </c>
      <c r="P935">
        <v>4</v>
      </c>
      <c r="Q935">
        <v>0</v>
      </c>
      <c r="R935">
        <v>0</v>
      </c>
      <c r="S935">
        <v>0</v>
      </c>
      <c r="T935">
        <v>0</v>
      </c>
      <c r="U935">
        <v>0</v>
      </c>
      <c r="V935">
        <f>IF(SUM(ifood_data[[#This Row],[AcceptedCmp1]:[AcceptedCmp5]])&gt;0,1,0)</f>
        <v>0</v>
      </c>
      <c r="W935">
        <v>0</v>
      </c>
      <c r="X935">
        <v>3</v>
      </c>
      <c r="Y935">
        <v>11</v>
      </c>
      <c r="Z935">
        <v>0</v>
      </c>
      <c r="AA935">
        <v>50</v>
      </c>
      <c r="AB935">
        <v>2357</v>
      </c>
      <c r="AC935" s="28">
        <f>ifood_data[[#This Row],[Customer_Days]]/365</f>
        <v>6.4575342465753423</v>
      </c>
      <c r="AD935">
        <v>1</v>
      </c>
      <c r="AE935">
        <v>0</v>
      </c>
      <c r="AF935">
        <v>0</v>
      </c>
      <c r="AG935">
        <v>0</v>
      </c>
      <c r="AH935">
        <v>0</v>
      </c>
      <c r="AI935">
        <v>0</v>
      </c>
      <c r="AJ935">
        <v>0</v>
      </c>
      <c r="AK935">
        <v>0</v>
      </c>
      <c r="AL935">
        <v>1</v>
      </c>
      <c r="AM935">
        <v>0</v>
      </c>
      <c r="AN935">
        <v>216</v>
      </c>
      <c r="AO935">
        <v>197</v>
      </c>
      <c r="AP935">
        <f>ifood_data[[#This Row],[MntTotal]]-ifood_data[[#This Row],[MntRegularProds]]</f>
        <v>19</v>
      </c>
      <c r="AQ935">
        <v>0</v>
      </c>
      <c r="AR935">
        <f>IF(SUM(ifood_data[[#This Row],[Kidhome]:[Teenhome]])&gt;0,1,0)</f>
        <v>1</v>
      </c>
      <c r="AS935" t="str">
        <f>IF(SUM(ifood_data[[#This Row],[Kidhome]:[Teenhome]])&gt;0,"Has Family","No Family")</f>
        <v>Has Family</v>
      </c>
      <c r="AT935" t="str">
        <f>IF(ifood_data[[#This Row],[marital_Married]]=1,"Married", (IF(ifood_data[[#This Row],[marital_Single]]=1,"Single",(IF(ifood_data[[#This Row],[marital_Divorced]]=1,"Divorced",(IF(ifood_data[[#This Row],[marital_Together]]=1,"Living Together",(IF(ifood_data[[#This Row],[marital_Widow]]=1,"Widow","Other")))))))))</f>
        <v>Divorced</v>
      </c>
      <c r="AU935" t="str">
        <f>IF(ifood_data[[#This Row],[education_Basic]]=1,"High School",(IF(ifood_data[[#This Row],[education_Graduation]]=1,"Undergraduate Degree",(IF(SUM(AM935,AL935,AI935)&gt;0,"Master's Degree or Higher","Other")))))</f>
        <v>Master's Degree or Higher</v>
      </c>
      <c r="AV935" t="str">
        <f>IF(ifood_data[[#All],[Income]]&gt;75000,"75K+",(IF(ifood_data[[#All],[Income]]&gt;50000,"50K-75K",(IF(ifood_data[[#All],[Income]]&gt;35000,"35K-50K","&lt;35K")))))</f>
        <v>50K-75K</v>
      </c>
      <c r="AW935" t="str">
        <f>IF(ifood_data[[#All],[Age]]&gt;60,"60+",(IF(ifood_data[[#All],[Age]]&gt;50,"50-60",(IF(ifood_data[[#All],[Age]]&gt;40,"40-50",(IF(ifood_data[[#All],[Age]]&gt;30,"30-40","&lt;30")))))))</f>
        <v>40-50</v>
      </c>
      <c r="AX935">
        <f t="shared" si="56"/>
        <v>15</v>
      </c>
      <c r="AY935">
        <f t="shared" si="57"/>
        <v>10</v>
      </c>
      <c r="AZ935">
        <f t="shared" si="58"/>
        <v>2</v>
      </c>
      <c r="BA935">
        <f t="shared" si="59"/>
        <v>4</v>
      </c>
      <c r="BB935">
        <f>SUM(ifood_data[[#This Row],[Recency Score]:[Monetary Score]])</f>
        <v>16</v>
      </c>
      <c r="BC935">
        <f>(_xlfn.PERCENTRANK.INC(ifood_data[[#All],[RFM]],ifood_data[[#This Row],[RFM]],1))*10</f>
        <v>5</v>
      </c>
      <c r="BD935" t="str">
        <f>VLOOKUP(ifood_data[[#This Row],[RFM Score]],'RFM Analysis'!$A$3:$B$14,2,FALSE)</f>
        <v>Promising</v>
      </c>
      <c r="BE935">
        <f>'Regression Models'!$B$101+'Regression Models'!$B$102*ifood_data[[#This Row],[Income]]+'Regression Models'!$B$103*ifood_data[[#This Row],[Age]]+'Regression Models'!$B$104*ifood_data[[#This Row],[Family]]</f>
        <v>557.88103923882284</v>
      </c>
      <c r="BF935" t="str">
        <f>IF(ifood_data[[#This Row],[AcceptedCmpOverall]]=1,"Campaign Respondent","Non-respondent")</f>
        <v>Non-respondent</v>
      </c>
    </row>
    <row r="936" spans="1:58" x14ac:dyDescent="0.35">
      <c r="A936">
        <v>1315</v>
      </c>
      <c r="B936">
        <v>57045</v>
      </c>
      <c r="C936">
        <v>0</v>
      </c>
      <c r="D936">
        <v>1</v>
      </c>
      <c r="E936">
        <v>40</v>
      </c>
      <c r="F936">
        <v>296</v>
      </c>
      <c r="G936">
        <v>13</v>
      </c>
      <c r="H936">
        <v>104</v>
      </c>
      <c r="I936">
        <v>11</v>
      </c>
      <c r="J936">
        <v>13</v>
      </c>
      <c r="K936">
        <v>17</v>
      </c>
      <c r="L936">
        <v>3</v>
      </c>
      <c r="M936">
        <v>4</v>
      </c>
      <c r="N936">
        <v>2</v>
      </c>
      <c r="O936">
        <v>9</v>
      </c>
      <c r="P936">
        <v>3</v>
      </c>
      <c r="Q936">
        <v>0</v>
      </c>
      <c r="R936">
        <v>0</v>
      </c>
      <c r="S936">
        <v>0</v>
      </c>
      <c r="T936">
        <v>0</v>
      </c>
      <c r="U936">
        <v>0</v>
      </c>
      <c r="V936">
        <f>IF(SUM(ifood_data[[#This Row],[AcceptedCmp1]:[AcceptedCmp5]])&gt;0,1,0)</f>
        <v>0</v>
      </c>
      <c r="W936">
        <v>0</v>
      </c>
      <c r="X936">
        <v>3</v>
      </c>
      <c r="Y936">
        <v>11</v>
      </c>
      <c r="Z936">
        <v>0</v>
      </c>
      <c r="AA936">
        <v>70</v>
      </c>
      <c r="AB936">
        <v>2818</v>
      </c>
      <c r="AC936" s="28">
        <f>ifood_data[[#This Row],[Customer_Days]]/365</f>
        <v>7.720547945205479</v>
      </c>
      <c r="AD936">
        <v>0</v>
      </c>
      <c r="AE936">
        <v>1</v>
      </c>
      <c r="AF936">
        <v>0</v>
      </c>
      <c r="AG936">
        <v>0</v>
      </c>
      <c r="AH936">
        <v>0</v>
      </c>
      <c r="AI936">
        <v>0</v>
      </c>
      <c r="AJ936">
        <v>0</v>
      </c>
      <c r="AK936">
        <v>1</v>
      </c>
      <c r="AL936">
        <v>0</v>
      </c>
      <c r="AM936">
        <v>0</v>
      </c>
      <c r="AN936">
        <v>437</v>
      </c>
      <c r="AO936">
        <v>420</v>
      </c>
      <c r="AP936">
        <f>ifood_data[[#This Row],[MntTotal]]-ifood_data[[#This Row],[MntRegularProds]]</f>
        <v>17</v>
      </c>
      <c r="AQ936">
        <v>0</v>
      </c>
      <c r="AR936">
        <f>IF(SUM(ifood_data[[#This Row],[Kidhome]:[Teenhome]])&gt;0,1,0)</f>
        <v>1</v>
      </c>
      <c r="AS936" t="str">
        <f>IF(SUM(ifood_data[[#This Row],[Kidhome]:[Teenhome]])&gt;0,"Has Family","No Family")</f>
        <v>Has Family</v>
      </c>
      <c r="AT936" t="str">
        <f>IF(ifood_data[[#This Row],[marital_Married]]=1,"Married", (IF(ifood_data[[#This Row],[marital_Single]]=1,"Single",(IF(ifood_data[[#This Row],[marital_Divorced]]=1,"Divorced",(IF(ifood_data[[#This Row],[marital_Together]]=1,"Living Together",(IF(ifood_data[[#This Row],[marital_Widow]]=1,"Widow","Other")))))))))</f>
        <v>Married</v>
      </c>
      <c r="AU936" t="str">
        <f>IF(ifood_data[[#This Row],[education_Basic]]=1,"High School",(IF(ifood_data[[#This Row],[education_Graduation]]=1,"Undergraduate Degree",(IF(SUM(AM936,AL936,AI936)&gt;0,"Master's Degree or Higher","Other")))))</f>
        <v>Undergraduate Degree</v>
      </c>
      <c r="AV936" t="str">
        <f>IF(ifood_data[[#All],[Income]]&gt;75000,"75K+",(IF(ifood_data[[#All],[Income]]&gt;50000,"50K-75K",(IF(ifood_data[[#All],[Income]]&gt;35000,"35K-50K","&lt;35K")))))</f>
        <v>50K-75K</v>
      </c>
      <c r="AW936" t="str">
        <f>IF(ifood_data[[#All],[Age]]&gt;60,"60+",(IF(ifood_data[[#All],[Age]]&gt;50,"50-60",(IF(ifood_data[[#All],[Age]]&gt;40,"40-50",(IF(ifood_data[[#All],[Age]]&gt;30,"30-40","&lt;30")))))))</f>
        <v>60+</v>
      </c>
      <c r="AX936">
        <f t="shared" si="56"/>
        <v>21</v>
      </c>
      <c r="AY936">
        <f t="shared" si="57"/>
        <v>6</v>
      </c>
      <c r="AZ936">
        <f t="shared" si="58"/>
        <v>5</v>
      </c>
      <c r="BA936">
        <f t="shared" si="59"/>
        <v>5</v>
      </c>
      <c r="BB936">
        <f>SUM(ifood_data[[#This Row],[Recency Score]:[Monetary Score]])</f>
        <v>16</v>
      </c>
      <c r="BC936">
        <f>(_xlfn.PERCENTRANK.INC(ifood_data[[#All],[RFM]],ifood_data[[#This Row],[RFM]],1))*10</f>
        <v>5</v>
      </c>
      <c r="BD936" t="str">
        <f>VLOOKUP(ifood_data[[#This Row],[RFM Score]],'RFM Analysis'!$A$3:$B$14,2,FALSE)</f>
        <v>Promising</v>
      </c>
      <c r="BE936">
        <f>'Regression Models'!$B$101+'Regression Models'!$B$102*ifood_data[[#This Row],[Income]]+'Regression Models'!$B$103*ifood_data[[#This Row],[Age]]+'Regression Models'!$B$104*ifood_data[[#This Row],[Family]]</f>
        <v>557.09765589863116</v>
      </c>
      <c r="BF936" t="str">
        <f>IF(ifood_data[[#This Row],[AcceptedCmpOverall]]=1,"Campaign Respondent","Non-respondent")</f>
        <v>Non-respondent</v>
      </c>
    </row>
    <row r="937" spans="1:58" x14ac:dyDescent="0.35">
      <c r="A937">
        <v>1600</v>
      </c>
      <c r="B937">
        <v>55761</v>
      </c>
      <c r="C937">
        <v>0</v>
      </c>
      <c r="D937">
        <v>1</v>
      </c>
      <c r="E937">
        <v>97</v>
      </c>
      <c r="F937">
        <v>136</v>
      </c>
      <c r="G937">
        <v>1</v>
      </c>
      <c r="H937">
        <v>12</v>
      </c>
      <c r="I937">
        <v>0</v>
      </c>
      <c r="J937">
        <v>3</v>
      </c>
      <c r="K937">
        <v>32</v>
      </c>
      <c r="L937">
        <v>2</v>
      </c>
      <c r="M937">
        <v>4</v>
      </c>
      <c r="N937">
        <v>1</v>
      </c>
      <c r="O937">
        <v>3</v>
      </c>
      <c r="P937">
        <v>6</v>
      </c>
      <c r="Q937">
        <v>0</v>
      </c>
      <c r="R937">
        <v>0</v>
      </c>
      <c r="S937">
        <v>0</v>
      </c>
      <c r="T937">
        <v>1</v>
      </c>
      <c r="U937">
        <v>0</v>
      </c>
      <c r="V937">
        <f>IF(SUM(ifood_data[[#This Row],[AcceptedCmp1]:[AcceptedCmp5]])&gt;0,1,0)</f>
        <v>1</v>
      </c>
      <c r="W937">
        <v>0</v>
      </c>
      <c r="X937">
        <v>3</v>
      </c>
      <c r="Y937">
        <v>11</v>
      </c>
      <c r="Z937">
        <v>0</v>
      </c>
      <c r="AA937">
        <v>56</v>
      </c>
      <c r="AB937">
        <v>2225</v>
      </c>
      <c r="AC937" s="28">
        <f>ifood_data[[#This Row],[Customer_Days]]/365</f>
        <v>6.095890410958904</v>
      </c>
      <c r="AD937">
        <v>0</v>
      </c>
      <c r="AE937">
        <v>0</v>
      </c>
      <c r="AF937">
        <v>0</v>
      </c>
      <c r="AG937">
        <v>1</v>
      </c>
      <c r="AH937">
        <v>0</v>
      </c>
      <c r="AI937">
        <v>0</v>
      </c>
      <c r="AJ937">
        <v>0</v>
      </c>
      <c r="AK937">
        <v>1</v>
      </c>
      <c r="AL937">
        <v>0</v>
      </c>
      <c r="AM937">
        <v>0</v>
      </c>
      <c r="AN937">
        <v>152</v>
      </c>
      <c r="AO937">
        <v>120</v>
      </c>
      <c r="AP937">
        <f>ifood_data[[#This Row],[MntTotal]]-ifood_data[[#This Row],[MntRegularProds]]</f>
        <v>32</v>
      </c>
      <c r="AQ937">
        <v>1</v>
      </c>
      <c r="AR937">
        <f>IF(SUM(ifood_data[[#This Row],[Kidhome]:[Teenhome]])&gt;0,1,0)</f>
        <v>1</v>
      </c>
      <c r="AS937" t="str">
        <f>IF(SUM(ifood_data[[#This Row],[Kidhome]:[Teenhome]])&gt;0,"Has Family","No Family")</f>
        <v>Has Family</v>
      </c>
      <c r="AT937" t="str">
        <f>IF(ifood_data[[#This Row],[marital_Married]]=1,"Married", (IF(ifood_data[[#This Row],[marital_Single]]=1,"Single",(IF(ifood_data[[#This Row],[marital_Divorced]]=1,"Divorced",(IF(ifood_data[[#This Row],[marital_Together]]=1,"Living Together",(IF(ifood_data[[#This Row],[marital_Widow]]=1,"Widow","Other")))))))))</f>
        <v>Living Together</v>
      </c>
      <c r="AU937" t="str">
        <f>IF(ifood_data[[#This Row],[education_Basic]]=1,"High School",(IF(ifood_data[[#This Row],[education_Graduation]]=1,"Undergraduate Degree",(IF(SUM(AM937,AL937,AI937)&gt;0,"Master's Degree or Higher","Other")))))</f>
        <v>Undergraduate Degree</v>
      </c>
      <c r="AV937" t="str">
        <f>IF(ifood_data[[#All],[Income]]&gt;75000,"75K+",(IF(ifood_data[[#All],[Income]]&gt;50000,"50K-75K",(IF(ifood_data[[#All],[Income]]&gt;35000,"35K-50K","&lt;35K")))))</f>
        <v>50K-75K</v>
      </c>
      <c r="AW937" t="str">
        <f>IF(ifood_data[[#All],[Age]]&gt;60,"60+",(IF(ifood_data[[#All],[Age]]&gt;50,"50-60",(IF(ifood_data[[#All],[Age]]&gt;40,"40-50",(IF(ifood_data[[#All],[Age]]&gt;30,"30-40","&lt;30")))))))</f>
        <v>50-60</v>
      </c>
      <c r="AX937">
        <f t="shared" si="56"/>
        <v>16</v>
      </c>
      <c r="AY937">
        <f t="shared" si="57"/>
        <v>0.99999999999999978</v>
      </c>
      <c r="AZ937">
        <f t="shared" si="58"/>
        <v>3</v>
      </c>
      <c r="BA937">
        <f t="shared" si="59"/>
        <v>3</v>
      </c>
      <c r="BB937">
        <f>SUM(ifood_data[[#This Row],[Recency Score]:[Monetary Score]])</f>
        <v>7</v>
      </c>
      <c r="BC937">
        <f>(_xlfn.PERCENTRANK.INC(ifood_data[[#All],[RFM]],ifood_data[[#This Row],[RFM]],1))*10</f>
        <v>1</v>
      </c>
      <c r="BD937" t="str">
        <f>VLOOKUP(ifood_data[[#This Row],[RFM Score]],'RFM Analysis'!$A$3:$B$14,2,FALSE)</f>
        <v>At Risk</v>
      </c>
      <c r="BE937">
        <f>'Regression Models'!$B$101+'Regression Models'!$B$102*ifood_data[[#This Row],[Income]]+'Regression Models'!$B$103*ifood_data[[#This Row],[Age]]+'Regression Models'!$B$104*ifood_data[[#This Row],[Family]]</f>
        <v>556.62862470638481</v>
      </c>
      <c r="BF937" t="str">
        <f>IF(ifood_data[[#This Row],[AcceptedCmpOverall]]=1,"Campaign Respondent","Non-respondent")</f>
        <v>Campaign Respondent</v>
      </c>
    </row>
    <row r="938" spans="1:58" x14ac:dyDescent="0.35">
      <c r="A938">
        <v>1157</v>
      </c>
      <c r="B938">
        <v>54730</v>
      </c>
      <c r="C938">
        <v>0</v>
      </c>
      <c r="D938">
        <v>1</v>
      </c>
      <c r="E938">
        <v>64</v>
      </c>
      <c r="F938">
        <v>318</v>
      </c>
      <c r="G938">
        <v>3</v>
      </c>
      <c r="H938">
        <v>17</v>
      </c>
      <c r="I938">
        <v>4</v>
      </c>
      <c r="J938">
        <v>7</v>
      </c>
      <c r="K938">
        <v>56</v>
      </c>
      <c r="L938">
        <v>5</v>
      </c>
      <c r="M938">
        <v>4</v>
      </c>
      <c r="N938">
        <v>1</v>
      </c>
      <c r="O938">
        <v>8</v>
      </c>
      <c r="P938">
        <v>4</v>
      </c>
      <c r="Q938">
        <v>0</v>
      </c>
      <c r="R938">
        <v>0</v>
      </c>
      <c r="S938">
        <v>0</v>
      </c>
      <c r="T938">
        <v>0</v>
      </c>
      <c r="U938">
        <v>0</v>
      </c>
      <c r="V938">
        <f>IF(SUM(ifood_data[[#This Row],[AcceptedCmp1]:[AcceptedCmp5]])&gt;0,1,0)</f>
        <v>0</v>
      </c>
      <c r="W938">
        <v>0</v>
      </c>
      <c r="X938">
        <v>3</v>
      </c>
      <c r="Y938">
        <v>11</v>
      </c>
      <c r="Z938">
        <v>0</v>
      </c>
      <c r="AA938">
        <v>45</v>
      </c>
      <c r="AB938">
        <v>2477</v>
      </c>
      <c r="AC938" s="28">
        <f>ifood_data[[#This Row],[Customer_Days]]/365</f>
        <v>6.7863013698630139</v>
      </c>
      <c r="AD938">
        <v>0</v>
      </c>
      <c r="AE938">
        <v>1</v>
      </c>
      <c r="AF938">
        <v>0</v>
      </c>
      <c r="AG938">
        <v>0</v>
      </c>
      <c r="AH938">
        <v>0</v>
      </c>
      <c r="AI938">
        <v>0</v>
      </c>
      <c r="AJ938">
        <v>0</v>
      </c>
      <c r="AK938">
        <v>0</v>
      </c>
      <c r="AL938">
        <v>1</v>
      </c>
      <c r="AM938">
        <v>0</v>
      </c>
      <c r="AN938">
        <v>349</v>
      </c>
      <c r="AO938">
        <v>293</v>
      </c>
      <c r="AP938">
        <f>ifood_data[[#This Row],[MntTotal]]-ifood_data[[#This Row],[MntRegularProds]]</f>
        <v>56</v>
      </c>
      <c r="AQ938">
        <v>0</v>
      </c>
      <c r="AR938">
        <f>IF(SUM(ifood_data[[#This Row],[Kidhome]:[Teenhome]])&gt;0,1,0)</f>
        <v>1</v>
      </c>
      <c r="AS938" t="str">
        <f>IF(SUM(ifood_data[[#This Row],[Kidhome]:[Teenhome]])&gt;0,"Has Family","No Family")</f>
        <v>Has Family</v>
      </c>
      <c r="AT938" t="str">
        <f>IF(ifood_data[[#This Row],[marital_Married]]=1,"Married", (IF(ifood_data[[#This Row],[marital_Single]]=1,"Single",(IF(ifood_data[[#This Row],[marital_Divorced]]=1,"Divorced",(IF(ifood_data[[#This Row],[marital_Together]]=1,"Living Together",(IF(ifood_data[[#This Row],[marital_Widow]]=1,"Widow","Other")))))))))</f>
        <v>Married</v>
      </c>
      <c r="AU938" t="str">
        <f>IF(ifood_data[[#This Row],[education_Basic]]=1,"High School",(IF(ifood_data[[#This Row],[education_Graduation]]=1,"Undergraduate Degree",(IF(SUM(AM938,AL938,AI938)&gt;0,"Master's Degree or Higher","Other")))))</f>
        <v>Master's Degree or Higher</v>
      </c>
      <c r="AV938" t="str">
        <f>IF(ifood_data[[#All],[Income]]&gt;75000,"75K+",(IF(ifood_data[[#All],[Income]]&gt;50000,"50K-75K",(IF(ifood_data[[#All],[Income]]&gt;35000,"35K-50K","&lt;35K")))))</f>
        <v>50K-75K</v>
      </c>
      <c r="AW938" t="str">
        <f>IF(ifood_data[[#All],[Age]]&gt;60,"60+",(IF(ifood_data[[#All],[Age]]&gt;50,"50-60",(IF(ifood_data[[#All],[Age]]&gt;40,"40-50",(IF(ifood_data[[#All],[Age]]&gt;30,"30-40","&lt;30")))))))</f>
        <v>40-50</v>
      </c>
      <c r="AX938">
        <f t="shared" si="56"/>
        <v>22</v>
      </c>
      <c r="AY938">
        <f t="shared" si="57"/>
        <v>4</v>
      </c>
      <c r="AZ938">
        <f t="shared" si="58"/>
        <v>5</v>
      </c>
      <c r="BA938">
        <f t="shared" si="59"/>
        <v>5</v>
      </c>
      <c r="BB938">
        <f>SUM(ifood_data[[#This Row],[Recency Score]:[Monetary Score]])</f>
        <v>14</v>
      </c>
      <c r="BC938">
        <f>(_xlfn.PERCENTRANK.INC(ifood_data[[#All],[RFM]],ifood_data[[#This Row],[RFM]],1))*10</f>
        <v>4</v>
      </c>
      <c r="BD938" t="str">
        <f>VLOOKUP(ifood_data[[#This Row],[RFM Score]],'RFM Analysis'!$A$3:$B$14,2,FALSE)</f>
        <v>At Risk</v>
      </c>
      <c r="BE938">
        <f>'Regression Models'!$B$101+'Regression Models'!$B$102*ifood_data[[#This Row],[Income]]+'Regression Models'!$B$103*ifood_data[[#This Row],[Age]]+'Regression Models'!$B$104*ifood_data[[#This Row],[Family]]</f>
        <v>555.80863461786191</v>
      </c>
      <c r="BF938" t="str">
        <f>IF(ifood_data[[#This Row],[AcceptedCmpOverall]]=1,"Campaign Respondent","Non-respondent")</f>
        <v>Non-respondent</v>
      </c>
    </row>
    <row r="939" spans="1:58" x14ac:dyDescent="0.35">
      <c r="A939">
        <v>1182</v>
      </c>
      <c r="B939">
        <v>55158</v>
      </c>
      <c r="C939">
        <v>1</v>
      </c>
      <c r="D939">
        <v>1</v>
      </c>
      <c r="E939">
        <v>72</v>
      </c>
      <c r="F939">
        <v>293</v>
      </c>
      <c r="G939">
        <v>0</v>
      </c>
      <c r="H939">
        <v>87</v>
      </c>
      <c r="I939">
        <v>4</v>
      </c>
      <c r="J939">
        <v>11</v>
      </c>
      <c r="K939">
        <v>23</v>
      </c>
      <c r="L939">
        <v>4</v>
      </c>
      <c r="M939">
        <v>7</v>
      </c>
      <c r="N939">
        <v>2</v>
      </c>
      <c r="O939">
        <v>5</v>
      </c>
      <c r="P939">
        <v>7</v>
      </c>
      <c r="Q939">
        <v>0</v>
      </c>
      <c r="R939">
        <v>0</v>
      </c>
      <c r="S939">
        <v>0</v>
      </c>
      <c r="T939">
        <v>0</v>
      </c>
      <c r="U939">
        <v>0</v>
      </c>
      <c r="V939">
        <f>IF(SUM(ifood_data[[#This Row],[AcceptedCmp1]:[AcceptedCmp5]])&gt;0,1,0)</f>
        <v>0</v>
      </c>
      <c r="W939">
        <v>0</v>
      </c>
      <c r="X939">
        <v>3</v>
      </c>
      <c r="Y939">
        <v>11</v>
      </c>
      <c r="Z939">
        <v>1</v>
      </c>
      <c r="AA939">
        <v>50</v>
      </c>
      <c r="AB939">
        <v>2858</v>
      </c>
      <c r="AC939" s="28">
        <f>ifood_data[[#This Row],[Customer_Days]]/365</f>
        <v>7.8301369863013699</v>
      </c>
      <c r="AD939">
        <v>0</v>
      </c>
      <c r="AE939">
        <v>1</v>
      </c>
      <c r="AF939">
        <v>0</v>
      </c>
      <c r="AG939">
        <v>0</v>
      </c>
      <c r="AH939">
        <v>0</v>
      </c>
      <c r="AI939">
        <v>0</v>
      </c>
      <c r="AJ939">
        <v>0</v>
      </c>
      <c r="AK939">
        <v>0</v>
      </c>
      <c r="AL939">
        <v>0</v>
      </c>
      <c r="AM939">
        <v>1</v>
      </c>
      <c r="AN939">
        <v>395</v>
      </c>
      <c r="AO939">
        <v>372</v>
      </c>
      <c r="AP939">
        <f>ifood_data[[#This Row],[MntTotal]]-ifood_data[[#This Row],[MntRegularProds]]</f>
        <v>23</v>
      </c>
      <c r="AQ939">
        <v>0</v>
      </c>
      <c r="AR939">
        <f>IF(SUM(ifood_data[[#This Row],[Kidhome]:[Teenhome]])&gt;0,1,0)</f>
        <v>1</v>
      </c>
      <c r="AS939" t="str">
        <f>IF(SUM(ifood_data[[#This Row],[Kidhome]:[Teenhome]])&gt;0,"Has Family","No Family")</f>
        <v>Has Family</v>
      </c>
      <c r="AT939" t="str">
        <f>IF(ifood_data[[#This Row],[marital_Married]]=1,"Married", (IF(ifood_data[[#This Row],[marital_Single]]=1,"Single",(IF(ifood_data[[#This Row],[marital_Divorced]]=1,"Divorced",(IF(ifood_data[[#This Row],[marital_Together]]=1,"Living Together",(IF(ifood_data[[#This Row],[marital_Widow]]=1,"Widow","Other")))))))))</f>
        <v>Married</v>
      </c>
      <c r="AU939" t="str">
        <f>IF(ifood_data[[#This Row],[education_Basic]]=1,"High School",(IF(ifood_data[[#This Row],[education_Graduation]]=1,"Undergraduate Degree",(IF(SUM(AM939,AL939,AI939)&gt;0,"Master's Degree or Higher","Other")))))</f>
        <v>Master's Degree or Higher</v>
      </c>
      <c r="AV939" t="str">
        <f>IF(ifood_data[[#All],[Income]]&gt;75000,"75K+",(IF(ifood_data[[#All],[Income]]&gt;50000,"50K-75K",(IF(ifood_data[[#All],[Income]]&gt;35000,"35K-50K","&lt;35K")))))</f>
        <v>50K-75K</v>
      </c>
      <c r="AW939" t="str">
        <f>IF(ifood_data[[#All],[Age]]&gt;60,"60+",(IF(ifood_data[[#All],[Age]]&gt;50,"50-60",(IF(ifood_data[[#All],[Age]]&gt;40,"40-50",(IF(ifood_data[[#All],[Age]]&gt;30,"30-40","&lt;30")))))))</f>
        <v>40-50</v>
      </c>
      <c r="AX939">
        <f t="shared" si="56"/>
        <v>25</v>
      </c>
      <c r="AY939">
        <f t="shared" si="57"/>
        <v>3.0000000000000004</v>
      </c>
      <c r="AZ939">
        <f t="shared" si="58"/>
        <v>7</v>
      </c>
      <c r="BA939">
        <f t="shared" si="59"/>
        <v>5</v>
      </c>
      <c r="BB939">
        <f>SUM(ifood_data[[#This Row],[Recency Score]:[Monetary Score]])</f>
        <v>15</v>
      </c>
      <c r="BC939">
        <f>(_xlfn.PERCENTRANK.INC(ifood_data[[#All],[RFM]],ifood_data[[#This Row],[RFM]],1))*10</f>
        <v>4</v>
      </c>
      <c r="BD939" t="str">
        <f>VLOOKUP(ifood_data[[#This Row],[RFM Score]],'RFM Analysis'!$A$3:$B$14,2,FALSE)</f>
        <v>At Risk</v>
      </c>
      <c r="BE939">
        <f>'Regression Models'!$B$101+'Regression Models'!$B$102*ifood_data[[#This Row],[Income]]+'Regression Models'!$B$103*ifood_data[[#This Row],[Age]]+'Regression Models'!$B$104*ifood_data[[#This Row],[Family]]</f>
        <v>555.35283198897935</v>
      </c>
      <c r="BF939" t="str">
        <f>IF(ifood_data[[#This Row],[AcceptedCmpOverall]]=1,"Campaign Respondent","Non-respondent")</f>
        <v>Non-respondent</v>
      </c>
    </row>
    <row r="940" spans="1:58" x14ac:dyDescent="0.35">
      <c r="A940">
        <v>322</v>
      </c>
      <c r="B940">
        <v>55212</v>
      </c>
      <c r="C940">
        <v>0</v>
      </c>
      <c r="D940">
        <v>1</v>
      </c>
      <c r="E940">
        <v>65</v>
      </c>
      <c r="F940">
        <v>1103</v>
      </c>
      <c r="G940">
        <v>0</v>
      </c>
      <c r="H940">
        <v>45</v>
      </c>
      <c r="I940">
        <v>0</v>
      </c>
      <c r="J940">
        <v>0</v>
      </c>
      <c r="K940">
        <v>34</v>
      </c>
      <c r="L940">
        <v>3</v>
      </c>
      <c r="M940">
        <v>4</v>
      </c>
      <c r="N940">
        <v>2</v>
      </c>
      <c r="O940">
        <v>11</v>
      </c>
      <c r="P940">
        <v>8</v>
      </c>
      <c r="Q940">
        <v>0</v>
      </c>
      <c r="R940">
        <v>1</v>
      </c>
      <c r="S940">
        <v>0</v>
      </c>
      <c r="T940">
        <v>1</v>
      </c>
      <c r="U940">
        <v>0</v>
      </c>
      <c r="V940">
        <f>IF(SUM(ifood_data[[#This Row],[AcceptedCmp1]:[AcceptedCmp5]])&gt;0,1,0)</f>
        <v>1</v>
      </c>
      <c r="W940">
        <v>0</v>
      </c>
      <c r="X940">
        <v>3</v>
      </c>
      <c r="Y940">
        <v>11</v>
      </c>
      <c r="Z940">
        <v>0</v>
      </c>
      <c r="AA940">
        <v>51</v>
      </c>
      <c r="AB940">
        <v>2742</v>
      </c>
      <c r="AC940" s="28">
        <f>ifood_data[[#This Row],[Customer_Days]]/365</f>
        <v>7.5123287671232877</v>
      </c>
      <c r="AD940">
        <v>0</v>
      </c>
      <c r="AE940">
        <v>1</v>
      </c>
      <c r="AF940">
        <v>0</v>
      </c>
      <c r="AG940">
        <v>0</v>
      </c>
      <c r="AH940">
        <v>0</v>
      </c>
      <c r="AI940">
        <v>0</v>
      </c>
      <c r="AJ940">
        <v>0</v>
      </c>
      <c r="AK940">
        <v>0</v>
      </c>
      <c r="AL940">
        <v>0</v>
      </c>
      <c r="AM940">
        <v>1</v>
      </c>
      <c r="AN940">
        <v>1148</v>
      </c>
      <c r="AO940">
        <v>1114</v>
      </c>
      <c r="AP940">
        <f>ifood_data[[#This Row],[MntTotal]]-ifood_data[[#This Row],[MntRegularProds]]</f>
        <v>34</v>
      </c>
      <c r="AQ940">
        <v>2</v>
      </c>
      <c r="AR940">
        <f>IF(SUM(ifood_data[[#This Row],[Kidhome]:[Teenhome]])&gt;0,1,0)</f>
        <v>1</v>
      </c>
      <c r="AS940" t="str">
        <f>IF(SUM(ifood_data[[#This Row],[Kidhome]:[Teenhome]])&gt;0,"Has Family","No Family")</f>
        <v>Has Family</v>
      </c>
      <c r="AT940" t="str">
        <f>IF(ifood_data[[#This Row],[marital_Married]]=1,"Married", (IF(ifood_data[[#This Row],[marital_Single]]=1,"Single",(IF(ifood_data[[#This Row],[marital_Divorced]]=1,"Divorced",(IF(ifood_data[[#This Row],[marital_Together]]=1,"Living Together",(IF(ifood_data[[#This Row],[marital_Widow]]=1,"Widow","Other")))))))))</f>
        <v>Married</v>
      </c>
      <c r="AU940" t="str">
        <f>IF(ifood_data[[#This Row],[education_Basic]]=1,"High School",(IF(ifood_data[[#This Row],[education_Graduation]]=1,"Undergraduate Degree",(IF(SUM(AM940,AL940,AI940)&gt;0,"Master's Degree or Higher","Other")))))</f>
        <v>Master's Degree or Higher</v>
      </c>
      <c r="AV940" t="str">
        <f>IF(ifood_data[[#All],[Income]]&gt;75000,"75K+",(IF(ifood_data[[#All],[Income]]&gt;50000,"50K-75K",(IF(ifood_data[[#All],[Income]]&gt;35000,"35K-50K","&lt;35K")))))</f>
        <v>50K-75K</v>
      </c>
      <c r="AW940" t="str">
        <f>IF(ifood_data[[#All],[Age]]&gt;60,"60+",(IF(ifood_data[[#All],[Age]]&gt;50,"50-60",(IF(ifood_data[[#All],[Age]]&gt;40,"40-50",(IF(ifood_data[[#All],[Age]]&gt;30,"30-40","&lt;30")))))))</f>
        <v>50-60</v>
      </c>
      <c r="AX940">
        <f t="shared" si="56"/>
        <v>28</v>
      </c>
      <c r="AY940">
        <f t="shared" si="57"/>
        <v>4</v>
      </c>
      <c r="AZ940">
        <f t="shared" si="58"/>
        <v>8</v>
      </c>
      <c r="BA940">
        <f t="shared" si="59"/>
        <v>8</v>
      </c>
      <c r="BB940">
        <f>SUM(ifood_data[[#This Row],[Recency Score]:[Monetary Score]])</f>
        <v>20</v>
      </c>
      <c r="BC940">
        <f>(_xlfn.PERCENTRANK.INC(ifood_data[[#All],[RFM]],ifood_data[[#This Row],[RFM]],1))*10</f>
        <v>7</v>
      </c>
      <c r="BD940" t="str">
        <f>VLOOKUP(ifood_data[[#This Row],[RFM Score]],'RFM Analysis'!$A$3:$B$14,2,FALSE)</f>
        <v>Loyal Customer</v>
      </c>
      <c r="BE940">
        <f>'Regression Models'!$B$101+'Regression Models'!$B$102*ifood_data[[#This Row],[Income]]+'Regression Models'!$B$103*ifood_data[[#This Row],[Age]]+'Regression Models'!$B$104*ifood_data[[#This Row],[Family]]</f>
        <v>554.6173863898556</v>
      </c>
      <c r="BF940" t="str">
        <f>IF(ifood_data[[#This Row],[AcceptedCmpOverall]]=1,"Campaign Respondent","Non-respondent")</f>
        <v>Campaign Respondent</v>
      </c>
    </row>
    <row r="941" spans="1:58" x14ac:dyDescent="0.35">
      <c r="A941">
        <v>1407</v>
      </c>
      <c r="B941">
        <v>55759</v>
      </c>
      <c r="C941">
        <v>0</v>
      </c>
      <c r="D941">
        <v>1</v>
      </c>
      <c r="E941">
        <v>84</v>
      </c>
      <c r="F941">
        <v>675</v>
      </c>
      <c r="G941">
        <v>0</v>
      </c>
      <c r="H941">
        <v>85</v>
      </c>
      <c r="I941">
        <v>10</v>
      </c>
      <c r="J941">
        <v>7</v>
      </c>
      <c r="K941">
        <v>77</v>
      </c>
      <c r="L941">
        <v>5</v>
      </c>
      <c r="M941">
        <v>10</v>
      </c>
      <c r="N941">
        <v>3</v>
      </c>
      <c r="O941">
        <v>8</v>
      </c>
      <c r="P941">
        <v>8</v>
      </c>
      <c r="Q941">
        <v>0</v>
      </c>
      <c r="R941">
        <v>0</v>
      </c>
      <c r="S941">
        <v>0</v>
      </c>
      <c r="T941">
        <v>0</v>
      </c>
      <c r="U941">
        <v>0</v>
      </c>
      <c r="V941">
        <f>IF(SUM(ifood_data[[#This Row],[AcceptedCmp1]:[AcceptedCmp5]])&gt;0,1,0)</f>
        <v>0</v>
      </c>
      <c r="W941">
        <v>0</v>
      </c>
      <c r="X941">
        <v>3</v>
      </c>
      <c r="Y941">
        <v>11</v>
      </c>
      <c r="Z941">
        <v>0</v>
      </c>
      <c r="AA941">
        <v>58</v>
      </c>
      <c r="AB941">
        <v>2737</v>
      </c>
      <c r="AC941" s="28">
        <f>ifood_data[[#This Row],[Customer_Days]]/365</f>
        <v>7.4986301369863018</v>
      </c>
      <c r="AD941">
        <v>0</v>
      </c>
      <c r="AE941">
        <v>1</v>
      </c>
      <c r="AF941">
        <v>0</v>
      </c>
      <c r="AG941">
        <v>0</v>
      </c>
      <c r="AH941">
        <v>0</v>
      </c>
      <c r="AI941">
        <v>0</v>
      </c>
      <c r="AJ941">
        <v>0</v>
      </c>
      <c r="AK941">
        <v>1</v>
      </c>
      <c r="AL941">
        <v>0</v>
      </c>
      <c r="AM941">
        <v>0</v>
      </c>
      <c r="AN941">
        <v>777</v>
      </c>
      <c r="AO941">
        <v>700</v>
      </c>
      <c r="AP941">
        <f>ifood_data[[#This Row],[MntTotal]]-ifood_data[[#This Row],[MntRegularProds]]</f>
        <v>77</v>
      </c>
      <c r="AQ941">
        <v>0</v>
      </c>
      <c r="AR941">
        <f>IF(SUM(ifood_data[[#This Row],[Kidhome]:[Teenhome]])&gt;0,1,0)</f>
        <v>1</v>
      </c>
      <c r="AS941" t="str">
        <f>IF(SUM(ifood_data[[#This Row],[Kidhome]:[Teenhome]])&gt;0,"Has Family","No Family")</f>
        <v>Has Family</v>
      </c>
      <c r="AT941" t="str">
        <f>IF(ifood_data[[#This Row],[marital_Married]]=1,"Married", (IF(ifood_data[[#This Row],[marital_Single]]=1,"Single",(IF(ifood_data[[#This Row],[marital_Divorced]]=1,"Divorced",(IF(ifood_data[[#This Row],[marital_Together]]=1,"Living Together",(IF(ifood_data[[#This Row],[marital_Widow]]=1,"Widow","Other")))))))))</f>
        <v>Married</v>
      </c>
      <c r="AU941" t="str">
        <f>IF(ifood_data[[#This Row],[education_Basic]]=1,"High School",(IF(ifood_data[[#This Row],[education_Graduation]]=1,"Undergraduate Degree",(IF(SUM(AM941,AL941,AI941)&gt;0,"Master's Degree or Higher","Other")))))</f>
        <v>Undergraduate Degree</v>
      </c>
      <c r="AV941" t="str">
        <f>IF(ifood_data[[#All],[Income]]&gt;75000,"75K+",(IF(ifood_data[[#All],[Income]]&gt;50000,"50K-75K",(IF(ifood_data[[#All],[Income]]&gt;35000,"35K-50K","&lt;35K")))))</f>
        <v>50K-75K</v>
      </c>
      <c r="AW941" t="str">
        <f>IF(ifood_data[[#All],[Age]]&gt;60,"60+",(IF(ifood_data[[#All],[Age]]&gt;50,"50-60",(IF(ifood_data[[#All],[Age]]&gt;40,"40-50",(IF(ifood_data[[#All],[Age]]&gt;30,"30-40","&lt;30")))))))</f>
        <v>50-60</v>
      </c>
      <c r="AX941">
        <f t="shared" si="56"/>
        <v>34</v>
      </c>
      <c r="AY941">
        <f t="shared" si="57"/>
        <v>1.9999999999999996</v>
      </c>
      <c r="AZ941">
        <f t="shared" si="58"/>
        <v>9</v>
      </c>
      <c r="BA941">
        <f t="shared" si="59"/>
        <v>6</v>
      </c>
      <c r="BB941">
        <f>SUM(ifood_data[[#This Row],[Recency Score]:[Monetary Score]])</f>
        <v>17</v>
      </c>
      <c r="BC941">
        <f>(_xlfn.PERCENTRANK.INC(ifood_data[[#All],[RFM]],ifood_data[[#This Row],[RFM]],1))*10</f>
        <v>6</v>
      </c>
      <c r="BD941" t="str">
        <f>VLOOKUP(ifood_data[[#This Row],[RFM Score]],'RFM Analysis'!$A$3:$B$14,2,FALSE)</f>
        <v>Promising</v>
      </c>
      <c r="BE941">
        <f>'Regression Models'!$B$101+'Regression Models'!$B$102*ifood_data[[#This Row],[Income]]+'Regression Models'!$B$103*ifood_data[[#This Row],[Age]]+'Regression Models'!$B$104*ifood_data[[#This Row],[Family]]</f>
        <v>552.91496901230846</v>
      </c>
      <c r="BF941" t="str">
        <f>IF(ifood_data[[#This Row],[AcceptedCmpOverall]]=1,"Campaign Respondent","Non-respondent")</f>
        <v>Non-respondent</v>
      </c>
    </row>
    <row r="942" spans="1:58" x14ac:dyDescent="0.35">
      <c r="A942">
        <v>1041</v>
      </c>
      <c r="B942">
        <v>54210</v>
      </c>
      <c r="C942">
        <v>0</v>
      </c>
      <c r="D942">
        <v>1</v>
      </c>
      <c r="E942">
        <v>18</v>
      </c>
      <c r="F942">
        <v>70</v>
      </c>
      <c r="G942">
        <v>54</v>
      </c>
      <c r="H942">
        <v>109</v>
      </c>
      <c r="I942">
        <v>80</v>
      </c>
      <c r="J942">
        <v>9</v>
      </c>
      <c r="K942">
        <v>45</v>
      </c>
      <c r="L942">
        <v>2</v>
      </c>
      <c r="M942">
        <v>4</v>
      </c>
      <c r="N942">
        <v>1</v>
      </c>
      <c r="O942">
        <v>7</v>
      </c>
      <c r="P942">
        <v>5</v>
      </c>
      <c r="Q942">
        <v>0</v>
      </c>
      <c r="R942">
        <v>0</v>
      </c>
      <c r="S942">
        <v>0</v>
      </c>
      <c r="T942">
        <v>0</v>
      </c>
      <c r="U942">
        <v>0</v>
      </c>
      <c r="V942">
        <f>IF(SUM(ifood_data[[#This Row],[AcceptedCmp1]:[AcceptedCmp5]])&gt;0,1,0)</f>
        <v>0</v>
      </c>
      <c r="W942">
        <v>0</v>
      </c>
      <c r="X942">
        <v>3</v>
      </c>
      <c r="Y942">
        <v>11</v>
      </c>
      <c r="Z942">
        <v>0</v>
      </c>
      <c r="AA942">
        <v>41</v>
      </c>
      <c r="AB942">
        <v>2564</v>
      </c>
      <c r="AC942" s="28">
        <f>ifood_data[[#This Row],[Customer_Days]]/365</f>
        <v>7.0246575342465754</v>
      </c>
      <c r="AD942">
        <v>0</v>
      </c>
      <c r="AE942">
        <v>1</v>
      </c>
      <c r="AF942">
        <v>0</v>
      </c>
      <c r="AG942">
        <v>0</v>
      </c>
      <c r="AH942">
        <v>0</v>
      </c>
      <c r="AI942">
        <v>1</v>
      </c>
      <c r="AJ942">
        <v>0</v>
      </c>
      <c r="AK942">
        <v>0</v>
      </c>
      <c r="AL942">
        <v>0</v>
      </c>
      <c r="AM942">
        <v>0</v>
      </c>
      <c r="AN942">
        <v>322</v>
      </c>
      <c r="AO942">
        <v>277</v>
      </c>
      <c r="AP942">
        <f>ifood_data[[#This Row],[MntTotal]]-ifood_data[[#This Row],[MntRegularProds]]</f>
        <v>45</v>
      </c>
      <c r="AQ942">
        <v>0</v>
      </c>
      <c r="AR942">
        <f>IF(SUM(ifood_data[[#This Row],[Kidhome]:[Teenhome]])&gt;0,1,0)</f>
        <v>1</v>
      </c>
      <c r="AS942" t="str">
        <f>IF(SUM(ifood_data[[#This Row],[Kidhome]:[Teenhome]])&gt;0,"Has Family","No Family")</f>
        <v>Has Family</v>
      </c>
      <c r="AT942" t="str">
        <f>IF(ifood_data[[#This Row],[marital_Married]]=1,"Married", (IF(ifood_data[[#This Row],[marital_Single]]=1,"Single",(IF(ifood_data[[#This Row],[marital_Divorced]]=1,"Divorced",(IF(ifood_data[[#This Row],[marital_Together]]=1,"Living Together",(IF(ifood_data[[#This Row],[marital_Widow]]=1,"Widow","Other")))))))))</f>
        <v>Married</v>
      </c>
      <c r="AU942" t="str">
        <f>IF(ifood_data[[#This Row],[education_Basic]]=1,"High School",(IF(ifood_data[[#This Row],[education_Graduation]]=1,"Undergraduate Degree",(IF(SUM(AM942,AL942,AI942)&gt;0,"Master's Degree or Higher","Other")))))</f>
        <v>Master's Degree or Higher</v>
      </c>
      <c r="AV942" t="str">
        <f>IF(ifood_data[[#All],[Income]]&gt;75000,"75K+",(IF(ifood_data[[#All],[Income]]&gt;50000,"50K-75K",(IF(ifood_data[[#All],[Income]]&gt;35000,"35K-50K","&lt;35K")))))</f>
        <v>50K-75K</v>
      </c>
      <c r="AW942" t="str">
        <f>IF(ifood_data[[#All],[Age]]&gt;60,"60+",(IF(ifood_data[[#All],[Age]]&gt;50,"50-60",(IF(ifood_data[[#All],[Age]]&gt;40,"40-50",(IF(ifood_data[[#All],[Age]]&gt;30,"30-40","&lt;30")))))))</f>
        <v>40-50</v>
      </c>
      <c r="AX942">
        <f t="shared" si="56"/>
        <v>19</v>
      </c>
      <c r="AY942">
        <f t="shared" si="57"/>
        <v>9</v>
      </c>
      <c r="AZ942">
        <f t="shared" si="58"/>
        <v>4</v>
      </c>
      <c r="BA942">
        <f t="shared" si="59"/>
        <v>4</v>
      </c>
      <c r="BB942">
        <f>SUM(ifood_data[[#This Row],[Recency Score]:[Monetary Score]])</f>
        <v>17</v>
      </c>
      <c r="BC942">
        <f>(_xlfn.PERCENTRANK.INC(ifood_data[[#All],[RFM]],ifood_data[[#This Row],[RFM]],1))*10</f>
        <v>6</v>
      </c>
      <c r="BD942" t="str">
        <f>VLOOKUP(ifood_data[[#This Row],[RFM Score]],'RFM Analysis'!$A$3:$B$14,2,FALSE)</f>
        <v>Promising</v>
      </c>
      <c r="BE942">
        <f>'Regression Models'!$B$101+'Regression Models'!$B$102*ifood_data[[#This Row],[Income]]+'Regression Models'!$B$103*ifood_data[[#This Row],[Age]]+'Regression Models'!$B$104*ifood_data[[#This Row],[Family]]</f>
        <v>552.5522314986116</v>
      </c>
      <c r="BF942" t="str">
        <f>IF(ifood_data[[#This Row],[AcceptedCmpOverall]]=1,"Campaign Respondent","Non-respondent")</f>
        <v>Non-respondent</v>
      </c>
    </row>
    <row r="943" spans="1:58" x14ac:dyDescent="0.35">
      <c r="A943">
        <v>588</v>
      </c>
      <c r="B943">
        <v>54162</v>
      </c>
      <c r="C943">
        <v>1</v>
      </c>
      <c r="D943">
        <v>1</v>
      </c>
      <c r="E943">
        <v>31</v>
      </c>
      <c r="F943">
        <v>5</v>
      </c>
      <c r="G943">
        <v>6</v>
      </c>
      <c r="H943">
        <v>10</v>
      </c>
      <c r="I943">
        <v>6</v>
      </c>
      <c r="J943">
        <v>5</v>
      </c>
      <c r="K943">
        <v>10</v>
      </c>
      <c r="L943">
        <v>1</v>
      </c>
      <c r="M943">
        <v>1</v>
      </c>
      <c r="N943">
        <v>0</v>
      </c>
      <c r="O943">
        <v>3</v>
      </c>
      <c r="P943">
        <v>4</v>
      </c>
      <c r="Q943">
        <v>0</v>
      </c>
      <c r="R943">
        <v>0</v>
      </c>
      <c r="S943">
        <v>0</v>
      </c>
      <c r="T943">
        <v>0</v>
      </c>
      <c r="U943">
        <v>0</v>
      </c>
      <c r="V943">
        <f>IF(SUM(ifood_data[[#This Row],[AcceptedCmp1]:[AcceptedCmp5]])&gt;0,1,0)</f>
        <v>0</v>
      </c>
      <c r="W943">
        <v>0</v>
      </c>
      <c r="X943">
        <v>3</v>
      </c>
      <c r="Y943">
        <v>11</v>
      </c>
      <c r="Z943">
        <v>0</v>
      </c>
      <c r="AA943">
        <v>42</v>
      </c>
      <c r="AB943">
        <v>2627</v>
      </c>
      <c r="AC943" s="28">
        <f>ifood_data[[#This Row],[Customer_Days]]/365</f>
        <v>7.1972602739726028</v>
      </c>
      <c r="AD943">
        <v>0</v>
      </c>
      <c r="AE943">
        <v>0</v>
      </c>
      <c r="AF943">
        <v>0</v>
      </c>
      <c r="AG943">
        <v>0</v>
      </c>
      <c r="AH943">
        <v>1</v>
      </c>
      <c r="AI943">
        <v>0</v>
      </c>
      <c r="AJ943">
        <v>0</v>
      </c>
      <c r="AK943">
        <v>1</v>
      </c>
      <c r="AL943">
        <v>0</v>
      </c>
      <c r="AM943">
        <v>0</v>
      </c>
      <c r="AN943">
        <v>32</v>
      </c>
      <c r="AO943">
        <v>22</v>
      </c>
      <c r="AP943">
        <f>ifood_data[[#This Row],[MntTotal]]-ifood_data[[#This Row],[MntRegularProds]]</f>
        <v>10</v>
      </c>
      <c r="AQ943">
        <v>0</v>
      </c>
      <c r="AR943">
        <f>IF(SUM(ifood_data[[#This Row],[Kidhome]:[Teenhome]])&gt;0,1,0)</f>
        <v>1</v>
      </c>
      <c r="AS943" t="str">
        <f>IF(SUM(ifood_data[[#This Row],[Kidhome]:[Teenhome]])&gt;0,"Has Family","No Family")</f>
        <v>Has Family</v>
      </c>
      <c r="AT943" t="str">
        <f>IF(ifood_data[[#This Row],[marital_Married]]=1,"Married", (IF(ifood_data[[#This Row],[marital_Single]]=1,"Single",(IF(ifood_data[[#This Row],[marital_Divorced]]=1,"Divorced",(IF(ifood_data[[#This Row],[marital_Together]]=1,"Living Together",(IF(ifood_data[[#This Row],[marital_Widow]]=1,"Widow","Other")))))))))</f>
        <v>Widow</v>
      </c>
      <c r="AU943" t="str">
        <f>IF(ifood_data[[#This Row],[education_Basic]]=1,"High School",(IF(ifood_data[[#This Row],[education_Graduation]]=1,"Undergraduate Degree",(IF(SUM(AM943,AL943,AI943)&gt;0,"Master's Degree or Higher","Other")))))</f>
        <v>Undergraduate Degree</v>
      </c>
      <c r="AV943" t="str">
        <f>IF(ifood_data[[#All],[Income]]&gt;75000,"75K+",(IF(ifood_data[[#All],[Income]]&gt;50000,"50K-75K",(IF(ifood_data[[#All],[Income]]&gt;35000,"35K-50K","&lt;35K")))))</f>
        <v>50K-75K</v>
      </c>
      <c r="AW943" t="str">
        <f>IF(ifood_data[[#All],[Age]]&gt;60,"60+",(IF(ifood_data[[#All],[Age]]&gt;50,"50-60",(IF(ifood_data[[#All],[Age]]&gt;40,"40-50",(IF(ifood_data[[#All],[Age]]&gt;30,"30-40","&lt;30")))))))</f>
        <v>40-50</v>
      </c>
      <c r="AX943">
        <f t="shared" si="56"/>
        <v>9</v>
      </c>
      <c r="AY943">
        <f t="shared" si="57"/>
        <v>7</v>
      </c>
      <c r="AZ943">
        <f t="shared" si="58"/>
        <v>0</v>
      </c>
      <c r="BA943">
        <f t="shared" si="59"/>
        <v>1</v>
      </c>
      <c r="BB943">
        <f>SUM(ifood_data[[#This Row],[Recency Score]:[Monetary Score]])</f>
        <v>8</v>
      </c>
      <c r="BC943">
        <f>(_xlfn.PERCENTRANK.INC(ifood_data[[#All],[RFM]],ifood_data[[#This Row],[RFM]],1))*10</f>
        <v>1</v>
      </c>
      <c r="BD943" t="str">
        <f>VLOOKUP(ifood_data[[#This Row],[RFM Score]],'RFM Analysis'!$A$3:$B$14,2,FALSE)</f>
        <v>At Risk</v>
      </c>
      <c r="BE943">
        <f>'Regression Models'!$B$101+'Regression Models'!$B$102*ifood_data[[#This Row],[Income]]+'Regression Models'!$B$103*ifood_data[[#This Row],[Age]]+'Regression Models'!$B$104*ifood_data[[#This Row],[Family]]</f>
        <v>549.73713154881023</v>
      </c>
      <c r="BF943" t="str">
        <f>IF(ifood_data[[#This Row],[AcceptedCmpOverall]]=1,"Campaign Respondent","Non-respondent")</f>
        <v>Non-respondent</v>
      </c>
    </row>
    <row r="944" spans="1:58" x14ac:dyDescent="0.35">
      <c r="A944">
        <v>1026</v>
      </c>
      <c r="B944">
        <v>54233</v>
      </c>
      <c r="C944">
        <v>0</v>
      </c>
      <c r="D944">
        <v>1</v>
      </c>
      <c r="E944">
        <v>46</v>
      </c>
      <c r="F944">
        <v>652</v>
      </c>
      <c r="G944">
        <v>8</v>
      </c>
      <c r="H944">
        <v>158</v>
      </c>
      <c r="I944">
        <v>21</v>
      </c>
      <c r="J944">
        <v>0</v>
      </c>
      <c r="K944">
        <v>142</v>
      </c>
      <c r="L944">
        <v>4</v>
      </c>
      <c r="M944">
        <v>11</v>
      </c>
      <c r="N944">
        <v>6</v>
      </c>
      <c r="O944">
        <v>5</v>
      </c>
      <c r="P944">
        <v>8</v>
      </c>
      <c r="Q944">
        <v>0</v>
      </c>
      <c r="R944">
        <v>0</v>
      </c>
      <c r="S944">
        <v>0</v>
      </c>
      <c r="T944">
        <v>0</v>
      </c>
      <c r="U944">
        <v>0</v>
      </c>
      <c r="V944">
        <f>IF(SUM(ifood_data[[#This Row],[AcceptedCmp1]:[AcceptedCmp5]])&gt;0,1,0)</f>
        <v>0</v>
      </c>
      <c r="W944">
        <v>0</v>
      </c>
      <c r="X944">
        <v>3</v>
      </c>
      <c r="Y944">
        <v>11</v>
      </c>
      <c r="Z944">
        <v>0</v>
      </c>
      <c r="AA944">
        <v>43</v>
      </c>
      <c r="AB944">
        <v>2669</v>
      </c>
      <c r="AC944" s="28">
        <f>ifood_data[[#This Row],[Customer_Days]]/365</f>
        <v>7.3123287671232875</v>
      </c>
      <c r="AD944">
        <v>0</v>
      </c>
      <c r="AE944">
        <v>1</v>
      </c>
      <c r="AF944">
        <v>0</v>
      </c>
      <c r="AG944">
        <v>0</v>
      </c>
      <c r="AH944">
        <v>0</v>
      </c>
      <c r="AI944">
        <v>0</v>
      </c>
      <c r="AJ944">
        <v>0</v>
      </c>
      <c r="AK944">
        <v>1</v>
      </c>
      <c r="AL944">
        <v>0</v>
      </c>
      <c r="AM944">
        <v>0</v>
      </c>
      <c r="AN944">
        <v>839</v>
      </c>
      <c r="AO944">
        <v>697</v>
      </c>
      <c r="AP944">
        <f>ifood_data[[#This Row],[MntTotal]]-ifood_data[[#This Row],[MntRegularProds]]</f>
        <v>142</v>
      </c>
      <c r="AQ944">
        <v>0</v>
      </c>
      <c r="AR944">
        <f>IF(SUM(ifood_data[[#This Row],[Kidhome]:[Teenhome]])&gt;0,1,0)</f>
        <v>1</v>
      </c>
      <c r="AS944" t="str">
        <f>IF(SUM(ifood_data[[#This Row],[Kidhome]:[Teenhome]])&gt;0,"Has Family","No Family")</f>
        <v>Has Family</v>
      </c>
      <c r="AT944" t="str">
        <f>IF(ifood_data[[#This Row],[marital_Married]]=1,"Married", (IF(ifood_data[[#This Row],[marital_Single]]=1,"Single",(IF(ifood_data[[#This Row],[marital_Divorced]]=1,"Divorced",(IF(ifood_data[[#This Row],[marital_Together]]=1,"Living Together",(IF(ifood_data[[#This Row],[marital_Widow]]=1,"Widow","Other")))))))))</f>
        <v>Married</v>
      </c>
      <c r="AU944" t="str">
        <f>IF(ifood_data[[#This Row],[education_Basic]]=1,"High School",(IF(ifood_data[[#This Row],[education_Graduation]]=1,"Undergraduate Degree",(IF(SUM(AM944,AL944,AI944)&gt;0,"Master's Degree or Higher","Other")))))</f>
        <v>Undergraduate Degree</v>
      </c>
      <c r="AV944" t="str">
        <f>IF(ifood_data[[#All],[Income]]&gt;75000,"75K+",(IF(ifood_data[[#All],[Income]]&gt;50000,"50K-75K",(IF(ifood_data[[#All],[Income]]&gt;35000,"35K-50K","&lt;35K")))))</f>
        <v>50K-75K</v>
      </c>
      <c r="AW944" t="str">
        <f>IF(ifood_data[[#All],[Age]]&gt;60,"60+",(IF(ifood_data[[#All],[Age]]&gt;50,"50-60",(IF(ifood_data[[#All],[Age]]&gt;40,"40-50",(IF(ifood_data[[#All],[Age]]&gt;30,"30-40","&lt;30")))))))</f>
        <v>40-50</v>
      </c>
      <c r="AX944">
        <f t="shared" si="56"/>
        <v>34</v>
      </c>
      <c r="AY944">
        <f t="shared" si="57"/>
        <v>6</v>
      </c>
      <c r="AZ944">
        <f t="shared" si="58"/>
        <v>9</v>
      </c>
      <c r="BA944">
        <f t="shared" si="59"/>
        <v>6</v>
      </c>
      <c r="BB944">
        <f>SUM(ifood_data[[#This Row],[Recency Score]:[Monetary Score]])</f>
        <v>21</v>
      </c>
      <c r="BC944">
        <f>(_xlfn.PERCENTRANK.INC(ifood_data[[#All],[RFM]],ifood_data[[#This Row],[RFM]],1))*10</f>
        <v>8</v>
      </c>
      <c r="BD944" t="str">
        <f>VLOOKUP(ifood_data[[#This Row],[RFM Score]],'RFM Analysis'!$A$3:$B$14,2,FALSE)</f>
        <v>Loyal Customer</v>
      </c>
      <c r="BE944">
        <f>'Regression Models'!$B$101+'Regression Models'!$B$102*ifood_data[[#This Row],[Income]]+'Regression Models'!$B$103*ifood_data[[#This Row],[Age]]+'Regression Models'!$B$104*ifood_data[[#This Row],[Family]]</f>
        <v>549.34829500813282</v>
      </c>
      <c r="BF944" t="str">
        <f>IF(ifood_data[[#This Row],[AcceptedCmpOverall]]=1,"Campaign Respondent","Non-respondent")</f>
        <v>Non-respondent</v>
      </c>
    </row>
    <row r="945" spans="1:58" x14ac:dyDescent="0.35">
      <c r="A945">
        <v>672</v>
      </c>
      <c r="B945">
        <v>55250</v>
      </c>
      <c r="C945">
        <v>0</v>
      </c>
      <c r="D945">
        <v>1</v>
      </c>
      <c r="E945">
        <v>49</v>
      </c>
      <c r="F945">
        <v>664</v>
      </c>
      <c r="G945">
        <v>58</v>
      </c>
      <c r="H945">
        <v>83</v>
      </c>
      <c r="I945">
        <v>32</v>
      </c>
      <c r="J945">
        <v>0</v>
      </c>
      <c r="K945">
        <v>66</v>
      </c>
      <c r="L945">
        <v>4</v>
      </c>
      <c r="M945">
        <v>7</v>
      </c>
      <c r="N945">
        <v>5</v>
      </c>
      <c r="O945">
        <v>10</v>
      </c>
      <c r="P945">
        <v>5</v>
      </c>
      <c r="Q945">
        <v>0</v>
      </c>
      <c r="R945">
        <v>0</v>
      </c>
      <c r="S945">
        <v>0</v>
      </c>
      <c r="T945">
        <v>0</v>
      </c>
      <c r="U945">
        <v>0</v>
      </c>
      <c r="V945">
        <f>IF(SUM(ifood_data[[#This Row],[AcceptedCmp1]:[AcceptedCmp5]])&gt;0,1,0)</f>
        <v>0</v>
      </c>
      <c r="W945">
        <v>0</v>
      </c>
      <c r="X945">
        <v>3</v>
      </c>
      <c r="Y945">
        <v>11</v>
      </c>
      <c r="Z945">
        <v>0</v>
      </c>
      <c r="AA945">
        <v>55</v>
      </c>
      <c r="AB945">
        <v>2775</v>
      </c>
      <c r="AC945" s="28">
        <f>ifood_data[[#This Row],[Customer_Days]]/365</f>
        <v>7.602739726027397</v>
      </c>
      <c r="AD945">
        <v>0</v>
      </c>
      <c r="AE945">
        <v>0</v>
      </c>
      <c r="AF945">
        <v>1</v>
      </c>
      <c r="AG945">
        <v>0</v>
      </c>
      <c r="AH945">
        <v>0</v>
      </c>
      <c r="AI945">
        <v>0</v>
      </c>
      <c r="AJ945">
        <v>0</v>
      </c>
      <c r="AK945">
        <v>0</v>
      </c>
      <c r="AL945">
        <v>1</v>
      </c>
      <c r="AM945">
        <v>0</v>
      </c>
      <c r="AN945">
        <v>837</v>
      </c>
      <c r="AO945">
        <v>771</v>
      </c>
      <c r="AP945">
        <f>ifood_data[[#This Row],[MntTotal]]-ifood_data[[#This Row],[MntRegularProds]]</f>
        <v>66</v>
      </c>
      <c r="AQ945">
        <v>0</v>
      </c>
      <c r="AR945">
        <f>IF(SUM(ifood_data[[#This Row],[Kidhome]:[Teenhome]])&gt;0,1,0)</f>
        <v>1</v>
      </c>
      <c r="AS945" t="str">
        <f>IF(SUM(ifood_data[[#This Row],[Kidhome]:[Teenhome]])&gt;0,"Has Family","No Family")</f>
        <v>Has Family</v>
      </c>
      <c r="AT945" t="str">
        <f>IF(ifood_data[[#This Row],[marital_Married]]=1,"Married", (IF(ifood_data[[#This Row],[marital_Single]]=1,"Single",(IF(ifood_data[[#This Row],[marital_Divorced]]=1,"Divorced",(IF(ifood_data[[#This Row],[marital_Together]]=1,"Living Together",(IF(ifood_data[[#This Row],[marital_Widow]]=1,"Widow","Other")))))))))</f>
        <v>Single</v>
      </c>
      <c r="AU945" t="str">
        <f>IF(ifood_data[[#This Row],[education_Basic]]=1,"High School",(IF(ifood_data[[#This Row],[education_Graduation]]=1,"Undergraduate Degree",(IF(SUM(AM945,AL945,AI945)&gt;0,"Master's Degree or Higher","Other")))))</f>
        <v>Master's Degree or Higher</v>
      </c>
      <c r="AV945" t="str">
        <f>IF(ifood_data[[#All],[Income]]&gt;75000,"75K+",(IF(ifood_data[[#All],[Income]]&gt;50000,"50K-75K",(IF(ifood_data[[#All],[Income]]&gt;35000,"35K-50K","&lt;35K")))))</f>
        <v>50K-75K</v>
      </c>
      <c r="AW945" t="str">
        <f>IF(ifood_data[[#All],[Age]]&gt;60,"60+",(IF(ifood_data[[#All],[Age]]&gt;50,"50-60",(IF(ifood_data[[#All],[Age]]&gt;40,"40-50",(IF(ifood_data[[#All],[Age]]&gt;30,"30-40","&lt;30")))))))</f>
        <v>50-60</v>
      </c>
      <c r="AX945">
        <f t="shared" si="56"/>
        <v>31</v>
      </c>
      <c r="AY945">
        <f t="shared" si="57"/>
        <v>6</v>
      </c>
      <c r="AZ945">
        <f t="shared" si="58"/>
        <v>9</v>
      </c>
      <c r="BA945">
        <f t="shared" si="59"/>
        <v>6</v>
      </c>
      <c r="BB945">
        <f>SUM(ifood_data[[#This Row],[Recency Score]:[Monetary Score]])</f>
        <v>21</v>
      </c>
      <c r="BC945">
        <f>(_xlfn.PERCENTRANK.INC(ifood_data[[#All],[RFM]],ifood_data[[#This Row],[RFM]],1))*10</f>
        <v>8</v>
      </c>
      <c r="BD945" t="str">
        <f>VLOOKUP(ifood_data[[#This Row],[RFM Score]],'RFM Analysis'!$A$3:$B$14,2,FALSE)</f>
        <v>Loyal Customer</v>
      </c>
      <c r="BE945">
        <f>'Regression Models'!$B$101+'Regression Models'!$B$102*ifood_data[[#This Row],[Income]]+'Regression Models'!$B$103*ifood_data[[#This Row],[Age]]+'Regression Models'!$B$104*ifood_data[[#This Row],[Family]]</f>
        <v>548.04640326374681</v>
      </c>
      <c r="BF945" t="str">
        <f>IF(ifood_data[[#This Row],[AcceptedCmpOverall]]=1,"Campaign Respondent","Non-respondent")</f>
        <v>Non-respondent</v>
      </c>
    </row>
    <row r="946" spans="1:58" x14ac:dyDescent="0.35">
      <c r="A946">
        <v>634</v>
      </c>
      <c r="B946">
        <v>54690</v>
      </c>
      <c r="C946">
        <v>1</v>
      </c>
      <c r="D946">
        <v>1</v>
      </c>
      <c r="E946">
        <v>76</v>
      </c>
      <c r="F946">
        <v>111</v>
      </c>
      <c r="G946">
        <v>16</v>
      </c>
      <c r="H946">
        <v>37</v>
      </c>
      <c r="I946">
        <v>7</v>
      </c>
      <c r="J946">
        <v>9</v>
      </c>
      <c r="K946">
        <v>18</v>
      </c>
      <c r="L946">
        <v>3</v>
      </c>
      <c r="M946">
        <v>3</v>
      </c>
      <c r="N946">
        <v>1</v>
      </c>
      <c r="O946">
        <v>5</v>
      </c>
      <c r="P946">
        <v>3</v>
      </c>
      <c r="Q946">
        <v>0</v>
      </c>
      <c r="R946">
        <v>0</v>
      </c>
      <c r="S946">
        <v>0</v>
      </c>
      <c r="T946">
        <v>0</v>
      </c>
      <c r="U946">
        <v>0</v>
      </c>
      <c r="V946">
        <f>IF(SUM(ifood_data[[#This Row],[AcceptedCmp1]:[AcceptedCmp5]])&gt;0,1,0)</f>
        <v>0</v>
      </c>
      <c r="W946">
        <v>0</v>
      </c>
      <c r="X946">
        <v>3</v>
      </c>
      <c r="Y946">
        <v>11</v>
      </c>
      <c r="Z946">
        <v>0</v>
      </c>
      <c r="AA946">
        <v>49</v>
      </c>
      <c r="AB946">
        <v>2393</v>
      </c>
      <c r="AC946" s="28">
        <f>ifood_data[[#This Row],[Customer_Days]]/365</f>
        <v>6.5561643835616437</v>
      </c>
      <c r="AD946">
        <v>0</v>
      </c>
      <c r="AE946">
        <v>1</v>
      </c>
      <c r="AF946">
        <v>0</v>
      </c>
      <c r="AG946">
        <v>0</v>
      </c>
      <c r="AH946">
        <v>0</v>
      </c>
      <c r="AI946">
        <v>1</v>
      </c>
      <c r="AJ946">
        <v>0</v>
      </c>
      <c r="AK946">
        <v>0</v>
      </c>
      <c r="AL946">
        <v>0</v>
      </c>
      <c r="AM946">
        <v>0</v>
      </c>
      <c r="AN946">
        <v>180</v>
      </c>
      <c r="AO946">
        <v>162</v>
      </c>
      <c r="AP946">
        <f>ifood_data[[#This Row],[MntTotal]]-ifood_data[[#This Row],[MntRegularProds]]</f>
        <v>18</v>
      </c>
      <c r="AQ946">
        <v>0</v>
      </c>
      <c r="AR946">
        <f>IF(SUM(ifood_data[[#This Row],[Kidhome]:[Teenhome]])&gt;0,1,0)</f>
        <v>1</v>
      </c>
      <c r="AS946" t="str">
        <f>IF(SUM(ifood_data[[#This Row],[Kidhome]:[Teenhome]])&gt;0,"Has Family","No Family")</f>
        <v>Has Family</v>
      </c>
      <c r="AT946" t="str">
        <f>IF(ifood_data[[#This Row],[marital_Married]]=1,"Married", (IF(ifood_data[[#This Row],[marital_Single]]=1,"Single",(IF(ifood_data[[#This Row],[marital_Divorced]]=1,"Divorced",(IF(ifood_data[[#This Row],[marital_Together]]=1,"Living Together",(IF(ifood_data[[#This Row],[marital_Widow]]=1,"Widow","Other")))))))))</f>
        <v>Married</v>
      </c>
      <c r="AU946" t="str">
        <f>IF(ifood_data[[#This Row],[education_Basic]]=1,"High School",(IF(ifood_data[[#This Row],[education_Graduation]]=1,"Undergraduate Degree",(IF(SUM(AM946,AL946,AI946)&gt;0,"Master's Degree or Higher","Other")))))</f>
        <v>Master's Degree or Higher</v>
      </c>
      <c r="AV946" t="str">
        <f>IF(ifood_data[[#All],[Income]]&gt;75000,"75K+",(IF(ifood_data[[#All],[Income]]&gt;50000,"50K-75K",(IF(ifood_data[[#All],[Income]]&gt;35000,"35K-50K","&lt;35K")))))</f>
        <v>50K-75K</v>
      </c>
      <c r="AW946" t="str">
        <f>IF(ifood_data[[#All],[Age]]&gt;60,"60+",(IF(ifood_data[[#All],[Age]]&gt;50,"50-60",(IF(ifood_data[[#All],[Age]]&gt;40,"40-50",(IF(ifood_data[[#All],[Age]]&gt;30,"30-40","&lt;30")))))))</f>
        <v>40-50</v>
      </c>
      <c r="AX946">
        <f t="shared" si="56"/>
        <v>15</v>
      </c>
      <c r="AY946">
        <f t="shared" si="57"/>
        <v>3.0000000000000004</v>
      </c>
      <c r="AZ946">
        <f t="shared" si="58"/>
        <v>2</v>
      </c>
      <c r="BA946">
        <f t="shared" si="59"/>
        <v>3</v>
      </c>
      <c r="BB946">
        <f>SUM(ifood_data[[#This Row],[Recency Score]:[Monetary Score]])</f>
        <v>8</v>
      </c>
      <c r="BC946">
        <f>(_xlfn.PERCENTRANK.INC(ifood_data[[#All],[RFM]],ifood_data[[#This Row],[RFM]],1))*10</f>
        <v>1</v>
      </c>
      <c r="BD946" t="str">
        <f>VLOOKUP(ifood_data[[#This Row],[RFM Score]],'RFM Analysis'!$A$3:$B$14,2,FALSE)</f>
        <v>At Risk</v>
      </c>
      <c r="BE946">
        <f>'Regression Models'!$B$101+'Regression Models'!$B$102*ifood_data[[#This Row],[Income]]+'Regression Models'!$B$103*ifood_data[[#This Row],[Age]]+'Regression Models'!$B$104*ifood_data[[#This Row],[Family]]</f>
        <v>547.64732757652894</v>
      </c>
      <c r="BF946" t="str">
        <f>IF(ifood_data[[#This Row],[AcceptedCmpOverall]]=1,"Campaign Respondent","Non-respondent")</f>
        <v>Non-respondent</v>
      </c>
    </row>
    <row r="947" spans="1:58" x14ac:dyDescent="0.35">
      <c r="A947">
        <v>1519</v>
      </c>
      <c r="B947">
        <v>56551</v>
      </c>
      <c r="C947">
        <v>1</v>
      </c>
      <c r="D947">
        <v>1</v>
      </c>
      <c r="E947">
        <v>48</v>
      </c>
      <c r="F947">
        <v>67</v>
      </c>
      <c r="G947">
        <v>4</v>
      </c>
      <c r="H947">
        <v>32</v>
      </c>
      <c r="I947">
        <v>17</v>
      </c>
      <c r="J947">
        <v>2</v>
      </c>
      <c r="K947">
        <v>16</v>
      </c>
      <c r="L947">
        <v>3</v>
      </c>
      <c r="M947">
        <v>2</v>
      </c>
      <c r="N947">
        <v>1</v>
      </c>
      <c r="O947">
        <v>4</v>
      </c>
      <c r="P947">
        <v>4</v>
      </c>
      <c r="Q947">
        <v>0</v>
      </c>
      <c r="R947">
        <v>0</v>
      </c>
      <c r="S947">
        <v>0</v>
      </c>
      <c r="T947">
        <v>0</v>
      </c>
      <c r="U947">
        <v>0</v>
      </c>
      <c r="V947">
        <f>IF(SUM(ifood_data[[#This Row],[AcceptedCmp1]:[AcceptedCmp5]])&gt;0,1,0)</f>
        <v>0</v>
      </c>
      <c r="W947">
        <v>0</v>
      </c>
      <c r="X947">
        <v>3</v>
      </c>
      <c r="Y947">
        <v>11</v>
      </c>
      <c r="Z947">
        <v>0</v>
      </c>
      <c r="AA947">
        <v>70</v>
      </c>
      <c r="AB947">
        <v>2212</v>
      </c>
      <c r="AC947" s="28">
        <f>ifood_data[[#This Row],[Customer_Days]]/365</f>
        <v>6.0602739726027401</v>
      </c>
      <c r="AD947">
        <v>0</v>
      </c>
      <c r="AE947">
        <v>0</v>
      </c>
      <c r="AF947">
        <v>0</v>
      </c>
      <c r="AG947">
        <v>0</v>
      </c>
      <c r="AH947">
        <v>1</v>
      </c>
      <c r="AI947">
        <v>0</v>
      </c>
      <c r="AJ947">
        <v>0</v>
      </c>
      <c r="AK947">
        <v>0</v>
      </c>
      <c r="AL947">
        <v>0</v>
      </c>
      <c r="AM947">
        <v>1</v>
      </c>
      <c r="AN947">
        <v>122</v>
      </c>
      <c r="AO947">
        <v>106</v>
      </c>
      <c r="AP947">
        <f>ifood_data[[#This Row],[MntTotal]]-ifood_data[[#This Row],[MntRegularProds]]</f>
        <v>16</v>
      </c>
      <c r="AQ947">
        <v>0</v>
      </c>
      <c r="AR947">
        <f>IF(SUM(ifood_data[[#This Row],[Kidhome]:[Teenhome]])&gt;0,1,0)</f>
        <v>1</v>
      </c>
      <c r="AS947" t="str">
        <f>IF(SUM(ifood_data[[#This Row],[Kidhome]:[Teenhome]])&gt;0,"Has Family","No Family")</f>
        <v>Has Family</v>
      </c>
      <c r="AT947" t="str">
        <f>IF(ifood_data[[#This Row],[marital_Married]]=1,"Married", (IF(ifood_data[[#This Row],[marital_Single]]=1,"Single",(IF(ifood_data[[#This Row],[marital_Divorced]]=1,"Divorced",(IF(ifood_data[[#This Row],[marital_Together]]=1,"Living Together",(IF(ifood_data[[#This Row],[marital_Widow]]=1,"Widow","Other")))))))))</f>
        <v>Widow</v>
      </c>
      <c r="AU947" t="str">
        <f>IF(ifood_data[[#This Row],[education_Basic]]=1,"High School",(IF(ifood_data[[#This Row],[education_Graduation]]=1,"Undergraduate Degree",(IF(SUM(AM947,AL947,AI947)&gt;0,"Master's Degree or Higher","Other")))))</f>
        <v>Master's Degree or Higher</v>
      </c>
      <c r="AV947" t="str">
        <f>IF(ifood_data[[#All],[Income]]&gt;75000,"75K+",(IF(ifood_data[[#All],[Income]]&gt;50000,"50K-75K",(IF(ifood_data[[#All],[Income]]&gt;35000,"35K-50K","&lt;35K")))))</f>
        <v>50K-75K</v>
      </c>
      <c r="AW947" t="str">
        <f>IF(ifood_data[[#All],[Age]]&gt;60,"60+",(IF(ifood_data[[#All],[Age]]&gt;50,"50-60",(IF(ifood_data[[#All],[Age]]&gt;40,"40-50",(IF(ifood_data[[#All],[Age]]&gt;30,"30-40","&lt;30")))))))</f>
        <v>60+</v>
      </c>
      <c r="AX947">
        <f t="shared" si="56"/>
        <v>14</v>
      </c>
      <c r="AY947">
        <f t="shared" si="57"/>
        <v>6</v>
      </c>
      <c r="AZ947">
        <f t="shared" si="58"/>
        <v>2</v>
      </c>
      <c r="BA947">
        <f t="shared" si="59"/>
        <v>3</v>
      </c>
      <c r="BB947">
        <f>SUM(ifood_data[[#This Row],[Recency Score]:[Monetary Score]])</f>
        <v>11</v>
      </c>
      <c r="BC947">
        <f>(_xlfn.PERCENTRANK.INC(ifood_data[[#All],[RFM]],ifood_data[[#This Row],[RFM]],1))*10</f>
        <v>2</v>
      </c>
      <c r="BD947" t="str">
        <f>VLOOKUP(ifood_data[[#This Row],[RFM Score]],'RFM Analysis'!$A$3:$B$14,2,FALSE)</f>
        <v>At Risk</v>
      </c>
      <c r="BE947">
        <f>'Regression Models'!$B$101+'Regression Models'!$B$102*ifood_data[[#This Row],[Income]]+'Regression Models'!$B$103*ifood_data[[#This Row],[Age]]+'Regression Models'!$B$104*ifood_data[[#This Row],[Family]]</f>
        <v>547.02560443554501</v>
      </c>
      <c r="BF947" t="str">
        <f>IF(ifood_data[[#This Row],[AcceptedCmpOverall]]=1,"Campaign Respondent","Non-respondent")</f>
        <v>Non-respondent</v>
      </c>
    </row>
    <row r="948" spans="1:58" x14ac:dyDescent="0.35">
      <c r="A948">
        <v>1051</v>
      </c>
      <c r="B948">
        <v>54466</v>
      </c>
      <c r="C948">
        <v>1</v>
      </c>
      <c r="D948">
        <v>1</v>
      </c>
      <c r="E948">
        <v>78</v>
      </c>
      <c r="F948">
        <v>12</v>
      </c>
      <c r="G948">
        <v>0</v>
      </c>
      <c r="H948">
        <v>4</v>
      </c>
      <c r="I948">
        <v>0</v>
      </c>
      <c r="J948">
        <v>0</v>
      </c>
      <c r="K948">
        <v>0</v>
      </c>
      <c r="L948">
        <v>1</v>
      </c>
      <c r="M948">
        <v>1</v>
      </c>
      <c r="N948">
        <v>0</v>
      </c>
      <c r="O948">
        <v>2</v>
      </c>
      <c r="P948">
        <v>5</v>
      </c>
      <c r="Q948">
        <v>0</v>
      </c>
      <c r="R948">
        <v>0</v>
      </c>
      <c r="S948">
        <v>0</v>
      </c>
      <c r="T948">
        <v>0</v>
      </c>
      <c r="U948">
        <v>0</v>
      </c>
      <c r="V948">
        <f>IF(SUM(ifood_data[[#This Row],[AcceptedCmp1]:[AcceptedCmp5]])&gt;0,1,0)</f>
        <v>0</v>
      </c>
      <c r="W948">
        <v>0</v>
      </c>
      <c r="X948">
        <v>3</v>
      </c>
      <c r="Y948">
        <v>11</v>
      </c>
      <c r="Z948">
        <v>0</v>
      </c>
      <c r="AA948">
        <v>47</v>
      </c>
      <c r="AB948">
        <v>2299</v>
      </c>
      <c r="AC948" s="28">
        <f>ifood_data[[#This Row],[Customer_Days]]/365</f>
        <v>6.2986301369863016</v>
      </c>
      <c r="AD948">
        <v>0</v>
      </c>
      <c r="AE948">
        <v>0</v>
      </c>
      <c r="AF948">
        <v>1</v>
      </c>
      <c r="AG948">
        <v>0</v>
      </c>
      <c r="AH948">
        <v>0</v>
      </c>
      <c r="AI948">
        <v>0</v>
      </c>
      <c r="AJ948">
        <v>0</v>
      </c>
      <c r="AK948">
        <v>0</v>
      </c>
      <c r="AL948">
        <v>0</v>
      </c>
      <c r="AM948">
        <v>1</v>
      </c>
      <c r="AN948">
        <v>16</v>
      </c>
      <c r="AO948">
        <v>16</v>
      </c>
      <c r="AP948">
        <f>ifood_data[[#This Row],[MntTotal]]-ifood_data[[#This Row],[MntRegularProds]]</f>
        <v>0</v>
      </c>
      <c r="AQ948">
        <v>0</v>
      </c>
      <c r="AR948">
        <f>IF(SUM(ifood_data[[#This Row],[Kidhome]:[Teenhome]])&gt;0,1,0)</f>
        <v>1</v>
      </c>
      <c r="AS948" t="str">
        <f>IF(SUM(ifood_data[[#This Row],[Kidhome]:[Teenhome]])&gt;0,"Has Family","No Family")</f>
        <v>Has Family</v>
      </c>
      <c r="AT948" t="str">
        <f>IF(ifood_data[[#This Row],[marital_Married]]=1,"Married", (IF(ifood_data[[#This Row],[marital_Single]]=1,"Single",(IF(ifood_data[[#This Row],[marital_Divorced]]=1,"Divorced",(IF(ifood_data[[#This Row],[marital_Together]]=1,"Living Together",(IF(ifood_data[[#This Row],[marital_Widow]]=1,"Widow","Other")))))))))</f>
        <v>Single</v>
      </c>
      <c r="AU948" t="str">
        <f>IF(ifood_data[[#This Row],[education_Basic]]=1,"High School",(IF(ifood_data[[#This Row],[education_Graduation]]=1,"Undergraduate Degree",(IF(SUM(AM948,AL948,AI948)&gt;0,"Master's Degree or Higher","Other")))))</f>
        <v>Master's Degree or Higher</v>
      </c>
      <c r="AV948" t="str">
        <f>IF(ifood_data[[#All],[Income]]&gt;75000,"75K+",(IF(ifood_data[[#All],[Income]]&gt;50000,"50K-75K",(IF(ifood_data[[#All],[Income]]&gt;35000,"35K-50K","&lt;35K")))))</f>
        <v>50K-75K</v>
      </c>
      <c r="AW948" t="str">
        <f>IF(ifood_data[[#All],[Age]]&gt;60,"60+",(IF(ifood_data[[#All],[Age]]&gt;50,"50-60",(IF(ifood_data[[#All],[Age]]&gt;40,"40-50",(IF(ifood_data[[#All],[Age]]&gt;30,"30-40","&lt;30")))))))</f>
        <v>40-50</v>
      </c>
      <c r="AX948">
        <f t="shared" si="56"/>
        <v>9</v>
      </c>
      <c r="AY948">
        <f t="shared" si="57"/>
        <v>3.0000000000000004</v>
      </c>
      <c r="AZ948">
        <f t="shared" si="58"/>
        <v>0</v>
      </c>
      <c r="BA948">
        <f t="shared" si="59"/>
        <v>0</v>
      </c>
      <c r="BB948">
        <f>SUM(ifood_data[[#This Row],[Recency Score]:[Monetary Score]])</f>
        <v>3.0000000000000004</v>
      </c>
      <c r="BC948">
        <f>(_xlfn.PERCENTRANK.INC(ifood_data[[#All],[RFM]],ifood_data[[#This Row],[RFM]],1))*10</f>
        <v>0</v>
      </c>
      <c r="BD948" t="str">
        <f>VLOOKUP(ifood_data[[#This Row],[RFM Score]],'RFM Analysis'!$A$3:$B$14,2,FALSE)</f>
        <v>Lost</v>
      </c>
      <c r="BE948">
        <f>'Regression Models'!$B$101+'Regression Models'!$B$102*ifood_data[[#This Row],[Income]]+'Regression Models'!$B$103*ifood_data[[#This Row],[Age]]+'Regression Models'!$B$104*ifood_data[[#This Row],[Family]]</f>
        <v>546.75312167008417</v>
      </c>
      <c r="BF948" t="str">
        <f>IF(ifood_data[[#This Row],[AcceptedCmpOverall]]=1,"Campaign Respondent","Non-respondent")</f>
        <v>Non-respondent</v>
      </c>
    </row>
    <row r="949" spans="1:58" x14ac:dyDescent="0.35">
      <c r="A949">
        <v>344</v>
      </c>
      <c r="B949">
        <v>54803</v>
      </c>
      <c r="C949">
        <v>0</v>
      </c>
      <c r="D949">
        <v>1</v>
      </c>
      <c r="E949">
        <v>65</v>
      </c>
      <c r="F949">
        <v>404</v>
      </c>
      <c r="G949">
        <v>0</v>
      </c>
      <c r="H949">
        <v>92</v>
      </c>
      <c r="I949">
        <v>28</v>
      </c>
      <c r="J949">
        <v>27</v>
      </c>
      <c r="K949">
        <v>142</v>
      </c>
      <c r="L949">
        <v>2</v>
      </c>
      <c r="M949">
        <v>6</v>
      </c>
      <c r="N949">
        <v>2</v>
      </c>
      <c r="O949">
        <v>9</v>
      </c>
      <c r="P949">
        <v>4</v>
      </c>
      <c r="Q949">
        <v>0</v>
      </c>
      <c r="R949">
        <v>0</v>
      </c>
      <c r="S949">
        <v>0</v>
      </c>
      <c r="T949">
        <v>0</v>
      </c>
      <c r="U949">
        <v>0</v>
      </c>
      <c r="V949">
        <f>IF(SUM(ifood_data[[#This Row],[AcceptedCmp1]:[AcceptedCmp5]])&gt;0,1,0)</f>
        <v>0</v>
      </c>
      <c r="W949">
        <v>0</v>
      </c>
      <c r="X949">
        <v>3</v>
      </c>
      <c r="Y949">
        <v>11</v>
      </c>
      <c r="Z949">
        <v>0</v>
      </c>
      <c r="AA949">
        <v>51</v>
      </c>
      <c r="AB949">
        <v>2836</v>
      </c>
      <c r="AC949" s="28">
        <f>ifood_data[[#This Row],[Customer_Days]]/365</f>
        <v>7.7698630136986298</v>
      </c>
      <c r="AD949">
        <v>0</v>
      </c>
      <c r="AE949">
        <v>0</v>
      </c>
      <c r="AF949">
        <v>1</v>
      </c>
      <c r="AG949">
        <v>0</v>
      </c>
      <c r="AH949">
        <v>0</v>
      </c>
      <c r="AI949">
        <v>0</v>
      </c>
      <c r="AJ949">
        <v>0</v>
      </c>
      <c r="AK949">
        <v>1</v>
      </c>
      <c r="AL949">
        <v>0</v>
      </c>
      <c r="AM949">
        <v>0</v>
      </c>
      <c r="AN949">
        <v>551</v>
      </c>
      <c r="AO949">
        <v>409</v>
      </c>
      <c r="AP949">
        <f>ifood_data[[#This Row],[MntTotal]]-ifood_data[[#This Row],[MntRegularProds]]</f>
        <v>142</v>
      </c>
      <c r="AQ949">
        <v>0</v>
      </c>
      <c r="AR949">
        <f>IF(SUM(ifood_data[[#This Row],[Kidhome]:[Teenhome]])&gt;0,1,0)</f>
        <v>1</v>
      </c>
      <c r="AS949" t="str">
        <f>IF(SUM(ifood_data[[#This Row],[Kidhome]:[Teenhome]])&gt;0,"Has Family","No Family")</f>
        <v>Has Family</v>
      </c>
      <c r="AT949" t="str">
        <f>IF(ifood_data[[#This Row],[marital_Married]]=1,"Married", (IF(ifood_data[[#This Row],[marital_Single]]=1,"Single",(IF(ifood_data[[#This Row],[marital_Divorced]]=1,"Divorced",(IF(ifood_data[[#This Row],[marital_Together]]=1,"Living Together",(IF(ifood_data[[#This Row],[marital_Widow]]=1,"Widow","Other")))))))))</f>
        <v>Single</v>
      </c>
      <c r="AU949" t="str">
        <f>IF(ifood_data[[#This Row],[education_Basic]]=1,"High School",(IF(ifood_data[[#This Row],[education_Graduation]]=1,"Undergraduate Degree",(IF(SUM(AM949,AL949,AI949)&gt;0,"Master's Degree or Higher","Other")))))</f>
        <v>Undergraduate Degree</v>
      </c>
      <c r="AV949" t="str">
        <f>IF(ifood_data[[#All],[Income]]&gt;75000,"75K+",(IF(ifood_data[[#All],[Income]]&gt;50000,"50K-75K",(IF(ifood_data[[#All],[Income]]&gt;35000,"35K-50K","&lt;35K")))))</f>
        <v>50K-75K</v>
      </c>
      <c r="AW949" t="str">
        <f>IF(ifood_data[[#All],[Age]]&gt;60,"60+",(IF(ifood_data[[#All],[Age]]&gt;50,"50-60",(IF(ifood_data[[#All],[Age]]&gt;40,"40-50",(IF(ifood_data[[#All],[Age]]&gt;30,"30-40","&lt;30")))))))</f>
        <v>50-60</v>
      </c>
      <c r="AX949">
        <f t="shared" si="56"/>
        <v>23</v>
      </c>
      <c r="AY949">
        <f t="shared" si="57"/>
        <v>4</v>
      </c>
      <c r="AZ949">
        <f t="shared" si="58"/>
        <v>6</v>
      </c>
      <c r="BA949">
        <f t="shared" si="59"/>
        <v>5</v>
      </c>
      <c r="BB949">
        <f>SUM(ifood_data[[#This Row],[Recency Score]:[Monetary Score]])</f>
        <v>15</v>
      </c>
      <c r="BC949">
        <f>(_xlfn.PERCENTRANK.INC(ifood_data[[#All],[RFM]],ifood_data[[#This Row],[RFM]],1))*10</f>
        <v>4</v>
      </c>
      <c r="BD949" t="str">
        <f>VLOOKUP(ifood_data[[#This Row],[RFM Score]],'RFM Analysis'!$A$3:$B$14,2,FALSE)</f>
        <v>At Risk</v>
      </c>
      <c r="BE949">
        <f>'Regression Models'!$B$101+'Regression Models'!$B$102*ifood_data[[#This Row],[Income]]+'Regression Models'!$B$103*ifood_data[[#This Row],[Age]]+'Regression Models'!$B$104*ifood_data[[#This Row],[Family]]</f>
        <v>546.27838021900095</v>
      </c>
      <c r="BF949" t="str">
        <f>IF(ifood_data[[#This Row],[AcceptedCmpOverall]]=1,"Campaign Respondent","Non-respondent")</f>
        <v>Non-respondent</v>
      </c>
    </row>
    <row r="950" spans="1:58" x14ac:dyDescent="0.35">
      <c r="A950">
        <v>518</v>
      </c>
      <c r="B950">
        <v>54058</v>
      </c>
      <c r="C950">
        <v>0</v>
      </c>
      <c r="D950">
        <v>1</v>
      </c>
      <c r="E950">
        <v>56</v>
      </c>
      <c r="F950">
        <v>198</v>
      </c>
      <c r="G950">
        <v>18</v>
      </c>
      <c r="H950">
        <v>252</v>
      </c>
      <c r="I950">
        <v>32</v>
      </c>
      <c r="J950">
        <v>108</v>
      </c>
      <c r="K950">
        <v>54</v>
      </c>
      <c r="L950">
        <v>2</v>
      </c>
      <c r="M950">
        <v>4</v>
      </c>
      <c r="N950">
        <v>6</v>
      </c>
      <c r="O950">
        <v>8</v>
      </c>
      <c r="P950">
        <v>3</v>
      </c>
      <c r="Q950">
        <v>0</v>
      </c>
      <c r="R950">
        <v>0</v>
      </c>
      <c r="S950">
        <v>0</v>
      </c>
      <c r="T950">
        <v>0</v>
      </c>
      <c r="U950">
        <v>0</v>
      </c>
      <c r="V950">
        <f>IF(SUM(ifood_data[[#This Row],[AcceptedCmp1]:[AcceptedCmp5]])&gt;0,1,0)</f>
        <v>0</v>
      </c>
      <c r="W950">
        <v>0</v>
      </c>
      <c r="X950">
        <v>3</v>
      </c>
      <c r="Y950">
        <v>11</v>
      </c>
      <c r="Z950">
        <v>0</v>
      </c>
      <c r="AA950">
        <v>44</v>
      </c>
      <c r="AB950">
        <v>2549</v>
      </c>
      <c r="AC950" s="28">
        <f>ifood_data[[#This Row],[Customer_Days]]/365</f>
        <v>6.9835616438356167</v>
      </c>
      <c r="AD950">
        <v>0</v>
      </c>
      <c r="AE950">
        <v>0</v>
      </c>
      <c r="AF950">
        <v>0</v>
      </c>
      <c r="AG950">
        <v>1</v>
      </c>
      <c r="AH950">
        <v>0</v>
      </c>
      <c r="AI950">
        <v>0</v>
      </c>
      <c r="AJ950">
        <v>0</v>
      </c>
      <c r="AK950">
        <v>1</v>
      </c>
      <c r="AL950">
        <v>0</v>
      </c>
      <c r="AM950">
        <v>0</v>
      </c>
      <c r="AN950">
        <v>608</v>
      </c>
      <c r="AO950">
        <v>554</v>
      </c>
      <c r="AP950">
        <f>ifood_data[[#This Row],[MntTotal]]-ifood_data[[#This Row],[MntRegularProds]]</f>
        <v>54</v>
      </c>
      <c r="AQ950">
        <v>0</v>
      </c>
      <c r="AR950">
        <f>IF(SUM(ifood_data[[#This Row],[Kidhome]:[Teenhome]])&gt;0,1,0)</f>
        <v>1</v>
      </c>
      <c r="AS950" t="str">
        <f>IF(SUM(ifood_data[[#This Row],[Kidhome]:[Teenhome]])&gt;0,"Has Family","No Family")</f>
        <v>Has Family</v>
      </c>
      <c r="AT950" t="str">
        <f>IF(ifood_data[[#This Row],[marital_Married]]=1,"Married", (IF(ifood_data[[#This Row],[marital_Single]]=1,"Single",(IF(ifood_data[[#This Row],[marital_Divorced]]=1,"Divorced",(IF(ifood_data[[#This Row],[marital_Together]]=1,"Living Together",(IF(ifood_data[[#This Row],[marital_Widow]]=1,"Widow","Other")))))))))</f>
        <v>Living Together</v>
      </c>
      <c r="AU950" t="str">
        <f>IF(ifood_data[[#This Row],[education_Basic]]=1,"High School",(IF(ifood_data[[#This Row],[education_Graduation]]=1,"Undergraduate Degree",(IF(SUM(AM950,AL950,AI950)&gt;0,"Master's Degree or Higher","Other")))))</f>
        <v>Undergraduate Degree</v>
      </c>
      <c r="AV950" t="str">
        <f>IF(ifood_data[[#All],[Income]]&gt;75000,"75K+",(IF(ifood_data[[#All],[Income]]&gt;50000,"50K-75K",(IF(ifood_data[[#All],[Income]]&gt;35000,"35K-50K","&lt;35K")))))</f>
        <v>50K-75K</v>
      </c>
      <c r="AW950" t="str">
        <f>IF(ifood_data[[#All],[Age]]&gt;60,"60+",(IF(ifood_data[[#All],[Age]]&gt;50,"50-60",(IF(ifood_data[[#All],[Age]]&gt;40,"40-50",(IF(ifood_data[[#All],[Age]]&gt;30,"30-40","&lt;30")))))))</f>
        <v>40-50</v>
      </c>
      <c r="AX950">
        <f t="shared" si="56"/>
        <v>23</v>
      </c>
      <c r="AY950">
        <f t="shared" si="57"/>
        <v>5</v>
      </c>
      <c r="AZ950">
        <f t="shared" si="58"/>
        <v>6</v>
      </c>
      <c r="BA950">
        <f t="shared" si="59"/>
        <v>6</v>
      </c>
      <c r="BB950">
        <f>SUM(ifood_data[[#This Row],[Recency Score]:[Monetary Score]])</f>
        <v>17</v>
      </c>
      <c r="BC950">
        <f>(_xlfn.PERCENTRANK.INC(ifood_data[[#All],[RFM]],ifood_data[[#This Row],[RFM]],1))*10</f>
        <v>6</v>
      </c>
      <c r="BD950" t="str">
        <f>VLOOKUP(ifood_data[[#This Row],[RFM Score]],'RFM Analysis'!$A$3:$B$14,2,FALSE)</f>
        <v>Promising</v>
      </c>
      <c r="BE950">
        <f>'Regression Models'!$B$101+'Regression Models'!$B$102*ifood_data[[#This Row],[Income]]+'Regression Models'!$B$103*ifood_data[[#This Row],[Age]]+'Regression Models'!$B$104*ifood_data[[#This Row],[Family]]</f>
        <v>543.94382150405625</v>
      </c>
      <c r="BF950" t="str">
        <f>IF(ifood_data[[#This Row],[AcceptedCmpOverall]]=1,"Campaign Respondent","Non-respondent")</f>
        <v>Non-respondent</v>
      </c>
    </row>
    <row r="951" spans="1:58" x14ac:dyDescent="0.35">
      <c r="A951">
        <v>111</v>
      </c>
      <c r="B951">
        <v>56129</v>
      </c>
      <c r="C951">
        <v>0</v>
      </c>
      <c r="D951">
        <v>1</v>
      </c>
      <c r="E951">
        <v>65</v>
      </c>
      <c r="F951">
        <v>320</v>
      </c>
      <c r="G951">
        <v>48</v>
      </c>
      <c r="H951">
        <v>133</v>
      </c>
      <c r="I951">
        <v>39</v>
      </c>
      <c r="J951">
        <v>72</v>
      </c>
      <c r="K951">
        <v>48</v>
      </c>
      <c r="L951">
        <v>4</v>
      </c>
      <c r="M951">
        <v>6</v>
      </c>
      <c r="N951">
        <v>2</v>
      </c>
      <c r="O951">
        <v>10</v>
      </c>
      <c r="P951">
        <v>4</v>
      </c>
      <c r="Q951">
        <v>0</v>
      </c>
      <c r="R951">
        <v>0</v>
      </c>
      <c r="S951">
        <v>0</v>
      </c>
      <c r="T951">
        <v>0</v>
      </c>
      <c r="U951">
        <v>0</v>
      </c>
      <c r="V951">
        <f>IF(SUM(ifood_data[[#This Row],[AcceptedCmp1]:[AcceptedCmp5]])&gt;0,1,0)</f>
        <v>0</v>
      </c>
      <c r="W951">
        <v>0</v>
      </c>
      <c r="X951">
        <v>3</v>
      </c>
      <c r="Y951">
        <v>11</v>
      </c>
      <c r="Z951">
        <v>0</v>
      </c>
      <c r="AA951">
        <v>67</v>
      </c>
      <c r="AB951">
        <v>2533</v>
      </c>
      <c r="AC951" s="28">
        <f>ifood_data[[#This Row],[Customer_Days]]/365</f>
        <v>6.9397260273972599</v>
      </c>
      <c r="AD951">
        <v>0</v>
      </c>
      <c r="AE951">
        <v>0</v>
      </c>
      <c r="AF951">
        <v>0</v>
      </c>
      <c r="AG951">
        <v>1</v>
      </c>
      <c r="AH951">
        <v>0</v>
      </c>
      <c r="AI951">
        <v>0</v>
      </c>
      <c r="AJ951">
        <v>0</v>
      </c>
      <c r="AK951">
        <v>0</v>
      </c>
      <c r="AL951">
        <v>1</v>
      </c>
      <c r="AM951">
        <v>0</v>
      </c>
      <c r="AN951">
        <v>612</v>
      </c>
      <c r="AO951">
        <v>564</v>
      </c>
      <c r="AP951">
        <f>ifood_data[[#This Row],[MntTotal]]-ifood_data[[#This Row],[MntRegularProds]]</f>
        <v>48</v>
      </c>
      <c r="AQ951">
        <v>0</v>
      </c>
      <c r="AR951">
        <f>IF(SUM(ifood_data[[#This Row],[Kidhome]:[Teenhome]])&gt;0,1,0)</f>
        <v>1</v>
      </c>
      <c r="AS951" t="str">
        <f>IF(SUM(ifood_data[[#This Row],[Kidhome]:[Teenhome]])&gt;0,"Has Family","No Family")</f>
        <v>Has Family</v>
      </c>
      <c r="AT951" t="str">
        <f>IF(ifood_data[[#This Row],[marital_Married]]=1,"Married", (IF(ifood_data[[#This Row],[marital_Single]]=1,"Single",(IF(ifood_data[[#This Row],[marital_Divorced]]=1,"Divorced",(IF(ifood_data[[#This Row],[marital_Together]]=1,"Living Together",(IF(ifood_data[[#This Row],[marital_Widow]]=1,"Widow","Other")))))))))</f>
        <v>Living Together</v>
      </c>
      <c r="AU951" t="str">
        <f>IF(ifood_data[[#This Row],[education_Basic]]=1,"High School",(IF(ifood_data[[#This Row],[education_Graduation]]=1,"Undergraduate Degree",(IF(SUM(AM951,AL951,AI951)&gt;0,"Master's Degree or Higher","Other")))))</f>
        <v>Master's Degree or Higher</v>
      </c>
      <c r="AV951" t="str">
        <f>IF(ifood_data[[#All],[Income]]&gt;75000,"75K+",(IF(ifood_data[[#All],[Income]]&gt;50000,"50K-75K",(IF(ifood_data[[#All],[Income]]&gt;35000,"35K-50K","&lt;35K")))))</f>
        <v>50K-75K</v>
      </c>
      <c r="AW951" t="str">
        <f>IF(ifood_data[[#All],[Age]]&gt;60,"60+",(IF(ifood_data[[#All],[Age]]&gt;50,"50-60",(IF(ifood_data[[#All],[Age]]&gt;40,"40-50",(IF(ifood_data[[#All],[Age]]&gt;30,"30-40","&lt;30")))))))</f>
        <v>60+</v>
      </c>
      <c r="AX951">
        <f t="shared" si="56"/>
        <v>26</v>
      </c>
      <c r="AY951">
        <f t="shared" si="57"/>
        <v>4</v>
      </c>
      <c r="AZ951">
        <f t="shared" si="58"/>
        <v>7</v>
      </c>
      <c r="BA951">
        <f t="shared" si="59"/>
        <v>6</v>
      </c>
      <c r="BB951">
        <f>SUM(ifood_data[[#This Row],[Recency Score]:[Monetary Score]])</f>
        <v>17</v>
      </c>
      <c r="BC951">
        <f>(_xlfn.PERCENTRANK.INC(ifood_data[[#All],[RFM]],ifood_data[[#This Row],[RFM]],1))*10</f>
        <v>6</v>
      </c>
      <c r="BD951" t="str">
        <f>VLOOKUP(ifood_data[[#This Row],[RFM Score]],'RFM Analysis'!$A$3:$B$14,2,FALSE)</f>
        <v>Promising</v>
      </c>
      <c r="BE951">
        <f>'Regression Models'!$B$101+'Regression Models'!$B$102*ifood_data[[#This Row],[Income]]+'Regression Models'!$B$103*ifood_data[[#This Row],[Age]]+'Regression Models'!$B$104*ifood_data[[#This Row],[Family]]</f>
        <v>543.93086151550244</v>
      </c>
      <c r="BF951" t="str">
        <f>IF(ifood_data[[#This Row],[AcceptedCmpOverall]]=1,"Campaign Respondent","Non-respondent")</f>
        <v>Non-respondent</v>
      </c>
    </row>
    <row r="952" spans="1:58" x14ac:dyDescent="0.35">
      <c r="A952">
        <v>1500</v>
      </c>
      <c r="B952">
        <v>41003</v>
      </c>
      <c r="C952">
        <v>0</v>
      </c>
      <c r="D952">
        <v>0</v>
      </c>
      <c r="E952">
        <v>11</v>
      </c>
      <c r="F952">
        <v>123</v>
      </c>
      <c r="G952">
        <v>133</v>
      </c>
      <c r="H952">
        <v>142</v>
      </c>
      <c r="I952">
        <v>71</v>
      </c>
      <c r="J952">
        <v>44</v>
      </c>
      <c r="K952">
        <v>88</v>
      </c>
      <c r="L952">
        <v>1</v>
      </c>
      <c r="M952">
        <v>6</v>
      </c>
      <c r="N952">
        <v>2</v>
      </c>
      <c r="O952">
        <v>8</v>
      </c>
      <c r="P952">
        <v>6</v>
      </c>
      <c r="Q952">
        <v>0</v>
      </c>
      <c r="R952">
        <v>0</v>
      </c>
      <c r="S952">
        <v>0</v>
      </c>
      <c r="T952">
        <v>0</v>
      </c>
      <c r="U952">
        <v>0</v>
      </c>
      <c r="V952">
        <f>IF(SUM(ifood_data[[#This Row],[AcceptedCmp1]:[AcceptedCmp5]])&gt;0,1,0)</f>
        <v>0</v>
      </c>
      <c r="W952">
        <v>0</v>
      </c>
      <c r="X952">
        <v>3</v>
      </c>
      <c r="Y952">
        <v>11</v>
      </c>
      <c r="Z952">
        <v>0</v>
      </c>
      <c r="AA952">
        <v>57</v>
      </c>
      <c r="AB952">
        <v>2628</v>
      </c>
      <c r="AC952" s="28">
        <f>ifood_data[[#This Row],[Customer_Days]]/365</f>
        <v>7.2</v>
      </c>
      <c r="AD952">
        <v>1</v>
      </c>
      <c r="AE952">
        <v>0</v>
      </c>
      <c r="AF952">
        <v>0</v>
      </c>
      <c r="AG952">
        <v>0</v>
      </c>
      <c r="AH952">
        <v>0</v>
      </c>
      <c r="AI952">
        <v>0</v>
      </c>
      <c r="AJ952">
        <v>0</v>
      </c>
      <c r="AK952">
        <v>0</v>
      </c>
      <c r="AL952">
        <v>0</v>
      </c>
      <c r="AM952">
        <v>1</v>
      </c>
      <c r="AN952">
        <v>513</v>
      </c>
      <c r="AO952">
        <v>425</v>
      </c>
      <c r="AP952">
        <f>ifood_data[[#This Row],[MntTotal]]-ifood_data[[#This Row],[MntRegularProds]]</f>
        <v>88</v>
      </c>
      <c r="AQ952">
        <v>0</v>
      </c>
      <c r="AR952">
        <f>IF(SUM(ifood_data[[#This Row],[Kidhome]:[Teenhome]])&gt;0,1,0)</f>
        <v>0</v>
      </c>
      <c r="AS952" t="str">
        <f>IF(SUM(ifood_data[[#This Row],[Kidhome]:[Teenhome]])&gt;0,"Has Family","No Family")</f>
        <v>No Family</v>
      </c>
      <c r="AT952" t="str">
        <f>IF(ifood_data[[#This Row],[marital_Married]]=1,"Married", (IF(ifood_data[[#This Row],[marital_Single]]=1,"Single",(IF(ifood_data[[#This Row],[marital_Divorced]]=1,"Divorced",(IF(ifood_data[[#This Row],[marital_Together]]=1,"Living Together",(IF(ifood_data[[#This Row],[marital_Widow]]=1,"Widow","Other")))))))))</f>
        <v>Divorced</v>
      </c>
      <c r="AU952" t="str">
        <f>IF(ifood_data[[#This Row],[education_Basic]]=1,"High School",(IF(ifood_data[[#This Row],[education_Graduation]]=1,"Undergraduate Degree",(IF(SUM(AM952,AL952,AI952)&gt;0,"Master's Degree or Higher","Other")))))</f>
        <v>Master's Degree or Higher</v>
      </c>
      <c r="AV952" t="str">
        <f>IF(ifood_data[[#All],[Income]]&gt;75000,"75K+",(IF(ifood_data[[#All],[Income]]&gt;50000,"50K-75K",(IF(ifood_data[[#All],[Income]]&gt;35000,"35K-50K","&lt;35K")))))</f>
        <v>35K-50K</v>
      </c>
      <c r="AW952" t="str">
        <f>IF(ifood_data[[#All],[Age]]&gt;60,"60+",(IF(ifood_data[[#All],[Age]]&gt;50,"50-60",(IF(ifood_data[[#All],[Age]]&gt;40,"40-50",(IF(ifood_data[[#All],[Age]]&gt;30,"30-40","&lt;30")))))))</f>
        <v>50-60</v>
      </c>
      <c r="AX952">
        <f t="shared" si="56"/>
        <v>23</v>
      </c>
      <c r="AY952">
        <f t="shared" si="57"/>
        <v>9</v>
      </c>
      <c r="AZ952">
        <f t="shared" si="58"/>
        <v>6</v>
      </c>
      <c r="BA952">
        <f t="shared" si="59"/>
        <v>5</v>
      </c>
      <c r="BB952">
        <f>SUM(ifood_data[[#This Row],[Recency Score]:[Monetary Score]])</f>
        <v>20</v>
      </c>
      <c r="BC952">
        <f>(_xlfn.PERCENTRANK.INC(ifood_data[[#All],[RFM]],ifood_data[[#This Row],[RFM]],1))*10</f>
        <v>7</v>
      </c>
      <c r="BD952" t="str">
        <f>VLOOKUP(ifood_data[[#This Row],[RFM Score]],'RFM Analysis'!$A$3:$B$14,2,FALSE)</f>
        <v>Loyal Customer</v>
      </c>
      <c r="BE952">
        <f>'Regression Models'!$B$101+'Regression Models'!$B$102*ifood_data[[#This Row],[Income]]+'Regression Models'!$B$103*ifood_data[[#This Row],[Age]]+'Regression Models'!$B$104*ifood_data[[#This Row],[Family]]</f>
        <v>543.50837643284603</v>
      </c>
      <c r="BF952" t="str">
        <f>IF(ifood_data[[#This Row],[AcceptedCmpOverall]]=1,"Campaign Respondent","Non-respondent")</f>
        <v>Non-respondent</v>
      </c>
    </row>
    <row r="953" spans="1:58" x14ac:dyDescent="0.35">
      <c r="A953">
        <v>1572</v>
      </c>
      <c r="B953">
        <v>54222</v>
      </c>
      <c r="C953">
        <v>0</v>
      </c>
      <c r="D953">
        <v>1</v>
      </c>
      <c r="E953">
        <v>98</v>
      </c>
      <c r="F953">
        <v>199</v>
      </c>
      <c r="G953">
        <v>12</v>
      </c>
      <c r="H953">
        <v>31</v>
      </c>
      <c r="I953">
        <v>3</v>
      </c>
      <c r="J953">
        <v>12</v>
      </c>
      <c r="K953">
        <v>7</v>
      </c>
      <c r="L953">
        <v>1</v>
      </c>
      <c r="M953">
        <v>3</v>
      </c>
      <c r="N953">
        <v>3</v>
      </c>
      <c r="O953">
        <v>5</v>
      </c>
      <c r="P953">
        <v>3</v>
      </c>
      <c r="Q953">
        <v>0</v>
      </c>
      <c r="R953">
        <v>0</v>
      </c>
      <c r="S953">
        <v>0</v>
      </c>
      <c r="T953">
        <v>0</v>
      </c>
      <c r="U953">
        <v>0</v>
      </c>
      <c r="V953">
        <f>IF(SUM(ifood_data[[#This Row],[AcceptedCmp1]:[AcceptedCmp5]])&gt;0,1,0)</f>
        <v>0</v>
      </c>
      <c r="W953">
        <v>0</v>
      </c>
      <c r="X953">
        <v>3</v>
      </c>
      <c r="Y953">
        <v>11</v>
      </c>
      <c r="Z953">
        <v>0</v>
      </c>
      <c r="AA953">
        <v>47</v>
      </c>
      <c r="AB953">
        <v>2279</v>
      </c>
      <c r="AC953" s="28">
        <f>ifood_data[[#This Row],[Customer_Days]]/365</f>
        <v>6.2438356164383562</v>
      </c>
      <c r="AD953">
        <v>0</v>
      </c>
      <c r="AE953">
        <v>1</v>
      </c>
      <c r="AF953">
        <v>0</v>
      </c>
      <c r="AG953">
        <v>0</v>
      </c>
      <c r="AH953">
        <v>0</v>
      </c>
      <c r="AI953">
        <v>0</v>
      </c>
      <c r="AJ953">
        <v>0</v>
      </c>
      <c r="AK953">
        <v>0</v>
      </c>
      <c r="AL953">
        <v>0</v>
      </c>
      <c r="AM953">
        <v>1</v>
      </c>
      <c r="AN953">
        <v>257</v>
      </c>
      <c r="AO953">
        <v>250</v>
      </c>
      <c r="AP953">
        <f>ifood_data[[#This Row],[MntTotal]]-ifood_data[[#This Row],[MntRegularProds]]</f>
        <v>7</v>
      </c>
      <c r="AQ953">
        <v>0</v>
      </c>
      <c r="AR953">
        <f>IF(SUM(ifood_data[[#This Row],[Kidhome]:[Teenhome]])&gt;0,1,0)</f>
        <v>1</v>
      </c>
      <c r="AS953" t="str">
        <f>IF(SUM(ifood_data[[#This Row],[Kidhome]:[Teenhome]])&gt;0,"Has Family","No Family")</f>
        <v>Has Family</v>
      </c>
      <c r="AT953" t="str">
        <f>IF(ifood_data[[#This Row],[marital_Married]]=1,"Married", (IF(ifood_data[[#This Row],[marital_Single]]=1,"Single",(IF(ifood_data[[#This Row],[marital_Divorced]]=1,"Divorced",(IF(ifood_data[[#This Row],[marital_Together]]=1,"Living Together",(IF(ifood_data[[#This Row],[marital_Widow]]=1,"Widow","Other")))))))))</f>
        <v>Married</v>
      </c>
      <c r="AU953" t="str">
        <f>IF(ifood_data[[#This Row],[education_Basic]]=1,"High School",(IF(ifood_data[[#This Row],[education_Graduation]]=1,"Undergraduate Degree",(IF(SUM(AM953,AL953,AI953)&gt;0,"Master's Degree or Higher","Other")))))</f>
        <v>Master's Degree or Higher</v>
      </c>
      <c r="AV953" t="str">
        <f>IF(ifood_data[[#All],[Income]]&gt;75000,"75K+",(IF(ifood_data[[#All],[Income]]&gt;50000,"50K-75K",(IF(ifood_data[[#All],[Income]]&gt;35000,"35K-50K","&lt;35K")))))</f>
        <v>50K-75K</v>
      </c>
      <c r="AW953" t="str">
        <f>IF(ifood_data[[#All],[Age]]&gt;60,"60+",(IF(ifood_data[[#All],[Age]]&gt;50,"50-60",(IF(ifood_data[[#All],[Age]]&gt;40,"40-50",(IF(ifood_data[[#All],[Age]]&gt;30,"30-40","&lt;30")))))))</f>
        <v>40-50</v>
      </c>
      <c r="AX953">
        <f t="shared" si="56"/>
        <v>15</v>
      </c>
      <c r="AY953">
        <f t="shared" si="57"/>
        <v>0.99999999999999978</v>
      </c>
      <c r="AZ953">
        <f t="shared" si="58"/>
        <v>2</v>
      </c>
      <c r="BA953">
        <f t="shared" si="59"/>
        <v>4</v>
      </c>
      <c r="BB953">
        <f>SUM(ifood_data[[#This Row],[Recency Score]:[Monetary Score]])</f>
        <v>7</v>
      </c>
      <c r="BC953">
        <f>(_xlfn.PERCENTRANK.INC(ifood_data[[#All],[RFM]],ifood_data[[#This Row],[RFM]],1))*10</f>
        <v>1</v>
      </c>
      <c r="BD953" t="str">
        <f>VLOOKUP(ifood_data[[#This Row],[RFM Score]],'RFM Analysis'!$A$3:$B$14,2,FALSE)</f>
        <v>At Risk</v>
      </c>
      <c r="BE953">
        <f>'Regression Models'!$B$101+'Regression Models'!$B$102*ifood_data[[#This Row],[Income]]+'Regression Models'!$B$103*ifood_data[[#This Row],[Age]]+'Regression Models'!$B$104*ifood_data[[#This Row],[Family]]</f>
        <v>541.7782622429728</v>
      </c>
      <c r="BF953" t="str">
        <f>IF(ifood_data[[#This Row],[AcceptedCmpOverall]]=1,"Campaign Respondent","Non-respondent")</f>
        <v>Non-respondent</v>
      </c>
    </row>
    <row r="954" spans="1:58" x14ac:dyDescent="0.35">
      <c r="A954">
        <v>1881</v>
      </c>
      <c r="B954">
        <v>42192</v>
      </c>
      <c r="C954">
        <v>0</v>
      </c>
      <c r="D954">
        <v>0</v>
      </c>
      <c r="E954">
        <v>40</v>
      </c>
      <c r="F954">
        <v>40</v>
      </c>
      <c r="G954">
        <v>15</v>
      </c>
      <c r="H954">
        <v>15</v>
      </c>
      <c r="I954">
        <v>17</v>
      </c>
      <c r="J954">
        <v>6</v>
      </c>
      <c r="K954">
        <v>7</v>
      </c>
      <c r="L954">
        <v>1</v>
      </c>
      <c r="M954">
        <v>2</v>
      </c>
      <c r="N954">
        <v>1</v>
      </c>
      <c r="O954">
        <v>3</v>
      </c>
      <c r="P954">
        <v>4</v>
      </c>
      <c r="Q954">
        <v>0</v>
      </c>
      <c r="R954">
        <v>0</v>
      </c>
      <c r="S954">
        <v>0</v>
      </c>
      <c r="T954">
        <v>0</v>
      </c>
      <c r="U954">
        <v>0</v>
      </c>
      <c r="V954">
        <f>IF(SUM(ifood_data[[#This Row],[AcceptedCmp1]:[AcceptedCmp5]])&gt;0,1,0)</f>
        <v>0</v>
      </c>
      <c r="W954">
        <v>0</v>
      </c>
      <c r="X954">
        <v>3</v>
      </c>
      <c r="Y954">
        <v>11</v>
      </c>
      <c r="Z954">
        <v>0</v>
      </c>
      <c r="AA954">
        <v>72</v>
      </c>
      <c r="AB954">
        <v>2455</v>
      </c>
      <c r="AC954" s="28">
        <f>ifood_data[[#This Row],[Customer_Days]]/365</f>
        <v>6.7260273972602738</v>
      </c>
      <c r="AD954">
        <v>0</v>
      </c>
      <c r="AE954">
        <v>1</v>
      </c>
      <c r="AF954">
        <v>0</v>
      </c>
      <c r="AG954">
        <v>0</v>
      </c>
      <c r="AH954">
        <v>0</v>
      </c>
      <c r="AI954">
        <v>0</v>
      </c>
      <c r="AJ954">
        <v>0</v>
      </c>
      <c r="AK954">
        <v>1</v>
      </c>
      <c r="AL954">
        <v>0</v>
      </c>
      <c r="AM954">
        <v>0</v>
      </c>
      <c r="AN954">
        <v>93</v>
      </c>
      <c r="AO954">
        <v>86</v>
      </c>
      <c r="AP954">
        <f>ifood_data[[#This Row],[MntTotal]]-ifood_data[[#This Row],[MntRegularProds]]</f>
        <v>7</v>
      </c>
      <c r="AQ954">
        <v>0</v>
      </c>
      <c r="AR954">
        <f>IF(SUM(ifood_data[[#This Row],[Kidhome]:[Teenhome]])&gt;0,1,0)</f>
        <v>0</v>
      </c>
      <c r="AS954" t="str">
        <f>IF(SUM(ifood_data[[#This Row],[Kidhome]:[Teenhome]])&gt;0,"Has Family","No Family")</f>
        <v>No Family</v>
      </c>
      <c r="AT954" t="str">
        <f>IF(ifood_data[[#This Row],[marital_Married]]=1,"Married", (IF(ifood_data[[#This Row],[marital_Single]]=1,"Single",(IF(ifood_data[[#This Row],[marital_Divorced]]=1,"Divorced",(IF(ifood_data[[#This Row],[marital_Together]]=1,"Living Together",(IF(ifood_data[[#This Row],[marital_Widow]]=1,"Widow","Other")))))))))</f>
        <v>Married</v>
      </c>
      <c r="AU954" t="str">
        <f>IF(ifood_data[[#This Row],[education_Basic]]=1,"High School",(IF(ifood_data[[#This Row],[education_Graduation]]=1,"Undergraduate Degree",(IF(SUM(AM954,AL954,AI954)&gt;0,"Master's Degree or Higher","Other")))))</f>
        <v>Undergraduate Degree</v>
      </c>
      <c r="AV954" t="str">
        <f>IF(ifood_data[[#All],[Income]]&gt;75000,"75K+",(IF(ifood_data[[#All],[Income]]&gt;50000,"50K-75K",(IF(ifood_data[[#All],[Income]]&gt;35000,"35K-50K","&lt;35K")))))</f>
        <v>35K-50K</v>
      </c>
      <c r="AW954" t="str">
        <f>IF(ifood_data[[#All],[Age]]&gt;60,"60+",(IF(ifood_data[[#All],[Age]]&gt;50,"50-60",(IF(ifood_data[[#All],[Age]]&gt;40,"40-50",(IF(ifood_data[[#All],[Age]]&gt;30,"30-40","&lt;30")))))))</f>
        <v>60+</v>
      </c>
      <c r="AX954">
        <f t="shared" si="56"/>
        <v>11</v>
      </c>
      <c r="AY954">
        <f t="shared" si="57"/>
        <v>6</v>
      </c>
      <c r="AZ954">
        <f t="shared" si="58"/>
        <v>0</v>
      </c>
      <c r="BA954">
        <f t="shared" si="59"/>
        <v>3</v>
      </c>
      <c r="BB954">
        <f>SUM(ifood_data[[#This Row],[Recency Score]:[Monetary Score]])</f>
        <v>9</v>
      </c>
      <c r="BC954">
        <f>(_xlfn.PERCENTRANK.INC(ifood_data[[#All],[RFM]],ifood_data[[#This Row],[RFM]],1))*10</f>
        <v>1</v>
      </c>
      <c r="BD954" t="str">
        <f>VLOOKUP(ifood_data[[#This Row],[RFM Score]],'RFM Analysis'!$A$3:$B$14,2,FALSE)</f>
        <v>At Risk</v>
      </c>
      <c r="BE954">
        <f>'Regression Models'!$B$101+'Regression Models'!$B$102*ifood_data[[#This Row],[Income]]+'Regression Models'!$B$103*ifood_data[[#This Row],[Age]]+'Regression Models'!$B$104*ifood_data[[#This Row],[Family]]</f>
        <v>540.20403557252769</v>
      </c>
      <c r="BF954" t="str">
        <f>IF(ifood_data[[#This Row],[AcceptedCmpOverall]]=1,"Campaign Respondent","Non-respondent")</f>
        <v>Non-respondent</v>
      </c>
    </row>
    <row r="955" spans="1:58" x14ac:dyDescent="0.35">
      <c r="A955">
        <v>389</v>
      </c>
      <c r="B955">
        <v>53858</v>
      </c>
      <c r="C955">
        <v>0</v>
      </c>
      <c r="D955">
        <v>1</v>
      </c>
      <c r="E955">
        <v>50</v>
      </c>
      <c r="F955">
        <v>407</v>
      </c>
      <c r="G955">
        <v>53</v>
      </c>
      <c r="H955">
        <v>221</v>
      </c>
      <c r="I955">
        <v>58</v>
      </c>
      <c r="J955">
        <v>150</v>
      </c>
      <c r="K955">
        <v>26</v>
      </c>
      <c r="L955">
        <v>4</v>
      </c>
      <c r="M955">
        <v>4</v>
      </c>
      <c r="N955">
        <v>3</v>
      </c>
      <c r="O955">
        <v>6</v>
      </c>
      <c r="P955">
        <v>4</v>
      </c>
      <c r="Q955">
        <v>0</v>
      </c>
      <c r="R955">
        <v>0</v>
      </c>
      <c r="S955">
        <v>0</v>
      </c>
      <c r="T955">
        <v>0</v>
      </c>
      <c r="U955">
        <v>0</v>
      </c>
      <c r="V955">
        <f>IF(SUM(ifood_data[[#This Row],[AcceptedCmp1]:[AcceptedCmp5]])&gt;0,1,0)</f>
        <v>0</v>
      </c>
      <c r="W955">
        <v>0</v>
      </c>
      <c r="X955">
        <v>3</v>
      </c>
      <c r="Y955">
        <v>11</v>
      </c>
      <c r="Z955">
        <v>0</v>
      </c>
      <c r="AA955">
        <v>44</v>
      </c>
      <c r="AB955">
        <v>2756</v>
      </c>
      <c r="AC955" s="28">
        <f>ifood_data[[#This Row],[Customer_Days]]/365</f>
        <v>7.5506849315068489</v>
      </c>
      <c r="AD955">
        <v>0</v>
      </c>
      <c r="AE955">
        <v>1</v>
      </c>
      <c r="AF955">
        <v>0</v>
      </c>
      <c r="AG955">
        <v>0</v>
      </c>
      <c r="AH955">
        <v>0</v>
      </c>
      <c r="AI955">
        <v>0</v>
      </c>
      <c r="AJ955">
        <v>0</v>
      </c>
      <c r="AK955">
        <v>1</v>
      </c>
      <c r="AL955">
        <v>0</v>
      </c>
      <c r="AM955">
        <v>0</v>
      </c>
      <c r="AN955">
        <v>889</v>
      </c>
      <c r="AO955">
        <v>863</v>
      </c>
      <c r="AP955">
        <f>ifood_data[[#This Row],[MntTotal]]-ifood_data[[#This Row],[MntRegularProds]]</f>
        <v>26</v>
      </c>
      <c r="AQ955">
        <v>0</v>
      </c>
      <c r="AR955">
        <f>IF(SUM(ifood_data[[#This Row],[Kidhome]:[Teenhome]])&gt;0,1,0)</f>
        <v>1</v>
      </c>
      <c r="AS955" t="str">
        <f>IF(SUM(ifood_data[[#This Row],[Kidhome]:[Teenhome]])&gt;0,"Has Family","No Family")</f>
        <v>Has Family</v>
      </c>
      <c r="AT955" t="str">
        <f>IF(ifood_data[[#This Row],[marital_Married]]=1,"Married", (IF(ifood_data[[#This Row],[marital_Single]]=1,"Single",(IF(ifood_data[[#This Row],[marital_Divorced]]=1,"Divorced",(IF(ifood_data[[#This Row],[marital_Together]]=1,"Living Together",(IF(ifood_data[[#This Row],[marital_Widow]]=1,"Widow","Other")))))))))</f>
        <v>Married</v>
      </c>
      <c r="AU955" t="str">
        <f>IF(ifood_data[[#This Row],[education_Basic]]=1,"High School",(IF(ifood_data[[#This Row],[education_Graduation]]=1,"Undergraduate Degree",(IF(SUM(AM955,AL955,AI955)&gt;0,"Master's Degree or Higher","Other")))))</f>
        <v>Undergraduate Degree</v>
      </c>
      <c r="AV955" t="str">
        <f>IF(ifood_data[[#All],[Income]]&gt;75000,"75K+",(IF(ifood_data[[#All],[Income]]&gt;50000,"50K-75K",(IF(ifood_data[[#All],[Income]]&gt;35000,"35K-50K","&lt;35K")))))</f>
        <v>50K-75K</v>
      </c>
      <c r="AW955" t="str">
        <f>IF(ifood_data[[#All],[Age]]&gt;60,"60+",(IF(ifood_data[[#All],[Age]]&gt;50,"50-60",(IF(ifood_data[[#All],[Age]]&gt;40,"40-50",(IF(ifood_data[[#All],[Age]]&gt;30,"30-40","&lt;30")))))))</f>
        <v>40-50</v>
      </c>
      <c r="AX955">
        <f t="shared" si="56"/>
        <v>21</v>
      </c>
      <c r="AY955">
        <f t="shared" si="57"/>
        <v>5</v>
      </c>
      <c r="AZ955">
        <f t="shared" si="58"/>
        <v>5</v>
      </c>
      <c r="BA955">
        <f t="shared" si="59"/>
        <v>7</v>
      </c>
      <c r="BB955">
        <f>SUM(ifood_data[[#This Row],[Recency Score]:[Monetary Score]])</f>
        <v>17</v>
      </c>
      <c r="BC955">
        <f>(_xlfn.PERCENTRANK.INC(ifood_data[[#All],[RFM]],ifood_data[[#This Row],[RFM]],1))*10</f>
        <v>6</v>
      </c>
      <c r="BD955" t="str">
        <f>VLOOKUP(ifood_data[[#This Row],[RFM Score]],'RFM Analysis'!$A$3:$B$14,2,FALSE)</f>
        <v>Promising</v>
      </c>
      <c r="BE955">
        <f>'Regression Models'!$B$101+'Regression Models'!$B$102*ifood_data[[#This Row],[Income]]+'Regression Models'!$B$103*ifood_data[[#This Row],[Age]]+'Regression Models'!$B$104*ifood_data[[#This Row],[Family]]</f>
        <v>539.86606787527637</v>
      </c>
      <c r="BF955" t="str">
        <f>IF(ifood_data[[#This Row],[AcceptedCmpOverall]]=1,"Campaign Respondent","Non-respondent")</f>
        <v>Non-respondent</v>
      </c>
    </row>
    <row r="956" spans="1:58" x14ac:dyDescent="0.35">
      <c r="A956">
        <v>1396</v>
      </c>
      <c r="B956">
        <v>54108</v>
      </c>
      <c r="C956">
        <v>1</v>
      </c>
      <c r="D956">
        <v>1</v>
      </c>
      <c r="E956">
        <v>74</v>
      </c>
      <c r="F956">
        <v>539</v>
      </c>
      <c r="G956">
        <v>6</v>
      </c>
      <c r="H956">
        <v>91</v>
      </c>
      <c r="I956">
        <v>8</v>
      </c>
      <c r="J956">
        <v>6</v>
      </c>
      <c r="K956">
        <v>97</v>
      </c>
      <c r="L956">
        <v>13</v>
      </c>
      <c r="M956">
        <v>8</v>
      </c>
      <c r="N956">
        <v>2</v>
      </c>
      <c r="O956">
        <v>9</v>
      </c>
      <c r="P956">
        <v>8</v>
      </c>
      <c r="Q956">
        <v>0</v>
      </c>
      <c r="R956">
        <v>0</v>
      </c>
      <c r="S956">
        <v>0</v>
      </c>
      <c r="T956">
        <v>0</v>
      </c>
      <c r="U956">
        <v>0</v>
      </c>
      <c r="V956">
        <f>IF(SUM(ifood_data[[#This Row],[AcceptedCmp1]:[AcceptedCmp5]])&gt;0,1,0)</f>
        <v>0</v>
      </c>
      <c r="W956">
        <v>0</v>
      </c>
      <c r="X956">
        <v>3</v>
      </c>
      <c r="Y956">
        <v>11</v>
      </c>
      <c r="Z956">
        <v>0</v>
      </c>
      <c r="AA956">
        <v>47</v>
      </c>
      <c r="AB956">
        <v>2760</v>
      </c>
      <c r="AC956" s="28">
        <f>ifood_data[[#This Row],[Customer_Days]]/365</f>
        <v>7.5616438356164384</v>
      </c>
      <c r="AD956">
        <v>0</v>
      </c>
      <c r="AE956">
        <v>1</v>
      </c>
      <c r="AF956">
        <v>0</v>
      </c>
      <c r="AG956">
        <v>0</v>
      </c>
      <c r="AH956">
        <v>0</v>
      </c>
      <c r="AI956">
        <v>0</v>
      </c>
      <c r="AJ956">
        <v>0</v>
      </c>
      <c r="AK956">
        <v>0</v>
      </c>
      <c r="AL956">
        <v>1</v>
      </c>
      <c r="AM956">
        <v>0</v>
      </c>
      <c r="AN956">
        <v>650</v>
      </c>
      <c r="AO956">
        <v>553</v>
      </c>
      <c r="AP956">
        <f>ifood_data[[#This Row],[MntTotal]]-ifood_data[[#This Row],[MntRegularProds]]</f>
        <v>97</v>
      </c>
      <c r="AQ956">
        <v>0</v>
      </c>
      <c r="AR956">
        <f>IF(SUM(ifood_data[[#This Row],[Kidhome]:[Teenhome]])&gt;0,1,0)</f>
        <v>1</v>
      </c>
      <c r="AS956" t="str">
        <f>IF(SUM(ifood_data[[#This Row],[Kidhome]:[Teenhome]])&gt;0,"Has Family","No Family")</f>
        <v>Has Family</v>
      </c>
      <c r="AT956" t="str">
        <f>IF(ifood_data[[#This Row],[marital_Married]]=1,"Married", (IF(ifood_data[[#This Row],[marital_Single]]=1,"Single",(IF(ifood_data[[#This Row],[marital_Divorced]]=1,"Divorced",(IF(ifood_data[[#This Row],[marital_Together]]=1,"Living Together",(IF(ifood_data[[#This Row],[marital_Widow]]=1,"Widow","Other")))))))))</f>
        <v>Married</v>
      </c>
      <c r="AU956" t="str">
        <f>IF(ifood_data[[#This Row],[education_Basic]]=1,"High School",(IF(ifood_data[[#This Row],[education_Graduation]]=1,"Undergraduate Degree",(IF(SUM(AM956,AL956,AI956)&gt;0,"Master's Degree or Higher","Other")))))</f>
        <v>Master's Degree or Higher</v>
      </c>
      <c r="AV956" t="str">
        <f>IF(ifood_data[[#All],[Income]]&gt;75000,"75K+",(IF(ifood_data[[#All],[Income]]&gt;50000,"50K-75K",(IF(ifood_data[[#All],[Income]]&gt;35000,"35K-50K","&lt;35K")))))</f>
        <v>50K-75K</v>
      </c>
      <c r="AW956" t="str">
        <f>IF(ifood_data[[#All],[Age]]&gt;60,"60+",(IF(ifood_data[[#All],[Age]]&gt;50,"50-60",(IF(ifood_data[[#All],[Age]]&gt;40,"40-50",(IF(ifood_data[[#All],[Age]]&gt;30,"30-40","&lt;30")))))))</f>
        <v>40-50</v>
      </c>
      <c r="AX956">
        <f t="shared" si="56"/>
        <v>40</v>
      </c>
      <c r="AY956">
        <f t="shared" si="57"/>
        <v>3.0000000000000004</v>
      </c>
      <c r="AZ956">
        <f t="shared" si="58"/>
        <v>9</v>
      </c>
      <c r="BA956">
        <f t="shared" si="59"/>
        <v>6</v>
      </c>
      <c r="BB956">
        <f>SUM(ifood_data[[#This Row],[Recency Score]:[Monetary Score]])</f>
        <v>18</v>
      </c>
      <c r="BC956">
        <f>(_xlfn.PERCENTRANK.INC(ifood_data[[#All],[RFM]],ifood_data[[#This Row],[RFM]],1))*10</f>
        <v>6</v>
      </c>
      <c r="BD956" t="str">
        <f>VLOOKUP(ifood_data[[#This Row],[RFM Score]],'RFM Analysis'!$A$3:$B$14,2,FALSE)</f>
        <v>Promising</v>
      </c>
      <c r="BE956">
        <f>'Regression Models'!$B$101+'Regression Models'!$B$102*ifood_data[[#This Row],[Income]]+'Regression Models'!$B$103*ifood_data[[#This Row],[Age]]+'Regression Models'!$B$104*ifood_data[[#This Row],[Family]]</f>
        <v>539.45394267456834</v>
      </c>
      <c r="BF956" t="str">
        <f>IF(ifood_data[[#This Row],[AcceptedCmpOverall]]=1,"Campaign Respondent","Non-respondent")</f>
        <v>Non-respondent</v>
      </c>
    </row>
    <row r="957" spans="1:58" x14ac:dyDescent="0.35">
      <c r="A957">
        <v>278</v>
      </c>
      <c r="B957">
        <v>55951</v>
      </c>
      <c r="C957">
        <v>0</v>
      </c>
      <c r="D957">
        <v>1</v>
      </c>
      <c r="E957">
        <v>62</v>
      </c>
      <c r="F957">
        <v>1241</v>
      </c>
      <c r="G957">
        <v>0</v>
      </c>
      <c r="H957">
        <v>80</v>
      </c>
      <c r="I957">
        <v>0</v>
      </c>
      <c r="J957">
        <v>13</v>
      </c>
      <c r="K957">
        <v>40</v>
      </c>
      <c r="L957">
        <v>3</v>
      </c>
      <c r="M957">
        <v>3</v>
      </c>
      <c r="N957">
        <v>6</v>
      </c>
      <c r="O957">
        <v>11</v>
      </c>
      <c r="P957">
        <v>8</v>
      </c>
      <c r="Q957">
        <v>0</v>
      </c>
      <c r="R957">
        <v>1</v>
      </c>
      <c r="S957">
        <v>0</v>
      </c>
      <c r="T957">
        <v>1</v>
      </c>
      <c r="U957">
        <v>0</v>
      </c>
      <c r="V957">
        <f>IF(SUM(ifood_data[[#This Row],[AcceptedCmp1]:[AcceptedCmp5]])&gt;0,1,0)</f>
        <v>1</v>
      </c>
      <c r="W957">
        <v>0</v>
      </c>
      <c r="X957">
        <v>3</v>
      </c>
      <c r="Y957">
        <v>11</v>
      </c>
      <c r="Z957">
        <v>0</v>
      </c>
      <c r="AA957">
        <v>68</v>
      </c>
      <c r="AB957">
        <v>2834</v>
      </c>
      <c r="AC957" s="28">
        <f>ifood_data[[#This Row],[Customer_Days]]/365</f>
        <v>7.7643835616438359</v>
      </c>
      <c r="AD957">
        <v>0</v>
      </c>
      <c r="AE957">
        <v>0</v>
      </c>
      <c r="AF957">
        <v>0</v>
      </c>
      <c r="AG957">
        <v>1</v>
      </c>
      <c r="AH957">
        <v>0</v>
      </c>
      <c r="AI957">
        <v>0</v>
      </c>
      <c r="AJ957">
        <v>0</v>
      </c>
      <c r="AK957">
        <v>0</v>
      </c>
      <c r="AL957">
        <v>1</v>
      </c>
      <c r="AM957">
        <v>0</v>
      </c>
      <c r="AN957">
        <v>1334</v>
      </c>
      <c r="AO957">
        <v>1294</v>
      </c>
      <c r="AP957">
        <f>ifood_data[[#This Row],[MntTotal]]-ifood_data[[#This Row],[MntRegularProds]]</f>
        <v>40</v>
      </c>
      <c r="AQ957">
        <v>2</v>
      </c>
      <c r="AR957">
        <f>IF(SUM(ifood_data[[#This Row],[Kidhome]:[Teenhome]])&gt;0,1,0)</f>
        <v>1</v>
      </c>
      <c r="AS957" t="str">
        <f>IF(SUM(ifood_data[[#This Row],[Kidhome]:[Teenhome]])&gt;0,"Has Family","No Family")</f>
        <v>Has Family</v>
      </c>
      <c r="AT957" t="str">
        <f>IF(ifood_data[[#This Row],[marital_Married]]=1,"Married", (IF(ifood_data[[#This Row],[marital_Single]]=1,"Single",(IF(ifood_data[[#This Row],[marital_Divorced]]=1,"Divorced",(IF(ifood_data[[#This Row],[marital_Together]]=1,"Living Together",(IF(ifood_data[[#This Row],[marital_Widow]]=1,"Widow","Other")))))))))</f>
        <v>Living Together</v>
      </c>
      <c r="AU957" t="str">
        <f>IF(ifood_data[[#This Row],[education_Basic]]=1,"High School",(IF(ifood_data[[#This Row],[education_Graduation]]=1,"Undergraduate Degree",(IF(SUM(AM957,AL957,AI957)&gt;0,"Master's Degree or Higher","Other")))))</f>
        <v>Master's Degree or Higher</v>
      </c>
      <c r="AV957" t="str">
        <f>IF(ifood_data[[#All],[Income]]&gt;75000,"75K+",(IF(ifood_data[[#All],[Income]]&gt;50000,"50K-75K",(IF(ifood_data[[#All],[Income]]&gt;35000,"35K-50K","&lt;35K")))))</f>
        <v>50K-75K</v>
      </c>
      <c r="AW957" t="str">
        <f>IF(ifood_data[[#All],[Age]]&gt;60,"60+",(IF(ifood_data[[#All],[Age]]&gt;50,"50-60",(IF(ifood_data[[#All],[Age]]&gt;40,"40-50",(IF(ifood_data[[#All],[Age]]&gt;30,"30-40","&lt;30")))))))</f>
        <v>60+</v>
      </c>
      <c r="AX957">
        <f t="shared" si="56"/>
        <v>31</v>
      </c>
      <c r="AY957">
        <f t="shared" si="57"/>
        <v>4</v>
      </c>
      <c r="AZ957">
        <f t="shared" si="58"/>
        <v>9</v>
      </c>
      <c r="BA957">
        <f t="shared" si="59"/>
        <v>8</v>
      </c>
      <c r="BB957">
        <f>SUM(ifood_data[[#This Row],[Recency Score]:[Monetary Score]])</f>
        <v>21</v>
      </c>
      <c r="BC957">
        <f>(_xlfn.PERCENTRANK.INC(ifood_data[[#All],[RFM]],ifood_data[[#This Row],[RFM]],1))*10</f>
        <v>8</v>
      </c>
      <c r="BD957" t="str">
        <f>VLOOKUP(ifood_data[[#This Row],[RFM Score]],'RFM Analysis'!$A$3:$B$14,2,FALSE)</f>
        <v>Loyal Customer</v>
      </c>
      <c r="BE957">
        <f>'Regression Models'!$B$101+'Regression Models'!$B$102*ifood_data[[#This Row],[Income]]+'Regression Models'!$B$103*ifood_data[[#This Row],[Age]]+'Regression Models'!$B$104*ifood_data[[#This Row],[Family]]</f>
        <v>538.46522170699438</v>
      </c>
      <c r="BF957" t="str">
        <f>IF(ifood_data[[#This Row],[AcceptedCmpOverall]]=1,"Campaign Respondent","Non-respondent")</f>
        <v>Campaign Respondent</v>
      </c>
    </row>
    <row r="958" spans="1:58" x14ac:dyDescent="0.35">
      <c r="A958">
        <v>418</v>
      </c>
      <c r="B958">
        <v>56223</v>
      </c>
      <c r="C958">
        <v>0</v>
      </c>
      <c r="D958">
        <v>1</v>
      </c>
      <c r="E958">
        <v>72</v>
      </c>
      <c r="F958">
        <v>77</v>
      </c>
      <c r="G958">
        <v>28</v>
      </c>
      <c r="H958">
        <v>31</v>
      </c>
      <c r="I958">
        <v>16</v>
      </c>
      <c r="J958">
        <v>0</v>
      </c>
      <c r="K958">
        <v>4</v>
      </c>
      <c r="L958">
        <v>2</v>
      </c>
      <c r="M958">
        <v>2</v>
      </c>
      <c r="N958">
        <v>1</v>
      </c>
      <c r="O958">
        <v>5</v>
      </c>
      <c r="P958">
        <v>4</v>
      </c>
      <c r="Q958">
        <v>0</v>
      </c>
      <c r="R958">
        <v>0</v>
      </c>
      <c r="S958">
        <v>0</v>
      </c>
      <c r="T958">
        <v>0</v>
      </c>
      <c r="U958">
        <v>0</v>
      </c>
      <c r="V958">
        <f>IF(SUM(ifood_data[[#This Row],[AcceptedCmp1]:[AcceptedCmp5]])&gt;0,1,0)</f>
        <v>0</v>
      </c>
      <c r="W958">
        <v>0</v>
      </c>
      <c r="X958">
        <v>3</v>
      </c>
      <c r="Y958">
        <v>11</v>
      </c>
      <c r="Z958">
        <v>0</v>
      </c>
      <c r="AA958">
        <v>72</v>
      </c>
      <c r="AB958">
        <v>2350</v>
      </c>
      <c r="AC958" s="28">
        <f>ifood_data[[#This Row],[Customer_Days]]/365</f>
        <v>6.4383561643835616</v>
      </c>
      <c r="AD958">
        <v>0</v>
      </c>
      <c r="AE958">
        <v>1</v>
      </c>
      <c r="AF958">
        <v>0</v>
      </c>
      <c r="AG958">
        <v>0</v>
      </c>
      <c r="AH958">
        <v>0</v>
      </c>
      <c r="AI958">
        <v>0</v>
      </c>
      <c r="AJ958">
        <v>0</v>
      </c>
      <c r="AK958">
        <v>0</v>
      </c>
      <c r="AL958">
        <v>0</v>
      </c>
      <c r="AM958">
        <v>1</v>
      </c>
      <c r="AN958">
        <v>152</v>
      </c>
      <c r="AO958">
        <v>148</v>
      </c>
      <c r="AP958">
        <f>ifood_data[[#This Row],[MntTotal]]-ifood_data[[#This Row],[MntRegularProds]]</f>
        <v>4</v>
      </c>
      <c r="AQ958">
        <v>0</v>
      </c>
      <c r="AR958">
        <f>IF(SUM(ifood_data[[#This Row],[Kidhome]:[Teenhome]])&gt;0,1,0)</f>
        <v>1</v>
      </c>
      <c r="AS958" t="str">
        <f>IF(SUM(ifood_data[[#This Row],[Kidhome]:[Teenhome]])&gt;0,"Has Family","No Family")</f>
        <v>Has Family</v>
      </c>
      <c r="AT958" t="str">
        <f>IF(ifood_data[[#This Row],[marital_Married]]=1,"Married", (IF(ifood_data[[#This Row],[marital_Single]]=1,"Single",(IF(ifood_data[[#This Row],[marital_Divorced]]=1,"Divorced",(IF(ifood_data[[#This Row],[marital_Together]]=1,"Living Together",(IF(ifood_data[[#This Row],[marital_Widow]]=1,"Widow","Other")))))))))</f>
        <v>Married</v>
      </c>
      <c r="AU958" t="str">
        <f>IF(ifood_data[[#This Row],[education_Basic]]=1,"High School",(IF(ifood_data[[#This Row],[education_Graduation]]=1,"Undergraduate Degree",(IF(SUM(AM958,AL958,AI958)&gt;0,"Master's Degree or Higher","Other")))))</f>
        <v>Master's Degree or Higher</v>
      </c>
      <c r="AV958" t="str">
        <f>IF(ifood_data[[#All],[Income]]&gt;75000,"75K+",(IF(ifood_data[[#All],[Income]]&gt;50000,"50K-75K",(IF(ifood_data[[#All],[Income]]&gt;35000,"35K-50K","&lt;35K")))))</f>
        <v>50K-75K</v>
      </c>
      <c r="AW958" t="str">
        <f>IF(ifood_data[[#All],[Age]]&gt;60,"60+",(IF(ifood_data[[#All],[Age]]&gt;50,"50-60",(IF(ifood_data[[#All],[Age]]&gt;40,"40-50",(IF(ifood_data[[#All],[Age]]&gt;30,"30-40","&lt;30")))))))</f>
        <v>60+</v>
      </c>
      <c r="AX958">
        <f t="shared" si="56"/>
        <v>14</v>
      </c>
      <c r="AY958">
        <f t="shared" si="57"/>
        <v>3.0000000000000004</v>
      </c>
      <c r="AZ958">
        <f t="shared" si="58"/>
        <v>2</v>
      </c>
      <c r="BA958">
        <f t="shared" si="59"/>
        <v>3</v>
      </c>
      <c r="BB958">
        <f>SUM(ifood_data[[#This Row],[Recency Score]:[Monetary Score]])</f>
        <v>8</v>
      </c>
      <c r="BC958">
        <f>(_xlfn.PERCENTRANK.INC(ifood_data[[#All],[RFM]],ifood_data[[#This Row],[RFM]],1))*10</f>
        <v>1</v>
      </c>
      <c r="BD958" t="str">
        <f>VLOOKUP(ifood_data[[#This Row],[RFM Score]],'RFM Analysis'!$A$3:$B$14,2,FALSE)</f>
        <v>At Risk</v>
      </c>
      <c r="BE958">
        <f>'Regression Models'!$B$101+'Regression Models'!$B$102*ifood_data[[#This Row],[Income]]+'Regression Models'!$B$103*ifood_data[[#This Row],[Age]]+'Regression Models'!$B$104*ifood_data[[#This Row],[Family]]</f>
        <v>536.66521032655771</v>
      </c>
      <c r="BF958" t="str">
        <f>IF(ifood_data[[#This Row],[AcceptedCmpOverall]]=1,"Campaign Respondent","Non-respondent")</f>
        <v>Non-respondent</v>
      </c>
    </row>
    <row r="959" spans="1:58" x14ac:dyDescent="0.35">
      <c r="A959">
        <v>425</v>
      </c>
      <c r="B959">
        <v>55707</v>
      </c>
      <c r="C959">
        <v>0</v>
      </c>
      <c r="D959">
        <v>1</v>
      </c>
      <c r="E959">
        <v>91</v>
      </c>
      <c r="F959">
        <v>208</v>
      </c>
      <c r="G959">
        <v>7</v>
      </c>
      <c r="H959">
        <v>82</v>
      </c>
      <c r="I959">
        <v>30</v>
      </c>
      <c r="J959">
        <v>66</v>
      </c>
      <c r="K959">
        <v>35</v>
      </c>
      <c r="L959">
        <v>2</v>
      </c>
      <c r="M959">
        <v>3</v>
      </c>
      <c r="N959">
        <v>2</v>
      </c>
      <c r="O959">
        <v>9</v>
      </c>
      <c r="P959">
        <v>3</v>
      </c>
      <c r="Q959">
        <v>0</v>
      </c>
      <c r="R959">
        <v>0</v>
      </c>
      <c r="S959">
        <v>0</v>
      </c>
      <c r="T959">
        <v>0</v>
      </c>
      <c r="U959">
        <v>0</v>
      </c>
      <c r="V959">
        <f>IF(SUM(ifood_data[[#This Row],[AcceptedCmp1]:[AcceptedCmp5]])&gt;0,1,0)</f>
        <v>0</v>
      </c>
      <c r="W959">
        <v>0</v>
      </c>
      <c r="X959">
        <v>3</v>
      </c>
      <c r="Y959">
        <v>11</v>
      </c>
      <c r="Z959">
        <v>0</v>
      </c>
      <c r="AA959">
        <v>67</v>
      </c>
      <c r="AB959">
        <v>2348</v>
      </c>
      <c r="AC959" s="28">
        <f>ifood_data[[#This Row],[Customer_Days]]/365</f>
        <v>6.4328767123287669</v>
      </c>
      <c r="AD959">
        <v>0</v>
      </c>
      <c r="AE959">
        <v>1</v>
      </c>
      <c r="AF959">
        <v>0</v>
      </c>
      <c r="AG959">
        <v>0</v>
      </c>
      <c r="AH959">
        <v>0</v>
      </c>
      <c r="AI959">
        <v>0</v>
      </c>
      <c r="AJ959">
        <v>0</v>
      </c>
      <c r="AK959">
        <v>0</v>
      </c>
      <c r="AL959">
        <v>0</v>
      </c>
      <c r="AM959">
        <v>1</v>
      </c>
      <c r="AN959">
        <v>393</v>
      </c>
      <c r="AO959">
        <v>358</v>
      </c>
      <c r="AP959">
        <f>ifood_data[[#This Row],[MntTotal]]-ifood_data[[#This Row],[MntRegularProds]]</f>
        <v>35</v>
      </c>
      <c r="AQ959">
        <v>0</v>
      </c>
      <c r="AR959">
        <f>IF(SUM(ifood_data[[#This Row],[Kidhome]:[Teenhome]])&gt;0,1,0)</f>
        <v>1</v>
      </c>
      <c r="AS959" t="str">
        <f>IF(SUM(ifood_data[[#This Row],[Kidhome]:[Teenhome]])&gt;0,"Has Family","No Family")</f>
        <v>Has Family</v>
      </c>
      <c r="AT959" t="str">
        <f>IF(ifood_data[[#This Row],[marital_Married]]=1,"Married", (IF(ifood_data[[#This Row],[marital_Single]]=1,"Single",(IF(ifood_data[[#This Row],[marital_Divorced]]=1,"Divorced",(IF(ifood_data[[#This Row],[marital_Together]]=1,"Living Together",(IF(ifood_data[[#This Row],[marital_Widow]]=1,"Widow","Other")))))))))</f>
        <v>Married</v>
      </c>
      <c r="AU959" t="str">
        <f>IF(ifood_data[[#This Row],[education_Basic]]=1,"High School",(IF(ifood_data[[#This Row],[education_Graduation]]=1,"Undergraduate Degree",(IF(SUM(AM959,AL959,AI959)&gt;0,"Master's Degree or Higher","Other")))))</f>
        <v>Master's Degree or Higher</v>
      </c>
      <c r="AV959" t="str">
        <f>IF(ifood_data[[#All],[Income]]&gt;75000,"75K+",(IF(ifood_data[[#All],[Income]]&gt;50000,"50K-75K",(IF(ifood_data[[#All],[Income]]&gt;35000,"35K-50K","&lt;35K")))))</f>
        <v>50K-75K</v>
      </c>
      <c r="AW959" t="str">
        <f>IF(ifood_data[[#All],[Age]]&gt;60,"60+",(IF(ifood_data[[#All],[Age]]&gt;50,"50-60",(IF(ifood_data[[#All],[Age]]&gt;40,"40-50",(IF(ifood_data[[#All],[Age]]&gt;30,"30-40","&lt;30")))))))</f>
        <v>60+</v>
      </c>
      <c r="AX959">
        <f t="shared" si="56"/>
        <v>19</v>
      </c>
      <c r="AY959">
        <f t="shared" si="57"/>
        <v>0.99999999999999978</v>
      </c>
      <c r="AZ959">
        <f t="shared" si="58"/>
        <v>4</v>
      </c>
      <c r="BA959">
        <f t="shared" si="59"/>
        <v>5</v>
      </c>
      <c r="BB959">
        <f>SUM(ifood_data[[#This Row],[Recency Score]:[Monetary Score]])</f>
        <v>10</v>
      </c>
      <c r="BC959">
        <f>(_xlfn.PERCENTRANK.INC(ifood_data[[#All],[RFM]],ifood_data[[#This Row],[RFM]],1))*10</f>
        <v>2</v>
      </c>
      <c r="BD959" t="str">
        <f>VLOOKUP(ifood_data[[#This Row],[RFM Score]],'RFM Analysis'!$A$3:$B$14,2,FALSE)</f>
        <v>At Risk</v>
      </c>
      <c r="BE959">
        <f>'Regression Models'!$B$101+'Regression Models'!$B$102*ifood_data[[#This Row],[Income]]+'Regression Models'!$B$103*ifood_data[[#This Row],[Age]]+'Regression Models'!$B$104*ifood_data[[#This Row],[Family]]</f>
        <v>535.32680135877729</v>
      </c>
      <c r="BF959" t="str">
        <f>IF(ifood_data[[#This Row],[AcceptedCmpOverall]]=1,"Campaign Respondent","Non-respondent")</f>
        <v>Non-respondent</v>
      </c>
    </row>
    <row r="960" spans="1:58" x14ac:dyDescent="0.35">
      <c r="A960">
        <v>382</v>
      </c>
      <c r="B960">
        <v>55521</v>
      </c>
      <c r="C960">
        <v>1</v>
      </c>
      <c r="D960">
        <v>2</v>
      </c>
      <c r="E960">
        <v>11</v>
      </c>
      <c r="F960">
        <v>416</v>
      </c>
      <c r="G960">
        <v>0</v>
      </c>
      <c r="H960">
        <v>26</v>
      </c>
      <c r="I960">
        <v>0</v>
      </c>
      <c r="J960">
        <v>0</v>
      </c>
      <c r="K960">
        <v>4</v>
      </c>
      <c r="L960">
        <v>9</v>
      </c>
      <c r="M960">
        <v>6</v>
      </c>
      <c r="N960">
        <v>3</v>
      </c>
      <c r="O960">
        <v>6</v>
      </c>
      <c r="P960">
        <v>7</v>
      </c>
      <c r="Q960">
        <v>0</v>
      </c>
      <c r="R960">
        <v>0</v>
      </c>
      <c r="S960">
        <v>0</v>
      </c>
      <c r="T960">
        <v>1</v>
      </c>
      <c r="U960">
        <v>0</v>
      </c>
      <c r="V960">
        <f>IF(SUM(ifood_data[[#This Row],[AcceptedCmp1]:[AcceptedCmp5]])&gt;0,1,0)</f>
        <v>1</v>
      </c>
      <c r="W960">
        <v>0</v>
      </c>
      <c r="X960">
        <v>3</v>
      </c>
      <c r="Y960">
        <v>11</v>
      </c>
      <c r="Z960">
        <v>1</v>
      </c>
      <c r="AA960">
        <v>65</v>
      </c>
      <c r="AB960">
        <v>2409</v>
      </c>
      <c r="AC960" s="28">
        <f>ifood_data[[#This Row],[Customer_Days]]/365</f>
        <v>6.6</v>
      </c>
      <c r="AD960">
        <v>0</v>
      </c>
      <c r="AE960">
        <v>0</v>
      </c>
      <c r="AF960">
        <v>1</v>
      </c>
      <c r="AG960">
        <v>0</v>
      </c>
      <c r="AH960">
        <v>0</v>
      </c>
      <c r="AI960">
        <v>0</v>
      </c>
      <c r="AJ960">
        <v>0</v>
      </c>
      <c r="AK960">
        <v>0</v>
      </c>
      <c r="AL960">
        <v>0</v>
      </c>
      <c r="AM960">
        <v>1</v>
      </c>
      <c r="AN960">
        <v>442</v>
      </c>
      <c r="AO960">
        <v>438</v>
      </c>
      <c r="AP960">
        <f>ifood_data[[#This Row],[MntTotal]]-ifood_data[[#This Row],[MntRegularProds]]</f>
        <v>4</v>
      </c>
      <c r="AQ960">
        <v>1</v>
      </c>
      <c r="AR960">
        <f>IF(SUM(ifood_data[[#This Row],[Kidhome]:[Teenhome]])&gt;0,1,0)</f>
        <v>1</v>
      </c>
      <c r="AS960" t="str">
        <f>IF(SUM(ifood_data[[#This Row],[Kidhome]:[Teenhome]])&gt;0,"Has Family","No Family")</f>
        <v>Has Family</v>
      </c>
      <c r="AT960" t="str">
        <f>IF(ifood_data[[#This Row],[marital_Married]]=1,"Married", (IF(ifood_data[[#This Row],[marital_Single]]=1,"Single",(IF(ifood_data[[#This Row],[marital_Divorced]]=1,"Divorced",(IF(ifood_data[[#This Row],[marital_Together]]=1,"Living Together",(IF(ifood_data[[#This Row],[marital_Widow]]=1,"Widow","Other")))))))))</f>
        <v>Single</v>
      </c>
      <c r="AU960" t="str">
        <f>IF(ifood_data[[#This Row],[education_Basic]]=1,"High School",(IF(ifood_data[[#This Row],[education_Graduation]]=1,"Undergraduate Degree",(IF(SUM(AM960,AL960,AI960)&gt;0,"Master's Degree or Higher","Other")))))</f>
        <v>Master's Degree or Higher</v>
      </c>
      <c r="AV960" t="str">
        <f>IF(ifood_data[[#All],[Income]]&gt;75000,"75K+",(IF(ifood_data[[#All],[Income]]&gt;50000,"50K-75K",(IF(ifood_data[[#All],[Income]]&gt;35000,"35K-50K","&lt;35K")))))</f>
        <v>50K-75K</v>
      </c>
      <c r="AW960" t="str">
        <f>IF(ifood_data[[#All],[Age]]&gt;60,"60+",(IF(ifood_data[[#All],[Age]]&gt;50,"50-60",(IF(ifood_data[[#All],[Age]]&gt;40,"40-50",(IF(ifood_data[[#All],[Age]]&gt;30,"30-40","&lt;30")))))))</f>
        <v>60+</v>
      </c>
      <c r="AX960">
        <f t="shared" si="56"/>
        <v>31</v>
      </c>
      <c r="AY960">
        <f t="shared" si="57"/>
        <v>9</v>
      </c>
      <c r="AZ960">
        <f t="shared" si="58"/>
        <v>9</v>
      </c>
      <c r="BA960">
        <f t="shared" si="59"/>
        <v>5</v>
      </c>
      <c r="BB960">
        <f>SUM(ifood_data[[#This Row],[Recency Score]:[Monetary Score]])</f>
        <v>23</v>
      </c>
      <c r="BC960">
        <f>(_xlfn.PERCENTRANK.INC(ifood_data[[#All],[RFM]],ifood_data[[#This Row],[RFM]],1))*10</f>
        <v>8</v>
      </c>
      <c r="BD960" t="str">
        <f>VLOOKUP(ifood_data[[#This Row],[RFM Score]],'RFM Analysis'!$A$3:$B$14,2,FALSE)</f>
        <v>Loyal Customer</v>
      </c>
      <c r="BE960">
        <f>'Regression Models'!$B$101+'Regression Models'!$B$102*ifood_data[[#This Row],[Income]]+'Regression Models'!$B$103*ifood_data[[#This Row],[Age]]+'Regression Models'!$B$104*ifood_data[[#This Row],[Family]]</f>
        <v>535.2073686418006</v>
      </c>
      <c r="BF960" t="str">
        <f>IF(ifood_data[[#This Row],[AcceptedCmpOverall]]=1,"Campaign Respondent","Non-respondent")</f>
        <v>Campaign Respondent</v>
      </c>
    </row>
    <row r="961" spans="1:58" x14ac:dyDescent="0.35">
      <c r="A961">
        <v>1116</v>
      </c>
      <c r="B961">
        <v>54959</v>
      </c>
      <c r="C961">
        <v>0</v>
      </c>
      <c r="D961">
        <v>1</v>
      </c>
      <c r="E961">
        <v>55</v>
      </c>
      <c r="F961">
        <v>1148</v>
      </c>
      <c r="G961">
        <v>0</v>
      </c>
      <c r="H961">
        <v>60</v>
      </c>
      <c r="I961">
        <v>0</v>
      </c>
      <c r="J961">
        <v>0</v>
      </c>
      <c r="K961">
        <v>24</v>
      </c>
      <c r="L961">
        <v>3</v>
      </c>
      <c r="M961">
        <v>9</v>
      </c>
      <c r="N961">
        <v>5</v>
      </c>
      <c r="O961">
        <v>4</v>
      </c>
      <c r="P961">
        <v>7</v>
      </c>
      <c r="Q961">
        <v>0</v>
      </c>
      <c r="R961">
        <v>0</v>
      </c>
      <c r="S961">
        <v>0</v>
      </c>
      <c r="T961">
        <v>1</v>
      </c>
      <c r="U961">
        <v>0</v>
      </c>
      <c r="V961">
        <f>IF(SUM(ifood_data[[#This Row],[AcceptedCmp1]:[AcceptedCmp5]])&gt;0,1,0)</f>
        <v>1</v>
      </c>
      <c r="W961">
        <v>0</v>
      </c>
      <c r="X961">
        <v>3</v>
      </c>
      <c r="Y961">
        <v>11</v>
      </c>
      <c r="Z961">
        <v>1</v>
      </c>
      <c r="AA961">
        <v>59</v>
      </c>
      <c r="AB961">
        <v>2685</v>
      </c>
      <c r="AC961" s="28">
        <f>ifood_data[[#This Row],[Customer_Days]]/365</f>
        <v>7.3561643835616435</v>
      </c>
      <c r="AD961">
        <v>1</v>
      </c>
      <c r="AE961">
        <v>0</v>
      </c>
      <c r="AF961">
        <v>0</v>
      </c>
      <c r="AG961">
        <v>0</v>
      </c>
      <c r="AH961">
        <v>0</v>
      </c>
      <c r="AI961">
        <v>0</v>
      </c>
      <c r="AJ961">
        <v>0</v>
      </c>
      <c r="AK961">
        <v>0</v>
      </c>
      <c r="AL961">
        <v>0</v>
      </c>
      <c r="AM961">
        <v>1</v>
      </c>
      <c r="AN961">
        <v>1208</v>
      </c>
      <c r="AO961">
        <v>1184</v>
      </c>
      <c r="AP961">
        <f>ifood_data[[#This Row],[MntTotal]]-ifood_data[[#This Row],[MntRegularProds]]</f>
        <v>24</v>
      </c>
      <c r="AQ961">
        <v>1</v>
      </c>
      <c r="AR961">
        <f>IF(SUM(ifood_data[[#This Row],[Kidhome]:[Teenhome]])&gt;0,1,0)</f>
        <v>1</v>
      </c>
      <c r="AS961" t="str">
        <f>IF(SUM(ifood_data[[#This Row],[Kidhome]:[Teenhome]])&gt;0,"Has Family","No Family")</f>
        <v>Has Family</v>
      </c>
      <c r="AT961" t="str">
        <f>IF(ifood_data[[#This Row],[marital_Married]]=1,"Married", (IF(ifood_data[[#This Row],[marital_Single]]=1,"Single",(IF(ifood_data[[#This Row],[marital_Divorced]]=1,"Divorced",(IF(ifood_data[[#This Row],[marital_Together]]=1,"Living Together",(IF(ifood_data[[#This Row],[marital_Widow]]=1,"Widow","Other")))))))))</f>
        <v>Divorced</v>
      </c>
      <c r="AU961" t="str">
        <f>IF(ifood_data[[#This Row],[education_Basic]]=1,"High School",(IF(ifood_data[[#This Row],[education_Graduation]]=1,"Undergraduate Degree",(IF(SUM(AM961,AL961,AI961)&gt;0,"Master's Degree or Higher","Other")))))</f>
        <v>Master's Degree or Higher</v>
      </c>
      <c r="AV961" t="str">
        <f>IF(ifood_data[[#All],[Income]]&gt;75000,"75K+",(IF(ifood_data[[#All],[Income]]&gt;50000,"50K-75K",(IF(ifood_data[[#All],[Income]]&gt;35000,"35K-50K","&lt;35K")))))</f>
        <v>50K-75K</v>
      </c>
      <c r="AW961" t="str">
        <f>IF(ifood_data[[#All],[Age]]&gt;60,"60+",(IF(ifood_data[[#All],[Age]]&gt;50,"50-60",(IF(ifood_data[[#All],[Age]]&gt;40,"40-50",(IF(ifood_data[[#All],[Age]]&gt;30,"30-40","&lt;30")))))))</f>
        <v>50-60</v>
      </c>
      <c r="AX961">
        <f t="shared" si="56"/>
        <v>28</v>
      </c>
      <c r="AY961">
        <f t="shared" si="57"/>
        <v>5</v>
      </c>
      <c r="AZ961">
        <f t="shared" si="58"/>
        <v>8</v>
      </c>
      <c r="BA961">
        <f t="shared" si="59"/>
        <v>8</v>
      </c>
      <c r="BB961">
        <f>SUM(ifood_data[[#This Row],[Recency Score]:[Monetary Score]])</f>
        <v>21</v>
      </c>
      <c r="BC961">
        <f>(_xlfn.PERCENTRANK.INC(ifood_data[[#All],[RFM]],ifood_data[[#This Row],[RFM]],1))*10</f>
        <v>8</v>
      </c>
      <c r="BD961" t="str">
        <f>VLOOKUP(ifood_data[[#This Row],[RFM Score]],'RFM Analysis'!$A$3:$B$14,2,FALSE)</f>
        <v>Loyal Customer</v>
      </c>
      <c r="BE961">
        <f>'Regression Models'!$B$101+'Regression Models'!$B$102*ifood_data[[#This Row],[Income]]+'Regression Models'!$B$103*ifood_data[[#This Row],[Age]]+'Regression Models'!$B$104*ifood_data[[#This Row],[Family]]</f>
        <v>534.76751541829515</v>
      </c>
      <c r="BF961" t="str">
        <f>IF(ifood_data[[#This Row],[AcceptedCmpOverall]]=1,"Campaign Respondent","Non-respondent")</f>
        <v>Campaign Respondent</v>
      </c>
    </row>
    <row r="962" spans="1:58" x14ac:dyDescent="0.35">
      <c r="A962">
        <v>853</v>
      </c>
      <c r="B962">
        <v>54137</v>
      </c>
      <c r="C962">
        <v>0</v>
      </c>
      <c r="D962">
        <v>1</v>
      </c>
      <c r="E962">
        <v>46</v>
      </c>
      <c r="F962">
        <v>171</v>
      </c>
      <c r="G962">
        <v>0</v>
      </c>
      <c r="H962">
        <v>11</v>
      </c>
      <c r="I962">
        <v>0</v>
      </c>
      <c r="J962">
        <v>1</v>
      </c>
      <c r="K962">
        <v>20</v>
      </c>
      <c r="L962">
        <v>2</v>
      </c>
      <c r="M962">
        <v>4</v>
      </c>
      <c r="N962">
        <v>1</v>
      </c>
      <c r="O962">
        <v>4</v>
      </c>
      <c r="P962">
        <v>6</v>
      </c>
      <c r="Q962">
        <v>0</v>
      </c>
      <c r="R962">
        <v>0</v>
      </c>
      <c r="S962">
        <v>0</v>
      </c>
      <c r="T962">
        <v>0</v>
      </c>
      <c r="U962">
        <v>0</v>
      </c>
      <c r="V962">
        <f>IF(SUM(ifood_data[[#This Row],[AcceptedCmp1]:[AcceptedCmp5]])&gt;0,1,0)</f>
        <v>0</v>
      </c>
      <c r="W962">
        <v>0</v>
      </c>
      <c r="X962">
        <v>3</v>
      </c>
      <c r="Y962">
        <v>11</v>
      </c>
      <c r="Z962">
        <v>0</v>
      </c>
      <c r="AA962">
        <v>50</v>
      </c>
      <c r="AB962">
        <v>2476</v>
      </c>
      <c r="AC962" s="28">
        <f>ifood_data[[#This Row],[Customer_Days]]/365</f>
        <v>6.7835616438356166</v>
      </c>
      <c r="AD962">
        <v>1</v>
      </c>
      <c r="AE962">
        <v>0</v>
      </c>
      <c r="AF962">
        <v>0</v>
      </c>
      <c r="AG962">
        <v>0</v>
      </c>
      <c r="AH962">
        <v>0</v>
      </c>
      <c r="AI962">
        <v>0</v>
      </c>
      <c r="AJ962">
        <v>0</v>
      </c>
      <c r="AK962">
        <v>1</v>
      </c>
      <c r="AL962">
        <v>0</v>
      </c>
      <c r="AM962">
        <v>0</v>
      </c>
      <c r="AN962">
        <v>183</v>
      </c>
      <c r="AO962">
        <v>163</v>
      </c>
      <c r="AP962">
        <f>ifood_data[[#This Row],[MntTotal]]-ifood_data[[#This Row],[MntRegularProds]]</f>
        <v>20</v>
      </c>
      <c r="AQ962">
        <v>0</v>
      </c>
      <c r="AR962">
        <f>IF(SUM(ifood_data[[#This Row],[Kidhome]:[Teenhome]])&gt;0,1,0)</f>
        <v>1</v>
      </c>
      <c r="AS962" t="str">
        <f>IF(SUM(ifood_data[[#This Row],[Kidhome]:[Teenhome]])&gt;0,"Has Family","No Family")</f>
        <v>Has Family</v>
      </c>
      <c r="AT962" t="str">
        <f>IF(ifood_data[[#This Row],[marital_Married]]=1,"Married", (IF(ifood_data[[#This Row],[marital_Single]]=1,"Single",(IF(ifood_data[[#This Row],[marital_Divorced]]=1,"Divorced",(IF(ifood_data[[#This Row],[marital_Together]]=1,"Living Together",(IF(ifood_data[[#This Row],[marital_Widow]]=1,"Widow","Other")))))))))</f>
        <v>Divorced</v>
      </c>
      <c r="AU962" t="str">
        <f>IF(ifood_data[[#This Row],[education_Basic]]=1,"High School",(IF(ifood_data[[#This Row],[education_Graduation]]=1,"Undergraduate Degree",(IF(SUM(AM962,AL962,AI962)&gt;0,"Master's Degree or Higher","Other")))))</f>
        <v>Undergraduate Degree</v>
      </c>
      <c r="AV962" t="str">
        <f>IF(ifood_data[[#All],[Income]]&gt;75000,"75K+",(IF(ifood_data[[#All],[Income]]&gt;50000,"50K-75K",(IF(ifood_data[[#All],[Income]]&gt;35000,"35K-50K","&lt;35K")))))</f>
        <v>50K-75K</v>
      </c>
      <c r="AW962" t="str">
        <f>IF(ifood_data[[#All],[Age]]&gt;60,"60+",(IF(ifood_data[[#All],[Age]]&gt;50,"50-60",(IF(ifood_data[[#All],[Age]]&gt;40,"40-50",(IF(ifood_data[[#All],[Age]]&gt;30,"30-40","&lt;30")))))))</f>
        <v>40-50</v>
      </c>
      <c r="AX962">
        <f t="shared" ref="AX962:AX1025" si="60">SUM(L962:P962)</f>
        <v>17</v>
      </c>
      <c r="AY962">
        <f t="shared" ref="AY962:AY1025" si="61">(1-_xlfn.PERCENTRANK.INC($E$2:$E$2022,E962,1))*10</f>
        <v>6</v>
      </c>
      <c r="AZ962">
        <f t="shared" ref="AZ962:AZ1025" si="62">_xlfn.PERCENTRANK.INC($AX$2:$AX$2022,AX962,1)*10</f>
        <v>3</v>
      </c>
      <c r="BA962">
        <f t="shared" ref="BA962:BA1025" si="63">_xlfn.PERCENTRANK.INC($AN$2:$AN$2022,AN962,1)*10</f>
        <v>4</v>
      </c>
      <c r="BB962">
        <f>SUM(ifood_data[[#This Row],[Recency Score]:[Monetary Score]])</f>
        <v>13</v>
      </c>
      <c r="BC962">
        <f>(_xlfn.PERCENTRANK.INC(ifood_data[[#All],[RFM]],ifood_data[[#This Row],[RFM]],1))*10</f>
        <v>3</v>
      </c>
      <c r="BD962" t="str">
        <f>VLOOKUP(ifood_data[[#This Row],[RFM Score]],'RFM Analysis'!$A$3:$B$14,2,FALSE)</f>
        <v>At Risk</v>
      </c>
      <c r="BE962">
        <f>'Regression Models'!$B$101+'Regression Models'!$B$102*ifood_data[[#This Row],[Income]]+'Regression Models'!$B$103*ifood_data[[#This Row],[Age]]+'Regression Models'!$B$104*ifood_data[[#This Row],[Family]]</f>
        <v>534.5358997140587</v>
      </c>
      <c r="BF962" t="str">
        <f>IF(ifood_data[[#This Row],[AcceptedCmpOverall]]=1,"Campaign Respondent","Non-respondent")</f>
        <v>Non-respondent</v>
      </c>
    </row>
    <row r="963" spans="1:58" x14ac:dyDescent="0.35">
      <c r="A963">
        <v>765</v>
      </c>
      <c r="B963">
        <v>55267</v>
      </c>
      <c r="C963">
        <v>0</v>
      </c>
      <c r="D963">
        <v>1</v>
      </c>
      <c r="E963">
        <v>28</v>
      </c>
      <c r="F963">
        <v>161</v>
      </c>
      <c r="G963">
        <v>28</v>
      </c>
      <c r="H963">
        <v>136</v>
      </c>
      <c r="I963">
        <v>32</v>
      </c>
      <c r="J963">
        <v>3</v>
      </c>
      <c r="K963">
        <v>45</v>
      </c>
      <c r="L963">
        <v>4</v>
      </c>
      <c r="M963">
        <v>3</v>
      </c>
      <c r="N963">
        <v>4</v>
      </c>
      <c r="O963">
        <v>6</v>
      </c>
      <c r="P963">
        <v>3</v>
      </c>
      <c r="Q963">
        <v>0</v>
      </c>
      <c r="R963">
        <v>0</v>
      </c>
      <c r="S963">
        <v>0</v>
      </c>
      <c r="T963">
        <v>0</v>
      </c>
      <c r="U963">
        <v>0</v>
      </c>
      <c r="V963">
        <f>IF(SUM(ifood_data[[#This Row],[AcceptedCmp1]:[AcceptedCmp5]])&gt;0,1,0)</f>
        <v>0</v>
      </c>
      <c r="W963">
        <v>0</v>
      </c>
      <c r="X963">
        <v>3</v>
      </c>
      <c r="Y963">
        <v>11</v>
      </c>
      <c r="Z963">
        <v>0</v>
      </c>
      <c r="AA963">
        <v>63</v>
      </c>
      <c r="AB963">
        <v>2410</v>
      </c>
      <c r="AC963" s="28">
        <f>ifood_data[[#This Row],[Customer_Days]]/365</f>
        <v>6.602739726027397</v>
      </c>
      <c r="AD963">
        <v>0</v>
      </c>
      <c r="AE963">
        <v>1</v>
      </c>
      <c r="AF963">
        <v>0</v>
      </c>
      <c r="AG963">
        <v>0</v>
      </c>
      <c r="AH963">
        <v>0</v>
      </c>
      <c r="AI963">
        <v>0</v>
      </c>
      <c r="AJ963">
        <v>0</v>
      </c>
      <c r="AK963">
        <v>1</v>
      </c>
      <c r="AL963">
        <v>0</v>
      </c>
      <c r="AM963">
        <v>0</v>
      </c>
      <c r="AN963">
        <v>360</v>
      </c>
      <c r="AO963">
        <v>315</v>
      </c>
      <c r="AP963">
        <f>ifood_data[[#This Row],[MntTotal]]-ifood_data[[#This Row],[MntRegularProds]]</f>
        <v>45</v>
      </c>
      <c r="AQ963">
        <v>0</v>
      </c>
      <c r="AR963">
        <f>IF(SUM(ifood_data[[#This Row],[Kidhome]:[Teenhome]])&gt;0,1,0)</f>
        <v>1</v>
      </c>
      <c r="AS963" t="str">
        <f>IF(SUM(ifood_data[[#This Row],[Kidhome]:[Teenhome]])&gt;0,"Has Family","No Family")</f>
        <v>Has Family</v>
      </c>
      <c r="AT963" t="str">
        <f>IF(ifood_data[[#This Row],[marital_Married]]=1,"Married", (IF(ifood_data[[#This Row],[marital_Single]]=1,"Single",(IF(ifood_data[[#This Row],[marital_Divorced]]=1,"Divorced",(IF(ifood_data[[#This Row],[marital_Together]]=1,"Living Together",(IF(ifood_data[[#This Row],[marital_Widow]]=1,"Widow","Other")))))))))</f>
        <v>Married</v>
      </c>
      <c r="AU963" t="str">
        <f>IF(ifood_data[[#This Row],[education_Basic]]=1,"High School",(IF(ifood_data[[#This Row],[education_Graduation]]=1,"Undergraduate Degree",(IF(SUM(AM963,AL963,AI963)&gt;0,"Master's Degree or Higher","Other")))))</f>
        <v>Undergraduate Degree</v>
      </c>
      <c r="AV963" t="str">
        <f>IF(ifood_data[[#All],[Income]]&gt;75000,"75K+",(IF(ifood_data[[#All],[Income]]&gt;50000,"50K-75K",(IF(ifood_data[[#All],[Income]]&gt;35000,"35K-50K","&lt;35K")))))</f>
        <v>50K-75K</v>
      </c>
      <c r="AW963" t="str">
        <f>IF(ifood_data[[#All],[Age]]&gt;60,"60+",(IF(ifood_data[[#All],[Age]]&gt;50,"50-60",(IF(ifood_data[[#All],[Age]]&gt;40,"40-50",(IF(ifood_data[[#All],[Age]]&gt;30,"30-40","&lt;30")))))))</f>
        <v>60+</v>
      </c>
      <c r="AX963">
        <f t="shared" si="60"/>
        <v>20</v>
      </c>
      <c r="AY963">
        <f t="shared" si="61"/>
        <v>8</v>
      </c>
      <c r="AZ963">
        <f t="shared" si="62"/>
        <v>4</v>
      </c>
      <c r="BA963">
        <f t="shared" si="63"/>
        <v>5</v>
      </c>
      <c r="BB963">
        <f>SUM(ifood_data[[#This Row],[Recency Score]:[Monetary Score]])</f>
        <v>17</v>
      </c>
      <c r="BC963">
        <f>(_xlfn.PERCENTRANK.INC(ifood_data[[#All],[RFM]],ifood_data[[#This Row],[RFM]],1))*10</f>
        <v>6</v>
      </c>
      <c r="BD963" t="str">
        <f>VLOOKUP(ifood_data[[#This Row],[RFM Score]],'RFM Analysis'!$A$3:$B$14,2,FALSE)</f>
        <v>Promising</v>
      </c>
      <c r="BE963">
        <f>'Regression Models'!$B$101+'Regression Models'!$B$102*ifood_data[[#This Row],[Income]]+'Regression Models'!$B$103*ifood_data[[#This Row],[Age]]+'Regression Models'!$B$104*ifood_data[[#This Row],[Family]]</f>
        <v>533.70149969103875</v>
      </c>
      <c r="BF963" t="str">
        <f>IF(ifood_data[[#This Row],[AcceptedCmpOverall]]=1,"Campaign Respondent","Non-respondent")</f>
        <v>Non-respondent</v>
      </c>
    </row>
    <row r="964" spans="1:58" x14ac:dyDescent="0.35">
      <c r="A964">
        <v>1327</v>
      </c>
      <c r="B964">
        <v>54132</v>
      </c>
      <c r="C964">
        <v>0</v>
      </c>
      <c r="D964">
        <v>1</v>
      </c>
      <c r="E964">
        <v>81</v>
      </c>
      <c r="F964">
        <v>30</v>
      </c>
      <c r="G964">
        <v>1</v>
      </c>
      <c r="H964">
        <v>8</v>
      </c>
      <c r="I964">
        <v>0</v>
      </c>
      <c r="J964">
        <v>0</v>
      </c>
      <c r="K964">
        <v>3</v>
      </c>
      <c r="L964">
        <v>1</v>
      </c>
      <c r="M964">
        <v>1</v>
      </c>
      <c r="N964">
        <v>0</v>
      </c>
      <c r="O964">
        <v>3</v>
      </c>
      <c r="P964">
        <v>7</v>
      </c>
      <c r="Q964">
        <v>0</v>
      </c>
      <c r="R964">
        <v>0</v>
      </c>
      <c r="S964">
        <v>0</v>
      </c>
      <c r="T964">
        <v>0</v>
      </c>
      <c r="U964">
        <v>0</v>
      </c>
      <c r="V964">
        <f>IF(SUM(ifood_data[[#This Row],[AcceptedCmp1]:[AcceptedCmp5]])&gt;0,1,0)</f>
        <v>0</v>
      </c>
      <c r="W964">
        <v>0</v>
      </c>
      <c r="X964">
        <v>3</v>
      </c>
      <c r="Y964">
        <v>11</v>
      </c>
      <c r="Z964">
        <v>0</v>
      </c>
      <c r="AA964">
        <v>51</v>
      </c>
      <c r="AB964">
        <v>2292</v>
      </c>
      <c r="AC964" s="28">
        <f>ifood_data[[#This Row],[Customer_Days]]/365</f>
        <v>6.279452054794521</v>
      </c>
      <c r="AD964">
        <v>0</v>
      </c>
      <c r="AE964">
        <v>0</v>
      </c>
      <c r="AF964">
        <v>0</v>
      </c>
      <c r="AG964">
        <v>1</v>
      </c>
      <c r="AH964">
        <v>0</v>
      </c>
      <c r="AI964">
        <v>0</v>
      </c>
      <c r="AJ964">
        <v>0</v>
      </c>
      <c r="AK964">
        <v>0</v>
      </c>
      <c r="AL964">
        <v>0</v>
      </c>
      <c r="AM964">
        <v>1</v>
      </c>
      <c r="AN964">
        <v>39</v>
      </c>
      <c r="AO964">
        <v>36</v>
      </c>
      <c r="AP964">
        <f>ifood_data[[#This Row],[MntTotal]]-ifood_data[[#This Row],[MntRegularProds]]</f>
        <v>3</v>
      </c>
      <c r="AQ964">
        <v>0</v>
      </c>
      <c r="AR964">
        <f>IF(SUM(ifood_data[[#This Row],[Kidhome]:[Teenhome]])&gt;0,1,0)</f>
        <v>1</v>
      </c>
      <c r="AS964" t="str">
        <f>IF(SUM(ifood_data[[#This Row],[Kidhome]:[Teenhome]])&gt;0,"Has Family","No Family")</f>
        <v>Has Family</v>
      </c>
      <c r="AT964" t="str">
        <f>IF(ifood_data[[#This Row],[marital_Married]]=1,"Married", (IF(ifood_data[[#This Row],[marital_Single]]=1,"Single",(IF(ifood_data[[#This Row],[marital_Divorced]]=1,"Divorced",(IF(ifood_data[[#This Row],[marital_Together]]=1,"Living Together",(IF(ifood_data[[#This Row],[marital_Widow]]=1,"Widow","Other")))))))))</f>
        <v>Living Together</v>
      </c>
      <c r="AU964" t="str">
        <f>IF(ifood_data[[#This Row],[education_Basic]]=1,"High School",(IF(ifood_data[[#This Row],[education_Graduation]]=1,"Undergraduate Degree",(IF(SUM(AM964,AL964,AI964)&gt;0,"Master's Degree or Higher","Other")))))</f>
        <v>Master's Degree or Higher</v>
      </c>
      <c r="AV964" t="str">
        <f>IF(ifood_data[[#All],[Income]]&gt;75000,"75K+",(IF(ifood_data[[#All],[Income]]&gt;50000,"50K-75K",(IF(ifood_data[[#All],[Income]]&gt;35000,"35K-50K","&lt;35K")))))</f>
        <v>50K-75K</v>
      </c>
      <c r="AW964" t="str">
        <f>IF(ifood_data[[#All],[Age]]&gt;60,"60+",(IF(ifood_data[[#All],[Age]]&gt;50,"50-60",(IF(ifood_data[[#All],[Age]]&gt;40,"40-50",(IF(ifood_data[[#All],[Age]]&gt;30,"30-40","&lt;30")))))))</f>
        <v>50-60</v>
      </c>
      <c r="AX964">
        <f t="shared" si="60"/>
        <v>12</v>
      </c>
      <c r="AY964">
        <f t="shared" si="61"/>
        <v>1.9999999999999996</v>
      </c>
      <c r="AZ964">
        <f t="shared" si="62"/>
        <v>1</v>
      </c>
      <c r="BA964">
        <f t="shared" si="63"/>
        <v>1</v>
      </c>
      <c r="BB964">
        <f>SUM(ifood_data[[#This Row],[Recency Score]:[Monetary Score]])</f>
        <v>3.9999999999999996</v>
      </c>
      <c r="BC964">
        <f>(_xlfn.PERCENTRANK.INC(ifood_data[[#All],[RFM]],ifood_data[[#This Row],[RFM]],1))*10</f>
        <v>0</v>
      </c>
      <c r="BD964" t="str">
        <f>VLOOKUP(ifood_data[[#This Row],[RFM Score]],'RFM Analysis'!$A$3:$B$14,2,FALSE)</f>
        <v>Lost</v>
      </c>
      <c r="BE964">
        <f>'Regression Models'!$B$101+'Regression Models'!$B$102*ifood_data[[#This Row],[Income]]+'Regression Models'!$B$103*ifood_data[[#This Row],[Age]]+'Regression Models'!$B$104*ifood_data[[#This Row],[Family]]</f>
        <v>532.59751679444491</v>
      </c>
      <c r="BF964" t="str">
        <f>IF(ifood_data[[#This Row],[AcceptedCmpOverall]]=1,"Campaign Respondent","Non-respondent")</f>
        <v>Non-respondent</v>
      </c>
    </row>
    <row r="965" spans="1:58" x14ac:dyDescent="0.35">
      <c r="A965">
        <v>802</v>
      </c>
      <c r="B965">
        <v>55284</v>
      </c>
      <c r="C965">
        <v>0</v>
      </c>
      <c r="D965">
        <v>1</v>
      </c>
      <c r="E965">
        <v>60</v>
      </c>
      <c r="F965">
        <v>547</v>
      </c>
      <c r="G965">
        <v>7</v>
      </c>
      <c r="H965">
        <v>140</v>
      </c>
      <c r="I965">
        <v>0</v>
      </c>
      <c r="J965">
        <v>7</v>
      </c>
      <c r="K965">
        <v>63</v>
      </c>
      <c r="L965">
        <v>3</v>
      </c>
      <c r="M965">
        <v>7</v>
      </c>
      <c r="N965">
        <v>5</v>
      </c>
      <c r="O965">
        <v>8</v>
      </c>
      <c r="P965">
        <v>5</v>
      </c>
      <c r="Q965">
        <v>0</v>
      </c>
      <c r="R965">
        <v>0</v>
      </c>
      <c r="S965">
        <v>0</v>
      </c>
      <c r="T965">
        <v>0</v>
      </c>
      <c r="U965">
        <v>0</v>
      </c>
      <c r="V965">
        <f>IF(SUM(ifood_data[[#This Row],[AcceptedCmp1]:[AcceptedCmp5]])&gt;0,1,0)</f>
        <v>0</v>
      </c>
      <c r="W965">
        <v>0</v>
      </c>
      <c r="X965">
        <v>3</v>
      </c>
      <c r="Y965">
        <v>11</v>
      </c>
      <c r="Z965">
        <v>0</v>
      </c>
      <c r="AA965">
        <v>64</v>
      </c>
      <c r="AB965">
        <v>2711</v>
      </c>
      <c r="AC965" s="28">
        <f>ifood_data[[#This Row],[Customer_Days]]/365</f>
        <v>7.4273972602739722</v>
      </c>
      <c r="AD965">
        <v>0</v>
      </c>
      <c r="AE965">
        <v>0</v>
      </c>
      <c r="AF965">
        <v>1</v>
      </c>
      <c r="AG965">
        <v>0</v>
      </c>
      <c r="AH965">
        <v>0</v>
      </c>
      <c r="AI965">
        <v>0</v>
      </c>
      <c r="AJ965">
        <v>0</v>
      </c>
      <c r="AK965">
        <v>0</v>
      </c>
      <c r="AL965">
        <v>1</v>
      </c>
      <c r="AM965">
        <v>0</v>
      </c>
      <c r="AN965">
        <v>701</v>
      </c>
      <c r="AO965">
        <v>638</v>
      </c>
      <c r="AP965">
        <f>ifood_data[[#This Row],[MntTotal]]-ifood_data[[#This Row],[MntRegularProds]]</f>
        <v>63</v>
      </c>
      <c r="AQ965">
        <v>0</v>
      </c>
      <c r="AR965">
        <f>IF(SUM(ifood_data[[#This Row],[Kidhome]:[Teenhome]])&gt;0,1,0)</f>
        <v>1</v>
      </c>
      <c r="AS965" t="str">
        <f>IF(SUM(ifood_data[[#This Row],[Kidhome]:[Teenhome]])&gt;0,"Has Family","No Family")</f>
        <v>Has Family</v>
      </c>
      <c r="AT965" t="str">
        <f>IF(ifood_data[[#This Row],[marital_Married]]=1,"Married", (IF(ifood_data[[#This Row],[marital_Single]]=1,"Single",(IF(ifood_data[[#This Row],[marital_Divorced]]=1,"Divorced",(IF(ifood_data[[#This Row],[marital_Together]]=1,"Living Together",(IF(ifood_data[[#This Row],[marital_Widow]]=1,"Widow","Other")))))))))</f>
        <v>Single</v>
      </c>
      <c r="AU965" t="str">
        <f>IF(ifood_data[[#This Row],[education_Basic]]=1,"High School",(IF(ifood_data[[#This Row],[education_Graduation]]=1,"Undergraduate Degree",(IF(SUM(AM965,AL965,AI965)&gt;0,"Master's Degree or Higher","Other")))))</f>
        <v>Master's Degree or Higher</v>
      </c>
      <c r="AV965" t="str">
        <f>IF(ifood_data[[#All],[Income]]&gt;75000,"75K+",(IF(ifood_data[[#All],[Income]]&gt;50000,"50K-75K",(IF(ifood_data[[#All],[Income]]&gt;35000,"35K-50K","&lt;35K")))))</f>
        <v>50K-75K</v>
      </c>
      <c r="AW965" t="str">
        <f>IF(ifood_data[[#All],[Age]]&gt;60,"60+",(IF(ifood_data[[#All],[Age]]&gt;50,"50-60",(IF(ifood_data[[#All],[Age]]&gt;40,"40-50",(IF(ifood_data[[#All],[Age]]&gt;30,"30-40","&lt;30")))))))</f>
        <v>60+</v>
      </c>
      <c r="AX965">
        <f t="shared" si="60"/>
        <v>28</v>
      </c>
      <c r="AY965">
        <f t="shared" si="61"/>
        <v>4</v>
      </c>
      <c r="AZ965">
        <f t="shared" si="62"/>
        <v>8</v>
      </c>
      <c r="BA965">
        <f t="shared" si="63"/>
        <v>6</v>
      </c>
      <c r="BB965">
        <f>SUM(ifood_data[[#This Row],[Recency Score]:[Monetary Score]])</f>
        <v>18</v>
      </c>
      <c r="BC965">
        <f>(_xlfn.PERCENTRANK.INC(ifood_data[[#All],[RFM]],ifood_data[[#This Row],[RFM]],1))*10</f>
        <v>6</v>
      </c>
      <c r="BD965" t="str">
        <f>VLOOKUP(ifood_data[[#This Row],[RFM Score]],'RFM Analysis'!$A$3:$B$14,2,FALSE)</f>
        <v>Promising</v>
      </c>
      <c r="BE965">
        <f>'Regression Models'!$B$101+'Regression Models'!$B$102*ifood_data[[#This Row],[Income]]+'Regression Models'!$B$103*ifood_data[[#This Row],[Age]]+'Regression Models'!$B$104*ifood_data[[#This Row],[Family]]</f>
        <v>532.21166967059082</v>
      </c>
      <c r="BF965" t="str">
        <f>IF(ifood_data[[#This Row],[AcceptedCmpOverall]]=1,"Campaign Respondent","Non-respondent")</f>
        <v>Non-respondent</v>
      </c>
    </row>
    <row r="966" spans="1:58" x14ac:dyDescent="0.35">
      <c r="A966">
        <v>1598</v>
      </c>
      <c r="B966">
        <v>54984</v>
      </c>
      <c r="C966">
        <v>0</v>
      </c>
      <c r="D966">
        <v>1</v>
      </c>
      <c r="E966">
        <v>51</v>
      </c>
      <c r="F966">
        <v>173</v>
      </c>
      <c r="G966">
        <v>13</v>
      </c>
      <c r="H966">
        <v>131</v>
      </c>
      <c r="I966">
        <v>32</v>
      </c>
      <c r="J966">
        <v>3</v>
      </c>
      <c r="K966">
        <v>6</v>
      </c>
      <c r="L966">
        <v>4</v>
      </c>
      <c r="M966">
        <v>6</v>
      </c>
      <c r="N966">
        <v>1</v>
      </c>
      <c r="O966">
        <v>6</v>
      </c>
      <c r="P966">
        <v>7</v>
      </c>
      <c r="Q966">
        <v>1</v>
      </c>
      <c r="R966">
        <v>0</v>
      </c>
      <c r="S966">
        <v>0</v>
      </c>
      <c r="T966">
        <v>0</v>
      </c>
      <c r="U966">
        <v>0</v>
      </c>
      <c r="V966">
        <f>IF(SUM(ifood_data[[#This Row],[AcceptedCmp1]:[AcceptedCmp5]])&gt;0,1,0)</f>
        <v>1</v>
      </c>
      <c r="W966">
        <v>0</v>
      </c>
      <c r="X966">
        <v>3</v>
      </c>
      <c r="Y966">
        <v>11</v>
      </c>
      <c r="Z966">
        <v>0</v>
      </c>
      <c r="AA966">
        <v>61</v>
      </c>
      <c r="AB966">
        <v>2195</v>
      </c>
      <c r="AC966" s="28">
        <f>ifood_data[[#This Row],[Customer_Days]]/365</f>
        <v>6.0136986301369859</v>
      </c>
      <c r="AD966">
        <v>0</v>
      </c>
      <c r="AE966">
        <v>1</v>
      </c>
      <c r="AF966">
        <v>0</v>
      </c>
      <c r="AG966">
        <v>0</v>
      </c>
      <c r="AH966">
        <v>0</v>
      </c>
      <c r="AI966">
        <v>0</v>
      </c>
      <c r="AJ966">
        <v>0</v>
      </c>
      <c r="AK966">
        <v>1</v>
      </c>
      <c r="AL966">
        <v>0</v>
      </c>
      <c r="AM966">
        <v>0</v>
      </c>
      <c r="AN966">
        <v>352</v>
      </c>
      <c r="AO966">
        <v>346</v>
      </c>
      <c r="AP966">
        <f>ifood_data[[#This Row],[MntTotal]]-ifood_data[[#This Row],[MntRegularProds]]</f>
        <v>6</v>
      </c>
      <c r="AQ966">
        <v>1</v>
      </c>
      <c r="AR966">
        <f>IF(SUM(ifood_data[[#This Row],[Kidhome]:[Teenhome]])&gt;0,1,0)</f>
        <v>1</v>
      </c>
      <c r="AS966" t="str">
        <f>IF(SUM(ifood_data[[#This Row],[Kidhome]:[Teenhome]])&gt;0,"Has Family","No Family")</f>
        <v>Has Family</v>
      </c>
      <c r="AT966" t="str">
        <f>IF(ifood_data[[#This Row],[marital_Married]]=1,"Married", (IF(ifood_data[[#This Row],[marital_Single]]=1,"Single",(IF(ifood_data[[#This Row],[marital_Divorced]]=1,"Divorced",(IF(ifood_data[[#This Row],[marital_Together]]=1,"Living Together",(IF(ifood_data[[#This Row],[marital_Widow]]=1,"Widow","Other")))))))))</f>
        <v>Married</v>
      </c>
      <c r="AU966" t="str">
        <f>IF(ifood_data[[#This Row],[education_Basic]]=1,"High School",(IF(ifood_data[[#This Row],[education_Graduation]]=1,"Undergraduate Degree",(IF(SUM(AM966,AL966,AI966)&gt;0,"Master's Degree or Higher","Other")))))</f>
        <v>Undergraduate Degree</v>
      </c>
      <c r="AV966" t="str">
        <f>IF(ifood_data[[#All],[Income]]&gt;75000,"75K+",(IF(ifood_data[[#All],[Income]]&gt;50000,"50K-75K",(IF(ifood_data[[#All],[Income]]&gt;35000,"35K-50K","&lt;35K")))))</f>
        <v>50K-75K</v>
      </c>
      <c r="AW966" t="str">
        <f>IF(ifood_data[[#All],[Age]]&gt;60,"60+",(IF(ifood_data[[#All],[Age]]&gt;50,"50-60",(IF(ifood_data[[#All],[Age]]&gt;40,"40-50",(IF(ifood_data[[#All],[Age]]&gt;30,"30-40","&lt;30")))))))</f>
        <v>60+</v>
      </c>
      <c r="AX966">
        <f t="shared" si="60"/>
        <v>24</v>
      </c>
      <c r="AY966">
        <f t="shared" si="61"/>
        <v>5</v>
      </c>
      <c r="AZ966">
        <f t="shared" si="62"/>
        <v>6</v>
      </c>
      <c r="BA966">
        <f t="shared" si="63"/>
        <v>5</v>
      </c>
      <c r="BB966">
        <f>SUM(ifood_data[[#This Row],[Recency Score]:[Monetary Score]])</f>
        <v>16</v>
      </c>
      <c r="BC966">
        <f>(_xlfn.PERCENTRANK.INC(ifood_data[[#All],[RFM]],ifood_data[[#This Row],[RFM]],1))*10</f>
        <v>5</v>
      </c>
      <c r="BD966" t="str">
        <f>VLOOKUP(ifood_data[[#This Row],[RFM Score]],'RFM Analysis'!$A$3:$B$14,2,FALSE)</f>
        <v>Promising</v>
      </c>
      <c r="BE966">
        <f>'Regression Models'!$B$101+'Regression Models'!$B$102*ifood_data[[#This Row],[Income]]+'Regression Models'!$B$103*ifood_data[[#This Row],[Age]]+'Regression Models'!$B$104*ifood_data[[#This Row],[Family]]</f>
        <v>531.60435646410394</v>
      </c>
      <c r="BF966" t="str">
        <f>IF(ifood_data[[#This Row],[AcceptedCmpOverall]]=1,"Campaign Respondent","Non-respondent")</f>
        <v>Campaign Respondent</v>
      </c>
    </row>
    <row r="967" spans="1:58" x14ac:dyDescent="0.35">
      <c r="A967">
        <v>1165</v>
      </c>
      <c r="B967">
        <v>55249</v>
      </c>
      <c r="C967">
        <v>0</v>
      </c>
      <c r="D967">
        <v>1</v>
      </c>
      <c r="E967">
        <v>81</v>
      </c>
      <c r="F967">
        <v>97</v>
      </c>
      <c r="G967">
        <v>1</v>
      </c>
      <c r="H967">
        <v>19</v>
      </c>
      <c r="I967">
        <v>2</v>
      </c>
      <c r="J967">
        <v>0</v>
      </c>
      <c r="K967">
        <v>11</v>
      </c>
      <c r="L967">
        <v>1</v>
      </c>
      <c r="M967">
        <v>2</v>
      </c>
      <c r="N967">
        <v>1</v>
      </c>
      <c r="O967">
        <v>4</v>
      </c>
      <c r="P967">
        <v>3</v>
      </c>
      <c r="Q967">
        <v>0</v>
      </c>
      <c r="R967">
        <v>0</v>
      </c>
      <c r="S967">
        <v>0</v>
      </c>
      <c r="T967">
        <v>0</v>
      </c>
      <c r="U967">
        <v>0</v>
      </c>
      <c r="V967">
        <f>IF(SUM(ifood_data[[#This Row],[AcceptedCmp1]:[AcceptedCmp5]])&gt;0,1,0)</f>
        <v>0</v>
      </c>
      <c r="W967">
        <v>0</v>
      </c>
      <c r="X967">
        <v>3</v>
      </c>
      <c r="Y967">
        <v>11</v>
      </c>
      <c r="Z967">
        <v>0</v>
      </c>
      <c r="AA967">
        <v>64</v>
      </c>
      <c r="AB967">
        <v>2232</v>
      </c>
      <c r="AC967" s="28">
        <f>ifood_data[[#This Row],[Customer_Days]]/365</f>
        <v>6.1150684931506847</v>
      </c>
      <c r="AD967">
        <v>0</v>
      </c>
      <c r="AE967">
        <v>0</v>
      </c>
      <c r="AF967">
        <v>0</v>
      </c>
      <c r="AG967">
        <v>1</v>
      </c>
      <c r="AH967">
        <v>0</v>
      </c>
      <c r="AI967">
        <v>0</v>
      </c>
      <c r="AJ967">
        <v>0</v>
      </c>
      <c r="AK967">
        <v>0</v>
      </c>
      <c r="AL967">
        <v>1</v>
      </c>
      <c r="AM967">
        <v>0</v>
      </c>
      <c r="AN967">
        <v>119</v>
      </c>
      <c r="AO967">
        <v>108</v>
      </c>
      <c r="AP967">
        <f>ifood_data[[#This Row],[MntTotal]]-ifood_data[[#This Row],[MntRegularProds]]</f>
        <v>11</v>
      </c>
      <c r="AQ967">
        <v>0</v>
      </c>
      <c r="AR967">
        <f>IF(SUM(ifood_data[[#This Row],[Kidhome]:[Teenhome]])&gt;0,1,0)</f>
        <v>1</v>
      </c>
      <c r="AS967" t="str">
        <f>IF(SUM(ifood_data[[#This Row],[Kidhome]:[Teenhome]])&gt;0,"Has Family","No Family")</f>
        <v>Has Family</v>
      </c>
      <c r="AT967" t="str">
        <f>IF(ifood_data[[#This Row],[marital_Married]]=1,"Married", (IF(ifood_data[[#This Row],[marital_Single]]=1,"Single",(IF(ifood_data[[#This Row],[marital_Divorced]]=1,"Divorced",(IF(ifood_data[[#This Row],[marital_Together]]=1,"Living Together",(IF(ifood_data[[#This Row],[marital_Widow]]=1,"Widow","Other")))))))))</f>
        <v>Living Together</v>
      </c>
      <c r="AU967" t="str">
        <f>IF(ifood_data[[#This Row],[education_Basic]]=1,"High School",(IF(ifood_data[[#This Row],[education_Graduation]]=1,"Undergraduate Degree",(IF(SUM(AM967,AL967,AI967)&gt;0,"Master's Degree or Higher","Other")))))</f>
        <v>Master's Degree or Higher</v>
      </c>
      <c r="AV967" t="str">
        <f>IF(ifood_data[[#All],[Income]]&gt;75000,"75K+",(IF(ifood_data[[#All],[Income]]&gt;50000,"50K-75K",(IF(ifood_data[[#All],[Income]]&gt;35000,"35K-50K","&lt;35K")))))</f>
        <v>50K-75K</v>
      </c>
      <c r="AW967" t="str">
        <f>IF(ifood_data[[#All],[Age]]&gt;60,"60+",(IF(ifood_data[[#All],[Age]]&gt;50,"50-60",(IF(ifood_data[[#All],[Age]]&gt;40,"40-50",(IF(ifood_data[[#All],[Age]]&gt;30,"30-40","&lt;30")))))))</f>
        <v>60+</v>
      </c>
      <c r="AX967">
        <f t="shared" si="60"/>
        <v>11</v>
      </c>
      <c r="AY967">
        <f t="shared" si="61"/>
        <v>1.9999999999999996</v>
      </c>
      <c r="AZ967">
        <f t="shared" si="62"/>
        <v>0</v>
      </c>
      <c r="BA967">
        <f t="shared" si="63"/>
        <v>3</v>
      </c>
      <c r="BB967">
        <f>SUM(ifood_data[[#This Row],[Recency Score]:[Monetary Score]])</f>
        <v>5</v>
      </c>
      <c r="BC967">
        <f>(_xlfn.PERCENTRANK.INC(ifood_data[[#All],[RFM]],ifood_data[[#This Row],[RFM]],1))*10</f>
        <v>0</v>
      </c>
      <c r="BD967" t="str">
        <f>VLOOKUP(ifood_data[[#This Row],[RFM Score]],'RFM Analysis'!$A$3:$B$14,2,FALSE)</f>
        <v>Lost</v>
      </c>
      <c r="BE967">
        <f>'Regression Models'!$B$101+'Regression Models'!$B$102*ifood_data[[#This Row],[Income]]+'Regression Models'!$B$103*ifood_data[[#This Row],[Age]]+'Regression Models'!$B$104*ifood_data[[#This Row],[Family]]</f>
        <v>531.49806278555445</v>
      </c>
      <c r="BF967" t="str">
        <f>IF(ifood_data[[#This Row],[AcceptedCmpOverall]]=1,"Campaign Respondent","Non-respondent")</f>
        <v>Non-respondent</v>
      </c>
    </row>
    <row r="968" spans="1:58" x14ac:dyDescent="0.35">
      <c r="A968">
        <v>1673</v>
      </c>
      <c r="B968">
        <v>54693</v>
      </c>
      <c r="C968">
        <v>0</v>
      </c>
      <c r="D968">
        <v>1</v>
      </c>
      <c r="E968">
        <v>72</v>
      </c>
      <c r="F968">
        <v>686</v>
      </c>
      <c r="G968">
        <v>17</v>
      </c>
      <c r="H968">
        <v>142</v>
      </c>
      <c r="I968">
        <v>23</v>
      </c>
      <c r="J968">
        <v>26</v>
      </c>
      <c r="K968">
        <v>35</v>
      </c>
      <c r="L968">
        <v>8</v>
      </c>
      <c r="M968">
        <v>6</v>
      </c>
      <c r="N968">
        <v>4</v>
      </c>
      <c r="O968">
        <v>13</v>
      </c>
      <c r="P968">
        <v>6</v>
      </c>
      <c r="Q968">
        <v>0</v>
      </c>
      <c r="R968">
        <v>0</v>
      </c>
      <c r="S968">
        <v>0</v>
      </c>
      <c r="T968">
        <v>0</v>
      </c>
      <c r="U968">
        <v>0</v>
      </c>
      <c r="V968">
        <f>IF(SUM(ifood_data[[#This Row],[AcceptedCmp1]:[AcceptedCmp5]])&gt;0,1,0)</f>
        <v>0</v>
      </c>
      <c r="W968">
        <v>0</v>
      </c>
      <c r="X968">
        <v>3</v>
      </c>
      <c r="Y968">
        <v>11</v>
      </c>
      <c r="Z968">
        <v>0</v>
      </c>
      <c r="AA968">
        <v>58</v>
      </c>
      <c r="AB968">
        <v>2656</v>
      </c>
      <c r="AC968" s="28">
        <f>ifood_data[[#This Row],[Customer_Days]]/365</f>
        <v>7.2767123287671236</v>
      </c>
      <c r="AD968">
        <v>0</v>
      </c>
      <c r="AE968">
        <v>1</v>
      </c>
      <c r="AF968">
        <v>0</v>
      </c>
      <c r="AG968">
        <v>0</v>
      </c>
      <c r="AH968">
        <v>0</v>
      </c>
      <c r="AI968">
        <v>0</v>
      </c>
      <c r="AJ968">
        <v>0</v>
      </c>
      <c r="AK968">
        <v>0</v>
      </c>
      <c r="AL968">
        <v>0</v>
      </c>
      <c r="AM968">
        <v>1</v>
      </c>
      <c r="AN968">
        <v>894</v>
      </c>
      <c r="AO968">
        <v>859</v>
      </c>
      <c r="AP968">
        <f>ifood_data[[#This Row],[MntTotal]]-ifood_data[[#This Row],[MntRegularProds]]</f>
        <v>35</v>
      </c>
      <c r="AQ968">
        <v>0</v>
      </c>
      <c r="AR968">
        <f>IF(SUM(ifood_data[[#This Row],[Kidhome]:[Teenhome]])&gt;0,1,0)</f>
        <v>1</v>
      </c>
      <c r="AS968" t="str">
        <f>IF(SUM(ifood_data[[#This Row],[Kidhome]:[Teenhome]])&gt;0,"Has Family","No Family")</f>
        <v>Has Family</v>
      </c>
      <c r="AT968" t="str">
        <f>IF(ifood_data[[#This Row],[marital_Married]]=1,"Married", (IF(ifood_data[[#This Row],[marital_Single]]=1,"Single",(IF(ifood_data[[#This Row],[marital_Divorced]]=1,"Divorced",(IF(ifood_data[[#This Row],[marital_Together]]=1,"Living Together",(IF(ifood_data[[#This Row],[marital_Widow]]=1,"Widow","Other")))))))))</f>
        <v>Married</v>
      </c>
      <c r="AU968" t="str">
        <f>IF(ifood_data[[#This Row],[education_Basic]]=1,"High School",(IF(ifood_data[[#This Row],[education_Graduation]]=1,"Undergraduate Degree",(IF(SUM(AM968,AL968,AI968)&gt;0,"Master's Degree or Higher","Other")))))</f>
        <v>Master's Degree or Higher</v>
      </c>
      <c r="AV968" t="str">
        <f>IF(ifood_data[[#All],[Income]]&gt;75000,"75K+",(IF(ifood_data[[#All],[Income]]&gt;50000,"50K-75K",(IF(ifood_data[[#All],[Income]]&gt;35000,"35K-50K","&lt;35K")))))</f>
        <v>50K-75K</v>
      </c>
      <c r="AW968" t="str">
        <f>IF(ifood_data[[#All],[Age]]&gt;60,"60+",(IF(ifood_data[[#All],[Age]]&gt;50,"50-60",(IF(ifood_data[[#All],[Age]]&gt;40,"40-50",(IF(ifood_data[[#All],[Age]]&gt;30,"30-40","&lt;30")))))))</f>
        <v>50-60</v>
      </c>
      <c r="AX968">
        <f t="shared" si="60"/>
        <v>37</v>
      </c>
      <c r="AY968">
        <f t="shared" si="61"/>
        <v>3.0000000000000004</v>
      </c>
      <c r="AZ968">
        <f t="shared" si="62"/>
        <v>9</v>
      </c>
      <c r="BA968">
        <f t="shared" si="63"/>
        <v>7</v>
      </c>
      <c r="BB968">
        <f>SUM(ifood_data[[#This Row],[Recency Score]:[Monetary Score]])</f>
        <v>19</v>
      </c>
      <c r="BC968">
        <f>(_xlfn.PERCENTRANK.INC(ifood_data[[#All],[RFM]],ifood_data[[#This Row],[RFM]],1))*10</f>
        <v>7</v>
      </c>
      <c r="BD968" t="str">
        <f>VLOOKUP(ifood_data[[#This Row],[RFM Score]],'RFM Analysis'!$A$3:$B$14,2,FALSE)</f>
        <v>Loyal Customer</v>
      </c>
      <c r="BE968">
        <f>'Regression Models'!$B$101+'Regression Models'!$B$102*ifood_data[[#This Row],[Income]]+'Regression Models'!$B$103*ifood_data[[#This Row],[Age]]+'Regression Models'!$B$104*ifood_data[[#This Row],[Family]]</f>
        <v>531.18054217091219</v>
      </c>
      <c r="BF968" t="str">
        <f>IF(ifood_data[[#This Row],[AcceptedCmpOverall]]=1,"Campaign Respondent","Non-respondent")</f>
        <v>Non-respondent</v>
      </c>
    </row>
    <row r="969" spans="1:58" x14ac:dyDescent="0.35">
      <c r="A969">
        <v>1300</v>
      </c>
      <c r="B969">
        <v>53761</v>
      </c>
      <c r="C969">
        <v>1</v>
      </c>
      <c r="D969">
        <v>1</v>
      </c>
      <c r="E969">
        <v>7</v>
      </c>
      <c r="F969">
        <v>158</v>
      </c>
      <c r="G969">
        <v>0</v>
      </c>
      <c r="H969">
        <v>76</v>
      </c>
      <c r="I969">
        <v>13</v>
      </c>
      <c r="J969">
        <v>7</v>
      </c>
      <c r="K969">
        <v>71</v>
      </c>
      <c r="L969">
        <v>6</v>
      </c>
      <c r="M969">
        <v>4</v>
      </c>
      <c r="N969">
        <v>4</v>
      </c>
      <c r="O969">
        <v>3</v>
      </c>
      <c r="P969">
        <v>5</v>
      </c>
      <c r="Q969">
        <v>0</v>
      </c>
      <c r="R969">
        <v>0</v>
      </c>
      <c r="S969">
        <v>0</v>
      </c>
      <c r="T969">
        <v>0</v>
      </c>
      <c r="U969">
        <v>0</v>
      </c>
      <c r="V969">
        <f>IF(SUM(ifood_data[[#This Row],[AcceptedCmp1]:[AcceptedCmp5]])&gt;0,1,0)</f>
        <v>0</v>
      </c>
      <c r="W969">
        <v>0</v>
      </c>
      <c r="X969">
        <v>3</v>
      </c>
      <c r="Y969">
        <v>11</v>
      </c>
      <c r="Z969">
        <v>0</v>
      </c>
      <c r="AA969">
        <v>48</v>
      </c>
      <c r="AB969">
        <v>2420</v>
      </c>
      <c r="AC969" s="28">
        <f>ifood_data[[#This Row],[Customer_Days]]/365</f>
        <v>6.6301369863013697</v>
      </c>
      <c r="AD969">
        <v>0</v>
      </c>
      <c r="AE969">
        <v>1</v>
      </c>
      <c r="AF969">
        <v>0</v>
      </c>
      <c r="AG969">
        <v>0</v>
      </c>
      <c r="AH969">
        <v>0</v>
      </c>
      <c r="AI969">
        <v>0</v>
      </c>
      <c r="AJ969">
        <v>0</v>
      </c>
      <c r="AK969">
        <v>0</v>
      </c>
      <c r="AL969">
        <v>1</v>
      </c>
      <c r="AM969">
        <v>0</v>
      </c>
      <c r="AN969">
        <v>254</v>
      </c>
      <c r="AO969">
        <v>183</v>
      </c>
      <c r="AP969">
        <f>ifood_data[[#This Row],[MntTotal]]-ifood_data[[#This Row],[MntRegularProds]]</f>
        <v>71</v>
      </c>
      <c r="AQ969">
        <v>0</v>
      </c>
      <c r="AR969">
        <f>IF(SUM(ifood_data[[#This Row],[Kidhome]:[Teenhome]])&gt;0,1,0)</f>
        <v>1</v>
      </c>
      <c r="AS969" t="str">
        <f>IF(SUM(ifood_data[[#This Row],[Kidhome]:[Teenhome]])&gt;0,"Has Family","No Family")</f>
        <v>Has Family</v>
      </c>
      <c r="AT969" t="str">
        <f>IF(ifood_data[[#This Row],[marital_Married]]=1,"Married", (IF(ifood_data[[#This Row],[marital_Single]]=1,"Single",(IF(ifood_data[[#This Row],[marital_Divorced]]=1,"Divorced",(IF(ifood_data[[#This Row],[marital_Together]]=1,"Living Together",(IF(ifood_data[[#This Row],[marital_Widow]]=1,"Widow","Other")))))))))</f>
        <v>Married</v>
      </c>
      <c r="AU969" t="str">
        <f>IF(ifood_data[[#This Row],[education_Basic]]=1,"High School",(IF(ifood_data[[#This Row],[education_Graduation]]=1,"Undergraduate Degree",(IF(SUM(AM969,AL969,AI969)&gt;0,"Master's Degree or Higher","Other")))))</f>
        <v>Master's Degree or Higher</v>
      </c>
      <c r="AV969" t="str">
        <f>IF(ifood_data[[#All],[Income]]&gt;75000,"75K+",(IF(ifood_data[[#All],[Income]]&gt;50000,"50K-75K",(IF(ifood_data[[#All],[Income]]&gt;35000,"35K-50K","&lt;35K")))))</f>
        <v>50K-75K</v>
      </c>
      <c r="AW969" t="str">
        <f>IF(ifood_data[[#All],[Age]]&gt;60,"60+",(IF(ifood_data[[#All],[Age]]&gt;50,"50-60",(IF(ifood_data[[#All],[Age]]&gt;40,"40-50",(IF(ifood_data[[#All],[Age]]&gt;30,"30-40","&lt;30")))))))</f>
        <v>40-50</v>
      </c>
      <c r="AX969">
        <f t="shared" si="60"/>
        <v>22</v>
      </c>
      <c r="AY969">
        <f t="shared" si="61"/>
        <v>10</v>
      </c>
      <c r="AZ969">
        <f t="shared" si="62"/>
        <v>5</v>
      </c>
      <c r="BA969">
        <f t="shared" si="63"/>
        <v>4</v>
      </c>
      <c r="BB969">
        <f>SUM(ifood_data[[#This Row],[Recency Score]:[Monetary Score]])</f>
        <v>19</v>
      </c>
      <c r="BC969">
        <f>(_xlfn.PERCENTRANK.INC(ifood_data[[#All],[RFM]],ifood_data[[#This Row],[RFM]],1))*10</f>
        <v>7</v>
      </c>
      <c r="BD969" t="str">
        <f>VLOOKUP(ifood_data[[#This Row],[RFM Score]],'RFM Analysis'!$A$3:$B$14,2,FALSE)</f>
        <v>Loyal Customer</v>
      </c>
      <c r="BE969">
        <f>'Regression Models'!$B$101+'Regression Models'!$B$102*ifood_data[[#This Row],[Income]]+'Regression Models'!$B$103*ifood_data[[#This Row],[Age]]+'Regression Models'!$B$104*ifood_data[[#This Row],[Family]]</f>
        <v>530.54260104974117</v>
      </c>
      <c r="BF969" t="str">
        <f>IF(ifood_data[[#This Row],[AcceptedCmpOverall]]=1,"Campaign Respondent","Non-respondent")</f>
        <v>Non-respondent</v>
      </c>
    </row>
    <row r="970" spans="1:58" x14ac:dyDescent="0.35">
      <c r="A970">
        <v>83</v>
      </c>
      <c r="B970">
        <v>54178</v>
      </c>
      <c r="C970">
        <v>0</v>
      </c>
      <c r="D970">
        <v>1</v>
      </c>
      <c r="E970">
        <v>79</v>
      </c>
      <c r="F970">
        <v>135</v>
      </c>
      <c r="G970">
        <v>9</v>
      </c>
      <c r="H970">
        <v>39</v>
      </c>
      <c r="I970">
        <v>4</v>
      </c>
      <c r="J970">
        <v>0</v>
      </c>
      <c r="K970">
        <v>7</v>
      </c>
      <c r="L970">
        <v>1</v>
      </c>
      <c r="M970">
        <v>2</v>
      </c>
      <c r="N970">
        <v>2</v>
      </c>
      <c r="O970">
        <v>5</v>
      </c>
      <c r="P970">
        <v>2</v>
      </c>
      <c r="Q970">
        <v>0</v>
      </c>
      <c r="R970">
        <v>0</v>
      </c>
      <c r="S970">
        <v>0</v>
      </c>
      <c r="T970">
        <v>0</v>
      </c>
      <c r="U970">
        <v>0</v>
      </c>
      <c r="V970">
        <f>IF(SUM(ifood_data[[#This Row],[AcceptedCmp1]:[AcceptedCmp5]])&gt;0,1,0)</f>
        <v>0</v>
      </c>
      <c r="W970">
        <v>0</v>
      </c>
      <c r="X970">
        <v>3</v>
      </c>
      <c r="Y970">
        <v>11</v>
      </c>
      <c r="Z970">
        <v>0</v>
      </c>
      <c r="AA970">
        <v>53</v>
      </c>
      <c r="AB970">
        <v>2318</v>
      </c>
      <c r="AC970" s="28">
        <f>ifood_data[[#This Row],[Customer_Days]]/365</f>
        <v>6.3506849315068497</v>
      </c>
      <c r="AD970">
        <v>0</v>
      </c>
      <c r="AE970">
        <v>0</v>
      </c>
      <c r="AF970">
        <v>0</v>
      </c>
      <c r="AG970">
        <v>1</v>
      </c>
      <c r="AH970">
        <v>0</v>
      </c>
      <c r="AI970">
        <v>0</v>
      </c>
      <c r="AJ970">
        <v>0</v>
      </c>
      <c r="AK970">
        <v>1</v>
      </c>
      <c r="AL970">
        <v>0</v>
      </c>
      <c r="AM970">
        <v>0</v>
      </c>
      <c r="AN970">
        <v>187</v>
      </c>
      <c r="AO970">
        <v>180</v>
      </c>
      <c r="AP970">
        <f>ifood_data[[#This Row],[MntTotal]]-ifood_data[[#This Row],[MntRegularProds]]</f>
        <v>7</v>
      </c>
      <c r="AQ970">
        <v>0</v>
      </c>
      <c r="AR970">
        <f>IF(SUM(ifood_data[[#This Row],[Kidhome]:[Teenhome]])&gt;0,1,0)</f>
        <v>1</v>
      </c>
      <c r="AS970" t="str">
        <f>IF(SUM(ifood_data[[#This Row],[Kidhome]:[Teenhome]])&gt;0,"Has Family","No Family")</f>
        <v>Has Family</v>
      </c>
      <c r="AT970" t="str">
        <f>IF(ifood_data[[#This Row],[marital_Married]]=1,"Married", (IF(ifood_data[[#This Row],[marital_Single]]=1,"Single",(IF(ifood_data[[#This Row],[marital_Divorced]]=1,"Divorced",(IF(ifood_data[[#This Row],[marital_Together]]=1,"Living Together",(IF(ifood_data[[#This Row],[marital_Widow]]=1,"Widow","Other")))))))))</f>
        <v>Living Together</v>
      </c>
      <c r="AU970" t="str">
        <f>IF(ifood_data[[#This Row],[education_Basic]]=1,"High School",(IF(ifood_data[[#This Row],[education_Graduation]]=1,"Undergraduate Degree",(IF(SUM(AM970,AL970,AI970)&gt;0,"Master's Degree or Higher","Other")))))</f>
        <v>Undergraduate Degree</v>
      </c>
      <c r="AV970" t="str">
        <f>IF(ifood_data[[#All],[Income]]&gt;75000,"75K+",(IF(ifood_data[[#All],[Income]]&gt;50000,"50K-75K",(IF(ifood_data[[#All],[Income]]&gt;35000,"35K-50K","&lt;35K")))))</f>
        <v>50K-75K</v>
      </c>
      <c r="AW970" t="str">
        <f>IF(ifood_data[[#All],[Age]]&gt;60,"60+",(IF(ifood_data[[#All],[Age]]&gt;50,"50-60",(IF(ifood_data[[#All],[Age]]&gt;40,"40-50",(IF(ifood_data[[#All],[Age]]&gt;30,"30-40","&lt;30")))))))</f>
        <v>50-60</v>
      </c>
      <c r="AX970">
        <f t="shared" si="60"/>
        <v>12</v>
      </c>
      <c r="AY970">
        <f t="shared" si="61"/>
        <v>3.0000000000000004</v>
      </c>
      <c r="AZ970">
        <f t="shared" si="62"/>
        <v>1</v>
      </c>
      <c r="BA970">
        <f t="shared" si="63"/>
        <v>4</v>
      </c>
      <c r="BB970">
        <f>SUM(ifood_data[[#This Row],[Recency Score]:[Monetary Score]])</f>
        <v>8</v>
      </c>
      <c r="BC970">
        <f>(_xlfn.PERCENTRANK.INC(ifood_data[[#All],[RFM]],ifood_data[[#This Row],[RFM]],1))*10</f>
        <v>1</v>
      </c>
      <c r="BD970" t="str">
        <f>VLOOKUP(ifood_data[[#This Row],[RFM Score]],'RFM Analysis'!$A$3:$B$14,2,FALSE)</f>
        <v>At Risk</v>
      </c>
      <c r="BE970">
        <f>'Regression Models'!$B$101+'Regression Models'!$B$102*ifood_data[[#This Row],[Income]]+'Regression Models'!$B$103*ifood_data[[#This Row],[Age]]+'Regression Models'!$B$104*ifood_data[[#This Row],[Family]]</f>
        <v>529.86252197127567</v>
      </c>
      <c r="BF970" t="str">
        <f>IF(ifood_data[[#This Row],[AcceptedCmpOverall]]=1,"Campaign Respondent","Non-respondent")</f>
        <v>Non-respondent</v>
      </c>
    </row>
    <row r="971" spans="1:58" x14ac:dyDescent="0.35">
      <c r="A971">
        <v>26</v>
      </c>
      <c r="B971">
        <v>53359</v>
      </c>
      <c r="C971">
        <v>1</v>
      </c>
      <c r="D971">
        <v>1</v>
      </c>
      <c r="E971">
        <v>4</v>
      </c>
      <c r="F971">
        <v>173</v>
      </c>
      <c r="G971">
        <v>4</v>
      </c>
      <c r="H971">
        <v>30</v>
      </c>
      <c r="I971">
        <v>3</v>
      </c>
      <c r="J971">
        <v>6</v>
      </c>
      <c r="K971">
        <v>41</v>
      </c>
      <c r="L971">
        <v>4</v>
      </c>
      <c r="M971">
        <v>5</v>
      </c>
      <c r="N971">
        <v>1</v>
      </c>
      <c r="O971">
        <v>4</v>
      </c>
      <c r="P971">
        <v>7</v>
      </c>
      <c r="Q971">
        <v>0</v>
      </c>
      <c r="R971">
        <v>0</v>
      </c>
      <c r="S971">
        <v>0</v>
      </c>
      <c r="T971">
        <v>0</v>
      </c>
      <c r="U971">
        <v>0</v>
      </c>
      <c r="V971">
        <f>IF(SUM(ifood_data[[#This Row],[AcceptedCmp1]:[AcceptedCmp5]])&gt;0,1,0)</f>
        <v>0</v>
      </c>
      <c r="W971">
        <v>0</v>
      </c>
      <c r="X971">
        <v>3</v>
      </c>
      <c r="Y971">
        <v>11</v>
      </c>
      <c r="Z971">
        <v>0</v>
      </c>
      <c r="AA971">
        <v>44</v>
      </c>
      <c r="AB971">
        <v>2557</v>
      </c>
      <c r="AC971" s="28">
        <f>ifood_data[[#This Row],[Customer_Days]]/365</f>
        <v>7.0054794520547947</v>
      </c>
      <c r="AD971">
        <v>0</v>
      </c>
      <c r="AE971">
        <v>1</v>
      </c>
      <c r="AF971">
        <v>0</v>
      </c>
      <c r="AG971">
        <v>0</v>
      </c>
      <c r="AH971">
        <v>0</v>
      </c>
      <c r="AI971">
        <v>0</v>
      </c>
      <c r="AJ971">
        <v>0</v>
      </c>
      <c r="AK971">
        <v>1</v>
      </c>
      <c r="AL971">
        <v>0</v>
      </c>
      <c r="AM971">
        <v>0</v>
      </c>
      <c r="AN971">
        <v>216</v>
      </c>
      <c r="AO971">
        <v>175</v>
      </c>
      <c r="AP971">
        <f>ifood_data[[#This Row],[MntTotal]]-ifood_data[[#This Row],[MntRegularProds]]</f>
        <v>41</v>
      </c>
      <c r="AQ971">
        <v>0</v>
      </c>
      <c r="AR971">
        <f>IF(SUM(ifood_data[[#This Row],[Kidhome]:[Teenhome]])&gt;0,1,0)</f>
        <v>1</v>
      </c>
      <c r="AS971" t="str">
        <f>IF(SUM(ifood_data[[#This Row],[Kidhome]:[Teenhome]])&gt;0,"Has Family","No Family")</f>
        <v>Has Family</v>
      </c>
      <c r="AT971" t="str">
        <f>IF(ifood_data[[#This Row],[marital_Married]]=1,"Married", (IF(ifood_data[[#This Row],[marital_Single]]=1,"Single",(IF(ifood_data[[#This Row],[marital_Divorced]]=1,"Divorced",(IF(ifood_data[[#This Row],[marital_Together]]=1,"Living Together",(IF(ifood_data[[#This Row],[marital_Widow]]=1,"Widow","Other")))))))))</f>
        <v>Married</v>
      </c>
      <c r="AU971" t="str">
        <f>IF(ifood_data[[#This Row],[education_Basic]]=1,"High School",(IF(ifood_data[[#This Row],[education_Graduation]]=1,"Undergraduate Degree",(IF(SUM(AM971,AL971,AI971)&gt;0,"Master's Degree or Higher","Other")))))</f>
        <v>Undergraduate Degree</v>
      </c>
      <c r="AV971" t="str">
        <f>IF(ifood_data[[#All],[Income]]&gt;75000,"75K+",(IF(ifood_data[[#All],[Income]]&gt;50000,"50K-75K",(IF(ifood_data[[#All],[Income]]&gt;35000,"35K-50K","&lt;35K")))))</f>
        <v>50K-75K</v>
      </c>
      <c r="AW971" t="str">
        <f>IF(ifood_data[[#All],[Age]]&gt;60,"60+",(IF(ifood_data[[#All],[Age]]&gt;50,"50-60",(IF(ifood_data[[#All],[Age]]&gt;40,"40-50",(IF(ifood_data[[#All],[Age]]&gt;30,"30-40","&lt;30")))))))</f>
        <v>40-50</v>
      </c>
      <c r="AX971">
        <f t="shared" si="60"/>
        <v>21</v>
      </c>
      <c r="AY971">
        <f t="shared" si="61"/>
        <v>10</v>
      </c>
      <c r="AZ971">
        <f t="shared" si="62"/>
        <v>5</v>
      </c>
      <c r="BA971">
        <f t="shared" si="63"/>
        <v>4</v>
      </c>
      <c r="BB971">
        <f>SUM(ifood_data[[#This Row],[Recency Score]:[Monetary Score]])</f>
        <v>19</v>
      </c>
      <c r="BC971">
        <f>(_xlfn.PERCENTRANK.INC(ifood_data[[#All],[RFM]],ifood_data[[#This Row],[RFM]],1))*10</f>
        <v>7</v>
      </c>
      <c r="BD971" t="str">
        <f>VLOOKUP(ifood_data[[#This Row],[RFM Score]],'RFM Analysis'!$A$3:$B$14,2,FALSE)</f>
        <v>Loyal Customer</v>
      </c>
      <c r="BE971">
        <f>'Regression Models'!$B$101+'Regression Models'!$B$102*ifood_data[[#This Row],[Income]]+'Regression Models'!$B$103*ifood_data[[#This Row],[Age]]+'Regression Models'!$B$104*ifood_data[[#This Row],[Family]]</f>
        <v>529.69207257147093</v>
      </c>
      <c r="BF971" t="str">
        <f>IF(ifood_data[[#This Row],[AcceptedCmpOverall]]=1,"Campaign Respondent","Non-respondent")</f>
        <v>Non-respondent</v>
      </c>
    </row>
    <row r="972" spans="1:58" x14ac:dyDescent="0.35">
      <c r="A972">
        <v>822</v>
      </c>
      <c r="B972">
        <v>53172</v>
      </c>
      <c r="C972">
        <v>0</v>
      </c>
      <c r="D972">
        <v>1</v>
      </c>
      <c r="E972">
        <v>54</v>
      </c>
      <c r="F972">
        <v>121</v>
      </c>
      <c r="G972">
        <v>62</v>
      </c>
      <c r="H972">
        <v>90</v>
      </c>
      <c r="I972">
        <v>68</v>
      </c>
      <c r="J972">
        <v>20</v>
      </c>
      <c r="K972">
        <v>125</v>
      </c>
      <c r="L972">
        <v>3</v>
      </c>
      <c r="M972">
        <v>2</v>
      </c>
      <c r="N972">
        <v>3</v>
      </c>
      <c r="O972">
        <v>8</v>
      </c>
      <c r="P972">
        <v>3</v>
      </c>
      <c r="Q972">
        <v>0</v>
      </c>
      <c r="R972">
        <v>0</v>
      </c>
      <c r="S972">
        <v>0</v>
      </c>
      <c r="T972">
        <v>0</v>
      </c>
      <c r="U972">
        <v>0</v>
      </c>
      <c r="V972">
        <f>IF(SUM(ifood_data[[#This Row],[AcceptedCmp1]:[AcceptedCmp5]])&gt;0,1,0)</f>
        <v>0</v>
      </c>
      <c r="W972">
        <v>0</v>
      </c>
      <c r="X972">
        <v>3</v>
      </c>
      <c r="Y972">
        <v>11</v>
      </c>
      <c r="Z972">
        <v>0</v>
      </c>
      <c r="AA972">
        <v>42</v>
      </c>
      <c r="AB972">
        <v>2578</v>
      </c>
      <c r="AC972" s="28">
        <f>ifood_data[[#This Row],[Customer_Days]]/365</f>
        <v>7.0630136986301366</v>
      </c>
      <c r="AD972">
        <v>0</v>
      </c>
      <c r="AE972">
        <v>0</v>
      </c>
      <c r="AF972">
        <v>0</v>
      </c>
      <c r="AG972">
        <v>1</v>
      </c>
      <c r="AH972">
        <v>0</v>
      </c>
      <c r="AI972">
        <v>0</v>
      </c>
      <c r="AJ972">
        <v>0</v>
      </c>
      <c r="AK972">
        <v>1</v>
      </c>
      <c r="AL972">
        <v>0</v>
      </c>
      <c r="AM972">
        <v>0</v>
      </c>
      <c r="AN972">
        <v>361</v>
      </c>
      <c r="AO972">
        <v>236</v>
      </c>
      <c r="AP972">
        <f>ifood_data[[#This Row],[MntTotal]]-ifood_data[[#This Row],[MntRegularProds]]</f>
        <v>125</v>
      </c>
      <c r="AQ972">
        <v>0</v>
      </c>
      <c r="AR972">
        <f>IF(SUM(ifood_data[[#This Row],[Kidhome]:[Teenhome]])&gt;0,1,0)</f>
        <v>1</v>
      </c>
      <c r="AS972" t="str">
        <f>IF(SUM(ifood_data[[#This Row],[Kidhome]:[Teenhome]])&gt;0,"Has Family","No Family")</f>
        <v>Has Family</v>
      </c>
      <c r="AT972" t="str">
        <f>IF(ifood_data[[#This Row],[marital_Married]]=1,"Married", (IF(ifood_data[[#This Row],[marital_Single]]=1,"Single",(IF(ifood_data[[#This Row],[marital_Divorced]]=1,"Divorced",(IF(ifood_data[[#This Row],[marital_Together]]=1,"Living Together",(IF(ifood_data[[#This Row],[marital_Widow]]=1,"Widow","Other")))))))))</f>
        <v>Living Together</v>
      </c>
      <c r="AU972" t="str">
        <f>IF(ifood_data[[#This Row],[education_Basic]]=1,"High School",(IF(ifood_data[[#This Row],[education_Graduation]]=1,"Undergraduate Degree",(IF(SUM(AM972,AL972,AI972)&gt;0,"Master's Degree or Higher","Other")))))</f>
        <v>Undergraduate Degree</v>
      </c>
      <c r="AV972" t="str">
        <f>IF(ifood_data[[#All],[Income]]&gt;75000,"75K+",(IF(ifood_data[[#All],[Income]]&gt;50000,"50K-75K",(IF(ifood_data[[#All],[Income]]&gt;35000,"35K-50K","&lt;35K")))))</f>
        <v>50K-75K</v>
      </c>
      <c r="AW972" t="str">
        <f>IF(ifood_data[[#All],[Age]]&gt;60,"60+",(IF(ifood_data[[#All],[Age]]&gt;50,"50-60",(IF(ifood_data[[#All],[Age]]&gt;40,"40-50",(IF(ifood_data[[#All],[Age]]&gt;30,"30-40","&lt;30")))))))</f>
        <v>40-50</v>
      </c>
      <c r="AX972">
        <f t="shared" si="60"/>
        <v>19</v>
      </c>
      <c r="AY972">
        <f t="shared" si="61"/>
        <v>5</v>
      </c>
      <c r="AZ972">
        <f t="shared" si="62"/>
        <v>4</v>
      </c>
      <c r="BA972">
        <f t="shared" si="63"/>
        <v>5</v>
      </c>
      <c r="BB972">
        <f>SUM(ifood_data[[#This Row],[Recency Score]:[Monetary Score]])</f>
        <v>14</v>
      </c>
      <c r="BC972">
        <f>(_xlfn.PERCENTRANK.INC(ifood_data[[#All],[RFM]],ifood_data[[#This Row],[RFM]],1))*10</f>
        <v>4</v>
      </c>
      <c r="BD972" t="str">
        <f>VLOOKUP(ifood_data[[#This Row],[RFM Score]],'RFM Analysis'!$A$3:$B$14,2,FALSE)</f>
        <v>At Risk</v>
      </c>
      <c r="BE972">
        <f>'Regression Models'!$B$101+'Regression Models'!$B$102*ifood_data[[#This Row],[Income]]+'Regression Models'!$B$103*ifood_data[[#This Row],[Age]]+'Regression Models'!$B$104*ifood_data[[#This Row],[Family]]</f>
        <v>529.55225108635034</v>
      </c>
      <c r="BF972" t="str">
        <f>IF(ifood_data[[#This Row],[AcceptedCmpOverall]]=1,"Campaign Respondent","Non-respondent")</f>
        <v>Non-respondent</v>
      </c>
    </row>
    <row r="973" spans="1:58" x14ac:dyDescent="0.35">
      <c r="A973">
        <v>296</v>
      </c>
      <c r="B973">
        <v>54198</v>
      </c>
      <c r="C973">
        <v>1</v>
      </c>
      <c r="D973">
        <v>1</v>
      </c>
      <c r="E973">
        <v>13</v>
      </c>
      <c r="F973">
        <v>185</v>
      </c>
      <c r="G973">
        <v>0</v>
      </c>
      <c r="H973">
        <v>28</v>
      </c>
      <c r="I973">
        <v>3</v>
      </c>
      <c r="J973">
        <v>2</v>
      </c>
      <c r="K973">
        <v>17</v>
      </c>
      <c r="L973">
        <v>6</v>
      </c>
      <c r="M973">
        <v>3</v>
      </c>
      <c r="N973">
        <v>1</v>
      </c>
      <c r="O973">
        <v>6</v>
      </c>
      <c r="P973">
        <v>4</v>
      </c>
      <c r="Q973">
        <v>0</v>
      </c>
      <c r="R973">
        <v>0</v>
      </c>
      <c r="S973">
        <v>0</v>
      </c>
      <c r="T973">
        <v>0</v>
      </c>
      <c r="U973">
        <v>0</v>
      </c>
      <c r="V973">
        <f>IF(SUM(ifood_data[[#This Row],[AcceptedCmp1]:[AcceptedCmp5]])&gt;0,1,0)</f>
        <v>0</v>
      </c>
      <c r="W973">
        <v>0</v>
      </c>
      <c r="X973">
        <v>3</v>
      </c>
      <c r="Y973">
        <v>11</v>
      </c>
      <c r="Z973">
        <v>0</v>
      </c>
      <c r="AA973">
        <v>54</v>
      </c>
      <c r="AB973">
        <v>2353</v>
      </c>
      <c r="AC973" s="28">
        <f>ifood_data[[#This Row],[Customer_Days]]/365</f>
        <v>6.4465753424657537</v>
      </c>
      <c r="AD973">
        <v>0</v>
      </c>
      <c r="AE973">
        <v>1</v>
      </c>
      <c r="AF973">
        <v>0</v>
      </c>
      <c r="AG973">
        <v>0</v>
      </c>
      <c r="AH973">
        <v>0</v>
      </c>
      <c r="AI973">
        <v>0</v>
      </c>
      <c r="AJ973">
        <v>0</v>
      </c>
      <c r="AK973">
        <v>1</v>
      </c>
      <c r="AL973">
        <v>0</v>
      </c>
      <c r="AM973">
        <v>0</v>
      </c>
      <c r="AN973">
        <v>218</v>
      </c>
      <c r="AO973">
        <v>201</v>
      </c>
      <c r="AP973">
        <f>ifood_data[[#This Row],[MntTotal]]-ifood_data[[#This Row],[MntRegularProds]]</f>
        <v>17</v>
      </c>
      <c r="AQ973">
        <v>0</v>
      </c>
      <c r="AR973">
        <f>IF(SUM(ifood_data[[#This Row],[Kidhome]:[Teenhome]])&gt;0,1,0)</f>
        <v>1</v>
      </c>
      <c r="AS973" t="str">
        <f>IF(SUM(ifood_data[[#This Row],[Kidhome]:[Teenhome]])&gt;0,"Has Family","No Family")</f>
        <v>Has Family</v>
      </c>
      <c r="AT973" t="str">
        <f>IF(ifood_data[[#This Row],[marital_Married]]=1,"Married", (IF(ifood_data[[#This Row],[marital_Single]]=1,"Single",(IF(ifood_data[[#This Row],[marital_Divorced]]=1,"Divorced",(IF(ifood_data[[#This Row],[marital_Together]]=1,"Living Together",(IF(ifood_data[[#This Row],[marital_Widow]]=1,"Widow","Other")))))))))</f>
        <v>Married</v>
      </c>
      <c r="AU973" t="str">
        <f>IF(ifood_data[[#This Row],[education_Basic]]=1,"High School",(IF(ifood_data[[#This Row],[education_Graduation]]=1,"Undergraduate Degree",(IF(SUM(AM973,AL973,AI973)&gt;0,"Master's Degree or Higher","Other")))))</f>
        <v>Undergraduate Degree</v>
      </c>
      <c r="AV973" t="str">
        <f>IF(ifood_data[[#All],[Income]]&gt;75000,"75K+",(IF(ifood_data[[#All],[Income]]&gt;50000,"50K-75K",(IF(ifood_data[[#All],[Income]]&gt;35000,"35K-50K","&lt;35K")))))</f>
        <v>50K-75K</v>
      </c>
      <c r="AW973" t="str">
        <f>IF(ifood_data[[#All],[Age]]&gt;60,"60+",(IF(ifood_data[[#All],[Age]]&gt;50,"50-60",(IF(ifood_data[[#All],[Age]]&gt;40,"40-50",(IF(ifood_data[[#All],[Age]]&gt;30,"30-40","&lt;30")))))))</f>
        <v>50-60</v>
      </c>
      <c r="AX973">
        <f t="shared" si="60"/>
        <v>20</v>
      </c>
      <c r="AY973">
        <f t="shared" si="61"/>
        <v>9</v>
      </c>
      <c r="AZ973">
        <f t="shared" si="62"/>
        <v>4</v>
      </c>
      <c r="BA973">
        <f t="shared" si="63"/>
        <v>4</v>
      </c>
      <c r="BB973">
        <f>SUM(ifood_data[[#This Row],[Recency Score]:[Monetary Score]])</f>
        <v>17</v>
      </c>
      <c r="BC973">
        <f>(_xlfn.PERCENTRANK.INC(ifood_data[[#All],[RFM]],ifood_data[[#This Row],[RFM]],1))*10</f>
        <v>6</v>
      </c>
      <c r="BD973" t="str">
        <f>VLOOKUP(ifood_data[[#This Row],[RFM Score]],'RFM Analysis'!$A$3:$B$14,2,FALSE)</f>
        <v>Promising</v>
      </c>
      <c r="BE973">
        <f>'Regression Models'!$B$101+'Regression Models'!$B$102*ifood_data[[#This Row],[Income]]+'Regression Models'!$B$103*ifood_data[[#This Row],[Age]]+'Regression Models'!$B$104*ifood_data[[#This Row],[Family]]</f>
        <v>528.43385825525945</v>
      </c>
      <c r="BF973" t="str">
        <f>IF(ifood_data[[#This Row],[AcceptedCmpOverall]]=1,"Campaign Respondent","Non-respondent")</f>
        <v>Non-respondent</v>
      </c>
    </row>
    <row r="974" spans="1:58" x14ac:dyDescent="0.35">
      <c r="A974">
        <v>1497</v>
      </c>
      <c r="B974">
        <v>54414</v>
      </c>
      <c r="C974">
        <v>1</v>
      </c>
      <c r="D974">
        <v>1</v>
      </c>
      <c r="E974">
        <v>49</v>
      </c>
      <c r="F974">
        <v>109</v>
      </c>
      <c r="G974">
        <v>18</v>
      </c>
      <c r="H974">
        <v>16</v>
      </c>
      <c r="I974">
        <v>24</v>
      </c>
      <c r="J974">
        <v>26</v>
      </c>
      <c r="K974">
        <v>18</v>
      </c>
      <c r="L974">
        <v>4</v>
      </c>
      <c r="M974">
        <v>3</v>
      </c>
      <c r="N974">
        <v>1</v>
      </c>
      <c r="O974">
        <v>5</v>
      </c>
      <c r="P974">
        <v>4</v>
      </c>
      <c r="Q974">
        <v>0</v>
      </c>
      <c r="R974">
        <v>0</v>
      </c>
      <c r="S974">
        <v>0</v>
      </c>
      <c r="T974">
        <v>0</v>
      </c>
      <c r="U974">
        <v>0</v>
      </c>
      <c r="V974">
        <f>IF(SUM(ifood_data[[#This Row],[AcceptedCmp1]:[AcceptedCmp5]])&gt;0,1,0)</f>
        <v>0</v>
      </c>
      <c r="W974">
        <v>0</v>
      </c>
      <c r="X974">
        <v>3</v>
      </c>
      <c r="Y974">
        <v>11</v>
      </c>
      <c r="Z974">
        <v>0</v>
      </c>
      <c r="AA974">
        <v>57</v>
      </c>
      <c r="AB974">
        <v>2681</v>
      </c>
      <c r="AC974" s="28">
        <f>ifood_data[[#This Row],[Customer_Days]]/365</f>
        <v>7.3452054794520549</v>
      </c>
      <c r="AD974">
        <v>0</v>
      </c>
      <c r="AE974">
        <v>0</v>
      </c>
      <c r="AF974">
        <v>0</v>
      </c>
      <c r="AG974">
        <v>1</v>
      </c>
      <c r="AH974">
        <v>0</v>
      </c>
      <c r="AI974">
        <v>0</v>
      </c>
      <c r="AJ974">
        <v>0</v>
      </c>
      <c r="AK974">
        <v>1</v>
      </c>
      <c r="AL974">
        <v>0</v>
      </c>
      <c r="AM974">
        <v>0</v>
      </c>
      <c r="AN974">
        <v>193</v>
      </c>
      <c r="AO974">
        <v>175</v>
      </c>
      <c r="AP974">
        <f>ifood_data[[#This Row],[MntTotal]]-ifood_data[[#This Row],[MntRegularProds]]</f>
        <v>18</v>
      </c>
      <c r="AQ974">
        <v>0</v>
      </c>
      <c r="AR974">
        <f>IF(SUM(ifood_data[[#This Row],[Kidhome]:[Teenhome]])&gt;0,1,0)</f>
        <v>1</v>
      </c>
      <c r="AS974" t="str">
        <f>IF(SUM(ifood_data[[#This Row],[Kidhome]:[Teenhome]])&gt;0,"Has Family","No Family")</f>
        <v>Has Family</v>
      </c>
      <c r="AT974" t="str">
        <f>IF(ifood_data[[#This Row],[marital_Married]]=1,"Married", (IF(ifood_data[[#This Row],[marital_Single]]=1,"Single",(IF(ifood_data[[#This Row],[marital_Divorced]]=1,"Divorced",(IF(ifood_data[[#This Row],[marital_Together]]=1,"Living Together",(IF(ifood_data[[#This Row],[marital_Widow]]=1,"Widow","Other")))))))))</f>
        <v>Living Together</v>
      </c>
      <c r="AU974" t="str">
        <f>IF(ifood_data[[#This Row],[education_Basic]]=1,"High School",(IF(ifood_data[[#This Row],[education_Graduation]]=1,"Undergraduate Degree",(IF(SUM(AM974,AL974,AI974)&gt;0,"Master's Degree or Higher","Other")))))</f>
        <v>Undergraduate Degree</v>
      </c>
      <c r="AV974" t="str">
        <f>IF(ifood_data[[#All],[Income]]&gt;75000,"75K+",(IF(ifood_data[[#All],[Income]]&gt;50000,"50K-75K",(IF(ifood_data[[#All],[Income]]&gt;35000,"35K-50K","&lt;35K")))))</f>
        <v>50K-75K</v>
      </c>
      <c r="AW974" t="str">
        <f>IF(ifood_data[[#All],[Age]]&gt;60,"60+",(IF(ifood_data[[#All],[Age]]&gt;50,"50-60",(IF(ifood_data[[#All],[Age]]&gt;40,"40-50",(IF(ifood_data[[#All],[Age]]&gt;30,"30-40","&lt;30")))))))</f>
        <v>50-60</v>
      </c>
      <c r="AX974">
        <f t="shared" si="60"/>
        <v>17</v>
      </c>
      <c r="AY974">
        <f t="shared" si="61"/>
        <v>6</v>
      </c>
      <c r="AZ974">
        <f t="shared" si="62"/>
        <v>3</v>
      </c>
      <c r="BA974">
        <f t="shared" si="63"/>
        <v>4</v>
      </c>
      <c r="BB974">
        <f>SUM(ifood_data[[#This Row],[Recency Score]:[Monetary Score]])</f>
        <v>13</v>
      </c>
      <c r="BC974">
        <f>(_xlfn.PERCENTRANK.INC(ifood_data[[#All],[RFM]],ifood_data[[#This Row],[RFM]],1))*10</f>
        <v>3</v>
      </c>
      <c r="BD974" t="str">
        <f>VLOOKUP(ifood_data[[#This Row],[RFM Score]],'RFM Analysis'!$A$3:$B$14,2,FALSE)</f>
        <v>At Risk</v>
      </c>
      <c r="BE974">
        <f>'Regression Models'!$B$101+'Regression Models'!$B$102*ifood_data[[#This Row],[Income]]+'Regression Models'!$B$103*ifood_data[[#This Row],[Age]]+'Regression Models'!$B$104*ifood_data[[#This Row],[Family]]</f>
        <v>527.32851493765872</v>
      </c>
      <c r="BF974" t="str">
        <f>IF(ifood_data[[#This Row],[AcceptedCmpOverall]]=1,"Campaign Respondent","Non-respondent")</f>
        <v>Non-respondent</v>
      </c>
    </row>
    <row r="975" spans="1:58" x14ac:dyDescent="0.35">
      <c r="A975">
        <v>914</v>
      </c>
      <c r="B975">
        <v>54753</v>
      </c>
      <c r="C975">
        <v>0</v>
      </c>
      <c r="D975">
        <v>1</v>
      </c>
      <c r="E975">
        <v>87</v>
      </c>
      <c r="F975">
        <v>197</v>
      </c>
      <c r="G975">
        <v>107</v>
      </c>
      <c r="H975">
        <v>227</v>
      </c>
      <c r="I975">
        <v>7</v>
      </c>
      <c r="J975">
        <v>59</v>
      </c>
      <c r="K975">
        <v>131</v>
      </c>
      <c r="L975">
        <v>3</v>
      </c>
      <c r="M975">
        <v>5</v>
      </c>
      <c r="N975">
        <v>2</v>
      </c>
      <c r="O975">
        <v>11</v>
      </c>
      <c r="P975">
        <v>4</v>
      </c>
      <c r="Q975">
        <v>0</v>
      </c>
      <c r="R975">
        <v>0</v>
      </c>
      <c r="S975">
        <v>0</v>
      </c>
      <c r="T975">
        <v>0</v>
      </c>
      <c r="U975">
        <v>0</v>
      </c>
      <c r="V975">
        <f>IF(SUM(ifood_data[[#This Row],[AcceptedCmp1]:[AcceptedCmp5]])&gt;0,1,0)</f>
        <v>0</v>
      </c>
      <c r="W975">
        <v>0</v>
      </c>
      <c r="X975">
        <v>3</v>
      </c>
      <c r="Y975">
        <v>11</v>
      </c>
      <c r="Z975">
        <v>0</v>
      </c>
      <c r="AA975">
        <v>61</v>
      </c>
      <c r="AB975">
        <v>2449</v>
      </c>
      <c r="AC975" s="28">
        <f>ifood_data[[#This Row],[Customer_Days]]/365</f>
        <v>6.7095890410958905</v>
      </c>
      <c r="AD975">
        <v>0</v>
      </c>
      <c r="AE975">
        <v>0</v>
      </c>
      <c r="AF975">
        <v>0</v>
      </c>
      <c r="AG975">
        <v>1</v>
      </c>
      <c r="AH975">
        <v>0</v>
      </c>
      <c r="AI975">
        <v>0</v>
      </c>
      <c r="AJ975">
        <v>0</v>
      </c>
      <c r="AK975">
        <v>1</v>
      </c>
      <c r="AL975">
        <v>0</v>
      </c>
      <c r="AM975">
        <v>0</v>
      </c>
      <c r="AN975">
        <v>597</v>
      </c>
      <c r="AO975">
        <v>466</v>
      </c>
      <c r="AP975">
        <f>ifood_data[[#This Row],[MntTotal]]-ifood_data[[#This Row],[MntRegularProds]]</f>
        <v>131</v>
      </c>
      <c r="AQ975">
        <v>0</v>
      </c>
      <c r="AR975">
        <f>IF(SUM(ifood_data[[#This Row],[Kidhome]:[Teenhome]])&gt;0,1,0)</f>
        <v>1</v>
      </c>
      <c r="AS975" t="str">
        <f>IF(SUM(ifood_data[[#This Row],[Kidhome]:[Teenhome]])&gt;0,"Has Family","No Family")</f>
        <v>Has Family</v>
      </c>
      <c r="AT975" t="str">
        <f>IF(ifood_data[[#This Row],[marital_Married]]=1,"Married", (IF(ifood_data[[#This Row],[marital_Single]]=1,"Single",(IF(ifood_data[[#This Row],[marital_Divorced]]=1,"Divorced",(IF(ifood_data[[#This Row],[marital_Together]]=1,"Living Together",(IF(ifood_data[[#This Row],[marital_Widow]]=1,"Widow","Other")))))))))</f>
        <v>Living Together</v>
      </c>
      <c r="AU975" t="str">
        <f>IF(ifood_data[[#This Row],[education_Basic]]=1,"High School",(IF(ifood_data[[#This Row],[education_Graduation]]=1,"Undergraduate Degree",(IF(SUM(AM975,AL975,AI975)&gt;0,"Master's Degree or Higher","Other")))))</f>
        <v>Undergraduate Degree</v>
      </c>
      <c r="AV975" t="str">
        <f>IF(ifood_data[[#All],[Income]]&gt;75000,"75K+",(IF(ifood_data[[#All],[Income]]&gt;50000,"50K-75K",(IF(ifood_data[[#All],[Income]]&gt;35000,"35K-50K","&lt;35K")))))</f>
        <v>50K-75K</v>
      </c>
      <c r="AW975" t="str">
        <f>IF(ifood_data[[#All],[Age]]&gt;60,"60+",(IF(ifood_data[[#All],[Age]]&gt;50,"50-60",(IF(ifood_data[[#All],[Age]]&gt;40,"40-50",(IF(ifood_data[[#All],[Age]]&gt;30,"30-40","&lt;30")))))))</f>
        <v>60+</v>
      </c>
      <c r="AX975">
        <f t="shared" si="60"/>
        <v>25</v>
      </c>
      <c r="AY975">
        <f t="shared" si="61"/>
        <v>1.9999999999999996</v>
      </c>
      <c r="AZ975">
        <f t="shared" si="62"/>
        <v>7</v>
      </c>
      <c r="BA975">
        <f t="shared" si="63"/>
        <v>6</v>
      </c>
      <c r="BB975">
        <f>SUM(ifood_data[[#This Row],[Recency Score]:[Monetary Score]])</f>
        <v>15</v>
      </c>
      <c r="BC975">
        <f>(_xlfn.PERCENTRANK.INC(ifood_data[[#All],[RFM]],ifood_data[[#This Row],[RFM]],1))*10</f>
        <v>4</v>
      </c>
      <c r="BD975" t="str">
        <f>VLOOKUP(ifood_data[[#This Row],[RFM Score]],'RFM Analysis'!$A$3:$B$14,2,FALSE)</f>
        <v>At Risk</v>
      </c>
      <c r="BE975">
        <f>'Regression Models'!$B$101+'Regression Models'!$B$102*ifood_data[[#This Row],[Income]]+'Regression Models'!$B$103*ifood_data[[#This Row],[Age]]+'Regression Models'!$B$104*ifood_data[[#This Row],[Family]]</f>
        <v>526.89455102286331</v>
      </c>
      <c r="BF975" t="str">
        <f>IF(ifood_data[[#This Row],[AcceptedCmpOverall]]=1,"Campaign Respondent","Non-respondent")</f>
        <v>Non-respondent</v>
      </c>
    </row>
    <row r="976" spans="1:58" x14ac:dyDescent="0.35">
      <c r="A976">
        <v>1906</v>
      </c>
      <c r="B976">
        <v>53204</v>
      </c>
      <c r="C976">
        <v>1</v>
      </c>
      <c r="D976">
        <v>1</v>
      </c>
      <c r="E976">
        <v>40</v>
      </c>
      <c r="F976">
        <v>29</v>
      </c>
      <c r="G976">
        <v>0</v>
      </c>
      <c r="H976">
        <v>8</v>
      </c>
      <c r="I976">
        <v>2</v>
      </c>
      <c r="J976">
        <v>0</v>
      </c>
      <c r="K976">
        <v>6</v>
      </c>
      <c r="L976">
        <v>1</v>
      </c>
      <c r="M976">
        <v>1</v>
      </c>
      <c r="N976">
        <v>0</v>
      </c>
      <c r="O976">
        <v>3</v>
      </c>
      <c r="P976">
        <v>4</v>
      </c>
      <c r="Q976">
        <v>0</v>
      </c>
      <c r="R976">
        <v>0</v>
      </c>
      <c r="S976">
        <v>0</v>
      </c>
      <c r="T976">
        <v>0</v>
      </c>
      <c r="U976">
        <v>0</v>
      </c>
      <c r="V976">
        <f>IF(SUM(ifood_data[[#This Row],[AcceptedCmp1]:[AcceptedCmp5]])&gt;0,1,0)</f>
        <v>0</v>
      </c>
      <c r="W976">
        <v>0</v>
      </c>
      <c r="X976">
        <v>3</v>
      </c>
      <c r="Y976">
        <v>11</v>
      </c>
      <c r="Z976">
        <v>0</v>
      </c>
      <c r="AA976">
        <v>44</v>
      </c>
      <c r="AB976">
        <v>2260</v>
      </c>
      <c r="AC976" s="28">
        <f>ifood_data[[#This Row],[Customer_Days]]/365</f>
        <v>6.1917808219178081</v>
      </c>
      <c r="AD976">
        <v>0</v>
      </c>
      <c r="AE976">
        <v>1</v>
      </c>
      <c r="AF976">
        <v>0</v>
      </c>
      <c r="AG976">
        <v>0</v>
      </c>
      <c r="AH976">
        <v>0</v>
      </c>
      <c r="AI976">
        <v>0</v>
      </c>
      <c r="AJ976">
        <v>0</v>
      </c>
      <c r="AK976">
        <v>0</v>
      </c>
      <c r="AL976">
        <v>1</v>
      </c>
      <c r="AM976">
        <v>0</v>
      </c>
      <c r="AN976">
        <v>39</v>
      </c>
      <c r="AO976">
        <v>33</v>
      </c>
      <c r="AP976">
        <f>ifood_data[[#This Row],[MntTotal]]-ifood_data[[#This Row],[MntRegularProds]]</f>
        <v>6</v>
      </c>
      <c r="AQ976">
        <v>0</v>
      </c>
      <c r="AR976">
        <f>IF(SUM(ifood_data[[#This Row],[Kidhome]:[Teenhome]])&gt;0,1,0)</f>
        <v>1</v>
      </c>
      <c r="AS976" t="str">
        <f>IF(SUM(ifood_data[[#This Row],[Kidhome]:[Teenhome]])&gt;0,"Has Family","No Family")</f>
        <v>Has Family</v>
      </c>
      <c r="AT976" t="str">
        <f>IF(ifood_data[[#This Row],[marital_Married]]=1,"Married", (IF(ifood_data[[#This Row],[marital_Single]]=1,"Single",(IF(ifood_data[[#This Row],[marital_Divorced]]=1,"Divorced",(IF(ifood_data[[#This Row],[marital_Together]]=1,"Living Together",(IF(ifood_data[[#This Row],[marital_Widow]]=1,"Widow","Other")))))))))</f>
        <v>Married</v>
      </c>
      <c r="AU976" t="str">
        <f>IF(ifood_data[[#This Row],[education_Basic]]=1,"High School",(IF(ifood_data[[#This Row],[education_Graduation]]=1,"Undergraduate Degree",(IF(SUM(AM976,AL976,AI976)&gt;0,"Master's Degree or Higher","Other")))))</f>
        <v>Master's Degree or Higher</v>
      </c>
      <c r="AV976" t="str">
        <f>IF(ifood_data[[#All],[Income]]&gt;75000,"75K+",(IF(ifood_data[[#All],[Income]]&gt;50000,"50K-75K",(IF(ifood_data[[#All],[Income]]&gt;35000,"35K-50K","&lt;35K")))))</f>
        <v>50K-75K</v>
      </c>
      <c r="AW976" t="str">
        <f>IF(ifood_data[[#All],[Age]]&gt;60,"60+",(IF(ifood_data[[#All],[Age]]&gt;50,"50-60",(IF(ifood_data[[#All],[Age]]&gt;40,"40-50",(IF(ifood_data[[#All],[Age]]&gt;30,"30-40","&lt;30")))))))</f>
        <v>40-50</v>
      </c>
      <c r="AX976">
        <f t="shared" si="60"/>
        <v>9</v>
      </c>
      <c r="AY976">
        <f t="shared" si="61"/>
        <v>6</v>
      </c>
      <c r="AZ976">
        <f t="shared" si="62"/>
        <v>0</v>
      </c>
      <c r="BA976">
        <f t="shared" si="63"/>
        <v>1</v>
      </c>
      <c r="BB976">
        <f>SUM(ifood_data[[#This Row],[Recency Score]:[Monetary Score]])</f>
        <v>7</v>
      </c>
      <c r="BC976">
        <f>(_xlfn.PERCENTRANK.INC(ifood_data[[#All],[RFM]],ifood_data[[#This Row],[RFM]],1))*10</f>
        <v>1</v>
      </c>
      <c r="BD976" t="str">
        <f>VLOOKUP(ifood_data[[#This Row],[RFM Score]],'RFM Analysis'!$A$3:$B$14,2,FALSE)</f>
        <v>At Risk</v>
      </c>
      <c r="BE976">
        <f>'Regression Models'!$B$101+'Regression Models'!$B$102*ifood_data[[#This Row],[Income]]+'Regression Models'!$B$103*ifood_data[[#This Row],[Age]]+'Regression Models'!$B$104*ifood_data[[#This Row],[Family]]</f>
        <v>526.53181350916668</v>
      </c>
      <c r="BF976" t="str">
        <f>IF(ifood_data[[#This Row],[AcceptedCmpOverall]]=1,"Campaign Respondent","Non-respondent")</f>
        <v>Non-respondent</v>
      </c>
    </row>
    <row r="977" spans="1:58" x14ac:dyDescent="0.35">
      <c r="A977">
        <v>1766</v>
      </c>
      <c r="B977">
        <v>54998</v>
      </c>
      <c r="C977">
        <v>0</v>
      </c>
      <c r="D977">
        <v>1</v>
      </c>
      <c r="E977">
        <v>3</v>
      </c>
      <c r="F977">
        <v>154</v>
      </c>
      <c r="G977">
        <v>22</v>
      </c>
      <c r="H977">
        <v>202</v>
      </c>
      <c r="I977">
        <v>39</v>
      </c>
      <c r="J977">
        <v>30</v>
      </c>
      <c r="K977">
        <v>8</v>
      </c>
      <c r="L977">
        <v>5</v>
      </c>
      <c r="M977">
        <v>4</v>
      </c>
      <c r="N977">
        <v>2</v>
      </c>
      <c r="O977">
        <v>9</v>
      </c>
      <c r="P977">
        <v>4</v>
      </c>
      <c r="Q977">
        <v>0</v>
      </c>
      <c r="R977">
        <v>0</v>
      </c>
      <c r="S977">
        <v>0</v>
      </c>
      <c r="T977">
        <v>0</v>
      </c>
      <c r="U977">
        <v>0</v>
      </c>
      <c r="V977">
        <f>IF(SUM(ifood_data[[#This Row],[AcceptedCmp1]:[AcceptedCmp5]])&gt;0,1,0)</f>
        <v>0</v>
      </c>
      <c r="W977">
        <v>0</v>
      </c>
      <c r="X977">
        <v>3</v>
      </c>
      <c r="Y977">
        <v>11</v>
      </c>
      <c r="Z977">
        <v>1</v>
      </c>
      <c r="AA977">
        <v>64</v>
      </c>
      <c r="AB977">
        <v>2635</v>
      </c>
      <c r="AC977" s="28">
        <f>ifood_data[[#This Row],[Customer_Days]]/365</f>
        <v>7.2191780821917808</v>
      </c>
      <c r="AD977">
        <v>0</v>
      </c>
      <c r="AE977">
        <v>0</v>
      </c>
      <c r="AF977">
        <v>1</v>
      </c>
      <c r="AG977">
        <v>0</v>
      </c>
      <c r="AH977">
        <v>0</v>
      </c>
      <c r="AI977">
        <v>0</v>
      </c>
      <c r="AJ977">
        <v>0</v>
      </c>
      <c r="AK977">
        <v>0</v>
      </c>
      <c r="AL977">
        <v>0</v>
      </c>
      <c r="AM977">
        <v>1</v>
      </c>
      <c r="AN977">
        <v>447</v>
      </c>
      <c r="AO977">
        <v>439</v>
      </c>
      <c r="AP977">
        <f>ifood_data[[#This Row],[MntTotal]]-ifood_data[[#This Row],[MntRegularProds]]</f>
        <v>8</v>
      </c>
      <c r="AQ977">
        <v>0</v>
      </c>
      <c r="AR977">
        <f>IF(SUM(ifood_data[[#This Row],[Kidhome]:[Teenhome]])&gt;0,1,0)</f>
        <v>1</v>
      </c>
      <c r="AS977" t="str">
        <f>IF(SUM(ifood_data[[#This Row],[Kidhome]:[Teenhome]])&gt;0,"Has Family","No Family")</f>
        <v>Has Family</v>
      </c>
      <c r="AT977" t="str">
        <f>IF(ifood_data[[#This Row],[marital_Married]]=1,"Married", (IF(ifood_data[[#This Row],[marital_Single]]=1,"Single",(IF(ifood_data[[#This Row],[marital_Divorced]]=1,"Divorced",(IF(ifood_data[[#This Row],[marital_Together]]=1,"Living Together",(IF(ifood_data[[#This Row],[marital_Widow]]=1,"Widow","Other")))))))))</f>
        <v>Single</v>
      </c>
      <c r="AU977" t="str">
        <f>IF(ifood_data[[#This Row],[education_Basic]]=1,"High School",(IF(ifood_data[[#This Row],[education_Graduation]]=1,"Undergraduate Degree",(IF(SUM(AM977,AL977,AI977)&gt;0,"Master's Degree or Higher","Other")))))</f>
        <v>Master's Degree or Higher</v>
      </c>
      <c r="AV977" t="str">
        <f>IF(ifood_data[[#All],[Income]]&gt;75000,"75K+",(IF(ifood_data[[#All],[Income]]&gt;50000,"50K-75K",(IF(ifood_data[[#All],[Income]]&gt;35000,"35K-50K","&lt;35K")))))</f>
        <v>50K-75K</v>
      </c>
      <c r="AW977" t="str">
        <f>IF(ifood_data[[#All],[Age]]&gt;60,"60+",(IF(ifood_data[[#All],[Age]]&gt;50,"50-60",(IF(ifood_data[[#All],[Age]]&gt;40,"40-50",(IF(ifood_data[[#All],[Age]]&gt;30,"30-40","&lt;30")))))))</f>
        <v>60+</v>
      </c>
      <c r="AX977">
        <f t="shared" si="60"/>
        <v>24</v>
      </c>
      <c r="AY977">
        <f t="shared" si="61"/>
        <v>10</v>
      </c>
      <c r="AZ977">
        <f t="shared" si="62"/>
        <v>6</v>
      </c>
      <c r="BA977">
        <f t="shared" si="63"/>
        <v>5</v>
      </c>
      <c r="BB977">
        <f>SUM(ifood_data[[#This Row],[Recency Score]:[Monetary Score]])</f>
        <v>21</v>
      </c>
      <c r="BC977">
        <f>(_xlfn.PERCENTRANK.INC(ifood_data[[#All],[RFM]],ifood_data[[#This Row],[RFM]],1))*10</f>
        <v>8</v>
      </c>
      <c r="BD977" t="str">
        <f>VLOOKUP(ifood_data[[#This Row],[RFM Score]],'RFM Analysis'!$A$3:$B$14,2,FALSE)</f>
        <v>Loyal Customer</v>
      </c>
      <c r="BE977">
        <f>'Regression Models'!$B$101+'Regression Models'!$B$102*ifood_data[[#This Row],[Income]]+'Regression Models'!$B$103*ifood_data[[#This Row],[Age]]+'Regression Models'!$B$104*ifood_data[[#This Row],[Family]]</f>
        <v>526.38048198143576</v>
      </c>
      <c r="BF977" t="str">
        <f>IF(ifood_data[[#This Row],[AcceptedCmpOverall]]=1,"Campaign Respondent","Non-respondent")</f>
        <v>Non-respondent</v>
      </c>
    </row>
    <row r="978" spans="1:58" x14ac:dyDescent="0.35">
      <c r="A978">
        <v>1897</v>
      </c>
      <c r="B978">
        <v>53367</v>
      </c>
      <c r="C978">
        <v>1</v>
      </c>
      <c r="D978">
        <v>1</v>
      </c>
      <c r="E978">
        <v>2</v>
      </c>
      <c r="F978">
        <v>229</v>
      </c>
      <c r="G978">
        <v>7</v>
      </c>
      <c r="H978">
        <v>140</v>
      </c>
      <c r="I978">
        <v>10</v>
      </c>
      <c r="J978">
        <v>3</v>
      </c>
      <c r="K978">
        <v>11</v>
      </c>
      <c r="L978">
        <v>7</v>
      </c>
      <c r="M978">
        <v>5</v>
      </c>
      <c r="N978">
        <v>1</v>
      </c>
      <c r="O978">
        <v>8</v>
      </c>
      <c r="P978">
        <v>7</v>
      </c>
      <c r="Q978">
        <v>0</v>
      </c>
      <c r="R978">
        <v>0</v>
      </c>
      <c r="S978">
        <v>0</v>
      </c>
      <c r="T978">
        <v>0</v>
      </c>
      <c r="U978">
        <v>0</v>
      </c>
      <c r="V978">
        <f>IF(SUM(ifood_data[[#This Row],[AcceptedCmp1]:[AcceptedCmp5]])&gt;0,1,0)</f>
        <v>0</v>
      </c>
      <c r="W978">
        <v>0</v>
      </c>
      <c r="X978">
        <v>3</v>
      </c>
      <c r="Y978">
        <v>11</v>
      </c>
      <c r="Z978">
        <v>1</v>
      </c>
      <c r="AA978">
        <v>46</v>
      </c>
      <c r="AB978">
        <v>2461</v>
      </c>
      <c r="AC978" s="28">
        <f>ifood_data[[#This Row],[Customer_Days]]/365</f>
        <v>6.7424657534246579</v>
      </c>
      <c r="AD978">
        <v>1</v>
      </c>
      <c r="AE978">
        <v>0</v>
      </c>
      <c r="AF978">
        <v>0</v>
      </c>
      <c r="AG978">
        <v>0</v>
      </c>
      <c r="AH978">
        <v>0</v>
      </c>
      <c r="AI978">
        <v>0</v>
      </c>
      <c r="AJ978">
        <v>0</v>
      </c>
      <c r="AK978">
        <v>0</v>
      </c>
      <c r="AL978">
        <v>1</v>
      </c>
      <c r="AM978">
        <v>0</v>
      </c>
      <c r="AN978">
        <v>389</v>
      </c>
      <c r="AO978">
        <v>378</v>
      </c>
      <c r="AP978">
        <f>ifood_data[[#This Row],[MntTotal]]-ifood_data[[#This Row],[MntRegularProds]]</f>
        <v>11</v>
      </c>
      <c r="AQ978">
        <v>0</v>
      </c>
      <c r="AR978">
        <f>IF(SUM(ifood_data[[#This Row],[Kidhome]:[Teenhome]])&gt;0,1,0)</f>
        <v>1</v>
      </c>
      <c r="AS978" t="str">
        <f>IF(SUM(ifood_data[[#This Row],[Kidhome]:[Teenhome]])&gt;0,"Has Family","No Family")</f>
        <v>Has Family</v>
      </c>
      <c r="AT978" t="str">
        <f>IF(ifood_data[[#This Row],[marital_Married]]=1,"Married", (IF(ifood_data[[#This Row],[marital_Single]]=1,"Single",(IF(ifood_data[[#This Row],[marital_Divorced]]=1,"Divorced",(IF(ifood_data[[#This Row],[marital_Together]]=1,"Living Together",(IF(ifood_data[[#This Row],[marital_Widow]]=1,"Widow","Other")))))))))</f>
        <v>Divorced</v>
      </c>
      <c r="AU978" t="str">
        <f>IF(ifood_data[[#This Row],[education_Basic]]=1,"High School",(IF(ifood_data[[#This Row],[education_Graduation]]=1,"Undergraduate Degree",(IF(SUM(AM978,AL978,AI978)&gt;0,"Master's Degree or Higher","Other")))))</f>
        <v>Master's Degree or Higher</v>
      </c>
      <c r="AV978" t="str">
        <f>IF(ifood_data[[#All],[Income]]&gt;75000,"75K+",(IF(ifood_data[[#All],[Income]]&gt;50000,"50K-75K",(IF(ifood_data[[#All],[Income]]&gt;35000,"35K-50K","&lt;35K")))))</f>
        <v>50K-75K</v>
      </c>
      <c r="AW978" t="str">
        <f>IF(ifood_data[[#All],[Age]]&gt;60,"60+",(IF(ifood_data[[#All],[Age]]&gt;50,"50-60",(IF(ifood_data[[#All],[Age]]&gt;40,"40-50",(IF(ifood_data[[#All],[Age]]&gt;30,"30-40","&lt;30")))))))</f>
        <v>40-50</v>
      </c>
      <c r="AX978">
        <f t="shared" si="60"/>
        <v>28</v>
      </c>
      <c r="AY978">
        <f t="shared" si="61"/>
        <v>10</v>
      </c>
      <c r="AZ978">
        <f t="shared" si="62"/>
        <v>8</v>
      </c>
      <c r="BA978">
        <f t="shared" si="63"/>
        <v>5</v>
      </c>
      <c r="BB978">
        <f>SUM(ifood_data[[#This Row],[Recency Score]:[Monetary Score]])</f>
        <v>23</v>
      </c>
      <c r="BC978">
        <f>(_xlfn.PERCENTRANK.INC(ifood_data[[#All],[RFM]],ifood_data[[#This Row],[RFM]],1))*10</f>
        <v>8</v>
      </c>
      <c r="BD978" t="str">
        <f>VLOOKUP(ifood_data[[#This Row],[RFM Score]],'RFM Analysis'!$A$3:$B$14,2,FALSE)</f>
        <v>Loyal Customer</v>
      </c>
      <c r="BE978">
        <f>'Regression Models'!$B$101+'Regression Models'!$B$102*ifood_data[[#This Row],[Income]]+'Regression Models'!$B$103*ifood_data[[#This Row],[Age]]+'Regression Models'!$B$104*ifood_data[[#This Row],[Family]]</f>
        <v>526.18230455883361</v>
      </c>
      <c r="BF978" t="str">
        <f>IF(ifood_data[[#This Row],[AcceptedCmpOverall]]=1,"Campaign Respondent","Non-respondent")</f>
        <v>Non-respondent</v>
      </c>
    </row>
    <row r="979" spans="1:58" x14ac:dyDescent="0.35">
      <c r="A979">
        <v>1452</v>
      </c>
      <c r="B979">
        <v>55517</v>
      </c>
      <c r="C979">
        <v>1</v>
      </c>
      <c r="D979">
        <v>1</v>
      </c>
      <c r="E979">
        <v>53</v>
      </c>
      <c r="F979">
        <v>483</v>
      </c>
      <c r="G979">
        <v>0</v>
      </c>
      <c r="H979">
        <v>108</v>
      </c>
      <c r="I979">
        <v>0</v>
      </c>
      <c r="J979">
        <v>6</v>
      </c>
      <c r="K979">
        <v>36</v>
      </c>
      <c r="L979">
        <v>5</v>
      </c>
      <c r="M979">
        <v>11</v>
      </c>
      <c r="N979">
        <v>1</v>
      </c>
      <c r="O979">
        <v>6</v>
      </c>
      <c r="P979">
        <v>9</v>
      </c>
      <c r="Q979">
        <v>0</v>
      </c>
      <c r="R979">
        <v>0</v>
      </c>
      <c r="S979">
        <v>0</v>
      </c>
      <c r="T979">
        <v>0</v>
      </c>
      <c r="U979">
        <v>0</v>
      </c>
      <c r="V979">
        <f>IF(SUM(ifood_data[[#This Row],[AcceptedCmp1]:[AcceptedCmp5]])&gt;0,1,0)</f>
        <v>0</v>
      </c>
      <c r="W979">
        <v>0</v>
      </c>
      <c r="X979">
        <v>3</v>
      </c>
      <c r="Y979">
        <v>11</v>
      </c>
      <c r="Z979">
        <v>1</v>
      </c>
      <c r="AA979">
        <v>70</v>
      </c>
      <c r="AB979">
        <v>2799</v>
      </c>
      <c r="AC979" s="28">
        <f>ifood_data[[#This Row],[Customer_Days]]/365</f>
        <v>7.6684931506849319</v>
      </c>
      <c r="AD979">
        <v>0</v>
      </c>
      <c r="AE979">
        <v>1</v>
      </c>
      <c r="AF979">
        <v>0</v>
      </c>
      <c r="AG979">
        <v>0</v>
      </c>
      <c r="AH979">
        <v>0</v>
      </c>
      <c r="AI979">
        <v>0</v>
      </c>
      <c r="AJ979">
        <v>0</v>
      </c>
      <c r="AK979">
        <v>0</v>
      </c>
      <c r="AL979">
        <v>0</v>
      </c>
      <c r="AM979">
        <v>1</v>
      </c>
      <c r="AN979">
        <v>597</v>
      </c>
      <c r="AO979">
        <v>561</v>
      </c>
      <c r="AP979">
        <f>ifood_data[[#This Row],[MntTotal]]-ifood_data[[#This Row],[MntRegularProds]]</f>
        <v>36</v>
      </c>
      <c r="AQ979">
        <v>0</v>
      </c>
      <c r="AR979">
        <f>IF(SUM(ifood_data[[#This Row],[Kidhome]:[Teenhome]])&gt;0,1,0)</f>
        <v>1</v>
      </c>
      <c r="AS979" t="str">
        <f>IF(SUM(ifood_data[[#This Row],[Kidhome]:[Teenhome]])&gt;0,"Has Family","No Family")</f>
        <v>Has Family</v>
      </c>
      <c r="AT979" t="str">
        <f>IF(ifood_data[[#This Row],[marital_Married]]=1,"Married", (IF(ifood_data[[#This Row],[marital_Single]]=1,"Single",(IF(ifood_data[[#This Row],[marital_Divorced]]=1,"Divorced",(IF(ifood_data[[#This Row],[marital_Together]]=1,"Living Together",(IF(ifood_data[[#This Row],[marital_Widow]]=1,"Widow","Other")))))))))</f>
        <v>Married</v>
      </c>
      <c r="AU979" t="str">
        <f>IF(ifood_data[[#This Row],[education_Basic]]=1,"High School",(IF(ifood_data[[#This Row],[education_Graduation]]=1,"Undergraduate Degree",(IF(SUM(AM979,AL979,AI979)&gt;0,"Master's Degree or Higher","Other")))))</f>
        <v>Master's Degree or Higher</v>
      </c>
      <c r="AV979" t="str">
        <f>IF(ifood_data[[#All],[Income]]&gt;75000,"75K+",(IF(ifood_data[[#All],[Income]]&gt;50000,"50K-75K",(IF(ifood_data[[#All],[Income]]&gt;35000,"35K-50K","&lt;35K")))))</f>
        <v>50K-75K</v>
      </c>
      <c r="AW979" t="str">
        <f>IF(ifood_data[[#All],[Age]]&gt;60,"60+",(IF(ifood_data[[#All],[Age]]&gt;50,"50-60",(IF(ifood_data[[#All],[Age]]&gt;40,"40-50",(IF(ifood_data[[#All],[Age]]&gt;30,"30-40","&lt;30")))))))</f>
        <v>60+</v>
      </c>
      <c r="AX979">
        <f t="shared" si="60"/>
        <v>32</v>
      </c>
      <c r="AY979">
        <f t="shared" si="61"/>
        <v>5</v>
      </c>
      <c r="AZ979">
        <f t="shared" si="62"/>
        <v>9</v>
      </c>
      <c r="BA979">
        <f t="shared" si="63"/>
        <v>6</v>
      </c>
      <c r="BB979">
        <f>SUM(ifood_data[[#This Row],[Recency Score]:[Monetary Score]])</f>
        <v>20</v>
      </c>
      <c r="BC979">
        <f>(_xlfn.PERCENTRANK.INC(ifood_data[[#All],[RFM]],ifood_data[[#This Row],[RFM]],1))*10</f>
        <v>7</v>
      </c>
      <c r="BD979" t="str">
        <f>VLOOKUP(ifood_data[[#This Row],[RFM Score]],'RFM Analysis'!$A$3:$B$14,2,FALSE)</f>
        <v>Loyal Customer</v>
      </c>
      <c r="BE979">
        <f>'Regression Models'!$B$101+'Regression Models'!$B$102*ifood_data[[#This Row],[Income]]+'Regression Models'!$B$103*ifood_data[[#This Row],[Age]]+'Regression Models'!$B$104*ifood_data[[#This Row],[Family]]</f>
        <v>525.94361817475362</v>
      </c>
      <c r="BF979" t="str">
        <f>IF(ifood_data[[#This Row],[AcceptedCmpOverall]]=1,"Campaign Respondent","Non-respondent")</f>
        <v>Non-respondent</v>
      </c>
    </row>
    <row r="980" spans="1:58" x14ac:dyDescent="0.35">
      <c r="A980">
        <v>1394</v>
      </c>
      <c r="B980">
        <v>53253</v>
      </c>
      <c r="C980">
        <v>1</v>
      </c>
      <c r="D980">
        <v>1</v>
      </c>
      <c r="E980">
        <v>61</v>
      </c>
      <c r="F980">
        <v>216</v>
      </c>
      <c r="G980">
        <v>9</v>
      </c>
      <c r="H980">
        <v>57</v>
      </c>
      <c r="I980">
        <v>20</v>
      </c>
      <c r="J980">
        <v>9</v>
      </c>
      <c r="K980">
        <v>125</v>
      </c>
      <c r="L980">
        <v>7</v>
      </c>
      <c r="M980">
        <v>4</v>
      </c>
      <c r="N980">
        <v>3</v>
      </c>
      <c r="O980">
        <v>5</v>
      </c>
      <c r="P980">
        <v>5</v>
      </c>
      <c r="Q980">
        <v>0</v>
      </c>
      <c r="R980">
        <v>0</v>
      </c>
      <c r="S980">
        <v>0</v>
      </c>
      <c r="T980">
        <v>0</v>
      </c>
      <c r="U980">
        <v>0</v>
      </c>
      <c r="V980">
        <f>IF(SUM(ifood_data[[#This Row],[AcceptedCmp1]:[AcceptedCmp5]])&gt;0,1,0)</f>
        <v>0</v>
      </c>
      <c r="W980">
        <v>0</v>
      </c>
      <c r="X980">
        <v>3</v>
      </c>
      <c r="Y980">
        <v>11</v>
      </c>
      <c r="Z980">
        <v>0</v>
      </c>
      <c r="AA980">
        <v>45</v>
      </c>
      <c r="AB980">
        <v>2662</v>
      </c>
      <c r="AC980" s="28">
        <f>ifood_data[[#This Row],[Customer_Days]]/365</f>
        <v>7.2931506849315069</v>
      </c>
      <c r="AD980">
        <v>0</v>
      </c>
      <c r="AE980">
        <v>0</v>
      </c>
      <c r="AF980">
        <v>0</v>
      </c>
      <c r="AG980">
        <v>1</v>
      </c>
      <c r="AH980">
        <v>0</v>
      </c>
      <c r="AI980">
        <v>0</v>
      </c>
      <c r="AJ980">
        <v>0</v>
      </c>
      <c r="AK980">
        <v>0</v>
      </c>
      <c r="AL980">
        <v>1</v>
      </c>
      <c r="AM980">
        <v>0</v>
      </c>
      <c r="AN980">
        <v>311</v>
      </c>
      <c r="AO980">
        <v>186</v>
      </c>
      <c r="AP980">
        <f>ifood_data[[#This Row],[MntTotal]]-ifood_data[[#This Row],[MntRegularProds]]</f>
        <v>125</v>
      </c>
      <c r="AQ980">
        <v>0</v>
      </c>
      <c r="AR980">
        <f>IF(SUM(ifood_data[[#This Row],[Kidhome]:[Teenhome]])&gt;0,1,0)</f>
        <v>1</v>
      </c>
      <c r="AS980" t="str">
        <f>IF(SUM(ifood_data[[#This Row],[Kidhome]:[Teenhome]])&gt;0,"Has Family","No Family")</f>
        <v>Has Family</v>
      </c>
      <c r="AT980" t="str">
        <f>IF(ifood_data[[#This Row],[marital_Married]]=1,"Married", (IF(ifood_data[[#This Row],[marital_Single]]=1,"Single",(IF(ifood_data[[#This Row],[marital_Divorced]]=1,"Divorced",(IF(ifood_data[[#This Row],[marital_Together]]=1,"Living Together",(IF(ifood_data[[#This Row],[marital_Widow]]=1,"Widow","Other")))))))))</f>
        <v>Living Together</v>
      </c>
      <c r="AU980" t="str">
        <f>IF(ifood_data[[#This Row],[education_Basic]]=1,"High School",(IF(ifood_data[[#This Row],[education_Graduation]]=1,"Undergraduate Degree",(IF(SUM(AM980,AL980,AI980)&gt;0,"Master's Degree or Higher","Other")))))</f>
        <v>Master's Degree or Higher</v>
      </c>
      <c r="AV980" t="str">
        <f>IF(ifood_data[[#All],[Income]]&gt;75000,"75K+",(IF(ifood_data[[#All],[Income]]&gt;50000,"50K-75K",(IF(ifood_data[[#All],[Income]]&gt;35000,"35K-50K","&lt;35K")))))</f>
        <v>50K-75K</v>
      </c>
      <c r="AW980" t="str">
        <f>IF(ifood_data[[#All],[Age]]&gt;60,"60+",(IF(ifood_data[[#All],[Age]]&gt;50,"50-60",(IF(ifood_data[[#All],[Age]]&gt;40,"40-50",(IF(ifood_data[[#All],[Age]]&gt;30,"30-40","&lt;30")))))))</f>
        <v>40-50</v>
      </c>
      <c r="AX980">
        <f t="shared" si="60"/>
        <v>24</v>
      </c>
      <c r="AY980">
        <f t="shared" si="61"/>
        <v>4</v>
      </c>
      <c r="AZ980">
        <f t="shared" si="62"/>
        <v>6</v>
      </c>
      <c r="BA980">
        <f t="shared" si="63"/>
        <v>4</v>
      </c>
      <c r="BB980">
        <f>SUM(ifood_data[[#This Row],[Recency Score]:[Monetary Score]])</f>
        <v>14</v>
      </c>
      <c r="BC980">
        <f>(_xlfn.PERCENTRANK.INC(ifood_data[[#All],[RFM]],ifood_data[[#This Row],[RFM]],1))*10</f>
        <v>4</v>
      </c>
      <c r="BD980" t="str">
        <f>VLOOKUP(ifood_data[[#This Row],[RFM Score]],'RFM Analysis'!$A$3:$B$14,2,FALSE)</f>
        <v>At Risk</v>
      </c>
      <c r="BE980">
        <f>'Regression Models'!$B$101+'Regression Models'!$B$102*ifood_data[[#This Row],[Income]]+'Regression Models'!$B$103*ifood_data[[#This Row],[Age]]+'Regression Models'!$B$104*ifood_data[[#This Row],[Family]]</f>
        <v>525.69442406932342</v>
      </c>
      <c r="BF980" t="str">
        <f>IF(ifood_data[[#This Row],[AcceptedCmpOverall]]=1,"Campaign Respondent","Non-respondent")</f>
        <v>Non-respondent</v>
      </c>
    </row>
    <row r="981" spans="1:58" x14ac:dyDescent="0.35">
      <c r="A981">
        <v>1724</v>
      </c>
      <c r="B981">
        <v>52413</v>
      </c>
      <c r="C981">
        <v>1</v>
      </c>
      <c r="D981">
        <v>0</v>
      </c>
      <c r="E981">
        <v>67</v>
      </c>
      <c r="F981">
        <v>185</v>
      </c>
      <c r="G981">
        <v>8</v>
      </c>
      <c r="H981">
        <v>133</v>
      </c>
      <c r="I981">
        <v>56</v>
      </c>
      <c r="J981">
        <v>56</v>
      </c>
      <c r="K981">
        <v>12</v>
      </c>
      <c r="L981">
        <v>2</v>
      </c>
      <c r="M981">
        <v>7</v>
      </c>
      <c r="N981">
        <v>1</v>
      </c>
      <c r="O981">
        <v>7</v>
      </c>
      <c r="P981">
        <v>7</v>
      </c>
      <c r="Q981">
        <v>0</v>
      </c>
      <c r="R981">
        <v>0</v>
      </c>
      <c r="S981">
        <v>0</v>
      </c>
      <c r="T981">
        <v>0</v>
      </c>
      <c r="U981">
        <v>0</v>
      </c>
      <c r="V981">
        <f>IF(SUM(ifood_data[[#This Row],[AcceptedCmp1]:[AcceptedCmp5]])&gt;0,1,0)</f>
        <v>0</v>
      </c>
      <c r="W981">
        <v>0</v>
      </c>
      <c r="X981">
        <v>3</v>
      </c>
      <c r="Y981">
        <v>11</v>
      </c>
      <c r="Z981">
        <v>0</v>
      </c>
      <c r="AA981">
        <v>36</v>
      </c>
      <c r="AB981">
        <v>2762</v>
      </c>
      <c r="AC981" s="28">
        <f>ifood_data[[#This Row],[Customer_Days]]/365</f>
        <v>7.5671232876712331</v>
      </c>
      <c r="AD981">
        <v>0</v>
      </c>
      <c r="AE981">
        <v>0</v>
      </c>
      <c r="AF981">
        <v>1</v>
      </c>
      <c r="AG981">
        <v>0</v>
      </c>
      <c r="AH981">
        <v>0</v>
      </c>
      <c r="AI981">
        <v>0</v>
      </c>
      <c r="AJ981">
        <v>0</v>
      </c>
      <c r="AK981">
        <v>1</v>
      </c>
      <c r="AL981">
        <v>0</v>
      </c>
      <c r="AM981">
        <v>0</v>
      </c>
      <c r="AN981">
        <v>438</v>
      </c>
      <c r="AO981">
        <v>426</v>
      </c>
      <c r="AP981">
        <f>ifood_data[[#This Row],[MntTotal]]-ifood_data[[#This Row],[MntRegularProds]]</f>
        <v>12</v>
      </c>
      <c r="AQ981">
        <v>0</v>
      </c>
      <c r="AR981">
        <f>IF(SUM(ifood_data[[#This Row],[Kidhome]:[Teenhome]])&gt;0,1,0)</f>
        <v>1</v>
      </c>
      <c r="AS981" t="str">
        <f>IF(SUM(ifood_data[[#This Row],[Kidhome]:[Teenhome]])&gt;0,"Has Family","No Family")</f>
        <v>Has Family</v>
      </c>
      <c r="AT981" t="str">
        <f>IF(ifood_data[[#This Row],[marital_Married]]=1,"Married", (IF(ifood_data[[#This Row],[marital_Single]]=1,"Single",(IF(ifood_data[[#This Row],[marital_Divorced]]=1,"Divorced",(IF(ifood_data[[#This Row],[marital_Together]]=1,"Living Together",(IF(ifood_data[[#This Row],[marital_Widow]]=1,"Widow","Other")))))))))</f>
        <v>Single</v>
      </c>
      <c r="AU981" t="str">
        <f>IF(ifood_data[[#This Row],[education_Basic]]=1,"High School",(IF(ifood_data[[#This Row],[education_Graduation]]=1,"Undergraduate Degree",(IF(SUM(AM981,AL981,AI981)&gt;0,"Master's Degree or Higher","Other")))))</f>
        <v>Undergraduate Degree</v>
      </c>
      <c r="AV981" t="str">
        <f>IF(ifood_data[[#All],[Income]]&gt;75000,"75K+",(IF(ifood_data[[#All],[Income]]&gt;50000,"50K-75K",(IF(ifood_data[[#All],[Income]]&gt;35000,"35K-50K","&lt;35K")))))</f>
        <v>50K-75K</v>
      </c>
      <c r="AW981" t="str">
        <f>IF(ifood_data[[#All],[Age]]&gt;60,"60+",(IF(ifood_data[[#All],[Age]]&gt;50,"50-60",(IF(ifood_data[[#All],[Age]]&gt;40,"40-50",(IF(ifood_data[[#All],[Age]]&gt;30,"30-40","&lt;30")))))))</f>
        <v>30-40</v>
      </c>
      <c r="AX981">
        <f t="shared" si="60"/>
        <v>24</v>
      </c>
      <c r="AY981">
        <f t="shared" si="61"/>
        <v>4</v>
      </c>
      <c r="AZ981">
        <f t="shared" si="62"/>
        <v>6</v>
      </c>
      <c r="BA981">
        <f t="shared" si="63"/>
        <v>5</v>
      </c>
      <c r="BB981">
        <f>SUM(ifood_data[[#This Row],[Recency Score]:[Monetary Score]])</f>
        <v>15</v>
      </c>
      <c r="BC981">
        <f>(_xlfn.PERCENTRANK.INC(ifood_data[[#All],[RFM]],ifood_data[[#This Row],[RFM]],1))*10</f>
        <v>4</v>
      </c>
      <c r="BD981" t="str">
        <f>VLOOKUP(ifood_data[[#This Row],[RFM Score]],'RFM Analysis'!$A$3:$B$14,2,FALSE)</f>
        <v>At Risk</v>
      </c>
      <c r="BE981">
        <f>'Regression Models'!$B$101+'Regression Models'!$B$102*ifood_data[[#This Row],[Income]]+'Regression Models'!$B$103*ifood_data[[#This Row],[Age]]+'Regression Models'!$B$104*ifood_data[[#This Row],[Family]]</f>
        <v>525.09581053849672</v>
      </c>
      <c r="BF981" t="str">
        <f>IF(ifood_data[[#This Row],[AcceptedCmpOverall]]=1,"Campaign Respondent","Non-respondent")</f>
        <v>Non-respondent</v>
      </c>
    </row>
    <row r="982" spans="1:58" x14ac:dyDescent="0.35">
      <c r="A982">
        <v>1667</v>
      </c>
      <c r="B982">
        <v>54111</v>
      </c>
      <c r="C982">
        <v>0</v>
      </c>
      <c r="D982">
        <v>1</v>
      </c>
      <c r="E982">
        <v>97</v>
      </c>
      <c r="F982">
        <v>267</v>
      </c>
      <c r="G982">
        <v>6</v>
      </c>
      <c r="H982">
        <v>54</v>
      </c>
      <c r="I982">
        <v>8</v>
      </c>
      <c r="J982">
        <v>3</v>
      </c>
      <c r="K982">
        <v>50</v>
      </c>
      <c r="L982">
        <v>2</v>
      </c>
      <c r="M982">
        <v>5</v>
      </c>
      <c r="N982">
        <v>2</v>
      </c>
      <c r="O982">
        <v>6</v>
      </c>
      <c r="P982">
        <v>5</v>
      </c>
      <c r="Q982">
        <v>0</v>
      </c>
      <c r="R982">
        <v>0</v>
      </c>
      <c r="S982">
        <v>0</v>
      </c>
      <c r="T982">
        <v>0</v>
      </c>
      <c r="U982">
        <v>0</v>
      </c>
      <c r="V982">
        <f>IF(SUM(ifood_data[[#This Row],[AcceptedCmp1]:[AcceptedCmp5]])&gt;0,1,0)</f>
        <v>0</v>
      </c>
      <c r="W982">
        <v>0</v>
      </c>
      <c r="X982">
        <v>3</v>
      </c>
      <c r="Y982">
        <v>11</v>
      </c>
      <c r="Z982">
        <v>0</v>
      </c>
      <c r="AA982">
        <v>55</v>
      </c>
      <c r="AB982">
        <v>2467</v>
      </c>
      <c r="AC982" s="28">
        <f>ifood_data[[#This Row],[Customer_Days]]/365</f>
        <v>6.7589041095890412</v>
      </c>
      <c r="AD982">
        <v>0</v>
      </c>
      <c r="AE982">
        <v>0</v>
      </c>
      <c r="AF982">
        <v>0</v>
      </c>
      <c r="AG982">
        <v>0</v>
      </c>
      <c r="AH982">
        <v>1</v>
      </c>
      <c r="AI982">
        <v>0</v>
      </c>
      <c r="AJ982">
        <v>0</v>
      </c>
      <c r="AK982">
        <v>0</v>
      </c>
      <c r="AL982">
        <v>0</v>
      </c>
      <c r="AM982">
        <v>1</v>
      </c>
      <c r="AN982">
        <v>338</v>
      </c>
      <c r="AO982">
        <v>288</v>
      </c>
      <c r="AP982">
        <f>ifood_data[[#This Row],[MntTotal]]-ifood_data[[#This Row],[MntRegularProds]]</f>
        <v>50</v>
      </c>
      <c r="AQ982">
        <v>0</v>
      </c>
      <c r="AR982">
        <f>IF(SUM(ifood_data[[#This Row],[Kidhome]:[Teenhome]])&gt;0,1,0)</f>
        <v>1</v>
      </c>
      <c r="AS982" t="str">
        <f>IF(SUM(ifood_data[[#This Row],[Kidhome]:[Teenhome]])&gt;0,"Has Family","No Family")</f>
        <v>Has Family</v>
      </c>
      <c r="AT982" t="str">
        <f>IF(ifood_data[[#This Row],[marital_Married]]=1,"Married", (IF(ifood_data[[#This Row],[marital_Single]]=1,"Single",(IF(ifood_data[[#This Row],[marital_Divorced]]=1,"Divorced",(IF(ifood_data[[#This Row],[marital_Together]]=1,"Living Together",(IF(ifood_data[[#This Row],[marital_Widow]]=1,"Widow","Other")))))))))</f>
        <v>Widow</v>
      </c>
      <c r="AU982" t="str">
        <f>IF(ifood_data[[#This Row],[education_Basic]]=1,"High School",(IF(ifood_data[[#This Row],[education_Graduation]]=1,"Undergraduate Degree",(IF(SUM(AM982,AL982,AI982)&gt;0,"Master's Degree or Higher","Other")))))</f>
        <v>Master's Degree or Higher</v>
      </c>
      <c r="AV982" t="str">
        <f>IF(ifood_data[[#All],[Income]]&gt;75000,"75K+",(IF(ifood_data[[#All],[Income]]&gt;50000,"50K-75K",(IF(ifood_data[[#All],[Income]]&gt;35000,"35K-50K","&lt;35K")))))</f>
        <v>50K-75K</v>
      </c>
      <c r="AW982" t="str">
        <f>IF(ifood_data[[#All],[Age]]&gt;60,"60+",(IF(ifood_data[[#All],[Age]]&gt;50,"50-60",(IF(ifood_data[[#All],[Age]]&gt;40,"40-50",(IF(ifood_data[[#All],[Age]]&gt;30,"30-40","&lt;30")))))))</f>
        <v>50-60</v>
      </c>
      <c r="AX982">
        <f t="shared" si="60"/>
        <v>20</v>
      </c>
      <c r="AY982">
        <f t="shared" si="61"/>
        <v>0.99999999999999978</v>
      </c>
      <c r="AZ982">
        <f t="shared" si="62"/>
        <v>4</v>
      </c>
      <c r="BA982">
        <f t="shared" si="63"/>
        <v>4</v>
      </c>
      <c r="BB982">
        <f>SUM(ifood_data[[#This Row],[Recency Score]:[Monetary Score]])</f>
        <v>9</v>
      </c>
      <c r="BC982">
        <f>(_xlfn.PERCENTRANK.INC(ifood_data[[#All],[RFM]],ifood_data[[#This Row],[RFM]],1))*10</f>
        <v>1</v>
      </c>
      <c r="BD982" t="str">
        <f>VLOOKUP(ifood_data[[#This Row],[RFM Score]],'RFM Analysis'!$A$3:$B$14,2,FALSE)</f>
        <v>At Risk</v>
      </c>
      <c r="BE982">
        <f>'Regression Models'!$B$101+'Regression Models'!$B$102*ifood_data[[#This Row],[Income]]+'Regression Models'!$B$103*ifood_data[[#This Row],[Age]]+'Regression Models'!$B$104*ifood_data[[#This Row],[Family]]</f>
        <v>524.82359634784586</v>
      </c>
      <c r="BF982" t="str">
        <f>IF(ifood_data[[#This Row],[AcceptedCmpOverall]]=1,"Campaign Respondent","Non-respondent")</f>
        <v>Non-respondent</v>
      </c>
    </row>
    <row r="983" spans="1:58" x14ac:dyDescent="0.35">
      <c r="A983">
        <v>1809</v>
      </c>
      <c r="B983">
        <v>53201</v>
      </c>
      <c r="C983">
        <v>1</v>
      </c>
      <c r="D983">
        <v>1</v>
      </c>
      <c r="E983">
        <v>49</v>
      </c>
      <c r="F983">
        <v>280</v>
      </c>
      <c r="G983">
        <v>7</v>
      </c>
      <c r="H983">
        <v>81</v>
      </c>
      <c r="I983">
        <v>20</v>
      </c>
      <c r="J983">
        <v>0</v>
      </c>
      <c r="K983">
        <v>27</v>
      </c>
      <c r="L983">
        <v>8</v>
      </c>
      <c r="M983">
        <v>6</v>
      </c>
      <c r="N983">
        <v>3</v>
      </c>
      <c r="O983">
        <v>5</v>
      </c>
      <c r="P983">
        <v>7</v>
      </c>
      <c r="Q983">
        <v>0</v>
      </c>
      <c r="R983">
        <v>0</v>
      </c>
      <c r="S983">
        <v>0</v>
      </c>
      <c r="T983">
        <v>0</v>
      </c>
      <c r="U983">
        <v>0</v>
      </c>
      <c r="V983">
        <f>IF(SUM(ifood_data[[#This Row],[AcceptedCmp1]:[AcceptedCmp5]])&gt;0,1,0)</f>
        <v>0</v>
      </c>
      <c r="W983">
        <v>0</v>
      </c>
      <c r="X983">
        <v>3</v>
      </c>
      <c r="Y983">
        <v>11</v>
      </c>
      <c r="Z983">
        <v>0</v>
      </c>
      <c r="AA983">
        <v>45</v>
      </c>
      <c r="AB983">
        <v>2661</v>
      </c>
      <c r="AC983" s="28">
        <f>ifood_data[[#This Row],[Customer_Days]]/365</f>
        <v>7.2904109589041095</v>
      </c>
      <c r="AD983">
        <v>0</v>
      </c>
      <c r="AE983">
        <v>0</v>
      </c>
      <c r="AF983">
        <v>1</v>
      </c>
      <c r="AG983">
        <v>0</v>
      </c>
      <c r="AH983">
        <v>0</v>
      </c>
      <c r="AI983">
        <v>0</v>
      </c>
      <c r="AJ983">
        <v>0</v>
      </c>
      <c r="AK983">
        <v>1</v>
      </c>
      <c r="AL983">
        <v>0</v>
      </c>
      <c r="AM983">
        <v>0</v>
      </c>
      <c r="AN983">
        <v>388</v>
      </c>
      <c r="AO983">
        <v>361</v>
      </c>
      <c r="AP983">
        <f>ifood_data[[#This Row],[MntTotal]]-ifood_data[[#This Row],[MntRegularProds]]</f>
        <v>27</v>
      </c>
      <c r="AQ983">
        <v>0</v>
      </c>
      <c r="AR983">
        <f>IF(SUM(ifood_data[[#This Row],[Kidhome]:[Teenhome]])&gt;0,1,0)</f>
        <v>1</v>
      </c>
      <c r="AS983" t="str">
        <f>IF(SUM(ifood_data[[#This Row],[Kidhome]:[Teenhome]])&gt;0,"Has Family","No Family")</f>
        <v>Has Family</v>
      </c>
      <c r="AT983" t="str">
        <f>IF(ifood_data[[#This Row],[marital_Married]]=1,"Married", (IF(ifood_data[[#This Row],[marital_Single]]=1,"Single",(IF(ifood_data[[#This Row],[marital_Divorced]]=1,"Divorced",(IF(ifood_data[[#This Row],[marital_Together]]=1,"Living Together",(IF(ifood_data[[#This Row],[marital_Widow]]=1,"Widow","Other")))))))))</f>
        <v>Single</v>
      </c>
      <c r="AU983" t="str">
        <f>IF(ifood_data[[#This Row],[education_Basic]]=1,"High School",(IF(ifood_data[[#This Row],[education_Graduation]]=1,"Undergraduate Degree",(IF(SUM(AM983,AL983,AI983)&gt;0,"Master's Degree or Higher","Other")))))</f>
        <v>Undergraduate Degree</v>
      </c>
      <c r="AV983" t="str">
        <f>IF(ifood_data[[#All],[Income]]&gt;75000,"75K+",(IF(ifood_data[[#All],[Income]]&gt;50000,"50K-75K",(IF(ifood_data[[#All],[Income]]&gt;35000,"35K-50K","&lt;35K")))))</f>
        <v>50K-75K</v>
      </c>
      <c r="AW983" t="str">
        <f>IF(ifood_data[[#All],[Age]]&gt;60,"60+",(IF(ifood_data[[#All],[Age]]&gt;50,"50-60",(IF(ifood_data[[#All],[Age]]&gt;40,"40-50",(IF(ifood_data[[#All],[Age]]&gt;30,"30-40","&lt;30")))))))</f>
        <v>40-50</v>
      </c>
      <c r="AX983">
        <f t="shared" si="60"/>
        <v>29</v>
      </c>
      <c r="AY983">
        <f t="shared" si="61"/>
        <v>6</v>
      </c>
      <c r="AZ983">
        <f t="shared" si="62"/>
        <v>8</v>
      </c>
      <c r="BA983">
        <f t="shared" si="63"/>
        <v>5</v>
      </c>
      <c r="BB983">
        <f>SUM(ifood_data[[#This Row],[Recency Score]:[Monetary Score]])</f>
        <v>19</v>
      </c>
      <c r="BC983">
        <f>(_xlfn.PERCENTRANK.INC(ifood_data[[#All],[RFM]],ifood_data[[#This Row],[RFM]],1))*10</f>
        <v>7</v>
      </c>
      <c r="BD983" t="str">
        <f>VLOOKUP(ifood_data[[#This Row],[RFM Score]],'RFM Analysis'!$A$3:$B$14,2,FALSE)</f>
        <v>Loyal Customer</v>
      </c>
      <c r="BE983">
        <f>'Regression Models'!$B$101+'Regression Models'!$B$102*ifood_data[[#This Row],[Income]]+'Regression Models'!$B$103*ifood_data[[#This Row],[Age]]+'Regression Models'!$B$104*ifood_data[[#This Row],[Family]]</f>
        <v>524.6342081258407</v>
      </c>
      <c r="BF983" t="str">
        <f>IF(ifood_data[[#This Row],[AcceptedCmpOverall]]=1,"Campaign Respondent","Non-respondent")</f>
        <v>Non-respondent</v>
      </c>
    </row>
    <row r="984" spans="1:58" x14ac:dyDescent="0.35">
      <c r="A984">
        <v>590</v>
      </c>
      <c r="B984">
        <v>54456</v>
      </c>
      <c r="C984">
        <v>0</v>
      </c>
      <c r="D984">
        <v>1</v>
      </c>
      <c r="E984">
        <v>23</v>
      </c>
      <c r="F984">
        <v>352</v>
      </c>
      <c r="G984">
        <v>0</v>
      </c>
      <c r="H984">
        <v>27</v>
      </c>
      <c r="I984">
        <v>10</v>
      </c>
      <c r="J984">
        <v>0</v>
      </c>
      <c r="K984">
        <v>15</v>
      </c>
      <c r="L984">
        <v>3</v>
      </c>
      <c r="M984">
        <v>6</v>
      </c>
      <c r="N984">
        <v>1</v>
      </c>
      <c r="O984">
        <v>7</v>
      </c>
      <c r="P984">
        <v>6</v>
      </c>
      <c r="Q984">
        <v>0</v>
      </c>
      <c r="R984">
        <v>0</v>
      </c>
      <c r="S984">
        <v>0</v>
      </c>
      <c r="T984">
        <v>0</v>
      </c>
      <c r="U984">
        <v>0</v>
      </c>
      <c r="V984">
        <f>IF(SUM(ifood_data[[#This Row],[AcceptedCmp1]:[AcceptedCmp5]])&gt;0,1,0)</f>
        <v>0</v>
      </c>
      <c r="W984">
        <v>0</v>
      </c>
      <c r="X984">
        <v>3</v>
      </c>
      <c r="Y984">
        <v>11</v>
      </c>
      <c r="Z984">
        <v>0</v>
      </c>
      <c r="AA984">
        <v>59</v>
      </c>
      <c r="AB984">
        <v>2512</v>
      </c>
      <c r="AC984" s="28">
        <f>ifood_data[[#This Row],[Customer_Days]]/365</f>
        <v>6.882191780821918</v>
      </c>
      <c r="AD984">
        <v>0</v>
      </c>
      <c r="AE984">
        <v>1</v>
      </c>
      <c r="AF984">
        <v>0</v>
      </c>
      <c r="AG984">
        <v>0</v>
      </c>
      <c r="AH984">
        <v>0</v>
      </c>
      <c r="AI984">
        <v>0</v>
      </c>
      <c r="AJ984">
        <v>0</v>
      </c>
      <c r="AK984">
        <v>0</v>
      </c>
      <c r="AL984">
        <v>0</v>
      </c>
      <c r="AM984">
        <v>1</v>
      </c>
      <c r="AN984">
        <v>389</v>
      </c>
      <c r="AO984">
        <v>374</v>
      </c>
      <c r="AP984">
        <f>ifood_data[[#This Row],[MntTotal]]-ifood_data[[#This Row],[MntRegularProds]]</f>
        <v>15</v>
      </c>
      <c r="AQ984">
        <v>0</v>
      </c>
      <c r="AR984">
        <f>IF(SUM(ifood_data[[#This Row],[Kidhome]:[Teenhome]])&gt;0,1,0)</f>
        <v>1</v>
      </c>
      <c r="AS984" t="str">
        <f>IF(SUM(ifood_data[[#This Row],[Kidhome]:[Teenhome]])&gt;0,"Has Family","No Family")</f>
        <v>Has Family</v>
      </c>
      <c r="AT984" t="str">
        <f>IF(ifood_data[[#This Row],[marital_Married]]=1,"Married", (IF(ifood_data[[#This Row],[marital_Single]]=1,"Single",(IF(ifood_data[[#This Row],[marital_Divorced]]=1,"Divorced",(IF(ifood_data[[#This Row],[marital_Together]]=1,"Living Together",(IF(ifood_data[[#This Row],[marital_Widow]]=1,"Widow","Other")))))))))</f>
        <v>Married</v>
      </c>
      <c r="AU984" t="str">
        <f>IF(ifood_data[[#This Row],[education_Basic]]=1,"High School",(IF(ifood_data[[#This Row],[education_Graduation]]=1,"Undergraduate Degree",(IF(SUM(AM984,AL984,AI984)&gt;0,"Master's Degree or Higher","Other")))))</f>
        <v>Master's Degree or Higher</v>
      </c>
      <c r="AV984" t="str">
        <f>IF(ifood_data[[#All],[Income]]&gt;75000,"75K+",(IF(ifood_data[[#All],[Income]]&gt;50000,"50K-75K",(IF(ifood_data[[#All],[Income]]&gt;35000,"35K-50K","&lt;35K")))))</f>
        <v>50K-75K</v>
      </c>
      <c r="AW984" t="str">
        <f>IF(ifood_data[[#All],[Age]]&gt;60,"60+",(IF(ifood_data[[#All],[Age]]&gt;50,"50-60",(IF(ifood_data[[#All],[Age]]&gt;40,"40-50",(IF(ifood_data[[#All],[Age]]&gt;30,"30-40","&lt;30")))))))</f>
        <v>50-60</v>
      </c>
      <c r="AX984">
        <f t="shared" si="60"/>
        <v>23</v>
      </c>
      <c r="AY984">
        <f t="shared" si="61"/>
        <v>8</v>
      </c>
      <c r="AZ984">
        <f t="shared" si="62"/>
        <v>6</v>
      </c>
      <c r="BA984">
        <f t="shared" si="63"/>
        <v>5</v>
      </c>
      <c r="BB984">
        <f>SUM(ifood_data[[#This Row],[Recency Score]:[Monetary Score]])</f>
        <v>19</v>
      </c>
      <c r="BC984">
        <f>(_xlfn.PERCENTRANK.INC(ifood_data[[#All],[RFM]],ifood_data[[#This Row],[RFM]],1))*10</f>
        <v>7</v>
      </c>
      <c r="BD984" t="str">
        <f>VLOOKUP(ifood_data[[#This Row],[RFM Score]],'RFM Analysis'!$A$3:$B$14,2,FALSE)</f>
        <v>Loyal Customer</v>
      </c>
      <c r="BE984">
        <f>'Regression Models'!$B$101+'Regression Models'!$B$102*ifood_data[[#This Row],[Income]]+'Regression Models'!$B$103*ifood_data[[#This Row],[Age]]+'Regression Models'!$B$104*ifood_data[[#This Row],[Family]]</f>
        <v>524.51196504191387</v>
      </c>
      <c r="BF984" t="str">
        <f>IF(ifood_data[[#This Row],[AcceptedCmpOverall]]=1,"Campaign Respondent","Non-respondent")</f>
        <v>Non-respondent</v>
      </c>
    </row>
    <row r="985" spans="1:58" x14ac:dyDescent="0.35">
      <c r="A985">
        <v>1536</v>
      </c>
      <c r="B985">
        <v>37929</v>
      </c>
      <c r="C985">
        <v>0</v>
      </c>
      <c r="D985">
        <v>0</v>
      </c>
      <c r="E985">
        <v>49</v>
      </c>
      <c r="F985">
        <v>202</v>
      </c>
      <c r="G985">
        <v>2</v>
      </c>
      <c r="H985">
        <v>46</v>
      </c>
      <c r="I985">
        <v>3</v>
      </c>
      <c r="J985">
        <v>2</v>
      </c>
      <c r="K985">
        <v>10</v>
      </c>
      <c r="L985">
        <v>2</v>
      </c>
      <c r="M985">
        <v>4</v>
      </c>
      <c r="N985">
        <v>2</v>
      </c>
      <c r="O985">
        <v>5</v>
      </c>
      <c r="P985">
        <v>7</v>
      </c>
      <c r="Q985">
        <v>1</v>
      </c>
      <c r="R985">
        <v>0</v>
      </c>
      <c r="S985">
        <v>0</v>
      </c>
      <c r="T985">
        <v>1</v>
      </c>
      <c r="U985">
        <v>0</v>
      </c>
      <c r="V985">
        <f>IF(SUM(ifood_data[[#This Row],[AcceptedCmp1]:[AcceptedCmp5]])&gt;0,1,0)</f>
        <v>1</v>
      </c>
      <c r="W985">
        <v>0</v>
      </c>
      <c r="X985">
        <v>3</v>
      </c>
      <c r="Y985">
        <v>11</v>
      </c>
      <c r="Z985">
        <v>1</v>
      </c>
      <c r="AA985">
        <v>35</v>
      </c>
      <c r="AB985">
        <v>2493</v>
      </c>
      <c r="AC985" s="28">
        <f>ifood_data[[#This Row],[Customer_Days]]/365</f>
        <v>6.8301369863013699</v>
      </c>
      <c r="AD985">
        <v>0</v>
      </c>
      <c r="AE985">
        <v>0</v>
      </c>
      <c r="AF985">
        <v>1</v>
      </c>
      <c r="AG985">
        <v>0</v>
      </c>
      <c r="AH985">
        <v>0</v>
      </c>
      <c r="AI985">
        <v>0</v>
      </c>
      <c r="AJ985">
        <v>0</v>
      </c>
      <c r="AK985">
        <v>0</v>
      </c>
      <c r="AL985">
        <v>0</v>
      </c>
      <c r="AM985">
        <v>1</v>
      </c>
      <c r="AN985">
        <v>255</v>
      </c>
      <c r="AO985">
        <v>245</v>
      </c>
      <c r="AP985">
        <f>ifood_data[[#This Row],[MntTotal]]-ifood_data[[#This Row],[MntRegularProds]]</f>
        <v>10</v>
      </c>
      <c r="AQ985">
        <v>2</v>
      </c>
      <c r="AR985">
        <f>IF(SUM(ifood_data[[#This Row],[Kidhome]:[Teenhome]])&gt;0,1,0)</f>
        <v>0</v>
      </c>
      <c r="AS985" t="str">
        <f>IF(SUM(ifood_data[[#This Row],[Kidhome]:[Teenhome]])&gt;0,"Has Family","No Family")</f>
        <v>No Family</v>
      </c>
      <c r="AT985" t="str">
        <f>IF(ifood_data[[#This Row],[marital_Married]]=1,"Married", (IF(ifood_data[[#This Row],[marital_Single]]=1,"Single",(IF(ifood_data[[#This Row],[marital_Divorced]]=1,"Divorced",(IF(ifood_data[[#This Row],[marital_Together]]=1,"Living Together",(IF(ifood_data[[#This Row],[marital_Widow]]=1,"Widow","Other")))))))))</f>
        <v>Single</v>
      </c>
      <c r="AU985" t="str">
        <f>IF(ifood_data[[#This Row],[education_Basic]]=1,"High School",(IF(ifood_data[[#This Row],[education_Graduation]]=1,"Undergraduate Degree",(IF(SUM(AM985,AL985,AI985)&gt;0,"Master's Degree or Higher","Other")))))</f>
        <v>Master's Degree or Higher</v>
      </c>
      <c r="AV985" t="str">
        <f>IF(ifood_data[[#All],[Income]]&gt;75000,"75K+",(IF(ifood_data[[#All],[Income]]&gt;50000,"50K-75K",(IF(ifood_data[[#All],[Income]]&gt;35000,"35K-50K","&lt;35K")))))</f>
        <v>35K-50K</v>
      </c>
      <c r="AW985" t="str">
        <f>IF(ifood_data[[#All],[Age]]&gt;60,"60+",(IF(ifood_data[[#All],[Age]]&gt;50,"50-60",(IF(ifood_data[[#All],[Age]]&gt;40,"40-50",(IF(ifood_data[[#All],[Age]]&gt;30,"30-40","&lt;30")))))))</f>
        <v>30-40</v>
      </c>
      <c r="AX985">
        <f t="shared" si="60"/>
        <v>20</v>
      </c>
      <c r="AY985">
        <f t="shared" si="61"/>
        <v>6</v>
      </c>
      <c r="AZ985">
        <f t="shared" si="62"/>
        <v>4</v>
      </c>
      <c r="BA985">
        <f t="shared" si="63"/>
        <v>4</v>
      </c>
      <c r="BB985">
        <f>SUM(ifood_data[[#This Row],[Recency Score]:[Monetary Score]])</f>
        <v>14</v>
      </c>
      <c r="BC985">
        <f>(_xlfn.PERCENTRANK.INC(ifood_data[[#All],[RFM]],ifood_data[[#This Row],[RFM]],1))*10</f>
        <v>4</v>
      </c>
      <c r="BD985" t="str">
        <f>VLOOKUP(ifood_data[[#This Row],[RFM Score]],'RFM Analysis'!$A$3:$B$14,2,FALSE)</f>
        <v>At Risk</v>
      </c>
      <c r="BE985">
        <f>'Regression Models'!$B$101+'Regression Models'!$B$102*ifood_data[[#This Row],[Income]]+'Regression Models'!$B$103*ifood_data[[#This Row],[Age]]+'Regression Models'!$B$104*ifood_data[[#This Row],[Family]]</f>
        <v>521.23496289417494</v>
      </c>
      <c r="BF985" t="str">
        <f>IF(ifood_data[[#This Row],[AcceptedCmpOverall]]=1,"Campaign Respondent","Non-respondent")</f>
        <v>Campaign Respondent</v>
      </c>
    </row>
    <row r="986" spans="1:58" x14ac:dyDescent="0.35">
      <c r="A986">
        <v>1482</v>
      </c>
      <c r="B986">
        <v>54072</v>
      </c>
      <c r="C986">
        <v>1</v>
      </c>
      <c r="D986">
        <v>1</v>
      </c>
      <c r="E986">
        <v>71</v>
      </c>
      <c r="F986">
        <v>35</v>
      </c>
      <c r="G986">
        <v>0</v>
      </c>
      <c r="H986">
        <v>4</v>
      </c>
      <c r="I986">
        <v>0</v>
      </c>
      <c r="J986">
        <v>0</v>
      </c>
      <c r="K986">
        <v>0</v>
      </c>
      <c r="L986">
        <v>1</v>
      </c>
      <c r="M986">
        <v>2</v>
      </c>
      <c r="N986">
        <v>0</v>
      </c>
      <c r="O986">
        <v>2</v>
      </c>
      <c r="P986">
        <v>8</v>
      </c>
      <c r="Q986">
        <v>0</v>
      </c>
      <c r="R986">
        <v>0</v>
      </c>
      <c r="S986">
        <v>0</v>
      </c>
      <c r="T986">
        <v>0</v>
      </c>
      <c r="U986">
        <v>0</v>
      </c>
      <c r="V986">
        <f>IF(SUM(ifood_data[[#This Row],[AcceptedCmp1]:[AcceptedCmp5]])&gt;0,1,0)</f>
        <v>0</v>
      </c>
      <c r="W986">
        <v>0</v>
      </c>
      <c r="X986">
        <v>3</v>
      </c>
      <c r="Y986">
        <v>11</v>
      </c>
      <c r="Z986">
        <v>0</v>
      </c>
      <c r="AA986">
        <v>57</v>
      </c>
      <c r="AB986">
        <v>2496</v>
      </c>
      <c r="AC986" s="28">
        <f>ifood_data[[#This Row],[Customer_Days]]/365</f>
        <v>6.838356164383562</v>
      </c>
      <c r="AD986">
        <v>0</v>
      </c>
      <c r="AE986">
        <v>1</v>
      </c>
      <c r="AF986">
        <v>0</v>
      </c>
      <c r="AG986">
        <v>0</v>
      </c>
      <c r="AH986">
        <v>0</v>
      </c>
      <c r="AI986">
        <v>0</v>
      </c>
      <c r="AJ986">
        <v>0</v>
      </c>
      <c r="AK986">
        <v>0</v>
      </c>
      <c r="AL986">
        <v>0</v>
      </c>
      <c r="AM986">
        <v>1</v>
      </c>
      <c r="AN986">
        <v>39</v>
      </c>
      <c r="AO986">
        <v>39</v>
      </c>
      <c r="AP986">
        <f>ifood_data[[#This Row],[MntTotal]]-ifood_data[[#This Row],[MntRegularProds]]</f>
        <v>0</v>
      </c>
      <c r="AQ986">
        <v>0</v>
      </c>
      <c r="AR986">
        <f>IF(SUM(ifood_data[[#This Row],[Kidhome]:[Teenhome]])&gt;0,1,0)</f>
        <v>1</v>
      </c>
      <c r="AS986" t="str">
        <f>IF(SUM(ifood_data[[#This Row],[Kidhome]:[Teenhome]])&gt;0,"Has Family","No Family")</f>
        <v>Has Family</v>
      </c>
      <c r="AT986" t="str">
        <f>IF(ifood_data[[#This Row],[marital_Married]]=1,"Married", (IF(ifood_data[[#This Row],[marital_Single]]=1,"Single",(IF(ifood_data[[#This Row],[marital_Divorced]]=1,"Divorced",(IF(ifood_data[[#This Row],[marital_Together]]=1,"Living Together",(IF(ifood_data[[#This Row],[marital_Widow]]=1,"Widow","Other")))))))))</f>
        <v>Married</v>
      </c>
      <c r="AU986" t="str">
        <f>IF(ifood_data[[#This Row],[education_Basic]]=1,"High School",(IF(ifood_data[[#This Row],[education_Graduation]]=1,"Undergraduate Degree",(IF(SUM(AM986,AL986,AI986)&gt;0,"Master's Degree or Higher","Other")))))</f>
        <v>Master's Degree or Higher</v>
      </c>
      <c r="AV986" t="str">
        <f>IF(ifood_data[[#All],[Income]]&gt;75000,"75K+",(IF(ifood_data[[#All],[Income]]&gt;50000,"50K-75K",(IF(ifood_data[[#All],[Income]]&gt;35000,"35K-50K","&lt;35K")))))</f>
        <v>50K-75K</v>
      </c>
      <c r="AW986" t="str">
        <f>IF(ifood_data[[#All],[Age]]&gt;60,"60+",(IF(ifood_data[[#All],[Age]]&gt;50,"50-60",(IF(ifood_data[[#All],[Age]]&gt;40,"40-50",(IF(ifood_data[[#All],[Age]]&gt;30,"30-40","&lt;30")))))))</f>
        <v>50-60</v>
      </c>
      <c r="AX986">
        <f t="shared" si="60"/>
        <v>13</v>
      </c>
      <c r="AY986">
        <f t="shared" si="61"/>
        <v>3.0000000000000004</v>
      </c>
      <c r="AZ986">
        <f t="shared" si="62"/>
        <v>1</v>
      </c>
      <c r="BA986">
        <f t="shared" si="63"/>
        <v>1</v>
      </c>
      <c r="BB986">
        <f>SUM(ifood_data[[#This Row],[Recency Score]:[Monetary Score]])</f>
        <v>5</v>
      </c>
      <c r="BC986">
        <f>(_xlfn.PERCENTRANK.INC(ifood_data[[#All],[RFM]],ifood_data[[#This Row],[RFM]],1))*10</f>
        <v>0</v>
      </c>
      <c r="BD986" t="str">
        <f>VLOOKUP(ifood_data[[#This Row],[RFM Score]],'RFM Analysis'!$A$3:$B$14,2,FALSE)</f>
        <v>Lost</v>
      </c>
      <c r="BE986">
        <f>'Regression Models'!$B$101+'Regression Models'!$B$102*ifood_data[[#This Row],[Income]]+'Regression Models'!$B$103*ifood_data[[#This Row],[Age]]+'Regression Models'!$B$104*ifood_data[[#This Row],[Family]]</f>
        <v>520.35555623244534</v>
      </c>
      <c r="BF986" t="str">
        <f>IF(ifood_data[[#This Row],[AcceptedCmpOverall]]=1,"Campaign Respondent","Non-respondent")</f>
        <v>Non-respondent</v>
      </c>
    </row>
    <row r="987" spans="1:58" x14ac:dyDescent="0.35">
      <c r="A987">
        <v>1280</v>
      </c>
      <c r="B987">
        <v>53034</v>
      </c>
      <c r="C987">
        <v>1</v>
      </c>
      <c r="D987">
        <v>1</v>
      </c>
      <c r="E987">
        <v>30</v>
      </c>
      <c r="F987">
        <v>160</v>
      </c>
      <c r="G987">
        <v>15</v>
      </c>
      <c r="H987">
        <v>196</v>
      </c>
      <c r="I987">
        <v>15</v>
      </c>
      <c r="J987">
        <v>11</v>
      </c>
      <c r="K987">
        <v>50</v>
      </c>
      <c r="L987">
        <v>8</v>
      </c>
      <c r="M987">
        <v>6</v>
      </c>
      <c r="N987">
        <v>1</v>
      </c>
      <c r="O987">
        <v>7</v>
      </c>
      <c r="P987">
        <v>8</v>
      </c>
      <c r="Q987">
        <v>0</v>
      </c>
      <c r="R987">
        <v>0</v>
      </c>
      <c r="S987">
        <v>0</v>
      </c>
      <c r="T987">
        <v>0</v>
      </c>
      <c r="U987">
        <v>0</v>
      </c>
      <c r="V987">
        <f>IF(SUM(ifood_data[[#This Row],[AcceptedCmp1]:[AcceptedCmp5]])&gt;0,1,0)</f>
        <v>0</v>
      </c>
      <c r="W987">
        <v>0</v>
      </c>
      <c r="X987">
        <v>3</v>
      </c>
      <c r="Y987">
        <v>11</v>
      </c>
      <c r="Z987">
        <v>0</v>
      </c>
      <c r="AA987">
        <v>46</v>
      </c>
      <c r="AB987">
        <v>2554</v>
      </c>
      <c r="AC987" s="28">
        <f>ifood_data[[#This Row],[Customer_Days]]/365</f>
        <v>6.9972602739726026</v>
      </c>
      <c r="AD987">
        <v>1</v>
      </c>
      <c r="AE987">
        <v>0</v>
      </c>
      <c r="AF987">
        <v>0</v>
      </c>
      <c r="AG987">
        <v>0</v>
      </c>
      <c r="AH987">
        <v>0</v>
      </c>
      <c r="AI987">
        <v>0</v>
      </c>
      <c r="AJ987">
        <v>0</v>
      </c>
      <c r="AK987">
        <v>1</v>
      </c>
      <c r="AL987">
        <v>0</v>
      </c>
      <c r="AM987">
        <v>0</v>
      </c>
      <c r="AN987">
        <v>397</v>
      </c>
      <c r="AO987">
        <v>347</v>
      </c>
      <c r="AP987">
        <f>ifood_data[[#This Row],[MntTotal]]-ifood_data[[#This Row],[MntRegularProds]]</f>
        <v>50</v>
      </c>
      <c r="AQ987">
        <v>0</v>
      </c>
      <c r="AR987">
        <f>IF(SUM(ifood_data[[#This Row],[Kidhome]:[Teenhome]])&gt;0,1,0)</f>
        <v>1</v>
      </c>
      <c r="AS987" t="str">
        <f>IF(SUM(ifood_data[[#This Row],[Kidhome]:[Teenhome]])&gt;0,"Has Family","No Family")</f>
        <v>Has Family</v>
      </c>
      <c r="AT987" t="str">
        <f>IF(ifood_data[[#This Row],[marital_Married]]=1,"Married", (IF(ifood_data[[#This Row],[marital_Single]]=1,"Single",(IF(ifood_data[[#This Row],[marital_Divorced]]=1,"Divorced",(IF(ifood_data[[#This Row],[marital_Together]]=1,"Living Together",(IF(ifood_data[[#This Row],[marital_Widow]]=1,"Widow","Other")))))))))</f>
        <v>Divorced</v>
      </c>
      <c r="AU987" t="str">
        <f>IF(ifood_data[[#This Row],[education_Basic]]=1,"High School",(IF(ifood_data[[#This Row],[education_Graduation]]=1,"Undergraduate Degree",(IF(SUM(AM987,AL987,AI987)&gt;0,"Master's Degree or Higher","Other")))))</f>
        <v>Undergraduate Degree</v>
      </c>
      <c r="AV987" t="str">
        <f>IF(ifood_data[[#All],[Income]]&gt;75000,"75K+",(IF(ifood_data[[#All],[Income]]&gt;50000,"50K-75K",(IF(ifood_data[[#All],[Income]]&gt;35000,"35K-50K","&lt;35K")))))</f>
        <v>50K-75K</v>
      </c>
      <c r="AW987" t="str">
        <f>IF(ifood_data[[#All],[Age]]&gt;60,"60+",(IF(ifood_data[[#All],[Age]]&gt;50,"50-60",(IF(ifood_data[[#All],[Age]]&gt;40,"40-50",(IF(ifood_data[[#All],[Age]]&gt;30,"30-40","&lt;30")))))))</f>
        <v>40-50</v>
      </c>
      <c r="AX987">
        <f t="shared" si="60"/>
        <v>30</v>
      </c>
      <c r="AY987">
        <f t="shared" si="61"/>
        <v>7</v>
      </c>
      <c r="AZ987">
        <f t="shared" si="62"/>
        <v>8</v>
      </c>
      <c r="BA987">
        <f t="shared" si="63"/>
        <v>5</v>
      </c>
      <c r="BB987">
        <f>SUM(ifood_data[[#This Row],[Recency Score]:[Monetary Score]])</f>
        <v>20</v>
      </c>
      <c r="BC987">
        <f>(_xlfn.PERCENTRANK.INC(ifood_data[[#All],[RFM]],ifood_data[[#This Row],[RFM]],1))*10</f>
        <v>7</v>
      </c>
      <c r="BD987" t="str">
        <f>VLOOKUP(ifood_data[[#This Row],[RFM Score]],'RFM Analysis'!$A$3:$B$14,2,FALSE)</f>
        <v>Loyal Customer</v>
      </c>
      <c r="BE987">
        <f>'Regression Models'!$B$101+'Regression Models'!$B$102*ifood_data[[#This Row],[Income]]+'Regression Models'!$B$103*ifood_data[[#This Row],[Age]]+'Regression Models'!$B$104*ifood_data[[#This Row],[Family]]</f>
        <v>519.39284476691535</v>
      </c>
      <c r="BF987" t="str">
        <f>IF(ifood_data[[#This Row],[AcceptedCmpOverall]]=1,"Campaign Respondent","Non-respondent")</f>
        <v>Non-respondent</v>
      </c>
    </row>
    <row r="988" spans="1:58" x14ac:dyDescent="0.35">
      <c r="A988">
        <v>1477</v>
      </c>
      <c r="B988">
        <v>53843</v>
      </c>
      <c r="C988">
        <v>0</v>
      </c>
      <c r="D988">
        <v>1</v>
      </c>
      <c r="E988">
        <v>64</v>
      </c>
      <c r="F988">
        <v>378</v>
      </c>
      <c r="G988">
        <v>0</v>
      </c>
      <c r="H988">
        <v>88</v>
      </c>
      <c r="I988">
        <v>19</v>
      </c>
      <c r="J988">
        <v>4</v>
      </c>
      <c r="K988">
        <v>73</v>
      </c>
      <c r="L988">
        <v>4</v>
      </c>
      <c r="M988">
        <v>8</v>
      </c>
      <c r="N988">
        <v>5</v>
      </c>
      <c r="O988">
        <v>3</v>
      </c>
      <c r="P988">
        <v>7</v>
      </c>
      <c r="Q988">
        <v>0</v>
      </c>
      <c r="R988">
        <v>0</v>
      </c>
      <c r="S988">
        <v>0</v>
      </c>
      <c r="T988">
        <v>0</v>
      </c>
      <c r="U988">
        <v>0</v>
      </c>
      <c r="V988">
        <f>IF(SUM(ifood_data[[#This Row],[AcceptedCmp1]:[AcceptedCmp5]])&gt;0,1,0)</f>
        <v>0</v>
      </c>
      <c r="W988">
        <v>0</v>
      </c>
      <c r="X988">
        <v>3</v>
      </c>
      <c r="Y988">
        <v>11</v>
      </c>
      <c r="Z988">
        <v>0</v>
      </c>
      <c r="AA988">
        <v>55</v>
      </c>
      <c r="AB988">
        <v>2526</v>
      </c>
      <c r="AC988" s="28">
        <f>ifood_data[[#This Row],[Customer_Days]]/365</f>
        <v>6.9205479452054792</v>
      </c>
      <c r="AD988">
        <v>0</v>
      </c>
      <c r="AE988">
        <v>1</v>
      </c>
      <c r="AF988">
        <v>0</v>
      </c>
      <c r="AG988">
        <v>0</v>
      </c>
      <c r="AH988">
        <v>0</v>
      </c>
      <c r="AI988">
        <v>0</v>
      </c>
      <c r="AJ988">
        <v>0</v>
      </c>
      <c r="AK988">
        <v>0</v>
      </c>
      <c r="AL988">
        <v>1</v>
      </c>
      <c r="AM988">
        <v>0</v>
      </c>
      <c r="AN988">
        <v>489</v>
      </c>
      <c r="AO988">
        <v>416</v>
      </c>
      <c r="AP988">
        <f>ifood_data[[#This Row],[MntTotal]]-ifood_data[[#This Row],[MntRegularProds]]</f>
        <v>73</v>
      </c>
      <c r="AQ988">
        <v>0</v>
      </c>
      <c r="AR988">
        <f>IF(SUM(ifood_data[[#This Row],[Kidhome]:[Teenhome]])&gt;0,1,0)</f>
        <v>1</v>
      </c>
      <c r="AS988" t="str">
        <f>IF(SUM(ifood_data[[#This Row],[Kidhome]:[Teenhome]])&gt;0,"Has Family","No Family")</f>
        <v>Has Family</v>
      </c>
      <c r="AT988" t="str">
        <f>IF(ifood_data[[#This Row],[marital_Married]]=1,"Married", (IF(ifood_data[[#This Row],[marital_Single]]=1,"Single",(IF(ifood_data[[#This Row],[marital_Divorced]]=1,"Divorced",(IF(ifood_data[[#This Row],[marital_Together]]=1,"Living Together",(IF(ifood_data[[#This Row],[marital_Widow]]=1,"Widow","Other")))))))))</f>
        <v>Married</v>
      </c>
      <c r="AU988" t="str">
        <f>IF(ifood_data[[#This Row],[education_Basic]]=1,"High School",(IF(ifood_data[[#This Row],[education_Graduation]]=1,"Undergraduate Degree",(IF(SUM(AM988,AL988,AI988)&gt;0,"Master's Degree or Higher","Other")))))</f>
        <v>Master's Degree or Higher</v>
      </c>
      <c r="AV988" t="str">
        <f>IF(ifood_data[[#All],[Income]]&gt;75000,"75K+",(IF(ifood_data[[#All],[Income]]&gt;50000,"50K-75K",(IF(ifood_data[[#All],[Income]]&gt;35000,"35K-50K","&lt;35K")))))</f>
        <v>50K-75K</v>
      </c>
      <c r="AW988" t="str">
        <f>IF(ifood_data[[#All],[Age]]&gt;60,"60+",(IF(ifood_data[[#All],[Age]]&gt;50,"50-60",(IF(ifood_data[[#All],[Age]]&gt;40,"40-50",(IF(ifood_data[[#All],[Age]]&gt;30,"30-40","&lt;30")))))))</f>
        <v>50-60</v>
      </c>
      <c r="AX988">
        <f t="shared" si="60"/>
        <v>27</v>
      </c>
      <c r="AY988">
        <f t="shared" si="61"/>
        <v>4</v>
      </c>
      <c r="AZ988">
        <f t="shared" si="62"/>
        <v>7</v>
      </c>
      <c r="BA988">
        <f t="shared" si="63"/>
        <v>5</v>
      </c>
      <c r="BB988">
        <f>SUM(ifood_data[[#This Row],[Recency Score]:[Monetary Score]])</f>
        <v>16</v>
      </c>
      <c r="BC988">
        <f>(_xlfn.PERCENTRANK.INC(ifood_data[[#All],[RFM]],ifood_data[[#This Row],[RFM]],1))*10</f>
        <v>5</v>
      </c>
      <c r="BD988" t="str">
        <f>VLOOKUP(ifood_data[[#This Row],[RFM Score]],'RFM Analysis'!$A$3:$B$14,2,FALSE)</f>
        <v>Promising</v>
      </c>
      <c r="BE988">
        <f>'Regression Models'!$B$101+'Regression Models'!$B$102*ifood_data[[#This Row],[Income]]+'Regression Models'!$B$103*ifood_data[[#This Row],[Age]]+'Regression Models'!$B$104*ifood_data[[#This Row],[Family]]</f>
        <v>519.35940648528106</v>
      </c>
      <c r="BF988" t="str">
        <f>IF(ifood_data[[#This Row],[AcceptedCmpOverall]]=1,"Campaign Respondent","Non-respondent")</f>
        <v>Non-respondent</v>
      </c>
    </row>
    <row r="989" spans="1:58" x14ac:dyDescent="0.35">
      <c r="A989">
        <v>553</v>
      </c>
      <c r="B989">
        <v>54603</v>
      </c>
      <c r="C989">
        <v>1</v>
      </c>
      <c r="D989">
        <v>1</v>
      </c>
      <c r="E989">
        <v>85</v>
      </c>
      <c r="F989">
        <v>145</v>
      </c>
      <c r="G989">
        <v>13</v>
      </c>
      <c r="H989">
        <v>46</v>
      </c>
      <c r="I989">
        <v>17</v>
      </c>
      <c r="J989">
        <v>2</v>
      </c>
      <c r="K989">
        <v>4</v>
      </c>
      <c r="L989">
        <v>6</v>
      </c>
      <c r="M989">
        <v>4</v>
      </c>
      <c r="N989">
        <v>2</v>
      </c>
      <c r="O989">
        <v>4</v>
      </c>
      <c r="P989">
        <v>7</v>
      </c>
      <c r="Q989">
        <v>0</v>
      </c>
      <c r="R989">
        <v>0</v>
      </c>
      <c r="S989">
        <v>0</v>
      </c>
      <c r="T989">
        <v>0</v>
      </c>
      <c r="U989">
        <v>0</v>
      </c>
      <c r="V989">
        <f>IF(SUM(ifood_data[[#This Row],[AcceptedCmp1]:[AcceptedCmp5]])&gt;0,1,0)</f>
        <v>0</v>
      </c>
      <c r="W989">
        <v>0</v>
      </c>
      <c r="X989">
        <v>3</v>
      </c>
      <c r="Y989">
        <v>11</v>
      </c>
      <c r="Z989">
        <v>0</v>
      </c>
      <c r="AA989">
        <v>64</v>
      </c>
      <c r="AB989">
        <v>2514</v>
      </c>
      <c r="AC989" s="28">
        <f>ifood_data[[#This Row],[Customer_Days]]/365</f>
        <v>6.8876712328767127</v>
      </c>
      <c r="AD989">
        <v>0</v>
      </c>
      <c r="AE989">
        <v>0</v>
      </c>
      <c r="AF989">
        <v>0</v>
      </c>
      <c r="AG989">
        <v>1</v>
      </c>
      <c r="AH989">
        <v>0</v>
      </c>
      <c r="AI989">
        <v>0</v>
      </c>
      <c r="AJ989">
        <v>0</v>
      </c>
      <c r="AK989">
        <v>0</v>
      </c>
      <c r="AL989">
        <v>1</v>
      </c>
      <c r="AM989">
        <v>0</v>
      </c>
      <c r="AN989">
        <v>223</v>
      </c>
      <c r="AO989">
        <v>219</v>
      </c>
      <c r="AP989">
        <f>ifood_data[[#This Row],[MntTotal]]-ifood_data[[#This Row],[MntRegularProds]]</f>
        <v>4</v>
      </c>
      <c r="AQ989">
        <v>0</v>
      </c>
      <c r="AR989">
        <f>IF(SUM(ifood_data[[#This Row],[Kidhome]:[Teenhome]])&gt;0,1,0)</f>
        <v>1</v>
      </c>
      <c r="AS989" t="str">
        <f>IF(SUM(ifood_data[[#This Row],[Kidhome]:[Teenhome]])&gt;0,"Has Family","No Family")</f>
        <v>Has Family</v>
      </c>
      <c r="AT989" t="str">
        <f>IF(ifood_data[[#This Row],[marital_Married]]=1,"Married", (IF(ifood_data[[#This Row],[marital_Single]]=1,"Single",(IF(ifood_data[[#This Row],[marital_Divorced]]=1,"Divorced",(IF(ifood_data[[#This Row],[marital_Together]]=1,"Living Together",(IF(ifood_data[[#This Row],[marital_Widow]]=1,"Widow","Other")))))))))</f>
        <v>Living Together</v>
      </c>
      <c r="AU989" t="str">
        <f>IF(ifood_data[[#This Row],[education_Basic]]=1,"High School",(IF(ifood_data[[#This Row],[education_Graduation]]=1,"Undergraduate Degree",(IF(SUM(AM989,AL989,AI989)&gt;0,"Master's Degree or Higher","Other")))))</f>
        <v>Master's Degree or Higher</v>
      </c>
      <c r="AV989" t="str">
        <f>IF(ifood_data[[#All],[Income]]&gt;75000,"75K+",(IF(ifood_data[[#All],[Income]]&gt;50000,"50K-75K",(IF(ifood_data[[#All],[Income]]&gt;35000,"35K-50K","&lt;35K")))))</f>
        <v>50K-75K</v>
      </c>
      <c r="AW989" t="str">
        <f>IF(ifood_data[[#All],[Age]]&gt;60,"60+",(IF(ifood_data[[#All],[Age]]&gt;50,"50-60",(IF(ifood_data[[#All],[Age]]&gt;40,"40-50",(IF(ifood_data[[#All],[Age]]&gt;30,"30-40","&lt;30")))))))</f>
        <v>60+</v>
      </c>
      <c r="AX989">
        <f t="shared" si="60"/>
        <v>23</v>
      </c>
      <c r="AY989">
        <f t="shared" si="61"/>
        <v>1.9999999999999996</v>
      </c>
      <c r="AZ989">
        <f t="shared" si="62"/>
        <v>6</v>
      </c>
      <c r="BA989">
        <f t="shared" si="63"/>
        <v>4</v>
      </c>
      <c r="BB989">
        <f>SUM(ifood_data[[#This Row],[Recency Score]:[Monetary Score]])</f>
        <v>12</v>
      </c>
      <c r="BC989">
        <f>(_xlfn.PERCENTRANK.INC(ifood_data[[#All],[RFM]],ifood_data[[#This Row],[RFM]],1))*10</f>
        <v>3</v>
      </c>
      <c r="BD989" t="str">
        <f>VLOOKUP(ifood_data[[#This Row],[RFM Score]],'RFM Analysis'!$A$3:$B$14,2,FALSE)</f>
        <v>At Risk</v>
      </c>
      <c r="BE989">
        <f>'Regression Models'!$B$101+'Regression Models'!$B$102*ifood_data[[#This Row],[Income]]+'Regression Models'!$B$103*ifood_data[[#This Row],[Age]]+'Regression Models'!$B$104*ifood_data[[#This Row],[Family]]</f>
        <v>518.32691856459576</v>
      </c>
      <c r="BF989" t="str">
        <f>IF(ifood_data[[#This Row],[AcceptedCmpOverall]]=1,"Campaign Respondent","Non-respondent")</f>
        <v>Non-respondent</v>
      </c>
    </row>
    <row r="990" spans="1:58" x14ac:dyDescent="0.35">
      <c r="A990">
        <v>1090</v>
      </c>
      <c r="B990">
        <v>54197</v>
      </c>
      <c r="C990">
        <v>0</v>
      </c>
      <c r="D990">
        <v>1</v>
      </c>
      <c r="E990">
        <v>16</v>
      </c>
      <c r="F990">
        <v>162</v>
      </c>
      <c r="G990">
        <v>6</v>
      </c>
      <c r="H990">
        <v>37</v>
      </c>
      <c r="I990">
        <v>6</v>
      </c>
      <c r="J990">
        <v>13</v>
      </c>
      <c r="K990">
        <v>13</v>
      </c>
      <c r="L990">
        <v>2</v>
      </c>
      <c r="M990">
        <v>1</v>
      </c>
      <c r="N990">
        <v>3</v>
      </c>
      <c r="O990">
        <v>6</v>
      </c>
      <c r="P990">
        <v>1</v>
      </c>
      <c r="Q990">
        <v>0</v>
      </c>
      <c r="R990">
        <v>0</v>
      </c>
      <c r="S990">
        <v>0</v>
      </c>
      <c r="T990">
        <v>0</v>
      </c>
      <c r="U990">
        <v>0</v>
      </c>
      <c r="V990">
        <f>IF(SUM(ifood_data[[#This Row],[AcceptedCmp1]:[AcceptedCmp5]])&gt;0,1,0)</f>
        <v>0</v>
      </c>
      <c r="W990">
        <v>0</v>
      </c>
      <c r="X990">
        <v>3</v>
      </c>
      <c r="Y990">
        <v>11</v>
      </c>
      <c r="Z990">
        <v>0</v>
      </c>
      <c r="AA990">
        <v>60</v>
      </c>
      <c r="AB990">
        <v>2246</v>
      </c>
      <c r="AC990" s="28">
        <f>ifood_data[[#This Row],[Customer_Days]]/365</f>
        <v>6.1534246575342468</v>
      </c>
      <c r="AD990">
        <v>0</v>
      </c>
      <c r="AE990">
        <v>1</v>
      </c>
      <c r="AF990">
        <v>0</v>
      </c>
      <c r="AG990">
        <v>0</v>
      </c>
      <c r="AH990">
        <v>0</v>
      </c>
      <c r="AI990">
        <v>0</v>
      </c>
      <c r="AJ990">
        <v>0</v>
      </c>
      <c r="AK990">
        <v>0</v>
      </c>
      <c r="AL990">
        <v>1</v>
      </c>
      <c r="AM990">
        <v>0</v>
      </c>
      <c r="AN990">
        <v>224</v>
      </c>
      <c r="AO990">
        <v>211</v>
      </c>
      <c r="AP990">
        <f>ifood_data[[#This Row],[MntTotal]]-ifood_data[[#This Row],[MntRegularProds]]</f>
        <v>13</v>
      </c>
      <c r="AQ990">
        <v>0</v>
      </c>
      <c r="AR990">
        <f>IF(SUM(ifood_data[[#This Row],[Kidhome]:[Teenhome]])&gt;0,1,0)</f>
        <v>1</v>
      </c>
      <c r="AS990" t="str">
        <f>IF(SUM(ifood_data[[#This Row],[Kidhome]:[Teenhome]])&gt;0,"Has Family","No Family")</f>
        <v>Has Family</v>
      </c>
      <c r="AT990" t="str">
        <f>IF(ifood_data[[#This Row],[marital_Married]]=1,"Married", (IF(ifood_data[[#This Row],[marital_Single]]=1,"Single",(IF(ifood_data[[#This Row],[marital_Divorced]]=1,"Divorced",(IF(ifood_data[[#This Row],[marital_Together]]=1,"Living Together",(IF(ifood_data[[#This Row],[marital_Widow]]=1,"Widow","Other")))))))))</f>
        <v>Married</v>
      </c>
      <c r="AU990" t="str">
        <f>IF(ifood_data[[#This Row],[education_Basic]]=1,"High School",(IF(ifood_data[[#This Row],[education_Graduation]]=1,"Undergraduate Degree",(IF(SUM(AM990,AL990,AI990)&gt;0,"Master's Degree or Higher","Other")))))</f>
        <v>Master's Degree or Higher</v>
      </c>
      <c r="AV990" t="str">
        <f>IF(ifood_data[[#All],[Income]]&gt;75000,"75K+",(IF(ifood_data[[#All],[Income]]&gt;50000,"50K-75K",(IF(ifood_data[[#All],[Income]]&gt;35000,"35K-50K","&lt;35K")))))</f>
        <v>50K-75K</v>
      </c>
      <c r="AW990" t="str">
        <f>IF(ifood_data[[#All],[Age]]&gt;60,"60+",(IF(ifood_data[[#All],[Age]]&gt;50,"50-60",(IF(ifood_data[[#All],[Age]]&gt;40,"40-50",(IF(ifood_data[[#All],[Age]]&gt;30,"30-40","&lt;30")))))))</f>
        <v>50-60</v>
      </c>
      <c r="AX990">
        <f t="shared" si="60"/>
        <v>13</v>
      </c>
      <c r="AY990">
        <f t="shared" si="61"/>
        <v>9</v>
      </c>
      <c r="AZ990">
        <f t="shared" si="62"/>
        <v>1</v>
      </c>
      <c r="BA990">
        <f t="shared" si="63"/>
        <v>4</v>
      </c>
      <c r="BB990">
        <f>SUM(ifood_data[[#This Row],[Recency Score]:[Monetary Score]])</f>
        <v>14</v>
      </c>
      <c r="BC990">
        <f>(_xlfn.PERCENTRANK.INC(ifood_data[[#All],[RFM]],ifood_data[[#This Row],[RFM]],1))*10</f>
        <v>4</v>
      </c>
      <c r="BD990" t="str">
        <f>VLOOKUP(ifood_data[[#This Row],[RFM Score]],'RFM Analysis'!$A$3:$B$14,2,FALSE)</f>
        <v>At Risk</v>
      </c>
      <c r="BE990">
        <f>'Regression Models'!$B$101+'Regression Models'!$B$102*ifood_data[[#This Row],[Income]]+'Regression Models'!$B$103*ifood_data[[#This Row],[Age]]+'Regression Models'!$B$104*ifood_data[[#This Row],[Family]]</f>
        <v>517.39483501374991</v>
      </c>
      <c r="BF990" t="str">
        <f>IF(ifood_data[[#This Row],[AcceptedCmpOverall]]=1,"Campaign Respondent","Non-respondent")</f>
        <v>Non-respondent</v>
      </c>
    </row>
    <row r="991" spans="1:58" x14ac:dyDescent="0.35">
      <c r="A991">
        <v>1391</v>
      </c>
      <c r="B991">
        <v>53374</v>
      </c>
      <c r="C991">
        <v>0</v>
      </c>
      <c r="D991">
        <v>1</v>
      </c>
      <c r="E991">
        <v>34</v>
      </c>
      <c r="F991">
        <v>896</v>
      </c>
      <c r="G991">
        <v>10</v>
      </c>
      <c r="H991">
        <v>101</v>
      </c>
      <c r="I991">
        <v>13</v>
      </c>
      <c r="J991">
        <v>10</v>
      </c>
      <c r="K991">
        <v>34</v>
      </c>
      <c r="L991">
        <v>6</v>
      </c>
      <c r="M991">
        <v>4</v>
      </c>
      <c r="N991">
        <v>2</v>
      </c>
      <c r="O991">
        <v>9</v>
      </c>
      <c r="P991">
        <v>9</v>
      </c>
      <c r="Q991">
        <v>0</v>
      </c>
      <c r="R991">
        <v>0</v>
      </c>
      <c r="S991">
        <v>1</v>
      </c>
      <c r="T991">
        <v>0</v>
      </c>
      <c r="U991">
        <v>0</v>
      </c>
      <c r="V991">
        <f>IF(SUM(ifood_data[[#This Row],[AcceptedCmp1]:[AcceptedCmp5]])&gt;0,1,0)</f>
        <v>1</v>
      </c>
      <c r="W991">
        <v>0</v>
      </c>
      <c r="X991">
        <v>3</v>
      </c>
      <c r="Y991">
        <v>11</v>
      </c>
      <c r="Z991">
        <v>1</v>
      </c>
      <c r="AA991">
        <v>51</v>
      </c>
      <c r="AB991">
        <v>2841</v>
      </c>
      <c r="AC991" s="28">
        <f>ifood_data[[#This Row],[Customer_Days]]/365</f>
        <v>7.7835616438356166</v>
      </c>
      <c r="AD991">
        <v>0</v>
      </c>
      <c r="AE991">
        <v>0</v>
      </c>
      <c r="AF991">
        <v>0</v>
      </c>
      <c r="AG991">
        <v>1</v>
      </c>
      <c r="AH991">
        <v>0</v>
      </c>
      <c r="AI991">
        <v>0</v>
      </c>
      <c r="AJ991">
        <v>0</v>
      </c>
      <c r="AK991">
        <v>0</v>
      </c>
      <c r="AL991">
        <v>0</v>
      </c>
      <c r="AM991">
        <v>1</v>
      </c>
      <c r="AN991">
        <v>1030</v>
      </c>
      <c r="AO991">
        <v>996</v>
      </c>
      <c r="AP991">
        <f>ifood_data[[#This Row],[MntTotal]]-ifood_data[[#This Row],[MntRegularProds]]</f>
        <v>34</v>
      </c>
      <c r="AQ991">
        <v>1</v>
      </c>
      <c r="AR991">
        <f>IF(SUM(ifood_data[[#This Row],[Kidhome]:[Teenhome]])&gt;0,1,0)</f>
        <v>1</v>
      </c>
      <c r="AS991" t="str">
        <f>IF(SUM(ifood_data[[#This Row],[Kidhome]:[Teenhome]])&gt;0,"Has Family","No Family")</f>
        <v>Has Family</v>
      </c>
      <c r="AT991" t="str">
        <f>IF(ifood_data[[#This Row],[marital_Married]]=1,"Married", (IF(ifood_data[[#This Row],[marital_Single]]=1,"Single",(IF(ifood_data[[#This Row],[marital_Divorced]]=1,"Divorced",(IF(ifood_data[[#This Row],[marital_Together]]=1,"Living Together",(IF(ifood_data[[#This Row],[marital_Widow]]=1,"Widow","Other")))))))))</f>
        <v>Living Together</v>
      </c>
      <c r="AU991" t="str">
        <f>IF(ifood_data[[#This Row],[education_Basic]]=1,"High School",(IF(ifood_data[[#This Row],[education_Graduation]]=1,"Undergraduate Degree",(IF(SUM(AM991,AL991,AI991)&gt;0,"Master's Degree or Higher","Other")))))</f>
        <v>Master's Degree or Higher</v>
      </c>
      <c r="AV991" t="str">
        <f>IF(ifood_data[[#All],[Income]]&gt;75000,"75K+",(IF(ifood_data[[#All],[Income]]&gt;50000,"50K-75K",(IF(ifood_data[[#All],[Income]]&gt;35000,"35K-50K","&lt;35K")))))</f>
        <v>50K-75K</v>
      </c>
      <c r="AW991" t="str">
        <f>IF(ifood_data[[#All],[Age]]&gt;60,"60+",(IF(ifood_data[[#All],[Age]]&gt;50,"50-60",(IF(ifood_data[[#All],[Age]]&gt;40,"40-50",(IF(ifood_data[[#All],[Age]]&gt;30,"30-40","&lt;30")))))))</f>
        <v>50-60</v>
      </c>
      <c r="AX991">
        <f t="shared" si="60"/>
        <v>30</v>
      </c>
      <c r="AY991">
        <f t="shared" si="61"/>
        <v>7</v>
      </c>
      <c r="AZ991">
        <f t="shared" si="62"/>
        <v>8</v>
      </c>
      <c r="BA991">
        <f t="shared" si="63"/>
        <v>7</v>
      </c>
      <c r="BB991">
        <f>SUM(ifood_data[[#This Row],[Recency Score]:[Monetary Score]])</f>
        <v>22</v>
      </c>
      <c r="BC991">
        <f>(_xlfn.PERCENTRANK.INC(ifood_data[[#All],[RFM]],ifood_data[[#This Row],[RFM]],1))*10</f>
        <v>8</v>
      </c>
      <c r="BD991" t="str">
        <f>VLOOKUP(ifood_data[[#This Row],[RFM Score]],'RFM Analysis'!$A$3:$B$14,2,FALSE)</f>
        <v>Loyal Customer</v>
      </c>
      <c r="BE991">
        <f>'Regression Models'!$B$101+'Regression Models'!$B$102*ifood_data[[#This Row],[Income]]+'Regression Models'!$B$103*ifood_data[[#This Row],[Age]]+'Regression Models'!$B$104*ifood_data[[#This Row],[Family]]</f>
        <v>517.14283054136956</v>
      </c>
      <c r="BF991" t="str">
        <f>IF(ifood_data[[#This Row],[AcceptedCmpOverall]]=1,"Campaign Respondent","Non-respondent")</f>
        <v>Campaign Respondent</v>
      </c>
    </row>
    <row r="992" spans="1:58" x14ac:dyDescent="0.35">
      <c r="A992">
        <v>1083</v>
      </c>
      <c r="B992">
        <v>54450</v>
      </c>
      <c r="C992">
        <v>1</v>
      </c>
      <c r="D992">
        <v>1</v>
      </c>
      <c r="E992">
        <v>0</v>
      </c>
      <c r="F992">
        <v>454</v>
      </c>
      <c r="G992">
        <v>0</v>
      </c>
      <c r="H992">
        <v>171</v>
      </c>
      <c r="I992">
        <v>8</v>
      </c>
      <c r="J992">
        <v>19</v>
      </c>
      <c r="K992">
        <v>32</v>
      </c>
      <c r="L992">
        <v>12</v>
      </c>
      <c r="M992">
        <v>9</v>
      </c>
      <c r="N992">
        <v>2</v>
      </c>
      <c r="O992">
        <v>8</v>
      </c>
      <c r="P992">
        <v>8</v>
      </c>
      <c r="Q992">
        <v>0</v>
      </c>
      <c r="R992">
        <v>0</v>
      </c>
      <c r="S992">
        <v>0</v>
      </c>
      <c r="T992">
        <v>0</v>
      </c>
      <c r="U992">
        <v>0</v>
      </c>
      <c r="V992">
        <f>IF(SUM(ifood_data[[#This Row],[AcceptedCmp1]:[AcceptedCmp5]])&gt;0,1,0)</f>
        <v>0</v>
      </c>
      <c r="W992">
        <v>0</v>
      </c>
      <c r="X992">
        <v>3</v>
      </c>
      <c r="Y992">
        <v>11</v>
      </c>
      <c r="Z992">
        <v>0</v>
      </c>
      <c r="AA992">
        <v>64</v>
      </c>
      <c r="AB992">
        <v>2812</v>
      </c>
      <c r="AC992" s="28">
        <f>ifood_data[[#This Row],[Customer_Days]]/365</f>
        <v>7.7041095890410958</v>
      </c>
      <c r="AD992">
        <v>0</v>
      </c>
      <c r="AE992">
        <v>0</v>
      </c>
      <c r="AF992">
        <v>0</v>
      </c>
      <c r="AG992">
        <v>1</v>
      </c>
      <c r="AH992">
        <v>0</v>
      </c>
      <c r="AI992">
        <v>0</v>
      </c>
      <c r="AJ992">
        <v>0</v>
      </c>
      <c r="AK992">
        <v>1</v>
      </c>
      <c r="AL992">
        <v>0</v>
      </c>
      <c r="AM992">
        <v>0</v>
      </c>
      <c r="AN992">
        <v>652</v>
      </c>
      <c r="AO992">
        <v>620</v>
      </c>
      <c r="AP992">
        <f>ifood_data[[#This Row],[MntTotal]]-ifood_data[[#This Row],[MntRegularProds]]</f>
        <v>32</v>
      </c>
      <c r="AQ992">
        <v>0</v>
      </c>
      <c r="AR992">
        <f>IF(SUM(ifood_data[[#This Row],[Kidhome]:[Teenhome]])&gt;0,1,0)</f>
        <v>1</v>
      </c>
      <c r="AS992" t="str">
        <f>IF(SUM(ifood_data[[#This Row],[Kidhome]:[Teenhome]])&gt;0,"Has Family","No Family")</f>
        <v>Has Family</v>
      </c>
      <c r="AT992" t="str">
        <f>IF(ifood_data[[#This Row],[marital_Married]]=1,"Married", (IF(ifood_data[[#This Row],[marital_Single]]=1,"Single",(IF(ifood_data[[#This Row],[marital_Divorced]]=1,"Divorced",(IF(ifood_data[[#This Row],[marital_Together]]=1,"Living Together",(IF(ifood_data[[#This Row],[marital_Widow]]=1,"Widow","Other")))))))))</f>
        <v>Living Together</v>
      </c>
      <c r="AU992" t="str">
        <f>IF(ifood_data[[#This Row],[education_Basic]]=1,"High School",(IF(ifood_data[[#This Row],[education_Graduation]]=1,"Undergraduate Degree",(IF(SUM(AM992,AL992,AI992)&gt;0,"Master's Degree or Higher","Other")))))</f>
        <v>Undergraduate Degree</v>
      </c>
      <c r="AV992" t="str">
        <f>IF(ifood_data[[#All],[Income]]&gt;75000,"75K+",(IF(ifood_data[[#All],[Income]]&gt;50000,"50K-75K",(IF(ifood_data[[#All],[Income]]&gt;35000,"35K-50K","&lt;35K")))))</f>
        <v>50K-75K</v>
      </c>
      <c r="AW992" t="str">
        <f>IF(ifood_data[[#All],[Age]]&gt;60,"60+",(IF(ifood_data[[#All],[Age]]&gt;50,"50-60",(IF(ifood_data[[#All],[Age]]&gt;40,"40-50",(IF(ifood_data[[#All],[Age]]&gt;30,"30-40","&lt;30")))))))</f>
        <v>60+</v>
      </c>
      <c r="AX992">
        <f t="shared" si="60"/>
        <v>39</v>
      </c>
      <c r="AY992">
        <f t="shared" si="61"/>
        <v>10</v>
      </c>
      <c r="AZ992">
        <f t="shared" si="62"/>
        <v>9</v>
      </c>
      <c r="BA992">
        <f t="shared" si="63"/>
        <v>6</v>
      </c>
      <c r="BB992">
        <f>SUM(ifood_data[[#This Row],[Recency Score]:[Monetary Score]])</f>
        <v>25</v>
      </c>
      <c r="BC992">
        <f>(_xlfn.PERCENTRANK.INC(ifood_data[[#All],[RFM]],ifood_data[[#This Row],[RFM]],1))*10</f>
        <v>9</v>
      </c>
      <c r="BD992" t="str">
        <f>VLOOKUP(ifood_data[[#This Row],[RFM Score]],'RFM Analysis'!$A$3:$B$14,2,FALSE)</f>
        <v>Top Customer</v>
      </c>
      <c r="BE992">
        <f>'Regression Models'!$B$101+'Regression Models'!$B$102*ifood_data[[#This Row],[Income]]+'Regression Models'!$B$103*ifood_data[[#This Row],[Age]]+'Regression Models'!$B$104*ifood_data[[#This Row],[Family]]</f>
        <v>515.20743703857909</v>
      </c>
      <c r="BF992" t="str">
        <f>IF(ifood_data[[#This Row],[AcceptedCmpOverall]]=1,"Campaign Respondent","Non-respondent")</f>
        <v>Non-respondent</v>
      </c>
    </row>
    <row r="993" spans="1:58" x14ac:dyDescent="0.35">
      <c r="A993">
        <v>1043</v>
      </c>
      <c r="B993">
        <v>53187</v>
      </c>
      <c r="C993">
        <v>1</v>
      </c>
      <c r="D993">
        <v>0</v>
      </c>
      <c r="E993">
        <v>66</v>
      </c>
      <c r="F993">
        <v>211</v>
      </c>
      <c r="G993">
        <v>2</v>
      </c>
      <c r="H993">
        <v>30</v>
      </c>
      <c r="I993">
        <v>7</v>
      </c>
      <c r="J993">
        <v>7</v>
      </c>
      <c r="K993">
        <v>10</v>
      </c>
      <c r="L993">
        <v>2</v>
      </c>
      <c r="M993">
        <v>4</v>
      </c>
      <c r="N993">
        <v>1</v>
      </c>
      <c r="O993">
        <v>6</v>
      </c>
      <c r="P993">
        <v>5</v>
      </c>
      <c r="Q993">
        <v>0</v>
      </c>
      <c r="R993">
        <v>0</v>
      </c>
      <c r="S993">
        <v>0</v>
      </c>
      <c r="T993">
        <v>0</v>
      </c>
      <c r="U993">
        <v>0</v>
      </c>
      <c r="V993">
        <f>IF(SUM(ifood_data[[#This Row],[AcceptedCmp1]:[AcceptedCmp5]])&gt;0,1,0)</f>
        <v>0</v>
      </c>
      <c r="W993">
        <v>0</v>
      </c>
      <c r="X993">
        <v>3</v>
      </c>
      <c r="Y993">
        <v>11</v>
      </c>
      <c r="Z993">
        <v>0</v>
      </c>
      <c r="AA993">
        <v>50</v>
      </c>
      <c r="AB993">
        <v>2405</v>
      </c>
      <c r="AC993" s="28">
        <f>ifood_data[[#This Row],[Customer_Days]]/365</f>
        <v>6.5890410958904111</v>
      </c>
      <c r="AD993">
        <v>0</v>
      </c>
      <c r="AE993">
        <v>0</v>
      </c>
      <c r="AF993">
        <v>0</v>
      </c>
      <c r="AG993">
        <v>1</v>
      </c>
      <c r="AH993">
        <v>0</v>
      </c>
      <c r="AI993">
        <v>0</v>
      </c>
      <c r="AJ993">
        <v>0</v>
      </c>
      <c r="AK993">
        <v>1</v>
      </c>
      <c r="AL993">
        <v>0</v>
      </c>
      <c r="AM993">
        <v>0</v>
      </c>
      <c r="AN993">
        <v>257</v>
      </c>
      <c r="AO993">
        <v>247</v>
      </c>
      <c r="AP993">
        <f>ifood_data[[#This Row],[MntTotal]]-ifood_data[[#This Row],[MntRegularProds]]</f>
        <v>10</v>
      </c>
      <c r="AQ993">
        <v>0</v>
      </c>
      <c r="AR993">
        <f>IF(SUM(ifood_data[[#This Row],[Kidhome]:[Teenhome]])&gt;0,1,0)</f>
        <v>1</v>
      </c>
      <c r="AS993" t="str">
        <f>IF(SUM(ifood_data[[#This Row],[Kidhome]:[Teenhome]])&gt;0,"Has Family","No Family")</f>
        <v>Has Family</v>
      </c>
      <c r="AT993" t="str">
        <f>IF(ifood_data[[#This Row],[marital_Married]]=1,"Married", (IF(ifood_data[[#This Row],[marital_Single]]=1,"Single",(IF(ifood_data[[#This Row],[marital_Divorced]]=1,"Divorced",(IF(ifood_data[[#This Row],[marital_Together]]=1,"Living Together",(IF(ifood_data[[#This Row],[marital_Widow]]=1,"Widow","Other")))))))))</f>
        <v>Living Together</v>
      </c>
      <c r="AU993" t="str">
        <f>IF(ifood_data[[#This Row],[education_Basic]]=1,"High School",(IF(ifood_data[[#This Row],[education_Graduation]]=1,"Undergraduate Degree",(IF(SUM(AM993,AL993,AI993)&gt;0,"Master's Degree or Higher","Other")))))</f>
        <v>Undergraduate Degree</v>
      </c>
      <c r="AV993" t="str">
        <f>IF(ifood_data[[#All],[Income]]&gt;75000,"75K+",(IF(ifood_data[[#All],[Income]]&gt;50000,"50K-75K",(IF(ifood_data[[#All],[Income]]&gt;35000,"35K-50K","&lt;35K")))))</f>
        <v>50K-75K</v>
      </c>
      <c r="AW993" t="str">
        <f>IF(ifood_data[[#All],[Age]]&gt;60,"60+",(IF(ifood_data[[#All],[Age]]&gt;50,"50-60",(IF(ifood_data[[#All],[Age]]&gt;40,"40-50",(IF(ifood_data[[#All],[Age]]&gt;30,"30-40","&lt;30")))))))</f>
        <v>40-50</v>
      </c>
      <c r="AX993">
        <f t="shared" si="60"/>
        <v>18</v>
      </c>
      <c r="AY993">
        <f t="shared" si="61"/>
        <v>4</v>
      </c>
      <c r="AZ993">
        <f t="shared" si="62"/>
        <v>4</v>
      </c>
      <c r="BA993">
        <f t="shared" si="63"/>
        <v>4</v>
      </c>
      <c r="BB993">
        <f>SUM(ifood_data[[#This Row],[Recency Score]:[Monetary Score]])</f>
        <v>12</v>
      </c>
      <c r="BC993">
        <f>(_xlfn.PERCENTRANK.INC(ifood_data[[#All],[RFM]],ifood_data[[#This Row],[RFM]],1))*10</f>
        <v>3</v>
      </c>
      <c r="BD993" t="str">
        <f>VLOOKUP(ifood_data[[#This Row],[RFM Score]],'RFM Analysis'!$A$3:$B$14,2,FALSE)</f>
        <v>At Risk</v>
      </c>
      <c r="BE993">
        <f>'Regression Models'!$B$101+'Regression Models'!$B$102*ifood_data[[#This Row],[Income]]+'Regression Models'!$B$103*ifood_data[[#This Row],[Age]]+'Regression Models'!$B$104*ifood_data[[#This Row],[Family]]</f>
        <v>515.1665699773547</v>
      </c>
      <c r="BF993" t="str">
        <f>IF(ifood_data[[#This Row],[AcceptedCmpOverall]]=1,"Campaign Respondent","Non-respondent")</f>
        <v>Non-respondent</v>
      </c>
    </row>
    <row r="994" spans="1:58" x14ac:dyDescent="0.35">
      <c r="A994">
        <v>943</v>
      </c>
      <c r="B994">
        <v>52845</v>
      </c>
      <c r="C994">
        <v>1</v>
      </c>
      <c r="D994">
        <v>0</v>
      </c>
      <c r="E994">
        <v>7</v>
      </c>
      <c r="F994">
        <v>384</v>
      </c>
      <c r="G994">
        <v>25</v>
      </c>
      <c r="H994">
        <v>292</v>
      </c>
      <c r="I994">
        <v>130</v>
      </c>
      <c r="J994">
        <v>41</v>
      </c>
      <c r="K994">
        <v>64</v>
      </c>
      <c r="L994">
        <v>3</v>
      </c>
      <c r="M994">
        <v>8</v>
      </c>
      <c r="N994">
        <v>8</v>
      </c>
      <c r="O994">
        <v>6</v>
      </c>
      <c r="P994">
        <v>6</v>
      </c>
      <c r="Q994">
        <v>0</v>
      </c>
      <c r="R994">
        <v>0</v>
      </c>
      <c r="S994">
        <v>1</v>
      </c>
      <c r="T994">
        <v>0</v>
      </c>
      <c r="U994">
        <v>0</v>
      </c>
      <c r="V994">
        <f>IF(SUM(ifood_data[[#This Row],[AcceptedCmp1]:[AcceptedCmp5]])&gt;0,1,0)</f>
        <v>1</v>
      </c>
      <c r="W994">
        <v>0</v>
      </c>
      <c r="X994">
        <v>3</v>
      </c>
      <c r="Y994">
        <v>11</v>
      </c>
      <c r="Z994">
        <v>0</v>
      </c>
      <c r="AA994">
        <v>47</v>
      </c>
      <c r="AB994">
        <v>2479</v>
      </c>
      <c r="AC994" s="28">
        <f>ifood_data[[#This Row],[Customer_Days]]/365</f>
        <v>6.7917808219178086</v>
      </c>
      <c r="AD994">
        <v>0</v>
      </c>
      <c r="AE994">
        <v>1</v>
      </c>
      <c r="AF994">
        <v>0</v>
      </c>
      <c r="AG994">
        <v>0</v>
      </c>
      <c r="AH994">
        <v>0</v>
      </c>
      <c r="AI994">
        <v>0</v>
      </c>
      <c r="AJ994">
        <v>0</v>
      </c>
      <c r="AK994">
        <v>1</v>
      </c>
      <c r="AL994">
        <v>0</v>
      </c>
      <c r="AM994">
        <v>0</v>
      </c>
      <c r="AN994">
        <v>872</v>
      </c>
      <c r="AO994">
        <v>808</v>
      </c>
      <c r="AP994">
        <f>ifood_data[[#This Row],[MntTotal]]-ifood_data[[#This Row],[MntRegularProds]]</f>
        <v>64</v>
      </c>
      <c r="AQ994">
        <v>1</v>
      </c>
      <c r="AR994">
        <f>IF(SUM(ifood_data[[#This Row],[Kidhome]:[Teenhome]])&gt;0,1,0)</f>
        <v>1</v>
      </c>
      <c r="AS994" t="str">
        <f>IF(SUM(ifood_data[[#This Row],[Kidhome]:[Teenhome]])&gt;0,"Has Family","No Family")</f>
        <v>Has Family</v>
      </c>
      <c r="AT994" t="str">
        <f>IF(ifood_data[[#This Row],[marital_Married]]=1,"Married", (IF(ifood_data[[#This Row],[marital_Single]]=1,"Single",(IF(ifood_data[[#This Row],[marital_Divorced]]=1,"Divorced",(IF(ifood_data[[#This Row],[marital_Together]]=1,"Living Together",(IF(ifood_data[[#This Row],[marital_Widow]]=1,"Widow","Other")))))))))</f>
        <v>Married</v>
      </c>
      <c r="AU994" t="str">
        <f>IF(ifood_data[[#This Row],[education_Basic]]=1,"High School",(IF(ifood_data[[#This Row],[education_Graduation]]=1,"Undergraduate Degree",(IF(SUM(AM994,AL994,AI994)&gt;0,"Master's Degree or Higher","Other")))))</f>
        <v>Undergraduate Degree</v>
      </c>
      <c r="AV994" t="str">
        <f>IF(ifood_data[[#All],[Income]]&gt;75000,"75K+",(IF(ifood_data[[#All],[Income]]&gt;50000,"50K-75K",(IF(ifood_data[[#All],[Income]]&gt;35000,"35K-50K","&lt;35K")))))</f>
        <v>50K-75K</v>
      </c>
      <c r="AW994" t="str">
        <f>IF(ifood_data[[#All],[Age]]&gt;60,"60+",(IF(ifood_data[[#All],[Age]]&gt;50,"50-60",(IF(ifood_data[[#All],[Age]]&gt;40,"40-50",(IF(ifood_data[[#All],[Age]]&gt;30,"30-40","&lt;30")))))))</f>
        <v>40-50</v>
      </c>
      <c r="AX994">
        <f t="shared" si="60"/>
        <v>31</v>
      </c>
      <c r="AY994">
        <f t="shared" si="61"/>
        <v>10</v>
      </c>
      <c r="AZ994">
        <f t="shared" si="62"/>
        <v>9</v>
      </c>
      <c r="BA994">
        <f t="shared" si="63"/>
        <v>7</v>
      </c>
      <c r="BB994">
        <f>SUM(ifood_data[[#This Row],[Recency Score]:[Monetary Score]])</f>
        <v>26</v>
      </c>
      <c r="BC994">
        <f>(_xlfn.PERCENTRANK.INC(ifood_data[[#All],[RFM]],ifood_data[[#This Row],[RFM]],1))*10</f>
        <v>9</v>
      </c>
      <c r="BD994" t="str">
        <f>VLOOKUP(ifood_data[[#This Row],[RFM Score]],'RFM Analysis'!$A$3:$B$14,2,FALSE)</f>
        <v>Top Customer</v>
      </c>
      <c r="BE994">
        <f>'Regression Models'!$B$101+'Regression Models'!$B$102*ifood_data[[#This Row],[Income]]+'Regression Models'!$B$103*ifood_data[[#This Row],[Age]]+'Regression Models'!$B$104*ifood_data[[#This Row],[Family]]</f>
        <v>513.70292850882413</v>
      </c>
      <c r="BF994" t="str">
        <f>IF(ifood_data[[#This Row],[AcceptedCmpOverall]]=1,"Campaign Respondent","Non-respondent")</f>
        <v>Campaign Respondent</v>
      </c>
    </row>
    <row r="995" spans="1:58" x14ac:dyDescent="0.35">
      <c r="A995">
        <v>1296</v>
      </c>
      <c r="B995">
        <v>54342</v>
      </c>
      <c r="C995">
        <v>1</v>
      </c>
      <c r="D995">
        <v>1</v>
      </c>
      <c r="E995">
        <v>74</v>
      </c>
      <c r="F995">
        <v>84</v>
      </c>
      <c r="G995">
        <v>10</v>
      </c>
      <c r="H995">
        <v>34</v>
      </c>
      <c r="I995">
        <v>11</v>
      </c>
      <c r="J995">
        <v>10</v>
      </c>
      <c r="K995">
        <v>28</v>
      </c>
      <c r="L995">
        <v>4</v>
      </c>
      <c r="M995">
        <v>3</v>
      </c>
      <c r="N995">
        <v>1</v>
      </c>
      <c r="O995">
        <v>4</v>
      </c>
      <c r="P995">
        <v>6</v>
      </c>
      <c r="Q995">
        <v>0</v>
      </c>
      <c r="R995">
        <v>0</v>
      </c>
      <c r="S995">
        <v>0</v>
      </c>
      <c r="T995">
        <v>0</v>
      </c>
      <c r="U995">
        <v>0</v>
      </c>
      <c r="V995">
        <f>IF(SUM(ifood_data[[#This Row],[AcceptedCmp1]:[AcceptedCmp5]])&gt;0,1,0)</f>
        <v>0</v>
      </c>
      <c r="W995">
        <v>0</v>
      </c>
      <c r="X995">
        <v>3</v>
      </c>
      <c r="Y995">
        <v>11</v>
      </c>
      <c r="Z995">
        <v>0</v>
      </c>
      <c r="AA995">
        <v>64</v>
      </c>
      <c r="AB995">
        <v>2520</v>
      </c>
      <c r="AC995" s="28">
        <f>ifood_data[[#This Row],[Customer_Days]]/365</f>
        <v>6.904109589041096</v>
      </c>
      <c r="AD995">
        <v>0</v>
      </c>
      <c r="AE995">
        <v>0</v>
      </c>
      <c r="AF995">
        <v>0</v>
      </c>
      <c r="AG995">
        <v>1</v>
      </c>
      <c r="AH995">
        <v>0</v>
      </c>
      <c r="AI995">
        <v>1</v>
      </c>
      <c r="AJ995">
        <v>0</v>
      </c>
      <c r="AK995">
        <v>0</v>
      </c>
      <c r="AL995">
        <v>0</v>
      </c>
      <c r="AM995">
        <v>0</v>
      </c>
      <c r="AN995">
        <v>149</v>
      </c>
      <c r="AO995">
        <v>121</v>
      </c>
      <c r="AP995">
        <f>ifood_data[[#This Row],[MntTotal]]-ifood_data[[#This Row],[MntRegularProds]]</f>
        <v>28</v>
      </c>
      <c r="AQ995">
        <v>0</v>
      </c>
      <c r="AR995">
        <f>IF(SUM(ifood_data[[#This Row],[Kidhome]:[Teenhome]])&gt;0,1,0)</f>
        <v>1</v>
      </c>
      <c r="AS995" t="str">
        <f>IF(SUM(ifood_data[[#This Row],[Kidhome]:[Teenhome]])&gt;0,"Has Family","No Family")</f>
        <v>Has Family</v>
      </c>
      <c r="AT995" t="str">
        <f>IF(ifood_data[[#This Row],[marital_Married]]=1,"Married", (IF(ifood_data[[#This Row],[marital_Single]]=1,"Single",(IF(ifood_data[[#This Row],[marital_Divorced]]=1,"Divorced",(IF(ifood_data[[#This Row],[marital_Together]]=1,"Living Together",(IF(ifood_data[[#This Row],[marital_Widow]]=1,"Widow","Other")))))))))</f>
        <v>Living Together</v>
      </c>
      <c r="AU995" t="str">
        <f>IF(ifood_data[[#This Row],[education_Basic]]=1,"High School",(IF(ifood_data[[#This Row],[education_Graduation]]=1,"Undergraduate Degree",(IF(SUM(AM995,AL995,AI995)&gt;0,"Master's Degree or Higher","Other")))))</f>
        <v>Master's Degree or Higher</v>
      </c>
      <c r="AV995" t="str">
        <f>IF(ifood_data[[#All],[Income]]&gt;75000,"75K+",(IF(ifood_data[[#All],[Income]]&gt;50000,"50K-75K",(IF(ifood_data[[#All],[Income]]&gt;35000,"35K-50K","&lt;35K")))))</f>
        <v>50K-75K</v>
      </c>
      <c r="AW995" t="str">
        <f>IF(ifood_data[[#All],[Age]]&gt;60,"60+",(IF(ifood_data[[#All],[Age]]&gt;50,"50-60",(IF(ifood_data[[#All],[Age]]&gt;40,"40-50",(IF(ifood_data[[#All],[Age]]&gt;30,"30-40","&lt;30")))))))</f>
        <v>60+</v>
      </c>
      <c r="AX995">
        <f t="shared" si="60"/>
        <v>18</v>
      </c>
      <c r="AY995">
        <f t="shared" si="61"/>
        <v>3.0000000000000004</v>
      </c>
      <c r="AZ995">
        <f t="shared" si="62"/>
        <v>4</v>
      </c>
      <c r="BA995">
        <f t="shared" si="63"/>
        <v>3</v>
      </c>
      <c r="BB995">
        <f>SUM(ifood_data[[#This Row],[Recency Score]:[Monetary Score]])</f>
        <v>10</v>
      </c>
      <c r="BC995">
        <f>(_xlfn.PERCENTRANK.INC(ifood_data[[#All],[RFM]],ifood_data[[#This Row],[RFM]],1))*10</f>
        <v>2</v>
      </c>
      <c r="BD995" t="str">
        <f>VLOOKUP(ifood_data[[#This Row],[RFM Score]],'RFM Analysis'!$A$3:$B$14,2,FALSE)</f>
        <v>At Risk</v>
      </c>
      <c r="BE995">
        <f>'Regression Models'!$B$101+'Regression Models'!$B$102*ifood_data[[#This Row],[Income]]+'Regression Models'!$B$103*ifood_data[[#This Row],[Age]]+'Regression Models'!$B$104*ifood_data[[#This Row],[Family]]</f>
        <v>513.00545007903804</v>
      </c>
      <c r="BF995" t="str">
        <f>IF(ifood_data[[#This Row],[AcceptedCmpOverall]]=1,"Campaign Respondent","Non-respondent")</f>
        <v>Non-respondent</v>
      </c>
    </row>
    <row r="996" spans="1:58" x14ac:dyDescent="0.35">
      <c r="A996">
        <v>908</v>
      </c>
      <c r="B996">
        <v>54237</v>
      </c>
      <c r="C996">
        <v>0</v>
      </c>
      <c r="D996">
        <v>1</v>
      </c>
      <c r="E996">
        <v>48</v>
      </c>
      <c r="F996">
        <v>267</v>
      </c>
      <c r="G996">
        <v>3</v>
      </c>
      <c r="H996">
        <v>30</v>
      </c>
      <c r="I996">
        <v>4</v>
      </c>
      <c r="J996">
        <v>0</v>
      </c>
      <c r="K996">
        <v>57</v>
      </c>
      <c r="L996">
        <v>4</v>
      </c>
      <c r="M996">
        <v>5</v>
      </c>
      <c r="N996">
        <v>2</v>
      </c>
      <c r="O996">
        <v>5</v>
      </c>
      <c r="P996">
        <v>6</v>
      </c>
      <c r="Q996">
        <v>0</v>
      </c>
      <c r="R996">
        <v>0</v>
      </c>
      <c r="S996">
        <v>0</v>
      </c>
      <c r="T996">
        <v>0</v>
      </c>
      <c r="U996">
        <v>0</v>
      </c>
      <c r="V996">
        <f>IF(SUM(ifood_data[[#This Row],[AcceptedCmp1]:[AcceptedCmp5]])&gt;0,1,0)</f>
        <v>0</v>
      </c>
      <c r="W996">
        <v>0</v>
      </c>
      <c r="X996">
        <v>3</v>
      </c>
      <c r="Y996">
        <v>11</v>
      </c>
      <c r="Z996">
        <v>0</v>
      </c>
      <c r="AA996">
        <v>63</v>
      </c>
      <c r="AB996">
        <v>2587</v>
      </c>
      <c r="AC996" s="28">
        <f>ifood_data[[#This Row],[Customer_Days]]/365</f>
        <v>7.087671232876712</v>
      </c>
      <c r="AD996">
        <v>1</v>
      </c>
      <c r="AE996">
        <v>0</v>
      </c>
      <c r="AF996">
        <v>0</v>
      </c>
      <c r="AG996">
        <v>0</v>
      </c>
      <c r="AH996">
        <v>0</v>
      </c>
      <c r="AI996">
        <v>0</v>
      </c>
      <c r="AJ996">
        <v>0</v>
      </c>
      <c r="AK996">
        <v>0</v>
      </c>
      <c r="AL996">
        <v>0</v>
      </c>
      <c r="AM996">
        <v>1</v>
      </c>
      <c r="AN996">
        <v>304</v>
      </c>
      <c r="AO996">
        <v>247</v>
      </c>
      <c r="AP996">
        <f>ifood_data[[#This Row],[MntTotal]]-ifood_data[[#This Row],[MntRegularProds]]</f>
        <v>57</v>
      </c>
      <c r="AQ996">
        <v>0</v>
      </c>
      <c r="AR996">
        <f>IF(SUM(ifood_data[[#This Row],[Kidhome]:[Teenhome]])&gt;0,1,0)</f>
        <v>1</v>
      </c>
      <c r="AS996" t="str">
        <f>IF(SUM(ifood_data[[#This Row],[Kidhome]:[Teenhome]])&gt;0,"Has Family","No Family")</f>
        <v>Has Family</v>
      </c>
      <c r="AT996" t="str">
        <f>IF(ifood_data[[#This Row],[marital_Married]]=1,"Married", (IF(ifood_data[[#This Row],[marital_Single]]=1,"Single",(IF(ifood_data[[#This Row],[marital_Divorced]]=1,"Divorced",(IF(ifood_data[[#This Row],[marital_Together]]=1,"Living Together",(IF(ifood_data[[#This Row],[marital_Widow]]=1,"Widow","Other")))))))))</f>
        <v>Divorced</v>
      </c>
      <c r="AU996" t="str">
        <f>IF(ifood_data[[#This Row],[education_Basic]]=1,"High School",(IF(ifood_data[[#This Row],[education_Graduation]]=1,"Undergraduate Degree",(IF(SUM(AM996,AL996,AI996)&gt;0,"Master's Degree or Higher","Other")))))</f>
        <v>Master's Degree or Higher</v>
      </c>
      <c r="AV996" t="str">
        <f>IF(ifood_data[[#All],[Income]]&gt;75000,"75K+",(IF(ifood_data[[#All],[Income]]&gt;50000,"50K-75K",(IF(ifood_data[[#All],[Income]]&gt;35000,"35K-50K","&lt;35K")))))</f>
        <v>50K-75K</v>
      </c>
      <c r="AW996" t="str">
        <f>IF(ifood_data[[#All],[Age]]&gt;60,"60+",(IF(ifood_data[[#All],[Age]]&gt;50,"50-60",(IF(ifood_data[[#All],[Age]]&gt;40,"40-50",(IF(ifood_data[[#All],[Age]]&gt;30,"30-40","&lt;30")))))))</f>
        <v>60+</v>
      </c>
      <c r="AX996">
        <f t="shared" si="60"/>
        <v>22</v>
      </c>
      <c r="AY996">
        <f t="shared" si="61"/>
        <v>6</v>
      </c>
      <c r="AZ996">
        <f t="shared" si="62"/>
        <v>5</v>
      </c>
      <c r="BA996">
        <f t="shared" si="63"/>
        <v>4</v>
      </c>
      <c r="BB996">
        <f>SUM(ifood_data[[#This Row],[Recency Score]:[Monetary Score]])</f>
        <v>15</v>
      </c>
      <c r="BC996">
        <f>(_xlfn.PERCENTRANK.INC(ifood_data[[#All],[RFM]],ifood_data[[#This Row],[RFM]],1))*10</f>
        <v>4</v>
      </c>
      <c r="BD996" t="str">
        <f>VLOOKUP(ifood_data[[#This Row],[RFM Score]],'RFM Analysis'!$A$3:$B$14,2,FALSE)</f>
        <v>At Risk</v>
      </c>
      <c r="BE996">
        <f>'Regression Models'!$B$101+'Regression Models'!$B$102*ifood_data[[#This Row],[Income]]+'Regression Models'!$B$103*ifood_data[[#This Row],[Age]]+'Regression Models'!$B$104*ifood_data[[#This Row],[Family]]</f>
        <v>512.70106850282298</v>
      </c>
      <c r="BF996" t="str">
        <f>IF(ifood_data[[#This Row],[AcceptedCmpOverall]]=1,"Campaign Respondent","Non-respondent")</f>
        <v>Non-respondent</v>
      </c>
    </row>
    <row r="997" spans="1:58" x14ac:dyDescent="0.35">
      <c r="A997">
        <v>348</v>
      </c>
      <c r="B997">
        <v>52614</v>
      </c>
      <c r="C997">
        <v>0</v>
      </c>
      <c r="D997">
        <v>1</v>
      </c>
      <c r="E997">
        <v>63</v>
      </c>
      <c r="F997">
        <v>789</v>
      </c>
      <c r="G997">
        <v>0</v>
      </c>
      <c r="H997">
        <v>142</v>
      </c>
      <c r="I997">
        <v>12</v>
      </c>
      <c r="J997">
        <v>9</v>
      </c>
      <c r="K997">
        <v>38</v>
      </c>
      <c r="L997">
        <v>2</v>
      </c>
      <c r="M997">
        <v>2</v>
      </c>
      <c r="N997">
        <v>4</v>
      </c>
      <c r="O997">
        <v>8</v>
      </c>
      <c r="P997">
        <v>8</v>
      </c>
      <c r="Q997">
        <v>0</v>
      </c>
      <c r="R997">
        <v>0</v>
      </c>
      <c r="S997">
        <v>0</v>
      </c>
      <c r="T997">
        <v>0</v>
      </c>
      <c r="U997">
        <v>0</v>
      </c>
      <c r="V997">
        <f>IF(SUM(ifood_data[[#This Row],[AcceptedCmp1]:[AcceptedCmp5]])&gt;0,1,0)</f>
        <v>0</v>
      </c>
      <c r="W997">
        <v>0</v>
      </c>
      <c r="X997">
        <v>3</v>
      </c>
      <c r="Y997">
        <v>11</v>
      </c>
      <c r="Z997">
        <v>0</v>
      </c>
      <c r="AA997">
        <v>45</v>
      </c>
      <c r="AB997">
        <v>2734</v>
      </c>
      <c r="AC997" s="28">
        <f>ifood_data[[#This Row],[Customer_Days]]/365</f>
        <v>7.4904109589041097</v>
      </c>
      <c r="AD997">
        <v>0</v>
      </c>
      <c r="AE997">
        <v>0</v>
      </c>
      <c r="AF997">
        <v>1</v>
      </c>
      <c r="AG997">
        <v>0</v>
      </c>
      <c r="AH997">
        <v>0</v>
      </c>
      <c r="AI997">
        <v>0</v>
      </c>
      <c r="AJ997">
        <v>0</v>
      </c>
      <c r="AK997">
        <v>0</v>
      </c>
      <c r="AL997">
        <v>0</v>
      </c>
      <c r="AM997">
        <v>1</v>
      </c>
      <c r="AN997">
        <v>952</v>
      </c>
      <c r="AO997">
        <v>914</v>
      </c>
      <c r="AP997">
        <f>ifood_data[[#This Row],[MntTotal]]-ifood_data[[#This Row],[MntRegularProds]]</f>
        <v>38</v>
      </c>
      <c r="AQ997">
        <v>0</v>
      </c>
      <c r="AR997">
        <f>IF(SUM(ifood_data[[#This Row],[Kidhome]:[Teenhome]])&gt;0,1,0)</f>
        <v>1</v>
      </c>
      <c r="AS997" t="str">
        <f>IF(SUM(ifood_data[[#This Row],[Kidhome]:[Teenhome]])&gt;0,"Has Family","No Family")</f>
        <v>Has Family</v>
      </c>
      <c r="AT997" t="str">
        <f>IF(ifood_data[[#This Row],[marital_Married]]=1,"Married", (IF(ifood_data[[#This Row],[marital_Single]]=1,"Single",(IF(ifood_data[[#This Row],[marital_Divorced]]=1,"Divorced",(IF(ifood_data[[#This Row],[marital_Together]]=1,"Living Together",(IF(ifood_data[[#This Row],[marital_Widow]]=1,"Widow","Other")))))))))</f>
        <v>Single</v>
      </c>
      <c r="AU997" t="str">
        <f>IF(ifood_data[[#This Row],[education_Basic]]=1,"High School",(IF(ifood_data[[#This Row],[education_Graduation]]=1,"Undergraduate Degree",(IF(SUM(AM997,AL997,AI997)&gt;0,"Master's Degree or Higher","Other")))))</f>
        <v>Master's Degree or Higher</v>
      </c>
      <c r="AV997" t="str">
        <f>IF(ifood_data[[#All],[Income]]&gt;75000,"75K+",(IF(ifood_data[[#All],[Income]]&gt;50000,"50K-75K",(IF(ifood_data[[#All],[Income]]&gt;35000,"35K-50K","&lt;35K")))))</f>
        <v>50K-75K</v>
      </c>
      <c r="AW997" t="str">
        <f>IF(ifood_data[[#All],[Age]]&gt;60,"60+",(IF(ifood_data[[#All],[Age]]&gt;50,"50-60",(IF(ifood_data[[#All],[Age]]&gt;40,"40-50",(IF(ifood_data[[#All],[Age]]&gt;30,"30-40","&lt;30")))))))</f>
        <v>40-50</v>
      </c>
      <c r="AX997">
        <f t="shared" si="60"/>
        <v>24</v>
      </c>
      <c r="AY997">
        <f t="shared" si="61"/>
        <v>4</v>
      </c>
      <c r="AZ997">
        <f t="shared" si="62"/>
        <v>6</v>
      </c>
      <c r="BA997">
        <f t="shared" si="63"/>
        <v>7</v>
      </c>
      <c r="BB997">
        <f>SUM(ifood_data[[#This Row],[Recency Score]:[Monetary Score]])</f>
        <v>17</v>
      </c>
      <c r="BC997">
        <f>(_xlfn.PERCENTRANK.INC(ifood_data[[#All],[RFM]],ifood_data[[#This Row],[RFM]],1))*10</f>
        <v>6</v>
      </c>
      <c r="BD997" t="str">
        <f>VLOOKUP(ifood_data[[#This Row],[RFM Score]],'RFM Analysis'!$A$3:$B$14,2,FALSE)</f>
        <v>Promising</v>
      </c>
      <c r="BE997">
        <f>'Regression Models'!$B$101+'Regression Models'!$B$102*ifood_data[[#This Row],[Income]]+'Regression Models'!$B$103*ifood_data[[#This Row],[Age]]+'Regression Models'!$B$104*ifood_data[[#This Row],[Family]]</f>
        <v>512.66600122537204</v>
      </c>
      <c r="BF997" t="str">
        <f>IF(ifood_data[[#This Row],[AcceptedCmpOverall]]=1,"Campaign Respondent","Non-respondent")</f>
        <v>Non-respondent</v>
      </c>
    </row>
    <row r="998" spans="1:58" x14ac:dyDescent="0.35">
      <c r="A998">
        <v>1484</v>
      </c>
      <c r="B998">
        <v>51250</v>
      </c>
      <c r="C998">
        <v>1</v>
      </c>
      <c r="D998">
        <v>0</v>
      </c>
      <c r="E998">
        <v>28</v>
      </c>
      <c r="F998">
        <v>342</v>
      </c>
      <c r="G998">
        <v>32</v>
      </c>
      <c r="H998">
        <v>230</v>
      </c>
      <c r="I998">
        <v>34</v>
      </c>
      <c r="J998">
        <v>32</v>
      </c>
      <c r="K998">
        <v>40</v>
      </c>
      <c r="L998">
        <v>5</v>
      </c>
      <c r="M998">
        <v>10</v>
      </c>
      <c r="N998">
        <v>5</v>
      </c>
      <c r="O998">
        <v>4</v>
      </c>
      <c r="P998">
        <v>9</v>
      </c>
      <c r="Q998">
        <v>0</v>
      </c>
      <c r="R998">
        <v>0</v>
      </c>
      <c r="S998">
        <v>1</v>
      </c>
      <c r="T998">
        <v>0</v>
      </c>
      <c r="U998">
        <v>0</v>
      </c>
      <c r="V998">
        <f>IF(SUM(ifood_data[[#This Row],[AcceptedCmp1]:[AcceptedCmp5]])&gt;0,1,0)</f>
        <v>1</v>
      </c>
      <c r="W998">
        <v>0</v>
      </c>
      <c r="X998">
        <v>3</v>
      </c>
      <c r="Y998">
        <v>11</v>
      </c>
      <c r="Z998">
        <v>0</v>
      </c>
      <c r="AA998">
        <v>30</v>
      </c>
      <c r="AB998">
        <v>2615</v>
      </c>
      <c r="AC998" s="28">
        <f>ifood_data[[#This Row],[Customer_Days]]/365</f>
        <v>7.1643835616438354</v>
      </c>
      <c r="AD998">
        <v>0</v>
      </c>
      <c r="AE998">
        <v>0</v>
      </c>
      <c r="AF998">
        <v>1</v>
      </c>
      <c r="AG998">
        <v>0</v>
      </c>
      <c r="AH998">
        <v>0</v>
      </c>
      <c r="AI998">
        <v>1</v>
      </c>
      <c r="AJ998">
        <v>0</v>
      </c>
      <c r="AK998">
        <v>0</v>
      </c>
      <c r="AL998">
        <v>0</v>
      </c>
      <c r="AM998">
        <v>0</v>
      </c>
      <c r="AN998">
        <v>670</v>
      </c>
      <c r="AO998">
        <v>630</v>
      </c>
      <c r="AP998">
        <f>ifood_data[[#This Row],[MntTotal]]-ifood_data[[#This Row],[MntRegularProds]]</f>
        <v>40</v>
      </c>
      <c r="AQ998">
        <v>1</v>
      </c>
      <c r="AR998">
        <f>IF(SUM(ifood_data[[#This Row],[Kidhome]:[Teenhome]])&gt;0,1,0)</f>
        <v>1</v>
      </c>
      <c r="AS998" t="str">
        <f>IF(SUM(ifood_data[[#This Row],[Kidhome]:[Teenhome]])&gt;0,"Has Family","No Family")</f>
        <v>Has Family</v>
      </c>
      <c r="AT998" t="str">
        <f>IF(ifood_data[[#This Row],[marital_Married]]=1,"Married", (IF(ifood_data[[#This Row],[marital_Single]]=1,"Single",(IF(ifood_data[[#This Row],[marital_Divorced]]=1,"Divorced",(IF(ifood_data[[#This Row],[marital_Together]]=1,"Living Together",(IF(ifood_data[[#This Row],[marital_Widow]]=1,"Widow","Other")))))))))</f>
        <v>Single</v>
      </c>
      <c r="AU998" t="str">
        <f>IF(ifood_data[[#This Row],[education_Basic]]=1,"High School",(IF(ifood_data[[#This Row],[education_Graduation]]=1,"Undergraduate Degree",(IF(SUM(AM998,AL998,AI998)&gt;0,"Master's Degree or Higher","Other")))))</f>
        <v>Master's Degree or Higher</v>
      </c>
      <c r="AV998" t="str">
        <f>IF(ifood_data[[#All],[Income]]&gt;75000,"75K+",(IF(ifood_data[[#All],[Income]]&gt;50000,"50K-75K",(IF(ifood_data[[#All],[Income]]&gt;35000,"35K-50K","&lt;35K")))))</f>
        <v>50K-75K</v>
      </c>
      <c r="AW998" t="str">
        <f>IF(ifood_data[[#All],[Age]]&gt;60,"60+",(IF(ifood_data[[#All],[Age]]&gt;50,"50-60",(IF(ifood_data[[#All],[Age]]&gt;40,"40-50",(IF(ifood_data[[#All],[Age]]&gt;30,"30-40","&lt;30")))))))</f>
        <v>&lt;30</v>
      </c>
      <c r="AX998">
        <f t="shared" si="60"/>
        <v>33</v>
      </c>
      <c r="AY998">
        <f t="shared" si="61"/>
        <v>8</v>
      </c>
      <c r="AZ998">
        <f t="shared" si="62"/>
        <v>9</v>
      </c>
      <c r="BA998">
        <f t="shared" si="63"/>
        <v>6</v>
      </c>
      <c r="BB998">
        <f>SUM(ifood_data[[#This Row],[Recency Score]:[Monetary Score]])</f>
        <v>23</v>
      </c>
      <c r="BC998">
        <f>(_xlfn.PERCENTRANK.INC(ifood_data[[#All],[RFM]],ifood_data[[#This Row],[RFM]],1))*10</f>
        <v>8</v>
      </c>
      <c r="BD998" t="str">
        <f>VLOOKUP(ifood_data[[#This Row],[RFM Score]],'RFM Analysis'!$A$3:$B$14,2,FALSE)</f>
        <v>Loyal Customer</v>
      </c>
      <c r="BE998">
        <f>'Regression Models'!$B$101+'Regression Models'!$B$102*ifood_data[[#This Row],[Income]]+'Regression Models'!$B$103*ifood_data[[#This Row],[Age]]+'Regression Models'!$B$104*ifood_data[[#This Row],[Family]]</f>
        <v>512.40230766050797</v>
      </c>
      <c r="BF998" t="str">
        <f>IF(ifood_data[[#This Row],[AcceptedCmpOverall]]=1,"Campaign Respondent","Non-respondent")</f>
        <v>Campaign Respondent</v>
      </c>
    </row>
    <row r="999" spans="1:58" x14ac:dyDescent="0.35">
      <c r="A999">
        <v>1973</v>
      </c>
      <c r="B999">
        <v>52914</v>
      </c>
      <c r="C999">
        <v>0</v>
      </c>
      <c r="D999">
        <v>1</v>
      </c>
      <c r="E999">
        <v>32</v>
      </c>
      <c r="F999">
        <v>254</v>
      </c>
      <c r="G999">
        <v>10</v>
      </c>
      <c r="H999">
        <v>44</v>
      </c>
      <c r="I999">
        <v>30</v>
      </c>
      <c r="J999">
        <v>10</v>
      </c>
      <c r="K999">
        <v>227</v>
      </c>
      <c r="L999">
        <v>2</v>
      </c>
      <c r="M999">
        <v>7</v>
      </c>
      <c r="N999">
        <v>3</v>
      </c>
      <c r="O999">
        <v>3</v>
      </c>
      <c r="P999">
        <v>7</v>
      </c>
      <c r="Q999">
        <v>0</v>
      </c>
      <c r="R999">
        <v>0</v>
      </c>
      <c r="S999">
        <v>1</v>
      </c>
      <c r="T999">
        <v>0</v>
      </c>
      <c r="U999">
        <v>0</v>
      </c>
      <c r="V999">
        <f>IF(SUM(ifood_data[[#This Row],[AcceptedCmp1]:[AcceptedCmp5]])&gt;0,1,0)</f>
        <v>1</v>
      </c>
      <c r="W999">
        <v>0</v>
      </c>
      <c r="X999">
        <v>3</v>
      </c>
      <c r="Y999">
        <v>11</v>
      </c>
      <c r="Z999">
        <v>0</v>
      </c>
      <c r="AA999">
        <v>49</v>
      </c>
      <c r="AB999">
        <v>2697</v>
      </c>
      <c r="AC999" s="28">
        <f>ifood_data[[#This Row],[Customer_Days]]/365</f>
        <v>7.3890410958904109</v>
      </c>
      <c r="AD999">
        <v>0</v>
      </c>
      <c r="AE999">
        <v>1</v>
      </c>
      <c r="AF999">
        <v>0</v>
      </c>
      <c r="AG999">
        <v>0</v>
      </c>
      <c r="AH999">
        <v>0</v>
      </c>
      <c r="AI999">
        <v>0</v>
      </c>
      <c r="AJ999">
        <v>0</v>
      </c>
      <c r="AK999">
        <v>1</v>
      </c>
      <c r="AL999">
        <v>0</v>
      </c>
      <c r="AM999">
        <v>0</v>
      </c>
      <c r="AN999">
        <v>348</v>
      </c>
      <c r="AO999">
        <v>121</v>
      </c>
      <c r="AP999">
        <f>ifood_data[[#This Row],[MntTotal]]-ifood_data[[#This Row],[MntRegularProds]]</f>
        <v>227</v>
      </c>
      <c r="AQ999">
        <v>1</v>
      </c>
      <c r="AR999">
        <f>IF(SUM(ifood_data[[#This Row],[Kidhome]:[Teenhome]])&gt;0,1,0)</f>
        <v>1</v>
      </c>
      <c r="AS999" t="str">
        <f>IF(SUM(ifood_data[[#This Row],[Kidhome]:[Teenhome]])&gt;0,"Has Family","No Family")</f>
        <v>Has Family</v>
      </c>
      <c r="AT999" t="str">
        <f>IF(ifood_data[[#This Row],[marital_Married]]=1,"Married", (IF(ifood_data[[#This Row],[marital_Single]]=1,"Single",(IF(ifood_data[[#This Row],[marital_Divorced]]=1,"Divorced",(IF(ifood_data[[#This Row],[marital_Together]]=1,"Living Together",(IF(ifood_data[[#This Row],[marital_Widow]]=1,"Widow","Other")))))))))</f>
        <v>Married</v>
      </c>
      <c r="AU999" t="str">
        <f>IF(ifood_data[[#This Row],[education_Basic]]=1,"High School",(IF(ifood_data[[#This Row],[education_Graduation]]=1,"Undergraduate Degree",(IF(SUM(AM999,AL999,AI999)&gt;0,"Master's Degree or Higher","Other")))))</f>
        <v>Undergraduate Degree</v>
      </c>
      <c r="AV999" t="str">
        <f>IF(ifood_data[[#All],[Income]]&gt;75000,"75K+",(IF(ifood_data[[#All],[Income]]&gt;50000,"50K-75K",(IF(ifood_data[[#All],[Income]]&gt;35000,"35K-50K","&lt;35K")))))</f>
        <v>50K-75K</v>
      </c>
      <c r="AW999" t="str">
        <f>IF(ifood_data[[#All],[Age]]&gt;60,"60+",(IF(ifood_data[[#All],[Age]]&gt;50,"50-60",(IF(ifood_data[[#All],[Age]]&gt;40,"40-50",(IF(ifood_data[[#All],[Age]]&gt;30,"30-40","&lt;30")))))))</f>
        <v>40-50</v>
      </c>
      <c r="AX999">
        <f t="shared" si="60"/>
        <v>22</v>
      </c>
      <c r="AY999">
        <f t="shared" si="61"/>
        <v>7</v>
      </c>
      <c r="AZ999">
        <f t="shared" si="62"/>
        <v>5</v>
      </c>
      <c r="BA999">
        <f t="shared" si="63"/>
        <v>5</v>
      </c>
      <c r="BB999">
        <f>SUM(ifood_data[[#This Row],[Recency Score]:[Monetary Score]])</f>
        <v>17</v>
      </c>
      <c r="BC999">
        <f>(_xlfn.PERCENTRANK.INC(ifood_data[[#All],[RFM]],ifood_data[[#This Row],[RFM]],1))*10</f>
        <v>6</v>
      </c>
      <c r="BD999" t="str">
        <f>VLOOKUP(ifood_data[[#This Row],[RFM Score]],'RFM Analysis'!$A$3:$B$14,2,FALSE)</f>
        <v>Promising</v>
      </c>
      <c r="BE999">
        <f>'Regression Models'!$B$101+'Regression Models'!$B$102*ifood_data[[#This Row],[Income]]+'Regression Models'!$B$103*ifood_data[[#This Row],[Age]]+'Regression Models'!$B$104*ifood_data[[#This Row],[Family]]</f>
        <v>511.43687535296465</v>
      </c>
      <c r="BF999" t="str">
        <f>IF(ifood_data[[#This Row],[AcceptedCmpOverall]]=1,"Campaign Respondent","Non-respondent")</f>
        <v>Campaign Respondent</v>
      </c>
    </row>
    <row r="1000" spans="1:58" x14ac:dyDescent="0.35">
      <c r="A1000">
        <v>1903</v>
      </c>
      <c r="B1000">
        <v>54252</v>
      </c>
      <c r="C1000">
        <v>1</v>
      </c>
      <c r="D1000">
        <v>1</v>
      </c>
      <c r="E1000">
        <v>25</v>
      </c>
      <c r="F1000">
        <v>178</v>
      </c>
      <c r="G1000">
        <v>4</v>
      </c>
      <c r="H1000">
        <v>26</v>
      </c>
      <c r="I1000">
        <v>8</v>
      </c>
      <c r="J1000">
        <v>4</v>
      </c>
      <c r="K1000">
        <v>44</v>
      </c>
      <c r="L1000">
        <v>5</v>
      </c>
      <c r="M1000">
        <v>4</v>
      </c>
      <c r="N1000">
        <v>1</v>
      </c>
      <c r="O1000">
        <v>5</v>
      </c>
      <c r="P1000">
        <v>6</v>
      </c>
      <c r="Q1000">
        <v>0</v>
      </c>
      <c r="R1000">
        <v>0</v>
      </c>
      <c r="S1000">
        <v>0</v>
      </c>
      <c r="T1000">
        <v>0</v>
      </c>
      <c r="U1000">
        <v>0</v>
      </c>
      <c r="V1000">
        <f>IF(SUM(ifood_data[[#This Row],[AcceptedCmp1]:[AcceptedCmp5]])&gt;0,1,0)</f>
        <v>0</v>
      </c>
      <c r="W1000">
        <v>0</v>
      </c>
      <c r="X1000">
        <v>3</v>
      </c>
      <c r="Y1000">
        <v>11</v>
      </c>
      <c r="Z1000">
        <v>0</v>
      </c>
      <c r="AA1000">
        <v>64</v>
      </c>
      <c r="AB1000">
        <v>2556</v>
      </c>
      <c r="AC1000" s="28">
        <f>ifood_data[[#This Row],[Customer_Days]]/365</f>
        <v>7.0027397260273974</v>
      </c>
      <c r="AD1000">
        <v>0</v>
      </c>
      <c r="AE1000">
        <v>0</v>
      </c>
      <c r="AF1000">
        <v>1</v>
      </c>
      <c r="AG1000">
        <v>0</v>
      </c>
      <c r="AH1000">
        <v>0</v>
      </c>
      <c r="AI1000">
        <v>0</v>
      </c>
      <c r="AJ1000">
        <v>0</v>
      </c>
      <c r="AK1000">
        <v>1</v>
      </c>
      <c r="AL1000">
        <v>0</v>
      </c>
      <c r="AM1000">
        <v>0</v>
      </c>
      <c r="AN1000">
        <v>220</v>
      </c>
      <c r="AO1000">
        <v>176</v>
      </c>
      <c r="AP1000">
        <f>ifood_data[[#This Row],[MntTotal]]-ifood_data[[#This Row],[MntRegularProds]]</f>
        <v>44</v>
      </c>
      <c r="AQ1000">
        <v>0</v>
      </c>
      <c r="AR1000">
        <f>IF(SUM(ifood_data[[#This Row],[Kidhome]:[Teenhome]])&gt;0,1,0)</f>
        <v>1</v>
      </c>
      <c r="AS1000" t="str">
        <f>IF(SUM(ifood_data[[#This Row],[Kidhome]:[Teenhome]])&gt;0,"Has Family","No Family")</f>
        <v>Has Family</v>
      </c>
      <c r="AT1000" t="str">
        <f>IF(ifood_data[[#This Row],[marital_Married]]=1,"Married", (IF(ifood_data[[#This Row],[marital_Single]]=1,"Single",(IF(ifood_data[[#This Row],[marital_Divorced]]=1,"Divorced",(IF(ifood_data[[#This Row],[marital_Together]]=1,"Living Together",(IF(ifood_data[[#This Row],[marital_Widow]]=1,"Widow","Other")))))))))</f>
        <v>Single</v>
      </c>
      <c r="AU1000" t="str">
        <f>IF(ifood_data[[#This Row],[education_Basic]]=1,"High School",(IF(ifood_data[[#This Row],[education_Graduation]]=1,"Undergraduate Degree",(IF(SUM(AM1000,AL1000,AI1000)&gt;0,"Master's Degree or Higher","Other")))))</f>
        <v>Undergraduate Degree</v>
      </c>
      <c r="AV1000" t="str">
        <f>IF(ifood_data[[#All],[Income]]&gt;75000,"75K+",(IF(ifood_data[[#All],[Income]]&gt;50000,"50K-75K",(IF(ifood_data[[#All],[Income]]&gt;35000,"35K-50K","&lt;35K")))))</f>
        <v>50K-75K</v>
      </c>
      <c r="AW1000" t="str">
        <f>IF(ifood_data[[#All],[Age]]&gt;60,"60+",(IF(ifood_data[[#All],[Age]]&gt;50,"50-60",(IF(ifood_data[[#All],[Age]]&gt;40,"40-50",(IF(ifood_data[[#All],[Age]]&gt;30,"30-40","&lt;30")))))))</f>
        <v>60+</v>
      </c>
      <c r="AX1000">
        <f t="shared" si="60"/>
        <v>21</v>
      </c>
      <c r="AY1000">
        <f t="shared" si="61"/>
        <v>8</v>
      </c>
      <c r="AZ1000">
        <f t="shared" si="62"/>
        <v>5</v>
      </c>
      <c r="BA1000">
        <f t="shared" si="63"/>
        <v>4</v>
      </c>
      <c r="BB1000">
        <f>SUM(ifood_data[[#This Row],[Recency Score]:[Monetary Score]])</f>
        <v>17</v>
      </c>
      <c r="BC1000">
        <f>(_xlfn.PERCENTRANK.INC(ifood_data[[#All],[RFM]],ifood_data[[#This Row],[RFM]],1))*10</f>
        <v>6</v>
      </c>
      <c r="BD1000" t="str">
        <f>VLOOKUP(ifood_data[[#This Row],[RFM Score]],'RFM Analysis'!$A$3:$B$14,2,FALSE)</f>
        <v>Promising</v>
      </c>
      <c r="BE1000">
        <f>'Regression Models'!$B$101+'Regression Models'!$B$102*ifood_data[[#This Row],[Income]]+'Regression Models'!$B$103*ifood_data[[#This Row],[Age]]+'Regression Models'!$B$104*ifood_data[[#This Row],[Family]]</f>
        <v>511.17046094608725</v>
      </c>
      <c r="BF1000" t="str">
        <f>IF(ifood_data[[#This Row],[AcceptedCmpOverall]]=1,"Campaign Respondent","Non-respondent")</f>
        <v>Non-respondent</v>
      </c>
    </row>
    <row r="1001" spans="1:58" x14ac:dyDescent="0.35">
      <c r="A1001">
        <v>1358</v>
      </c>
      <c r="B1001">
        <v>38410</v>
      </c>
      <c r="C1001">
        <v>0</v>
      </c>
      <c r="D1001">
        <v>0</v>
      </c>
      <c r="E1001">
        <v>65</v>
      </c>
      <c r="F1001">
        <v>153</v>
      </c>
      <c r="G1001">
        <v>64</v>
      </c>
      <c r="H1001">
        <v>123</v>
      </c>
      <c r="I1001">
        <v>116</v>
      </c>
      <c r="J1001">
        <v>64</v>
      </c>
      <c r="K1001">
        <v>14</v>
      </c>
      <c r="L1001">
        <v>2</v>
      </c>
      <c r="M1001">
        <v>5</v>
      </c>
      <c r="N1001">
        <v>2</v>
      </c>
      <c r="O1001">
        <v>9</v>
      </c>
      <c r="P1001">
        <v>6</v>
      </c>
      <c r="Q1001">
        <v>0</v>
      </c>
      <c r="R1001">
        <v>0</v>
      </c>
      <c r="S1001">
        <v>0</v>
      </c>
      <c r="T1001">
        <v>0</v>
      </c>
      <c r="U1001">
        <v>0</v>
      </c>
      <c r="V1001">
        <f>IF(SUM(ifood_data[[#This Row],[AcceptedCmp1]:[AcceptedCmp5]])&gt;0,1,0)</f>
        <v>0</v>
      </c>
      <c r="W1001">
        <v>0</v>
      </c>
      <c r="X1001">
        <v>3</v>
      </c>
      <c r="Y1001">
        <v>11</v>
      </c>
      <c r="Z1001">
        <v>1</v>
      </c>
      <c r="AA1001">
        <v>46</v>
      </c>
      <c r="AB1001">
        <v>2812</v>
      </c>
      <c r="AC1001" s="28">
        <f>ifood_data[[#This Row],[Customer_Days]]/365</f>
        <v>7.7041095890410958</v>
      </c>
      <c r="AD1001">
        <v>0</v>
      </c>
      <c r="AE1001">
        <v>1</v>
      </c>
      <c r="AF1001">
        <v>0</v>
      </c>
      <c r="AG1001">
        <v>0</v>
      </c>
      <c r="AH1001">
        <v>0</v>
      </c>
      <c r="AI1001">
        <v>0</v>
      </c>
      <c r="AJ1001">
        <v>0</v>
      </c>
      <c r="AK1001">
        <v>0</v>
      </c>
      <c r="AL1001">
        <v>0</v>
      </c>
      <c r="AM1001">
        <v>1</v>
      </c>
      <c r="AN1001">
        <v>520</v>
      </c>
      <c r="AO1001">
        <v>506</v>
      </c>
      <c r="AP1001">
        <f>ifood_data[[#This Row],[MntTotal]]-ifood_data[[#This Row],[MntRegularProds]]</f>
        <v>14</v>
      </c>
      <c r="AQ1001">
        <v>0</v>
      </c>
      <c r="AR1001">
        <f>IF(SUM(ifood_data[[#This Row],[Kidhome]:[Teenhome]])&gt;0,1,0)</f>
        <v>0</v>
      </c>
      <c r="AS1001" t="str">
        <f>IF(SUM(ifood_data[[#This Row],[Kidhome]:[Teenhome]])&gt;0,"Has Family","No Family")</f>
        <v>No Family</v>
      </c>
      <c r="AT1001" t="str">
        <f>IF(ifood_data[[#This Row],[marital_Married]]=1,"Married", (IF(ifood_data[[#This Row],[marital_Single]]=1,"Single",(IF(ifood_data[[#This Row],[marital_Divorced]]=1,"Divorced",(IF(ifood_data[[#This Row],[marital_Together]]=1,"Living Together",(IF(ifood_data[[#This Row],[marital_Widow]]=1,"Widow","Other")))))))))</f>
        <v>Married</v>
      </c>
      <c r="AU1001" t="str">
        <f>IF(ifood_data[[#This Row],[education_Basic]]=1,"High School",(IF(ifood_data[[#This Row],[education_Graduation]]=1,"Undergraduate Degree",(IF(SUM(AM1001,AL1001,AI1001)&gt;0,"Master's Degree or Higher","Other")))))</f>
        <v>Master's Degree or Higher</v>
      </c>
      <c r="AV1001" t="str">
        <f>IF(ifood_data[[#All],[Income]]&gt;75000,"75K+",(IF(ifood_data[[#All],[Income]]&gt;50000,"50K-75K",(IF(ifood_data[[#All],[Income]]&gt;35000,"35K-50K","&lt;35K")))))</f>
        <v>35K-50K</v>
      </c>
      <c r="AW1001" t="str">
        <f>IF(ifood_data[[#All],[Age]]&gt;60,"60+",(IF(ifood_data[[#All],[Age]]&gt;50,"50-60",(IF(ifood_data[[#All],[Age]]&gt;40,"40-50",(IF(ifood_data[[#All],[Age]]&gt;30,"30-40","&lt;30")))))))</f>
        <v>40-50</v>
      </c>
      <c r="AX1001">
        <f t="shared" si="60"/>
        <v>24</v>
      </c>
      <c r="AY1001">
        <f t="shared" si="61"/>
        <v>4</v>
      </c>
      <c r="AZ1001">
        <f t="shared" si="62"/>
        <v>6</v>
      </c>
      <c r="BA1001">
        <f t="shared" si="63"/>
        <v>5</v>
      </c>
      <c r="BB1001">
        <f>SUM(ifood_data[[#This Row],[Recency Score]:[Monetary Score]])</f>
        <v>15</v>
      </c>
      <c r="BC1001">
        <f>(_xlfn.PERCENTRANK.INC(ifood_data[[#All],[RFM]],ifood_data[[#This Row],[RFM]],1))*10</f>
        <v>4</v>
      </c>
      <c r="BD1001" t="str">
        <f>VLOOKUP(ifood_data[[#This Row],[RFM Score]],'RFM Analysis'!$A$3:$B$14,2,FALSE)</f>
        <v>At Risk</v>
      </c>
      <c r="BE1001">
        <f>'Regression Models'!$B$101+'Regression Models'!$B$102*ifood_data[[#This Row],[Income]]+'Regression Models'!$B$103*ifood_data[[#This Row],[Age]]+'Regression Models'!$B$104*ifood_data[[#This Row],[Family]]</f>
        <v>510.84113050355325</v>
      </c>
      <c r="BF1001" t="str">
        <f>IF(ifood_data[[#This Row],[AcceptedCmpOverall]]=1,"Campaign Respondent","Non-respondent")</f>
        <v>Non-respondent</v>
      </c>
    </row>
    <row r="1002" spans="1:58" x14ac:dyDescent="0.35">
      <c r="A1002">
        <v>1498</v>
      </c>
      <c r="B1002">
        <v>54549</v>
      </c>
      <c r="C1002">
        <v>0</v>
      </c>
      <c r="D1002">
        <v>1</v>
      </c>
      <c r="E1002">
        <v>8</v>
      </c>
      <c r="F1002">
        <v>216</v>
      </c>
      <c r="G1002">
        <v>2</v>
      </c>
      <c r="H1002">
        <v>6</v>
      </c>
      <c r="I1002">
        <v>0</v>
      </c>
      <c r="J1002">
        <v>0</v>
      </c>
      <c r="K1002">
        <v>9</v>
      </c>
      <c r="L1002">
        <v>2</v>
      </c>
      <c r="M1002">
        <v>5</v>
      </c>
      <c r="N1002">
        <v>1</v>
      </c>
      <c r="O1002">
        <v>4</v>
      </c>
      <c r="P1002">
        <v>7</v>
      </c>
      <c r="Q1002">
        <v>0</v>
      </c>
      <c r="R1002">
        <v>0</v>
      </c>
      <c r="S1002">
        <v>0</v>
      </c>
      <c r="T1002">
        <v>0</v>
      </c>
      <c r="U1002">
        <v>0</v>
      </c>
      <c r="V1002">
        <f>IF(SUM(ifood_data[[#This Row],[AcceptedCmp1]:[AcceptedCmp5]])&gt;0,1,0)</f>
        <v>0</v>
      </c>
      <c r="W1002">
        <v>0</v>
      </c>
      <c r="X1002">
        <v>3</v>
      </c>
      <c r="Y1002">
        <v>11</v>
      </c>
      <c r="Z1002">
        <v>0</v>
      </c>
      <c r="AA1002">
        <v>68</v>
      </c>
      <c r="AB1002">
        <v>2277</v>
      </c>
      <c r="AC1002" s="28">
        <f>ifood_data[[#This Row],[Customer_Days]]/365</f>
        <v>6.2383561643835614</v>
      </c>
      <c r="AD1002">
        <v>0</v>
      </c>
      <c r="AE1002">
        <v>1</v>
      </c>
      <c r="AF1002">
        <v>0</v>
      </c>
      <c r="AG1002">
        <v>0</v>
      </c>
      <c r="AH1002">
        <v>0</v>
      </c>
      <c r="AI1002">
        <v>0</v>
      </c>
      <c r="AJ1002">
        <v>0</v>
      </c>
      <c r="AK1002">
        <v>0</v>
      </c>
      <c r="AL1002">
        <v>0</v>
      </c>
      <c r="AM1002">
        <v>1</v>
      </c>
      <c r="AN1002">
        <v>224</v>
      </c>
      <c r="AO1002">
        <v>215</v>
      </c>
      <c r="AP1002">
        <f>ifood_data[[#This Row],[MntTotal]]-ifood_data[[#This Row],[MntRegularProds]]</f>
        <v>9</v>
      </c>
      <c r="AQ1002">
        <v>0</v>
      </c>
      <c r="AR1002">
        <f>IF(SUM(ifood_data[[#This Row],[Kidhome]:[Teenhome]])&gt;0,1,0)</f>
        <v>1</v>
      </c>
      <c r="AS1002" t="str">
        <f>IF(SUM(ifood_data[[#This Row],[Kidhome]:[Teenhome]])&gt;0,"Has Family","No Family")</f>
        <v>Has Family</v>
      </c>
      <c r="AT1002" t="str">
        <f>IF(ifood_data[[#This Row],[marital_Married]]=1,"Married", (IF(ifood_data[[#This Row],[marital_Single]]=1,"Single",(IF(ifood_data[[#This Row],[marital_Divorced]]=1,"Divorced",(IF(ifood_data[[#This Row],[marital_Together]]=1,"Living Together",(IF(ifood_data[[#This Row],[marital_Widow]]=1,"Widow","Other")))))))))</f>
        <v>Married</v>
      </c>
      <c r="AU1002" t="str">
        <f>IF(ifood_data[[#This Row],[education_Basic]]=1,"High School",(IF(ifood_data[[#This Row],[education_Graduation]]=1,"Undergraduate Degree",(IF(SUM(AM1002,AL1002,AI1002)&gt;0,"Master's Degree or Higher","Other")))))</f>
        <v>Master's Degree or Higher</v>
      </c>
      <c r="AV1002" t="str">
        <f>IF(ifood_data[[#All],[Income]]&gt;75000,"75K+",(IF(ifood_data[[#All],[Income]]&gt;50000,"50K-75K",(IF(ifood_data[[#All],[Income]]&gt;35000,"35K-50K","&lt;35K")))))</f>
        <v>50K-75K</v>
      </c>
      <c r="AW1002" t="str">
        <f>IF(ifood_data[[#All],[Age]]&gt;60,"60+",(IF(ifood_data[[#All],[Age]]&gt;50,"50-60",(IF(ifood_data[[#All],[Age]]&gt;40,"40-50",(IF(ifood_data[[#All],[Age]]&gt;30,"30-40","&lt;30")))))))</f>
        <v>60+</v>
      </c>
      <c r="AX1002">
        <f t="shared" si="60"/>
        <v>19</v>
      </c>
      <c r="AY1002">
        <f t="shared" si="61"/>
        <v>10</v>
      </c>
      <c r="AZ1002">
        <f t="shared" si="62"/>
        <v>4</v>
      </c>
      <c r="BA1002">
        <f t="shared" si="63"/>
        <v>4</v>
      </c>
      <c r="BB1002">
        <f>SUM(ifood_data[[#This Row],[Recency Score]:[Monetary Score]])</f>
        <v>18</v>
      </c>
      <c r="BC1002">
        <f>(_xlfn.PERCENTRANK.INC(ifood_data[[#All],[RFM]],ifood_data[[#This Row],[RFM]],1))*10</f>
        <v>6</v>
      </c>
      <c r="BD1002" t="str">
        <f>VLOOKUP(ifood_data[[#This Row],[RFM Score]],'RFM Analysis'!$A$3:$B$14,2,FALSE)</f>
        <v>Promising</v>
      </c>
      <c r="BE1002">
        <f>'Regression Models'!$B$101+'Regression Models'!$B$102*ifood_data[[#This Row],[Income]]+'Regression Models'!$B$103*ifood_data[[#This Row],[Age]]+'Regression Models'!$B$104*ifood_data[[#This Row],[Family]]</f>
        <v>509.88016876924814</v>
      </c>
      <c r="BF1002" t="str">
        <f>IF(ifood_data[[#This Row],[AcceptedCmpOverall]]=1,"Campaign Respondent","Non-respondent")</f>
        <v>Non-respondent</v>
      </c>
    </row>
    <row r="1003" spans="1:58" x14ac:dyDescent="0.35">
      <c r="A1003">
        <v>202</v>
      </c>
      <c r="B1003">
        <v>52195</v>
      </c>
      <c r="C1003">
        <v>2</v>
      </c>
      <c r="D1003">
        <v>1</v>
      </c>
      <c r="E1003">
        <v>2</v>
      </c>
      <c r="F1003">
        <v>12</v>
      </c>
      <c r="G1003">
        <v>0</v>
      </c>
      <c r="H1003">
        <v>4</v>
      </c>
      <c r="I1003">
        <v>0</v>
      </c>
      <c r="J1003">
        <v>0</v>
      </c>
      <c r="K1003">
        <v>1</v>
      </c>
      <c r="L1003">
        <v>1</v>
      </c>
      <c r="M1003">
        <v>1</v>
      </c>
      <c r="N1003">
        <v>0</v>
      </c>
      <c r="O1003">
        <v>2</v>
      </c>
      <c r="P1003">
        <v>8</v>
      </c>
      <c r="Q1003">
        <v>0</v>
      </c>
      <c r="R1003">
        <v>0</v>
      </c>
      <c r="S1003">
        <v>0</v>
      </c>
      <c r="T1003">
        <v>0</v>
      </c>
      <c r="U1003">
        <v>0</v>
      </c>
      <c r="V1003">
        <f>IF(SUM(ifood_data[[#This Row],[AcceptedCmp1]:[AcceptedCmp5]])&gt;0,1,0)</f>
        <v>0</v>
      </c>
      <c r="W1003">
        <v>0</v>
      </c>
      <c r="X1003">
        <v>3</v>
      </c>
      <c r="Y1003">
        <v>11</v>
      </c>
      <c r="Z1003">
        <v>0</v>
      </c>
      <c r="AA1003">
        <v>42</v>
      </c>
      <c r="AB1003">
        <v>2207</v>
      </c>
      <c r="AC1003" s="28">
        <f>ifood_data[[#This Row],[Customer_Days]]/365</f>
        <v>6.0465753424657533</v>
      </c>
      <c r="AD1003">
        <v>0</v>
      </c>
      <c r="AE1003">
        <v>0</v>
      </c>
      <c r="AF1003">
        <v>1</v>
      </c>
      <c r="AG1003">
        <v>0</v>
      </c>
      <c r="AH1003">
        <v>0</v>
      </c>
      <c r="AI1003">
        <v>1</v>
      </c>
      <c r="AJ1003">
        <v>0</v>
      </c>
      <c r="AK1003">
        <v>0</v>
      </c>
      <c r="AL1003">
        <v>0</v>
      </c>
      <c r="AM1003">
        <v>0</v>
      </c>
      <c r="AN1003">
        <v>16</v>
      </c>
      <c r="AO1003">
        <v>15</v>
      </c>
      <c r="AP1003">
        <f>ifood_data[[#This Row],[MntTotal]]-ifood_data[[#This Row],[MntRegularProds]]</f>
        <v>1</v>
      </c>
      <c r="AQ1003">
        <v>0</v>
      </c>
      <c r="AR1003">
        <f>IF(SUM(ifood_data[[#This Row],[Kidhome]:[Teenhome]])&gt;0,1,0)</f>
        <v>1</v>
      </c>
      <c r="AS1003" t="str">
        <f>IF(SUM(ifood_data[[#This Row],[Kidhome]:[Teenhome]])&gt;0,"Has Family","No Family")</f>
        <v>Has Family</v>
      </c>
      <c r="AT1003" t="str">
        <f>IF(ifood_data[[#This Row],[marital_Married]]=1,"Married", (IF(ifood_data[[#This Row],[marital_Single]]=1,"Single",(IF(ifood_data[[#This Row],[marital_Divorced]]=1,"Divorced",(IF(ifood_data[[#This Row],[marital_Together]]=1,"Living Together",(IF(ifood_data[[#This Row],[marital_Widow]]=1,"Widow","Other")))))))))</f>
        <v>Single</v>
      </c>
      <c r="AU1003" t="str">
        <f>IF(ifood_data[[#This Row],[education_Basic]]=1,"High School",(IF(ifood_data[[#This Row],[education_Graduation]]=1,"Undergraduate Degree",(IF(SUM(AM1003,AL1003,AI1003)&gt;0,"Master's Degree or Higher","Other")))))</f>
        <v>Master's Degree or Higher</v>
      </c>
      <c r="AV1003" t="str">
        <f>IF(ifood_data[[#All],[Income]]&gt;75000,"75K+",(IF(ifood_data[[#All],[Income]]&gt;50000,"50K-75K",(IF(ifood_data[[#All],[Income]]&gt;35000,"35K-50K","&lt;35K")))))</f>
        <v>50K-75K</v>
      </c>
      <c r="AW1003" t="str">
        <f>IF(ifood_data[[#All],[Age]]&gt;60,"60+",(IF(ifood_data[[#All],[Age]]&gt;50,"50-60",(IF(ifood_data[[#All],[Age]]&gt;40,"40-50",(IF(ifood_data[[#All],[Age]]&gt;30,"30-40","&lt;30")))))))</f>
        <v>40-50</v>
      </c>
      <c r="AX1003">
        <f t="shared" si="60"/>
        <v>12</v>
      </c>
      <c r="AY1003">
        <f t="shared" si="61"/>
        <v>10</v>
      </c>
      <c r="AZ1003">
        <f t="shared" si="62"/>
        <v>1</v>
      </c>
      <c r="BA1003">
        <f t="shared" si="63"/>
        <v>0</v>
      </c>
      <c r="BB1003">
        <f>SUM(ifood_data[[#This Row],[Recency Score]:[Monetary Score]])</f>
        <v>11</v>
      </c>
      <c r="BC1003">
        <f>(_xlfn.PERCENTRANK.INC(ifood_data[[#All],[RFM]],ifood_data[[#This Row],[RFM]],1))*10</f>
        <v>2</v>
      </c>
      <c r="BD1003" t="str">
        <f>VLOOKUP(ifood_data[[#This Row],[RFM Score]],'RFM Analysis'!$A$3:$B$14,2,FALSE)</f>
        <v>At Risk</v>
      </c>
      <c r="BE1003">
        <f>'Regression Models'!$B$101+'Regression Models'!$B$102*ifood_data[[#This Row],[Income]]+'Regression Models'!$B$103*ifood_data[[#This Row],[Age]]+'Regression Models'!$B$104*ifood_data[[#This Row],[Family]]</f>
        <v>509.63242460976119</v>
      </c>
      <c r="BF1003" t="str">
        <f>IF(ifood_data[[#This Row],[AcceptedCmpOverall]]=1,"Campaign Respondent","Non-respondent")</f>
        <v>Non-respondent</v>
      </c>
    </row>
    <row r="1004" spans="1:58" x14ac:dyDescent="0.35">
      <c r="A1004">
        <v>1402</v>
      </c>
      <c r="B1004">
        <v>53977</v>
      </c>
      <c r="C1004">
        <v>0</v>
      </c>
      <c r="D1004">
        <v>1</v>
      </c>
      <c r="E1004">
        <v>21</v>
      </c>
      <c r="F1004">
        <v>620</v>
      </c>
      <c r="G1004">
        <v>16</v>
      </c>
      <c r="H1004">
        <v>165</v>
      </c>
      <c r="I1004">
        <v>0</v>
      </c>
      <c r="J1004">
        <v>24</v>
      </c>
      <c r="K1004">
        <v>82</v>
      </c>
      <c r="L1004">
        <v>5</v>
      </c>
      <c r="M1004">
        <v>5</v>
      </c>
      <c r="N1004">
        <v>5</v>
      </c>
      <c r="O1004">
        <v>12</v>
      </c>
      <c r="P1004">
        <v>5</v>
      </c>
      <c r="Q1004">
        <v>0</v>
      </c>
      <c r="R1004">
        <v>0</v>
      </c>
      <c r="S1004">
        <v>0</v>
      </c>
      <c r="T1004">
        <v>0</v>
      </c>
      <c r="U1004">
        <v>0</v>
      </c>
      <c r="V1004">
        <f>IF(SUM(ifood_data[[#This Row],[AcceptedCmp1]:[AcceptedCmp5]])&gt;0,1,0)</f>
        <v>0</v>
      </c>
      <c r="W1004">
        <v>0</v>
      </c>
      <c r="X1004">
        <v>3</v>
      </c>
      <c r="Y1004">
        <v>11</v>
      </c>
      <c r="Z1004">
        <v>0</v>
      </c>
      <c r="AA1004">
        <v>62</v>
      </c>
      <c r="AB1004">
        <v>2545</v>
      </c>
      <c r="AC1004" s="28">
        <f>ifood_data[[#This Row],[Customer_Days]]/365</f>
        <v>6.9726027397260273</v>
      </c>
      <c r="AD1004">
        <v>0</v>
      </c>
      <c r="AE1004">
        <v>0</v>
      </c>
      <c r="AF1004">
        <v>0</v>
      </c>
      <c r="AG1004">
        <v>1</v>
      </c>
      <c r="AH1004">
        <v>0</v>
      </c>
      <c r="AI1004">
        <v>0</v>
      </c>
      <c r="AJ1004">
        <v>0</v>
      </c>
      <c r="AK1004">
        <v>1</v>
      </c>
      <c r="AL1004">
        <v>0</v>
      </c>
      <c r="AM1004">
        <v>0</v>
      </c>
      <c r="AN1004">
        <v>825</v>
      </c>
      <c r="AO1004">
        <v>743</v>
      </c>
      <c r="AP1004">
        <f>ifood_data[[#This Row],[MntTotal]]-ifood_data[[#This Row],[MntRegularProds]]</f>
        <v>82</v>
      </c>
      <c r="AQ1004">
        <v>0</v>
      </c>
      <c r="AR1004">
        <f>IF(SUM(ifood_data[[#This Row],[Kidhome]:[Teenhome]])&gt;0,1,0)</f>
        <v>1</v>
      </c>
      <c r="AS1004" t="str">
        <f>IF(SUM(ifood_data[[#This Row],[Kidhome]:[Teenhome]])&gt;0,"Has Family","No Family")</f>
        <v>Has Family</v>
      </c>
      <c r="AT1004" t="str">
        <f>IF(ifood_data[[#This Row],[marital_Married]]=1,"Married", (IF(ifood_data[[#This Row],[marital_Single]]=1,"Single",(IF(ifood_data[[#This Row],[marital_Divorced]]=1,"Divorced",(IF(ifood_data[[#This Row],[marital_Together]]=1,"Living Together",(IF(ifood_data[[#This Row],[marital_Widow]]=1,"Widow","Other")))))))))</f>
        <v>Living Together</v>
      </c>
      <c r="AU1004" t="str">
        <f>IF(ifood_data[[#This Row],[education_Basic]]=1,"High School",(IF(ifood_data[[#This Row],[education_Graduation]]=1,"Undergraduate Degree",(IF(SUM(AM1004,AL1004,AI1004)&gt;0,"Master's Degree or Higher","Other")))))</f>
        <v>Undergraduate Degree</v>
      </c>
      <c r="AV1004" t="str">
        <f>IF(ifood_data[[#All],[Income]]&gt;75000,"75K+",(IF(ifood_data[[#All],[Income]]&gt;50000,"50K-75K",(IF(ifood_data[[#All],[Income]]&gt;35000,"35K-50K","&lt;35K")))))</f>
        <v>50K-75K</v>
      </c>
      <c r="AW1004" t="str">
        <f>IF(ifood_data[[#All],[Age]]&gt;60,"60+",(IF(ifood_data[[#All],[Age]]&gt;50,"50-60",(IF(ifood_data[[#All],[Age]]&gt;40,"40-50",(IF(ifood_data[[#All],[Age]]&gt;30,"30-40","&lt;30")))))))</f>
        <v>60+</v>
      </c>
      <c r="AX1004">
        <f t="shared" si="60"/>
        <v>32</v>
      </c>
      <c r="AY1004">
        <f t="shared" si="61"/>
        <v>8</v>
      </c>
      <c r="AZ1004">
        <f t="shared" si="62"/>
        <v>9</v>
      </c>
      <c r="BA1004">
        <f t="shared" si="63"/>
        <v>6</v>
      </c>
      <c r="BB1004">
        <f>SUM(ifood_data[[#This Row],[Recency Score]:[Monetary Score]])</f>
        <v>23</v>
      </c>
      <c r="BC1004">
        <f>(_xlfn.PERCENTRANK.INC(ifood_data[[#All],[RFM]],ifood_data[[#This Row],[RFM]],1))*10</f>
        <v>8</v>
      </c>
      <c r="BD1004" t="str">
        <f>VLOOKUP(ifood_data[[#This Row],[RFM Score]],'RFM Analysis'!$A$3:$B$14,2,FALSE)</f>
        <v>Loyal Customer</v>
      </c>
      <c r="BE1004">
        <f>'Regression Models'!$B$101+'Regression Models'!$B$102*ifood_data[[#This Row],[Income]]+'Regression Models'!$B$103*ifood_data[[#This Row],[Age]]+'Regression Models'!$B$104*ifood_data[[#This Row],[Family]]</f>
        <v>509.23642786430344</v>
      </c>
      <c r="BF1004" t="str">
        <f>IF(ifood_data[[#This Row],[AcceptedCmpOverall]]=1,"Campaign Respondent","Non-respondent")</f>
        <v>Non-respondent</v>
      </c>
    </row>
    <row r="1005" spans="1:58" x14ac:dyDescent="0.35">
      <c r="A1005">
        <v>118</v>
      </c>
      <c r="B1005">
        <v>54348</v>
      </c>
      <c r="C1005">
        <v>1</v>
      </c>
      <c r="D1005">
        <v>1</v>
      </c>
      <c r="E1005">
        <v>51</v>
      </c>
      <c r="F1005">
        <v>70</v>
      </c>
      <c r="G1005">
        <v>0</v>
      </c>
      <c r="H1005">
        <v>16</v>
      </c>
      <c r="I1005">
        <v>0</v>
      </c>
      <c r="J1005">
        <v>0</v>
      </c>
      <c r="K1005">
        <v>4</v>
      </c>
      <c r="L1005">
        <v>2</v>
      </c>
      <c r="M1005">
        <v>2</v>
      </c>
      <c r="N1005">
        <v>0</v>
      </c>
      <c r="O1005">
        <v>4</v>
      </c>
      <c r="P1005">
        <v>6</v>
      </c>
      <c r="Q1005">
        <v>0</v>
      </c>
      <c r="R1005">
        <v>0</v>
      </c>
      <c r="S1005">
        <v>0</v>
      </c>
      <c r="T1005">
        <v>0</v>
      </c>
      <c r="U1005">
        <v>0</v>
      </c>
      <c r="V1005">
        <f>IF(SUM(ifood_data[[#This Row],[AcceptedCmp1]:[AcceptedCmp5]])&gt;0,1,0)</f>
        <v>0</v>
      </c>
      <c r="W1005">
        <v>0</v>
      </c>
      <c r="X1005">
        <v>3</v>
      </c>
      <c r="Y1005">
        <v>11</v>
      </c>
      <c r="Z1005">
        <v>0</v>
      </c>
      <c r="AA1005">
        <v>67</v>
      </c>
      <c r="AB1005">
        <v>2180</v>
      </c>
      <c r="AC1005" s="28">
        <f>ifood_data[[#This Row],[Customer_Days]]/365</f>
        <v>5.9726027397260273</v>
      </c>
      <c r="AD1005">
        <v>0</v>
      </c>
      <c r="AE1005">
        <v>1</v>
      </c>
      <c r="AF1005">
        <v>0</v>
      </c>
      <c r="AG1005">
        <v>0</v>
      </c>
      <c r="AH1005">
        <v>0</v>
      </c>
      <c r="AI1005">
        <v>0</v>
      </c>
      <c r="AJ1005">
        <v>0</v>
      </c>
      <c r="AK1005">
        <v>0</v>
      </c>
      <c r="AL1005">
        <v>1</v>
      </c>
      <c r="AM1005">
        <v>0</v>
      </c>
      <c r="AN1005">
        <v>86</v>
      </c>
      <c r="AO1005">
        <v>82</v>
      </c>
      <c r="AP1005">
        <f>ifood_data[[#This Row],[MntTotal]]-ifood_data[[#This Row],[MntRegularProds]]</f>
        <v>4</v>
      </c>
      <c r="AQ1005">
        <v>0</v>
      </c>
      <c r="AR1005">
        <f>IF(SUM(ifood_data[[#This Row],[Kidhome]:[Teenhome]])&gt;0,1,0)</f>
        <v>1</v>
      </c>
      <c r="AS1005" t="str">
        <f>IF(SUM(ifood_data[[#This Row],[Kidhome]:[Teenhome]])&gt;0,"Has Family","No Family")</f>
        <v>Has Family</v>
      </c>
      <c r="AT1005" t="str">
        <f>IF(ifood_data[[#This Row],[marital_Married]]=1,"Married", (IF(ifood_data[[#This Row],[marital_Single]]=1,"Single",(IF(ifood_data[[#This Row],[marital_Divorced]]=1,"Divorced",(IF(ifood_data[[#This Row],[marital_Together]]=1,"Living Together",(IF(ifood_data[[#This Row],[marital_Widow]]=1,"Widow","Other")))))))))</f>
        <v>Married</v>
      </c>
      <c r="AU1005" t="str">
        <f>IF(ifood_data[[#This Row],[education_Basic]]=1,"High School",(IF(ifood_data[[#This Row],[education_Graduation]]=1,"Undergraduate Degree",(IF(SUM(AM1005,AL1005,AI1005)&gt;0,"Master's Degree or Higher","Other")))))</f>
        <v>Master's Degree or Higher</v>
      </c>
      <c r="AV1005" t="str">
        <f>IF(ifood_data[[#All],[Income]]&gt;75000,"75K+",(IF(ifood_data[[#All],[Income]]&gt;50000,"50K-75K",(IF(ifood_data[[#All],[Income]]&gt;35000,"35K-50K","&lt;35K")))))</f>
        <v>50K-75K</v>
      </c>
      <c r="AW1005" t="str">
        <f>IF(ifood_data[[#All],[Age]]&gt;60,"60+",(IF(ifood_data[[#All],[Age]]&gt;50,"50-60",(IF(ifood_data[[#All],[Age]]&gt;40,"40-50",(IF(ifood_data[[#All],[Age]]&gt;30,"30-40","&lt;30")))))))</f>
        <v>60+</v>
      </c>
      <c r="AX1005">
        <f t="shared" si="60"/>
        <v>14</v>
      </c>
      <c r="AY1005">
        <f t="shared" si="61"/>
        <v>5</v>
      </c>
      <c r="AZ1005">
        <f t="shared" si="62"/>
        <v>2</v>
      </c>
      <c r="BA1005">
        <f t="shared" si="63"/>
        <v>3</v>
      </c>
      <c r="BB1005">
        <f>SUM(ifood_data[[#This Row],[Recency Score]:[Monetary Score]])</f>
        <v>10</v>
      </c>
      <c r="BC1005">
        <f>(_xlfn.PERCENTRANK.INC(ifood_data[[#All],[RFM]],ifood_data[[#This Row],[RFM]],1))*10</f>
        <v>2</v>
      </c>
      <c r="BD1005" t="str">
        <f>VLOOKUP(ifood_data[[#This Row],[RFM Score]],'RFM Analysis'!$A$3:$B$14,2,FALSE)</f>
        <v>At Risk</v>
      </c>
      <c r="BE1005">
        <f>'Regression Models'!$B$101+'Regression Models'!$B$102*ifood_data[[#This Row],[Income]]+'Regression Models'!$B$103*ifood_data[[#This Row],[Age]]+'Regression Models'!$B$104*ifood_data[[#This Row],[Family]]</f>
        <v>507.61846545121864</v>
      </c>
      <c r="BF1005" t="str">
        <f>IF(ifood_data[[#This Row],[AcceptedCmpOverall]]=1,"Campaign Respondent","Non-respondent")</f>
        <v>Non-respondent</v>
      </c>
    </row>
    <row r="1006" spans="1:58" x14ac:dyDescent="0.35">
      <c r="A1006">
        <v>1191</v>
      </c>
      <c r="B1006">
        <v>53378</v>
      </c>
      <c r="C1006">
        <v>1</v>
      </c>
      <c r="D1006">
        <v>1</v>
      </c>
      <c r="E1006">
        <v>41</v>
      </c>
      <c r="F1006">
        <v>489</v>
      </c>
      <c r="G1006">
        <v>6</v>
      </c>
      <c r="H1006">
        <v>152</v>
      </c>
      <c r="I1006">
        <v>8</v>
      </c>
      <c r="J1006">
        <v>6</v>
      </c>
      <c r="K1006">
        <v>132</v>
      </c>
      <c r="L1006">
        <v>10</v>
      </c>
      <c r="M1006">
        <v>9</v>
      </c>
      <c r="N1006">
        <v>4</v>
      </c>
      <c r="O1006">
        <v>6</v>
      </c>
      <c r="P1006">
        <v>8</v>
      </c>
      <c r="Q1006">
        <v>0</v>
      </c>
      <c r="R1006">
        <v>0</v>
      </c>
      <c r="S1006">
        <v>0</v>
      </c>
      <c r="T1006">
        <v>0</v>
      </c>
      <c r="U1006">
        <v>0</v>
      </c>
      <c r="V1006">
        <f>IF(SUM(ifood_data[[#This Row],[AcceptedCmp1]:[AcceptedCmp5]])&gt;0,1,0)</f>
        <v>0</v>
      </c>
      <c r="W1006">
        <v>0</v>
      </c>
      <c r="X1006">
        <v>3</v>
      </c>
      <c r="Y1006">
        <v>11</v>
      </c>
      <c r="Z1006">
        <v>1</v>
      </c>
      <c r="AA1006">
        <v>57</v>
      </c>
      <c r="AB1006">
        <v>2802</v>
      </c>
      <c r="AC1006" s="28">
        <f>ifood_data[[#This Row],[Customer_Days]]/365</f>
        <v>7.6767123287671231</v>
      </c>
      <c r="AD1006">
        <v>0</v>
      </c>
      <c r="AE1006">
        <v>1</v>
      </c>
      <c r="AF1006">
        <v>0</v>
      </c>
      <c r="AG1006">
        <v>0</v>
      </c>
      <c r="AH1006">
        <v>0</v>
      </c>
      <c r="AI1006">
        <v>0</v>
      </c>
      <c r="AJ1006">
        <v>0</v>
      </c>
      <c r="AK1006">
        <v>0</v>
      </c>
      <c r="AL1006">
        <v>0</v>
      </c>
      <c r="AM1006">
        <v>1</v>
      </c>
      <c r="AN1006">
        <v>661</v>
      </c>
      <c r="AO1006">
        <v>529</v>
      </c>
      <c r="AP1006">
        <f>ifood_data[[#This Row],[MntTotal]]-ifood_data[[#This Row],[MntRegularProds]]</f>
        <v>132</v>
      </c>
      <c r="AQ1006">
        <v>0</v>
      </c>
      <c r="AR1006">
        <f>IF(SUM(ifood_data[[#This Row],[Kidhome]:[Teenhome]])&gt;0,1,0)</f>
        <v>1</v>
      </c>
      <c r="AS1006" t="str">
        <f>IF(SUM(ifood_data[[#This Row],[Kidhome]:[Teenhome]])&gt;0,"Has Family","No Family")</f>
        <v>Has Family</v>
      </c>
      <c r="AT1006" t="str">
        <f>IF(ifood_data[[#This Row],[marital_Married]]=1,"Married", (IF(ifood_data[[#This Row],[marital_Single]]=1,"Single",(IF(ifood_data[[#This Row],[marital_Divorced]]=1,"Divorced",(IF(ifood_data[[#This Row],[marital_Together]]=1,"Living Together",(IF(ifood_data[[#This Row],[marital_Widow]]=1,"Widow","Other")))))))))</f>
        <v>Married</v>
      </c>
      <c r="AU1006" t="str">
        <f>IF(ifood_data[[#This Row],[education_Basic]]=1,"High School",(IF(ifood_data[[#This Row],[education_Graduation]]=1,"Undergraduate Degree",(IF(SUM(AM1006,AL1006,AI1006)&gt;0,"Master's Degree or Higher","Other")))))</f>
        <v>Master's Degree or Higher</v>
      </c>
      <c r="AV1006" t="str">
        <f>IF(ifood_data[[#All],[Income]]&gt;75000,"75K+",(IF(ifood_data[[#All],[Income]]&gt;50000,"50K-75K",(IF(ifood_data[[#All],[Income]]&gt;35000,"35K-50K","&lt;35K")))))</f>
        <v>50K-75K</v>
      </c>
      <c r="AW1006" t="str">
        <f>IF(ifood_data[[#All],[Age]]&gt;60,"60+",(IF(ifood_data[[#All],[Age]]&gt;50,"50-60",(IF(ifood_data[[#All],[Age]]&gt;40,"40-50",(IF(ifood_data[[#All],[Age]]&gt;30,"30-40","&lt;30")))))))</f>
        <v>50-60</v>
      </c>
      <c r="AX1006">
        <f t="shared" si="60"/>
        <v>37</v>
      </c>
      <c r="AY1006">
        <f t="shared" si="61"/>
        <v>6</v>
      </c>
      <c r="AZ1006">
        <f t="shared" si="62"/>
        <v>9</v>
      </c>
      <c r="BA1006">
        <f t="shared" si="63"/>
        <v>6</v>
      </c>
      <c r="BB1006">
        <f>SUM(ifood_data[[#This Row],[Recency Score]:[Monetary Score]])</f>
        <v>21</v>
      </c>
      <c r="BC1006">
        <f>(_xlfn.PERCENTRANK.INC(ifood_data[[#All],[RFM]],ifood_data[[#This Row],[RFM]],1))*10</f>
        <v>8</v>
      </c>
      <c r="BD1006" t="str">
        <f>VLOOKUP(ifood_data[[#This Row],[RFM Score]],'RFM Analysis'!$A$3:$B$14,2,FALSE)</f>
        <v>Loyal Customer</v>
      </c>
      <c r="BE1006">
        <f>'Regression Models'!$B$101+'Regression Models'!$B$102*ifood_data[[#This Row],[Income]]+'Regression Models'!$B$103*ifood_data[[#This Row],[Age]]+'Regression Models'!$B$104*ifood_data[[#This Row],[Family]]</f>
        <v>506.20575114057954</v>
      </c>
      <c r="BF1006" t="str">
        <f>IF(ifood_data[[#This Row],[AcceptedCmpOverall]]=1,"Campaign Respondent","Non-respondent")</f>
        <v>Non-respondent</v>
      </c>
    </row>
    <row r="1007" spans="1:58" x14ac:dyDescent="0.35">
      <c r="A1007">
        <v>900</v>
      </c>
      <c r="B1007">
        <v>52190</v>
      </c>
      <c r="C1007">
        <v>1</v>
      </c>
      <c r="D1007">
        <v>1</v>
      </c>
      <c r="E1007">
        <v>39</v>
      </c>
      <c r="F1007">
        <v>42</v>
      </c>
      <c r="G1007">
        <v>0</v>
      </c>
      <c r="H1007">
        <v>17</v>
      </c>
      <c r="I1007">
        <v>0</v>
      </c>
      <c r="J1007">
        <v>0</v>
      </c>
      <c r="K1007">
        <v>18</v>
      </c>
      <c r="L1007">
        <v>3</v>
      </c>
      <c r="M1007">
        <v>2</v>
      </c>
      <c r="N1007">
        <v>1</v>
      </c>
      <c r="O1007">
        <v>3</v>
      </c>
      <c r="P1007">
        <v>5</v>
      </c>
      <c r="Q1007">
        <v>0</v>
      </c>
      <c r="R1007">
        <v>0</v>
      </c>
      <c r="S1007">
        <v>1</v>
      </c>
      <c r="T1007">
        <v>0</v>
      </c>
      <c r="U1007">
        <v>0</v>
      </c>
      <c r="V1007">
        <f>IF(SUM(ifood_data[[#This Row],[AcceptedCmp1]:[AcceptedCmp5]])&gt;0,1,0)</f>
        <v>1</v>
      </c>
      <c r="W1007">
        <v>0</v>
      </c>
      <c r="X1007">
        <v>3</v>
      </c>
      <c r="Y1007">
        <v>11</v>
      </c>
      <c r="Z1007">
        <v>0</v>
      </c>
      <c r="AA1007">
        <v>44</v>
      </c>
      <c r="AB1007">
        <v>2211</v>
      </c>
      <c r="AC1007" s="28">
        <f>ifood_data[[#This Row],[Customer_Days]]/365</f>
        <v>6.0575342465753428</v>
      </c>
      <c r="AD1007">
        <v>0</v>
      </c>
      <c r="AE1007">
        <v>0</v>
      </c>
      <c r="AF1007">
        <v>0</v>
      </c>
      <c r="AG1007">
        <v>1</v>
      </c>
      <c r="AH1007">
        <v>0</v>
      </c>
      <c r="AI1007">
        <v>0</v>
      </c>
      <c r="AJ1007">
        <v>0</v>
      </c>
      <c r="AK1007">
        <v>0</v>
      </c>
      <c r="AL1007">
        <v>0</v>
      </c>
      <c r="AM1007">
        <v>1</v>
      </c>
      <c r="AN1007">
        <v>59</v>
      </c>
      <c r="AO1007">
        <v>41</v>
      </c>
      <c r="AP1007">
        <f>ifood_data[[#This Row],[MntTotal]]-ifood_data[[#This Row],[MntRegularProds]]</f>
        <v>18</v>
      </c>
      <c r="AQ1007">
        <v>1</v>
      </c>
      <c r="AR1007">
        <f>IF(SUM(ifood_data[[#This Row],[Kidhome]:[Teenhome]])&gt;0,1,0)</f>
        <v>1</v>
      </c>
      <c r="AS1007" t="str">
        <f>IF(SUM(ifood_data[[#This Row],[Kidhome]:[Teenhome]])&gt;0,"Has Family","No Family")</f>
        <v>Has Family</v>
      </c>
      <c r="AT1007" t="str">
        <f>IF(ifood_data[[#This Row],[marital_Married]]=1,"Married", (IF(ifood_data[[#This Row],[marital_Single]]=1,"Single",(IF(ifood_data[[#This Row],[marital_Divorced]]=1,"Divorced",(IF(ifood_data[[#This Row],[marital_Together]]=1,"Living Together",(IF(ifood_data[[#This Row],[marital_Widow]]=1,"Widow","Other")))))))))</f>
        <v>Living Together</v>
      </c>
      <c r="AU1007" t="str">
        <f>IF(ifood_data[[#This Row],[education_Basic]]=1,"High School",(IF(ifood_data[[#This Row],[education_Graduation]]=1,"Undergraduate Degree",(IF(SUM(AM1007,AL1007,AI1007)&gt;0,"Master's Degree or Higher","Other")))))</f>
        <v>Master's Degree or Higher</v>
      </c>
      <c r="AV1007" t="str">
        <f>IF(ifood_data[[#All],[Income]]&gt;75000,"75K+",(IF(ifood_data[[#All],[Income]]&gt;50000,"50K-75K",(IF(ifood_data[[#All],[Income]]&gt;35000,"35K-50K","&lt;35K")))))</f>
        <v>50K-75K</v>
      </c>
      <c r="AW1007" t="str">
        <f>IF(ifood_data[[#All],[Age]]&gt;60,"60+",(IF(ifood_data[[#All],[Age]]&gt;50,"50-60",(IF(ifood_data[[#All],[Age]]&gt;40,"40-50",(IF(ifood_data[[#All],[Age]]&gt;30,"30-40","&lt;30")))))))</f>
        <v>40-50</v>
      </c>
      <c r="AX1007">
        <f t="shared" si="60"/>
        <v>14</v>
      </c>
      <c r="AY1007">
        <f t="shared" si="61"/>
        <v>7</v>
      </c>
      <c r="AZ1007">
        <f t="shared" si="62"/>
        <v>2</v>
      </c>
      <c r="BA1007">
        <f t="shared" si="63"/>
        <v>2</v>
      </c>
      <c r="BB1007">
        <f>SUM(ifood_data[[#This Row],[Recency Score]:[Monetary Score]])</f>
        <v>11</v>
      </c>
      <c r="BC1007">
        <f>(_xlfn.PERCENTRANK.INC(ifood_data[[#All],[RFM]],ifood_data[[#This Row],[RFM]],1))*10</f>
        <v>2</v>
      </c>
      <c r="BD1007" t="str">
        <f>VLOOKUP(ifood_data[[#This Row],[RFM Score]],'RFM Analysis'!$A$3:$B$14,2,FALSE)</f>
        <v>At Risk</v>
      </c>
      <c r="BE1007">
        <f>'Regression Models'!$B$101+'Regression Models'!$B$102*ifood_data[[#This Row],[Income]]+'Regression Models'!$B$103*ifood_data[[#This Row],[Age]]+'Regression Models'!$B$104*ifood_data[[#This Row],[Family]]</f>
        <v>505.85760261125313</v>
      </c>
      <c r="BF1007" t="str">
        <f>IF(ifood_data[[#This Row],[AcceptedCmpOverall]]=1,"Campaign Respondent","Non-respondent")</f>
        <v>Campaign Respondent</v>
      </c>
    </row>
    <row r="1008" spans="1:58" x14ac:dyDescent="0.35">
      <c r="A1008">
        <v>1885</v>
      </c>
      <c r="B1008">
        <v>54591</v>
      </c>
      <c r="C1008">
        <v>0</v>
      </c>
      <c r="D1008">
        <v>1</v>
      </c>
      <c r="E1008">
        <v>63</v>
      </c>
      <c r="F1008">
        <v>376</v>
      </c>
      <c r="G1008">
        <v>4</v>
      </c>
      <c r="H1008">
        <v>94</v>
      </c>
      <c r="I1008">
        <v>12</v>
      </c>
      <c r="J1008">
        <v>9</v>
      </c>
      <c r="K1008">
        <v>24</v>
      </c>
      <c r="L1008">
        <v>3</v>
      </c>
      <c r="M1008">
        <v>6</v>
      </c>
      <c r="N1008">
        <v>2</v>
      </c>
      <c r="O1008">
        <v>8</v>
      </c>
      <c r="P1008">
        <v>5</v>
      </c>
      <c r="Q1008">
        <v>0</v>
      </c>
      <c r="R1008">
        <v>0</v>
      </c>
      <c r="S1008">
        <v>0</v>
      </c>
      <c r="T1008">
        <v>0</v>
      </c>
      <c r="U1008">
        <v>0</v>
      </c>
      <c r="V1008">
        <f>IF(SUM(ifood_data[[#This Row],[AcceptedCmp1]:[AcceptedCmp5]])&gt;0,1,0)</f>
        <v>0</v>
      </c>
      <c r="W1008">
        <v>0</v>
      </c>
      <c r="X1008">
        <v>3</v>
      </c>
      <c r="Y1008">
        <v>11</v>
      </c>
      <c r="Z1008">
        <v>0</v>
      </c>
      <c r="AA1008">
        <v>71</v>
      </c>
      <c r="AB1008">
        <v>2487</v>
      </c>
      <c r="AC1008" s="28">
        <f>ifood_data[[#This Row],[Customer_Days]]/365</f>
        <v>6.8136986301369866</v>
      </c>
      <c r="AD1008">
        <v>0</v>
      </c>
      <c r="AE1008">
        <v>0</v>
      </c>
      <c r="AF1008">
        <v>0</v>
      </c>
      <c r="AG1008">
        <v>1</v>
      </c>
      <c r="AH1008">
        <v>0</v>
      </c>
      <c r="AI1008">
        <v>0</v>
      </c>
      <c r="AJ1008">
        <v>0</v>
      </c>
      <c r="AK1008">
        <v>1</v>
      </c>
      <c r="AL1008">
        <v>0</v>
      </c>
      <c r="AM1008">
        <v>0</v>
      </c>
      <c r="AN1008">
        <v>495</v>
      </c>
      <c r="AO1008">
        <v>471</v>
      </c>
      <c r="AP1008">
        <f>ifood_data[[#This Row],[MntTotal]]-ifood_data[[#This Row],[MntRegularProds]]</f>
        <v>24</v>
      </c>
      <c r="AQ1008">
        <v>0</v>
      </c>
      <c r="AR1008">
        <f>IF(SUM(ifood_data[[#This Row],[Kidhome]:[Teenhome]])&gt;0,1,0)</f>
        <v>1</v>
      </c>
      <c r="AS1008" t="str">
        <f>IF(SUM(ifood_data[[#This Row],[Kidhome]:[Teenhome]])&gt;0,"Has Family","No Family")</f>
        <v>Has Family</v>
      </c>
      <c r="AT1008" t="str">
        <f>IF(ifood_data[[#This Row],[marital_Married]]=1,"Married", (IF(ifood_data[[#This Row],[marital_Single]]=1,"Single",(IF(ifood_data[[#This Row],[marital_Divorced]]=1,"Divorced",(IF(ifood_data[[#This Row],[marital_Together]]=1,"Living Together",(IF(ifood_data[[#This Row],[marital_Widow]]=1,"Widow","Other")))))))))</f>
        <v>Living Together</v>
      </c>
      <c r="AU1008" t="str">
        <f>IF(ifood_data[[#This Row],[education_Basic]]=1,"High School",(IF(ifood_data[[#This Row],[education_Graduation]]=1,"Undergraduate Degree",(IF(SUM(AM1008,AL1008,AI1008)&gt;0,"Master's Degree or Higher","Other")))))</f>
        <v>Undergraduate Degree</v>
      </c>
      <c r="AV1008" t="str">
        <f>IF(ifood_data[[#All],[Income]]&gt;75000,"75K+",(IF(ifood_data[[#All],[Income]]&gt;50000,"50K-75K",(IF(ifood_data[[#All],[Income]]&gt;35000,"35K-50K","&lt;35K")))))</f>
        <v>50K-75K</v>
      </c>
      <c r="AW1008" t="str">
        <f>IF(ifood_data[[#All],[Age]]&gt;60,"60+",(IF(ifood_data[[#All],[Age]]&gt;50,"50-60",(IF(ifood_data[[#All],[Age]]&gt;40,"40-50",(IF(ifood_data[[#All],[Age]]&gt;30,"30-40","&lt;30")))))))</f>
        <v>60+</v>
      </c>
      <c r="AX1008">
        <f t="shared" si="60"/>
        <v>24</v>
      </c>
      <c r="AY1008">
        <f t="shared" si="61"/>
        <v>4</v>
      </c>
      <c r="AZ1008">
        <f t="shared" si="62"/>
        <v>6</v>
      </c>
      <c r="BA1008">
        <f t="shared" si="63"/>
        <v>5</v>
      </c>
      <c r="BB1008">
        <f>SUM(ifood_data[[#This Row],[Recency Score]:[Monetary Score]])</f>
        <v>15</v>
      </c>
      <c r="BC1008">
        <f>(_xlfn.PERCENTRANK.INC(ifood_data[[#All],[RFM]],ifood_data[[#This Row],[RFM]],1))*10</f>
        <v>4</v>
      </c>
      <c r="BD1008" t="str">
        <f>VLOOKUP(ifood_data[[#This Row],[RFM Score]],'RFM Analysis'!$A$3:$B$14,2,FALSE)</f>
        <v>At Risk</v>
      </c>
      <c r="BE1008">
        <f>'Regression Models'!$B$101+'Regression Models'!$B$102*ifood_data[[#This Row],[Income]]+'Regression Models'!$B$103*ifood_data[[#This Row],[Age]]+'Regression Models'!$B$104*ifood_data[[#This Row],[Family]]</f>
        <v>505.22717979460901</v>
      </c>
      <c r="BF1008" t="str">
        <f>IF(ifood_data[[#This Row],[AcceptedCmpOverall]]=1,"Campaign Respondent","Non-respondent")</f>
        <v>Non-respondent</v>
      </c>
    </row>
    <row r="1009" spans="1:58" x14ac:dyDescent="0.35">
      <c r="A1009">
        <v>1406</v>
      </c>
      <c r="B1009">
        <v>51766</v>
      </c>
      <c r="C1009">
        <v>1</v>
      </c>
      <c r="D1009">
        <v>0</v>
      </c>
      <c r="E1009">
        <v>74</v>
      </c>
      <c r="F1009">
        <v>60</v>
      </c>
      <c r="G1009">
        <v>51</v>
      </c>
      <c r="H1009">
        <v>87</v>
      </c>
      <c r="I1009">
        <v>6</v>
      </c>
      <c r="J1009">
        <v>20</v>
      </c>
      <c r="K1009">
        <v>51</v>
      </c>
      <c r="L1009">
        <v>2</v>
      </c>
      <c r="M1009">
        <v>4</v>
      </c>
      <c r="N1009">
        <v>2</v>
      </c>
      <c r="O1009">
        <v>4</v>
      </c>
      <c r="P1009">
        <v>5</v>
      </c>
      <c r="Q1009">
        <v>0</v>
      </c>
      <c r="R1009">
        <v>0</v>
      </c>
      <c r="S1009">
        <v>0</v>
      </c>
      <c r="T1009">
        <v>0</v>
      </c>
      <c r="U1009">
        <v>0</v>
      </c>
      <c r="V1009">
        <f>IF(SUM(ifood_data[[#This Row],[AcceptedCmp1]:[AcceptedCmp5]])&gt;0,1,0)</f>
        <v>0</v>
      </c>
      <c r="W1009">
        <v>0</v>
      </c>
      <c r="X1009">
        <v>3</v>
      </c>
      <c r="Y1009">
        <v>11</v>
      </c>
      <c r="Z1009">
        <v>0</v>
      </c>
      <c r="AA1009">
        <v>40</v>
      </c>
      <c r="AB1009">
        <v>2269</v>
      </c>
      <c r="AC1009" s="28">
        <f>ifood_data[[#This Row],[Customer_Days]]/365</f>
        <v>6.2164383561643834</v>
      </c>
      <c r="AD1009">
        <v>0</v>
      </c>
      <c r="AE1009">
        <v>0</v>
      </c>
      <c r="AF1009">
        <v>1</v>
      </c>
      <c r="AG1009">
        <v>0</v>
      </c>
      <c r="AH1009">
        <v>0</v>
      </c>
      <c r="AI1009">
        <v>0</v>
      </c>
      <c r="AJ1009">
        <v>0</v>
      </c>
      <c r="AK1009">
        <v>1</v>
      </c>
      <c r="AL1009">
        <v>0</v>
      </c>
      <c r="AM1009">
        <v>0</v>
      </c>
      <c r="AN1009">
        <v>224</v>
      </c>
      <c r="AO1009">
        <v>173</v>
      </c>
      <c r="AP1009">
        <f>ifood_data[[#This Row],[MntTotal]]-ifood_data[[#This Row],[MntRegularProds]]</f>
        <v>51</v>
      </c>
      <c r="AQ1009">
        <v>0</v>
      </c>
      <c r="AR1009">
        <f>IF(SUM(ifood_data[[#This Row],[Kidhome]:[Teenhome]])&gt;0,1,0)</f>
        <v>1</v>
      </c>
      <c r="AS1009" t="str">
        <f>IF(SUM(ifood_data[[#This Row],[Kidhome]:[Teenhome]])&gt;0,"Has Family","No Family")</f>
        <v>Has Family</v>
      </c>
      <c r="AT1009" t="str">
        <f>IF(ifood_data[[#This Row],[marital_Married]]=1,"Married", (IF(ifood_data[[#This Row],[marital_Single]]=1,"Single",(IF(ifood_data[[#This Row],[marital_Divorced]]=1,"Divorced",(IF(ifood_data[[#This Row],[marital_Together]]=1,"Living Together",(IF(ifood_data[[#This Row],[marital_Widow]]=1,"Widow","Other")))))))))</f>
        <v>Single</v>
      </c>
      <c r="AU1009" t="str">
        <f>IF(ifood_data[[#This Row],[education_Basic]]=1,"High School",(IF(ifood_data[[#This Row],[education_Graduation]]=1,"Undergraduate Degree",(IF(SUM(AM1009,AL1009,AI1009)&gt;0,"Master's Degree or Higher","Other")))))</f>
        <v>Undergraduate Degree</v>
      </c>
      <c r="AV1009" t="str">
        <f>IF(ifood_data[[#All],[Income]]&gt;75000,"75K+",(IF(ifood_data[[#All],[Income]]&gt;50000,"50K-75K",(IF(ifood_data[[#All],[Income]]&gt;35000,"35K-50K","&lt;35K")))))</f>
        <v>50K-75K</v>
      </c>
      <c r="AW1009" t="str">
        <f>IF(ifood_data[[#All],[Age]]&gt;60,"60+",(IF(ifood_data[[#All],[Age]]&gt;50,"50-60",(IF(ifood_data[[#All],[Age]]&gt;40,"40-50",(IF(ifood_data[[#All],[Age]]&gt;30,"30-40","&lt;30")))))))</f>
        <v>30-40</v>
      </c>
      <c r="AX1009">
        <f t="shared" si="60"/>
        <v>17</v>
      </c>
      <c r="AY1009">
        <f t="shared" si="61"/>
        <v>3.0000000000000004</v>
      </c>
      <c r="AZ1009">
        <f t="shared" si="62"/>
        <v>3</v>
      </c>
      <c r="BA1009">
        <f t="shared" si="63"/>
        <v>4</v>
      </c>
      <c r="BB1009">
        <f>SUM(ifood_data[[#This Row],[Recency Score]:[Monetary Score]])</f>
        <v>10</v>
      </c>
      <c r="BC1009">
        <f>(_xlfn.PERCENTRANK.INC(ifood_data[[#All],[RFM]],ifood_data[[#This Row],[RFM]],1))*10</f>
        <v>2</v>
      </c>
      <c r="BD1009" t="str">
        <f>VLOOKUP(ifood_data[[#This Row],[RFM Score]],'RFM Analysis'!$A$3:$B$14,2,FALSE)</f>
        <v>At Risk</v>
      </c>
      <c r="BE1009">
        <f>'Regression Models'!$B$101+'Regression Models'!$B$102*ifood_data[[#This Row],[Income]]+'Regression Models'!$B$103*ifood_data[[#This Row],[Age]]+'Regression Models'!$B$104*ifood_data[[#This Row],[Family]]</f>
        <v>504.55852123381703</v>
      </c>
      <c r="BF1009" t="str">
        <f>IF(ifood_data[[#This Row],[AcceptedCmpOverall]]=1,"Campaign Respondent","Non-respondent")</f>
        <v>Non-respondent</v>
      </c>
    </row>
    <row r="1010" spans="1:58" x14ac:dyDescent="0.35">
      <c r="A1010">
        <v>309</v>
      </c>
      <c r="B1010">
        <v>54432</v>
      </c>
      <c r="C1010">
        <v>2</v>
      </c>
      <c r="D1010">
        <v>1</v>
      </c>
      <c r="E1010">
        <v>37</v>
      </c>
      <c r="F1010">
        <v>33</v>
      </c>
      <c r="G1010">
        <v>0</v>
      </c>
      <c r="H1010">
        <v>5</v>
      </c>
      <c r="I1010">
        <v>0</v>
      </c>
      <c r="J1010">
        <v>0</v>
      </c>
      <c r="K1010">
        <v>0</v>
      </c>
      <c r="L1010">
        <v>1</v>
      </c>
      <c r="M1010">
        <v>1</v>
      </c>
      <c r="N1010">
        <v>0</v>
      </c>
      <c r="O1010">
        <v>3</v>
      </c>
      <c r="P1010">
        <v>4</v>
      </c>
      <c r="Q1010">
        <v>0</v>
      </c>
      <c r="R1010">
        <v>0</v>
      </c>
      <c r="S1010">
        <v>0</v>
      </c>
      <c r="T1010">
        <v>0</v>
      </c>
      <c r="U1010">
        <v>0</v>
      </c>
      <c r="V1010">
        <f>IF(SUM(ifood_data[[#This Row],[AcceptedCmp1]:[AcceptedCmp5]])&gt;0,1,0)</f>
        <v>0</v>
      </c>
      <c r="W1010">
        <v>0</v>
      </c>
      <c r="X1010">
        <v>3</v>
      </c>
      <c r="Y1010">
        <v>11</v>
      </c>
      <c r="Z1010">
        <v>0</v>
      </c>
      <c r="AA1010">
        <v>70</v>
      </c>
      <c r="AB1010">
        <v>2575</v>
      </c>
      <c r="AC1010" s="28">
        <f>ifood_data[[#This Row],[Customer_Days]]/365</f>
        <v>7.0547945205479454</v>
      </c>
      <c r="AD1010">
        <v>0</v>
      </c>
      <c r="AE1010">
        <v>1</v>
      </c>
      <c r="AF1010">
        <v>0</v>
      </c>
      <c r="AG1010">
        <v>0</v>
      </c>
      <c r="AH1010">
        <v>0</v>
      </c>
      <c r="AI1010">
        <v>0</v>
      </c>
      <c r="AJ1010">
        <v>0</v>
      </c>
      <c r="AK1010">
        <v>0</v>
      </c>
      <c r="AL1010">
        <v>0</v>
      </c>
      <c r="AM1010">
        <v>1</v>
      </c>
      <c r="AN1010">
        <v>38</v>
      </c>
      <c r="AO1010">
        <v>38</v>
      </c>
      <c r="AP1010">
        <f>ifood_data[[#This Row],[MntTotal]]-ifood_data[[#This Row],[MntRegularProds]]</f>
        <v>0</v>
      </c>
      <c r="AQ1010">
        <v>0</v>
      </c>
      <c r="AR1010">
        <f>IF(SUM(ifood_data[[#This Row],[Kidhome]:[Teenhome]])&gt;0,1,0)</f>
        <v>1</v>
      </c>
      <c r="AS1010" t="str">
        <f>IF(SUM(ifood_data[[#This Row],[Kidhome]:[Teenhome]])&gt;0,"Has Family","No Family")</f>
        <v>Has Family</v>
      </c>
      <c r="AT1010" t="str">
        <f>IF(ifood_data[[#This Row],[marital_Married]]=1,"Married", (IF(ifood_data[[#This Row],[marital_Single]]=1,"Single",(IF(ifood_data[[#This Row],[marital_Divorced]]=1,"Divorced",(IF(ifood_data[[#This Row],[marital_Together]]=1,"Living Together",(IF(ifood_data[[#This Row],[marital_Widow]]=1,"Widow","Other")))))))))</f>
        <v>Married</v>
      </c>
      <c r="AU1010" t="str">
        <f>IF(ifood_data[[#This Row],[education_Basic]]=1,"High School",(IF(ifood_data[[#This Row],[education_Graduation]]=1,"Undergraduate Degree",(IF(SUM(AM1010,AL1010,AI1010)&gt;0,"Master's Degree or Higher","Other")))))</f>
        <v>Master's Degree or Higher</v>
      </c>
      <c r="AV1010" t="str">
        <f>IF(ifood_data[[#All],[Income]]&gt;75000,"75K+",(IF(ifood_data[[#All],[Income]]&gt;50000,"50K-75K",(IF(ifood_data[[#All],[Income]]&gt;35000,"35K-50K","&lt;35K")))))</f>
        <v>50K-75K</v>
      </c>
      <c r="AW1010" t="str">
        <f>IF(ifood_data[[#All],[Age]]&gt;60,"60+",(IF(ifood_data[[#All],[Age]]&gt;50,"50-60",(IF(ifood_data[[#All],[Age]]&gt;40,"40-50",(IF(ifood_data[[#All],[Age]]&gt;30,"30-40","&lt;30")))))))</f>
        <v>60+</v>
      </c>
      <c r="AX1010">
        <f t="shared" si="60"/>
        <v>9</v>
      </c>
      <c r="AY1010">
        <f t="shared" si="61"/>
        <v>7</v>
      </c>
      <c r="AZ1010">
        <f t="shared" si="62"/>
        <v>0</v>
      </c>
      <c r="BA1010">
        <f t="shared" si="63"/>
        <v>1</v>
      </c>
      <c r="BB1010">
        <f>SUM(ifood_data[[#This Row],[Recency Score]:[Monetary Score]])</f>
        <v>8</v>
      </c>
      <c r="BC1010">
        <f>(_xlfn.PERCENTRANK.INC(ifood_data[[#All],[RFM]],ifood_data[[#This Row],[RFM]],1))*10</f>
        <v>1</v>
      </c>
      <c r="BD1010" t="str">
        <f>VLOOKUP(ifood_data[[#This Row],[RFM Score]],'RFM Analysis'!$A$3:$B$14,2,FALSE)</f>
        <v>At Risk</v>
      </c>
      <c r="BE1010">
        <f>'Regression Models'!$B$101+'Regression Models'!$B$102*ifood_data[[#This Row],[Income]]+'Regression Models'!$B$103*ifood_data[[#This Row],[Age]]+'Regression Models'!$B$104*ifood_data[[#This Row],[Family]]</f>
        <v>503.82180473862343</v>
      </c>
      <c r="BF1010" t="str">
        <f>IF(ifood_data[[#This Row],[AcceptedCmpOverall]]=1,"Campaign Respondent","Non-respondent")</f>
        <v>Non-respondent</v>
      </c>
    </row>
    <row r="1011" spans="1:58" x14ac:dyDescent="0.35">
      <c r="A1011">
        <v>161</v>
      </c>
      <c r="B1011">
        <v>53537</v>
      </c>
      <c r="C1011">
        <v>1</v>
      </c>
      <c r="D1011">
        <v>1</v>
      </c>
      <c r="E1011">
        <v>17</v>
      </c>
      <c r="F1011">
        <v>81</v>
      </c>
      <c r="G1011">
        <v>0</v>
      </c>
      <c r="H1011">
        <v>6</v>
      </c>
      <c r="I1011">
        <v>0</v>
      </c>
      <c r="J1011">
        <v>0</v>
      </c>
      <c r="K1011">
        <v>6</v>
      </c>
      <c r="L1011">
        <v>2</v>
      </c>
      <c r="M1011">
        <v>2</v>
      </c>
      <c r="N1011">
        <v>1</v>
      </c>
      <c r="O1011">
        <v>3</v>
      </c>
      <c r="P1011">
        <v>5</v>
      </c>
      <c r="Q1011">
        <v>0</v>
      </c>
      <c r="R1011">
        <v>0</v>
      </c>
      <c r="S1011">
        <v>0</v>
      </c>
      <c r="T1011">
        <v>0</v>
      </c>
      <c r="U1011">
        <v>0</v>
      </c>
      <c r="V1011">
        <f>IF(SUM(ifood_data[[#This Row],[AcceptedCmp1]:[AcceptedCmp5]])&gt;0,1,0)</f>
        <v>0</v>
      </c>
      <c r="W1011">
        <v>0</v>
      </c>
      <c r="X1011">
        <v>3</v>
      </c>
      <c r="Y1011">
        <v>11</v>
      </c>
      <c r="Z1011">
        <v>0</v>
      </c>
      <c r="AA1011">
        <v>61</v>
      </c>
      <c r="AB1011">
        <v>2309</v>
      </c>
      <c r="AC1011" s="28">
        <f>ifood_data[[#This Row],[Customer_Days]]/365</f>
        <v>6.3260273972602743</v>
      </c>
      <c r="AD1011">
        <v>0</v>
      </c>
      <c r="AE1011">
        <v>0</v>
      </c>
      <c r="AF1011">
        <v>0</v>
      </c>
      <c r="AG1011">
        <v>1</v>
      </c>
      <c r="AH1011">
        <v>0</v>
      </c>
      <c r="AI1011">
        <v>0</v>
      </c>
      <c r="AJ1011">
        <v>0</v>
      </c>
      <c r="AK1011">
        <v>0</v>
      </c>
      <c r="AL1011">
        <v>0</v>
      </c>
      <c r="AM1011">
        <v>1</v>
      </c>
      <c r="AN1011">
        <v>87</v>
      </c>
      <c r="AO1011">
        <v>81</v>
      </c>
      <c r="AP1011">
        <f>ifood_data[[#This Row],[MntTotal]]-ifood_data[[#This Row],[MntRegularProds]]</f>
        <v>6</v>
      </c>
      <c r="AQ1011">
        <v>0</v>
      </c>
      <c r="AR1011">
        <f>IF(SUM(ifood_data[[#This Row],[Kidhome]:[Teenhome]])&gt;0,1,0)</f>
        <v>1</v>
      </c>
      <c r="AS1011" t="str">
        <f>IF(SUM(ifood_data[[#This Row],[Kidhome]:[Teenhome]])&gt;0,"Has Family","No Family")</f>
        <v>Has Family</v>
      </c>
      <c r="AT1011" t="str">
        <f>IF(ifood_data[[#This Row],[marital_Married]]=1,"Married", (IF(ifood_data[[#This Row],[marital_Single]]=1,"Single",(IF(ifood_data[[#This Row],[marital_Divorced]]=1,"Divorced",(IF(ifood_data[[#This Row],[marital_Together]]=1,"Living Together",(IF(ifood_data[[#This Row],[marital_Widow]]=1,"Widow","Other")))))))))</f>
        <v>Living Together</v>
      </c>
      <c r="AU1011" t="str">
        <f>IF(ifood_data[[#This Row],[education_Basic]]=1,"High School",(IF(ifood_data[[#This Row],[education_Graduation]]=1,"Undergraduate Degree",(IF(SUM(AM1011,AL1011,AI1011)&gt;0,"Master's Degree or Higher","Other")))))</f>
        <v>Master's Degree or Higher</v>
      </c>
      <c r="AV1011" t="str">
        <f>IF(ifood_data[[#All],[Income]]&gt;75000,"75K+",(IF(ifood_data[[#All],[Income]]&gt;50000,"50K-75K",(IF(ifood_data[[#All],[Income]]&gt;35000,"35K-50K","&lt;35K")))))</f>
        <v>50K-75K</v>
      </c>
      <c r="AW1011" t="str">
        <f>IF(ifood_data[[#All],[Age]]&gt;60,"60+",(IF(ifood_data[[#All],[Age]]&gt;50,"50-60",(IF(ifood_data[[#All],[Age]]&gt;40,"40-50",(IF(ifood_data[[#All],[Age]]&gt;30,"30-40","&lt;30")))))))</f>
        <v>60+</v>
      </c>
      <c r="AX1011">
        <f t="shared" si="60"/>
        <v>13</v>
      </c>
      <c r="AY1011">
        <f t="shared" si="61"/>
        <v>9</v>
      </c>
      <c r="AZ1011">
        <f t="shared" si="62"/>
        <v>1</v>
      </c>
      <c r="BA1011">
        <f t="shared" si="63"/>
        <v>3</v>
      </c>
      <c r="BB1011">
        <f>SUM(ifood_data[[#This Row],[Recency Score]:[Monetary Score]])</f>
        <v>13</v>
      </c>
      <c r="BC1011">
        <f>(_xlfn.PERCENTRANK.INC(ifood_data[[#All],[RFM]],ifood_data[[#This Row],[RFM]],1))*10</f>
        <v>3</v>
      </c>
      <c r="BD1011" t="str">
        <f>VLOOKUP(ifood_data[[#This Row],[RFM Score]],'RFM Analysis'!$A$3:$B$14,2,FALSE)</f>
        <v>At Risk</v>
      </c>
      <c r="BE1011">
        <f>'Regression Models'!$B$101+'Regression Models'!$B$102*ifood_data[[#This Row],[Income]]+'Regression Models'!$B$103*ifood_data[[#This Row],[Age]]+'Regression Models'!$B$104*ifood_data[[#This Row],[Family]]</f>
        <v>502.10180895988231</v>
      </c>
      <c r="BF1011" t="str">
        <f>IF(ifood_data[[#This Row],[AcceptedCmpOverall]]=1,"Campaign Respondent","Non-respondent")</f>
        <v>Non-respondent</v>
      </c>
    </row>
    <row r="1012" spans="1:58" x14ac:dyDescent="0.35">
      <c r="A1012">
        <v>1515</v>
      </c>
      <c r="B1012">
        <v>39228</v>
      </c>
      <c r="C1012">
        <v>0</v>
      </c>
      <c r="D1012">
        <v>0</v>
      </c>
      <c r="E1012">
        <v>1</v>
      </c>
      <c r="F1012">
        <v>7</v>
      </c>
      <c r="G1012">
        <v>1</v>
      </c>
      <c r="H1012">
        <v>6</v>
      </c>
      <c r="I1012">
        <v>0</v>
      </c>
      <c r="J1012">
        <v>3</v>
      </c>
      <c r="K1012">
        <v>3</v>
      </c>
      <c r="L1012">
        <v>1</v>
      </c>
      <c r="M1012">
        <v>0</v>
      </c>
      <c r="N1012">
        <v>0</v>
      </c>
      <c r="O1012">
        <v>3</v>
      </c>
      <c r="P1012">
        <v>4</v>
      </c>
      <c r="Q1012">
        <v>0</v>
      </c>
      <c r="R1012">
        <v>0</v>
      </c>
      <c r="S1012">
        <v>0</v>
      </c>
      <c r="T1012">
        <v>0</v>
      </c>
      <c r="U1012">
        <v>0</v>
      </c>
      <c r="V1012">
        <f>IF(SUM(ifood_data[[#This Row],[AcceptedCmp1]:[AcceptedCmp5]])&gt;0,1,0)</f>
        <v>0</v>
      </c>
      <c r="W1012">
        <v>0</v>
      </c>
      <c r="X1012">
        <v>3</v>
      </c>
      <c r="Y1012">
        <v>11</v>
      </c>
      <c r="Z1012">
        <v>0</v>
      </c>
      <c r="AA1012">
        <v>60</v>
      </c>
      <c r="AB1012">
        <v>2574</v>
      </c>
      <c r="AC1012" s="28">
        <f>ifood_data[[#This Row],[Customer_Days]]/365</f>
        <v>7.0520547945205481</v>
      </c>
      <c r="AD1012">
        <v>1</v>
      </c>
      <c r="AE1012">
        <v>0</v>
      </c>
      <c r="AF1012">
        <v>0</v>
      </c>
      <c r="AG1012">
        <v>0</v>
      </c>
      <c r="AH1012">
        <v>0</v>
      </c>
      <c r="AI1012">
        <v>0</v>
      </c>
      <c r="AJ1012">
        <v>0</v>
      </c>
      <c r="AK1012">
        <v>0</v>
      </c>
      <c r="AL1012">
        <v>1</v>
      </c>
      <c r="AM1012">
        <v>0</v>
      </c>
      <c r="AN1012">
        <v>17</v>
      </c>
      <c r="AO1012">
        <v>14</v>
      </c>
      <c r="AP1012">
        <f>ifood_data[[#This Row],[MntTotal]]-ifood_data[[#This Row],[MntRegularProds]]</f>
        <v>3</v>
      </c>
      <c r="AQ1012">
        <v>0</v>
      </c>
      <c r="AR1012">
        <f>IF(SUM(ifood_data[[#This Row],[Kidhome]:[Teenhome]])&gt;0,1,0)</f>
        <v>0</v>
      </c>
      <c r="AS1012" t="str">
        <f>IF(SUM(ifood_data[[#This Row],[Kidhome]:[Teenhome]])&gt;0,"Has Family","No Family")</f>
        <v>No Family</v>
      </c>
      <c r="AT1012" t="str">
        <f>IF(ifood_data[[#This Row],[marital_Married]]=1,"Married", (IF(ifood_data[[#This Row],[marital_Single]]=1,"Single",(IF(ifood_data[[#This Row],[marital_Divorced]]=1,"Divorced",(IF(ifood_data[[#This Row],[marital_Together]]=1,"Living Together",(IF(ifood_data[[#This Row],[marital_Widow]]=1,"Widow","Other")))))))))</f>
        <v>Divorced</v>
      </c>
      <c r="AU1012" t="str">
        <f>IF(ifood_data[[#This Row],[education_Basic]]=1,"High School",(IF(ifood_data[[#This Row],[education_Graduation]]=1,"Undergraduate Degree",(IF(SUM(AM1012,AL1012,AI1012)&gt;0,"Master's Degree or Higher","Other")))))</f>
        <v>Master's Degree or Higher</v>
      </c>
      <c r="AV1012" t="str">
        <f>IF(ifood_data[[#All],[Income]]&gt;75000,"75K+",(IF(ifood_data[[#All],[Income]]&gt;50000,"50K-75K",(IF(ifood_data[[#All],[Income]]&gt;35000,"35K-50K","&lt;35K")))))</f>
        <v>35K-50K</v>
      </c>
      <c r="AW1012" t="str">
        <f>IF(ifood_data[[#All],[Age]]&gt;60,"60+",(IF(ifood_data[[#All],[Age]]&gt;50,"50-60",(IF(ifood_data[[#All],[Age]]&gt;40,"40-50",(IF(ifood_data[[#All],[Age]]&gt;30,"30-40","&lt;30")))))))</f>
        <v>50-60</v>
      </c>
      <c r="AX1012">
        <f t="shared" si="60"/>
        <v>8</v>
      </c>
      <c r="AY1012">
        <f t="shared" si="61"/>
        <v>10</v>
      </c>
      <c r="AZ1012">
        <f t="shared" si="62"/>
        <v>0</v>
      </c>
      <c r="BA1012">
        <f t="shared" si="63"/>
        <v>0</v>
      </c>
      <c r="BB1012">
        <f>SUM(ifood_data[[#This Row],[Recency Score]:[Monetary Score]])</f>
        <v>10</v>
      </c>
      <c r="BC1012">
        <f>(_xlfn.PERCENTRANK.INC(ifood_data[[#All],[RFM]],ifood_data[[#This Row],[RFM]],1))*10</f>
        <v>2</v>
      </c>
      <c r="BD1012" t="str">
        <f>VLOOKUP(ifood_data[[#This Row],[RFM Score]],'RFM Analysis'!$A$3:$B$14,2,FALSE)</f>
        <v>At Risk</v>
      </c>
      <c r="BE1012">
        <f>'Regression Models'!$B$101+'Regression Models'!$B$102*ifood_data[[#This Row],[Income]]+'Regression Models'!$B$103*ifood_data[[#This Row],[Age]]+'Regression Models'!$B$104*ifood_data[[#This Row],[Family]]</f>
        <v>501.80899574074272</v>
      </c>
      <c r="BF1012" t="str">
        <f>IF(ifood_data[[#This Row],[AcceptedCmpOverall]]=1,"Campaign Respondent","Non-respondent")</f>
        <v>Non-respondent</v>
      </c>
    </row>
    <row r="1013" spans="1:58" x14ac:dyDescent="0.35">
      <c r="A1013">
        <v>561</v>
      </c>
      <c r="B1013">
        <v>53863</v>
      </c>
      <c r="C1013">
        <v>0</v>
      </c>
      <c r="D1013">
        <v>1</v>
      </c>
      <c r="E1013">
        <v>4</v>
      </c>
      <c r="F1013">
        <v>399</v>
      </c>
      <c r="G1013">
        <v>4</v>
      </c>
      <c r="H1013">
        <v>30</v>
      </c>
      <c r="I1013">
        <v>6</v>
      </c>
      <c r="J1013">
        <v>4</v>
      </c>
      <c r="K1013">
        <v>30</v>
      </c>
      <c r="L1013">
        <v>3</v>
      </c>
      <c r="M1013">
        <v>7</v>
      </c>
      <c r="N1013">
        <v>1</v>
      </c>
      <c r="O1013">
        <v>7</v>
      </c>
      <c r="P1013">
        <v>7</v>
      </c>
      <c r="Q1013">
        <v>0</v>
      </c>
      <c r="R1013">
        <v>0</v>
      </c>
      <c r="S1013">
        <v>0</v>
      </c>
      <c r="T1013">
        <v>1</v>
      </c>
      <c r="U1013">
        <v>0</v>
      </c>
      <c r="V1013">
        <f>IF(SUM(ifood_data[[#This Row],[AcceptedCmp1]:[AcceptedCmp5]])&gt;0,1,0)</f>
        <v>1</v>
      </c>
      <c r="W1013">
        <v>0</v>
      </c>
      <c r="X1013">
        <v>3</v>
      </c>
      <c r="Y1013">
        <v>11</v>
      </c>
      <c r="Z1013">
        <v>0</v>
      </c>
      <c r="AA1013">
        <v>65</v>
      </c>
      <c r="AB1013">
        <v>2202</v>
      </c>
      <c r="AC1013" s="28">
        <f>ifood_data[[#This Row],[Customer_Days]]/365</f>
        <v>6.0328767123287674</v>
      </c>
      <c r="AD1013">
        <v>0</v>
      </c>
      <c r="AE1013">
        <v>0</v>
      </c>
      <c r="AF1013">
        <v>0</v>
      </c>
      <c r="AG1013">
        <v>1</v>
      </c>
      <c r="AH1013">
        <v>0</v>
      </c>
      <c r="AI1013">
        <v>0</v>
      </c>
      <c r="AJ1013">
        <v>0</v>
      </c>
      <c r="AK1013">
        <v>1</v>
      </c>
      <c r="AL1013">
        <v>0</v>
      </c>
      <c r="AM1013">
        <v>0</v>
      </c>
      <c r="AN1013">
        <v>443</v>
      </c>
      <c r="AO1013">
        <v>413</v>
      </c>
      <c r="AP1013">
        <f>ifood_data[[#This Row],[MntTotal]]-ifood_data[[#This Row],[MntRegularProds]]</f>
        <v>30</v>
      </c>
      <c r="AQ1013">
        <v>1</v>
      </c>
      <c r="AR1013">
        <f>IF(SUM(ifood_data[[#This Row],[Kidhome]:[Teenhome]])&gt;0,1,0)</f>
        <v>1</v>
      </c>
      <c r="AS1013" t="str">
        <f>IF(SUM(ifood_data[[#This Row],[Kidhome]:[Teenhome]])&gt;0,"Has Family","No Family")</f>
        <v>Has Family</v>
      </c>
      <c r="AT1013" t="str">
        <f>IF(ifood_data[[#This Row],[marital_Married]]=1,"Married", (IF(ifood_data[[#This Row],[marital_Single]]=1,"Single",(IF(ifood_data[[#This Row],[marital_Divorced]]=1,"Divorced",(IF(ifood_data[[#This Row],[marital_Together]]=1,"Living Together",(IF(ifood_data[[#This Row],[marital_Widow]]=1,"Widow","Other")))))))))</f>
        <v>Living Together</v>
      </c>
      <c r="AU1013" t="str">
        <f>IF(ifood_data[[#This Row],[education_Basic]]=1,"High School",(IF(ifood_data[[#This Row],[education_Graduation]]=1,"Undergraduate Degree",(IF(SUM(AM1013,AL1013,AI1013)&gt;0,"Master's Degree or Higher","Other")))))</f>
        <v>Undergraduate Degree</v>
      </c>
      <c r="AV1013" t="str">
        <f>IF(ifood_data[[#All],[Income]]&gt;75000,"75K+",(IF(ifood_data[[#All],[Income]]&gt;50000,"50K-75K",(IF(ifood_data[[#All],[Income]]&gt;35000,"35K-50K","&lt;35K")))))</f>
        <v>50K-75K</v>
      </c>
      <c r="AW1013" t="str">
        <f>IF(ifood_data[[#All],[Age]]&gt;60,"60+",(IF(ifood_data[[#All],[Age]]&gt;50,"50-60",(IF(ifood_data[[#All],[Age]]&gt;40,"40-50",(IF(ifood_data[[#All],[Age]]&gt;30,"30-40","&lt;30")))))))</f>
        <v>60+</v>
      </c>
      <c r="AX1013">
        <f t="shared" si="60"/>
        <v>25</v>
      </c>
      <c r="AY1013">
        <f t="shared" si="61"/>
        <v>10</v>
      </c>
      <c r="AZ1013">
        <f t="shared" si="62"/>
        <v>7</v>
      </c>
      <c r="BA1013">
        <f t="shared" si="63"/>
        <v>5</v>
      </c>
      <c r="BB1013">
        <f>SUM(ifood_data[[#This Row],[Recency Score]:[Monetary Score]])</f>
        <v>22</v>
      </c>
      <c r="BC1013">
        <f>(_xlfn.PERCENTRANK.INC(ifood_data[[#All],[RFM]],ifood_data[[#This Row],[RFM]],1))*10</f>
        <v>8</v>
      </c>
      <c r="BD1013" t="str">
        <f>VLOOKUP(ifood_data[[#This Row],[RFM Score]],'RFM Analysis'!$A$3:$B$14,2,FALSE)</f>
        <v>Loyal Customer</v>
      </c>
      <c r="BE1013">
        <f>'Regression Models'!$B$101+'Regression Models'!$B$102*ifood_data[[#This Row],[Income]]+'Regression Models'!$B$103*ifood_data[[#This Row],[Age]]+'Regression Models'!$B$104*ifood_data[[#This Row],[Family]]</f>
        <v>501.40279105921616</v>
      </c>
      <c r="BF1013" t="str">
        <f>IF(ifood_data[[#This Row],[AcceptedCmpOverall]]=1,"Campaign Respondent","Non-respondent")</f>
        <v>Campaign Respondent</v>
      </c>
    </row>
    <row r="1014" spans="1:58" x14ac:dyDescent="0.35">
      <c r="A1014">
        <v>1767</v>
      </c>
      <c r="B1014">
        <v>54356</v>
      </c>
      <c r="C1014">
        <v>0</v>
      </c>
      <c r="D1014">
        <v>1</v>
      </c>
      <c r="E1014">
        <v>62</v>
      </c>
      <c r="F1014">
        <v>710</v>
      </c>
      <c r="G1014">
        <v>15</v>
      </c>
      <c r="H1014">
        <v>30</v>
      </c>
      <c r="I1014">
        <v>20</v>
      </c>
      <c r="J1014">
        <v>0</v>
      </c>
      <c r="K1014">
        <v>0</v>
      </c>
      <c r="L1014">
        <v>3</v>
      </c>
      <c r="M1014">
        <v>11</v>
      </c>
      <c r="N1014">
        <v>2</v>
      </c>
      <c r="O1014">
        <v>8</v>
      </c>
      <c r="P1014">
        <v>8</v>
      </c>
      <c r="Q1014">
        <v>0</v>
      </c>
      <c r="R1014">
        <v>0</v>
      </c>
      <c r="S1014">
        <v>0</v>
      </c>
      <c r="T1014">
        <v>0</v>
      </c>
      <c r="U1014">
        <v>0</v>
      </c>
      <c r="V1014">
        <f>IF(SUM(ifood_data[[#This Row],[AcceptedCmp1]:[AcceptedCmp5]])&gt;0,1,0)</f>
        <v>0</v>
      </c>
      <c r="W1014">
        <v>0</v>
      </c>
      <c r="X1014">
        <v>3</v>
      </c>
      <c r="Y1014">
        <v>11</v>
      </c>
      <c r="Z1014">
        <v>1</v>
      </c>
      <c r="AA1014">
        <v>71</v>
      </c>
      <c r="AB1014">
        <v>2746</v>
      </c>
      <c r="AC1014" s="28">
        <f>ifood_data[[#This Row],[Customer_Days]]/365</f>
        <v>7.5232876712328771</v>
      </c>
      <c r="AD1014">
        <v>0</v>
      </c>
      <c r="AE1014">
        <v>0</v>
      </c>
      <c r="AF1014">
        <v>0</v>
      </c>
      <c r="AG1014">
        <v>0</v>
      </c>
      <c r="AH1014">
        <v>1</v>
      </c>
      <c r="AI1014">
        <v>0</v>
      </c>
      <c r="AJ1014">
        <v>0</v>
      </c>
      <c r="AK1014">
        <v>0</v>
      </c>
      <c r="AL1014">
        <v>0</v>
      </c>
      <c r="AM1014">
        <v>1</v>
      </c>
      <c r="AN1014">
        <v>775</v>
      </c>
      <c r="AO1014">
        <v>775</v>
      </c>
      <c r="AP1014">
        <f>ifood_data[[#This Row],[MntTotal]]-ifood_data[[#This Row],[MntRegularProds]]</f>
        <v>0</v>
      </c>
      <c r="AQ1014">
        <v>0</v>
      </c>
      <c r="AR1014">
        <f>IF(SUM(ifood_data[[#This Row],[Kidhome]:[Teenhome]])&gt;0,1,0)</f>
        <v>1</v>
      </c>
      <c r="AS1014" t="str">
        <f>IF(SUM(ifood_data[[#This Row],[Kidhome]:[Teenhome]])&gt;0,"Has Family","No Family")</f>
        <v>Has Family</v>
      </c>
      <c r="AT1014" t="str">
        <f>IF(ifood_data[[#This Row],[marital_Married]]=1,"Married", (IF(ifood_data[[#This Row],[marital_Single]]=1,"Single",(IF(ifood_data[[#This Row],[marital_Divorced]]=1,"Divorced",(IF(ifood_data[[#This Row],[marital_Together]]=1,"Living Together",(IF(ifood_data[[#This Row],[marital_Widow]]=1,"Widow","Other")))))))))</f>
        <v>Widow</v>
      </c>
      <c r="AU1014" t="str">
        <f>IF(ifood_data[[#This Row],[education_Basic]]=1,"High School",(IF(ifood_data[[#This Row],[education_Graduation]]=1,"Undergraduate Degree",(IF(SUM(AM1014,AL1014,AI1014)&gt;0,"Master's Degree or Higher","Other")))))</f>
        <v>Master's Degree or Higher</v>
      </c>
      <c r="AV1014" t="str">
        <f>IF(ifood_data[[#All],[Income]]&gt;75000,"75K+",(IF(ifood_data[[#All],[Income]]&gt;50000,"50K-75K",(IF(ifood_data[[#All],[Income]]&gt;35000,"35K-50K","&lt;35K")))))</f>
        <v>50K-75K</v>
      </c>
      <c r="AW1014" t="str">
        <f>IF(ifood_data[[#All],[Age]]&gt;60,"60+",(IF(ifood_data[[#All],[Age]]&gt;50,"50-60",(IF(ifood_data[[#All],[Age]]&gt;40,"40-50",(IF(ifood_data[[#All],[Age]]&gt;30,"30-40","&lt;30")))))))</f>
        <v>60+</v>
      </c>
      <c r="AX1014">
        <f t="shared" si="60"/>
        <v>32</v>
      </c>
      <c r="AY1014">
        <f t="shared" si="61"/>
        <v>4</v>
      </c>
      <c r="AZ1014">
        <f t="shared" si="62"/>
        <v>9</v>
      </c>
      <c r="BA1014">
        <f t="shared" si="63"/>
        <v>6</v>
      </c>
      <c r="BB1014">
        <f>SUM(ifood_data[[#This Row],[Recency Score]:[Monetary Score]])</f>
        <v>19</v>
      </c>
      <c r="BC1014">
        <f>(_xlfn.PERCENTRANK.INC(ifood_data[[#All],[RFM]],ifood_data[[#This Row],[RFM]],1))*10</f>
        <v>7</v>
      </c>
      <c r="BD1014" t="str">
        <f>VLOOKUP(ifood_data[[#This Row],[RFM Score]],'RFM Analysis'!$A$3:$B$14,2,FALSE)</f>
        <v>Loyal Customer</v>
      </c>
      <c r="BE1014">
        <f>'Regression Models'!$B$101+'Regression Models'!$B$102*ifood_data[[#This Row],[Income]]+'Regression Models'!$B$103*ifood_data[[#This Row],[Age]]+'Regression Models'!$B$104*ifood_data[[#This Row],[Family]]</f>
        <v>500.43581928079277</v>
      </c>
      <c r="BF1014" t="str">
        <f>IF(ifood_data[[#This Row],[AcceptedCmpOverall]]=1,"Campaign Respondent","Non-respondent")</f>
        <v>Non-respondent</v>
      </c>
    </row>
    <row r="1015" spans="1:58" x14ac:dyDescent="0.35">
      <c r="A1015">
        <v>1256</v>
      </c>
      <c r="B1015">
        <v>51948</v>
      </c>
      <c r="C1015">
        <v>0</v>
      </c>
      <c r="D1015">
        <v>1</v>
      </c>
      <c r="E1015">
        <v>51</v>
      </c>
      <c r="F1015">
        <v>82</v>
      </c>
      <c r="G1015">
        <v>33</v>
      </c>
      <c r="H1015">
        <v>54</v>
      </c>
      <c r="I1015">
        <v>71</v>
      </c>
      <c r="J1015">
        <v>30</v>
      </c>
      <c r="K1015">
        <v>41</v>
      </c>
      <c r="L1015">
        <v>2</v>
      </c>
      <c r="M1015">
        <v>5</v>
      </c>
      <c r="N1015">
        <v>2</v>
      </c>
      <c r="O1015">
        <v>4</v>
      </c>
      <c r="P1015">
        <v>5</v>
      </c>
      <c r="Q1015">
        <v>0</v>
      </c>
      <c r="R1015">
        <v>0</v>
      </c>
      <c r="S1015">
        <v>0</v>
      </c>
      <c r="T1015">
        <v>0</v>
      </c>
      <c r="U1015">
        <v>0</v>
      </c>
      <c r="V1015">
        <f>IF(SUM(ifood_data[[#This Row],[AcceptedCmp1]:[AcceptedCmp5]])&gt;0,1,0)</f>
        <v>0</v>
      </c>
      <c r="W1015">
        <v>0</v>
      </c>
      <c r="X1015">
        <v>3</v>
      </c>
      <c r="Y1015">
        <v>11</v>
      </c>
      <c r="Z1015">
        <v>0</v>
      </c>
      <c r="AA1015">
        <v>45</v>
      </c>
      <c r="AB1015">
        <v>2444</v>
      </c>
      <c r="AC1015" s="28">
        <f>ifood_data[[#This Row],[Customer_Days]]/365</f>
        <v>6.6958904109589037</v>
      </c>
      <c r="AD1015">
        <v>0</v>
      </c>
      <c r="AE1015">
        <v>1</v>
      </c>
      <c r="AF1015">
        <v>0</v>
      </c>
      <c r="AG1015">
        <v>0</v>
      </c>
      <c r="AH1015">
        <v>0</v>
      </c>
      <c r="AI1015">
        <v>0</v>
      </c>
      <c r="AJ1015">
        <v>0</v>
      </c>
      <c r="AK1015">
        <v>1</v>
      </c>
      <c r="AL1015">
        <v>0</v>
      </c>
      <c r="AM1015">
        <v>0</v>
      </c>
      <c r="AN1015">
        <v>270</v>
      </c>
      <c r="AO1015">
        <v>229</v>
      </c>
      <c r="AP1015">
        <f>ifood_data[[#This Row],[MntTotal]]-ifood_data[[#This Row],[MntRegularProds]]</f>
        <v>41</v>
      </c>
      <c r="AQ1015">
        <v>0</v>
      </c>
      <c r="AR1015">
        <f>IF(SUM(ifood_data[[#This Row],[Kidhome]:[Teenhome]])&gt;0,1,0)</f>
        <v>1</v>
      </c>
      <c r="AS1015" t="str">
        <f>IF(SUM(ifood_data[[#This Row],[Kidhome]:[Teenhome]])&gt;0,"Has Family","No Family")</f>
        <v>Has Family</v>
      </c>
      <c r="AT1015" t="str">
        <f>IF(ifood_data[[#This Row],[marital_Married]]=1,"Married", (IF(ifood_data[[#This Row],[marital_Single]]=1,"Single",(IF(ifood_data[[#This Row],[marital_Divorced]]=1,"Divorced",(IF(ifood_data[[#This Row],[marital_Together]]=1,"Living Together",(IF(ifood_data[[#This Row],[marital_Widow]]=1,"Widow","Other")))))))))</f>
        <v>Married</v>
      </c>
      <c r="AU1015" t="str">
        <f>IF(ifood_data[[#This Row],[education_Basic]]=1,"High School",(IF(ifood_data[[#This Row],[education_Graduation]]=1,"Undergraduate Degree",(IF(SUM(AM1015,AL1015,AI1015)&gt;0,"Master's Degree or Higher","Other")))))</f>
        <v>Undergraduate Degree</v>
      </c>
      <c r="AV1015" t="str">
        <f>IF(ifood_data[[#All],[Income]]&gt;75000,"75K+",(IF(ifood_data[[#All],[Income]]&gt;50000,"50K-75K",(IF(ifood_data[[#All],[Income]]&gt;35000,"35K-50K","&lt;35K")))))</f>
        <v>50K-75K</v>
      </c>
      <c r="AW1015" t="str">
        <f>IF(ifood_data[[#All],[Age]]&gt;60,"60+",(IF(ifood_data[[#All],[Age]]&gt;50,"50-60",(IF(ifood_data[[#All],[Age]]&gt;40,"40-50",(IF(ifood_data[[#All],[Age]]&gt;30,"30-40","&lt;30")))))))</f>
        <v>40-50</v>
      </c>
      <c r="AX1015">
        <f t="shared" si="60"/>
        <v>18</v>
      </c>
      <c r="AY1015">
        <f t="shared" si="61"/>
        <v>5</v>
      </c>
      <c r="AZ1015">
        <f t="shared" si="62"/>
        <v>4</v>
      </c>
      <c r="BA1015">
        <f t="shared" si="63"/>
        <v>4</v>
      </c>
      <c r="BB1015">
        <f>SUM(ifood_data[[#This Row],[Recency Score]:[Monetary Score]])</f>
        <v>13</v>
      </c>
      <c r="BC1015">
        <f>(_xlfn.PERCENTRANK.INC(ifood_data[[#All],[RFM]],ifood_data[[#This Row],[RFM]],1))*10</f>
        <v>3</v>
      </c>
      <c r="BD1015" t="str">
        <f>VLOOKUP(ifood_data[[#This Row],[RFM Score]],'RFM Analysis'!$A$3:$B$14,2,FALSE)</f>
        <v>At Risk</v>
      </c>
      <c r="BE1015">
        <f>'Regression Models'!$B$101+'Regression Models'!$B$102*ifood_data[[#This Row],[Income]]+'Regression Models'!$B$103*ifood_data[[#This Row],[Age]]+'Regression Models'!$B$104*ifood_data[[#This Row],[Family]]</f>
        <v>499.08708164153529</v>
      </c>
      <c r="BF1015" t="str">
        <f>IF(ifood_data[[#This Row],[AcceptedCmpOverall]]=1,"Campaign Respondent","Non-respondent")</f>
        <v>Non-respondent</v>
      </c>
    </row>
    <row r="1016" spans="1:58" x14ac:dyDescent="0.35">
      <c r="A1016">
        <v>20</v>
      </c>
      <c r="B1016">
        <v>37040</v>
      </c>
      <c r="C1016">
        <v>0</v>
      </c>
      <c r="D1016">
        <v>0</v>
      </c>
      <c r="E1016">
        <v>41</v>
      </c>
      <c r="F1016">
        <v>86</v>
      </c>
      <c r="G1016">
        <v>2</v>
      </c>
      <c r="H1016">
        <v>73</v>
      </c>
      <c r="I1016">
        <v>69</v>
      </c>
      <c r="J1016">
        <v>38</v>
      </c>
      <c r="K1016">
        <v>48</v>
      </c>
      <c r="L1016">
        <v>1</v>
      </c>
      <c r="M1016">
        <v>4</v>
      </c>
      <c r="N1016">
        <v>2</v>
      </c>
      <c r="O1016">
        <v>5</v>
      </c>
      <c r="P1016">
        <v>8</v>
      </c>
      <c r="Q1016">
        <v>0</v>
      </c>
      <c r="R1016">
        <v>0</v>
      </c>
      <c r="S1016">
        <v>0</v>
      </c>
      <c r="T1016">
        <v>0</v>
      </c>
      <c r="U1016">
        <v>0</v>
      </c>
      <c r="V1016">
        <f>IF(SUM(ifood_data[[#This Row],[AcceptedCmp1]:[AcceptedCmp5]])&gt;0,1,0)</f>
        <v>0</v>
      </c>
      <c r="W1016">
        <v>0</v>
      </c>
      <c r="X1016">
        <v>3</v>
      </c>
      <c r="Y1016">
        <v>11</v>
      </c>
      <c r="Z1016">
        <v>0</v>
      </c>
      <c r="AA1016">
        <v>38</v>
      </c>
      <c r="AB1016">
        <v>2849</v>
      </c>
      <c r="AC1016" s="28">
        <f>ifood_data[[#This Row],[Customer_Days]]/365</f>
        <v>7.8054794520547945</v>
      </c>
      <c r="AD1016">
        <v>0</v>
      </c>
      <c r="AE1016">
        <v>1</v>
      </c>
      <c r="AF1016">
        <v>0</v>
      </c>
      <c r="AG1016">
        <v>0</v>
      </c>
      <c r="AH1016">
        <v>0</v>
      </c>
      <c r="AI1016">
        <v>0</v>
      </c>
      <c r="AJ1016">
        <v>0</v>
      </c>
      <c r="AK1016">
        <v>1</v>
      </c>
      <c r="AL1016">
        <v>0</v>
      </c>
      <c r="AM1016">
        <v>0</v>
      </c>
      <c r="AN1016">
        <v>268</v>
      </c>
      <c r="AO1016">
        <v>220</v>
      </c>
      <c r="AP1016">
        <f>ifood_data[[#This Row],[MntTotal]]-ifood_data[[#This Row],[MntRegularProds]]</f>
        <v>48</v>
      </c>
      <c r="AQ1016">
        <v>0</v>
      </c>
      <c r="AR1016">
        <f>IF(SUM(ifood_data[[#This Row],[Kidhome]:[Teenhome]])&gt;0,1,0)</f>
        <v>0</v>
      </c>
      <c r="AS1016" t="str">
        <f>IF(SUM(ifood_data[[#This Row],[Kidhome]:[Teenhome]])&gt;0,"Has Family","No Family")</f>
        <v>No Family</v>
      </c>
      <c r="AT1016" t="str">
        <f>IF(ifood_data[[#This Row],[marital_Married]]=1,"Married", (IF(ifood_data[[#This Row],[marital_Single]]=1,"Single",(IF(ifood_data[[#This Row],[marital_Divorced]]=1,"Divorced",(IF(ifood_data[[#This Row],[marital_Together]]=1,"Living Together",(IF(ifood_data[[#This Row],[marital_Widow]]=1,"Widow","Other")))))))))</f>
        <v>Married</v>
      </c>
      <c r="AU1016" t="str">
        <f>IF(ifood_data[[#This Row],[education_Basic]]=1,"High School",(IF(ifood_data[[#This Row],[education_Graduation]]=1,"Undergraduate Degree",(IF(SUM(AM1016,AL1016,AI1016)&gt;0,"Master's Degree or Higher","Other")))))</f>
        <v>Undergraduate Degree</v>
      </c>
      <c r="AV1016" t="str">
        <f>IF(ifood_data[[#All],[Income]]&gt;75000,"75K+",(IF(ifood_data[[#All],[Income]]&gt;50000,"50K-75K",(IF(ifood_data[[#All],[Income]]&gt;35000,"35K-50K","&lt;35K")))))</f>
        <v>35K-50K</v>
      </c>
      <c r="AW1016" t="str">
        <f>IF(ifood_data[[#All],[Age]]&gt;60,"60+",(IF(ifood_data[[#All],[Age]]&gt;50,"50-60",(IF(ifood_data[[#All],[Age]]&gt;40,"40-50",(IF(ifood_data[[#All],[Age]]&gt;30,"30-40","&lt;30")))))))</f>
        <v>30-40</v>
      </c>
      <c r="AX1016">
        <f t="shared" si="60"/>
        <v>20</v>
      </c>
      <c r="AY1016">
        <f t="shared" si="61"/>
        <v>6</v>
      </c>
      <c r="AZ1016">
        <f t="shared" si="62"/>
        <v>4</v>
      </c>
      <c r="BA1016">
        <f t="shared" si="63"/>
        <v>4</v>
      </c>
      <c r="BB1016">
        <f>SUM(ifood_data[[#This Row],[Recency Score]:[Monetary Score]])</f>
        <v>14</v>
      </c>
      <c r="BC1016">
        <f>(_xlfn.PERCENTRANK.INC(ifood_data[[#All],[RFM]],ifood_data[[#This Row],[RFM]],1))*10</f>
        <v>4</v>
      </c>
      <c r="BD1016" t="str">
        <f>VLOOKUP(ifood_data[[#This Row],[RFM Score]],'RFM Analysis'!$A$3:$B$14,2,FALSE)</f>
        <v>At Risk</v>
      </c>
      <c r="BE1016">
        <f>'Regression Models'!$B$101+'Regression Models'!$B$102*ifood_data[[#This Row],[Income]]+'Regression Models'!$B$103*ifood_data[[#This Row],[Age]]+'Regression Models'!$B$104*ifood_data[[#This Row],[Family]]</f>
        <v>497.60003077756602</v>
      </c>
      <c r="BF1016" t="str">
        <f>IF(ifood_data[[#This Row],[AcceptedCmpOverall]]=1,"Campaign Respondent","Non-respondent")</f>
        <v>Non-respondent</v>
      </c>
    </row>
    <row r="1017" spans="1:58" x14ac:dyDescent="0.35">
      <c r="A1017">
        <v>98</v>
      </c>
      <c r="B1017">
        <v>52413</v>
      </c>
      <c r="C1017">
        <v>0</v>
      </c>
      <c r="D1017">
        <v>2</v>
      </c>
      <c r="E1017">
        <v>56</v>
      </c>
      <c r="F1017">
        <v>295</v>
      </c>
      <c r="G1017">
        <v>106</v>
      </c>
      <c r="H1017">
        <v>271</v>
      </c>
      <c r="I1017">
        <v>75</v>
      </c>
      <c r="J1017">
        <v>98</v>
      </c>
      <c r="K1017">
        <v>65</v>
      </c>
      <c r="L1017">
        <v>4</v>
      </c>
      <c r="M1017">
        <v>6</v>
      </c>
      <c r="N1017">
        <v>4</v>
      </c>
      <c r="O1017">
        <v>12</v>
      </c>
      <c r="P1017">
        <v>6</v>
      </c>
      <c r="Q1017">
        <v>0</v>
      </c>
      <c r="R1017">
        <v>0</v>
      </c>
      <c r="S1017">
        <v>0</v>
      </c>
      <c r="T1017">
        <v>0</v>
      </c>
      <c r="U1017">
        <v>0</v>
      </c>
      <c r="V1017">
        <f>IF(SUM(ifood_data[[#This Row],[AcceptedCmp1]:[AcceptedCmp5]])&gt;0,1,0)</f>
        <v>0</v>
      </c>
      <c r="W1017">
        <v>0</v>
      </c>
      <c r="X1017">
        <v>3</v>
      </c>
      <c r="Y1017">
        <v>11</v>
      </c>
      <c r="Z1017">
        <v>0</v>
      </c>
      <c r="AA1017">
        <v>51</v>
      </c>
      <c r="AB1017">
        <v>2671</v>
      </c>
      <c r="AC1017" s="28">
        <f>ifood_data[[#This Row],[Customer_Days]]/365</f>
        <v>7.3178082191780822</v>
      </c>
      <c r="AD1017">
        <v>0</v>
      </c>
      <c r="AE1017">
        <v>1</v>
      </c>
      <c r="AF1017">
        <v>0</v>
      </c>
      <c r="AG1017">
        <v>0</v>
      </c>
      <c r="AH1017">
        <v>0</v>
      </c>
      <c r="AI1017">
        <v>0</v>
      </c>
      <c r="AJ1017">
        <v>0</v>
      </c>
      <c r="AK1017">
        <v>1</v>
      </c>
      <c r="AL1017">
        <v>0</v>
      </c>
      <c r="AM1017">
        <v>0</v>
      </c>
      <c r="AN1017">
        <v>845</v>
      </c>
      <c r="AO1017">
        <v>780</v>
      </c>
      <c r="AP1017">
        <f>ifood_data[[#This Row],[MntTotal]]-ifood_data[[#This Row],[MntRegularProds]]</f>
        <v>65</v>
      </c>
      <c r="AQ1017">
        <v>0</v>
      </c>
      <c r="AR1017">
        <f>IF(SUM(ifood_data[[#This Row],[Kidhome]:[Teenhome]])&gt;0,1,0)</f>
        <v>1</v>
      </c>
      <c r="AS1017" t="str">
        <f>IF(SUM(ifood_data[[#This Row],[Kidhome]:[Teenhome]])&gt;0,"Has Family","No Family")</f>
        <v>Has Family</v>
      </c>
      <c r="AT1017" t="str">
        <f>IF(ifood_data[[#This Row],[marital_Married]]=1,"Married", (IF(ifood_data[[#This Row],[marital_Single]]=1,"Single",(IF(ifood_data[[#This Row],[marital_Divorced]]=1,"Divorced",(IF(ifood_data[[#This Row],[marital_Together]]=1,"Living Together",(IF(ifood_data[[#This Row],[marital_Widow]]=1,"Widow","Other")))))))))</f>
        <v>Married</v>
      </c>
      <c r="AU1017" t="str">
        <f>IF(ifood_data[[#This Row],[education_Basic]]=1,"High School",(IF(ifood_data[[#This Row],[education_Graduation]]=1,"Undergraduate Degree",(IF(SUM(AM1017,AL1017,AI1017)&gt;0,"Master's Degree or Higher","Other")))))</f>
        <v>Undergraduate Degree</v>
      </c>
      <c r="AV1017" t="str">
        <f>IF(ifood_data[[#All],[Income]]&gt;75000,"75K+",(IF(ifood_data[[#All],[Income]]&gt;50000,"50K-75K",(IF(ifood_data[[#All],[Income]]&gt;35000,"35K-50K","&lt;35K")))))</f>
        <v>50K-75K</v>
      </c>
      <c r="AW1017" t="str">
        <f>IF(ifood_data[[#All],[Age]]&gt;60,"60+",(IF(ifood_data[[#All],[Age]]&gt;50,"50-60",(IF(ifood_data[[#All],[Age]]&gt;40,"40-50",(IF(ifood_data[[#All],[Age]]&gt;30,"30-40","&lt;30")))))))</f>
        <v>50-60</v>
      </c>
      <c r="AX1017">
        <f t="shared" si="60"/>
        <v>32</v>
      </c>
      <c r="AY1017">
        <f t="shared" si="61"/>
        <v>5</v>
      </c>
      <c r="AZ1017">
        <f t="shared" si="62"/>
        <v>9</v>
      </c>
      <c r="BA1017">
        <f t="shared" si="63"/>
        <v>6</v>
      </c>
      <c r="BB1017">
        <f>SUM(ifood_data[[#This Row],[Recency Score]:[Monetary Score]])</f>
        <v>20</v>
      </c>
      <c r="BC1017">
        <f>(_xlfn.PERCENTRANK.INC(ifood_data[[#All],[RFM]],ifood_data[[#This Row],[RFM]],1))*10</f>
        <v>7</v>
      </c>
      <c r="BD1017" t="str">
        <f>VLOOKUP(ifood_data[[#This Row],[RFM Score]],'RFM Analysis'!$A$3:$B$14,2,FALSE)</f>
        <v>Loyal Customer</v>
      </c>
      <c r="BE1017">
        <f>'Regression Models'!$B$101+'Regression Models'!$B$102*ifood_data[[#This Row],[Income]]+'Regression Models'!$B$103*ifood_data[[#This Row],[Age]]+'Regression Models'!$B$104*ifood_data[[#This Row],[Family]]</f>
        <v>497.54922435508263</v>
      </c>
      <c r="BF1017" t="str">
        <f>IF(ifood_data[[#This Row],[AcceptedCmpOverall]]=1,"Campaign Respondent","Non-respondent")</f>
        <v>Non-respondent</v>
      </c>
    </row>
    <row r="1018" spans="1:58" x14ac:dyDescent="0.35">
      <c r="A1018">
        <v>1060</v>
      </c>
      <c r="B1018">
        <v>52034</v>
      </c>
      <c r="C1018">
        <v>1</v>
      </c>
      <c r="D1018">
        <v>1</v>
      </c>
      <c r="E1018">
        <v>67</v>
      </c>
      <c r="F1018">
        <v>146</v>
      </c>
      <c r="G1018">
        <v>0</v>
      </c>
      <c r="H1018">
        <v>93</v>
      </c>
      <c r="I1018">
        <v>7</v>
      </c>
      <c r="J1018">
        <v>13</v>
      </c>
      <c r="K1018">
        <v>73</v>
      </c>
      <c r="L1018">
        <v>5</v>
      </c>
      <c r="M1018">
        <v>4</v>
      </c>
      <c r="N1018">
        <v>2</v>
      </c>
      <c r="O1018">
        <v>5</v>
      </c>
      <c r="P1018">
        <v>7</v>
      </c>
      <c r="Q1018">
        <v>0</v>
      </c>
      <c r="R1018">
        <v>0</v>
      </c>
      <c r="S1018">
        <v>0</v>
      </c>
      <c r="T1018">
        <v>0</v>
      </c>
      <c r="U1018">
        <v>0</v>
      </c>
      <c r="V1018">
        <f>IF(SUM(ifood_data[[#This Row],[AcceptedCmp1]:[AcceptedCmp5]])&gt;0,1,0)</f>
        <v>0</v>
      </c>
      <c r="W1018">
        <v>0</v>
      </c>
      <c r="X1018">
        <v>3</v>
      </c>
      <c r="Y1018">
        <v>11</v>
      </c>
      <c r="Z1018">
        <v>0</v>
      </c>
      <c r="AA1018">
        <v>47</v>
      </c>
      <c r="AB1018">
        <v>2567</v>
      </c>
      <c r="AC1018" s="28">
        <f>ifood_data[[#This Row],[Customer_Days]]/365</f>
        <v>7.0328767123287674</v>
      </c>
      <c r="AD1018">
        <v>1</v>
      </c>
      <c r="AE1018">
        <v>0</v>
      </c>
      <c r="AF1018">
        <v>0</v>
      </c>
      <c r="AG1018">
        <v>0</v>
      </c>
      <c r="AH1018">
        <v>0</v>
      </c>
      <c r="AI1018">
        <v>0</v>
      </c>
      <c r="AJ1018">
        <v>0</v>
      </c>
      <c r="AK1018">
        <v>0</v>
      </c>
      <c r="AL1018">
        <v>1</v>
      </c>
      <c r="AM1018">
        <v>0</v>
      </c>
      <c r="AN1018">
        <v>259</v>
      </c>
      <c r="AO1018">
        <v>186</v>
      </c>
      <c r="AP1018">
        <f>ifood_data[[#This Row],[MntTotal]]-ifood_data[[#This Row],[MntRegularProds]]</f>
        <v>73</v>
      </c>
      <c r="AQ1018">
        <v>0</v>
      </c>
      <c r="AR1018">
        <f>IF(SUM(ifood_data[[#This Row],[Kidhome]:[Teenhome]])&gt;0,1,0)</f>
        <v>1</v>
      </c>
      <c r="AS1018" t="str">
        <f>IF(SUM(ifood_data[[#This Row],[Kidhome]:[Teenhome]])&gt;0,"Has Family","No Family")</f>
        <v>Has Family</v>
      </c>
      <c r="AT1018" t="str">
        <f>IF(ifood_data[[#This Row],[marital_Married]]=1,"Married", (IF(ifood_data[[#This Row],[marital_Single]]=1,"Single",(IF(ifood_data[[#This Row],[marital_Divorced]]=1,"Divorced",(IF(ifood_data[[#This Row],[marital_Together]]=1,"Living Together",(IF(ifood_data[[#This Row],[marital_Widow]]=1,"Widow","Other")))))))))</f>
        <v>Divorced</v>
      </c>
      <c r="AU1018" t="str">
        <f>IF(ifood_data[[#This Row],[education_Basic]]=1,"High School",(IF(ifood_data[[#This Row],[education_Graduation]]=1,"Undergraduate Degree",(IF(SUM(AM1018,AL1018,AI1018)&gt;0,"Master's Degree or Higher","Other")))))</f>
        <v>Master's Degree or Higher</v>
      </c>
      <c r="AV1018" t="str">
        <f>IF(ifood_data[[#All],[Income]]&gt;75000,"75K+",(IF(ifood_data[[#All],[Income]]&gt;50000,"50K-75K",(IF(ifood_data[[#All],[Income]]&gt;35000,"35K-50K","&lt;35K")))))</f>
        <v>50K-75K</v>
      </c>
      <c r="AW1018" t="str">
        <f>IF(ifood_data[[#All],[Age]]&gt;60,"60+",(IF(ifood_data[[#All],[Age]]&gt;50,"50-60",(IF(ifood_data[[#All],[Age]]&gt;40,"40-50",(IF(ifood_data[[#All],[Age]]&gt;30,"30-40","&lt;30")))))))</f>
        <v>40-50</v>
      </c>
      <c r="AX1018">
        <f t="shared" si="60"/>
        <v>23</v>
      </c>
      <c r="AY1018">
        <f t="shared" si="61"/>
        <v>4</v>
      </c>
      <c r="AZ1018">
        <f t="shared" si="62"/>
        <v>6</v>
      </c>
      <c r="BA1018">
        <f t="shared" si="63"/>
        <v>4</v>
      </c>
      <c r="BB1018">
        <f>SUM(ifood_data[[#This Row],[Recency Score]:[Monetary Score]])</f>
        <v>14</v>
      </c>
      <c r="BC1018">
        <f>(_xlfn.PERCENTRANK.INC(ifood_data[[#All],[RFM]],ifood_data[[#This Row],[RFM]],1))*10</f>
        <v>4</v>
      </c>
      <c r="BD1018" t="str">
        <f>VLOOKUP(ifood_data[[#This Row],[RFM Score]],'RFM Analysis'!$A$3:$B$14,2,FALSE)</f>
        <v>At Risk</v>
      </c>
      <c r="BE1018">
        <f>'Regression Models'!$B$101+'Regression Models'!$B$102*ifood_data[[#This Row],[Income]]+'Regression Models'!$B$103*ifood_data[[#This Row],[Age]]+'Regression Models'!$B$104*ifood_data[[#This Row],[Family]]</f>
        <v>497.16763754412216</v>
      </c>
      <c r="BF1018" t="str">
        <f>IF(ifood_data[[#This Row],[AcceptedCmpOverall]]=1,"Campaign Respondent","Non-respondent")</f>
        <v>Non-respondent</v>
      </c>
    </row>
    <row r="1019" spans="1:58" x14ac:dyDescent="0.35">
      <c r="A1019">
        <v>1472</v>
      </c>
      <c r="B1019">
        <v>52569</v>
      </c>
      <c r="C1019">
        <v>0</v>
      </c>
      <c r="D1019">
        <v>1</v>
      </c>
      <c r="E1019">
        <v>54</v>
      </c>
      <c r="F1019">
        <v>85</v>
      </c>
      <c r="G1019">
        <v>0</v>
      </c>
      <c r="H1019">
        <v>3</v>
      </c>
      <c r="I1019">
        <v>0</v>
      </c>
      <c r="J1019">
        <v>0</v>
      </c>
      <c r="K1019">
        <v>7</v>
      </c>
      <c r="L1019">
        <v>1</v>
      </c>
      <c r="M1019">
        <v>2</v>
      </c>
      <c r="N1019">
        <v>0</v>
      </c>
      <c r="O1019">
        <v>4</v>
      </c>
      <c r="P1019">
        <v>3</v>
      </c>
      <c r="Q1019">
        <v>0</v>
      </c>
      <c r="R1019">
        <v>0</v>
      </c>
      <c r="S1019">
        <v>0</v>
      </c>
      <c r="T1019">
        <v>0</v>
      </c>
      <c r="U1019">
        <v>0</v>
      </c>
      <c r="V1019">
        <f>IF(SUM(ifood_data[[#This Row],[AcceptedCmp1]:[AcceptedCmp5]])&gt;0,1,0)</f>
        <v>0</v>
      </c>
      <c r="W1019">
        <v>0</v>
      </c>
      <c r="X1019">
        <v>3</v>
      </c>
      <c r="Y1019">
        <v>11</v>
      </c>
      <c r="Z1019">
        <v>0</v>
      </c>
      <c r="AA1019">
        <v>53</v>
      </c>
      <c r="AB1019">
        <v>2244</v>
      </c>
      <c r="AC1019" s="28">
        <f>ifood_data[[#This Row],[Customer_Days]]/365</f>
        <v>6.1479452054794521</v>
      </c>
      <c r="AD1019">
        <v>0</v>
      </c>
      <c r="AE1019">
        <v>0</v>
      </c>
      <c r="AF1019">
        <v>1</v>
      </c>
      <c r="AG1019">
        <v>0</v>
      </c>
      <c r="AH1019">
        <v>0</v>
      </c>
      <c r="AI1019">
        <v>0</v>
      </c>
      <c r="AJ1019">
        <v>0</v>
      </c>
      <c r="AK1019">
        <v>0</v>
      </c>
      <c r="AL1019">
        <v>0</v>
      </c>
      <c r="AM1019">
        <v>1</v>
      </c>
      <c r="AN1019">
        <v>88</v>
      </c>
      <c r="AO1019">
        <v>81</v>
      </c>
      <c r="AP1019">
        <f>ifood_data[[#This Row],[MntTotal]]-ifood_data[[#This Row],[MntRegularProds]]</f>
        <v>7</v>
      </c>
      <c r="AQ1019">
        <v>0</v>
      </c>
      <c r="AR1019">
        <f>IF(SUM(ifood_data[[#This Row],[Kidhome]:[Teenhome]])&gt;0,1,0)</f>
        <v>1</v>
      </c>
      <c r="AS1019" t="str">
        <f>IF(SUM(ifood_data[[#This Row],[Kidhome]:[Teenhome]])&gt;0,"Has Family","No Family")</f>
        <v>Has Family</v>
      </c>
      <c r="AT1019" t="str">
        <f>IF(ifood_data[[#This Row],[marital_Married]]=1,"Married", (IF(ifood_data[[#This Row],[marital_Single]]=1,"Single",(IF(ifood_data[[#This Row],[marital_Divorced]]=1,"Divorced",(IF(ifood_data[[#This Row],[marital_Together]]=1,"Living Together",(IF(ifood_data[[#This Row],[marital_Widow]]=1,"Widow","Other")))))))))</f>
        <v>Single</v>
      </c>
      <c r="AU1019" t="str">
        <f>IF(ifood_data[[#This Row],[education_Basic]]=1,"High School",(IF(ifood_data[[#This Row],[education_Graduation]]=1,"Undergraduate Degree",(IF(SUM(AM1019,AL1019,AI1019)&gt;0,"Master's Degree or Higher","Other")))))</f>
        <v>Master's Degree or Higher</v>
      </c>
      <c r="AV1019" t="str">
        <f>IF(ifood_data[[#All],[Income]]&gt;75000,"75K+",(IF(ifood_data[[#All],[Income]]&gt;50000,"50K-75K",(IF(ifood_data[[#All],[Income]]&gt;35000,"35K-50K","&lt;35K")))))</f>
        <v>50K-75K</v>
      </c>
      <c r="AW1019" t="str">
        <f>IF(ifood_data[[#All],[Age]]&gt;60,"60+",(IF(ifood_data[[#All],[Age]]&gt;50,"50-60",(IF(ifood_data[[#All],[Age]]&gt;40,"40-50",(IF(ifood_data[[#All],[Age]]&gt;30,"30-40","&lt;30")))))))</f>
        <v>50-60</v>
      </c>
      <c r="AX1019">
        <f t="shared" si="60"/>
        <v>10</v>
      </c>
      <c r="AY1019">
        <f t="shared" si="61"/>
        <v>5</v>
      </c>
      <c r="AZ1019">
        <f t="shared" si="62"/>
        <v>0</v>
      </c>
      <c r="BA1019">
        <f t="shared" si="63"/>
        <v>3</v>
      </c>
      <c r="BB1019">
        <f>SUM(ifood_data[[#This Row],[Recency Score]:[Monetary Score]])</f>
        <v>8</v>
      </c>
      <c r="BC1019">
        <f>(_xlfn.PERCENTRANK.INC(ifood_data[[#All],[RFM]],ifood_data[[#This Row],[RFM]],1))*10</f>
        <v>1</v>
      </c>
      <c r="BD1019" t="str">
        <f>VLOOKUP(ifood_data[[#This Row],[RFM Score]],'RFM Analysis'!$A$3:$B$14,2,FALSE)</f>
        <v>At Risk</v>
      </c>
      <c r="BE1019">
        <f>'Regression Models'!$B$101+'Regression Models'!$B$102*ifood_data[[#This Row],[Income]]+'Regression Models'!$B$103*ifood_data[[#This Row],[Age]]+'Regression Models'!$B$104*ifood_data[[#This Row],[Family]]</f>
        <v>497.05699402774246</v>
      </c>
      <c r="BF1019" t="str">
        <f>IF(ifood_data[[#This Row],[AcceptedCmpOverall]]=1,"Campaign Respondent","Non-respondent")</f>
        <v>Non-respondent</v>
      </c>
    </row>
    <row r="1020" spans="1:58" x14ac:dyDescent="0.35">
      <c r="A1020">
        <v>1208</v>
      </c>
      <c r="B1020">
        <v>39767</v>
      </c>
      <c r="C1020">
        <v>0</v>
      </c>
      <c r="D1020">
        <v>0</v>
      </c>
      <c r="E1020">
        <v>18</v>
      </c>
      <c r="F1020">
        <v>113</v>
      </c>
      <c r="G1020">
        <v>61</v>
      </c>
      <c r="H1020">
        <v>204</v>
      </c>
      <c r="I1020">
        <v>34</v>
      </c>
      <c r="J1020">
        <v>26</v>
      </c>
      <c r="K1020">
        <v>47</v>
      </c>
      <c r="L1020">
        <v>2</v>
      </c>
      <c r="M1020">
        <v>7</v>
      </c>
      <c r="N1020">
        <v>1</v>
      </c>
      <c r="O1020">
        <v>7</v>
      </c>
      <c r="P1020">
        <v>8</v>
      </c>
      <c r="Q1020">
        <v>0</v>
      </c>
      <c r="R1020">
        <v>0</v>
      </c>
      <c r="S1020">
        <v>0</v>
      </c>
      <c r="T1020">
        <v>0</v>
      </c>
      <c r="U1020">
        <v>0</v>
      </c>
      <c r="V1020">
        <f>IF(SUM(ifood_data[[#This Row],[AcceptedCmp1]:[AcceptedCmp5]])&gt;0,1,0)</f>
        <v>0</v>
      </c>
      <c r="W1020">
        <v>0</v>
      </c>
      <c r="X1020">
        <v>3</v>
      </c>
      <c r="Y1020">
        <v>11</v>
      </c>
      <c r="Z1020">
        <v>0</v>
      </c>
      <c r="AA1020">
        <v>69</v>
      </c>
      <c r="AB1020">
        <v>2502</v>
      </c>
      <c r="AC1020" s="28">
        <f>ifood_data[[#This Row],[Customer_Days]]/365</f>
        <v>6.8547945205479452</v>
      </c>
      <c r="AD1020">
        <v>0</v>
      </c>
      <c r="AE1020">
        <v>0</v>
      </c>
      <c r="AF1020">
        <v>0</v>
      </c>
      <c r="AG1020">
        <v>1</v>
      </c>
      <c r="AH1020">
        <v>0</v>
      </c>
      <c r="AI1020">
        <v>0</v>
      </c>
      <c r="AJ1020">
        <v>0</v>
      </c>
      <c r="AK1020">
        <v>0</v>
      </c>
      <c r="AL1020">
        <v>1</v>
      </c>
      <c r="AM1020">
        <v>0</v>
      </c>
      <c r="AN1020">
        <v>438</v>
      </c>
      <c r="AO1020">
        <v>391</v>
      </c>
      <c r="AP1020">
        <f>ifood_data[[#This Row],[MntTotal]]-ifood_data[[#This Row],[MntRegularProds]]</f>
        <v>47</v>
      </c>
      <c r="AQ1020">
        <v>0</v>
      </c>
      <c r="AR1020">
        <f>IF(SUM(ifood_data[[#This Row],[Kidhome]:[Teenhome]])&gt;0,1,0)</f>
        <v>0</v>
      </c>
      <c r="AS1020" t="str">
        <f>IF(SUM(ifood_data[[#This Row],[Kidhome]:[Teenhome]])&gt;0,"Has Family","No Family")</f>
        <v>No Family</v>
      </c>
      <c r="AT1020" t="str">
        <f>IF(ifood_data[[#This Row],[marital_Married]]=1,"Married", (IF(ifood_data[[#This Row],[marital_Single]]=1,"Single",(IF(ifood_data[[#This Row],[marital_Divorced]]=1,"Divorced",(IF(ifood_data[[#This Row],[marital_Together]]=1,"Living Together",(IF(ifood_data[[#This Row],[marital_Widow]]=1,"Widow","Other")))))))))</f>
        <v>Living Together</v>
      </c>
      <c r="AU1020" t="str">
        <f>IF(ifood_data[[#This Row],[education_Basic]]=1,"High School",(IF(ifood_data[[#This Row],[education_Graduation]]=1,"Undergraduate Degree",(IF(SUM(AM1020,AL1020,AI1020)&gt;0,"Master's Degree or Higher","Other")))))</f>
        <v>Master's Degree or Higher</v>
      </c>
      <c r="AV1020" t="str">
        <f>IF(ifood_data[[#All],[Income]]&gt;75000,"75K+",(IF(ifood_data[[#All],[Income]]&gt;50000,"50K-75K",(IF(ifood_data[[#All],[Income]]&gt;35000,"35K-50K","&lt;35K")))))</f>
        <v>35K-50K</v>
      </c>
      <c r="AW1020" t="str">
        <f>IF(ifood_data[[#All],[Age]]&gt;60,"60+",(IF(ifood_data[[#All],[Age]]&gt;50,"50-60",(IF(ifood_data[[#All],[Age]]&gt;40,"40-50",(IF(ifood_data[[#All],[Age]]&gt;30,"30-40","&lt;30")))))))</f>
        <v>60+</v>
      </c>
      <c r="AX1020">
        <f t="shared" si="60"/>
        <v>25</v>
      </c>
      <c r="AY1020">
        <f t="shared" si="61"/>
        <v>9</v>
      </c>
      <c r="AZ1020">
        <f t="shared" si="62"/>
        <v>7</v>
      </c>
      <c r="BA1020">
        <f t="shared" si="63"/>
        <v>5</v>
      </c>
      <c r="BB1020">
        <f>SUM(ifood_data[[#This Row],[Recency Score]:[Monetary Score]])</f>
        <v>21</v>
      </c>
      <c r="BC1020">
        <f>(_xlfn.PERCENTRANK.INC(ifood_data[[#All],[RFM]],ifood_data[[#This Row],[RFM]],1))*10</f>
        <v>8</v>
      </c>
      <c r="BD1020" t="str">
        <f>VLOOKUP(ifood_data[[#This Row],[RFM Score]],'RFM Analysis'!$A$3:$B$14,2,FALSE)</f>
        <v>Loyal Customer</v>
      </c>
      <c r="BE1020">
        <f>'Regression Models'!$B$101+'Regression Models'!$B$102*ifood_data[[#This Row],[Income]]+'Regression Models'!$B$103*ifood_data[[#This Row],[Age]]+'Regression Models'!$B$104*ifood_data[[#This Row],[Family]]</f>
        <v>496.27059006025581</v>
      </c>
      <c r="BF1020" t="str">
        <f>IF(ifood_data[[#This Row],[AcceptedCmpOverall]]=1,"Campaign Respondent","Non-respondent")</f>
        <v>Non-respondent</v>
      </c>
    </row>
    <row r="1021" spans="1:58" x14ac:dyDescent="0.35">
      <c r="A1021">
        <v>30</v>
      </c>
      <c r="B1021">
        <v>38620</v>
      </c>
      <c r="C1021">
        <v>0</v>
      </c>
      <c r="D1021">
        <v>0</v>
      </c>
      <c r="E1021">
        <v>56</v>
      </c>
      <c r="F1021">
        <v>112</v>
      </c>
      <c r="G1021">
        <v>17</v>
      </c>
      <c r="H1021">
        <v>44</v>
      </c>
      <c r="I1021">
        <v>34</v>
      </c>
      <c r="J1021">
        <v>22</v>
      </c>
      <c r="K1021">
        <v>89</v>
      </c>
      <c r="L1021">
        <v>1</v>
      </c>
      <c r="M1021">
        <v>2</v>
      </c>
      <c r="N1021">
        <v>5</v>
      </c>
      <c r="O1021">
        <v>3</v>
      </c>
      <c r="P1021">
        <v>3</v>
      </c>
      <c r="Q1021">
        <v>0</v>
      </c>
      <c r="R1021">
        <v>0</v>
      </c>
      <c r="S1021">
        <v>0</v>
      </c>
      <c r="T1021">
        <v>0</v>
      </c>
      <c r="U1021">
        <v>0</v>
      </c>
      <c r="V1021">
        <f>IF(SUM(ifood_data[[#This Row],[AcceptedCmp1]:[AcceptedCmp5]])&gt;0,1,0)</f>
        <v>0</v>
      </c>
      <c r="W1021">
        <v>0</v>
      </c>
      <c r="X1021">
        <v>3</v>
      </c>
      <c r="Y1021">
        <v>11</v>
      </c>
      <c r="Z1021">
        <v>0</v>
      </c>
      <c r="AA1021">
        <v>57</v>
      </c>
      <c r="AB1021">
        <v>2573</v>
      </c>
      <c r="AC1021" s="28">
        <f>ifood_data[[#This Row],[Customer_Days]]/365</f>
        <v>7.0493150684931507</v>
      </c>
      <c r="AD1021">
        <v>0</v>
      </c>
      <c r="AE1021">
        <v>0</v>
      </c>
      <c r="AF1021">
        <v>0</v>
      </c>
      <c r="AG1021">
        <v>1</v>
      </c>
      <c r="AH1021">
        <v>0</v>
      </c>
      <c r="AI1021">
        <v>0</v>
      </c>
      <c r="AJ1021">
        <v>0</v>
      </c>
      <c r="AK1021">
        <v>0</v>
      </c>
      <c r="AL1021">
        <v>1</v>
      </c>
      <c r="AM1021">
        <v>0</v>
      </c>
      <c r="AN1021">
        <v>229</v>
      </c>
      <c r="AO1021">
        <v>140</v>
      </c>
      <c r="AP1021">
        <f>ifood_data[[#This Row],[MntTotal]]-ifood_data[[#This Row],[MntRegularProds]]</f>
        <v>89</v>
      </c>
      <c r="AQ1021">
        <v>0</v>
      </c>
      <c r="AR1021">
        <f>IF(SUM(ifood_data[[#This Row],[Kidhome]:[Teenhome]])&gt;0,1,0)</f>
        <v>0</v>
      </c>
      <c r="AS1021" t="str">
        <f>IF(SUM(ifood_data[[#This Row],[Kidhome]:[Teenhome]])&gt;0,"Has Family","No Family")</f>
        <v>No Family</v>
      </c>
      <c r="AT1021" t="str">
        <f>IF(ifood_data[[#This Row],[marital_Married]]=1,"Married", (IF(ifood_data[[#This Row],[marital_Single]]=1,"Single",(IF(ifood_data[[#This Row],[marital_Divorced]]=1,"Divorced",(IF(ifood_data[[#This Row],[marital_Together]]=1,"Living Together",(IF(ifood_data[[#This Row],[marital_Widow]]=1,"Widow","Other")))))))))</f>
        <v>Living Together</v>
      </c>
      <c r="AU1021" t="str">
        <f>IF(ifood_data[[#This Row],[education_Basic]]=1,"High School",(IF(ifood_data[[#This Row],[education_Graduation]]=1,"Undergraduate Degree",(IF(SUM(AM1021,AL1021,AI1021)&gt;0,"Master's Degree or Higher","Other")))))</f>
        <v>Master's Degree or Higher</v>
      </c>
      <c r="AV1021" t="str">
        <f>IF(ifood_data[[#All],[Income]]&gt;75000,"75K+",(IF(ifood_data[[#All],[Income]]&gt;50000,"50K-75K",(IF(ifood_data[[#All],[Income]]&gt;35000,"35K-50K","&lt;35K")))))</f>
        <v>35K-50K</v>
      </c>
      <c r="AW1021" t="str">
        <f>IF(ifood_data[[#All],[Age]]&gt;60,"60+",(IF(ifood_data[[#All],[Age]]&gt;50,"50-60",(IF(ifood_data[[#All],[Age]]&gt;40,"40-50",(IF(ifood_data[[#All],[Age]]&gt;30,"30-40","&lt;30")))))))</f>
        <v>50-60</v>
      </c>
      <c r="AX1021">
        <f t="shared" si="60"/>
        <v>14</v>
      </c>
      <c r="AY1021">
        <f t="shared" si="61"/>
        <v>5</v>
      </c>
      <c r="AZ1021">
        <f t="shared" si="62"/>
        <v>2</v>
      </c>
      <c r="BA1021">
        <f t="shared" si="63"/>
        <v>4</v>
      </c>
      <c r="BB1021">
        <f>SUM(ifood_data[[#This Row],[Recency Score]:[Monetary Score]])</f>
        <v>11</v>
      </c>
      <c r="BC1021">
        <f>(_xlfn.PERCENTRANK.INC(ifood_data[[#All],[RFM]],ifood_data[[#This Row],[RFM]],1))*10</f>
        <v>2</v>
      </c>
      <c r="BD1021" t="str">
        <f>VLOOKUP(ifood_data[[#This Row],[RFM Score]],'RFM Analysis'!$A$3:$B$14,2,FALSE)</f>
        <v>At Risk</v>
      </c>
      <c r="BE1021">
        <f>'Regression Models'!$B$101+'Regression Models'!$B$102*ifood_data[[#This Row],[Income]]+'Regression Models'!$B$103*ifood_data[[#This Row],[Age]]+'Regression Models'!$B$104*ifood_data[[#This Row],[Family]]</f>
        <v>494.92194194593503</v>
      </c>
      <c r="BF1021" t="str">
        <f>IF(ifood_data[[#This Row],[AcceptedCmpOverall]]=1,"Campaign Respondent","Non-respondent")</f>
        <v>Non-respondent</v>
      </c>
    </row>
    <row r="1022" spans="1:58" x14ac:dyDescent="0.35">
      <c r="A1022">
        <v>167</v>
      </c>
      <c r="B1022">
        <v>51650</v>
      </c>
      <c r="C1022">
        <v>0</v>
      </c>
      <c r="D1022">
        <v>1</v>
      </c>
      <c r="E1022">
        <v>81</v>
      </c>
      <c r="F1022">
        <v>152</v>
      </c>
      <c r="G1022">
        <v>3</v>
      </c>
      <c r="H1022">
        <v>22</v>
      </c>
      <c r="I1022">
        <v>2</v>
      </c>
      <c r="J1022">
        <v>5</v>
      </c>
      <c r="K1022">
        <v>7</v>
      </c>
      <c r="L1022">
        <v>1</v>
      </c>
      <c r="M1022">
        <v>4</v>
      </c>
      <c r="N1022">
        <v>1</v>
      </c>
      <c r="O1022">
        <v>4</v>
      </c>
      <c r="P1022">
        <v>5</v>
      </c>
      <c r="Q1022">
        <v>0</v>
      </c>
      <c r="R1022">
        <v>0</v>
      </c>
      <c r="S1022">
        <v>0</v>
      </c>
      <c r="T1022">
        <v>0</v>
      </c>
      <c r="U1022">
        <v>0</v>
      </c>
      <c r="V1022">
        <f>IF(SUM(ifood_data[[#This Row],[AcceptedCmp1]:[AcceptedCmp5]])&gt;0,1,0)</f>
        <v>0</v>
      </c>
      <c r="W1022">
        <v>0</v>
      </c>
      <c r="X1022">
        <v>3</v>
      </c>
      <c r="Y1022">
        <v>11</v>
      </c>
      <c r="Z1022">
        <v>0</v>
      </c>
      <c r="AA1022">
        <v>44</v>
      </c>
      <c r="AB1022">
        <v>2208</v>
      </c>
      <c r="AC1022" s="28">
        <f>ifood_data[[#This Row],[Customer_Days]]/365</f>
        <v>6.0493150684931507</v>
      </c>
      <c r="AD1022">
        <v>0</v>
      </c>
      <c r="AE1022">
        <v>1</v>
      </c>
      <c r="AF1022">
        <v>0</v>
      </c>
      <c r="AG1022">
        <v>0</v>
      </c>
      <c r="AH1022">
        <v>0</v>
      </c>
      <c r="AI1022">
        <v>0</v>
      </c>
      <c r="AJ1022">
        <v>0</v>
      </c>
      <c r="AK1022">
        <v>0</v>
      </c>
      <c r="AL1022">
        <v>0</v>
      </c>
      <c r="AM1022">
        <v>1</v>
      </c>
      <c r="AN1022">
        <v>184</v>
      </c>
      <c r="AO1022">
        <v>177</v>
      </c>
      <c r="AP1022">
        <f>ifood_data[[#This Row],[MntTotal]]-ifood_data[[#This Row],[MntRegularProds]]</f>
        <v>7</v>
      </c>
      <c r="AQ1022">
        <v>0</v>
      </c>
      <c r="AR1022">
        <f>IF(SUM(ifood_data[[#This Row],[Kidhome]:[Teenhome]])&gt;0,1,0)</f>
        <v>1</v>
      </c>
      <c r="AS1022" t="str">
        <f>IF(SUM(ifood_data[[#This Row],[Kidhome]:[Teenhome]])&gt;0,"Has Family","No Family")</f>
        <v>Has Family</v>
      </c>
      <c r="AT1022" t="str">
        <f>IF(ifood_data[[#This Row],[marital_Married]]=1,"Married", (IF(ifood_data[[#This Row],[marital_Single]]=1,"Single",(IF(ifood_data[[#This Row],[marital_Divorced]]=1,"Divorced",(IF(ifood_data[[#This Row],[marital_Together]]=1,"Living Together",(IF(ifood_data[[#This Row],[marital_Widow]]=1,"Widow","Other")))))))))</f>
        <v>Married</v>
      </c>
      <c r="AU1022" t="str">
        <f>IF(ifood_data[[#This Row],[education_Basic]]=1,"High School",(IF(ifood_data[[#This Row],[education_Graduation]]=1,"Undergraduate Degree",(IF(SUM(AM1022,AL1022,AI1022)&gt;0,"Master's Degree or Higher","Other")))))</f>
        <v>Master's Degree or Higher</v>
      </c>
      <c r="AV1022" t="str">
        <f>IF(ifood_data[[#All],[Income]]&gt;75000,"75K+",(IF(ifood_data[[#All],[Income]]&gt;50000,"50K-75K",(IF(ifood_data[[#All],[Income]]&gt;35000,"35K-50K","&lt;35K")))))</f>
        <v>50K-75K</v>
      </c>
      <c r="AW1022" t="str">
        <f>IF(ifood_data[[#All],[Age]]&gt;60,"60+",(IF(ifood_data[[#All],[Age]]&gt;50,"50-60",(IF(ifood_data[[#All],[Age]]&gt;40,"40-50",(IF(ifood_data[[#All],[Age]]&gt;30,"30-40","&lt;30")))))))</f>
        <v>40-50</v>
      </c>
      <c r="AX1022">
        <f t="shared" si="60"/>
        <v>15</v>
      </c>
      <c r="AY1022">
        <f t="shared" si="61"/>
        <v>1.9999999999999996</v>
      </c>
      <c r="AZ1022">
        <f t="shared" si="62"/>
        <v>2</v>
      </c>
      <c r="BA1022">
        <f t="shared" si="63"/>
        <v>4</v>
      </c>
      <c r="BB1022">
        <f>SUM(ifood_data[[#This Row],[Recency Score]:[Monetary Score]])</f>
        <v>8</v>
      </c>
      <c r="BC1022">
        <f>(_xlfn.PERCENTRANK.INC(ifood_data[[#All],[RFM]],ifood_data[[#This Row],[RFM]],1))*10</f>
        <v>1</v>
      </c>
      <c r="BD1022" t="str">
        <f>VLOOKUP(ifood_data[[#This Row],[RFM Score]],'RFM Analysis'!$A$3:$B$14,2,FALSE)</f>
        <v>At Risk</v>
      </c>
      <c r="BE1022">
        <f>'Regression Models'!$B$101+'Regression Models'!$B$102*ifood_data[[#This Row],[Income]]+'Regression Models'!$B$103*ifood_data[[#This Row],[Age]]+'Regression Models'!$B$104*ifood_data[[#This Row],[Family]]</f>
        <v>494.84766781354767</v>
      </c>
      <c r="BF1022" t="str">
        <f>IF(ifood_data[[#This Row],[AcceptedCmpOverall]]=1,"Campaign Respondent","Non-respondent")</f>
        <v>Non-respondent</v>
      </c>
    </row>
    <row r="1023" spans="1:58" x14ac:dyDescent="0.35">
      <c r="A1023">
        <v>1838</v>
      </c>
      <c r="B1023">
        <v>36790</v>
      </c>
      <c r="C1023">
        <v>0</v>
      </c>
      <c r="D1023">
        <v>0</v>
      </c>
      <c r="E1023">
        <v>14</v>
      </c>
      <c r="F1023">
        <v>3</v>
      </c>
      <c r="G1023">
        <v>3</v>
      </c>
      <c r="H1023">
        <v>14</v>
      </c>
      <c r="I1023">
        <v>15</v>
      </c>
      <c r="J1023">
        <v>21</v>
      </c>
      <c r="K1023">
        <v>10</v>
      </c>
      <c r="L1023">
        <v>1</v>
      </c>
      <c r="M1023">
        <v>2</v>
      </c>
      <c r="N1023">
        <v>1</v>
      </c>
      <c r="O1023">
        <v>2</v>
      </c>
      <c r="P1023">
        <v>9</v>
      </c>
      <c r="Q1023">
        <v>0</v>
      </c>
      <c r="R1023">
        <v>0</v>
      </c>
      <c r="S1023">
        <v>0</v>
      </c>
      <c r="T1023">
        <v>0</v>
      </c>
      <c r="U1023">
        <v>0</v>
      </c>
      <c r="V1023">
        <f>IF(SUM(ifood_data[[#This Row],[AcceptedCmp1]:[AcceptedCmp5]])&gt;0,1,0)</f>
        <v>0</v>
      </c>
      <c r="W1023">
        <v>0</v>
      </c>
      <c r="X1023">
        <v>3</v>
      </c>
      <c r="Y1023">
        <v>11</v>
      </c>
      <c r="Z1023">
        <v>1</v>
      </c>
      <c r="AA1023">
        <v>37</v>
      </c>
      <c r="AB1023">
        <v>2644</v>
      </c>
      <c r="AC1023" s="28">
        <f>ifood_data[[#This Row],[Customer_Days]]/365</f>
        <v>7.2438356164383562</v>
      </c>
      <c r="AD1023">
        <v>0</v>
      </c>
      <c r="AE1023">
        <v>1</v>
      </c>
      <c r="AF1023">
        <v>0</v>
      </c>
      <c r="AG1023">
        <v>0</v>
      </c>
      <c r="AH1023">
        <v>0</v>
      </c>
      <c r="AI1023">
        <v>0</v>
      </c>
      <c r="AJ1023">
        <v>0</v>
      </c>
      <c r="AK1023">
        <v>1</v>
      </c>
      <c r="AL1023">
        <v>0</v>
      </c>
      <c r="AM1023">
        <v>0</v>
      </c>
      <c r="AN1023">
        <v>56</v>
      </c>
      <c r="AO1023">
        <v>46</v>
      </c>
      <c r="AP1023">
        <f>ifood_data[[#This Row],[MntTotal]]-ifood_data[[#This Row],[MntRegularProds]]</f>
        <v>10</v>
      </c>
      <c r="AQ1023">
        <v>0</v>
      </c>
      <c r="AR1023">
        <f>IF(SUM(ifood_data[[#This Row],[Kidhome]:[Teenhome]])&gt;0,1,0)</f>
        <v>0</v>
      </c>
      <c r="AS1023" t="str">
        <f>IF(SUM(ifood_data[[#This Row],[Kidhome]:[Teenhome]])&gt;0,"Has Family","No Family")</f>
        <v>No Family</v>
      </c>
      <c r="AT1023" t="str">
        <f>IF(ifood_data[[#This Row],[marital_Married]]=1,"Married", (IF(ifood_data[[#This Row],[marital_Single]]=1,"Single",(IF(ifood_data[[#This Row],[marital_Divorced]]=1,"Divorced",(IF(ifood_data[[#This Row],[marital_Together]]=1,"Living Together",(IF(ifood_data[[#This Row],[marital_Widow]]=1,"Widow","Other")))))))))</f>
        <v>Married</v>
      </c>
      <c r="AU1023" t="str">
        <f>IF(ifood_data[[#This Row],[education_Basic]]=1,"High School",(IF(ifood_data[[#This Row],[education_Graduation]]=1,"Undergraduate Degree",(IF(SUM(AM1023,AL1023,AI1023)&gt;0,"Master's Degree or Higher","Other")))))</f>
        <v>Undergraduate Degree</v>
      </c>
      <c r="AV1023" t="str">
        <f>IF(ifood_data[[#All],[Income]]&gt;75000,"75K+",(IF(ifood_data[[#All],[Income]]&gt;50000,"50K-75K",(IF(ifood_data[[#All],[Income]]&gt;35000,"35K-50K","&lt;35K")))))</f>
        <v>35K-50K</v>
      </c>
      <c r="AW1023" t="str">
        <f>IF(ifood_data[[#All],[Age]]&gt;60,"60+",(IF(ifood_data[[#All],[Age]]&gt;50,"50-60",(IF(ifood_data[[#All],[Age]]&gt;40,"40-50",(IF(ifood_data[[#All],[Age]]&gt;30,"30-40","&lt;30")))))))</f>
        <v>30-40</v>
      </c>
      <c r="AX1023">
        <f t="shared" si="60"/>
        <v>15</v>
      </c>
      <c r="AY1023">
        <f t="shared" si="61"/>
        <v>9</v>
      </c>
      <c r="AZ1023">
        <f t="shared" si="62"/>
        <v>2</v>
      </c>
      <c r="BA1023">
        <f t="shared" si="63"/>
        <v>2</v>
      </c>
      <c r="BB1023">
        <f>SUM(ifood_data[[#This Row],[Recency Score]:[Monetary Score]])</f>
        <v>13</v>
      </c>
      <c r="BC1023">
        <f>(_xlfn.PERCENTRANK.INC(ifood_data[[#All],[RFM]],ifood_data[[#This Row],[RFM]],1))*10</f>
        <v>3</v>
      </c>
      <c r="BD1023" t="str">
        <f>VLOOKUP(ifood_data[[#This Row],[RFM Score]],'RFM Analysis'!$A$3:$B$14,2,FALSE)</f>
        <v>At Risk</v>
      </c>
      <c r="BE1023">
        <f>'Regression Models'!$B$101+'Regression Models'!$B$102*ifood_data[[#This Row],[Income]]+'Regression Models'!$B$103*ifood_data[[#This Row],[Age]]+'Regression Models'!$B$104*ifood_data[[#This Row],[Family]]</f>
        <v>494.33927782048562</v>
      </c>
      <c r="BF1023" t="str">
        <f>IF(ifood_data[[#This Row],[AcceptedCmpOverall]]=1,"Campaign Respondent","Non-respondent")</f>
        <v>Non-respondent</v>
      </c>
    </row>
    <row r="1024" spans="1:58" x14ac:dyDescent="0.35">
      <c r="A1024">
        <v>1867</v>
      </c>
      <c r="B1024">
        <v>53154</v>
      </c>
      <c r="C1024">
        <v>0</v>
      </c>
      <c r="D1024">
        <v>1</v>
      </c>
      <c r="E1024">
        <v>50</v>
      </c>
      <c r="F1024">
        <v>129</v>
      </c>
      <c r="G1024">
        <v>0</v>
      </c>
      <c r="H1024">
        <v>21</v>
      </c>
      <c r="I1024">
        <v>0</v>
      </c>
      <c r="J1024">
        <v>1</v>
      </c>
      <c r="K1024">
        <v>7</v>
      </c>
      <c r="L1024">
        <v>1</v>
      </c>
      <c r="M1024">
        <v>3</v>
      </c>
      <c r="N1024">
        <v>1</v>
      </c>
      <c r="O1024">
        <v>4</v>
      </c>
      <c r="P1024">
        <v>4</v>
      </c>
      <c r="Q1024">
        <v>0</v>
      </c>
      <c r="R1024">
        <v>0</v>
      </c>
      <c r="S1024">
        <v>0</v>
      </c>
      <c r="T1024">
        <v>0</v>
      </c>
      <c r="U1024">
        <v>0</v>
      </c>
      <c r="V1024">
        <f>IF(SUM(ifood_data[[#This Row],[AcceptedCmp1]:[AcceptedCmp5]])&gt;0,1,0)</f>
        <v>0</v>
      </c>
      <c r="W1024">
        <v>0</v>
      </c>
      <c r="X1024">
        <v>3</v>
      </c>
      <c r="Y1024">
        <v>11</v>
      </c>
      <c r="Z1024">
        <v>0</v>
      </c>
      <c r="AA1024">
        <v>61</v>
      </c>
      <c r="AB1024">
        <v>2179</v>
      </c>
      <c r="AC1024" s="28">
        <f>ifood_data[[#This Row],[Customer_Days]]/365</f>
        <v>5.9698630136986299</v>
      </c>
      <c r="AD1024">
        <v>0</v>
      </c>
      <c r="AE1024">
        <v>1</v>
      </c>
      <c r="AF1024">
        <v>0</v>
      </c>
      <c r="AG1024">
        <v>0</v>
      </c>
      <c r="AH1024">
        <v>0</v>
      </c>
      <c r="AI1024">
        <v>0</v>
      </c>
      <c r="AJ1024">
        <v>0</v>
      </c>
      <c r="AK1024">
        <v>1</v>
      </c>
      <c r="AL1024">
        <v>0</v>
      </c>
      <c r="AM1024">
        <v>0</v>
      </c>
      <c r="AN1024">
        <v>151</v>
      </c>
      <c r="AO1024">
        <v>144</v>
      </c>
      <c r="AP1024">
        <f>ifood_data[[#This Row],[MntTotal]]-ifood_data[[#This Row],[MntRegularProds]]</f>
        <v>7</v>
      </c>
      <c r="AQ1024">
        <v>0</v>
      </c>
      <c r="AR1024">
        <f>IF(SUM(ifood_data[[#This Row],[Kidhome]:[Teenhome]])&gt;0,1,0)</f>
        <v>1</v>
      </c>
      <c r="AS1024" t="str">
        <f>IF(SUM(ifood_data[[#This Row],[Kidhome]:[Teenhome]])&gt;0,"Has Family","No Family")</f>
        <v>Has Family</v>
      </c>
      <c r="AT1024" t="str">
        <f>IF(ifood_data[[#This Row],[marital_Married]]=1,"Married", (IF(ifood_data[[#This Row],[marital_Single]]=1,"Single",(IF(ifood_data[[#This Row],[marital_Divorced]]=1,"Divorced",(IF(ifood_data[[#This Row],[marital_Together]]=1,"Living Together",(IF(ifood_data[[#This Row],[marital_Widow]]=1,"Widow","Other")))))))))</f>
        <v>Married</v>
      </c>
      <c r="AU1024" t="str">
        <f>IF(ifood_data[[#This Row],[education_Basic]]=1,"High School",(IF(ifood_data[[#This Row],[education_Graduation]]=1,"Undergraduate Degree",(IF(SUM(AM1024,AL1024,AI1024)&gt;0,"Master's Degree or Higher","Other")))))</f>
        <v>Undergraduate Degree</v>
      </c>
      <c r="AV1024" t="str">
        <f>IF(ifood_data[[#All],[Income]]&gt;75000,"75K+",(IF(ifood_data[[#All],[Income]]&gt;50000,"50K-75K",(IF(ifood_data[[#All],[Income]]&gt;35000,"35K-50K","&lt;35K")))))</f>
        <v>50K-75K</v>
      </c>
      <c r="AW1024" t="str">
        <f>IF(ifood_data[[#All],[Age]]&gt;60,"60+",(IF(ifood_data[[#All],[Age]]&gt;50,"50-60",(IF(ifood_data[[#All],[Age]]&gt;40,"40-50",(IF(ifood_data[[#All],[Age]]&gt;30,"30-40","&lt;30")))))))</f>
        <v>60+</v>
      </c>
      <c r="AX1024">
        <f t="shared" si="60"/>
        <v>13</v>
      </c>
      <c r="AY1024">
        <f t="shared" si="61"/>
        <v>5</v>
      </c>
      <c r="AZ1024">
        <f t="shared" si="62"/>
        <v>1</v>
      </c>
      <c r="BA1024">
        <f t="shared" si="63"/>
        <v>3</v>
      </c>
      <c r="BB1024">
        <f>SUM(ifood_data[[#This Row],[Recency Score]:[Monetary Score]])</f>
        <v>9</v>
      </c>
      <c r="BC1024">
        <f>(_xlfn.PERCENTRANK.INC(ifood_data[[#All],[RFM]],ifood_data[[#This Row],[RFM]],1))*10</f>
        <v>1</v>
      </c>
      <c r="BD1024" t="str">
        <f>VLOOKUP(ifood_data[[#This Row],[RFM Score]],'RFM Analysis'!$A$3:$B$14,2,FALSE)</f>
        <v>At Risk</v>
      </c>
      <c r="BE1024">
        <f>'Regression Models'!$B$101+'Regression Models'!$B$102*ifood_data[[#This Row],[Income]]+'Regression Models'!$B$103*ifood_data[[#This Row],[Age]]+'Regression Models'!$B$104*ifood_data[[#This Row],[Family]]</f>
        <v>494.29291076076913</v>
      </c>
      <c r="BF1024" t="str">
        <f>IF(ifood_data[[#This Row],[AcceptedCmpOverall]]=1,"Campaign Respondent","Non-respondent")</f>
        <v>Non-respondent</v>
      </c>
    </row>
    <row r="1025" spans="1:58" x14ac:dyDescent="0.35">
      <c r="A1025">
        <v>837</v>
      </c>
      <c r="B1025">
        <v>51111</v>
      </c>
      <c r="C1025">
        <v>1</v>
      </c>
      <c r="D1025">
        <v>1</v>
      </c>
      <c r="E1025">
        <v>83</v>
      </c>
      <c r="F1025">
        <v>22</v>
      </c>
      <c r="G1025">
        <v>0</v>
      </c>
      <c r="H1025">
        <v>19</v>
      </c>
      <c r="I1025">
        <v>6</v>
      </c>
      <c r="J1025">
        <v>5</v>
      </c>
      <c r="K1025">
        <v>3</v>
      </c>
      <c r="L1025">
        <v>2</v>
      </c>
      <c r="M1025">
        <v>2</v>
      </c>
      <c r="N1025">
        <v>0</v>
      </c>
      <c r="O1025">
        <v>3</v>
      </c>
      <c r="P1025">
        <v>6</v>
      </c>
      <c r="Q1025">
        <v>0</v>
      </c>
      <c r="R1025">
        <v>0</v>
      </c>
      <c r="S1025">
        <v>0</v>
      </c>
      <c r="T1025">
        <v>0</v>
      </c>
      <c r="U1025">
        <v>0</v>
      </c>
      <c r="V1025">
        <f>IF(SUM(ifood_data[[#This Row],[AcceptedCmp1]:[AcceptedCmp5]])&gt;0,1,0)</f>
        <v>0</v>
      </c>
      <c r="W1025">
        <v>0</v>
      </c>
      <c r="X1025">
        <v>3</v>
      </c>
      <c r="Y1025">
        <v>11</v>
      </c>
      <c r="Z1025">
        <v>0</v>
      </c>
      <c r="AA1025">
        <v>39</v>
      </c>
      <c r="AB1025">
        <v>2169</v>
      </c>
      <c r="AC1025" s="28">
        <f>ifood_data[[#This Row],[Customer_Days]]/365</f>
        <v>5.9424657534246572</v>
      </c>
      <c r="AD1025">
        <v>0</v>
      </c>
      <c r="AE1025">
        <v>1</v>
      </c>
      <c r="AF1025">
        <v>0</v>
      </c>
      <c r="AG1025">
        <v>0</v>
      </c>
      <c r="AH1025">
        <v>0</v>
      </c>
      <c r="AI1025">
        <v>1</v>
      </c>
      <c r="AJ1025">
        <v>0</v>
      </c>
      <c r="AK1025">
        <v>0</v>
      </c>
      <c r="AL1025">
        <v>0</v>
      </c>
      <c r="AM1025">
        <v>0</v>
      </c>
      <c r="AN1025">
        <v>52</v>
      </c>
      <c r="AO1025">
        <v>49</v>
      </c>
      <c r="AP1025">
        <f>ifood_data[[#This Row],[MntTotal]]-ifood_data[[#This Row],[MntRegularProds]]</f>
        <v>3</v>
      </c>
      <c r="AQ1025">
        <v>0</v>
      </c>
      <c r="AR1025">
        <f>IF(SUM(ifood_data[[#This Row],[Kidhome]:[Teenhome]])&gt;0,1,0)</f>
        <v>1</v>
      </c>
      <c r="AS1025" t="str">
        <f>IF(SUM(ifood_data[[#This Row],[Kidhome]:[Teenhome]])&gt;0,"Has Family","No Family")</f>
        <v>Has Family</v>
      </c>
      <c r="AT1025" t="str">
        <f>IF(ifood_data[[#This Row],[marital_Married]]=1,"Married", (IF(ifood_data[[#This Row],[marital_Single]]=1,"Single",(IF(ifood_data[[#This Row],[marital_Divorced]]=1,"Divorced",(IF(ifood_data[[#This Row],[marital_Together]]=1,"Living Together",(IF(ifood_data[[#This Row],[marital_Widow]]=1,"Widow","Other")))))))))</f>
        <v>Married</v>
      </c>
      <c r="AU1025" t="str">
        <f>IF(ifood_data[[#This Row],[education_Basic]]=1,"High School",(IF(ifood_data[[#This Row],[education_Graduation]]=1,"Undergraduate Degree",(IF(SUM(AM1025,AL1025,AI1025)&gt;0,"Master's Degree or Higher","Other")))))</f>
        <v>Master's Degree or Higher</v>
      </c>
      <c r="AV1025" t="str">
        <f>IF(ifood_data[[#All],[Income]]&gt;75000,"75K+",(IF(ifood_data[[#All],[Income]]&gt;50000,"50K-75K",(IF(ifood_data[[#All],[Income]]&gt;35000,"35K-50K","&lt;35K")))))</f>
        <v>50K-75K</v>
      </c>
      <c r="AW1025" t="str">
        <f>IF(ifood_data[[#All],[Age]]&gt;60,"60+",(IF(ifood_data[[#All],[Age]]&gt;50,"50-60",(IF(ifood_data[[#All],[Age]]&gt;40,"40-50",(IF(ifood_data[[#All],[Age]]&gt;30,"30-40","&lt;30")))))))</f>
        <v>30-40</v>
      </c>
      <c r="AX1025">
        <f t="shared" si="60"/>
        <v>13</v>
      </c>
      <c r="AY1025">
        <f t="shared" si="61"/>
        <v>1.9999999999999996</v>
      </c>
      <c r="AZ1025">
        <f t="shared" si="62"/>
        <v>1</v>
      </c>
      <c r="BA1025">
        <f t="shared" si="63"/>
        <v>2</v>
      </c>
      <c r="BB1025">
        <f>SUM(ifood_data[[#This Row],[Recency Score]:[Monetary Score]])</f>
        <v>5</v>
      </c>
      <c r="BC1025">
        <f>(_xlfn.PERCENTRANK.INC(ifood_data[[#All],[RFM]],ifood_data[[#This Row],[RFM]],1))*10</f>
        <v>0</v>
      </c>
      <c r="BD1025" t="str">
        <f>VLOOKUP(ifood_data[[#This Row],[RFM Score]],'RFM Analysis'!$A$3:$B$14,2,FALSE)</f>
        <v>Lost</v>
      </c>
      <c r="BE1025">
        <f>'Regression Models'!$B$101+'Regression Models'!$B$102*ifood_data[[#This Row],[Income]]+'Regression Models'!$B$103*ifood_data[[#This Row],[Age]]+'Regression Models'!$B$104*ifood_data[[#This Row],[Family]]</f>
        <v>493.04031717845771</v>
      </c>
      <c r="BF1025" t="str">
        <f>IF(ifood_data[[#This Row],[AcceptedCmpOverall]]=1,"Campaign Respondent","Non-respondent")</f>
        <v>Non-respondent</v>
      </c>
    </row>
    <row r="1026" spans="1:58" x14ac:dyDescent="0.35">
      <c r="A1026">
        <v>906</v>
      </c>
      <c r="B1026">
        <v>53700</v>
      </c>
      <c r="C1026">
        <v>0</v>
      </c>
      <c r="D1026">
        <v>1</v>
      </c>
      <c r="E1026">
        <v>94</v>
      </c>
      <c r="F1026">
        <v>263</v>
      </c>
      <c r="G1026">
        <v>5</v>
      </c>
      <c r="H1026">
        <v>233</v>
      </c>
      <c r="I1026">
        <v>69</v>
      </c>
      <c r="J1026">
        <v>41</v>
      </c>
      <c r="K1026">
        <v>83</v>
      </c>
      <c r="L1026">
        <v>4</v>
      </c>
      <c r="M1026">
        <v>5</v>
      </c>
      <c r="N1026">
        <v>5</v>
      </c>
      <c r="O1026">
        <v>8</v>
      </c>
      <c r="P1026">
        <v>5</v>
      </c>
      <c r="Q1026">
        <v>0</v>
      </c>
      <c r="R1026">
        <v>0</v>
      </c>
      <c r="S1026">
        <v>0</v>
      </c>
      <c r="T1026">
        <v>0</v>
      </c>
      <c r="U1026">
        <v>0</v>
      </c>
      <c r="V1026">
        <f>IF(SUM(ifood_data[[#This Row],[AcceptedCmp1]:[AcceptedCmp5]])&gt;0,1,0)</f>
        <v>0</v>
      </c>
      <c r="W1026">
        <v>0</v>
      </c>
      <c r="X1026">
        <v>3</v>
      </c>
      <c r="Y1026">
        <v>11</v>
      </c>
      <c r="Z1026">
        <v>0</v>
      </c>
      <c r="AA1026">
        <v>68</v>
      </c>
      <c r="AB1026">
        <v>2840</v>
      </c>
      <c r="AC1026" s="28">
        <f>ifood_data[[#This Row],[Customer_Days]]/365</f>
        <v>7.7808219178082192</v>
      </c>
      <c r="AD1026">
        <v>0</v>
      </c>
      <c r="AE1026">
        <v>0</v>
      </c>
      <c r="AF1026">
        <v>1</v>
      </c>
      <c r="AG1026">
        <v>0</v>
      </c>
      <c r="AH1026">
        <v>0</v>
      </c>
      <c r="AI1026">
        <v>0</v>
      </c>
      <c r="AJ1026">
        <v>0</v>
      </c>
      <c r="AK1026">
        <v>1</v>
      </c>
      <c r="AL1026">
        <v>0</v>
      </c>
      <c r="AM1026">
        <v>0</v>
      </c>
      <c r="AN1026">
        <v>611</v>
      </c>
      <c r="AO1026">
        <v>528</v>
      </c>
      <c r="AP1026">
        <f>ifood_data[[#This Row],[MntTotal]]-ifood_data[[#This Row],[MntRegularProds]]</f>
        <v>83</v>
      </c>
      <c r="AQ1026">
        <v>0</v>
      </c>
      <c r="AR1026">
        <f>IF(SUM(ifood_data[[#This Row],[Kidhome]:[Teenhome]])&gt;0,1,0)</f>
        <v>1</v>
      </c>
      <c r="AS1026" t="str">
        <f>IF(SUM(ifood_data[[#This Row],[Kidhome]:[Teenhome]])&gt;0,"Has Family","No Family")</f>
        <v>Has Family</v>
      </c>
      <c r="AT1026" t="str">
        <f>IF(ifood_data[[#This Row],[marital_Married]]=1,"Married", (IF(ifood_data[[#This Row],[marital_Single]]=1,"Single",(IF(ifood_data[[#This Row],[marital_Divorced]]=1,"Divorced",(IF(ifood_data[[#This Row],[marital_Together]]=1,"Living Together",(IF(ifood_data[[#This Row],[marital_Widow]]=1,"Widow","Other")))))))))</f>
        <v>Single</v>
      </c>
      <c r="AU1026" t="str">
        <f>IF(ifood_data[[#This Row],[education_Basic]]=1,"High School",(IF(ifood_data[[#This Row],[education_Graduation]]=1,"Undergraduate Degree",(IF(SUM(AM1026,AL1026,AI1026)&gt;0,"Master's Degree or Higher","Other")))))</f>
        <v>Undergraduate Degree</v>
      </c>
      <c r="AV1026" t="str">
        <f>IF(ifood_data[[#All],[Income]]&gt;75000,"75K+",(IF(ifood_data[[#All],[Income]]&gt;50000,"50K-75K",(IF(ifood_data[[#All],[Income]]&gt;35000,"35K-50K","&lt;35K")))))</f>
        <v>50K-75K</v>
      </c>
      <c r="AW1026" t="str">
        <f>IF(ifood_data[[#All],[Age]]&gt;60,"60+",(IF(ifood_data[[#All],[Age]]&gt;50,"50-60",(IF(ifood_data[[#All],[Age]]&gt;40,"40-50",(IF(ifood_data[[#All],[Age]]&gt;30,"30-40","&lt;30")))))))</f>
        <v>60+</v>
      </c>
      <c r="AX1026">
        <f t="shared" ref="AX1026:AX1089" si="64">SUM(L1026:P1026)</f>
        <v>27</v>
      </c>
      <c r="AY1026">
        <f t="shared" ref="AY1026:AY1089" si="65">(1-_xlfn.PERCENTRANK.INC($E$2:$E$2022,E1026,1))*10</f>
        <v>0.99999999999999978</v>
      </c>
      <c r="AZ1026">
        <f t="shared" ref="AZ1026:AZ1089" si="66">_xlfn.PERCENTRANK.INC($AX$2:$AX$2022,AX1026,1)*10</f>
        <v>7</v>
      </c>
      <c r="BA1026">
        <f t="shared" ref="BA1026:BA1089" si="67">_xlfn.PERCENTRANK.INC($AN$2:$AN$2022,AN1026,1)*10</f>
        <v>6</v>
      </c>
      <c r="BB1026">
        <f>SUM(ifood_data[[#This Row],[Recency Score]:[Monetary Score]])</f>
        <v>14</v>
      </c>
      <c r="BC1026">
        <f>(_xlfn.PERCENTRANK.INC(ifood_data[[#All],[RFM]],ifood_data[[#This Row],[RFM]],1))*10</f>
        <v>4</v>
      </c>
      <c r="BD1026" t="str">
        <f>VLOOKUP(ifood_data[[#This Row],[RFM Score]],'RFM Analysis'!$A$3:$B$14,2,FALSE)</f>
        <v>At Risk</v>
      </c>
      <c r="BE1026">
        <f>'Regression Models'!$B$101+'Regression Models'!$B$102*ifood_data[[#This Row],[Income]]+'Regression Models'!$B$103*ifood_data[[#This Row],[Age]]+'Regression Models'!$B$104*ifood_data[[#This Row],[Family]]</f>
        <v>492.57010461507787</v>
      </c>
      <c r="BF1026" t="str">
        <f>IF(ifood_data[[#This Row],[AcceptedCmpOverall]]=1,"Campaign Respondent","Non-respondent")</f>
        <v>Non-respondent</v>
      </c>
    </row>
    <row r="1027" spans="1:58" x14ac:dyDescent="0.35">
      <c r="A1027">
        <v>443</v>
      </c>
      <c r="B1027">
        <v>53790</v>
      </c>
      <c r="C1027">
        <v>0</v>
      </c>
      <c r="D1027">
        <v>2</v>
      </c>
      <c r="E1027">
        <v>86</v>
      </c>
      <c r="F1027">
        <v>335</v>
      </c>
      <c r="G1027">
        <v>42</v>
      </c>
      <c r="H1027">
        <v>127</v>
      </c>
      <c r="I1027">
        <v>28</v>
      </c>
      <c r="J1027">
        <v>5</v>
      </c>
      <c r="K1027">
        <v>5</v>
      </c>
      <c r="L1027">
        <v>3</v>
      </c>
      <c r="M1027">
        <v>7</v>
      </c>
      <c r="N1027">
        <v>2</v>
      </c>
      <c r="O1027">
        <v>8</v>
      </c>
      <c r="P1027">
        <v>6</v>
      </c>
      <c r="Q1027">
        <v>0</v>
      </c>
      <c r="R1027">
        <v>0</v>
      </c>
      <c r="S1027">
        <v>0</v>
      </c>
      <c r="T1027">
        <v>0</v>
      </c>
      <c r="U1027">
        <v>0</v>
      </c>
      <c r="V1027">
        <f>IF(SUM(ifood_data[[#This Row],[AcceptedCmp1]:[AcceptedCmp5]])&gt;0,1,0)</f>
        <v>0</v>
      </c>
      <c r="W1027">
        <v>0</v>
      </c>
      <c r="X1027">
        <v>3</v>
      </c>
      <c r="Y1027">
        <v>11</v>
      </c>
      <c r="Z1027">
        <v>0</v>
      </c>
      <c r="AA1027">
        <v>69</v>
      </c>
      <c r="AB1027">
        <v>2274</v>
      </c>
      <c r="AC1027" s="28">
        <f>ifood_data[[#This Row],[Customer_Days]]/365</f>
        <v>6.2301369863013702</v>
      </c>
      <c r="AD1027">
        <v>0</v>
      </c>
      <c r="AE1027">
        <v>1</v>
      </c>
      <c r="AF1027">
        <v>0</v>
      </c>
      <c r="AG1027">
        <v>0</v>
      </c>
      <c r="AH1027">
        <v>0</v>
      </c>
      <c r="AI1027">
        <v>0</v>
      </c>
      <c r="AJ1027">
        <v>0</v>
      </c>
      <c r="AK1027">
        <v>1</v>
      </c>
      <c r="AL1027">
        <v>0</v>
      </c>
      <c r="AM1027">
        <v>0</v>
      </c>
      <c r="AN1027">
        <v>537</v>
      </c>
      <c r="AO1027">
        <v>532</v>
      </c>
      <c r="AP1027">
        <f>ifood_data[[#This Row],[MntTotal]]-ifood_data[[#This Row],[MntRegularProds]]</f>
        <v>5</v>
      </c>
      <c r="AQ1027">
        <v>0</v>
      </c>
      <c r="AR1027">
        <f>IF(SUM(ifood_data[[#This Row],[Kidhome]:[Teenhome]])&gt;0,1,0)</f>
        <v>1</v>
      </c>
      <c r="AS1027" t="str">
        <f>IF(SUM(ifood_data[[#This Row],[Kidhome]:[Teenhome]])&gt;0,"Has Family","No Family")</f>
        <v>Has Family</v>
      </c>
      <c r="AT1027" t="str">
        <f>IF(ifood_data[[#This Row],[marital_Married]]=1,"Married", (IF(ifood_data[[#This Row],[marital_Single]]=1,"Single",(IF(ifood_data[[#This Row],[marital_Divorced]]=1,"Divorced",(IF(ifood_data[[#This Row],[marital_Together]]=1,"Living Together",(IF(ifood_data[[#This Row],[marital_Widow]]=1,"Widow","Other")))))))))</f>
        <v>Married</v>
      </c>
      <c r="AU1027" t="str">
        <f>IF(ifood_data[[#This Row],[education_Basic]]=1,"High School",(IF(ifood_data[[#This Row],[education_Graduation]]=1,"Undergraduate Degree",(IF(SUM(AM1027,AL1027,AI1027)&gt;0,"Master's Degree or Higher","Other")))))</f>
        <v>Undergraduate Degree</v>
      </c>
      <c r="AV1027" t="str">
        <f>IF(ifood_data[[#All],[Income]]&gt;75000,"75K+",(IF(ifood_data[[#All],[Income]]&gt;50000,"50K-75K",(IF(ifood_data[[#All],[Income]]&gt;35000,"35K-50K","&lt;35K")))))</f>
        <v>50K-75K</v>
      </c>
      <c r="AW1027" t="str">
        <f>IF(ifood_data[[#All],[Age]]&gt;60,"60+",(IF(ifood_data[[#All],[Age]]&gt;50,"50-60",(IF(ifood_data[[#All],[Age]]&gt;40,"40-50",(IF(ifood_data[[#All],[Age]]&gt;30,"30-40","&lt;30")))))))</f>
        <v>60+</v>
      </c>
      <c r="AX1027">
        <f t="shared" si="64"/>
        <v>26</v>
      </c>
      <c r="AY1027">
        <f t="shared" si="65"/>
        <v>1.9999999999999996</v>
      </c>
      <c r="AZ1027">
        <f t="shared" si="66"/>
        <v>7</v>
      </c>
      <c r="BA1027">
        <f t="shared" si="67"/>
        <v>5</v>
      </c>
      <c r="BB1027">
        <f>SUM(ifood_data[[#This Row],[Recency Score]:[Monetary Score]])</f>
        <v>14</v>
      </c>
      <c r="BC1027">
        <f>(_xlfn.PERCENTRANK.INC(ifood_data[[#All],[RFM]],ifood_data[[#This Row],[RFM]],1))*10</f>
        <v>4</v>
      </c>
      <c r="BD1027" t="str">
        <f>VLOOKUP(ifood_data[[#This Row],[RFM Score]],'RFM Analysis'!$A$3:$B$14,2,FALSE)</f>
        <v>At Risk</v>
      </c>
      <c r="BE1027">
        <f>'Regression Models'!$B$101+'Regression Models'!$B$102*ifood_data[[#This Row],[Income]]+'Regression Models'!$B$103*ifood_data[[#This Row],[Age]]+'Regression Models'!$B$104*ifood_data[[#This Row],[Family]]</f>
        <v>492.56865466913462</v>
      </c>
      <c r="BF1027" t="str">
        <f>IF(ifood_data[[#This Row],[AcceptedCmpOverall]]=1,"Campaign Respondent","Non-respondent")</f>
        <v>Non-respondent</v>
      </c>
    </row>
    <row r="1028" spans="1:58" x14ac:dyDescent="0.35">
      <c r="A1028">
        <v>1977</v>
      </c>
      <c r="B1028">
        <v>53233</v>
      </c>
      <c r="C1028">
        <v>0</v>
      </c>
      <c r="D1028">
        <v>1</v>
      </c>
      <c r="E1028">
        <v>18</v>
      </c>
      <c r="F1028">
        <v>28</v>
      </c>
      <c r="G1028">
        <v>0</v>
      </c>
      <c r="H1028">
        <v>9</v>
      </c>
      <c r="I1028">
        <v>3</v>
      </c>
      <c r="J1028">
        <v>0</v>
      </c>
      <c r="K1028">
        <v>0</v>
      </c>
      <c r="L1028">
        <v>1</v>
      </c>
      <c r="M1028">
        <v>1</v>
      </c>
      <c r="N1028">
        <v>0</v>
      </c>
      <c r="O1028">
        <v>3</v>
      </c>
      <c r="P1028">
        <v>4</v>
      </c>
      <c r="Q1028">
        <v>0</v>
      </c>
      <c r="R1028">
        <v>0</v>
      </c>
      <c r="S1028">
        <v>0</v>
      </c>
      <c r="T1028">
        <v>0</v>
      </c>
      <c r="U1028">
        <v>0</v>
      </c>
      <c r="V1028">
        <f>IF(SUM(ifood_data[[#This Row],[AcceptedCmp1]:[AcceptedCmp5]])&gt;0,1,0)</f>
        <v>0</v>
      </c>
      <c r="W1028">
        <v>0</v>
      </c>
      <c r="X1028">
        <v>3</v>
      </c>
      <c r="Y1028">
        <v>11</v>
      </c>
      <c r="Z1028">
        <v>0</v>
      </c>
      <c r="AA1028">
        <v>63</v>
      </c>
      <c r="AB1028">
        <v>2262</v>
      </c>
      <c r="AC1028" s="28">
        <f>ifood_data[[#This Row],[Customer_Days]]/365</f>
        <v>6.1972602739726028</v>
      </c>
      <c r="AD1028">
        <v>0</v>
      </c>
      <c r="AE1028">
        <v>1</v>
      </c>
      <c r="AF1028">
        <v>0</v>
      </c>
      <c r="AG1028">
        <v>0</v>
      </c>
      <c r="AH1028">
        <v>0</v>
      </c>
      <c r="AI1028">
        <v>1</v>
      </c>
      <c r="AJ1028">
        <v>0</v>
      </c>
      <c r="AK1028">
        <v>0</v>
      </c>
      <c r="AL1028">
        <v>0</v>
      </c>
      <c r="AM1028">
        <v>0</v>
      </c>
      <c r="AN1028">
        <v>40</v>
      </c>
      <c r="AO1028">
        <v>40</v>
      </c>
      <c r="AP1028">
        <f>ifood_data[[#This Row],[MntTotal]]-ifood_data[[#This Row],[MntRegularProds]]</f>
        <v>0</v>
      </c>
      <c r="AQ1028">
        <v>0</v>
      </c>
      <c r="AR1028">
        <f>IF(SUM(ifood_data[[#This Row],[Kidhome]:[Teenhome]])&gt;0,1,0)</f>
        <v>1</v>
      </c>
      <c r="AS1028" t="str">
        <f>IF(SUM(ifood_data[[#This Row],[Kidhome]:[Teenhome]])&gt;0,"Has Family","No Family")</f>
        <v>Has Family</v>
      </c>
      <c r="AT1028" t="str">
        <f>IF(ifood_data[[#This Row],[marital_Married]]=1,"Married", (IF(ifood_data[[#This Row],[marital_Single]]=1,"Single",(IF(ifood_data[[#This Row],[marital_Divorced]]=1,"Divorced",(IF(ifood_data[[#This Row],[marital_Together]]=1,"Living Together",(IF(ifood_data[[#This Row],[marital_Widow]]=1,"Widow","Other")))))))))</f>
        <v>Married</v>
      </c>
      <c r="AU1028" t="str">
        <f>IF(ifood_data[[#This Row],[education_Basic]]=1,"High School",(IF(ifood_data[[#This Row],[education_Graduation]]=1,"Undergraduate Degree",(IF(SUM(AM1028,AL1028,AI1028)&gt;0,"Master's Degree or Higher","Other")))))</f>
        <v>Master's Degree or Higher</v>
      </c>
      <c r="AV1028" t="str">
        <f>IF(ifood_data[[#All],[Income]]&gt;75000,"75K+",(IF(ifood_data[[#All],[Income]]&gt;50000,"50K-75K",(IF(ifood_data[[#All],[Income]]&gt;35000,"35K-50K","&lt;35K")))))</f>
        <v>50K-75K</v>
      </c>
      <c r="AW1028" t="str">
        <f>IF(ifood_data[[#All],[Age]]&gt;60,"60+",(IF(ifood_data[[#All],[Age]]&gt;50,"50-60",(IF(ifood_data[[#All],[Age]]&gt;40,"40-50",(IF(ifood_data[[#All],[Age]]&gt;30,"30-40","&lt;30")))))))</f>
        <v>60+</v>
      </c>
      <c r="AX1028">
        <f t="shared" si="64"/>
        <v>9</v>
      </c>
      <c r="AY1028">
        <f t="shared" si="65"/>
        <v>9</v>
      </c>
      <c r="AZ1028">
        <f t="shared" si="66"/>
        <v>0</v>
      </c>
      <c r="BA1028">
        <f t="shared" si="67"/>
        <v>1</v>
      </c>
      <c r="BB1028">
        <f>SUM(ifood_data[[#This Row],[Recency Score]:[Monetary Score]])</f>
        <v>10</v>
      </c>
      <c r="BC1028">
        <f>(_xlfn.PERCENTRANK.INC(ifood_data[[#All],[RFM]],ifood_data[[#This Row],[RFM]],1))*10</f>
        <v>2</v>
      </c>
      <c r="BD1028" t="str">
        <f>VLOOKUP(ifood_data[[#This Row],[RFM Score]],'RFM Analysis'!$A$3:$B$14,2,FALSE)</f>
        <v>At Risk</v>
      </c>
      <c r="BE1028">
        <f>'Regression Models'!$B$101+'Regression Models'!$B$102*ifood_data[[#This Row],[Income]]+'Regression Models'!$B$103*ifood_data[[#This Row],[Age]]+'Regression Models'!$B$104*ifood_data[[#This Row],[Family]]</f>
        <v>492.23074528634845</v>
      </c>
      <c r="BF1028" t="str">
        <f>IF(ifood_data[[#This Row],[AcceptedCmpOverall]]=1,"Campaign Respondent","Non-respondent")</f>
        <v>Non-respondent</v>
      </c>
    </row>
    <row r="1029" spans="1:58" x14ac:dyDescent="0.35">
      <c r="A1029">
        <v>691</v>
      </c>
      <c r="B1029">
        <v>53593</v>
      </c>
      <c r="C1029">
        <v>1</v>
      </c>
      <c r="D1029">
        <v>1</v>
      </c>
      <c r="E1029">
        <v>60</v>
      </c>
      <c r="F1029">
        <v>349</v>
      </c>
      <c r="G1029">
        <v>4</v>
      </c>
      <c r="H1029">
        <v>78</v>
      </c>
      <c r="I1029">
        <v>6</v>
      </c>
      <c r="J1029">
        <v>0</v>
      </c>
      <c r="K1029">
        <v>43</v>
      </c>
      <c r="L1029">
        <v>8</v>
      </c>
      <c r="M1029">
        <v>7</v>
      </c>
      <c r="N1029">
        <v>2</v>
      </c>
      <c r="O1029">
        <v>6</v>
      </c>
      <c r="P1029">
        <v>8</v>
      </c>
      <c r="Q1029">
        <v>0</v>
      </c>
      <c r="R1029">
        <v>0</v>
      </c>
      <c r="S1029">
        <v>0</v>
      </c>
      <c r="T1029">
        <v>0</v>
      </c>
      <c r="U1029">
        <v>0</v>
      </c>
      <c r="V1029">
        <f>IF(SUM(ifood_data[[#This Row],[AcceptedCmp1]:[AcceptedCmp5]])&gt;0,1,0)</f>
        <v>0</v>
      </c>
      <c r="W1029">
        <v>0</v>
      </c>
      <c r="X1029">
        <v>3</v>
      </c>
      <c r="Y1029">
        <v>11</v>
      </c>
      <c r="Z1029">
        <v>0</v>
      </c>
      <c r="AA1029">
        <v>67</v>
      </c>
      <c r="AB1029">
        <v>2850</v>
      </c>
      <c r="AC1029" s="28">
        <f>ifood_data[[#This Row],[Customer_Days]]/365</f>
        <v>7.8082191780821919</v>
      </c>
      <c r="AD1029">
        <v>0</v>
      </c>
      <c r="AE1029">
        <v>0</v>
      </c>
      <c r="AF1029">
        <v>0</v>
      </c>
      <c r="AG1029">
        <v>1</v>
      </c>
      <c r="AH1029">
        <v>0</v>
      </c>
      <c r="AI1029">
        <v>0</v>
      </c>
      <c r="AJ1029">
        <v>0</v>
      </c>
      <c r="AK1029">
        <v>0</v>
      </c>
      <c r="AL1029">
        <v>0</v>
      </c>
      <c r="AM1029">
        <v>1</v>
      </c>
      <c r="AN1029">
        <v>437</v>
      </c>
      <c r="AO1029">
        <v>394</v>
      </c>
      <c r="AP1029">
        <f>ifood_data[[#This Row],[MntTotal]]-ifood_data[[#This Row],[MntRegularProds]]</f>
        <v>43</v>
      </c>
      <c r="AQ1029">
        <v>0</v>
      </c>
      <c r="AR1029">
        <f>IF(SUM(ifood_data[[#This Row],[Kidhome]:[Teenhome]])&gt;0,1,0)</f>
        <v>1</v>
      </c>
      <c r="AS1029" t="str">
        <f>IF(SUM(ifood_data[[#This Row],[Kidhome]:[Teenhome]])&gt;0,"Has Family","No Family")</f>
        <v>Has Family</v>
      </c>
      <c r="AT1029" t="str">
        <f>IF(ifood_data[[#This Row],[marital_Married]]=1,"Married", (IF(ifood_data[[#This Row],[marital_Single]]=1,"Single",(IF(ifood_data[[#This Row],[marital_Divorced]]=1,"Divorced",(IF(ifood_data[[#This Row],[marital_Together]]=1,"Living Together",(IF(ifood_data[[#This Row],[marital_Widow]]=1,"Widow","Other")))))))))</f>
        <v>Living Together</v>
      </c>
      <c r="AU1029" t="str">
        <f>IF(ifood_data[[#This Row],[education_Basic]]=1,"High School",(IF(ifood_data[[#This Row],[education_Graduation]]=1,"Undergraduate Degree",(IF(SUM(AM1029,AL1029,AI1029)&gt;0,"Master's Degree or Higher","Other")))))</f>
        <v>Master's Degree or Higher</v>
      </c>
      <c r="AV1029" t="str">
        <f>IF(ifood_data[[#All],[Income]]&gt;75000,"75K+",(IF(ifood_data[[#All],[Income]]&gt;50000,"50K-75K",(IF(ifood_data[[#All],[Income]]&gt;35000,"35K-50K","&lt;35K")))))</f>
        <v>50K-75K</v>
      </c>
      <c r="AW1029" t="str">
        <f>IF(ifood_data[[#All],[Age]]&gt;60,"60+",(IF(ifood_data[[#All],[Age]]&gt;50,"50-60",(IF(ifood_data[[#All],[Age]]&gt;40,"40-50",(IF(ifood_data[[#All],[Age]]&gt;30,"30-40","&lt;30")))))))</f>
        <v>60+</v>
      </c>
      <c r="AX1029">
        <f t="shared" si="64"/>
        <v>31</v>
      </c>
      <c r="AY1029">
        <f t="shared" si="65"/>
        <v>4</v>
      </c>
      <c r="AZ1029">
        <f t="shared" si="66"/>
        <v>9</v>
      </c>
      <c r="BA1029">
        <f t="shared" si="67"/>
        <v>5</v>
      </c>
      <c r="BB1029">
        <f>SUM(ifood_data[[#This Row],[Recency Score]:[Monetary Score]])</f>
        <v>18</v>
      </c>
      <c r="BC1029">
        <f>(_xlfn.PERCENTRANK.INC(ifood_data[[#All],[RFM]],ifood_data[[#This Row],[RFM]],1))*10</f>
        <v>6</v>
      </c>
      <c r="BD1029" t="str">
        <f>VLOOKUP(ifood_data[[#This Row],[RFM Score]],'RFM Analysis'!$A$3:$B$14,2,FALSE)</f>
        <v>Promising</v>
      </c>
      <c r="BE1029">
        <f>'Regression Models'!$B$101+'Regression Models'!$B$102*ifood_data[[#This Row],[Income]]+'Regression Models'!$B$103*ifood_data[[#This Row],[Age]]+'Regression Models'!$B$104*ifood_data[[#This Row],[Family]]</f>
        <v>492.224945502575</v>
      </c>
      <c r="BF1029" t="str">
        <f>IF(ifood_data[[#This Row],[AcceptedCmpOverall]]=1,"Campaign Respondent","Non-respondent")</f>
        <v>Non-respondent</v>
      </c>
    </row>
    <row r="1030" spans="1:58" x14ac:dyDescent="0.35">
      <c r="A1030">
        <v>1420</v>
      </c>
      <c r="B1030">
        <v>53083</v>
      </c>
      <c r="C1030">
        <v>1</v>
      </c>
      <c r="D1030">
        <v>1</v>
      </c>
      <c r="E1030">
        <v>65</v>
      </c>
      <c r="F1030">
        <v>215</v>
      </c>
      <c r="G1030">
        <v>7</v>
      </c>
      <c r="H1030">
        <v>33</v>
      </c>
      <c r="I1030">
        <v>3</v>
      </c>
      <c r="J1030">
        <v>0</v>
      </c>
      <c r="K1030">
        <v>13</v>
      </c>
      <c r="L1030">
        <v>6</v>
      </c>
      <c r="M1030">
        <v>5</v>
      </c>
      <c r="N1030">
        <v>1</v>
      </c>
      <c r="O1030">
        <v>5</v>
      </c>
      <c r="P1030">
        <v>7</v>
      </c>
      <c r="Q1030">
        <v>0</v>
      </c>
      <c r="R1030">
        <v>0</v>
      </c>
      <c r="S1030">
        <v>0</v>
      </c>
      <c r="T1030">
        <v>1</v>
      </c>
      <c r="U1030">
        <v>0</v>
      </c>
      <c r="V1030">
        <f>IF(SUM(ifood_data[[#This Row],[AcceptedCmp1]:[AcceptedCmp5]])&gt;0,1,0)</f>
        <v>1</v>
      </c>
      <c r="W1030">
        <v>0</v>
      </c>
      <c r="X1030">
        <v>3</v>
      </c>
      <c r="Y1030">
        <v>11</v>
      </c>
      <c r="Z1030">
        <v>0</v>
      </c>
      <c r="AA1030">
        <v>62</v>
      </c>
      <c r="AB1030">
        <v>2569</v>
      </c>
      <c r="AC1030" s="28">
        <f>ifood_data[[#This Row],[Customer_Days]]/365</f>
        <v>7.0383561643835613</v>
      </c>
      <c r="AD1030">
        <v>0</v>
      </c>
      <c r="AE1030">
        <v>0</v>
      </c>
      <c r="AF1030">
        <v>0</v>
      </c>
      <c r="AG1030">
        <v>1</v>
      </c>
      <c r="AH1030">
        <v>0</v>
      </c>
      <c r="AI1030">
        <v>1</v>
      </c>
      <c r="AJ1030">
        <v>0</v>
      </c>
      <c r="AK1030">
        <v>0</v>
      </c>
      <c r="AL1030">
        <v>0</v>
      </c>
      <c r="AM1030">
        <v>0</v>
      </c>
      <c r="AN1030">
        <v>258</v>
      </c>
      <c r="AO1030">
        <v>245</v>
      </c>
      <c r="AP1030">
        <f>ifood_data[[#This Row],[MntTotal]]-ifood_data[[#This Row],[MntRegularProds]]</f>
        <v>13</v>
      </c>
      <c r="AQ1030">
        <v>1</v>
      </c>
      <c r="AR1030">
        <f>IF(SUM(ifood_data[[#This Row],[Kidhome]:[Teenhome]])&gt;0,1,0)</f>
        <v>1</v>
      </c>
      <c r="AS1030" t="str">
        <f>IF(SUM(ifood_data[[#This Row],[Kidhome]:[Teenhome]])&gt;0,"Has Family","No Family")</f>
        <v>Has Family</v>
      </c>
      <c r="AT1030" t="str">
        <f>IF(ifood_data[[#This Row],[marital_Married]]=1,"Married", (IF(ifood_data[[#This Row],[marital_Single]]=1,"Single",(IF(ifood_data[[#This Row],[marital_Divorced]]=1,"Divorced",(IF(ifood_data[[#This Row],[marital_Together]]=1,"Living Together",(IF(ifood_data[[#This Row],[marital_Widow]]=1,"Widow","Other")))))))))</f>
        <v>Living Together</v>
      </c>
      <c r="AU1030" t="str">
        <f>IF(ifood_data[[#This Row],[education_Basic]]=1,"High School",(IF(ifood_data[[#This Row],[education_Graduation]]=1,"Undergraduate Degree",(IF(SUM(AM1030,AL1030,AI1030)&gt;0,"Master's Degree or Higher","Other")))))</f>
        <v>Master's Degree or Higher</v>
      </c>
      <c r="AV1030" t="str">
        <f>IF(ifood_data[[#All],[Income]]&gt;75000,"75K+",(IF(ifood_data[[#All],[Income]]&gt;50000,"50K-75K",(IF(ifood_data[[#All],[Income]]&gt;35000,"35K-50K","&lt;35K")))))</f>
        <v>50K-75K</v>
      </c>
      <c r="AW1030" t="str">
        <f>IF(ifood_data[[#All],[Age]]&gt;60,"60+",(IF(ifood_data[[#All],[Age]]&gt;50,"50-60",(IF(ifood_data[[#All],[Age]]&gt;40,"40-50",(IF(ifood_data[[#All],[Age]]&gt;30,"30-40","&lt;30")))))))</f>
        <v>60+</v>
      </c>
      <c r="AX1030">
        <f t="shared" si="64"/>
        <v>24</v>
      </c>
      <c r="AY1030">
        <f t="shared" si="65"/>
        <v>4</v>
      </c>
      <c r="AZ1030">
        <f t="shared" si="66"/>
        <v>6</v>
      </c>
      <c r="BA1030">
        <f t="shared" si="67"/>
        <v>4</v>
      </c>
      <c r="BB1030">
        <f>SUM(ifood_data[[#This Row],[Recency Score]:[Monetary Score]])</f>
        <v>14</v>
      </c>
      <c r="BC1030">
        <f>(_xlfn.PERCENTRANK.INC(ifood_data[[#All],[RFM]],ifood_data[[#This Row],[RFM]],1))*10</f>
        <v>4</v>
      </c>
      <c r="BD1030" t="str">
        <f>VLOOKUP(ifood_data[[#This Row],[RFM Score]],'RFM Analysis'!$A$3:$B$14,2,FALSE)</f>
        <v>At Risk</v>
      </c>
      <c r="BE1030">
        <f>'Regression Models'!$B$101+'Regression Models'!$B$102*ifood_data[[#This Row],[Income]]+'Regression Models'!$B$103*ifood_data[[#This Row],[Age]]+'Regression Models'!$B$104*ifood_data[[#This Row],[Family]]</f>
        <v>491.00886914365799</v>
      </c>
      <c r="BF1030" t="str">
        <f>IF(ifood_data[[#This Row],[AcceptedCmpOverall]]=1,"Campaign Respondent","Non-respondent")</f>
        <v>Campaign Respondent</v>
      </c>
    </row>
    <row r="1031" spans="1:58" x14ac:dyDescent="0.35">
      <c r="A1031">
        <v>88</v>
      </c>
      <c r="B1031">
        <v>51813</v>
      </c>
      <c r="C1031">
        <v>1</v>
      </c>
      <c r="D1031">
        <v>1</v>
      </c>
      <c r="E1031">
        <v>37</v>
      </c>
      <c r="F1031">
        <v>51</v>
      </c>
      <c r="G1031">
        <v>2</v>
      </c>
      <c r="H1031">
        <v>7</v>
      </c>
      <c r="I1031">
        <v>0</v>
      </c>
      <c r="J1031">
        <v>1</v>
      </c>
      <c r="K1031">
        <v>2</v>
      </c>
      <c r="L1031">
        <v>2</v>
      </c>
      <c r="M1031">
        <v>2</v>
      </c>
      <c r="N1031">
        <v>0</v>
      </c>
      <c r="O1031">
        <v>3</v>
      </c>
      <c r="P1031">
        <v>7</v>
      </c>
      <c r="Q1031">
        <v>0</v>
      </c>
      <c r="R1031">
        <v>0</v>
      </c>
      <c r="S1031">
        <v>0</v>
      </c>
      <c r="T1031">
        <v>0</v>
      </c>
      <c r="U1031">
        <v>0</v>
      </c>
      <c r="V1031">
        <f>IF(SUM(ifood_data[[#This Row],[AcceptedCmp1]:[AcceptedCmp5]])&gt;0,1,0)</f>
        <v>0</v>
      </c>
      <c r="W1031">
        <v>0</v>
      </c>
      <c r="X1031">
        <v>3</v>
      </c>
      <c r="Y1031">
        <v>11</v>
      </c>
      <c r="Z1031">
        <v>0</v>
      </c>
      <c r="AA1031">
        <v>48</v>
      </c>
      <c r="AB1031">
        <v>2603</v>
      </c>
      <c r="AC1031" s="28">
        <f>ifood_data[[#This Row],[Customer_Days]]/365</f>
        <v>7.1315068493150688</v>
      </c>
      <c r="AD1031">
        <v>1</v>
      </c>
      <c r="AE1031">
        <v>0</v>
      </c>
      <c r="AF1031">
        <v>0</v>
      </c>
      <c r="AG1031">
        <v>0</v>
      </c>
      <c r="AH1031">
        <v>0</v>
      </c>
      <c r="AI1031">
        <v>0</v>
      </c>
      <c r="AJ1031">
        <v>0</v>
      </c>
      <c r="AK1031">
        <v>1</v>
      </c>
      <c r="AL1031">
        <v>0</v>
      </c>
      <c r="AM1031">
        <v>0</v>
      </c>
      <c r="AN1031">
        <v>61</v>
      </c>
      <c r="AO1031">
        <v>59</v>
      </c>
      <c r="AP1031">
        <f>ifood_data[[#This Row],[MntTotal]]-ifood_data[[#This Row],[MntRegularProds]]</f>
        <v>2</v>
      </c>
      <c r="AQ1031">
        <v>0</v>
      </c>
      <c r="AR1031">
        <f>IF(SUM(ifood_data[[#This Row],[Kidhome]:[Teenhome]])&gt;0,1,0)</f>
        <v>1</v>
      </c>
      <c r="AS1031" t="str">
        <f>IF(SUM(ifood_data[[#This Row],[Kidhome]:[Teenhome]])&gt;0,"Has Family","No Family")</f>
        <v>Has Family</v>
      </c>
      <c r="AT1031" t="str">
        <f>IF(ifood_data[[#This Row],[marital_Married]]=1,"Married", (IF(ifood_data[[#This Row],[marital_Single]]=1,"Single",(IF(ifood_data[[#This Row],[marital_Divorced]]=1,"Divorced",(IF(ifood_data[[#This Row],[marital_Together]]=1,"Living Together",(IF(ifood_data[[#This Row],[marital_Widow]]=1,"Widow","Other")))))))))</f>
        <v>Divorced</v>
      </c>
      <c r="AU1031" t="str">
        <f>IF(ifood_data[[#This Row],[education_Basic]]=1,"High School",(IF(ifood_data[[#This Row],[education_Graduation]]=1,"Undergraduate Degree",(IF(SUM(AM1031,AL1031,AI1031)&gt;0,"Master's Degree or Higher","Other")))))</f>
        <v>Undergraduate Degree</v>
      </c>
      <c r="AV1031" t="str">
        <f>IF(ifood_data[[#All],[Income]]&gt;75000,"75K+",(IF(ifood_data[[#All],[Income]]&gt;50000,"50K-75K",(IF(ifood_data[[#All],[Income]]&gt;35000,"35K-50K","&lt;35K")))))</f>
        <v>50K-75K</v>
      </c>
      <c r="AW1031" t="str">
        <f>IF(ifood_data[[#All],[Age]]&gt;60,"60+",(IF(ifood_data[[#All],[Age]]&gt;50,"50-60",(IF(ifood_data[[#All],[Age]]&gt;40,"40-50",(IF(ifood_data[[#All],[Age]]&gt;30,"30-40","&lt;30")))))))</f>
        <v>40-50</v>
      </c>
      <c r="AX1031">
        <f t="shared" si="64"/>
        <v>14</v>
      </c>
      <c r="AY1031">
        <f t="shared" si="65"/>
        <v>7</v>
      </c>
      <c r="AZ1031">
        <f t="shared" si="66"/>
        <v>2</v>
      </c>
      <c r="BA1031">
        <f t="shared" si="67"/>
        <v>2</v>
      </c>
      <c r="BB1031">
        <f>SUM(ifood_data[[#This Row],[Recency Score]:[Monetary Score]])</f>
        <v>11</v>
      </c>
      <c r="BC1031">
        <f>(_xlfn.PERCENTRANK.INC(ifood_data[[#All],[RFM]],ifood_data[[#This Row],[RFM]],1))*10</f>
        <v>2</v>
      </c>
      <c r="BD1031" t="str">
        <f>VLOOKUP(ifood_data[[#This Row],[RFM Score]],'RFM Analysis'!$A$3:$B$14,2,FALSE)</f>
        <v>At Risk</v>
      </c>
      <c r="BE1031">
        <f>'Regression Models'!$B$101+'Regression Models'!$B$102*ifood_data[[#This Row],[Income]]+'Regression Models'!$B$103*ifood_data[[#This Row],[Age]]+'Regression Models'!$B$104*ifood_data[[#This Row],[Family]]</f>
        <v>490.82528070542628</v>
      </c>
      <c r="BF1031" t="str">
        <f>IF(ifood_data[[#This Row],[AcceptedCmpOverall]]=1,"Campaign Respondent","Non-respondent")</f>
        <v>Non-respondent</v>
      </c>
    </row>
    <row r="1032" spans="1:58" x14ac:dyDescent="0.35">
      <c r="A1032">
        <v>751</v>
      </c>
      <c r="B1032">
        <v>51267</v>
      </c>
      <c r="C1032">
        <v>1</v>
      </c>
      <c r="D1032">
        <v>1</v>
      </c>
      <c r="E1032">
        <v>37</v>
      </c>
      <c r="F1032">
        <v>183</v>
      </c>
      <c r="G1032">
        <v>2</v>
      </c>
      <c r="H1032">
        <v>64</v>
      </c>
      <c r="I1032">
        <v>7</v>
      </c>
      <c r="J1032">
        <v>2</v>
      </c>
      <c r="K1032">
        <v>12</v>
      </c>
      <c r="L1032">
        <v>4</v>
      </c>
      <c r="M1032">
        <v>3</v>
      </c>
      <c r="N1032">
        <v>3</v>
      </c>
      <c r="O1032">
        <v>5</v>
      </c>
      <c r="P1032">
        <v>4</v>
      </c>
      <c r="Q1032">
        <v>0</v>
      </c>
      <c r="R1032">
        <v>0</v>
      </c>
      <c r="S1032">
        <v>0</v>
      </c>
      <c r="T1032">
        <v>0</v>
      </c>
      <c r="U1032">
        <v>0</v>
      </c>
      <c r="V1032">
        <f>IF(SUM(ifood_data[[#This Row],[AcceptedCmp1]:[AcceptedCmp5]])&gt;0,1,0)</f>
        <v>0</v>
      </c>
      <c r="W1032">
        <v>0</v>
      </c>
      <c r="X1032">
        <v>3</v>
      </c>
      <c r="Y1032">
        <v>11</v>
      </c>
      <c r="Z1032">
        <v>0</v>
      </c>
      <c r="AA1032">
        <v>42</v>
      </c>
      <c r="AB1032">
        <v>2402</v>
      </c>
      <c r="AC1032" s="28">
        <f>ifood_data[[#This Row],[Customer_Days]]/365</f>
        <v>6.580821917808219</v>
      </c>
      <c r="AD1032">
        <v>0</v>
      </c>
      <c r="AE1032">
        <v>1</v>
      </c>
      <c r="AF1032">
        <v>0</v>
      </c>
      <c r="AG1032">
        <v>0</v>
      </c>
      <c r="AH1032">
        <v>0</v>
      </c>
      <c r="AI1032">
        <v>0</v>
      </c>
      <c r="AJ1032">
        <v>0</v>
      </c>
      <c r="AK1032">
        <v>1</v>
      </c>
      <c r="AL1032">
        <v>0</v>
      </c>
      <c r="AM1032">
        <v>0</v>
      </c>
      <c r="AN1032">
        <v>258</v>
      </c>
      <c r="AO1032">
        <v>246</v>
      </c>
      <c r="AP1032">
        <f>ifood_data[[#This Row],[MntTotal]]-ifood_data[[#This Row],[MntRegularProds]]</f>
        <v>12</v>
      </c>
      <c r="AQ1032">
        <v>0</v>
      </c>
      <c r="AR1032">
        <f>IF(SUM(ifood_data[[#This Row],[Kidhome]:[Teenhome]])&gt;0,1,0)</f>
        <v>1</v>
      </c>
      <c r="AS1032" t="str">
        <f>IF(SUM(ifood_data[[#This Row],[Kidhome]:[Teenhome]])&gt;0,"Has Family","No Family")</f>
        <v>Has Family</v>
      </c>
      <c r="AT1032" t="str">
        <f>IF(ifood_data[[#This Row],[marital_Married]]=1,"Married", (IF(ifood_data[[#This Row],[marital_Single]]=1,"Single",(IF(ifood_data[[#This Row],[marital_Divorced]]=1,"Divorced",(IF(ifood_data[[#This Row],[marital_Together]]=1,"Living Together",(IF(ifood_data[[#This Row],[marital_Widow]]=1,"Widow","Other")))))))))</f>
        <v>Married</v>
      </c>
      <c r="AU1032" t="str">
        <f>IF(ifood_data[[#This Row],[education_Basic]]=1,"High School",(IF(ifood_data[[#This Row],[education_Graduation]]=1,"Undergraduate Degree",(IF(SUM(AM1032,AL1032,AI1032)&gt;0,"Master's Degree or Higher","Other")))))</f>
        <v>Undergraduate Degree</v>
      </c>
      <c r="AV1032" t="str">
        <f>IF(ifood_data[[#All],[Income]]&gt;75000,"75K+",(IF(ifood_data[[#All],[Income]]&gt;50000,"50K-75K",(IF(ifood_data[[#All],[Income]]&gt;35000,"35K-50K","&lt;35K")))))</f>
        <v>50K-75K</v>
      </c>
      <c r="AW1032" t="str">
        <f>IF(ifood_data[[#All],[Age]]&gt;60,"60+",(IF(ifood_data[[#All],[Age]]&gt;50,"50-60",(IF(ifood_data[[#All],[Age]]&gt;40,"40-50",(IF(ifood_data[[#All],[Age]]&gt;30,"30-40","&lt;30")))))))</f>
        <v>40-50</v>
      </c>
      <c r="AX1032">
        <f t="shared" si="64"/>
        <v>19</v>
      </c>
      <c r="AY1032">
        <f t="shared" si="65"/>
        <v>7</v>
      </c>
      <c r="AZ1032">
        <f t="shared" si="66"/>
        <v>4</v>
      </c>
      <c r="BA1032">
        <f t="shared" si="67"/>
        <v>4</v>
      </c>
      <c r="BB1032">
        <f>SUM(ifood_data[[#This Row],[Recency Score]:[Monetary Score]])</f>
        <v>15</v>
      </c>
      <c r="BC1032">
        <f>(_xlfn.PERCENTRANK.INC(ifood_data[[#All],[RFM]],ifood_data[[#This Row],[RFM]],1))*10</f>
        <v>4</v>
      </c>
      <c r="BD1032" t="str">
        <f>VLOOKUP(ifood_data[[#This Row],[RFM Score]],'RFM Analysis'!$A$3:$B$14,2,FALSE)</f>
        <v>At Risk</v>
      </c>
      <c r="BE1032">
        <f>'Regression Models'!$B$101+'Regression Models'!$B$102*ifood_data[[#This Row],[Income]]+'Regression Models'!$B$103*ifood_data[[#This Row],[Age]]+'Regression Models'!$B$104*ifood_data[[#This Row],[Family]]</f>
        <v>490.71164777222305</v>
      </c>
      <c r="BF1032" t="str">
        <f>IF(ifood_data[[#This Row],[AcceptedCmpOverall]]=1,"Campaign Respondent","Non-respondent")</f>
        <v>Non-respondent</v>
      </c>
    </row>
    <row r="1033" spans="1:58" x14ac:dyDescent="0.35">
      <c r="A1033">
        <v>1926</v>
      </c>
      <c r="B1033">
        <v>53230</v>
      </c>
      <c r="C1033">
        <v>0</v>
      </c>
      <c r="D1033">
        <v>1</v>
      </c>
      <c r="E1033">
        <v>86</v>
      </c>
      <c r="F1033">
        <v>176</v>
      </c>
      <c r="G1033">
        <v>72</v>
      </c>
      <c r="H1033">
        <v>98</v>
      </c>
      <c r="I1033">
        <v>136</v>
      </c>
      <c r="J1033">
        <v>21</v>
      </c>
      <c r="K1033">
        <v>229</v>
      </c>
      <c r="L1033">
        <v>4</v>
      </c>
      <c r="M1033">
        <v>5</v>
      </c>
      <c r="N1033">
        <v>2</v>
      </c>
      <c r="O1033">
        <v>12</v>
      </c>
      <c r="P1033">
        <v>5</v>
      </c>
      <c r="Q1033">
        <v>0</v>
      </c>
      <c r="R1033">
        <v>0</v>
      </c>
      <c r="S1033">
        <v>0</v>
      </c>
      <c r="T1033">
        <v>0</v>
      </c>
      <c r="U1033">
        <v>0</v>
      </c>
      <c r="V1033">
        <f>IF(SUM(ifood_data[[#This Row],[AcceptedCmp1]:[AcceptedCmp5]])&gt;0,1,0)</f>
        <v>0</v>
      </c>
      <c r="W1033">
        <v>0</v>
      </c>
      <c r="X1033">
        <v>3</v>
      </c>
      <c r="Y1033">
        <v>11</v>
      </c>
      <c r="Z1033">
        <v>0</v>
      </c>
      <c r="AA1033">
        <v>64</v>
      </c>
      <c r="AB1033">
        <v>2854</v>
      </c>
      <c r="AC1033" s="28">
        <f>ifood_data[[#This Row],[Customer_Days]]/365</f>
        <v>7.8191780821917805</v>
      </c>
      <c r="AD1033">
        <v>0</v>
      </c>
      <c r="AE1033">
        <v>1</v>
      </c>
      <c r="AF1033">
        <v>0</v>
      </c>
      <c r="AG1033">
        <v>0</v>
      </c>
      <c r="AH1033">
        <v>0</v>
      </c>
      <c r="AI1033">
        <v>1</v>
      </c>
      <c r="AJ1033">
        <v>0</v>
      </c>
      <c r="AK1033">
        <v>0</v>
      </c>
      <c r="AL1033">
        <v>0</v>
      </c>
      <c r="AM1033">
        <v>0</v>
      </c>
      <c r="AN1033">
        <v>503</v>
      </c>
      <c r="AO1033">
        <v>274</v>
      </c>
      <c r="AP1033">
        <f>ifood_data[[#This Row],[MntTotal]]-ifood_data[[#This Row],[MntRegularProds]]</f>
        <v>229</v>
      </c>
      <c r="AQ1033">
        <v>0</v>
      </c>
      <c r="AR1033">
        <f>IF(SUM(ifood_data[[#This Row],[Kidhome]:[Teenhome]])&gt;0,1,0)</f>
        <v>1</v>
      </c>
      <c r="AS1033" t="str">
        <f>IF(SUM(ifood_data[[#This Row],[Kidhome]:[Teenhome]])&gt;0,"Has Family","No Family")</f>
        <v>Has Family</v>
      </c>
      <c r="AT1033" t="str">
        <f>IF(ifood_data[[#This Row],[marital_Married]]=1,"Married", (IF(ifood_data[[#This Row],[marital_Single]]=1,"Single",(IF(ifood_data[[#This Row],[marital_Divorced]]=1,"Divorced",(IF(ifood_data[[#This Row],[marital_Together]]=1,"Living Together",(IF(ifood_data[[#This Row],[marital_Widow]]=1,"Widow","Other")))))))))</f>
        <v>Married</v>
      </c>
      <c r="AU1033" t="str">
        <f>IF(ifood_data[[#This Row],[education_Basic]]=1,"High School",(IF(ifood_data[[#This Row],[education_Graduation]]=1,"Undergraduate Degree",(IF(SUM(AM1033,AL1033,AI1033)&gt;0,"Master's Degree or Higher","Other")))))</f>
        <v>Master's Degree or Higher</v>
      </c>
      <c r="AV1033" t="str">
        <f>IF(ifood_data[[#All],[Income]]&gt;75000,"75K+",(IF(ifood_data[[#All],[Income]]&gt;50000,"50K-75K",(IF(ifood_data[[#All],[Income]]&gt;35000,"35K-50K","&lt;35K")))))</f>
        <v>50K-75K</v>
      </c>
      <c r="AW1033" t="str">
        <f>IF(ifood_data[[#All],[Age]]&gt;60,"60+",(IF(ifood_data[[#All],[Age]]&gt;50,"50-60",(IF(ifood_data[[#All],[Age]]&gt;40,"40-50",(IF(ifood_data[[#All],[Age]]&gt;30,"30-40","&lt;30")))))))</f>
        <v>60+</v>
      </c>
      <c r="AX1033">
        <f t="shared" si="64"/>
        <v>28</v>
      </c>
      <c r="AY1033">
        <f t="shared" si="65"/>
        <v>1.9999999999999996</v>
      </c>
      <c r="AZ1033">
        <f t="shared" si="66"/>
        <v>8</v>
      </c>
      <c r="BA1033">
        <f t="shared" si="67"/>
        <v>5</v>
      </c>
      <c r="BB1033">
        <f>SUM(ifood_data[[#This Row],[Recency Score]:[Monetary Score]])</f>
        <v>15</v>
      </c>
      <c r="BC1033">
        <f>(_xlfn.PERCENTRANK.INC(ifood_data[[#All],[RFM]],ifood_data[[#This Row],[RFM]],1))*10</f>
        <v>4</v>
      </c>
      <c r="BD1033" t="str">
        <f>VLOOKUP(ifood_data[[#This Row],[RFM Score]],'RFM Analysis'!$A$3:$B$14,2,FALSE)</f>
        <v>At Risk</v>
      </c>
      <c r="BE1033">
        <f>'Regression Models'!$B$101+'Regression Models'!$B$102*ifood_data[[#This Row],[Income]]+'Regression Models'!$B$103*ifood_data[[#This Row],[Age]]+'Regression Models'!$B$104*ifood_data[[#This Row],[Family]]</f>
        <v>490.33313990302247</v>
      </c>
      <c r="BF1033" t="str">
        <f>IF(ifood_data[[#This Row],[AcceptedCmpOverall]]=1,"Campaign Respondent","Non-respondent")</f>
        <v>Non-respondent</v>
      </c>
    </row>
    <row r="1034" spans="1:58" x14ac:dyDescent="0.35">
      <c r="A1034">
        <v>212</v>
      </c>
      <c r="B1034">
        <v>51369</v>
      </c>
      <c r="C1034">
        <v>0</v>
      </c>
      <c r="D1034">
        <v>1</v>
      </c>
      <c r="E1034">
        <v>84</v>
      </c>
      <c r="F1034">
        <v>297</v>
      </c>
      <c r="G1034">
        <v>7</v>
      </c>
      <c r="H1034">
        <v>79</v>
      </c>
      <c r="I1034">
        <v>0</v>
      </c>
      <c r="J1034">
        <v>11</v>
      </c>
      <c r="K1034">
        <v>182</v>
      </c>
      <c r="L1034">
        <v>2</v>
      </c>
      <c r="M1034">
        <v>8</v>
      </c>
      <c r="N1034">
        <v>2</v>
      </c>
      <c r="O1034">
        <v>4</v>
      </c>
      <c r="P1034">
        <v>8</v>
      </c>
      <c r="Q1034">
        <v>0</v>
      </c>
      <c r="R1034">
        <v>0</v>
      </c>
      <c r="S1034">
        <v>0</v>
      </c>
      <c r="T1034">
        <v>0</v>
      </c>
      <c r="U1034">
        <v>0</v>
      </c>
      <c r="V1034">
        <f>IF(SUM(ifood_data[[#This Row],[AcceptedCmp1]:[AcceptedCmp5]])&gt;0,1,0)</f>
        <v>0</v>
      </c>
      <c r="W1034">
        <v>0</v>
      </c>
      <c r="X1034">
        <v>3</v>
      </c>
      <c r="Y1034">
        <v>11</v>
      </c>
      <c r="Z1034">
        <v>0</v>
      </c>
      <c r="AA1034">
        <v>44</v>
      </c>
      <c r="AB1034">
        <v>2771</v>
      </c>
      <c r="AC1034" s="28">
        <f>ifood_data[[#This Row],[Customer_Days]]/365</f>
        <v>7.5917808219178085</v>
      </c>
      <c r="AD1034">
        <v>0</v>
      </c>
      <c r="AE1034">
        <v>0</v>
      </c>
      <c r="AF1034">
        <v>0</v>
      </c>
      <c r="AG1034">
        <v>1</v>
      </c>
      <c r="AH1034">
        <v>0</v>
      </c>
      <c r="AI1034">
        <v>0</v>
      </c>
      <c r="AJ1034">
        <v>0</v>
      </c>
      <c r="AK1034">
        <v>1</v>
      </c>
      <c r="AL1034">
        <v>0</v>
      </c>
      <c r="AM1034">
        <v>0</v>
      </c>
      <c r="AN1034">
        <v>394</v>
      </c>
      <c r="AO1034">
        <v>212</v>
      </c>
      <c r="AP1034">
        <f>ifood_data[[#This Row],[MntTotal]]-ifood_data[[#This Row],[MntRegularProds]]</f>
        <v>182</v>
      </c>
      <c r="AQ1034">
        <v>0</v>
      </c>
      <c r="AR1034">
        <f>IF(SUM(ifood_data[[#This Row],[Kidhome]:[Teenhome]])&gt;0,1,0)</f>
        <v>1</v>
      </c>
      <c r="AS1034" t="str">
        <f>IF(SUM(ifood_data[[#This Row],[Kidhome]:[Teenhome]])&gt;0,"Has Family","No Family")</f>
        <v>Has Family</v>
      </c>
      <c r="AT1034" t="str">
        <f>IF(ifood_data[[#This Row],[marital_Married]]=1,"Married", (IF(ifood_data[[#This Row],[marital_Single]]=1,"Single",(IF(ifood_data[[#This Row],[marital_Divorced]]=1,"Divorced",(IF(ifood_data[[#This Row],[marital_Together]]=1,"Living Together",(IF(ifood_data[[#This Row],[marital_Widow]]=1,"Widow","Other")))))))))</f>
        <v>Living Together</v>
      </c>
      <c r="AU1034" t="str">
        <f>IF(ifood_data[[#This Row],[education_Basic]]=1,"High School",(IF(ifood_data[[#This Row],[education_Graduation]]=1,"Undergraduate Degree",(IF(SUM(AM1034,AL1034,AI1034)&gt;0,"Master's Degree or Higher","Other")))))</f>
        <v>Undergraduate Degree</v>
      </c>
      <c r="AV1034" t="str">
        <f>IF(ifood_data[[#All],[Income]]&gt;75000,"75K+",(IF(ifood_data[[#All],[Income]]&gt;50000,"50K-75K",(IF(ifood_data[[#All],[Income]]&gt;35000,"35K-50K","&lt;35K")))))</f>
        <v>50K-75K</v>
      </c>
      <c r="AW1034" t="str">
        <f>IF(ifood_data[[#All],[Age]]&gt;60,"60+",(IF(ifood_data[[#All],[Age]]&gt;50,"50-60",(IF(ifood_data[[#All],[Age]]&gt;40,"40-50",(IF(ifood_data[[#All],[Age]]&gt;30,"30-40","&lt;30")))))))</f>
        <v>40-50</v>
      </c>
      <c r="AX1034">
        <f t="shared" si="64"/>
        <v>24</v>
      </c>
      <c r="AY1034">
        <f t="shared" si="65"/>
        <v>1.9999999999999996</v>
      </c>
      <c r="AZ1034">
        <f t="shared" si="66"/>
        <v>6</v>
      </c>
      <c r="BA1034">
        <f t="shared" si="67"/>
        <v>5</v>
      </c>
      <c r="BB1034">
        <f>SUM(ifood_data[[#This Row],[Recency Score]:[Monetary Score]])</f>
        <v>13</v>
      </c>
      <c r="BC1034">
        <f>(_xlfn.PERCENTRANK.INC(ifood_data[[#All],[RFM]],ifood_data[[#This Row],[RFM]],1))*10</f>
        <v>3</v>
      </c>
      <c r="BD1034" t="str">
        <f>VLOOKUP(ifood_data[[#This Row],[RFM Score]],'RFM Analysis'!$A$3:$B$14,2,FALSE)</f>
        <v>At Risk</v>
      </c>
      <c r="BE1034">
        <f>'Regression Models'!$B$101+'Regression Models'!$B$102*ifood_data[[#This Row],[Income]]+'Regression Models'!$B$103*ifood_data[[#This Row],[Age]]+'Regression Models'!$B$104*ifood_data[[#This Row],[Family]]</f>
        <v>489.11842396511213</v>
      </c>
      <c r="BF1034" t="str">
        <f>IF(ifood_data[[#This Row],[AcceptedCmpOverall]]=1,"Campaign Respondent","Non-respondent")</f>
        <v>Non-respondent</v>
      </c>
    </row>
    <row r="1035" spans="1:58" x14ac:dyDescent="0.35">
      <c r="A1035">
        <v>910</v>
      </c>
      <c r="B1035">
        <v>52597</v>
      </c>
      <c r="C1035">
        <v>0</v>
      </c>
      <c r="D1035">
        <v>1</v>
      </c>
      <c r="E1035">
        <v>69</v>
      </c>
      <c r="F1035">
        <v>492</v>
      </c>
      <c r="G1035">
        <v>0</v>
      </c>
      <c r="H1035">
        <v>37</v>
      </c>
      <c r="I1035">
        <v>7</v>
      </c>
      <c r="J1035">
        <v>0</v>
      </c>
      <c r="K1035">
        <v>42</v>
      </c>
      <c r="L1035">
        <v>3</v>
      </c>
      <c r="M1035">
        <v>6</v>
      </c>
      <c r="N1035">
        <v>3</v>
      </c>
      <c r="O1035">
        <v>8</v>
      </c>
      <c r="P1035">
        <v>5</v>
      </c>
      <c r="Q1035">
        <v>0</v>
      </c>
      <c r="R1035">
        <v>0</v>
      </c>
      <c r="S1035">
        <v>0</v>
      </c>
      <c r="T1035">
        <v>0</v>
      </c>
      <c r="U1035">
        <v>0</v>
      </c>
      <c r="V1035">
        <f>IF(SUM(ifood_data[[#This Row],[AcceptedCmp1]:[AcceptedCmp5]])&gt;0,1,0)</f>
        <v>0</v>
      </c>
      <c r="W1035">
        <v>0</v>
      </c>
      <c r="X1035">
        <v>3</v>
      </c>
      <c r="Y1035">
        <v>11</v>
      </c>
      <c r="Z1035">
        <v>0</v>
      </c>
      <c r="AA1035">
        <v>58</v>
      </c>
      <c r="AB1035">
        <v>2212</v>
      </c>
      <c r="AC1035" s="28">
        <f>ifood_data[[#This Row],[Customer_Days]]/365</f>
        <v>6.0602739726027401</v>
      </c>
      <c r="AD1035">
        <v>0</v>
      </c>
      <c r="AE1035">
        <v>0</v>
      </c>
      <c r="AF1035">
        <v>1</v>
      </c>
      <c r="AG1035">
        <v>0</v>
      </c>
      <c r="AH1035">
        <v>0</v>
      </c>
      <c r="AI1035">
        <v>0</v>
      </c>
      <c r="AJ1035">
        <v>0</v>
      </c>
      <c r="AK1035">
        <v>0</v>
      </c>
      <c r="AL1035">
        <v>0</v>
      </c>
      <c r="AM1035">
        <v>1</v>
      </c>
      <c r="AN1035">
        <v>536</v>
      </c>
      <c r="AO1035">
        <v>494</v>
      </c>
      <c r="AP1035">
        <f>ifood_data[[#This Row],[MntTotal]]-ifood_data[[#This Row],[MntRegularProds]]</f>
        <v>42</v>
      </c>
      <c r="AQ1035">
        <v>0</v>
      </c>
      <c r="AR1035">
        <f>IF(SUM(ifood_data[[#This Row],[Kidhome]:[Teenhome]])&gt;0,1,0)</f>
        <v>1</v>
      </c>
      <c r="AS1035" t="str">
        <f>IF(SUM(ifood_data[[#This Row],[Kidhome]:[Teenhome]])&gt;0,"Has Family","No Family")</f>
        <v>Has Family</v>
      </c>
      <c r="AT1035" t="str">
        <f>IF(ifood_data[[#This Row],[marital_Married]]=1,"Married", (IF(ifood_data[[#This Row],[marital_Single]]=1,"Single",(IF(ifood_data[[#This Row],[marital_Divorced]]=1,"Divorced",(IF(ifood_data[[#This Row],[marital_Together]]=1,"Living Together",(IF(ifood_data[[#This Row],[marital_Widow]]=1,"Widow","Other")))))))))</f>
        <v>Single</v>
      </c>
      <c r="AU1035" t="str">
        <f>IF(ifood_data[[#This Row],[education_Basic]]=1,"High School",(IF(ifood_data[[#This Row],[education_Graduation]]=1,"Undergraduate Degree",(IF(SUM(AM1035,AL1035,AI1035)&gt;0,"Master's Degree or Higher","Other")))))</f>
        <v>Master's Degree or Higher</v>
      </c>
      <c r="AV1035" t="str">
        <f>IF(ifood_data[[#All],[Income]]&gt;75000,"75K+",(IF(ifood_data[[#All],[Income]]&gt;50000,"50K-75K",(IF(ifood_data[[#All],[Income]]&gt;35000,"35K-50K","&lt;35K")))))</f>
        <v>50K-75K</v>
      </c>
      <c r="AW1035" t="str">
        <f>IF(ifood_data[[#All],[Age]]&gt;60,"60+",(IF(ifood_data[[#All],[Age]]&gt;50,"50-60",(IF(ifood_data[[#All],[Age]]&gt;40,"40-50",(IF(ifood_data[[#All],[Age]]&gt;30,"30-40","&lt;30")))))))</f>
        <v>50-60</v>
      </c>
      <c r="AX1035">
        <f t="shared" si="64"/>
        <v>25</v>
      </c>
      <c r="AY1035">
        <f t="shared" si="65"/>
        <v>4</v>
      </c>
      <c r="AZ1035">
        <f t="shared" si="66"/>
        <v>7</v>
      </c>
      <c r="BA1035">
        <f t="shared" si="67"/>
        <v>5</v>
      </c>
      <c r="BB1035">
        <f>SUM(ifood_data[[#This Row],[Recency Score]:[Monetary Score]])</f>
        <v>16</v>
      </c>
      <c r="BC1035">
        <f>(_xlfn.PERCENTRANK.INC(ifood_data[[#All],[RFM]],ifood_data[[#This Row],[RFM]],1))*10</f>
        <v>5</v>
      </c>
      <c r="BD1035" t="str">
        <f>VLOOKUP(ifood_data[[#This Row],[RFM Score]],'RFM Analysis'!$A$3:$B$14,2,FALSE)</f>
        <v>Promising</v>
      </c>
      <c r="BE1035">
        <f>'Regression Models'!$B$101+'Regression Models'!$B$102*ifood_data[[#This Row],[Income]]+'Regression Models'!$B$103*ifood_data[[#This Row],[Age]]+'Regression Models'!$B$104*ifood_data[[#This Row],[Family]]</f>
        <v>488.44568414130015</v>
      </c>
      <c r="BF1035" t="str">
        <f>IF(ifood_data[[#This Row],[AcceptedCmpOverall]]=1,"Campaign Respondent","Non-respondent")</f>
        <v>Non-respondent</v>
      </c>
    </row>
    <row r="1036" spans="1:58" x14ac:dyDescent="0.35">
      <c r="A1036">
        <v>1504</v>
      </c>
      <c r="B1036">
        <v>52854</v>
      </c>
      <c r="C1036">
        <v>1</v>
      </c>
      <c r="D1036">
        <v>1</v>
      </c>
      <c r="E1036">
        <v>43</v>
      </c>
      <c r="F1036">
        <v>105</v>
      </c>
      <c r="G1036">
        <v>0</v>
      </c>
      <c r="H1036">
        <v>10</v>
      </c>
      <c r="I1036">
        <v>0</v>
      </c>
      <c r="J1036">
        <v>1</v>
      </c>
      <c r="K1036">
        <v>0</v>
      </c>
      <c r="L1036">
        <v>2</v>
      </c>
      <c r="M1036">
        <v>2</v>
      </c>
      <c r="N1036">
        <v>1</v>
      </c>
      <c r="O1036">
        <v>4</v>
      </c>
      <c r="P1036">
        <v>5</v>
      </c>
      <c r="Q1036">
        <v>0</v>
      </c>
      <c r="R1036">
        <v>0</v>
      </c>
      <c r="S1036">
        <v>0</v>
      </c>
      <c r="T1036">
        <v>0</v>
      </c>
      <c r="U1036">
        <v>0</v>
      </c>
      <c r="V1036">
        <f>IF(SUM(ifood_data[[#This Row],[AcceptedCmp1]:[AcceptedCmp5]])&gt;0,1,0)</f>
        <v>0</v>
      </c>
      <c r="W1036">
        <v>0</v>
      </c>
      <c r="X1036">
        <v>3</v>
      </c>
      <c r="Y1036">
        <v>11</v>
      </c>
      <c r="Z1036">
        <v>0</v>
      </c>
      <c r="AA1036">
        <v>61</v>
      </c>
      <c r="AB1036">
        <v>2256</v>
      </c>
      <c r="AC1036" s="28">
        <f>ifood_data[[#This Row],[Customer_Days]]/365</f>
        <v>6.1808219178082195</v>
      </c>
      <c r="AD1036">
        <v>0</v>
      </c>
      <c r="AE1036">
        <v>1</v>
      </c>
      <c r="AF1036">
        <v>0</v>
      </c>
      <c r="AG1036">
        <v>0</v>
      </c>
      <c r="AH1036">
        <v>0</v>
      </c>
      <c r="AI1036">
        <v>0</v>
      </c>
      <c r="AJ1036">
        <v>0</v>
      </c>
      <c r="AK1036">
        <v>0</v>
      </c>
      <c r="AL1036">
        <v>0</v>
      </c>
      <c r="AM1036">
        <v>1</v>
      </c>
      <c r="AN1036">
        <v>116</v>
      </c>
      <c r="AO1036">
        <v>116</v>
      </c>
      <c r="AP1036">
        <f>ifood_data[[#This Row],[MntTotal]]-ifood_data[[#This Row],[MntRegularProds]]</f>
        <v>0</v>
      </c>
      <c r="AQ1036">
        <v>0</v>
      </c>
      <c r="AR1036">
        <f>IF(SUM(ifood_data[[#This Row],[Kidhome]:[Teenhome]])&gt;0,1,0)</f>
        <v>1</v>
      </c>
      <c r="AS1036" t="str">
        <f>IF(SUM(ifood_data[[#This Row],[Kidhome]:[Teenhome]])&gt;0,"Has Family","No Family")</f>
        <v>Has Family</v>
      </c>
      <c r="AT1036" t="str">
        <f>IF(ifood_data[[#This Row],[marital_Married]]=1,"Married", (IF(ifood_data[[#This Row],[marital_Single]]=1,"Single",(IF(ifood_data[[#This Row],[marital_Divorced]]=1,"Divorced",(IF(ifood_data[[#This Row],[marital_Together]]=1,"Living Together",(IF(ifood_data[[#This Row],[marital_Widow]]=1,"Widow","Other")))))))))</f>
        <v>Married</v>
      </c>
      <c r="AU1036" t="str">
        <f>IF(ifood_data[[#This Row],[education_Basic]]=1,"High School",(IF(ifood_data[[#This Row],[education_Graduation]]=1,"Undergraduate Degree",(IF(SUM(AM1036,AL1036,AI1036)&gt;0,"Master's Degree or Higher","Other")))))</f>
        <v>Master's Degree or Higher</v>
      </c>
      <c r="AV1036" t="str">
        <f>IF(ifood_data[[#All],[Income]]&gt;75000,"75K+",(IF(ifood_data[[#All],[Income]]&gt;50000,"50K-75K",(IF(ifood_data[[#All],[Income]]&gt;35000,"35K-50K","&lt;35K")))))</f>
        <v>50K-75K</v>
      </c>
      <c r="AW1036" t="str">
        <f>IF(ifood_data[[#All],[Age]]&gt;60,"60+",(IF(ifood_data[[#All],[Age]]&gt;50,"50-60",(IF(ifood_data[[#All],[Age]]&gt;40,"40-50",(IF(ifood_data[[#All],[Age]]&gt;30,"30-40","&lt;30")))))))</f>
        <v>60+</v>
      </c>
      <c r="AX1036">
        <f t="shared" si="64"/>
        <v>14</v>
      </c>
      <c r="AY1036">
        <f t="shared" si="65"/>
        <v>6</v>
      </c>
      <c r="AZ1036">
        <f t="shared" si="66"/>
        <v>2</v>
      </c>
      <c r="BA1036">
        <f t="shared" si="67"/>
        <v>3</v>
      </c>
      <c r="BB1036">
        <f>SUM(ifood_data[[#This Row],[Recency Score]:[Monetary Score]])</f>
        <v>11</v>
      </c>
      <c r="BC1036">
        <f>(_xlfn.PERCENTRANK.INC(ifood_data[[#All],[RFM]],ifood_data[[#This Row],[RFM]],1))*10</f>
        <v>2</v>
      </c>
      <c r="BD1036" t="str">
        <f>VLOOKUP(ifood_data[[#This Row],[RFM Score]],'RFM Analysis'!$A$3:$B$14,2,FALSE)</f>
        <v>At Risk</v>
      </c>
      <c r="BE1036">
        <f>'Regression Models'!$B$101+'Regression Models'!$B$102*ifood_data[[#This Row],[Income]]+'Regression Models'!$B$103*ifood_data[[#This Row],[Age]]+'Regression Models'!$B$104*ifood_data[[#This Row],[Family]]</f>
        <v>488.17628031759943</v>
      </c>
      <c r="BF1036" t="str">
        <f>IF(ifood_data[[#This Row],[AcceptedCmpOverall]]=1,"Campaign Respondent","Non-respondent")</f>
        <v>Non-respondent</v>
      </c>
    </row>
    <row r="1037" spans="1:58" x14ac:dyDescent="0.35">
      <c r="A1037">
        <v>162</v>
      </c>
      <c r="B1037">
        <v>52074</v>
      </c>
      <c r="C1037">
        <v>0</v>
      </c>
      <c r="D1037">
        <v>1</v>
      </c>
      <c r="E1037">
        <v>77</v>
      </c>
      <c r="F1037">
        <v>59</v>
      </c>
      <c r="G1037">
        <v>0</v>
      </c>
      <c r="H1037">
        <v>12</v>
      </c>
      <c r="I1037">
        <v>0</v>
      </c>
      <c r="J1037">
        <v>0</v>
      </c>
      <c r="K1037">
        <v>48</v>
      </c>
      <c r="L1037">
        <v>1</v>
      </c>
      <c r="M1037">
        <v>2</v>
      </c>
      <c r="N1037">
        <v>2</v>
      </c>
      <c r="O1037">
        <v>2</v>
      </c>
      <c r="P1037">
        <v>4</v>
      </c>
      <c r="Q1037">
        <v>0</v>
      </c>
      <c r="R1037">
        <v>0</v>
      </c>
      <c r="S1037">
        <v>1</v>
      </c>
      <c r="T1037">
        <v>0</v>
      </c>
      <c r="U1037">
        <v>0</v>
      </c>
      <c r="V1037">
        <f>IF(SUM(ifood_data[[#This Row],[AcceptedCmp1]:[AcceptedCmp5]])&gt;0,1,0)</f>
        <v>1</v>
      </c>
      <c r="W1037">
        <v>0</v>
      </c>
      <c r="X1037">
        <v>3</v>
      </c>
      <c r="Y1037">
        <v>11</v>
      </c>
      <c r="Z1037">
        <v>0</v>
      </c>
      <c r="AA1037">
        <v>53</v>
      </c>
      <c r="AB1037">
        <v>2245</v>
      </c>
      <c r="AC1037" s="28">
        <f>ifood_data[[#This Row],[Customer_Days]]/365</f>
        <v>6.1506849315068495</v>
      </c>
      <c r="AD1037">
        <v>0</v>
      </c>
      <c r="AE1037">
        <v>0</v>
      </c>
      <c r="AF1037">
        <v>1</v>
      </c>
      <c r="AG1037">
        <v>0</v>
      </c>
      <c r="AH1037">
        <v>0</v>
      </c>
      <c r="AI1037">
        <v>0</v>
      </c>
      <c r="AJ1037">
        <v>0</v>
      </c>
      <c r="AK1037">
        <v>1</v>
      </c>
      <c r="AL1037">
        <v>0</v>
      </c>
      <c r="AM1037">
        <v>0</v>
      </c>
      <c r="AN1037">
        <v>71</v>
      </c>
      <c r="AO1037">
        <v>23</v>
      </c>
      <c r="AP1037">
        <f>ifood_data[[#This Row],[MntTotal]]-ifood_data[[#This Row],[MntRegularProds]]</f>
        <v>48</v>
      </c>
      <c r="AQ1037">
        <v>1</v>
      </c>
      <c r="AR1037">
        <f>IF(SUM(ifood_data[[#This Row],[Kidhome]:[Teenhome]])&gt;0,1,0)</f>
        <v>1</v>
      </c>
      <c r="AS1037" t="str">
        <f>IF(SUM(ifood_data[[#This Row],[Kidhome]:[Teenhome]])&gt;0,"Has Family","No Family")</f>
        <v>Has Family</v>
      </c>
      <c r="AT1037" t="str">
        <f>IF(ifood_data[[#This Row],[marital_Married]]=1,"Married", (IF(ifood_data[[#This Row],[marital_Single]]=1,"Single",(IF(ifood_data[[#This Row],[marital_Divorced]]=1,"Divorced",(IF(ifood_data[[#This Row],[marital_Together]]=1,"Living Together",(IF(ifood_data[[#This Row],[marital_Widow]]=1,"Widow","Other")))))))))</f>
        <v>Single</v>
      </c>
      <c r="AU1037" t="str">
        <f>IF(ifood_data[[#This Row],[education_Basic]]=1,"High School",(IF(ifood_data[[#This Row],[education_Graduation]]=1,"Undergraduate Degree",(IF(SUM(AM1037,AL1037,AI1037)&gt;0,"Master's Degree or Higher","Other")))))</f>
        <v>Undergraduate Degree</v>
      </c>
      <c r="AV1037" t="str">
        <f>IF(ifood_data[[#All],[Income]]&gt;75000,"75K+",(IF(ifood_data[[#All],[Income]]&gt;50000,"50K-75K",(IF(ifood_data[[#All],[Income]]&gt;35000,"35K-50K","&lt;35K")))))</f>
        <v>50K-75K</v>
      </c>
      <c r="AW1037" t="str">
        <f>IF(ifood_data[[#All],[Age]]&gt;60,"60+",(IF(ifood_data[[#All],[Age]]&gt;50,"50-60",(IF(ifood_data[[#All],[Age]]&gt;40,"40-50",(IF(ifood_data[[#All],[Age]]&gt;30,"30-40","&lt;30")))))))</f>
        <v>50-60</v>
      </c>
      <c r="AX1037">
        <f t="shared" si="64"/>
        <v>11</v>
      </c>
      <c r="AY1037">
        <f t="shared" si="65"/>
        <v>3.0000000000000004</v>
      </c>
      <c r="AZ1037">
        <f t="shared" si="66"/>
        <v>0</v>
      </c>
      <c r="BA1037">
        <f t="shared" si="67"/>
        <v>3</v>
      </c>
      <c r="BB1037">
        <f>SUM(ifood_data[[#This Row],[Recency Score]:[Monetary Score]])</f>
        <v>6</v>
      </c>
      <c r="BC1037">
        <f>(_xlfn.PERCENTRANK.INC(ifood_data[[#All],[RFM]],ifood_data[[#This Row],[RFM]],1))*10</f>
        <v>0</v>
      </c>
      <c r="BD1037" t="str">
        <f>VLOOKUP(ifood_data[[#This Row],[RFM Score]],'RFM Analysis'!$A$3:$B$14,2,FALSE)</f>
        <v>Lost</v>
      </c>
      <c r="BE1037">
        <f>'Regression Models'!$B$101+'Regression Models'!$B$102*ifood_data[[#This Row],[Income]]+'Regression Models'!$B$103*ifood_data[[#This Row],[Age]]+'Regression Models'!$B$104*ifood_data[[#This Row],[Family]]</f>
        <v>486.9645537965124</v>
      </c>
      <c r="BF1037" t="str">
        <f>IF(ifood_data[[#This Row],[AcceptedCmpOverall]]=1,"Campaign Respondent","Non-respondent")</f>
        <v>Campaign Respondent</v>
      </c>
    </row>
    <row r="1038" spans="1:58" x14ac:dyDescent="0.35">
      <c r="A1038">
        <v>1493</v>
      </c>
      <c r="B1038">
        <v>52973</v>
      </c>
      <c r="C1038">
        <v>0</v>
      </c>
      <c r="D1038">
        <v>1</v>
      </c>
      <c r="E1038">
        <v>92</v>
      </c>
      <c r="F1038">
        <v>856</v>
      </c>
      <c r="G1038">
        <v>0</v>
      </c>
      <c r="H1038">
        <v>76</v>
      </c>
      <c r="I1038">
        <v>12</v>
      </c>
      <c r="J1038">
        <v>9</v>
      </c>
      <c r="K1038">
        <v>199</v>
      </c>
      <c r="L1038">
        <v>7</v>
      </c>
      <c r="M1038">
        <v>9</v>
      </c>
      <c r="N1038">
        <v>6</v>
      </c>
      <c r="O1038">
        <v>9</v>
      </c>
      <c r="P1038">
        <v>8</v>
      </c>
      <c r="Q1038">
        <v>0</v>
      </c>
      <c r="R1038">
        <v>0</v>
      </c>
      <c r="S1038">
        <v>0</v>
      </c>
      <c r="T1038">
        <v>0</v>
      </c>
      <c r="U1038">
        <v>0</v>
      </c>
      <c r="V1038">
        <f>IF(SUM(ifood_data[[#This Row],[AcceptedCmp1]:[AcceptedCmp5]])&gt;0,1,0)</f>
        <v>0</v>
      </c>
      <c r="W1038">
        <v>0</v>
      </c>
      <c r="X1038">
        <v>3</v>
      </c>
      <c r="Y1038">
        <v>11</v>
      </c>
      <c r="Z1038">
        <v>0</v>
      </c>
      <c r="AA1038">
        <v>64</v>
      </c>
      <c r="AB1038">
        <v>2757</v>
      </c>
      <c r="AC1038" s="28">
        <f>ifood_data[[#This Row],[Customer_Days]]/365</f>
        <v>7.5534246575342463</v>
      </c>
      <c r="AD1038">
        <v>0</v>
      </c>
      <c r="AE1038">
        <v>1</v>
      </c>
      <c r="AF1038">
        <v>0</v>
      </c>
      <c r="AG1038">
        <v>0</v>
      </c>
      <c r="AH1038">
        <v>0</v>
      </c>
      <c r="AI1038">
        <v>0</v>
      </c>
      <c r="AJ1038">
        <v>0</v>
      </c>
      <c r="AK1038">
        <v>0</v>
      </c>
      <c r="AL1038">
        <v>1</v>
      </c>
      <c r="AM1038">
        <v>0</v>
      </c>
      <c r="AN1038">
        <v>953</v>
      </c>
      <c r="AO1038">
        <v>754</v>
      </c>
      <c r="AP1038">
        <f>ifood_data[[#This Row],[MntTotal]]-ifood_data[[#This Row],[MntRegularProds]]</f>
        <v>199</v>
      </c>
      <c r="AQ1038">
        <v>0</v>
      </c>
      <c r="AR1038">
        <f>IF(SUM(ifood_data[[#This Row],[Kidhome]:[Teenhome]])&gt;0,1,0)</f>
        <v>1</v>
      </c>
      <c r="AS1038" t="str">
        <f>IF(SUM(ifood_data[[#This Row],[Kidhome]:[Teenhome]])&gt;0,"Has Family","No Family")</f>
        <v>Has Family</v>
      </c>
      <c r="AT1038" t="str">
        <f>IF(ifood_data[[#This Row],[marital_Married]]=1,"Married", (IF(ifood_data[[#This Row],[marital_Single]]=1,"Single",(IF(ifood_data[[#This Row],[marital_Divorced]]=1,"Divorced",(IF(ifood_data[[#This Row],[marital_Together]]=1,"Living Together",(IF(ifood_data[[#This Row],[marital_Widow]]=1,"Widow","Other")))))))))</f>
        <v>Married</v>
      </c>
      <c r="AU1038" t="str">
        <f>IF(ifood_data[[#This Row],[education_Basic]]=1,"High School",(IF(ifood_data[[#This Row],[education_Graduation]]=1,"Undergraduate Degree",(IF(SUM(AM1038,AL1038,AI1038)&gt;0,"Master's Degree or Higher","Other")))))</f>
        <v>Master's Degree or Higher</v>
      </c>
      <c r="AV1038" t="str">
        <f>IF(ifood_data[[#All],[Income]]&gt;75000,"75K+",(IF(ifood_data[[#All],[Income]]&gt;50000,"50K-75K",(IF(ifood_data[[#All],[Income]]&gt;35000,"35K-50K","&lt;35K")))))</f>
        <v>50K-75K</v>
      </c>
      <c r="AW1038" t="str">
        <f>IF(ifood_data[[#All],[Age]]&gt;60,"60+",(IF(ifood_data[[#All],[Age]]&gt;50,"50-60",(IF(ifood_data[[#All],[Age]]&gt;40,"40-50",(IF(ifood_data[[#All],[Age]]&gt;30,"30-40","&lt;30")))))))</f>
        <v>60+</v>
      </c>
      <c r="AX1038">
        <f t="shared" si="64"/>
        <v>39</v>
      </c>
      <c r="AY1038">
        <f t="shared" si="65"/>
        <v>0.99999999999999978</v>
      </c>
      <c r="AZ1038">
        <f t="shared" si="66"/>
        <v>9</v>
      </c>
      <c r="BA1038">
        <f t="shared" si="67"/>
        <v>7</v>
      </c>
      <c r="BB1038">
        <f>SUM(ifood_data[[#This Row],[Recency Score]:[Monetary Score]])</f>
        <v>17</v>
      </c>
      <c r="BC1038">
        <f>(_xlfn.PERCENTRANK.INC(ifood_data[[#All],[RFM]],ifood_data[[#This Row],[RFM]],1))*10</f>
        <v>6</v>
      </c>
      <c r="BD1038" t="str">
        <f>VLOOKUP(ifood_data[[#This Row],[RFM Score]],'RFM Analysis'!$A$3:$B$14,2,FALSE)</f>
        <v>Promising</v>
      </c>
      <c r="BE1038">
        <f>'Regression Models'!$B$101+'Regression Models'!$B$102*ifood_data[[#This Row],[Income]]+'Regression Models'!$B$103*ifood_data[[#This Row],[Age]]+'Regression Models'!$B$104*ifood_data[[#This Row],[Family]]</f>
        <v>485.09322649004059</v>
      </c>
      <c r="BF1038" t="str">
        <f>IF(ifood_data[[#This Row],[AcceptedCmpOverall]]=1,"Campaign Respondent","Non-respondent")</f>
        <v>Non-respondent</v>
      </c>
    </row>
    <row r="1039" spans="1:58" x14ac:dyDescent="0.35">
      <c r="A1039">
        <v>1347</v>
      </c>
      <c r="B1039">
        <v>52852</v>
      </c>
      <c r="C1039">
        <v>0</v>
      </c>
      <c r="D1039">
        <v>1</v>
      </c>
      <c r="E1039">
        <v>93</v>
      </c>
      <c r="F1039">
        <v>714</v>
      </c>
      <c r="G1039">
        <v>8</v>
      </c>
      <c r="H1039">
        <v>99</v>
      </c>
      <c r="I1039">
        <v>11</v>
      </c>
      <c r="J1039">
        <v>0</v>
      </c>
      <c r="K1039">
        <v>47</v>
      </c>
      <c r="L1039">
        <v>4</v>
      </c>
      <c r="M1039">
        <v>10</v>
      </c>
      <c r="N1039">
        <v>7</v>
      </c>
      <c r="O1039">
        <v>5</v>
      </c>
      <c r="P1039">
        <v>8</v>
      </c>
      <c r="Q1039">
        <v>0</v>
      </c>
      <c r="R1039">
        <v>0</v>
      </c>
      <c r="S1039">
        <v>1</v>
      </c>
      <c r="T1039">
        <v>0</v>
      </c>
      <c r="U1039">
        <v>0</v>
      </c>
      <c r="V1039">
        <f>IF(SUM(ifood_data[[#This Row],[AcceptedCmp1]:[AcceptedCmp5]])&gt;0,1,0)</f>
        <v>1</v>
      </c>
      <c r="W1039">
        <v>0</v>
      </c>
      <c r="X1039">
        <v>3</v>
      </c>
      <c r="Y1039">
        <v>11</v>
      </c>
      <c r="Z1039">
        <v>0</v>
      </c>
      <c r="AA1039">
        <v>63</v>
      </c>
      <c r="AB1039">
        <v>2734</v>
      </c>
      <c r="AC1039" s="28">
        <f>ifood_data[[#This Row],[Customer_Days]]/365</f>
        <v>7.4904109589041097</v>
      </c>
      <c r="AD1039">
        <v>0</v>
      </c>
      <c r="AE1039">
        <v>1</v>
      </c>
      <c r="AF1039">
        <v>0</v>
      </c>
      <c r="AG1039">
        <v>0</v>
      </c>
      <c r="AH1039">
        <v>0</v>
      </c>
      <c r="AI1039">
        <v>0</v>
      </c>
      <c r="AJ1039">
        <v>0</v>
      </c>
      <c r="AK1039">
        <v>1</v>
      </c>
      <c r="AL1039">
        <v>0</v>
      </c>
      <c r="AM1039">
        <v>0</v>
      </c>
      <c r="AN1039">
        <v>832</v>
      </c>
      <c r="AO1039">
        <v>785</v>
      </c>
      <c r="AP1039">
        <f>ifood_data[[#This Row],[MntTotal]]-ifood_data[[#This Row],[MntRegularProds]]</f>
        <v>47</v>
      </c>
      <c r="AQ1039">
        <v>1</v>
      </c>
      <c r="AR1039">
        <f>IF(SUM(ifood_data[[#This Row],[Kidhome]:[Teenhome]])&gt;0,1,0)</f>
        <v>1</v>
      </c>
      <c r="AS1039" t="str">
        <f>IF(SUM(ifood_data[[#This Row],[Kidhome]:[Teenhome]])&gt;0,"Has Family","No Family")</f>
        <v>Has Family</v>
      </c>
      <c r="AT1039" t="str">
        <f>IF(ifood_data[[#This Row],[marital_Married]]=1,"Married", (IF(ifood_data[[#This Row],[marital_Single]]=1,"Single",(IF(ifood_data[[#This Row],[marital_Divorced]]=1,"Divorced",(IF(ifood_data[[#This Row],[marital_Together]]=1,"Living Together",(IF(ifood_data[[#This Row],[marital_Widow]]=1,"Widow","Other")))))))))</f>
        <v>Married</v>
      </c>
      <c r="AU1039" t="str">
        <f>IF(ifood_data[[#This Row],[education_Basic]]=1,"High School",(IF(ifood_data[[#This Row],[education_Graduation]]=1,"Undergraduate Degree",(IF(SUM(AM1039,AL1039,AI1039)&gt;0,"Master's Degree or Higher","Other")))))</f>
        <v>Undergraduate Degree</v>
      </c>
      <c r="AV1039" t="str">
        <f>IF(ifood_data[[#All],[Income]]&gt;75000,"75K+",(IF(ifood_data[[#All],[Income]]&gt;50000,"50K-75K",(IF(ifood_data[[#All],[Income]]&gt;35000,"35K-50K","&lt;35K")))))</f>
        <v>50K-75K</v>
      </c>
      <c r="AW1039" t="str">
        <f>IF(ifood_data[[#All],[Age]]&gt;60,"60+",(IF(ifood_data[[#All],[Age]]&gt;50,"50-60",(IF(ifood_data[[#All],[Age]]&gt;40,"40-50",(IF(ifood_data[[#All],[Age]]&gt;30,"30-40","&lt;30")))))))</f>
        <v>60+</v>
      </c>
      <c r="AX1039">
        <f t="shared" si="64"/>
        <v>34</v>
      </c>
      <c r="AY1039">
        <f t="shared" si="65"/>
        <v>0.99999999999999978</v>
      </c>
      <c r="AZ1039">
        <f t="shared" si="66"/>
        <v>9</v>
      </c>
      <c r="BA1039">
        <f t="shared" si="67"/>
        <v>6</v>
      </c>
      <c r="BB1039">
        <f>SUM(ifood_data[[#This Row],[Recency Score]:[Monetary Score]])</f>
        <v>16</v>
      </c>
      <c r="BC1039">
        <f>(_xlfn.PERCENTRANK.INC(ifood_data[[#All],[RFM]],ifood_data[[#This Row],[RFM]],1))*10</f>
        <v>5</v>
      </c>
      <c r="BD1039" t="str">
        <f>VLOOKUP(ifood_data[[#This Row],[RFM Score]],'RFM Analysis'!$A$3:$B$14,2,FALSE)</f>
        <v>Promising</v>
      </c>
      <c r="BE1039">
        <f>'Regression Models'!$B$101+'Regression Models'!$B$102*ifood_data[[#This Row],[Income]]+'Regression Models'!$B$103*ifood_data[[#This Row],[Age]]+'Regression Models'!$B$104*ifood_data[[#This Row],[Family]]</f>
        <v>484.46262462352308</v>
      </c>
      <c r="BF1039" t="str">
        <f>IF(ifood_data[[#This Row],[AcceptedCmpOverall]]=1,"Campaign Respondent","Non-respondent")</f>
        <v>Campaign Respondent</v>
      </c>
    </row>
    <row r="1040" spans="1:58" x14ac:dyDescent="0.35">
      <c r="A1040">
        <v>1570</v>
      </c>
      <c r="B1040">
        <v>52117</v>
      </c>
      <c r="C1040">
        <v>0</v>
      </c>
      <c r="D1040">
        <v>1</v>
      </c>
      <c r="E1040">
        <v>55</v>
      </c>
      <c r="F1040">
        <v>112</v>
      </c>
      <c r="G1040">
        <v>10</v>
      </c>
      <c r="H1040">
        <v>107</v>
      </c>
      <c r="I1040">
        <v>30</v>
      </c>
      <c r="J1040">
        <v>0</v>
      </c>
      <c r="K1040">
        <v>20</v>
      </c>
      <c r="L1040">
        <v>2</v>
      </c>
      <c r="M1040">
        <v>5</v>
      </c>
      <c r="N1040">
        <v>2</v>
      </c>
      <c r="O1040">
        <v>4</v>
      </c>
      <c r="P1040">
        <v>7</v>
      </c>
      <c r="Q1040">
        <v>0</v>
      </c>
      <c r="R1040">
        <v>0</v>
      </c>
      <c r="S1040">
        <v>0</v>
      </c>
      <c r="T1040">
        <v>0</v>
      </c>
      <c r="U1040">
        <v>0</v>
      </c>
      <c r="V1040">
        <f>IF(SUM(ifood_data[[#This Row],[AcceptedCmp1]:[AcceptedCmp5]])&gt;0,1,0)</f>
        <v>0</v>
      </c>
      <c r="W1040">
        <v>0</v>
      </c>
      <c r="X1040">
        <v>3</v>
      </c>
      <c r="Y1040">
        <v>11</v>
      </c>
      <c r="Z1040">
        <v>0</v>
      </c>
      <c r="AA1040">
        <v>55</v>
      </c>
      <c r="AB1040">
        <v>2841</v>
      </c>
      <c r="AC1040" s="28">
        <f>ifood_data[[#This Row],[Customer_Days]]/365</f>
        <v>7.7835616438356166</v>
      </c>
      <c r="AD1040">
        <v>0</v>
      </c>
      <c r="AE1040">
        <v>0</v>
      </c>
      <c r="AF1040">
        <v>0</v>
      </c>
      <c r="AG1040">
        <v>1</v>
      </c>
      <c r="AH1040">
        <v>0</v>
      </c>
      <c r="AI1040">
        <v>0</v>
      </c>
      <c r="AJ1040">
        <v>0</v>
      </c>
      <c r="AK1040">
        <v>1</v>
      </c>
      <c r="AL1040">
        <v>0</v>
      </c>
      <c r="AM1040">
        <v>0</v>
      </c>
      <c r="AN1040">
        <v>259</v>
      </c>
      <c r="AO1040">
        <v>239</v>
      </c>
      <c r="AP1040">
        <f>ifood_data[[#This Row],[MntTotal]]-ifood_data[[#This Row],[MntRegularProds]]</f>
        <v>20</v>
      </c>
      <c r="AQ1040">
        <v>0</v>
      </c>
      <c r="AR1040">
        <f>IF(SUM(ifood_data[[#This Row],[Kidhome]:[Teenhome]])&gt;0,1,0)</f>
        <v>1</v>
      </c>
      <c r="AS1040" t="str">
        <f>IF(SUM(ifood_data[[#This Row],[Kidhome]:[Teenhome]])&gt;0,"Has Family","No Family")</f>
        <v>Has Family</v>
      </c>
      <c r="AT1040" t="str">
        <f>IF(ifood_data[[#This Row],[marital_Married]]=1,"Married", (IF(ifood_data[[#This Row],[marital_Single]]=1,"Single",(IF(ifood_data[[#This Row],[marital_Divorced]]=1,"Divorced",(IF(ifood_data[[#This Row],[marital_Together]]=1,"Living Together",(IF(ifood_data[[#This Row],[marital_Widow]]=1,"Widow","Other")))))))))</f>
        <v>Living Together</v>
      </c>
      <c r="AU1040" t="str">
        <f>IF(ifood_data[[#This Row],[education_Basic]]=1,"High School",(IF(ifood_data[[#This Row],[education_Graduation]]=1,"Undergraduate Degree",(IF(SUM(AM1040,AL1040,AI1040)&gt;0,"Master's Degree or Higher","Other")))))</f>
        <v>Undergraduate Degree</v>
      </c>
      <c r="AV1040" t="str">
        <f>IF(ifood_data[[#All],[Income]]&gt;75000,"75K+",(IF(ifood_data[[#All],[Income]]&gt;50000,"50K-75K",(IF(ifood_data[[#All],[Income]]&gt;35000,"35K-50K","&lt;35K")))))</f>
        <v>50K-75K</v>
      </c>
      <c r="AW1040" t="str">
        <f>IF(ifood_data[[#All],[Age]]&gt;60,"60+",(IF(ifood_data[[#All],[Age]]&gt;50,"50-60",(IF(ifood_data[[#All],[Age]]&gt;40,"40-50",(IF(ifood_data[[#All],[Age]]&gt;30,"30-40","&lt;30")))))))</f>
        <v>50-60</v>
      </c>
      <c r="AX1040">
        <f t="shared" si="64"/>
        <v>20</v>
      </c>
      <c r="AY1040">
        <f t="shared" si="65"/>
        <v>5</v>
      </c>
      <c r="AZ1040">
        <f t="shared" si="66"/>
        <v>4</v>
      </c>
      <c r="BA1040">
        <f t="shared" si="67"/>
        <v>4</v>
      </c>
      <c r="BB1040">
        <f>SUM(ifood_data[[#This Row],[Recency Score]:[Monetary Score]])</f>
        <v>13</v>
      </c>
      <c r="BC1040">
        <f>(_xlfn.PERCENTRANK.INC(ifood_data[[#All],[RFM]],ifood_data[[#This Row],[RFM]],1))*10</f>
        <v>3</v>
      </c>
      <c r="BD1040" t="str">
        <f>VLOOKUP(ifood_data[[#This Row],[RFM Score]],'RFM Analysis'!$A$3:$B$14,2,FALSE)</f>
        <v>At Risk</v>
      </c>
      <c r="BE1040">
        <f>'Regression Models'!$B$101+'Regression Models'!$B$102*ifood_data[[#This Row],[Income]]+'Regression Models'!$B$103*ifood_data[[#This Row],[Age]]+'Regression Models'!$B$104*ifood_data[[#This Row],[Family]]</f>
        <v>484.16839266891145</v>
      </c>
      <c r="BF1040" t="str">
        <f>IF(ifood_data[[#This Row],[AcceptedCmpOverall]]=1,"Campaign Respondent","Non-respondent")</f>
        <v>Non-respondent</v>
      </c>
    </row>
    <row r="1041" spans="1:58" x14ac:dyDescent="0.35">
      <c r="A1041">
        <v>927</v>
      </c>
      <c r="B1041">
        <v>53103</v>
      </c>
      <c r="C1041">
        <v>0</v>
      </c>
      <c r="D1041">
        <v>1</v>
      </c>
      <c r="E1041">
        <v>70</v>
      </c>
      <c r="F1041">
        <v>729</v>
      </c>
      <c r="G1041">
        <v>17</v>
      </c>
      <c r="H1041">
        <v>133</v>
      </c>
      <c r="I1041">
        <v>11</v>
      </c>
      <c r="J1041">
        <v>0</v>
      </c>
      <c r="K1041">
        <v>195</v>
      </c>
      <c r="L1041">
        <v>5</v>
      </c>
      <c r="M1041">
        <v>10</v>
      </c>
      <c r="N1041">
        <v>6</v>
      </c>
      <c r="O1041">
        <v>7</v>
      </c>
      <c r="P1041">
        <v>7</v>
      </c>
      <c r="Q1041">
        <v>0</v>
      </c>
      <c r="R1041">
        <v>0</v>
      </c>
      <c r="S1041">
        <v>1</v>
      </c>
      <c r="T1041">
        <v>0</v>
      </c>
      <c r="U1041">
        <v>0</v>
      </c>
      <c r="V1041">
        <f>IF(SUM(ifood_data[[#This Row],[AcceptedCmp1]:[AcceptedCmp5]])&gt;0,1,0)</f>
        <v>1</v>
      </c>
      <c r="W1041">
        <v>0</v>
      </c>
      <c r="X1041">
        <v>3</v>
      </c>
      <c r="Y1041">
        <v>11</v>
      </c>
      <c r="Z1041">
        <v>0</v>
      </c>
      <c r="AA1041">
        <v>66</v>
      </c>
      <c r="AB1041">
        <v>2449</v>
      </c>
      <c r="AC1041" s="28">
        <f>ifood_data[[#This Row],[Customer_Days]]/365</f>
        <v>6.7095890410958905</v>
      </c>
      <c r="AD1041">
        <v>0</v>
      </c>
      <c r="AE1041">
        <v>0</v>
      </c>
      <c r="AF1041">
        <v>0</v>
      </c>
      <c r="AG1041">
        <v>1</v>
      </c>
      <c r="AH1041">
        <v>0</v>
      </c>
      <c r="AI1041">
        <v>0</v>
      </c>
      <c r="AJ1041">
        <v>0</v>
      </c>
      <c r="AK1041">
        <v>1</v>
      </c>
      <c r="AL1041">
        <v>0</v>
      </c>
      <c r="AM1041">
        <v>0</v>
      </c>
      <c r="AN1041">
        <v>890</v>
      </c>
      <c r="AO1041">
        <v>695</v>
      </c>
      <c r="AP1041">
        <f>ifood_data[[#This Row],[MntTotal]]-ifood_data[[#This Row],[MntRegularProds]]</f>
        <v>195</v>
      </c>
      <c r="AQ1041">
        <v>1</v>
      </c>
      <c r="AR1041">
        <f>IF(SUM(ifood_data[[#This Row],[Kidhome]:[Teenhome]])&gt;0,1,0)</f>
        <v>1</v>
      </c>
      <c r="AS1041" t="str">
        <f>IF(SUM(ifood_data[[#This Row],[Kidhome]:[Teenhome]])&gt;0,"Has Family","No Family")</f>
        <v>Has Family</v>
      </c>
      <c r="AT1041" t="str">
        <f>IF(ifood_data[[#This Row],[marital_Married]]=1,"Married", (IF(ifood_data[[#This Row],[marital_Single]]=1,"Single",(IF(ifood_data[[#This Row],[marital_Divorced]]=1,"Divorced",(IF(ifood_data[[#This Row],[marital_Together]]=1,"Living Together",(IF(ifood_data[[#This Row],[marital_Widow]]=1,"Widow","Other")))))))))</f>
        <v>Living Together</v>
      </c>
      <c r="AU1041" t="str">
        <f>IF(ifood_data[[#This Row],[education_Basic]]=1,"High School",(IF(ifood_data[[#This Row],[education_Graduation]]=1,"Undergraduate Degree",(IF(SUM(AM1041,AL1041,AI1041)&gt;0,"Master's Degree or Higher","Other")))))</f>
        <v>Undergraduate Degree</v>
      </c>
      <c r="AV1041" t="str">
        <f>IF(ifood_data[[#All],[Income]]&gt;75000,"75K+",(IF(ifood_data[[#All],[Income]]&gt;50000,"50K-75K",(IF(ifood_data[[#All],[Income]]&gt;35000,"35K-50K","&lt;35K")))))</f>
        <v>50K-75K</v>
      </c>
      <c r="AW1041" t="str">
        <f>IF(ifood_data[[#All],[Age]]&gt;60,"60+",(IF(ifood_data[[#All],[Age]]&gt;50,"50-60",(IF(ifood_data[[#All],[Age]]&gt;40,"40-50",(IF(ifood_data[[#All],[Age]]&gt;30,"30-40","&lt;30")))))))</f>
        <v>60+</v>
      </c>
      <c r="AX1041">
        <f t="shared" si="64"/>
        <v>35</v>
      </c>
      <c r="AY1041">
        <f t="shared" si="65"/>
        <v>3.0000000000000004</v>
      </c>
      <c r="AZ1041">
        <f t="shared" si="66"/>
        <v>9</v>
      </c>
      <c r="BA1041">
        <f t="shared" si="67"/>
        <v>7</v>
      </c>
      <c r="BB1041">
        <f>SUM(ifood_data[[#This Row],[Recency Score]:[Monetary Score]])</f>
        <v>19</v>
      </c>
      <c r="BC1041">
        <f>(_xlfn.PERCENTRANK.INC(ifood_data[[#All],[RFM]],ifood_data[[#This Row],[RFM]],1))*10</f>
        <v>7</v>
      </c>
      <c r="BD1041" t="str">
        <f>VLOOKUP(ifood_data[[#This Row],[RFM Score]],'RFM Analysis'!$A$3:$B$14,2,FALSE)</f>
        <v>Loyal Customer</v>
      </c>
      <c r="BE1041">
        <f>'Regression Models'!$B$101+'Regression Models'!$B$102*ifood_data[[#This Row],[Income]]+'Regression Models'!$B$103*ifood_data[[#This Row],[Age]]+'Regression Models'!$B$104*ifood_data[[#This Row],[Family]]</f>
        <v>484.07088819095873</v>
      </c>
      <c r="BF1041" t="str">
        <f>IF(ifood_data[[#This Row],[AcceptedCmpOverall]]=1,"Campaign Respondent","Non-respondent")</f>
        <v>Campaign Respondent</v>
      </c>
    </row>
    <row r="1042" spans="1:58" x14ac:dyDescent="0.35">
      <c r="A1042">
        <v>864</v>
      </c>
      <c r="B1042">
        <v>52278</v>
      </c>
      <c r="C1042">
        <v>0</v>
      </c>
      <c r="D1042">
        <v>1</v>
      </c>
      <c r="E1042">
        <v>24</v>
      </c>
      <c r="F1042">
        <v>953</v>
      </c>
      <c r="G1042">
        <v>0</v>
      </c>
      <c r="H1042">
        <v>71</v>
      </c>
      <c r="I1042">
        <v>0</v>
      </c>
      <c r="J1042">
        <v>0</v>
      </c>
      <c r="K1042">
        <v>174</v>
      </c>
      <c r="L1042">
        <v>6</v>
      </c>
      <c r="M1042">
        <v>10</v>
      </c>
      <c r="N1042">
        <v>5</v>
      </c>
      <c r="O1042">
        <v>10</v>
      </c>
      <c r="P1042">
        <v>8</v>
      </c>
      <c r="Q1042">
        <v>0</v>
      </c>
      <c r="R1042">
        <v>0</v>
      </c>
      <c r="S1042">
        <v>0</v>
      </c>
      <c r="T1042">
        <v>0</v>
      </c>
      <c r="U1042">
        <v>0</v>
      </c>
      <c r="V1042">
        <f>IF(SUM(ifood_data[[#This Row],[AcceptedCmp1]:[AcceptedCmp5]])&gt;0,1,0)</f>
        <v>0</v>
      </c>
      <c r="W1042">
        <v>0</v>
      </c>
      <c r="X1042">
        <v>3</v>
      </c>
      <c r="Y1042">
        <v>11</v>
      </c>
      <c r="Z1042">
        <v>1</v>
      </c>
      <c r="AA1042">
        <v>57</v>
      </c>
      <c r="AB1042">
        <v>2679</v>
      </c>
      <c r="AC1042" s="28">
        <f>ifood_data[[#This Row],[Customer_Days]]/365</f>
        <v>7.3397260273972602</v>
      </c>
      <c r="AD1042">
        <v>0</v>
      </c>
      <c r="AE1042">
        <v>0</v>
      </c>
      <c r="AF1042">
        <v>0</v>
      </c>
      <c r="AG1042">
        <v>0</v>
      </c>
      <c r="AH1042">
        <v>1</v>
      </c>
      <c r="AI1042">
        <v>0</v>
      </c>
      <c r="AJ1042">
        <v>0</v>
      </c>
      <c r="AK1042">
        <v>0</v>
      </c>
      <c r="AL1042">
        <v>0</v>
      </c>
      <c r="AM1042">
        <v>1</v>
      </c>
      <c r="AN1042">
        <v>1024</v>
      </c>
      <c r="AO1042">
        <v>850</v>
      </c>
      <c r="AP1042">
        <f>ifood_data[[#This Row],[MntTotal]]-ifood_data[[#This Row],[MntRegularProds]]</f>
        <v>174</v>
      </c>
      <c r="AQ1042">
        <v>0</v>
      </c>
      <c r="AR1042">
        <f>IF(SUM(ifood_data[[#This Row],[Kidhome]:[Teenhome]])&gt;0,1,0)</f>
        <v>1</v>
      </c>
      <c r="AS1042" t="str">
        <f>IF(SUM(ifood_data[[#This Row],[Kidhome]:[Teenhome]])&gt;0,"Has Family","No Family")</f>
        <v>Has Family</v>
      </c>
      <c r="AT1042" t="str">
        <f>IF(ifood_data[[#This Row],[marital_Married]]=1,"Married", (IF(ifood_data[[#This Row],[marital_Single]]=1,"Single",(IF(ifood_data[[#This Row],[marital_Divorced]]=1,"Divorced",(IF(ifood_data[[#This Row],[marital_Together]]=1,"Living Together",(IF(ifood_data[[#This Row],[marital_Widow]]=1,"Widow","Other")))))))))</f>
        <v>Widow</v>
      </c>
      <c r="AU1042" t="str">
        <f>IF(ifood_data[[#This Row],[education_Basic]]=1,"High School",(IF(ifood_data[[#This Row],[education_Graduation]]=1,"Undergraduate Degree",(IF(SUM(AM1042,AL1042,AI1042)&gt;0,"Master's Degree or Higher","Other")))))</f>
        <v>Master's Degree or Higher</v>
      </c>
      <c r="AV1042" t="str">
        <f>IF(ifood_data[[#All],[Income]]&gt;75000,"75K+",(IF(ifood_data[[#All],[Income]]&gt;50000,"50K-75K",(IF(ifood_data[[#All],[Income]]&gt;35000,"35K-50K","&lt;35K")))))</f>
        <v>50K-75K</v>
      </c>
      <c r="AW1042" t="str">
        <f>IF(ifood_data[[#All],[Age]]&gt;60,"60+",(IF(ifood_data[[#All],[Age]]&gt;50,"50-60",(IF(ifood_data[[#All],[Age]]&gt;40,"40-50",(IF(ifood_data[[#All],[Age]]&gt;30,"30-40","&lt;30")))))))</f>
        <v>50-60</v>
      </c>
      <c r="AX1042">
        <f t="shared" si="64"/>
        <v>39</v>
      </c>
      <c r="AY1042">
        <f t="shared" si="65"/>
        <v>8</v>
      </c>
      <c r="AZ1042">
        <f t="shared" si="66"/>
        <v>9</v>
      </c>
      <c r="BA1042">
        <f t="shared" si="67"/>
        <v>7</v>
      </c>
      <c r="BB1042">
        <f>SUM(ifood_data[[#This Row],[Recency Score]:[Monetary Score]])</f>
        <v>24</v>
      </c>
      <c r="BC1042">
        <f>(_xlfn.PERCENTRANK.INC(ifood_data[[#All],[RFM]],ifood_data[[#This Row],[RFM]],1))*10</f>
        <v>9</v>
      </c>
      <c r="BD1042" t="str">
        <f>VLOOKUP(ifood_data[[#This Row],[RFM Score]],'RFM Analysis'!$A$3:$B$14,2,FALSE)</f>
        <v>Top Customer</v>
      </c>
      <c r="BE1042">
        <f>'Regression Models'!$B$101+'Regression Models'!$B$102*ifood_data[[#This Row],[Income]]+'Regression Models'!$B$103*ifood_data[[#This Row],[Age]]+'Regression Models'!$B$104*ifood_data[[#This Row],[Family]]</f>
        <v>483.7781061822908</v>
      </c>
      <c r="BF1042" t="str">
        <f>IF(ifood_data[[#This Row],[AcceptedCmpOverall]]=1,"Campaign Respondent","Non-respondent")</f>
        <v>Non-respondent</v>
      </c>
    </row>
    <row r="1043" spans="1:58" x14ac:dyDescent="0.35">
      <c r="A1043">
        <v>1747</v>
      </c>
      <c r="B1043">
        <v>52278</v>
      </c>
      <c r="C1043">
        <v>0</v>
      </c>
      <c r="D1043">
        <v>1</v>
      </c>
      <c r="E1043">
        <v>24</v>
      </c>
      <c r="F1043">
        <v>953</v>
      </c>
      <c r="G1043">
        <v>0</v>
      </c>
      <c r="H1043">
        <v>71</v>
      </c>
      <c r="I1043">
        <v>0</v>
      </c>
      <c r="J1043">
        <v>0</v>
      </c>
      <c r="K1043">
        <v>174</v>
      </c>
      <c r="L1043">
        <v>6</v>
      </c>
      <c r="M1043">
        <v>10</v>
      </c>
      <c r="N1043">
        <v>5</v>
      </c>
      <c r="O1043">
        <v>10</v>
      </c>
      <c r="P1043">
        <v>8</v>
      </c>
      <c r="Q1043">
        <v>0</v>
      </c>
      <c r="R1043">
        <v>0</v>
      </c>
      <c r="S1043">
        <v>0</v>
      </c>
      <c r="T1043">
        <v>0</v>
      </c>
      <c r="U1043">
        <v>0</v>
      </c>
      <c r="V1043">
        <f>IF(SUM(ifood_data[[#This Row],[AcceptedCmp1]:[AcceptedCmp5]])&gt;0,1,0)</f>
        <v>0</v>
      </c>
      <c r="W1043">
        <v>0</v>
      </c>
      <c r="X1043">
        <v>3</v>
      </c>
      <c r="Y1043">
        <v>11</v>
      </c>
      <c r="Z1043">
        <v>0</v>
      </c>
      <c r="AA1043">
        <v>57</v>
      </c>
      <c r="AB1043">
        <v>2679</v>
      </c>
      <c r="AC1043" s="28">
        <f>ifood_data[[#This Row],[Customer_Days]]/365</f>
        <v>7.3397260273972602</v>
      </c>
      <c r="AD1043">
        <v>0</v>
      </c>
      <c r="AE1043">
        <v>0</v>
      </c>
      <c r="AF1043">
        <v>0</v>
      </c>
      <c r="AG1043">
        <v>0</v>
      </c>
      <c r="AH1043">
        <v>1</v>
      </c>
      <c r="AI1043">
        <v>0</v>
      </c>
      <c r="AJ1043">
        <v>0</v>
      </c>
      <c r="AK1043">
        <v>0</v>
      </c>
      <c r="AL1043">
        <v>0</v>
      </c>
      <c r="AM1043">
        <v>1</v>
      </c>
      <c r="AN1043">
        <v>1024</v>
      </c>
      <c r="AO1043">
        <v>850</v>
      </c>
      <c r="AP1043">
        <f>ifood_data[[#This Row],[MntTotal]]-ifood_data[[#This Row],[MntRegularProds]]</f>
        <v>174</v>
      </c>
      <c r="AQ1043">
        <v>0</v>
      </c>
      <c r="AR1043">
        <f>IF(SUM(ifood_data[[#This Row],[Kidhome]:[Teenhome]])&gt;0,1,0)</f>
        <v>1</v>
      </c>
      <c r="AS1043" t="str">
        <f>IF(SUM(ifood_data[[#This Row],[Kidhome]:[Teenhome]])&gt;0,"Has Family","No Family")</f>
        <v>Has Family</v>
      </c>
      <c r="AT1043" t="str">
        <f>IF(ifood_data[[#This Row],[marital_Married]]=1,"Married", (IF(ifood_data[[#This Row],[marital_Single]]=1,"Single",(IF(ifood_data[[#This Row],[marital_Divorced]]=1,"Divorced",(IF(ifood_data[[#This Row],[marital_Together]]=1,"Living Together",(IF(ifood_data[[#This Row],[marital_Widow]]=1,"Widow","Other")))))))))</f>
        <v>Widow</v>
      </c>
      <c r="AU1043" t="str">
        <f>IF(ifood_data[[#This Row],[education_Basic]]=1,"High School",(IF(ifood_data[[#This Row],[education_Graduation]]=1,"Undergraduate Degree",(IF(SUM(AM1043,AL1043,AI1043)&gt;0,"Master's Degree or Higher","Other")))))</f>
        <v>Master's Degree or Higher</v>
      </c>
      <c r="AV1043" t="str">
        <f>IF(ifood_data[[#All],[Income]]&gt;75000,"75K+",(IF(ifood_data[[#All],[Income]]&gt;50000,"50K-75K",(IF(ifood_data[[#All],[Income]]&gt;35000,"35K-50K","&lt;35K")))))</f>
        <v>50K-75K</v>
      </c>
      <c r="AW1043" t="str">
        <f>IF(ifood_data[[#All],[Age]]&gt;60,"60+",(IF(ifood_data[[#All],[Age]]&gt;50,"50-60",(IF(ifood_data[[#All],[Age]]&gt;40,"40-50",(IF(ifood_data[[#All],[Age]]&gt;30,"30-40","&lt;30")))))))</f>
        <v>50-60</v>
      </c>
      <c r="AX1043">
        <f t="shared" si="64"/>
        <v>39</v>
      </c>
      <c r="AY1043">
        <f t="shared" si="65"/>
        <v>8</v>
      </c>
      <c r="AZ1043">
        <f t="shared" si="66"/>
        <v>9</v>
      </c>
      <c r="BA1043">
        <f t="shared" si="67"/>
        <v>7</v>
      </c>
      <c r="BB1043">
        <f>SUM(ifood_data[[#This Row],[Recency Score]:[Monetary Score]])</f>
        <v>24</v>
      </c>
      <c r="BC1043">
        <f>(_xlfn.PERCENTRANK.INC(ifood_data[[#All],[RFM]],ifood_data[[#This Row],[RFM]],1))*10</f>
        <v>9</v>
      </c>
      <c r="BD1043" t="str">
        <f>VLOOKUP(ifood_data[[#This Row],[RFM Score]],'RFM Analysis'!$A$3:$B$14,2,FALSE)</f>
        <v>Top Customer</v>
      </c>
      <c r="BE1043">
        <f>'Regression Models'!$B$101+'Regression Models'!$B$102*ifood_data[[#This Row],[Income]]+'Regression Models'!$B$103*ifood_data[[#This Row],[Age]]+'Regression Models'!$B$104*ifood_data[[#This Row],[Family]]</f>
        <v>483.7781061822908</v>
      </c>
      <c r="BF1043" t="str">
        <f>IF(ifood_data[[#This Row],[AcceptedCmpOverall]]=1,"Campaign Respondent","Non-respondent")</f>
        <v>Non-respondent</v>
      </c>
    </row>
    <row r="1044" spans="1:58" x14ac:dyDescent="0.35">
      <c r="A1044">
        <v>1055</v>
      </c>
      <c r="B1044">
        <v>36262</v>
      </c>
      <c r="C1044">
        <v>0</v>
      </c>
      <c r="D1044">
        <v>0</v>
      </c>
      <c r="E1044">
        <v>24</v>
      </c>
      <c r="F1044">
        <v>88</v>
      </c>
      <c r="G1044">
        <v>39</v>
      </c>
      <c r="H1044">
        <v>54</v>
      </c>
      <c r="I1044">
        <v>64</v>
      </c>
      <c r="J1044">
        <v>28</v>
      </c>
      <c r="K1044">
        <v>153</v>
      </c>
      <c r="L1044">
        <v>1</v>
      </c>
      <c r="M1044">
        <v>3</v>
      </c>
      <c r="N1044">
        <v>5</v>
      </c>
      <c r="O1044">
        <v>3</v>
      </c>
      <c r="P1044">
        <v>6</v>
      </c>
      <c r="Q1044">
        <v>0</v>
      </c>
      <c r="R1044">
        <v>0</v>
      </c>
      <c r="S1044">
        <v>1</v>
      </c>
      <c r="T1044">
        <v>0</v>
      </c>
      <c r="U1044">
        <v>0</v>
      </c>
      <c r="V1044">
        <f>IF(SUM(ifood_data[[#This Row],[AcceptedCmp1]:[AcceptedCmp5]])&gt;0,1,0)</f>
        <v>1</v>
      </c>
      <c r="W1044">
        <v>0</v>
      </c>
      <c r="X1044">
        <v>3</v>
      </c>
      <c r="Y1044">
        <v>11</v>
      </c>
      <c r="Z1044">
        <v>1</v>
      </c>
      <c r="AA1044">
        <v>37</v>
      </c>
      <c r="AB1044">
        <v>2441</v>
      </c>
      <c r="AC1044" s="28">
        <f>ifood_data[[#This Row],[Customer_Days]]/365</f>
        <v>6.6876712328767125</v>
      </c>
      <c r="AD1044">
        <v>0</v>
      </c>
      <c r="AE1044">
        <v>1</v>
      </c>
      <c r="AF1044">
        <v>0</v>
      </c>
      <c r="AG1044">
        <v>0</v>
      </c>
      <c r="AH1044">
        <v>0</v>
      </c>
      <c r="AI1044">
        <v>0</v>
      </c>
      <c r="AJ1044">
        <v>0</v>
      </c>
      <c r="AK1044">
        <v>0</v>
      </c>
      <c r="AL1044">
        <v>1</v>
      </c>
      <c r="AM1044">
        <v>0</v>
      </c>
      <c r="AN1044">
        <v>273</v>
      </c>
      <c r="AO1044">
        <v>120</v>
      </c>
      <c r="AP1044">
        <f>ifood_data[[#This Row],[MntTotal]]-ifood_data[[#This Row],[MntRegularProds]]</f>
        <v>153</v>
      </c>
      <c r="AQ1044">
        <v>1</v>
      </c>
      <c r="AR1044">
        <f>IF(SUM(ifood_data[[#This Row],[Kidhome]:[Teenhome]])&gt;0,1,0)</f>
        <v>0</v>
      </c>
      <c r="AS1044" t="str">
        <f>IF(SUM(ifood_data[[#This Row],[Kidhome]:[Teenhome]])&gt;0,"Has Family","No Family")</f>
        <v>No Family</v>
      </c>
      <c r="AT1044" t="str">
        <f>IF(ifood_data[[#This Row],[marital_Married]]=1,"Married", (IF(ifood_data[[#This Row],[marital_Single]]=1,"Single",(IF(ifood_data[[#This Row],[marital_Divorced]]=1,"Divorced",(IF(ifood_data[[#This Row],[marital_Together]]=1,"Living Together",(IF(ifood_data[[#This Row],[marital_Widow]]=1,"Widow","Other")))))))))</f>
        <v>Married</v>
      </c>
      <c r="AU1044" t="str">
        <f>IF(ifood_data[[#This Row],[education_Basic]]=1,"High School",(IF(ifood_data[[#This Row],[education_Graduation]]=1,"Undergraduate Degree",(IF(SUM(AM1044,AL1044,AI1044)&gt;0,"Master's Degree or Higher","Other")))))</f>
        <v>Master's Degree or Higher</v>
      </c>
      <c r="AV1044" t="str">
        <f>IF(ifood_data[[#All],[Income]]&gt;75000,"75K+",(IF(ifood_data[[#All],[Income]]&gt;50000,"50K-75K",(IF(ifood_data[[#All],[Income]]&gt;35000,"35K-50K","&lt;35K")))))</f>
        <v>35K-50K</v>
      </c>
      <c r="AW1044" t="str">
        <f>IF(ifood_data[[#All],[Age]]&gt;60,"60+",(IF(ifood_data[[#All],[Age]]&gt;50,"50-60",(IF(ifood_data[[#All],[Age]]&gt;40,"40-50",(IF(ifood_data[[#All],[Age]]&gt;30,"30-40","&lt;30")))))))</f>
        <v>30-40</v>
      </c>
      <c r="AX1044">
        <f t="shared" si="64"/>
        <v>18</v>
      </c>
      <c r="AY1044">
        <f t="shared" si="65"/>
        <v>8</v>
      </c>
      <c r="AZ1044">
        <f t="shared" si="66"/>
        <v>4</v>
      </c>
      <c r="BA1044">
        <f t="shared" si="67"/>
        <v>4</v>
      </c>
      <c r="BB1044">
        <f>SUM(ifood_data[[#This Row],[Recency Score]:[Monetary Score]])</f>
        <v>16</v>
      </c>
      <c r="BC1044">
        <f>(_xlfn.PERCENTRANK.INC(ifood_data[[#All],[RFM]],ifood_data[[#This Row],[RFM]],1))*10</f>
        <v>5</v>
      </c>
      <c r="BD1044" t="str">
        <f>VLOOKUP(ifood_data[[#This Row],[RFM Score]],'RFM Analysis'!$A$3:$B$14,2,FALSE)</f>
        <v>Promising</v>
      </c>
      <c r="BE1044">
        <f>'Regression Models'!$B$101+'Regression Models'!$B$102*ifood_data[[#This Row],[Income]]+'Regression Models'!$B$103*ifood_data[[#This Row],[Age]]+'Regression Models'!$B$104*ifood_data[[#This Row],[Family]]</f>
        <v>483.574008240507</v>
      </c>
      <c r="BF1044" t="str">
        <f>IF(ifood_data[[#This Row],[AcceptedCmpOverall]]=1,"Campaign Respondent","Non-respondent")</f>
        <v>Campaign Respondent</v>
      </c>
    </row>
    <row r="1045" spans="1:58" x14ac:dyDescent="0.35">
      <c r="A1045">
        <v>1433</v>
      </c>
      <c r="B1045">
        <v>51983</v>
      </c>
      <c r="C1045">
        <v>0</v>
      </c>
      <c r="D1045">
        <v>1</v>
      </c>
      <c r="E1045">
        <v>95</v>
      </c>
      <c r="F1045">
        <v>631</v>
      </c>
      <c r="G1045">
        <v>0</v>
      </c>
      <c r="H1045">
        <v>115</v>
      </c>
      <c r="I1045">
        <v>10</v>
      </c>
      <c r="J1045">
        <v>7</v>
      </c>
      <c r="K1045">
        <v>30</v>
      </c>
      <c r="L1045">
        <v>3</v>
      </c>
      <c r="M1045">
        <v>9</v>
      </c>
      <c r="N1045">
        <v>2</v>
      </c>
      <c r="O1045">
        <v>10</v>
      </c>
      <c r="P1045">
        <v>7</v>
      </c>
      <c r="Q1045">
        <v>0</v>
      </c>
      <c r="R1045">
        <v>0</v>
      </c>
      <c r="S1045">
        <v>0</v>
      </c>
      <c r="T1045">
        <v>0</v>
      </c>
      <c r="U1045">
        <v>0</v>
      </c>
      <c r="V1045">
        <f>IF(SUM(ifood_data[[#This Row],[AcceptedCmp1]:[AcceptedCmp5]])&gt;0,1,0)</f>
        <v>0</v>
      </c>
      <c r="W1045">
        <v>0</v>
      </c>
      <c r="X1045">
        <v>3</v>
      </c>
      <c r="Y1045">
        <v>11</v>
      </c>
      <c r="Z1045">
        <v>0</v>
      </c>
      <c r="AA1045">
        <v>56</v>
      </c>
      <c r="AB1045">
        <v>2826</v>
      </c>
      <c r="AC1045" s="28">
        <f>ifood_data[[#This Row],[Customer_Days]]/365</f>
        <v>7.7424657534246579</v>
      </c>
      <c r="AD1045">
        <v>1</v>
      </c>
      <c r="AE1045">
        <v>0</v>
      </c>
      <c r="AF1045">
        <v>0</v>
      </c>
      <c r="AG1045">
        <v>0</v>
      </c>
      <c r="AH1045">
        <v>0</v>
      </c>
      <c r="AI1045">
        <v>0</v>
      </c>
      <c r="AJ1045">
        <v>0</v>
      </c>
      <c r="AK1045">
        <v>1</v>
      </c>
      <c r="AL1045">
        <v>0</v>
      </c>
      <c r="AM1045">
        <v>0</v>
      </c>
      <c r="AN1045">
        <v>763</v>
      </c>
      <c r="AO1045">
        <v>733</v>
      </c>
      <c r="AP1045">
        <f>ifood_data[[#This Row],[MntTotal]]-ifood_data[[#This Row],[MntRegularProds]]</f>
        <v>30</v>
      </c>
      <c r="AQ1045">
        <v>0</v>
      </c>
      <c r="AR1045">
        <f>IF(SUM(ifood_data[[#This Row],[Kidhome]:[Teenhome]])&gt;0,1,0)</f>
        <v>1</v>
      </c>
      <c r="AS1045" t="str">
        <f>IF(SUM(ifood_data[[#This Row],[Kidhome]:[Teenhome]])&gt;0,"Has Family","No Family")</f>
        <v>Has Family</v>
      </c>
      <c r="AT1045" t="str">
        <f>IF(ifood_data[[#This Row],[marital_Married]]=1,"Married", (IF(ifood_data[[#This Row],[marital_Single]]=1,"Single",(IF(ifood_data[[#This Row],[marital_Divorced]]=1,"Divorced",(IF(ifood_data[[#This Row],[marital_Together]]=1,"Living Together",(IF(ifood_data[[#This Row],[marital_Widow]]=1,"Widow","Other")))))))))</f>
        <v>Divorced</v>
      </c>
      <c r="AU1045" t="str">
        <f>IF(ifood_data[[#This Row],[education_Basic]]=1,"High School",(IF(ifood_data[[#This Row],[education_Graduation]]=1,"Undergraduate Degree",(IF(SUM(AM1045,AL1045,AI1045)&gt;0,"Master's Degree or Higher","Other")))))</f>
        <v>Undergraduate Degree</v>
      </c>
      <c r="AV1045" t="str">
        <f>IF(ifood_data[[#All],[Income]]&gt;75000,"75K+",(IF(ifood_data[[#All],[Income]]&gt;50000,"50K-75K",(IF(ifood_data[[#All],[Income]]&gt;35000,"35K-50K","&lt;35K")))))</f>
        <v>50K-75K</v>
      </c>
      <c r="AW1045" t="str">
        <f>IF(ifood_data[[#All],[Age]]&gt;60,"60+",(IF(ifood_data[[#All],[Age]]&gt;50,"50-60",(IF(ifood_data[[#All],[Age]]&gt;40,"40-50",(IF(ifood_data[[#All],[Age]]&gt;30,"30-40","&lt;30")))))))</f>
        <v>50-60</v>
      </c>
      <c r="AX1045">
        <f t="shared" si="64"/>
        <v>31</v>
      </c>
      <c r="AY1045">
        <f t="shared" si="65"/>
        <v>0.99999999999999978</v>
      </c>
      <c r="AZ1045">
        <f t="shared" si="66"/>
        <v>9</v>
      </c>
      <c r="BA1045">
        <f t="shared" si="67"/>
        <v>6</v>
      </c>
      <c r="BB1045">
        <f>SUM(ifood_data[[#This Row],[Recency Score]:[Monetary Score]])</f>
        <v>16</v>
      </c>
      <c r="BC1045">
        <f>(_xlfn.PERCENTRANK.INC(ifood_data[[#All],[RFM]],ifood_data[[#This Row],[RFM]],1))*10</f>
        <v>5</v>
      </c>
      <c r="BD1045" t="str">
        <f>VLOOKUP(ifood_data[[#This Row],[RFM Score]],'RFM Analysis'!$A$3:$B$14,2,FALSE)</f>
        <v>Promising</v>
      </c>
      <c r="BE1045">
        <f>'Regression Models'!$B$101+'Regression Models'!$B$102*ifood_data[[#This Row],[Income]]+'Regression Models'!$B$103*ifood_data[[#This Row],[Age]]+'Regression Models'!$B$104*ifood_data[[#This Row],[Family]]</f>
        <v>479.59985865873489</v>
      </c>
      <c r="BF1045" t="str">
        <f>IF(ifood_data[[#This Row],[AcceptedCmpOverall]]=1,"Campaign Respondent","Non-respondent")</f>
        <v>Non-respondent</v>
      </c>
    </row>
    <row r="1046" spans="1:58" x14ac:dyDescent="0.35">
      <c r="A1046">
        <v>2021</v>
      </c>
      <c r="B1046">
        <v>52869</v>
      </c>
      <c r="C1046">
        <v>1</v>
      </c>
      <c r="D1046">
        <v>1</v>
      </c>
      <c r="E1046">
        <v>40</v>
      </c>
      <c r="F1046">
        <v>84</v>
      </c>
      <c r="G1046">
        <v>3</v>
      </c>
      <c r="H1046">
        <v>61</v>
      </c>
      <c r="I1046">
        <v>2</v>
      </c>
      <c r="J1046">
        <v>1</v>
      </c>
      <c r="K1046">
        <v>21</v>
      </c>
      <c r="L1046">
        <v>3</v>
      </c>
      <c r="M1046">
        <v>3</v>
      </c>
      <c r="N1046">
        <v>1</v>
      </c>
      <c r="O1046">
        <v>4</v>
      </c>
      <c r="P1046">
        <v>7</v>
      </c>
      <c r="Q1046">
        <v>0</v>
      </c>
      <c r="R1046">
        <v>0</v>
      </c>
      <c r="S1046">
        <v>0</v>
      </c>
      <c r="T1046">
        <v>0</v>
      </c>
      <c r="U1046">
        <v>0</v>
      </c>
      <c r="V1046">
        <f>IF(SUM(ifood_data[[#This Row],[AcceptedCmp1]:[AcceptedCmp5]])&gt;0,1,0)</f>
        <v>0</v>
      </c>
      <c r="W1046">
        <v>0</v>
      </c>
      <c r="X1046">
        <v>3</v>
      </c>
      <c r="Y1046">
        <v>11</v>
      </c>
      <c r="Z1046">
        <v>1</v>
      </c>
      <c r="AA1046">
        <v>66</v>
      </c>
      <c r="AB1046">
        <v>2781</v>
      </c>
      <c r="AC1046" s="28">
        <f>ifood_data[[#This Row],[Customer_Days]]/365</f>
        <v>7.6191780821917812</v>
      </c>
      <c r="AD1046">
        <v>0</v>
      </c>
      <c r="AE1046">
        <v>1</v>
      </c>
      <c r="AF1046">
        <v>0</v>
      </c>
      <c r="AG1046">
        <v>0</v>
      </c>
      <c r="AH1046">
        <v>0</v>
      </c>
      <c r="AI1046">
        <v>0</v>
      </c>
      <c r="AJ1046">
        <v>0</v>
      </c>
      <c r="AK1046">
        <v>0</v>
      </c>
      <c r="AL1046">
        <v>0</v>
      </c>
      <c r="AM1046">
        <v>1</v>
      </c>
      <c r="AN1046">
        <v>151</v>
      </c>
      <c r="AO1046">
        <v>130</v>
      </c>
      <c r="AP1046">
        <f>ifood_data[[#This Row],[MntTotal]]-ifood_data[[#This Row],[MntRegularProds]]</f>
        <v>21</v>
      </c>
      <c r="AQ1046">
        <v>0</v>
      </c>
      <c r="AR1046">
        <f>IF(SUM(ifood_data[[#This Row],[Kidhome]:[Teenhome]])&gt;0,1,0)</f>
        <v>1</v>
      </c>
      <c r="AS1046" t="str">
        <f>IF(SUM(ifood_data[[#This Row],[Kidhome]:[Teenhome]])&gt;0,"Has Family","No Family")</f>
        <v>Has Family</v>
      </c>
      <c r="AT1046" t="str">
        <f>IF(ifood_data[[#This Row],[marital_Married]]=1,"Married", (IF(ifood_data[[#This Row],[marital_Single]]=1,"Single",(IF(ifood_data[[#This Row],[marital_Divorced]]=1,"Divorced",(IF(ifood_data[[#This Row],[marital_Together]]=1,"Living Together",(IF(ifood_data[[#This Row],[marital_Widow]]=1,"Widow","Other")))))))))</f>
        <v>Married</v>
      </c>
      <c r="AU1046" t="str">
        <f>IF(ifood_data[[#This Row],[education_Basic]]=1,"High School",(IF(ifood_data[[#This Row],[education_Graduation]]=1,"Undergraduate Degree",(IF(SUM(AM1046,AL1046,AI1046)&gt;0,"Master's Degree or Higher","Other")))))</f>
        <v>Master's Degree or Higher</v>
      </c>
      <c r="AV1046" t="str">
        <f>IF(ifood_data[[#All],[Income]]&gt;75000,"75K+",(IF(ifood_data[[#All],[Income]]&gt;50000,"50K-75K",(IF(ifood_data[[#All],[Income]]&gt;35000,"35K-50K","&lt;35K")))))</f>
        <v>50K-75K</v>
      </c>
      <c r="AW1046" t="str">
        <f>IF(ifood_data[[#All],[Age]]&gt;60,"60+",(IF(ifood_data[[#All],[Age]]&gt;50,"50-60",(IF(ifood_data[[#All],[Age]]&gt;40,"40-50",(IF(ifood_data[[#All],[Age]]&gt;30,"30-40","&lt;30")))))))</f>
        <v>60+</v>
      </c>
      <c r="AX1046">
        <f t="shared" si="64"/>
        <v>18</v>
      </c>
      <c r="AY1046">
        <f t="shared" si="65"/>
        <v>6</v>
      </c>
      <c r="AZ1046">
        <f t="shared" si="66"/>
        <v>4</v>
      </c>
      <c r="BA1046">
        <f t="shared" si="67"/>
        <v>3</v>
      </c>
      <c r="BB1046">
        <f>SUM(ifood_data[[#This Row],[Recency Score]:[Monetary Score]])</f>
        <v>13</v>
      </c>
      <c r="BC1046">
        <f>(_xlfn.PERCENTRANK.INC(ifood_data[[#All],[RFM]],ifood_data[[#This Row],[RFM]],1))*10</f>
        <v>3</v>
      </c>
      <c r="BD1046" t="str">
        <f>VLOOKUP(ifood_data[[#This Row],[RFM Score]],'RFM Analysis'!$A$3:$B$14,2,FALSE)</f>
        <v>At Risk</v>
      </c>
      <c r="BE1046">
        <f>'Regression Models'!$B$101+'Regression Models'!$B$102*ifood_data[[#This Row],[Income]]+'Regression Models'!$B$103*ifood_data[[#This Row],[Age]]+'Regression Models'!$B$104*ifood_data[[#This Row],[Family]]</f>
        <v>479.29991644528639</v>
      </c>
      <c r="BF1046" t="str">
        <f>IF(ifood_data[[#This Row],[AcceptedCmpOverall]]=1,"Campaign Respondent","Non-respondent")</f>
        <v>Non-respondent</v>
      </c>
    </row>
    <row r="1047" spans="1:58" x14ac:dyDescent="0.35">
      <c r="A1047">
        <v>180</v>
      </c>
      <c r="B1047">
        <v>51148</v>
      </c>
      <c r="C1047">
        <v>1</v>
      </c>
      <c r="D1047">
        <v>1</v>
      </c>
      <c r="E1047">
        <v>38</v>
      </c>
      <c r="F1047">
        <v>235</v>
      </c>
      <c r="G1047">
        <v>6</v>
      </c>
      <c r="H1047">
        <v>45</v>
      </c>
      <c r="I1047">
        <v>8</v>
      </c>
      <c r="J1047">
        <v>9</v>
      </c>
      <c r="K1047">
        <v>12</v>
      </c>
      <c r="L1047">
        <v>4</v>
      </c>
      <c r="M1047">
        <v>5</v>
      </c>
      <c r="N1047">
        <v>1</v>
      </c>
      <c r="O1047">
        <v>6</v>
      </c>
      <c r="P1047">
        <v>6</v>
      </c>
      <c r="Q1047">
        <v>0</v>
      </c>
      <c r="R1047">
        <v>0</v>
      </c>
      <c r="S1047">
        <v>0</v>
      </c>
      <c r="T1047">
        <v>0</v>
      </c>
      <c r="U1047">
        <v>0</v>
      </c>
      <c r="V1047">
        <f>IF(SUM(ifood_data[[#This Row],[AcceptedCmp1]:[AcceptedCmp5]])&gt;0,1,0)</f>
        <v>0</v>
      </c>
      <c r="W1047">
        <v>0</v>
      </c>
      <c r="X1047">
        <v>3</v>
      </c>
      <c r="Y1047">
        <v>11</v>
      </c>
      <c r="Z1047">
        <v>0</v>
      </c>
      <c r="AA1047">
        <v>47</v>
      </c>
      <c r="AB1047">
        <v>2655</v>
      </c>
      <c r="AC1047" s="28">
        <f>ifood_data[[#This Row],[Customer_Days]]/365</f>
        <v>7.2739726027397262</v>
      </c>
      <c r="AD1047">
        <v>0</v>
      </c>
      <c r="AE1047">
        <v>1</v>
      </c>
      <c r="AF1047">
        <v>0</v>
      </c>
      <c r="AG1047">
        <v>0</v>
      </c>
      <c r="AH1047">
        <v>0</v>
      </c>
      <c r="AI1047">
        <v>0</v>
      </c>
      <c r="AJ1047">
        <v>0</v>
      </c>
      <c r="AK1047">
        <v>1</v>
      </c>
      <c r="AL1047">
        <v>0</v>
      </c>
      <c r="AM1047">
        <v>0</v>
      </c>
      <c r="AN1047">
        <v>303</v>
      </c>
      <c r="AO1047">
        <v>291</v>
      </c>
      <c r="AP1047">
        <f>ifood_data[[#This Row],[MntTotal]]-ifood_data[[#This Row],[MntRegularProds]]</f>
        <v>12</v>
      </c>
      <c r="AQ1047">
        <v>0</v>
      </c>
      <c r="AR1047">
        <f>IF(SUM(ifood_data[[#This Row],[Kidhome]:[Teenhome]])&gt;0,1,0)</f>
        <v>1</v>
      </c>
      <c r="AS1047" t="str">
        <f>IF(SUM(ifood_data[[#This Row],[Kidhome]:[Teenhome]])&gt;0,"Has Family","No Family")</f>
        <v>Has Family</v>
      </c>
      <c r="AT1047" t="str">
        <f>IF(ifood_data[[#This Row],[marital_Married]]=1,"Married", (IF(ifood_data[[#This Row],[marital_Single]]=1,"Single",(IF(ifood_data[[#This Row],[marital_Divorced]]=1,"Divorced",(IF(ifood_data[[#This Row],[marital_Together]]=1,"Living Together",(IF(ifood_data[[#This Row],[marital_Widow]]=1,"Widow","Other")))))))))</f>
        <v>Married</v>
      </c>
      <c r="AU1047" t="str">
        <f>IF(ifood_data[[#This Row],[education_Basic]]=1,"High School",(IF(ifood_data[[#This Row],[education_Graduation]]=1,"Undergraduate Degree",(IF(SUM(AM1047,AL1047,AI1047)&gt;0,"Master's Degree or Higher","Other")))))</f>
        <v>Undergraduate Degree</v>
      </c>
      <c r="AV1047" t="str">
        <f>IF(ifood_data[[#All],[Income]]&gt;75000,"75K+",(IF(ifood_data[[#All],[Income]]&gt;50000,"50K-75K",(IF(ifood_data[[#All],[Income]]&gt;35000,"35K-50K","&lt;35K")))))</f>
        <v>50K-75K</v>
      </c>
      <c r="AW1047" t="str">
        <f>IF(ifood_data[[#All],[Age]]&gt;60,"60+",(IF(ifood_data[[#All],[Age]]&gt;50,"50-60",(IF(ifood_data[[#All],[Age]]&gt;40,"40-50",(IF(ifood_data[[#All],[Age]]&gt;30,"30-40","&lt;30")))))))</f>
        <v>40-50</v>
      </c>
      <c r="AX1047">
        <f t="shared" si="64"/>
        <v>22</v>
      </c>
      <c r="AY1047">
        <f t="shared" si="65"/>
        <v>7</v>
      </c>
      <c r="AZ1047">
        <f t="shared" si="66"/>
        <v>5</v>
      </c>
      <c r="BA1047">
        <f t="shared" si="67"/>
        <v>4</v>
      </c>
      <c r="BB1047">
        <f>SUM(ifood_data[[#This Row],[Recency Score]:[Monetary Score]])</f>
        <v>16</v>
      </c>
      <c r="BC1047">
        <f>(_xlfn.PERCENTRANK.INC(ifood_data[[#All],[RFM]],ifood_data[[#This Row],[RFM]],1))*10</f>
        <v>5</v>
      </c>
      <c r="BD1047" t="str">
        <f>VLOOKUP(ifood_data[[#This Row],[RFM Score]],'RFM Analysis'!$A$3:$B$14,2,FALSE)</f>
        <v>Promising</v>
      </c>
      <c r="BE1047">
        <f>'Regression Models'!$B$101+'Regression Models'!$B$102*ifood_data[[#This Row],[Income]]+'Regression Models'!$B$103*ifood_data[[#This Row],[Age]]+'Regression Models'!$B$104*ifood_data[[#This Row],[Family]]</f>
        <v>479.10318896862771</v>
      </c>
      <c r="BF1047" t="str">
        <f>IF(ifood_data[[#This Row],[AcceptedCmpOverall]]=1,"Campaign Respondent","Non-respondent")</f>
        <v>Non-respondent</v>
      </c>
    </row>
    <row r="1048" spans="1:58" x14ac:dyDescent="0.35">
      <c r="A1048">
        <v>771</v>
      </c>
      <c r="B1048">
        <v>52750</v>
      </c>
      <c r="C1048">
        <v>0</v>
      </c>
      <c r="D1048">
        <v>1</v>
      </c>
      <c r="E1048">
        <v>72</v>
      </c>
      <c r="F1048">
        <v>393</v>
      </c>
      <c r="G1048">
        <v>0</v>
      </c>
      <c r="H1048">
        <v>239</v>
      </c>
      <c r="I1048">
        <v>90</v>
      </c>
      <c r="J1048">
        <v>69</v>
      </c>
      <c r="K1048">
        <v>69</v>
      </c>
      <c r="L1048">
        <v>6</v>
      </c>
      <c r="M1048">
        <v>5</v>
      </c>
      <c r="N1048">
        <v>7</v>
      </c>
      <c r="O1048">
        <v>9</v>
      </c>
      <c r="P1048">
        <v>4</v>
      </c>
      <c r="Q1048">
        <v>0</v>
      </c>
      <c r="R1048">
        <v>0</v>
      </c>
      <c r="S1048">
        <v>0</v>
      </c>
      <c r="T1048">
        <v>0</v>
      </c>
      <c r="U1048">
        <v>0</v>
      </c>
      <c r="V1048">
        <f>IF(SUM(ifood_data[[#This Row],[AcceptedCmp1]:[AcceptedCmp5]])&gt;0,1,0)</f>
        <v>0</v>
      </c>
      <c r="W1048">
        <v>0</v>
      </c>
      <c r="X1048">
        <v>3</v>
      </c>
      <c r="Y1048">
        <v>11</v>
      </c>
      <c r="Z1048">
        <v>0</v>
      </c>
      <c r="AA1048">
        <v>65</v>
      </c>
      <c r="AB1048">
        <v>2669</v>
      </c>
      <c r="AC1048" s="28">
        <f>ifood_data[[#This Row],[Customer_Days]]/365</f>
        <v>7.3123287671232875</v>
      </c>
      <c r="AD1048">
        <v>0</v>
      </c>
      <c r="AE1048">
        <v>1</v>
      </c>
      <c r="AF1048">
        <v>0</v>
      </c>
      <c r="AG1048">
        <v>0</v>
      </c>
      <c r="AH1048">
        <v>0</v>
      </c>
      <c r="AI1048">
        <v>0</v>
      </c>
      <c r="AJ1048">
        <v>0</v>
      </c>
      <c r="AK1048">
        <v>0</v>
      </c>
      <c r="AL1048">
        <v>1</v>
      </c>
      <c r="AM1048">
        <v>0</v>
      </c>
      <c r="AN1048">
        <v>791</v>
      </c>
      <c r="AO1048">
        <v>722</v>
      </c>
      <c r="AP1048">
        <f>ifood_data[[#This Row],[MntTotal]]-ifood_data[[#This Row],[MntRegularProds]]</f>
        <v>69</v>
      </c>
      <c r="AQ1048">
        <v>0</v>
      </c>
      <c r="AR1048">
        <f>IF(SUM(ifood_data[[#This Row],[Kidhome]:[Teenhome]])&gt;0,1,0)</f>
        <v>1</v>
      </c>
      <c r="AS1048" t="str">
        <f>IF(SUM(ifood_data[[#This Row],[Kidhome]:[Teenhome]])&gt;0,"Has Family","No Family")</f>
        <v>Has Family</v>
      </c>
      <c r="AT1048" t="str">
        <f>IF(ifood_data[[#This Row],[marital_Married]]=1,"Married", (IF(ifood_data[[#This Row],[marital_Single]]=1,"Single",(IF(ifood_data[[#This Row],[marital_Divorced]]=1,"Divorced",(IF(ifood_data[[#This Row],[marital_Together]]=1,"Living Together",(IF(ifood_data[[#This Row],[marital_Widow]]=1,"Widow","Other")))))))))</f>
        <v>Married</v>
      </c>
      <c r="AU1048" t="str">
        <f>IF(ifood_data[[#This Row],[education_Basic]]=1,"High School",(IF(ifood_data[[#This Row],[education_Graduation]]=1,"Undergraduate Degree",(IF(SUM(AM1048,AL1048,AI1048)&gt;0,"Master's Degree or Higher","Other")))))</f>
        <v>Master's Degree or Higher</v>
      </c>
      <c r="AV1048" t="str">
        <f>IF(ifood_data[[#All],[Income]]&gt;75000,"75K+",(IF(ifood_data[[#All],[Income]]&gt;50000,"50K-75K",(IF(ifood_data[[#All],[Income]]&gt;35000,"35K-50K","&lt;35K")))))</f>
        <v>50K-75K</v>
      </c>
      <c r="AW1048" t="str">
        <f>IF(ifood_data[[#All],[Age]]&gt;60,"60+",(IF(ifood_data[[#All],[Age]]&gt;50,"50-60",(IF(ifood_data[[#All],[Age]]&gt;40,"40-50",(IF(ifood_data[[#All],[Age]]&gt;30,"30-40","&lt;30")))))))</f>
        <v>60+</v>
      </c>
      <c r="AX1048">
        <f t="shared" si="64"/>
        <v>31</v>
      </c>
      <c r="AY1048">
        <f t="shared" si="65"/>
        <v>3.0000000000000004</v>
      </c>
      <c r="AZ1048">
        <f t="shared" si="66"/>
        <v>9</v>
      </c>
      <c r="BA1048">
        <f t="shared" si="67"/>
        <v>6</v>
      </c>
      <c r="BB1048">
        <f>SUM(ifood_data[[#This Row],[Recency Score]:[Monetary Score]])</f>
        <v>18</v>
      </c>
      <c r="BC1048">
        <f>(_xlfn.PERCENTRANK.INC(ifood_data[[#All],[RFM]],ifood_data[[#This Row],[RFM]],1))*10</f>
        <v>6</v>
      </c>
      <c r="BD1048" t="str">
        <f>VLOOKUP(ifood_data[[#This Row],[RFM Score]],'RFM Analysis'!$A$3:$B$14,2,FALSE)</f>
        <v>Promising</v>
      </c>
      <c r="BE1048">
        <f>'Regression Models'!$B$101+'Regression Models'!$B$102*ifood_data[[#This Row],[Income]]+'Regression Models'!$B$103*ifood_data[[#This Row],[Age]]+'Regression Models'!$B$104*ifood_data[[#This Row],[Family]]</f>
        <v>478.71009211505668</v>
      </c>
      <c r="BF1048" t="str">
        <f>IF(ifood_data[[#This Row],[AcceptedCmpOverall]]=1,"Campaign Respondent","Non-respondent")</f>
        <v>Non-respondent</v>
      </c>
    </row>
    <row r="1049" spans="1:58" x14ac:dyDescent="0.35">
      <c r="A1049">
        <v>675</v>
      </c>
      <c r="B1049">
        <v>50272</v>
      </c>
      <c r="C1049">
        <v>1</v>
      </c>
      <c r="D1049">
        <v>0</v>
      </c>
      <c r="E1049">
        <v>75</v>
      </c>
      <c r="F1049">
        <v>99</v>
      </c>
      <c r="G1049">
        <v>13</v>
      </c>
      <c r="H1049">
        <v>66</v>
      </c>
      <c r="I1049">
        <v>43</v>
      </c>
      <c r="J1049">
        <v>8</v>
      </c>
      <c r="K1049">
        <v>4</v>
      </c>
      <c r="L1049">
        <v>3</v>
      </c>
      <c r="M1049">
        <v>4</v>
      </c>
      <c r="N1049">
        <v>1</v>
      </c>
      <c r="O1049">
        <v>5</v>
      </c>
      <c r="P1049">
        <v>7</v>
      </c>
      <c r="Q1049">
        <v>0</v>
      </c>
      <c r="R1049">
        <v>0</v>
      </c>
      <c r="S1049">
        <v>0</v>
      </c>
      <c r="T1049">
        <v>0</v>
      </c>
      <c r="U1049">
        <v>0</v>
      </c>
      <c r="V1049">
        <f>IF(SUM(ifood_data[[#This Row],[AcceptedCmp1]:[AcceptedCmp5]])&gt;0,1,0)</f>
        <v>0</v>
      </c>
      <c r="W1049">
        <v>0</v>
      </c>
      <c r="X1049">
        <v>3</v>
      </c>
      <c r="Y1049">
        <v>11</v>
      </c>
      <c r="Z1049">
        <v>0</v>
      </c>
      <c r="AA1049">
        <v>38</v>
      </c>
      <c r="AB1049">
        <v>2485</v>
      </c>
      <c r="AC1049" s="28">
        <f>ifood_data[[#This Row],[Customer_Days]]/365</f>
        <v>6.8082191780821919</v>
      </c>
      <c r="AD1049">
        <v>0</v>
      </c>
      <c r="AE1049">
        <v>0</v>
      </c>
      <c r="AF1049">
        <v>0</v>
      </c>
      <c r="AG1049">
        <v>1</v>
      </c>
      <c r="AH1049">
        <v>0</v>
      </c>
      <c r="AI1049">
        <v>0</v>
      </c>
      <c r="AJ1049">
        <v>0</v>
      </c>
      <c r="AK1049">
        <v>1</v>
      </c>
      <c r="AL1049">
        <v>0</v>
      </c>
      <c r="AM1049">
        <v>0</v>
      </c>
      <c r="AN1049">
        <v>229</v>
      </c>
      <c r="AO1049">
        <v>225</v>
      </c>
      <c r="AP1049">
        <f>ifood_data[[#This Row],[MntTotal]]-ifood_data[[#This Row],[MntRegularProds]]</f>
        <v>4</v>
      </c>
      <c r="AQ1049">
        <v>0</v>
      </c>
      <c r="AR1049">
        <f>IF(SUM(ifood_data[[#This Row],[Kidhome]:[Teenhome]])&gt;0,1,0)</f>
        <v>1</v>
      </c>
      <c r="AS1049" t="str">
        <f>IF(SUM(ifood_data[[#This Row],[Kidhome]:[Teenhome]])&gt;0,"Has Family","No Family")</f>
        <v>Has Family</v>
      </c>
      <c r="AT1049" t="str">
        <f>IF(ifood_data[[#This Row],[marital_Married]]=1,"Married", (IF(ifood_data[[#This Row],[marital_Single]]=1,"Single",(IF(ifood_data[[#This Row],[marital_Divorced]]=1,"Divorced",(IF(ifood_data[[#This Row],[marital_Together]]=1,"Living Together",(IF(ifood_data[[#This Row],[marital_Widow]]=1,"Widow","Other")))))))))</f>
        <v>Living Together</v>
      </c>
      <c r="AU1049" t="str">
        <f>IF(ifood_data[[#This Row],[education_Basic]]=1,"High School",(IF(ifood_data[[#This Row],[education_Graduation]]=1,"Undergraduate Degree",(IF(SUM(AM1049,AL1049,AI1049)&gt;0,"Master's Degree or Higher","Other")))))</f>
        <v>Undergraduate Degree</v>
      </c>
      <c r="AV1049" t="str">
        <f>IF(ifood_data[[#All],[Income]]&gt;75000,"75K+",(IF(ifood_data[[#All],[Income]]&gt;50000,"50K-75K",(IF(ifood_data[[#All],[Income]]&gt;35000,"35K-50K","&lt;35K")))))</f>
        <v>50K-75K</v>
      </c>
      <c r="AW1049" t="str">
        <f>IF(ifood_data[[#All],[Age]]&gt;60,"60+",(IF(ifood_data[[#All],[Age]]&gt;50,"50-60",(IF(ifood_data[[#All],[Age]]&gt;40,"40-50",(IF(ifood_data[[#All],[Age]]&gt;30,"30-40","&lt;30")))))))</f>
        <v>30-40</v>
      </c>
      <c r="AX1049">
        <f t="shared" si="64"/>
        <v>20</v>
      </c>
      <c r="AY1049">
        <f t="shared" si="65"/>
        <v>3.0000000000000004</v>
      </c>
      <c r="AZ1049">
        <f t="shared" si="66"/>
        <v>4</v>
      </c>
      <c r="BA1049">
        <f t="shared" si="67"/>
        <v>4</v>
      </c>
      <c r="BB1049">
        <f>SUM(ifood_data[[#This Row],[Recency Score]:[Monetary Score]])</f>
        <v>11</v>
      </c>
      <c r="BC1049">
        <f>(_xlfn.PERCENTRANK.INC(ifood_data[[#All],[RFM]],ifood_data[[#This Row],[RFM]],1))*10</f>
        <v>2</v>
      </c>
      <c r="BD1049" t="str">
        <f>VLOOKUP(ifood_data[[#This Row],[RFM Score]],'RFM Analysis'!$A$3:$B$14,2,FALSE)</f>
        <v>At Risk</v>
      </c>
      <c r="BE1049">
        <f>'Regression Models'!$B$101+'Regression Models'!$B$102*ifood_data[[#This Row],[Income]]+'Regression Models'!$B$103*ifood_data[[#This Row],[Age]]+'Regression Models'!$B$104*ifood_data[[#This Row],[Family]]</f>
        <v>477.77057978462074</v>
      </c>
      <c r="BF1049" t="str">
        <f>IF(ifood_data[[#This Row],[AcceptedCmpOverall]]=1,"Campaign Respondent","Non-respondent")</f>
        <v>Non-respondent</v>
      </c>
    </row>
    <row r="1050" spans="1:58" x14ac:dyDescent="0.35">
      <c r="A1050">
        <v>659</v>
      </c>
      <c r="B1050">
        <v>34824</v>
      </c>
      <c r="C1050">
        <v>0</v>
      </c>
      <c r="D1050">
        <v>0</v>
      </c>
      <c r="E1050">
        <v>65</v>
      </c>
      <c r="F1050">
        <v>4</v>
      </c>
      <c r="G1050">
        <v>2</v>
      </c>
      <c r="H1050">
        <v>11</v>
      </c>
      <c r="I1050">
        <v>2</v>
      </c>
      <c r="J1050">
        <v>0</v>
      </c>
      <c r="K1050">
        <v>4</v>
      </c>
      <c r="L1050">
        <v>1</v>
      </c>
      <c r="M1050">
        <v>1</v>
      </c>
      <c r="N1050">
        <v>0</v>
      </c>
      <c r="O1050">
        <v>2</v>
      </c>
      <c r="P1050">
        <v>6</v>
      </c>
      <c r="Q1050">
        <v>0</v>
      </c>
      <c r="R1050">
        <v>0</v>
      </c>
      <c r="S1050">
        <v>0</v>
      </c>
      <c r="T1050">
        <v>0</v>
      </c>
      <c r="U1050">
        <v>0</v>
      </c>
      <c r="V1050">
        <f>IF(SUM(ifood_data[[#This Row],[AcceptedCmp1]:[AcceptedCmp5]])&gt;0,1,0)</f>
        <v>0</v>
      </c>
      <c r="W1050">
        <v>0</v>
      </c>
      <c r="X1050">
        <v>3</v>
      </c>
      <c r="Y1050">
        <v>11</v>
      </c>
      <c r="Z1050">
        <v>0</v>
      </c>
      <c r="AA1050">
        <v>25</v>
      </c>
      <c r="AB1050">
        <v>2254</v>
      </c>
      <c r="AC1050" s="28">
        <f>ifood_data[[#This Row],[Customer_Days]]/365</f>
        <v>6.1753424657534248</v>
      </c>
      <c r="AD1050">
        <v>0</v>
      </c>
      <c r="AE1050">
        <v>0</v>
      </c>
      <c r="AF1050">
        <v>1</v>
      </c>
      <c r="AG1050">
        <v>0</v>
      </c>
      <c r="AH1050">
        <v>0</v>
      </c>
      <c r="AI1050">
        <v>0</v>
      </c>
      <c r="AJ1050">
        <v>0</v>
      </c>
      <c r="AK1050">
        <v>1</v>
      </c>
      <c r="AL1050">
        <v>0</v>
      </c>
      <c r="AM1050">
        <v>0</v>
      </c>
      <c r="AN1050">
        <v>19</v>
      </c>
      <c r="AO1050">
        <v>15</v>
      </c>
      <c r="AP1050">
        <f>ifood_data[[#This Row],[MntTotal]]-ifood_data[[#This Row],[MntRegularProds]]</f>
        <v>4</v>
      </c>
      <c r="AQ1050">
        <v>0</v>
      </c>
      <c r="AR1050">
        <f>IF(SUM(ifood_data[[#This Row],[Kidhome]:[Teenhome]])&gt;0,1,0)</f>
        <v>0</v>
      </c>
      <c r="AS1050" t="str">
        <f>IF(SUM(ifood_data[[#This Row],[Kidhome]:[Teenhome]])&gt;0,"Has Family","No Family")</f>
        <v>No Family</v>
      </c>
      <c r="AT1050" t="str">
        <f>IF(ifood_data[[#This Row],[marital_Married]]=1,"Married", (IF(ifood_data[[#This Row],[marital_Single]]=1,"Single",(IF(ifood_data[[#This Row],[marital_Divorced]]=1,"Divorced",(IF(ifood_data[[#This Row],[marital_Together]]=1,"Living Together",(IF(ifood_data[[#This Row],[marital_Widow]]=1,"Widow","Other")))))))))</f>
        <v>Single</v>
      </c>
      <c r="AU1050" t="str">
        <f>IF(ifood_data[[#This Row],[education_Basic]]=1,"High School",(IF(ifood_data[[#This Row],[education_Graduation]]=1,"Undergraduate Degree",(IF(SUM(AM1050,AL1050,AI1050)&gt;0,"Master's Degree or Higher","Other")))))</f>
        <v>Undergraduate Degree</v>
      </c>
      <c r="AV1050" t="str">
        <f>IF(ifood_data[[#All],[Income]]&gt;75000,"75K+",(IF(ifood_data[[#All],[Income]]&gt;50000,"50K-75K",(IF(ifood_data[[#All],[Income]]&gt;35000,"35K-50K","&lt;35K")))))</f>
        <v>&lt;35K</v>
      </c>
      <c r="AW1050" t="str">
        <f>IF(ifood_data[[#All],[Age]]&gt;60,"60+",(IF(ifood_data[[#All],[Age]]&gt;50,"50-60",(IF(ifood_data[[#All],[Age]]&gt;40,"40-50",(IF(ifood_data[[#All],[Age]]&gt;30,"30-40","&lt;30")))))))</f>
        <v>&lt;30</v>
      </c>
      <c r="AX1050">
        <f t="shared" si="64"/>
        <v>10</v>
      </c>
      <c r="AY1050">
        <f t="shared" si="65"/>
        <v>4</v>
      </c>
      <c r="AZ1050">
        <f t="shared" si="66"/>
        <v>0</v>
      </c>
      <c r="BA1050">
        <f t="shared" si="67"/>
        <v>0</v>
      </c>
      <c r="BB1050">
        <f>SUM(ifood_data[[#This Row],[Recency Score]:[Monetary Score]])</f>
        <v>4</v>
      </c>
      <c r="BC1050">
        <f>(_xlfn.PERCENTRANK.INC(ifood_data[[#All],[RFM]],ifood_data[[#This Row],[RFM]],1))*10</f>
        <v>0</v>
      </c>
      <c r="BD1050" t="str">
        <f>VLOOKUP(ifood_data[[#This Row],[RFM Score]],'RFM Analysis'!$A$3:$B$14,2,FALSE)</f>
        <v>Lost</v>
      </c>
      <c r="BE1050">
        <f>'Regression Models'!$B$101+'Regression Models'!$B$102*ifood_data[[#This Row],[Income]]+'Regression Models'!$B$103*ifood_data[[#This Row],[Age]]+'Regression Models'!$B$104*ifood_data[[#This Row],[Family]]</f>
        <v>476.29222859631165</v>
      </c>
      <c r="BF1050" t="str">
        <f>IF(ifood_data[[#This Row],[AcceptedCmpOverall]]=1,"Campaign Respondent","Non-respondent")</f>
        <v>Non-respondent</v>
      </c>
    </row>
    <row r="1051" spans="1:58" x14ac:dyDescent="0.35">
      <c r="A1051">
        <v>1494</v>
      </c>
      <c r="B1051">
        <v>51717</v>
      </c>
      <c r="C1051">
        <v>0</v>
      </c>
      <c r="D1051">
        <v>1</v>
      </c>
      <c r="E1051">
        <v>55</v>
      </c>
      <c r="F1051">
        <v>98</v>
      </c>
      <c r="G1051">
        <v>1</v>
      </c>
      <c r="H1051">
        <v>17</v>
      </c>
      <c r="I1051">
        <v>0</v>
      </c>
      <c r="J1051">
        <v>1</v>
      </c>
      <c r="K1051">
        <v>5</v>
      </c>
      <c r="L1051">
        <v>1</v>
      </c>
      <c r="M1051">
        <v>3</v>
      </c>
      <c r="N1051">
        <v>0</v>
      </c>
      <c r="O1051">
        <v>4</v>
      </c>
      <c r="P1051">
        <v>7</v>
      </c>
      <c r="Q1051">
        <v>0</v>
      </c>
      <c r="R1051">
        <v>0</v>
      </c>
      <c r="S1051">
        <v>0</v>
      </c>
      <c r="T1051">
        <v>1</v>
      </c>
      <c r="U1051">
        <v>0</v>
      </c>
      <c r="V1051">
        <f>IF(SUM(ifood_data[[#This Row],[AcceptedCmp1]:[AcceptedCmp5]])&gt;0,1,0)</f>
        <v>1</v>
      </c>
      <c r="W1051">
        <v>0</v>
      </c>
      <c r="X1051">
        <v>3</v>
      </c>
      <c r="Y1051">
        <v>11</v>
      </c>
      <c r="Z1051">
        <v>0</v>
      </c>
      <c r="AA1051">
        <v>55</v>
      </c>
      <c r="AB1051">
        <v>2472</v>
      </c>
      <c r="AC1051" s="28">
        <f>ifood_data[[#This Row],[Customer_Days]]/365</f>
        <v>6.7726027397260271</v>
      </c>
      <c r="AD1051">
        <v>0</v>
      </c>
      <c r="AE1051">
        <v>0</v>
      </c>
      <c r="AF1051">
        <v>0</v>
      </c>
      <c r="AG1051">
        <v>1</v>
      </c>
      <c r="AH1051">
        <v>0</v>
      </c>
      <c r="AI1051">
        <v>0</v>
      </c>
      <c r="AJ1051">
        <v>0</v>
      </c>
      <c r="AK1051">
        <v>0</v>
      </c>
      <c r="AL1051">
        <v>0</v>
      </c>
      <c r="AM1051">
        <v>1</v>
      </c>
      <c r="AN1051">
        <v>117</v>
      </c>
      <c r="AO1051">
        <v>112</v>
      </c>
      <c r="AP1051">
        <f>ifood_data[[#This Row],[MntTotal]]-ifood_data[[#This Row],[MntRegularProds]]</f>
        <v>5</v>
      </c>
      <c r="AQ1051">
        <v>1</v>
      </c>
      <c r="AR1051">
        <f>IF(SUM(ifood_data[[#This Row],[Kidhome]:[Teenhome]])&gt;0,1,0)</f>
        <v>1</v>
      </c>
      <c r="AS1051" t="str">
        <f>IF(SUM(ifood_data[[#This Row],[Kidhome]:[Teenhome]])&gt;0,"Has Family","No Family")</f>
        <v>Has Family</v>
      </c>
      <c r="AT1051" t="str">
        <f>IF(ifood_data[[#This Row],[marital_Married]]=1,"Married", (IF(ifood_data[[#This Row],[marital_Single]]=1,"Single",(IF(ifood_data[[#This Row],[marital_Divorced]]=1,"Divorced",(IF(ifood_data[[#This Row],[marital_Together]]=1,"Living Together",(IF(ifood_data[[#This Row],[marital_Widow]]=1,"Widow","Other")))))))))</f>
        <v>Living Together</v>
      </c>
      <c r="AU1051" t="str">
        <f>IF(ifood_data[[#This Row],[education_Basic]]=1,"High School",(IF(ifood_data[[#This Row],[education_Graduation]]=1,"Undergraduate Degree",(IF(SUM(AM1051,AL1051,AI1051)&gt;0,"Master's Degree or Higher","Other")))))</f>
        <v>Master's Degree or Higher</v>
      </c>
      <c r="AV1051" t="str">
        <f>IF(ifood_data[[#All],[Income]]&gt;75000,"75K+",(IF(ifood_data[[#All],[Income]]&gt;50000,"50K-75K",(IF(ifood_data[[#All],[Income]]&gt;35000,"35K-50K","&lt;35K")))))</f>
        <v>50K-75K</v>
      </c>
      <c r="AW1051" t="str">
        <f>IF(ifood_data[[#All],[Age]]&gt;60,"60+",(IF(ifood_data[[#All],[Age]]&gt;50,"50-60",(IF(ifood_data[[#All],[Age]]&gt;40,"40-50",(IF(ifood_data[[#All],[Age]]&gt;30,"30-40","&lt;30")))))))</f>
        <v>50-60</v>
      </c>
      <c r="AX1051">
        <f t="shared" si="64"/>
        <v>15</v>
      </c>
      <c r="AY1051">
        <f t="shared" si="65"/>
        <v>5</v>
      </c>
      <c r="AZ1051">
        <f t="shared" si="66"/>
        <v>2</v>
      </c>
      <c r="BA1051">
        <f t="shared" si="67"/>
        <v>3</v>
      </c>
      <c r="BB1051">
        <f>SUM(ifood_data[[#This Row],[Recency Score]:[Monetary Score]])</f>
        <v>10</v>
      </c>
      <c r="BC1051">
        <f>(_xlfn.PERCENTRANK.INC(ifood_data[[#All],[RFM]],ifood_data[[#This Row],[RFM]],1))*10</f>
        <v>2</v>
      </c>
      <c r="BD1051" t="str">
        <f>VLOOKUP(ifood_data[[#This Row],[RFM Score]],'RFM Analysis'!$A$3:$B$14,2,FALSE)</f>
        <v>At Risk</v>
      </c>
      <c r="BE1051">
        <f>'Regression Models'!$B$101+'Regression Models'!$B$102*ifood_data[[#This Row],[Income]]+'Regression Models'!$B$103*ifood_data[[#This Row],[Age]]+'Regression Models'!$B$104*ifood_data[[#This Row],[Family]]</f>
        <v>476.01288541135193</v>
      </c>
      <c r="BF1051" t="str">
        <f>IF(ifood_data[[#This Row],[AcceptedCmpOverall]]=1,"Campaign Respondent","Non-respondent")</f>
        <v>Campaign Respondent</v>
      </c>
    </row>
    <row r="1052" spans="1:58" x14ac:dyDescent="0.35">
      <c r="A1052">
        <v>1258</v>
      </c>
      <c r="B1052">
        <v>35876</v>
      </c>
      <c r="C1052">
        <v>0</v>
      </c>
      <c r="D1052">
        <v>0</v>
      </c>
      <c r="E1052">
        <v>13</v>
      </c>
      <c r="F1052">
        <v>66</v>
      </c>
      <c r="G1052">
        <v>2</v>
      </c>
      <c r="H1052">
        <v>40</v>
      </c>
      <c r="I1052">
        <v>4</v>
      </c>
      <c r="J1052">
        <v>3</v>
      </c>
      <c r="K1052">
        <v>14</v>
      </c>
      <c r="L1052">
        <v>1</v>
      </c>
      <c r="M1052">
        <v>3</v>
      </c>
      <c r="N1052">
        <v>1</v>
      </c>
      <c r="O1052">
        <v>3</v>
      </c>
      <c r="P1052">
        <v>6</v>
      </c>
      <c r="Q1052">
        <v>0</v>
      </c>
      <c r="R1052">
        <v>0</v>
      </c>
      <c r="S1052">
        <v>0</v>
      </c>
      <c r="T1052">
        <v>0</v>
      </c>
      <c r="U1052">
        <v>0</v>
      </c>
      <c r="V1052">
        <f>IF(SUM(ifood_data[[#This Row],[AcceptedCmp1]:[AcceptedCmp5]])&gt;0,1,0)</f>
        <v>0</v>
      </c>
      <c r="W1052">
        <v>0</v>
      </c>
      <c r="X1052">
        <v>3</v>
      </c>
      <c r="Y1052">
        <v>11</v>
      </c>
      <c r="Z1052">
        <v>0</v>
      </c>
      <c r="AA1052">
        <v>37</v>
      </c>
      <c r="AB1052">
        <v>2229</v>
      </c>
      <c r="AC1052" s="28">
        <f>ifood_data[[#This Row],[Customer_Days]]/365</f>
        <v>6.1068493150684935</v>
      </c>
      <c r="AD1052">
        <v>0</v>
      </c>
      <c r="AE1052">
        <v>1</v>
      </c>
      <c r="AF1052">
        <v>0</v>
      </c>
      <c r="AG1052">
        <v>0</v>
      </c>
      <c r="AH1052">
        <v>0</v>
      </c>
      <c r="AI1052">
        <v>0</v>
      </c>
      <c r="AJ1052">
        <v>0</v>
      </c>
      <c r="AK1052">
        <v>0</v>
      </c>
      <c r="AL1052">
        <v>1</v>
      </c>
      <c r="AM1052">
        <v>0</v>
      </c>
      <c r="AN1052">
        <v>115</v>
      </c>
      <c r="AO1052">
        <v>101</v>
      </c>
      <c r="AP1052">
        <f>ifood_data[[#This Row],[MntTotal]]-ifood_data[[#This Row],[MntRegularProds]]</f>
        <v>14</v>
      </c>
      <c r="AQ1052">
        <v>0</v>
      </c>
      <c r="AR1052">
        <f>IF(SUM(ifood_data[[#This Row],[Kidhome]:[Teenhome]])&gt;0,1,0)</f>
        <v>0</v>
      </c>
      <c r="AS1052" t="str">
        <f>IF(SUM(ifood_data[[#This Row],[Kidhome]:[Teenhome]])&gt;0,"Has Family","No Family")</f>
        <v>No Family</v>
      </c>
      <c r="AT1052" t="str">
        <f>IF(ifood_data[[#This Row],[marital_Married]]=1,"Married", (IF(ifood_data[[#This Row],[marital_Single]]=1,"Single",(IF(ifood_data[[#This Row],[marital_Divorced]]=1,"Divorced",(IF(ifood_data[[#This Row],[marital_Together]]=1,"Living Together",(IF(ifood_data[[#This Row],[marital_Widow]]=1,"Widow","Other")))))))))</f>
        <v>Married</v>
      </c>
      <c r="AU1052" t="str">
        <f>IF(ifood_data[[#This Row],[education_Basic]]=1,"High School",(IF(ifood_data[[#This Row],[education_Graduation]]=1,"Undergraduate Degree",(IF(SUM(AM1052,AL1052,AI1052)&gt;0,"Master's Degree or Higher","Other")))))</f>
        <v>Master's Degree or Higher</v>
      </c>
      <c r="AV1052" t="str">
        <f>IF(ifood_data[[#All],[Income]]&gt;75000,"75K+",(IF(ifood_data[[#All],[Income]]&gt;50000,"50K-75K",(IF(ifood_data[[#All],[Income]]&gt;35000,"35K-50K","&lt;35K")))))</f>
        <v>35K-50K</v>
      </c>
      <c r="AW1052" t="str">
        <f>IF(ifood_data[[#All],[Age]]&gt;60,"60+",(IF(ifood_data[[#All],[Age]]&gt;50,"50-60",(IF(ifood_data[[#All],[Age]]&gt;40,"40-50",(IF(ifood_data[[#All],[Age]]&gt;30,"30-40","&lt;30")))))))</f>
        <v>30-40</v>
      </c>
      <c r="AX1052">
        <f t="shared" si="64"/>
        <v>14</v>
      </c>
      <c r="AY1052">
        <f t="shared" si="65"/>
        <v>9</v>
      </c>
      <c r="AZ1052">
        <f t="shared" si="66"/>
        <v>2</v>
      </c>
      <c r="BA1052">
        <f t="shared" si="67"/>
        <v>3</v>
      </c>
      <c r="BB1052">
        <f>SUM(ifood_data[[#This Row],[Recency Score]:[Monetary Score]])</f>
        <v>14</v>
      </c>
      <c r="BC1052">
        <f>(_xlfn.PERCENTRANK.INC(ifood_data[[#All],[RFM]],ifood_data[[#This Row],[RFM]],1))*10</f>
        <v>4</v>
      </c>
      <c r="BD1052" t="str">
        <f>VLOOKUP(ifood_data[[#This Row],[RFM Score]],'RFM Analysis'!$A$3:$B$14,2,FALSE)</f>
        <v>At Risk</v>
      </c>
      <c r="BE1052">
        <f>'Regression Models'!$B$101+'Regression Models'!$B$102*ifood_data[[#This Row],[Income]]+'Regression Models'!$B$103*ifood_data[[#This Row],[Age]]+'Regression Models'!$B$104*ifood_data[[#This Row],[Family]]</f>
        <v>475.703943736962</v>
      </c>
      <c r="BF1052" t="str">
        <f>IF(ifood_data[[#This Row],[AcceptedCmpOverall]]=1,"Campaign Respondent","Non-respondent")</f>
        <v>Non-respondent</v>
      </c>
    </row>
    <row r="1053" spans="1:58" x14ac:dyDescent="0.35">
      <c r="A1053">
        <v>343</v>
      </c>
      <c r="B1053">
        <v>51479</v>
      </c>
      <c r="C1053">
        <v>1</v>
      </c>
      <c r="D1053">
        <v>1</v>
      </c>
      <c r="E1053">
        <v>67</v>
      </c>
      <c r="F1053">
        <v>247</v>
      </c>
      <c r="G1053">
        <v>8</v>
      </c>
      <c r="H1053">
        <v>160</v>
      </c>
      <c r="I1053">
        <v>6</v>
      </c>
      <c r="J1053">
        <v>8</v>
      </c>
      <c r="K1053">
        <v>65</v>
      </c>
      <c r="L1053">
        <v>7</v>
      </c>
      <c r="M1053">
        <v>6</v>
      </c>
      <c r="N1053">
        <v>3</v>
      </c>
      <c r="O1053">
        <v>6</v>
      </c>
      <c r="P1053">
        <v>7</v>
      </c>
      <c r="Q1053">
        <v>0</v>
      </c>
      <c r="R1053">
        <v>0</v>
      </c>
      <c r="S1053">
        <v>0</v>
      </c>
      <c r="T1053">
        <v>0</v>
      </c>
      <c r="U1053">
        <v>0</v>
      </c>
      <c r="V1053">
        <f>IF(SUM(ifood_data[[#This Row],[AcceptedCmp1]:[AcceptedCmp5]])&gt;0,1,0)</f>
        <v>0</v>
      </c>
      <c r="W1053">
        <v>0</v>
      </c>
      <c r="X1053">
        <v>3</v>
      </c>
      <c r="Y1053">
        <v>11</v>
      </c>
      <c r="Z1053">
        <v>0</v>
      </c>
      <c r="AA1053">
        <v>53</v>
      </c>
      <c r="AB1053">
        <v>2707</v>
      </c>
      <c r="AC1053" s="28">
        <f>ifood_data[[#This Row],[Customer_Days]]/365</f>
        <v>7.4164383561643836</v>
      </c>
      <c r="AD1053">
        <v>0</v>
      </c>
      <c r="AE1053">
        <v>1</v>
      </c>
      <c r="AF1053">
        <v>0</v>
      </c>
      <c r="AG1053">
        <v>0</v>
      </c>
      <c r="AH1053">
        <v>0</v>
      </c>
      <c r="AI1053">
        <v>0</v>
      </c>
      <c r="AJ1053">
        <v>0</v>
      </c>
      <c r="AK1053">
        <v>1</v>
      </c>
      <c r="AL1053">
        <v>0</v>
      </c>
      <c r="AM1053">
        <v>0</v>
      </c>
      <c r="AN1053">
        <v>429</v>
      </c>
      <c r="AO1053">
        <v>364</v>
      </c>
      <c r="AP1053">
        <f>ifood_data[[#This Row],[MntTotal]]-ifood_data[[#This Row],[MntRegularProds]]</f>
        <v>65</v>
      </c>
      <c r="AQ1053">
        <v>0</v>
      </c>
      <c r="AR1053">
        <f>IF(SUM(ifood_data[[#This Row],[Kidhome]:[Teenhome]])&gt;0,1,0)</f>
        <v>1</v>
      </c>
      <c r="AS1053" t="str">
        <f>IF(SUM(ifood_data[[#This Row],[Kidhome]:[Teenhome]])&gt;0,"Has Family","No Family")</f>
        <v>Has Family</v>
      </c>
      <c r="AT1053" t="str">
        <f>IF(ifood_data[[#This Row],[marital_Married]]=1,"Married", (IF(ifood_data[[#This Row],[marital_Single]]=1,"Single",(IF(ifood_data[[#This Row],[marital_Divorced]]=1,"Divorced",(IF(ifood_data[[#This Row],[marital_Together]]=1,"Living Together",(IF(ifood_data[[#This Row],[marital_Widow]]=1,"Widow","Other")))))))))</f>
        <v>Married</v>
      </c>
      <c r="AU1053" t="str">
        <f>IF(ifood_data[[#This Row],[education_Basic]]=1,"High School",(IF(ifood_data[[#This Row],[education_Graduation]]=1,"Undergraduate Degree",(IF(SUM(AM1053,AL1053,AI1053)&gt;0,"Master's Degree or Higher","Other")))))</f>
        <v>Undergraduate Degree</v>
      </c>
      <c r="AV1053" t="str">
        <f>IF(ifood_data[[#All],[Income]]&gt;75000,"75K+",(IF(ifood_data[[#All],[Income]]&gt;50000,"50K-75K",(IF(ifood_data[[#All],[Income]]&gt;35000,"35K-50K","&lt;35K")))))</f>
        <v>50K-75K</v>
      </c>
      <c r="AW1053" t="str">
        <f>IF(ifood_data[[#All],[Age]]&gt;60,"60+",(IF(ifood_data[[#All],[Age]]&gt;50,"50-60",(IF(ifood_data[[#All],[Age]]&gt;40,"40-50",(IF(ifood_data[[#All],[Age]]&gt;30,"30-40","&lt;30")))))))</f>
        <v>50-60</v>
      </c>
      <c r="AX1053">
        <f t="shared" si="64"/>
        <v>29</v>
      </c>
      <c r="AY1053">
        <f t="shared" si="65"/>
        <v>4</v>
      </c>
      <c r="AZ1053">
        <f t="shared" si="66"/>
        <v>8</v>
      </c>
      <c r="BA1053">
        <f t="shared" si="67"/>
        <v>5</v>
      </c>
      <c r="BB1053">
        <f>SUM(ifood_data[[#This Row],[Recency Score]:[Monetary Score]])</f>
        <v>17</v>
      </c>
      <c r="BC1053">
        <f>(_xlfn.PERCENTRANK.INC(ifood_data[[#All],[RFM]],ifood_data[[#This Row],[RFM]],1))*10</f>
        <v>6</v>
      </c>
      <c r="BD1053" t="str">
        <f>VLOOKUP(ifood_data[[#This Row],[RFM Score]],'RFM Analysis'!$A$3:$B$14,2,FALSE)</f>
        <v>Promising</v>
      </c>
      <c r="BE1053">
        <f>'Regression Models'!$B$101+'Regression Models'!$B$102*ifood_data[[#This Row],[Income]]+'Regression Models'!$B$103*ifood_data[[#This Row],[Age]]+'Regression Models'!$B$104*ifood_data[[#This Row],[Family]]</f>
        <v>474.83323675089252</v>
      </c>
      <c r="BF1053" t="str">
        <f>IF(ifood_data[[#This Row],[AcceptedCmpOverall]]=1,"Campaign Respondent","Non-respondent")</f>
        <v>Non-respondent</v>
      </c>
    </row>
    <row r="1054" spans="1:58" x14ac:dyDescent="0.35">
      <c r="A1054">
        <v>482</v>
      </c>
      <c r="B1054">
        <v>34935</v>
      </c>
      <c r="C1054">
        <v>0</v>
      </c>
      <c r="D1054">
        <v>0</v>
      </c>
      <c r="E1054">
        <v>71</v>
      </c>
      <c r="F1054">
        <v>34</v>
      </c>
      <c r="G1054">
        <v>4</v>
      </c>
      <c r="H1054">
        <v>66</v>
      </c>
      <c r="I1054">
        <v>3</v>
      </c>
      <c r="J1054">
        <v>10</v>
      </c>
      <c r="K1054">
        <v>20</v>
      </c>
      <c r="L1054">
        <v>1</v>
      </c>
      <c r="M1054">
        <v>2</v>
      </c>
      <c r="N1054">
        <v>1</v>
      </c>
      <c r="O1054">
        <v>4</v>
      </c>
      <c r="P1054">
        <v>7</v>
      </c>
      <c r="Q1054">
        <v>0</v>
      </c>
      <c r="R1054">
        <v>0</v>
      </c>
      <c r="S1054">
        <v>0</v>
      </c>
      <c r="T1054">
        <v>0</v>
      </c>
      <c r="U1054">
        <v>0</v>
      </c>
      <c r="V1054">
        <f>IF(SUM(ifood_data[[#This Row],[AcceptedCmp1]:[AcceptedCmp5]])&gt;0,1,0)</f>
        <v>0</v>
      </c>
      <c r="W1054">
        <v>0</v>
      </c>
      <c r="X1054">
        <v>3</v>
      </c>
      <c r="Y1054">
        <v>11</v>
      </c>
      <c r="Z1054">
        <v>0</v>
      </c>
      <c r="AA1054">
        <v>28</v>
      </c>
      <c r="AB1054">
        <v>2532</v>
      </c>
      <c r="AC1054" s="28">
        <f>ifood_data[[#This Row],[Customer_Days]]/365</f>
        <v>6.9369863013698634</v>
      </c>
      <c r="AD1054">
        <v>0</v>
      </c>
      <c r="AE1054">
        <v>1</v>
      </c>
      <c r="AF1054">
        <v>0</v>
      </c>
      <c r="AG1054">
        <v>0</v>
      </c>
      <c r="AH1054">
        <v>0</v>
      </c>
      <c r="AI1054">
        <v>0</v>
      </c>
      <c r="AJ1054">
        <v>0</v>
      </c>
      <c r="AK1054">
        <v>1</v>
      </c>
      <c r="AL1054">
        <v>0</v>
      </c>
      <c r="AM1054">
        <v>0</v>
      </c>
      <c r="AN1054">
        <v>117</v>
      </c>
      <c r="AO1054">
        <v>97</v>
      </c>
      <c r="AP1054">
        <f>ifood_data[[#This Row],[MntTotal]]-ifood_data[[#This Row],[MntRegularProds]]</f>
        <v>20</v>
      </c>
      <c r="AQ1054">
        <v>0</v>
      </c>
      <c r="AR1054">
        <f>IF(SUM(ifood_data[[#This Row],[Kidhome]:[Teenhome]])&gt;0,1,0)</f>
        <v>0</v>
      </c>
      <c r="AS1054" t="str">
        <f>IF(SUM(ifood_data[[#This Row],[Kidhome]:[Teenhome]])&gt;0,"Has Family","No Family")</f>
        <v>No Family</v>
      </c>
      <c r="AT1054" t="str">
        <f>IF(ifood_data[[#This Row],[marital_Married]]=1,"Married", (IF(ifood_data[[#This Row],[marital_Single]]=1,"Single",(IF(ifood_data[[#This Row],[marital_Divorced]]=1,"Divorced",(IF(ifood_data[[#This Row],[marital_Together]]=1,"Living Together",(IF(ifood_data[[#This Row],[marital_Widow]]=1,"Widow","Other")))))))))</f>
        <v>Married</v>
      </c>
      <c r="AU1054" t="str">
        <f>IF(ifood_data[[#This Row],[education_Basic]]=1,"High School",(IF(ifood_data[[#This Row],[education_Graduation]]=1,"Undergraduate Degree",(IF(SUM(AM1054,AL1054,AI1054)&gt;0,"Master's Degree or Higher","Other")))))</f>
        <v>Undergraduate Degree</v>
      </c>
      <c r="AV1054" t="str">
        <f>IF(ifood_data[[#All],[Income]]&gt;75000,"75K+",(IF(ifood_data[[#All],[Income]]&gt;50000,"50K-75K",(IF(ifood_data[[#All],[Income]]&gt;35000,"35K-50K","&lt;35K")))))</f>
        <v>&lt;35K</v>
      </c>
      <c r="AW1054" t="str">
        <f>IF(ifood_data[[#All],[Age]]&gt;60,"60+",(IF(ifood_data[[#All],[Age]]&gt;50,"50-60",(IF(ifood_data[[#All],[Age]]&gt;40,"40-50",(IF(ifood_data[[#All],[Age]]&gt;30,"30-40","&lt;30")))))))</f>
        <v>&lt;30</v>
      </c>
      <c r="AX1054">
        <f t="shared" si="64"/>
        <v>15</v>
      </c>
      <c r="AY1054">
        <f t="shared" si="65"/>
        <v>3.0000000000000004</v>
      </c>
      <c r="AZ1054">
        <f t="shared" si="66"/>
        <v>2</v>
      </c>
      <c r="BA1054">
        <f t="shared" si="67"/>
        <v>3</v>
      </c>
      <c r="BB1054">
        <f>SUM(ifood_data[[#This Row],[Recency Score]:[Monetary Score]])</f>
        <v>8</v>
      </c>
      <c r="BC1054">
        <f>(_xlfn.PERCENTRANK.INC(ifood_data[[#All],[RFM]],ifood_data[[#This Row],[RFM]],1))*10</f>
        <v>1</v>
      </c>
      <c r="BD1054" t="str">
        <f>VLOOKUP(ifood_data[[#This Row],[RFM Score]],'RFM Analysis'!$A$3:$B$14,2,FALSE)</f>
        <v>At Risk</v>
      </c>
      <c r="BE1054">
        <f>'Regression Models'!$B$101+'Regression Models'!$B$102*ifood_data[[#This Row],[Income]]+'Regression Models'!$B$103*ifood_data[[#This Row],[Age]]+'Regression Models'!$B$104*ifood_data[[#This Row],[Family]]</f>
        <v>473.04606462360169</v>
      </c>
      <c r="BF1054" t="str">
        <f>IF(ifood_data[[#This Row],[AcceptedCmpOverall]]=1,"Campaign Respondent","Non-respondent")</f>
        <v>Non-respondent</v>
      </c>
    </row>
    <row r="1055" spans="1:58" x14ac:dyDescent="0.35">
      <c r="A1055">
        <v>550</v>
      </c>
      <c r="B1055">
        <v>51287</v>
      </c>
      <c r="C1055">
        <v>1</v>
      </c>
      <c r="D1055">
        <v>1</v>
      </c>
      <c r="E1055">
        <v>10</v>
      </c>
      <c r="F1055">
        <v>117</v>
      </c>
      <c r="G1055">
        <v>0</v>
      </c>
      <c r="H1055">
        <v>22</v>
      </c>
      <c r="I1055">
        <v>13</v>
      </c>
      <c r="J1055">
        <v>0</v>
      </c>
      <c r="K1055">
        <v>30</v>
      </c>
      <c r="L1055">
        <v>3</v>
      </c>
      <c r="M1055">
        <v>4</v>
      </c>
      <c r="N1055">
        <v>1</v>
      </c>
      <c r="O1055">
        <v>3</v>
      </c>
      <c r="P1055">
        <v>7</v>
      </c>
      <c r="Q1055">
        <v>0</v>
      </c>
      <c r="R1055">
        <v>0</v>
      </c>
      <c r="S1055">
        <v>0</v>
      </c>
      <c r="T1055">
        <v>0</v>
      </c>
      <c r="U1055">
        <v>0</v>
      </c>
      <c r="V1055">
        <f>IF(SUM(ifood_data[[#This Row],[AcceptedCmp1]:[AcceptedCmp5]])&gt;0,1,0)</f>
        <v>0</v>
      </c>
      <c r="W1055">
        <v>0</v>
      </c>
      <c r="X1055">
        <v>3</v>
      </c>
      <c r="Y1055">
        <v>11</v>
      </c>
      <c r="Z1055">
        <v>0</v>
      </c>
      <c r="AA1055">
        <v>52</v>
      </c>
      <c r="AB1055">
        <v>2248</v>
      </c>
      <c r="AC1055" s="28">
        <f>ifood_data[[#This Row],[Customer_Days]]/365</f>
        <v>6.1589041095890407</v>
      </c>
      <c r="AD1055">
        <v>0</v>
      </c>
      <c r="AE1055">
        <v>1</v>
      </c>
      <c r="AF1055">
        <v>0</v>
      </c>
      <c r="AG1055">
        <v>0</v>
      </c>
      <c r="AH1055">
        <v>0</v>
      </c>
      <c r="AI1055">
        <v>0</v>
      </c>
      <c r="AJ1055">
        <v>0</v>
      </c>
      <c r="AK1055">
        <v>1</v>
      </c>
      <c r="AL1055">
        <v>0</v>
      </c>
      <c r="AM1055">
        <v>0</v>
      </c>
      <c r="AN1055">
        <v>152</v>
      </c>
      <c r="AO1055">
        <v>122</v>
      </c>
      <c r="AP1055">
        <f>ifood_data[[#This Row],[MntTotal]]-ifood_data[[#This Row],[MntRegularProds]]</f>
        <v>30</v>
      </c>
      <c r="AQ1055">
        <v>0</v>
      </c>
      <c r="AR1055">
        <f>IF(SUM(ifood_data[[#This Row],[Kidhome]:[Teenhome]])&gt;0,1,0)</f>
        <v>1</v>
      </c>
      <c r="AS1055" t="str">
        <f>IF(SUM(ifood_data[[#This Row],[Kidhome]:[Teenhome]])&gt;0,"Has Family","No Family")</f>
        <v>Has Family</v>
      </c>
      <c r="AT1055" t="str">
        <f>IF(ifood_data[[#This Row],[marital_Married]]=1,"Married", (IF(ifood_data[[#This Row],[marital_Single]]=1,"Single",(IF(ifood_data[[#This Row],[marital_Divorced]]=1,"Divorced",(IF(ifood_data[[#This Row],[marital_Together]]=1,"Living Together",(IF(ifood_data[[#This Row],[marital_Widow]]=1,"Widow","Other")))))))))</f>
        <v>Married</v>
      </c>
      <c r="AU1055" t="str">
        <f>IF(ifood_data[[#This Row],[education_Basic]]=1,"High School",(IF(ifood_data[[#This Row],[education_Graduation]]=1,"Undergraduate Degree",(IF(SUM(AM1055,AL1055,AI1055)&gt;0,"Master's Degree or Higher","Other")))))</f>
        <v>Undergraduate Degree</v>
      </c>
      <c r="AV1055" t="str">
        <f>IF(ifood_data[[#All],[Income]]&gt;75000,"75K+",(IF(ifood_data[[#All],[Income]]&gt;50000,"50K-75K",(IF(ifood_data[[#All],[Income]]&gt;35000,"35K-50K","&lt;35K")))))</f>
        <v>50K-75K</v>
      </c>
      <c r="AW1055" t="str">
        <f>IF(ifood_data[[#All],[Age]]&gt;60,"60+",(IF(ifood_data[[#All],[Age]]&gt;50,"50-60",(IF(ifood_data[[#All],[Age]]&gt;40,"40-50",(IF(ifood_data[[#All],[Age]]&gt;30,"30-40","&lt;30")))))))</f>
        <v>50-60</v>
      </c>
      <c r="AX1055">
        <f t="shared" si="64"/>
        <v>18</v>
      </c>
      <c r="AY1055">
        <f t="shared" si="65"/>
        <v>9</v>
      </c>
      <c r="AZ1055">
        <f t="shared" si="66"/>
        <v>4</v>
      </c>
      <c r="BA1055">
        <f t="shared" si="67"/>
        <v>3</v>
      </c>
      <c r="BB1055">
        <f>SUM(ifood_data[[#This Row],[Recency Score]:[Monetary Score]])</f>
        <v>16</v>
      </c>
      <c r="BC1055">
        <f>(_xlfn.PERCENTRANK.INC(ifood_data[[#All],[RFM]],ifood_data[[#This Row],[RFM]],1))*10</f>
        <v>5</v>
      </c>
      <c r="BD1055" t="str">
        <f>VLOOKUP(ifood_data[[#This Row],[RFM Score]],'RFM Analysis'!$A$3:$B$14,2,FALSE)</f>
        <v>Promising</v>
      </c>
      <c r="BE1055">
        <f>'Regression Models'!$B$101+'Regression Models'!$B$102*ifood_data[[#This Row],[Income]]+'Regression Models'!$B$103*ifood_data[[#This Row],[Age]]+'Regression Models'!$B$104*ifood_data[[#This Row],[Family]]</f>
        <v>472.75503234615837</v>
      </c>
      <c r="BF1055" t="str">
        <f>IF(ifood_data[[#This Row],[AcceptedCmpOverall]]=1,"Campaign Respondent","Non-respondent")</f>
        <v>Non-respondent</v>
      </c>
    </row>
    <row r="1056" spans="1:58" x14ac:dyDescent="0.35">
      <c r="A1056">
        <v>913</v>
      </c>
      <c r="B1056">
        <v>50183</v>
      </c>
      <c r="C1056">
        <v>1</v>
      </c>
      <c r="D1056">
        <v>1</v>
      </c>
      <c r="E1056">
        <v>47</v>
      </c>
      <c r="F1056">
        <v>97</v>
      </c>
      <c r="G1056">
        <v>12</v>
      </c>
      <c r="H1056">
        <v>84</v>
      </c>
      <c r="I1056">
        <v>13</v>
      </c>
      <c r="J1056">
        <v>10</v>
      </c>
      <c r="K1056">
        <v>15</v>
      </c>
      <c r="L1056">
        <v>7</v>
      </c>
      <c r="M1056">
        <v>3</v>
      </c>
      <c r="N1056">
        <v>1</v>
      </c>
      <c r="O1056">
        <v>6</v>
      </c>
      <c r="P1056">
        <v>5</v>
      </c>
      <c r="Q1056">
        <v>0</v>
      </c>
      <c r="R1056">
        <v>0</v>
      </c>
      <c r="S1056">
        <v>0</v>
      </c>
      <c r="T1056">
        <v>0</v>
      </c>
      <c r="U1056">
        <v>0</v>
      </c>
      <c r="V1056">
        <f>IF(SUM(ifood_data[[#This Row],[AcceptedCmp1]:[AcceptedCmp5]])&gt;0,1,0)</f>
        <v>0</v>
      </c>
      <c r="W1056">
        <v>0</v>
      </c>
      <c r="X1056">
        <v>3</v>
      </c>
      <c r="Y1056">
        <v>11</v>
      </c>
      <c r="Z1056">
        <v>0</v>
      </c>
      <c r="AA1056">
        <v>40</v>
      </c>
      <c r="AB1056">
        <v>2163</v>
      </c>
      <c r="AC1056" s="28">
        <f>ifood_data[[#This Row],[Customer_Days]]/365</f>
        <v>5.9260273972602739</v>
      </c>
      <c r="AD1056">
        <v>0</v>
      </c>
      <c r="AE1056">
        <v>1</v>
      </c>
      <c r="AF1056">
        <v>0</v>
      </c>
      <c r="AG1056">
        <v>0</v>
      </c>
      <c r="AH1056">
        <v>0</v>
      </c>
      <c r="AI1056">
        <v>0</v>
      </c>
      <c r="AJ1056">
        <v>0</v>
      </c>
      <c r="AK1056">
        <v>1</v>
      </c>
      <c r="AL1056">
        <v>0</v>
      </c>
      <c r="AM1056">
        <v>0</v>
      </c>
      <c r="AN1056">
        <v>216</v>
      </c>
      <c r="AO1056">
        <v>201</v>
      </c>
      <c r="AP1056">
        <f>ifood_data[[#This Row],[MntTotal]]-ifood_data[[#This Row],[MntRegularProds]]</f>
        <v>15</v>
      </c>
      <c r="AQ1056">
        <v>0</v>
      </c>
      <c r="AR1056">
        <f>IF(SUM(ifood_data[[#This Row],[Kidhome]:[Teenhome]])&gt;0,1,0)</f>
        <v>1</v>
      </c>
      <c r="AS1056" t="str">
        <f>IF(SUM(ifood_data[[#This Row],[Kidhome]:[Teenhome]])&gt;0,"Has Family","No Family")</f>
        <v>Has Family</v>
      </c>
      <c r="AT1056" t="str">
        <f>IF(ifood_data[[#This Row],[marital_Married]]=1,"Married", (IF(ifood_data[[#This Row],[marital_Single]]=1,"Single",(IF(ifood_data[[#This Row],[marital_Divorced]]=1,"Divorced",(IF(ifood_data[[#This Row],[marital_Together]]=1,"Living Together",(IF(ifood_data[[#This Row],[marital_Widow]]=1,"Widow","Other")))))))))</f>
        <v>Married</v>
      </c>
      <c r="AU1056" t="str">
        <f>IF(ifood_data[[#This Row],[education_Basic]]=1,"High School",(IF(ifood_data[[#This Row],[education_Graduation]]=1,"Undergraduate Degree",(IF(SUM(AM1056,AL1056,AI1056)&gt;0,"Master's Degree or Higher","Other")))))</f>
        <v>Undergraduate Degree</v>
      </c>
      <c r="AV1056" t="str">
        <f>IF(ifood_data[[#All],[Income]]&gt;75000,"75K+",(IF(ifood_data[[#All],[Income]]&gt;50000,"50K-75K",(IF(ifood_data[[#All],[Income]]&gt;35000,"35K-50K","&lt;35K")))))</f>
        <v>50K-75K</v>
      </c>
      <c r="AW1056" t="str">
        <f>IF(ifood_data[[#All],[Age]]&gt;60,"60+",(IF(ifood_data[[#All],[Age]]&gt;50,"50-60",(IF(ifood_data[[#All],[Age]]&gt;40,"40-50",(IF(ifood_data[[#All],[Age]]&gt;30,"30-40","&lt;30")))))))</f>
        <v>30-40</v>
      </c>
      <c r="AX1056">
        <f t="shared" si="64"/>
        <v>22</v>
      </c>
      <c r="AY1056">
        <f t="shared" si="65"/>
        <v>6</v>
      </c>
      <c r="AZ1056">
        <f t="shared" si="66"/>
        <v>5</v>
      </c>
      <c r="BA1056">
        <f t="shared" si="67"/>
        <v>4</v>
      </c>
      <c r="BB1056">
        <f>SUM(ifood_data[[#This Row],[Recency Score]:[Monetary Score]])</f>
        <v>15</v>
      </c>
      <c r="BC1056">
        <f>(_xlfn.PERCENTRANK.INC(ifood_data[[#All],[RFM]],ifood_data[[#This Row],[RFM]],1))*10</f>
        <v>4</v>
      </c>
      <c r="BD1056" t="str">
        <f>VLOOKUP(ifood_data[[#This Row],[RFM Score]],'RFM Analysis'!$A$3:$B$14,2,FALSE)</f>
        <v>At Risk</v>
      </c>
      <c r="BE1056">
        <f>'Regression Models'!$B$101+'Regression Models'!$B$102*ifood_data[[#This Row],[Income]]+'Regression Models'!$B$103*ifood_data[[#This Row],[Age]]+'Regression Models'!$B$104*ifood_data[[#This Row],[Family]]</f>
        <v>472.28310126202518</v>
      </c>
      <c r="BF1056" t="str">
        <f>IF(ifood_data[[#This Row],[AcceptedCmpOverall]]=1,"Campaign Respondent","Non-respondent")</f>
        <v>Non-respondent</v>
      </c>
    </row>
    <row r="1057" spans="1:58" x14ac:dyDescent="0.35">
      <c r="A1057">
        <v>1308</v>
      </c>
      <c r="B1057">
        <v>51039</v>
      </c>
      <c r="C1057">
        <v>1</v>
      </c>
      <c r="D1057">
        <v>1</v>
      </c>
      <c r="E1057">
        <v>11</v>
      </c>
      <c r="F1057">
        <v>100</v>
      </c>
      <c r="G1057">
        <v>64</v>
      </c>
      <c r="H1057">
        <v>79</v>
      </c>
      <c r="I1057">
        <v>65</v>
      </c>
      <c r="J1057">
        <v>0</v>
      </c>
      <c r="K1057">
        <v>109</v>
      </c>
      <c r="L1057">
        <v>2</v>
      </c>
      <c r="M1057">
        <v>6</v>
      </c>
      <c r="N1057">
        <v>2</v>
      </c>
      <c r="O1057">
        <v>4</v>
      </c>
      <c r="P1057">
        <v>7</v>
      </c>
      <c r="Q1057">
        <v>0</v>
      </c>
      <c r="R1057">
        <v>0</v>
      </c>
      <c r="S1057">
        <v>0</v>
      </c>
      <c r="T1057">
        <v>0</v>
      </c>
      <c r="U1057">
        <v>0</v>
      </c>
      <c r="V1057">
        <f>IF(SUM(ifood_data[[#This Row],[AcceptedCmp1]:[AcceptedCmp5]])&gt;0,1,0)</f>
        <v>0</v>
      </c>
      <c r="W1057">
        <v>0</v>
      </c>
      <c r="X1057">
        <v>3</v>
      </c>
      <c r="Y1057">
        <v>11</v>
      </c>
      <c r="Z1057">
        <v>0</v>
      </c>
      <c r="AA1057">
        <v>51</v>
      </c>
      <c r="AB1057">
        <v>2725</v>
      </c>
      <c r="AC1057" s="28">
        <f>ifood_data[[#This Row],[Customer_Days]]/365</f>
        <v>7.4657534246575343</v>
      </c>
      <c r="AD1057">
        <v>0</v>
      </c>
      <c r="AE1057">
        <v>1</v>
      </c>
      <c r="AF1057">
        <v>0</v>
      </c>
      <c r="AG1057">
        <v>0</v>
      </c>
      <c r="AH1057">
        <v>0</v>
      </c>
      <c r="AI1057">
        <v>0</v>
      </c>
      <c r="AJ1057">
        <v>0</v>
      </c>
      <c r="AK1057">
        <v>0</v>
      </c>
      <c r="AL1057">
        <v>0</v>
      </c>
      <c r="AM1057">
        <v>1</v>
      </c>
      <c r="AN1057">
        <v>308</v>
      </c>
      <c r="AO1057">
        <v>199</v>
      </c>
      <c r="AP1057">
        <f>ifood_data[[#This Row],[MntTotal]]-ifood_data[[#This Row],[MntRegularProds]]</f>
        <v>109</v>
      </c>
      <c r="AQ1057">
        <v>0</v>
      </c>
      <c r="AR1057">
        <f>IF(SUM(ifood_data[[#This Row],[Kidhome]:[Teenhome]])&gt;0,1,0)</f>
        <v>1</v>
      </c>
      <c r="AS1057" t="str">
        <f>IF(SUM(ifood_data[[#This Row],[Kidhome]:[Teenhome]])&gt;0,"Has Family","No Family")</f>
        <v>Has Family</v>
      </c>
      <c r="AT1057" t="str">
        <f>IF(ifood_data[[#This Row],[marital_Married]]=1,"Married", (IF(ifood_data[[#This Row],[marital_Single]]=1,"Single",(IF(ifood_data[[#This Row],[marital_Divorced]]=1,"Divorced",(IF(ifood_data[[#This Row],[marital_Together]]=1,"Living Together",(IF(ifood_data[[#This Row],[marital_Widow]]=1,"Widow","Other")))))))))</f>
        <v>Married</v>
      </c>
      <c r="AU1057" t="str">
        <f>IF(ifood_data[[#This Row],[education_Basic]]=1,"High School",(IF(ifood_data[[#This Row],[education_Graduation]]=1,"Undergraduate Degree",(IF(SUM(AM1057,AL1057,AI1057)&gt;0,"Master's Degree or Higher","Other")))))</f>
        <v>Master's Degree or Higher</v>
      </c>
      <c r="AV1057" t="str">
        <f>IF(ifood_data[[#All],[Income]]&gt;75000,"75K+",(IF(ifood_data[[#All],[Income]]&gt;50000,"50K-75K",(IF(ifood_data[[#All],[Income]]&gt;35000,"35K-50K","&lt;35K")))))</f>
        <v>50K-75K</v>
      </c>
      <c r="AW1057" t="str">
        <f>IF(ifood_data[[#All],[Age]]&gt;60,"60+",(IF(ifood_data[[#All],[Age]]&gt;50,"50-60",(IF(ifood_data[[#All],[Age]]&gt;40,"40-50",(IF(ifood_data[[#All],[Age]]&gt;30,"30-40","&lt;30")))))))</f>
        <v>50-60</v>
      </c>
      <c r="AX1057">
        <f t="shared" si="64"/>
        <v>21</v>
      </c>
      <c r="AY1057">
        <f t="shared" si="65"/>
        <v>9</v>
      </c>
      <c r="AZ1057">
        <f t="shared" si="66"/>
        <v>5</v>
      </c>
      <c r="BA1057">
        <f t="shared" si="67"/>
        <v>4</v>
      </c>
      <c r="BB1057">
        <f>SUM(ifood_data[[#This Row],[Recency Score]:[Monetary Score]])</f>
        <v>18</v>
      </c>
      <c r="BC1057">
        <f>(_xlfn.PERCENTRANK.INC(ifood_data[[#All],[RFM]],ifood_data[[#This Row],[RFM]],1))*10</f>
        <v>6</v>
      </c>
      <c r="BD1057" t="str">
        <f>VLOOKUP(ifood_data[[#This Row],[RFM Score]],'RFM Analysis'!$A$3:$B$14,2,FALSE)</f>
        <v>Promising</v>
      </c>
      <c r="BE1057">
        <f>'Regression Models'!$B$101+'Regression Models'!$B$102*ifood_data[[#This Row],[Income]]+'Regression Models'!$B$103*ifood_data[[#This Row],[Age]]+'Regression Models'!$B$104*ifood_data[[#This Row],[Family]]</f>
        <v>469.53505692536567</v>
      </c>
      <c r="BF1057" t="str">
        <f>IF(ifood_data[[#This Row],[AcceptedCmpOverall]]=1,"Campaign Respondent","Non-respondent")</f>
        <v>Non-respondent</v>
      </c>
    </row>
    <row r="1058" spans="1:58" x14ac:dyDescent="0.35">
      <c r="A1058">
        <v>844</v>
      </c>
      <c r="B1058">
        <v>51390</v>
      </c>
      <c r="C1058">
        <v>1</v>
      </c>
      <c r="D1058">
        <v>1</v>
      </c>
      <c r="E1058">
        <v>54</v>
      </c>
      <c r="F1058">
        <v>205</v>
      </c>
      <c r="G1058">
        <v>20</v>
      </c>
      <c r="H1058">
        <v>47</v>
      </c>
      <c r="I1058">
        <v>23</v>
      </c>
      <c r="J1058">
        <v>2</v>
      </c>
      <c r="K1058">
        <v>56</v>
      </c>
      <c r="L1058">
        <v>6</v>
      </c>
      <c r="M1058">
        <v>5</v>
      </c>
      <c r="N1058">
        <v>2</v>
      </c>
      <c r="O1058">
        <v>5</v>
      </c>
      <c r="P1058">
        <v>5</v>
      </c>
      <c r="Q1058">
        <v>0</v>
      </c>
      <c r="R1058">
        <v>0</v>
      </c>
      <c r="S1058">
        <v>0</v>
      </c>
      <c r="T1058">
        <v>0</v>
      </c>
      <c r="U1058">
        <v>0</v>
      </c>
      <c r="V1058">
        <f>IF(SUM(ifood_data[[#This Row],[AcceptedCmp1]:[AcceptedCmp5]])&gt;0,1,0)</f>
        <v>0</v>
      </c>
      <c r="W1058">
        <v>0</v>
      </c>
      <c r="X1058">
        <v>3</v>
      </c>
      <c r="Y1058">
        <v>11</v>
      </c>
      <c r="Z1058">
        <v>0</v>
      </c>
      <c r="AA1058">
        <v>55</v>
      </c>
      <c r="AB1058">
        <v>2818</v>
      </c>
      <c r="AC1058" s="28">
        <f>ifood_data[[#This Row],[Customer_Days]]/365</f>
        <v>7.720547945205479</v>
      </c>
      <c r="AD1058">
        <v>0</v>
      </c>
      <c r="AE1058">
        <v>0</v>
      </c>
      <c r="AF1058">
        <v>0</v>
      </c>
      <c r="AG1058">
        <v>0</v>
      </c>
      <c r="AH1058">
        <v>1</v>
      </c>
      <c r="AI1058">
        <v>0</v>
      </c>
      <c r="AJ1058">
        <v>0</v>
      </c>
      <c r="AK1058">
        <v>0</v>
      </c>
      <c r="AL1058">
        <v>1</v>
      </c>
      <c r="AM1058">
        <v>0</v>
      </c>
      <c r="AN1058">
        <v>297</v>
      </c>
      <c r="AO1058">
        <v>241</v>
      </c>
      <c r="AP1058">
        <f>ifood_data[[#This Row],[MntTotal]]-ifood_data[[#This Row],[MntRegularProds]]</f>
        <v>56</v>
      </c>
      <c r="AQ1058">
        <v>0</v>
      </c>
      <c r="AR1058">
        <f>IF(SUM(ifood_data[[#This Row],[Kidhome]:[Teenhome]])&gt;0,1,0)</f>
        <v>1</v>
      </c>
      <c r="AS1058" t="str">
        <f>IF(SUM(ifood_data[[#This Row],[Kidhome]:[Teenhome]])&gt;0,"Has Family","No Family")</f>
        <v>Has Family</v>
      </c>
      <c r="AT1058" t="str">
        <f>IF(ifood_data[[#This Row],[marital_Married]]=1,"Married", (IF(ifood_data[[#This Row],[marital_Single]]=1,"Single",(IF(ifood_data[[#This Row],[marital_Divorced]]=1,"Divorced",(IF(ifood_data[[#This Row],[marital_Together]]=1,"Living Together",(IF(ifood_data[[#This Row],[marital_Widow]]=1,"Widow","Other")))))))))</f>
        <v>Widow</v>
      </c>
      <c r="AU1058" t="str">
        <f>IF(ifood_data[[#This Row],[education_Basic]]=1,"High School",(IF(ifood_data[[#This Row],[education_Graduation]]=1,"Undergraduate Degree",(IF(SUM(AM1058,AL1058,AI1058)&gt;0,"Master's Degree or Higher","Other")))))</f>
        <v>Master's Degree or Higher</v>
      </c>
      <c r="AV1058" t="str">
        <f>IF(ifood_data[[#All],[Income]]&gt;75000,"75K+",(IF(ifood_data[[#All],[Income]]&gt;50000,"50K-75K",(IF(ifood_data[[#All],[Income]]&gt;35000,"35K-50K","&lt;35K")))))</f>
        <v>50K-75K</v>
      </c>
      <c r="AW1058" t="str">
        <f>IF(ifood_data[[#All],[Age]]&gt;60,"60+",(IF(ifood_data[[#All],[Age]]&gt;50,"50-60",(IF(ifood_data[[#All],[Age]]&gt;40,"40-50",(IF(ifood_data[[#All],[Age]]&gt;30,"30-40","&lt;30")))))))</f>
        <v>50-60</v>
      </c>
      <c r="AX1058">
        <f t="shared" si="64"/>
        <v>23</v>
      </c>
      <c r="AY1058">
        <f t="shared" si="65"/>
        <v>5</v>
      </c>
      <c r="AZ1058">
        <f t="shared" si="66"/>
        <v>6</v>
      </c>
      <c r="BA1058">
        <f t="shared" si="67"/>
        <v>4</v>
      </c>
      <c r="BB1058">
        <f>SUM(ifood_data[[#This Row],[Recency Score]:[Monetary Score]])</f>
        <v>15</v>
      </c>
      <c r="BC1058">
        <f>(_xlfn.PERCENTRANK.INC(ifood_data[[#All],[RFM]],ifood_data[[#This Row],[RFM]],1))*10</f>
        <v>4</v>
      </c>
      <c r="BD1058" t="str">
        <f>VLOOKUP(ifood_data[[#This Row],[RFM Score]],'RFM Analysis'!$A$3:$B$14,2,FALSE)</f>
        <v>At Risk</v>
      </c>
      <c r="BE1058">
        <f>'Regression Models'!$B$101+'Regression Models'!$B$102*ifood_data[[#This Row],[Income]]+'Regression Models'!$B$103*ifood_data[[#This Row],[Age]]+'Regression Models'!$B$104*ifood_data[[#This Row],[Family]]</f>
        <v>469.34575822829709</v>
      </c>
      <c r="BF1058" t="str">
        <f>IF(ifood_data[[#This Row],[AcceptedCmpOverall]]=1,"Campaign Respondent","Non-respondent")</f>
        <v>Non-respondent</v>
      </c>
    </row>
    <row r="1059" spans="1:58" x14ac:dyDescent="0.35">
      <c r="A1059">
        <v>1892</v>
      </c>
      <c r="B1059">
        <v>51651</v>
      </c>
      <c r="C1059">
        <v>0</v>
      </c>
      <c r="D1059">
        <v>1</v>
      </c>
      <c r="E1059">
        <v>32</v>
      </c>
      <c r="F1059">
        <v>293</v>
      </c>
      <c r="G1059">
        <v>6</v>
      </c>
      <c r="H1059">
        <v>23</v>
      </c>
      <c r="I1059">
        <v>13</v>
      </c>
      <c r="J1059">
        <v>6</v>
      </c>
      <c r="K1059">
        <v>92</v>
      </c>
      <c r="L1059">
        <v>4</v>
      </c>
      <c r="M1059">
        <v>6</v>
      </c>
      <c r="N1059">
        <v>2</v>
      </c>
      <c r="O1059">
        <v>5</v>
      </c>
      <c r="P1059">
        <v>8</v>
      </c>
      <c r="Q1059">
        <v>0</v>
      </c>
      <c r="R1059">
        <v>0</v>
      </c>
      <c r="S1059">
        <v>0</v>
      </c>
      <c r="T1059">
        <v>0</v>
      </c>
      <c r="U1059">
        <v>0</v>
      </c>
      <c r="V1059">
        <f>IF(SUM(ifood_data[[#This Row],[AcceptedCmp1]:[AcceptedCmp5]])&gt;0,1,0)</f>
        <v>0</v>
      </c>
      <c r="W1059">
        <v>0</v>
      </c>
      <c r="X1059">
        <v>3</v>
      </c>
      <c r="Y1059">
        <v>11</v>
      </c>
      <c r="Z1059">
        <v>0</v>
      </c>
      <c r="AA1059">
        <v>60</v>
      </c>
      <c r="AB1059">
        <v>2758</v>
      </c>
      <c r="AC1059" s="28">
        <f>ifood_data[[#This Row],[Customer_Days]]/365</f>
        <v>7.5561643835616437</v>
      </c>
      <c r="AD1059">
        <v>0</v>
      </c>
      <c r="AE1059">
        <v>1</v>
      </c>
      <c r="AF1059">
        <v>0</v>
      </c>
      <c r="AG1059">
        <v>0</v>
      </c>
      <c r="AH1059">
        <v>0</v>
      </c>
      <c r="AI1059">
        <v>0</v>
      </c>
      <c r="AJ1059">
        <v>0</v>
      </c>
      <c r="AK1059">
        <v>1</v>
      </c>
      <c r="AL1059">
        <v>0</v>
      </c>
      <c r="AM1059">
        <v>0</v>
      </c>
      <c r="AN1059">
        <v>341</v>
      </c>
      <c r="AO1059">
        <v>249</v>
      </c>
      <c r="AP1059">
        <f>ifood_data[[#This Row],[MntTotal]]-ifood_data[[#This Row],[MntRegularProds]]</f>
        <v>92</v>
      </c>
      <c r="AQ1059">
        <v>0</v>
      </c>
      <c r="AR1059">
        <f>IF(SUM(ifood_data[[#This Row],[Kidhome]:[Teenhome]])&gt;0,1,0)</f>
        <v>1</v>
      </c>
      <c r="AS1059" t="str">
        <f>IF(SUM(ifood_data[[#This Row],[Kidhome]:[Teenhome]])&gt;0,"Has Family","No Family")</f>
        <v>Has Family</v>
      </c>
      <c r="AT1059" t="str">
        <f>IF(ifood_data[[#This Row],[marital_Married]]=1,"Married", (IF(ifood_data[[#This Row],[marital_Single]]=1,"Single",(IF(ifood_data[[#This Row],[marital_Divorced]]=1,"Divorced",(IF(ifood_data[[#This Row],[marital_Together]]=1,"Living Together",(IF(ifood_data[[#This Row],[marital_Widow]]=1,"Widow","Other")))))))))</f>
        <v>Married</v>
      </c>
      <c r="AU1059" t="str">
        <f>IF(ifood_data[[#This Row],[education_Basic]]=1,"High School",(IF(ifood_data[[#This Row],[education_Graduation]]=1,"Undergraduate Degree",(IF(SUM(AM1059,AL1059,AI1059)&gt;0,"Master's Degree or Higher","Other")))))</f>
        <v>Undergraduate Degree</v>
      </c>
      <c r="AV1059" t="str">
        <f>IF(ifood_data[[#All],[Income]]&gt;75000,"75K+",(IF(ifood_data[[#All],[Income]]&gt;50000,"50K-75K",(IF(ifood_data[[#All],[Income]]&gt;35000,"35K-50K","&lt;35K")))))</f>
        <v>50K-75K</v>
      </c>
      <c r="AW1059" t="str">
        <f>IF(ifood_data[[#All],[Age]]&gt;60,"60+",(IF(ifood_data[[#All],[Age]]&gt;50,"50-60",(IF(ifood_data[[#All],[Age]]&gt;40,"40-50",(IF(ifood_data[[#All],[Age]]&gt;30,"30-40","&lt;30")))))))</f>
        <v>50-60</v>
      </c>
      <c r="AX1059">
        <f t="shared" si="64"/>
        <v>25</v>
      </c>
      <c r="AY1059">
        <f t="shared" si="65"/>
        <v>7</v>
      </c>
      <c r="AZ1059">
        <f t="shared" si="66"/>
        <v>7</v>
      </c>
      <c r="BA1059">
        <f t="shared" si="67"/>
        <v>4</v>
      </c>
      <c r="BB1059">
        <f>SUM(ifood_data[[#This Row],[Recency Score]:[Monetary Score]])</f>
        <v>18</v>
      </c>
      <c r="BC1059">
        <f>(_xlfn.PERCENTRANK.INC(ifood_data[[#All],[RFM]],ifood_data[[#This Row],[RFM]],1))*10</f>
        <v>6</v>
      </c>
      <c r="BD1059" t="str">
        <f>VLOOKUP(ifood_data[[#This Row],[RFM Score]],'RFM Analysis'!$A$3:$B$14,2,FALSE)</f>
        <v>Promising</v>
      </c>
      <c r="BE1059">
        <f>'Regression Models'!$B$101+'Regression Models'!$B$102*ifood_data[[#This Row],[Income]]+'Regression Models'!$B$103*ifood_data[[#This Row],[Age]]+'Regression Models'!$B$104*ifood_data[[#This Row],[Family]]</f>
        <v>465.48503131938321</v>
      </c>
      <c r="BF1059" t="str">
        <f>IF(ifood_data[[#This Row],[AcceptedCmpOverall]]=1,"Campaign Respondent","Non-respondent")</f>
        <v>Non-respondent</v>
      </c>
    </row>
    <row r="1060" spans="1:58" x14ac:dyDescent="0.35">
      <c r="A1060">
        <v>1228</v>
      </c>
      <c r="B1060">
        <v>50200</v>
      </c>
      <c r="C1060">
        <v>1</v>
      </c>
      <c r="D1060">
        <v>1</v>
      </c>
      <c r="E1060">
        <v>70</v>
      </c>
      <c r="F1060">
        <v>266</v>
      </c>
      <c r="G1060">
        <v>6</v>
      </c>
      <c r="H1060">
        <v>51</v>
      </c>
      <c r="I1060">
        <v>8</v>
      </c>
      <c r="J1060">
        <v>6</v>
      </c>
      <c r="K1060">
        <v>64</v>
      </c>
      <c r="L1060">
        <v>6</v>
      </c>
      <c r="M1060">
        <v>7</v>
      </c>
      <c r="N1060">
        <v>1</v>
      </c>
      <c r="O1060">
        <v>5</v>
      </c>
      <c r="P1060">
        <v>8</v>
      </c>
      <c r="Q1060">
        <v>0</v>
      </c>
      <c r="R1060">
        <v>0</v>
      </c>
      <c r="S1060">
        <v>0</v>
      </c>
      <c r="T1060">
        <v>0</v>
      </c>
      <c r="U1060">
        <v>0</v>
      </c>
      <c r="V1060">
        <f>IF(SUM(ifood_data[[#This Row],[AcceptedCmp1]:[AcceptedCmp5]])&gt;0,1,0)</f>
        <v>0</v>
      </c>
      <c r="W1060">
        <v>0</v>
      </c>
      <c r="X1060">
        <v>3</v>
      </c>
      <c r="Y1060">
        <v>11</v>
      </c>
      <c r="Z1060">
        <v>0</v>
      </c>
      <c r="AA1060">
        <v>44</v>
      </c>
      <c r="AB1060">
        <v>2611</v>
      </c>
      <c r="AC1060" s="28">
        <f>ifood_data[[#This Row],[Customer_Days]]/365</f>
        <v>7.1534246575342468</v>
      </c>
      <c r="AD1060">
        <v>0</v>
      </c>
      <c r="AE1060">
        <v>0</v>
      </c>
      <c r="AF1060">
        <v>0</v>
      </c>
      <c r="AG1060">
        <v>1</v>
      </c>
      <c r="AH1060">
        <v>0</v>
      </c>
      <c r="AI1060">
        <v>0</v>
      </c>
      <c r="AJ1060">
        <v>0</v>
      </c>
      <c r="AK1060">
        <v>1</v>
      </c>
      <c r="AL1060">
        <v>0</v>
      </c>
      <c r="AM1060">
        <v>0</v>
      </c>
      <c r="AN1060">
        <v>337</v>
      </c>
      <c r="AO1060">
        <v>273</v>
      </c>
      <c r="AP1060">
        <f>ifood_data[[#This Row],[MntTotal]]-ifood_data[[#This Row],[MntRegularProds]]</f>
        <v>64</v>
      </c>
      <c r="AQ1060">
        <v>0</v>
      </c>
      <c r="AR1060">
        <f>IF(SUM(ifood_data[[#This Row],[Kidhome]:[Teenhome]])&gt;0,1,0)</f>
        <v>1</v>
      </c>
      <c r="AS1060" t="str">
        <f>IF(SUM(ifood_data[[#This Row],[Kidhome]:[Teenhome]])&gt;0,"Has Family","No Family")</f>
        <v>Has Family</v>
      </c>
      <c r="AT1060" t="str">
        <f>IF(ifood_data[[#This Row],[marital_Married]]=1,"Married", (IF(ifood_data[[#This Row],[marital_Single]]=1,"Single",(IF(ifood_data[[#This Row],[marital_Divorced]]=1,"Divorced",(IF(ifood_data[[#This Row],[marital_Together]]=1,"Living Together",(IF(ifood_data[[#This Row],[marital_Widow]]=1,"Widow","Other")))))))))</f>
        <v>Living Together</v>
      </c>
      <c r="AU1060" t="str">
        <f>IF(ifood_data[[#This Row],[education_Basic]]=1,"High School",(IF(ifood_data[[#This Row],[education_Graduation]]=1,"Undergraduate Degree",(IF(SUM(AM1060,AL1060,AI1060)&gt;0,"Master's Degree or Higher","Other")))))</f>
        <v>Undergraduate Degree</v>
      </c>
      <c r="AV1060" t="str">
        <f>IF(ifood_data[[#All],[Income]]&gt;75000,"75K+",(IF(ifood_data[[#All],[Income]]&gt;50000,"50K-75K",(IF(ifood_data[[#All],[Income]]&gt;35000,"35K-50K","&lt;35K")))))</f>
        <v>50K-75K</v>
      </c>
      <c r="AW1060" t="str">
        <f>IF(ifood_data[[#All],[Age]]&gt;60,"60+",(IF(ifood_data[[#All],[Age]]&gt;50,"50-60",(IF(ifood_data[[#All],[Age]]&gt;40,"40-50",(IF(ifood_data[[#All],[Age]]&gt;30,"30-40","&lt;30")))))))</f>
        <v>40-50</v>
      </c>
      <c r="AX1060">
        <f t="shared" si="64"/>
        <v>27</v>
      </c>
      <c r="AY1060">
        <f t="shared" si="65"/>
        <v>3.0000000000000004</v>
      </c>
      <c r="AZ1060">
        <f t="shared" si="66"/>
        <v>7</v>
      </c>
      <c r="BA1060">
        <f t="shared" si="67"/>
        <v>4</v>
      </c>
      <c r="BB1060">
        <f>SUM(ifood_data[[#This Row],[Recency Score]:[Monetary Score]])</f>
        <v>14</v>
      </c>
      <c r="BC1060">
        <f>(_xlfn.PERCENTRANK.INC(ifood_data[[#All],[RFM]],ifood_data[[#This Row],[RFM]],1))*10</f>
        <v>4</v>
      </c>
      <c r="BD1060" t="str">
        <f>VLOOKUP(ifood_data[[#This Row],[RFM Score]],'RFM Analysis'!$A$3:$B$14,2,FALSE)</f>
        <v>At Risk</v>
      </c>
      <c r="BE1060">
        <f>'Regression Models'!$B$101+'Regression Models'!$B$102*ifood_data[[#This Row],[Income]]+'Regression Models'!$B$103*ifood_data[[#This Row],[Age]]+'Regression Models'!$B$104*ifood_data[[#This Row],[Family]]</f>
        <v>465.28395400489444</v>
      </c>
      <c r="BF1060" t="str">
        <f>IF(ifood_data[[#This Row],[AcceptedCmpOverall]]=1,"Campaign Respondent","Non-respondent")</f>
        <v>Non-respondent</v>
      </c>
    </row>
    <row r="1061" spans="1:58" x14ac:dyDescent="0.35">
      <c r="A1061">
        <v>1527</v>
      </c>
      <c r="B1061">
        <v>50334</v>
      </c>
      <c r="C1061">
        <v>0</v>
      </c>
      <c r="D1061">
        <v>1</v>
      </c>
      <c r="E1061">
        <v>24</v>
      </c>
      <c r="F1061">
        <v>284</v>
      </c>
      <c r="G1061">
        <v>16</v>
      </c>
      <c r="H1061">
        <v>160</v>
      </c>
      <c r="I1061">
        <v>84</v>
      </c>
      <c r="J1061">
        <v>16</v>
      </c>
      <c r="K1061">
        <v>134</v>
      </c>
      <c r="L1061">
        <v>6</v>
      </c>
      <c r="M1061">
        <v>7</v>
      </c>
      <c r="N1061">
        <v>4</v>
      </c>
      <c r="O1061">
        <v>6</v>
      </c>
      <c r="P1061">
        <v>6</v>
      </c>
      <c r="Q1061">
        <v>0</v>
      </c>
      <c r="R1061">
        <v>0</v>
      </c>
      <c r="S1061">
        <v>0</v>
      </c>
      <c r="T1061">
        <v>0</v>
      </c>
      <c r="U1061">
        <v>0</v>
      </c>
      <c r="V1061">
        <f>IF(SUM(ifood_data[[#This Row],[AcceptedCmp1]:[AcceptedCmp5]])&gt;0,1,0)</f>
        <v>0</v>
      </c>
      <c r="W1061">
        <v>0</v>
      </c>
      <c r="X1061">
        <v>3</v>
      </c>
      <c r="Y1061">
        <v>11</v>
      </c>
      <c r="Z1061">
        <v>0</v>
      </c>
      <c r="AA1061">
        <v>48</v>
      </c>
      <c r="AB1061">
        <v>2499</v>
      </c>
      <c r="AC1061" s="28">
        <f>ifood_data[[#This Row],[Customer_Days]]/365</f>
        <v>6.8465753424657532</v>
      </c>
      <c r="AD1061">
        <v>0</v>
      </c>
      <c r="AE1061">
        <v>0</v>
      </c>
      <c r="AF1061">
        <v>0</v>
      </c>
      <c r="AG1061">
        <v>1</v>
      </c>
      <c r="AH1061">
        <v>0</v>
      </c>
      <c r="AI1061">
        <v>1</v>
      </c>
      <c r="AJ1061">
        <v>0</v>
      </c>
      <c r="AK1061">
        <v>0</v>
      </c>
      <c r="AL1061">
        <v>0</v>
      </c>
      <c r="AM1061">
        <v>0</v>
      </c>
      <c r="AN1061">
        <v>560</v>
      </c>
      <c r="AO1061">
        <v>426</v>
      </c>
      <c r="AP1061">
        <f>ifood_data[[#This Row],[MntTotal]]-ifood_data[[#This Row],[MntRegularProds]]</f>
        <v>134</v>
      </c>
      <c r="AQ1061">
        <v>0</v>
      </c>
      <c r="AR1061">
        <f>IF(SUM(ifood_data[[#This Row],[Kidhome]:[Teenhome]])&gt;0,1,0)</f>
        <v>1</v>
      </c>
      <c r="AS1061" t="str">
        <f>IF(SUM(ifood_data[[#This Row],[Kidhome]:[Teenhome]])&gt;0,"Has Family","No Family")</f>
        <v>Has Family</v>
      </c>
      <c r="AT1061" t="str">
        <f>IF(ifood_data[[#This Row],[marital_Married]]=1,"Married", (IF(ifood_data[[#This Row],[marital_Single]]=1,"Single",(IF(ifood_data[[#This Row],[marital_Divorced]]=1,"Divorced",(IF(ifood_data[[#This Row],[marital_Together]]=1,"Living Together",(IF(ifood_data[[#This Row],[marital_Widow]]=1,"Widow","Other")))))))))</f>
        <v>Living Together</v>
      </c>
      <c r="AU1061" t="str">
        <f>IF(ifood_data[[#This Row],[education_Basic]]=1,"High School",(IF(ifood_data[[#This Row],[education_Graduation]]=1,"Undergraduate Degree",(IF(SUM(AM1061,AL1061,AI1061)&gt;0,"Master's Degree or Higher","Other")))))</f>
        <v>Master's Degree or Higher</v>
      </c>
      <c r="AV1061" t="str">
        <f>IF(ifood_data[[#All],[Income]]&gt;75000,"75K+",(IF(ifood_data[[#All],[Income]]&gt;50000,"50K-75K",(IF(ifood_data[[#All],[Income]]&gt;35000,"35K-50K","&lt;35K")))))</f>
        <v>50K-75K</v>
      </c>
      <c r="AW1061" t="str">
        <f>IF(ifood_data[[#All],[Age]]&gt;60,"60+",(IF(ifood_data[[#All],[Age]]&gt;50,"50-60",(IF(ifood_data[[#All],[Age]]&gt;40,"40-50",(IF(ifood_data[[#All],[Age]]&gt;30,"30-40","&lt;30")))))))</f>
        <v>40-50</v>
      </c>
      <c r="AX1061">
        <f t="shared" si="64"/>
        <v>29</v>
      </c>
      <c r="AY1061">
        <f t="shared" si="65"/>
        <v>8</v>
      </c>
      <c r="AZ1061">
        <f t="shared" si="66"/>
        <v>8</v>
      </c>
      <c r="BA1061">
        <f t="shared" si="67"/>
        <v>5</v>
      </c>
      <c r="BB1061">
        <f>SUM(ifood_data[[#This Row],[Recency Score]:[Monetary Score]])</f>
        <v>21</v>
      </c>
      <c r="BC1061">
        <f>(_xlfn.PERCENTRANK.INC(ifood_data[[#All],[RFM]],ifood_data[[#This Row],[RFM]],1))*10</f>
        <v>8</v>
      </c>
      <c r="BD1061" t="str">
        <f>VLOOKUP(ifood_data[[#This Row],[RFM Score]],'RFM Analysis'!$A$3:$B$14,2,FALSE)</f>
        <v>Loyal Customer</v>
      </c>
      <c r="BE1061">
        <f>'Regression Models'!$B$101+'Regression Models'!$B$102*ifood_data[[#This Row],[Income]]+'Regression Models'!$B$103*ifood_data[[#This Row],[Age]]+'Regression Models'!$B$104*ifood_data[[#This Row],[Family]]</f>
        <v>460.67029262059975</v>
      </c>
      <c r="BF1061" t="str">
        <f>IF(ifood_data[[#This Row],[AcceptedCmpOverall]]=1,"Campaign Respondent","Non-respondent")</f>
        <v>Non-respondent</v>
      </c>
    </row>
    <row r="1062" spans="1:58" x14ac:dyDescent="0.35">
      <c r="A1062">
        <v>841</v>
      </c>
      <c r="B1062">
        <v>51195</v>
      </c>
      <c r="C1062">
        <v>1</v>
      </c>
      <c r="D1062">
        <v>1</v>
      </c>
      <c r="E1062">
        <v>46</v>
      </c>
      <c r="F1062">
        <v>230</v>
      </c>
      <c r="G1062">
        <v>14</v>
      </c>
      <c r="H1062">
        <v>156</v>
      </c>
      <c r="I1062">
        <v>82</v>
      </c>
      <c r="J1062">
        <v>24</v>
      </c>
      <c r="K1062">
        <v>58</v>
      </c>
      <c r="L1062">
        <v>8</v>
      </c>
      <c r="M1062">
        <v>9</v>
      </c>
      <c r="N1062">
        <v>2</v>
      </c>
      <c r="O1062">
        <v>5</v>
      </c>
      <c r="P1062">
        <v>8</v>
      </c>
      <c r="Q1062">
        <v>0</v>
      </c>
      <c r="R1062">
        <v>0</v>
      </c>
      <c r="S1062">
        <v>0</v>
      </c>
      <c r="T1062">
        <v>0</v>
      </c>
      <c r="U1062">
        <v>0</v>
      </c>
      <c r="V1062">
        <f>IF(SUM(ifood_data[[#This Row],[AcceptedCmp1]:[AcceptedCmp5]])&gt;0,1,0)</f>
        <v>0</v>
      </c>
      <c r="W1062">
        <v>0</v>
      </c>
      <c r="X1062">
        <v>3</v>
      </c>
      <c r="Y1062">
        <v>11</v>
      </c>
      <c r="Z1062">
        <v>0</v>
      </c>
      <c r="AA1062">
        <v>58</v>
      </c>
      <c r="AB1062">
        <v>2613</v>
      </c>
      <c r="AC1062" s="28">
        <f>ifood_data[[#This Row],[Customer_Days]]/365</f>
        <v>7.1589041095890407</v>
      </c>
      <c r="AD1062">
        <v>0</v>
      </c>
      <c r="AE1062">
        <v>0</v>
      </c>
      <c r="AF1062">
        <v>0</v>
      </c>
      <c r="AG1062">
        <v>1</v>
      </c>
      <c r="AH1062">
        <v>0</v>
      </c>
      <c r="AI1062">
        <v>0</v>
      </c>
      <c r="AJ1062">
        <v>0</v>
      </c>
      <c r="AK1062">
        <v>1</v>
      </c>
      <c r="AL1062">
        <v>0</v>
      </c>
      <c r="AM1062">
        <v>0</v>
      </c>
      <c r="AN1062">
        <v>506</v>
      </c>
      <c r="AO1062">
        <v>448</v>
      </c>
      <c r="AP1062">
        <f>ifood_data[[#This Row],[MntTotal]]-ifood_data[[#This Row],[MntRegularProds]]</f>
        <v>58</v>
      </c>
      <c r="AQ1062">
        <v>0</v>
      </c>
      <c r="AR1062">
        <f>IF(SUM(ifood_data[[#This Row],[Kidhome]:[Teenhome]])&gt;0,1,0)</f>
        <v>1</v>
      </c>
      <c r="AS1062" t="str">
        <f>IF(SUM(ifood_data[[#This Row],[Kidhome]:[Teenhome]])&gt;0,"Has Family","No Family")</f>
        <v>Has Family</v>
      </c>
      <c r="AT1062" t="str">
        <f>IF(ifood_data[[#This Row],[marital_Married]]=1,"Married", (IF(ifood_data[[#This Row],[marital_Single]]=1,"Single",(IF(ifood_data[[#This Row],[marital_Divorced]]=1,"Divorced",(IF(ifood_data[[#This Row],[marital_Together]]=1,"Living Together",(IF(ifood_data[[#This Row],[marital_Widow]]=1,"Widow","Other")))))))))</f>
        <v>Living Together</v>
      </c>
      <c r="AU1062" t="str">
        <f>IF(ifood_data[[#This Row],[education_Basic]]=1,"High School",(IF(ifood_data[[#This Row],[education_Graduation]]=1,"Undergraduate Degree",(IF(SUM(AM1062,AL1062,AI1062)&gt;0,"Master's Degree or Higher","Other")))))</f>
        <v>Undergraduate Degree</v>
      </c>
      <c r="AV1062" t="str">
        <f>IF(ifood_data[[#All],[Income]]&gt;75000,"75K+",(IF(ifood_data[[#All],[Income]]&gt;50000,"50K-75K",(IF(ifood_data[[#All],[Income]]&gt;35000,"35K-50K","&lt;35K")))))</f>
        <v>50K-75K</v>
      </c>
      <c r="AW1062" t="str">
        <f>IF(ifood_data[[#All],[Age]]&gt;60,"60+",(IF(ifood_data[[#All],[Age]]&gt;50,"50-60",(IF(ifood_data[[#All],[Age]]&gt;40,"40-50",(IF(ifood_data[[#All],[Age]]&gt;30,"30-40","&lt;30")))))))</f>
        <v>50-60</v>
      </c>
      <c r="AX1062">
        <f t="shared" si="64"/>
        <v>32</v>
      </c>
      <c r="AY1062">
        <f t="shared" si="65"/>
        <v>6</v>
      </c>
      <c r="AZ1062">
        <f t="shared" si="66"/>
        <v>9</v>
      </c>
      <c r="BA1062">
        <f t="shared" si="67"/>
        <v>5</v>
      </c>
      <c r="BB1062">
        <f>SUM(ifood_data[[#This Row],[Recency Score]:[Monetary Score]])</f>
        <v>20</v>
      </c>
      <c r="BC1062">
        <f>(_xlfn.PERCENTRANK.INC(ifood_data[[#All],[RFM]],ifood_data[[#This Row],[RFM]],1))*10</f>
        <v>7</v>
      </c>
      <c r="BD1062" t="str">
        <f>VLOOKUP(ifood_data[[#This Row],[RFM Score]],'RFM Analysis'!$A$3:$B$14,2,FALSE)</f>
        <v>Loyal Customer</v>
      </c>
      <c r="BE1062">
        <f>'Regression Models'!$B$101+'Regression Models'!$B$102*ifood_data[[#This Row],[Income]]+'Regression Models'!$B$103*ifood_data[[#This Row],[Age]]+'Regression Models'!$B$104*ifood_data[[#This Row],[Family]]</f>
        <v>459.86063120355391</v>
      </c>
      <c r="BF1062" t="str">
        <f>IF(ifood_data[[#This Row],[AcceptedCmpOverall]]=1,"Campaign Respondent","Non-respondent")</f>
        <v>Non-respondent</v>
      </c>
    </row>
    <row r="1063" spans="1:58" x14ac:dyDescent="0.35">
      <c r="A1063">
        <v>160</v>
      </c>
      <c r="B1063">
        <v>50447</v>
      </c>
      <c r="C1063">
        <v>2</v>
      </c>
      <c r="D1063">
        <v>0</v>
      </c>
      <c r="E1063">
        <v>4</v>
      </c>
      <c r="F1063">
        <v>85</v>
      </c>
      <c r="G1063">
        <v>7</v>
      </c>
      <c r="H1063">
        <v>24</v>
      </c>
      <c r="I1063">
        <v>2</v>
      </c>
      <c r="J1063">
        <v>3</v>
      </c>
      <c r="K1063">
        <v>27</v>
      </c>
      <c r="L1063">
        <v>1</v>
      </c>
      <c r="M1063">
        <v>3</v>
      </c>
      <c r="N1063">
        <v>1</v>
      </c>
      <c r="O1063">
        <v>3</v>
      </c>
      <c r="P1063">
        <v>6</v>
      </c>
      <c r="Q1063">
        <v>0</v>
      </c>
      <c r="R1063">
        <v>0</v>
      </c>
      <c r="S1063">
        <v>0</v>
      </c>
      <c r="T1063">
        <v>0</v>
      </c>
      <c r="U1063">
        <v>0</v>
      </c>
      <c r="V1063">
        <f>IF(SUM(ifood_data[[#This Row],[AcceptedCmp1]:[AcceptedCmp5]])&gt;0,1,0)</f>
        <v>0</v>
      </c>
      <c r="W1063">
        <v>0</v>
      </c>
      <c r="X1063">
        <v>3</v>
      </c>
      <c r="Y1063">
        <v>11</v>
      </c>
      <c r="Z1063">
        <v>0</v>
      </c>
      <c r="AA1063">
        <v>50</v>
      </c>
      <c r="AB1063">
        <v>2228</v>
      </c>
      <c r="AC1063" s="28">
        <f>ifood_data[[#This Row],[Customer_Days]]/365</f>
        <v>6.1041095890410961</v>
      </c>
      <c r="AD1063">
        <v>0</v>
      </c>
      <c r="AE1063">
        <v>1</v>
      </c>
      <c r="AF1063">
        <v>0</v>
      </c>
      <c r="AG1063">
        <v>0</v>
      </c>
      <c r="AH1063">
        <v>0</v>
      </c>
      <c r="AI1063">
        <v>0</v>
      </c>
      <c r="AJ1063">
        <v>0</v>
      </c>
      <c r="AK1063">
        <v>1</v>
      </c>
      <c r="AL1063">
        <v>0</v>
      </c>
      <c r="AM1063">
        <v>0</v>
      </c>
      <c r="AN1063">
        <v>121</v>
      </c>
      <c r="AO1063">
        <v>94</v>
      </c>
      <c r="AP1063">
        <f>ifood_data[[#This Row],[MntTotal]]-ifood_data[[#This Row],[MntRegularProds]]</f>
        <v>27</v>
      </c>
      <c r="AQ1063">
        <v>0</v>
      </c>
      <c r="AR1063">
        <f>IF(SUM(ifood_data[[#This Row],[Kidhome]:[Teenhome]])&gt;0,1,0)</f>
        <v>1</v>
      </c>
      <c r="AS1063" t="str">
        <f>IF(SUM(ifood_data[[#This Row],[Kidhome]:[Teenhome]])&gt;0,"Has Family","No Family")</f>
        <v>Has Family</v>
      </c>
      <c r="AT1063" t="str">
        <f>IF(ifood_data[[#This Row],[marital_Married]]=1,"Married", (IF(ifood_data[[#This Row],[marital_Single]]=1,"Single",(IF(ifood_data[[#This Row],[marital_Divorced]]=1,"Divorced",(IF(ifood_data[[#This Row],[marital_Together]]=1,"Living Together",(IF(ifood_data[[#This Row],[marital_Widow]]=1,"Widow","Other")))))))))</f>
        <v>Married</v>
      </c>
      <c r="AU1063" t="str">
        <f>IF(ifood_data[[#This Row],[education_Basic]]=1,"High School",(IF(ifood_data[[#This Row],[education_Graduation]]=1,"Undergraduate Degree",(IF(SUM(AM1063,AL1063,AI1063)&gt;0,"Master's Degree or Higher","Other")))))</f>
        <v>Undergraduate Degree</v>
      </c>
      <c r="AV1063" t="str">
        <f>IF(ifood_data[[#All],[Income]]&gt;75000,"75K+",(IF(ifood_data[[#All],[Income]]&gt;50000,"50K-75K",(IF(ifood_data[[#All],[Income]]&gt;35000,"35K-50K","&lt;35K")))))</f>
        <v>50K-75K</v>
      </c>
      <c r="AW1063" t="str">
        <f>IF(ifood_data[[#All],[Age]]&gt;60,"60+",(IF(ifood_data[[#All],[Age]]&gt;50,"50-60",(IF(ifood_data[[#All],[Age]]&gt;40,"40-50",(IF(ifood_data[[#All],[Age]]&gt;30,"30-40","&lt;30")))))))</f>
        <v>40-50</v>
      </c>
      <c r="AX1063">
        <f t="shared" si="64"/>
        <v>14</v>
      </c>
      <c r="AY1063">
        <f t="shared" si="65"/>
        <v>10</v>
      </c>
      <c r="AZ1063">
        <f t="shared" si="66"/>
        <v>2</v>
      </c>
      <c r="BA1063">
        <f t="shared" si="67"/>
        <v>3</v>
      </c>
      <c r="BB1063">
        <f>SUM(ifood_data[[#This Row],[Recency Score]:[Monetary Score]])</f>
        <v>15</v>
      </c>
      <c r="BC1063">
        <f>(_xlfn.PERCENTRANK.INC(ifood_data[[#All],[RFM]],ifood_data[[#This Row],[RFM]],1))*10</f>
        <v>4</v>
      </c>
      <c r="BD1063" t="str">
        <f>VLOOKUP(ifood_data[[#This Row],[RFM Score]],'RFM Analysis'!$A$3:$B$14,2,FALSE)</f>
        <v>At Risk</v>
      </c>
      <c r="BE1063">
        <f>'Regression Models'!$B$101+'Regression Models'!$B$102*ifood_data[[#This Row],[Income]]+'Regression Models'!$B$103*ifood_data[[#This Row],[Age]]+'Regression Models'!$B$104*ifood_data[[#This Row],[Family]]</f>
        <v>459.30134526307177</v>
      </c>
      <c r="BF1063" t="str">
        <f>IF(ifood_data[[#This Row],[AcceptedCmpOverall]]=1,"Campaign Respondent","Non-respondent")</f>
        <v>Non-respondent</v>
      </c>
    </row>
    <row r="1064" spans="1:58" x14ac:dyDescent="0.35">
      <c r="A1064">
        <v>710</v>
      </c>
      <c r="B1064">
        <v>51518</v>
      </c>
      <c r="C1064">
        <v>0</v>
      </c>
      <c r="D1064">
        <v>1</v>
      </c>
      <c r="E1064">
        <v>92</v>
      </c>
      <c r="F1064">
        <v>350</v>
      </c>
      <c r="G1064">
        <v>8</v>
      </c>
      <c r="H1064">
        <v>66</v>
      </c>
      <c r="I1064">
        <v>17</v>
      </c>
      <c r="J1064">
        <v>4</v>
      </c>
      <c r="K1064">
        <v>4</v>
      </c>
      <c r="L1064">
        <v>2</v>
      </c>
      <c r="M1064">
        <v>3</v>
      </c>
      <c r="N1064">
        <v>2</v>
      </c>
      <c r="O1064">
        <v>10</v>
      </c>
      <c r="P1064">
        <v>3</v>
      </c>
      <c r="Q1064">
        <v>0</v>
      </c>
      <c r="R1064">
        <v>0</v>
      </c>
      <c r="S1064">
        <v>0</v>
      </c>
      <c r="T1064">
        <v>0</v>
      </c>
      <c r="U1064">
        <v>0</v>
      </c>
      <c r="V1064">
        <f>IF(SUM(ifood_data[[#This Row],[AcceptedCmp1]:[AcceptedCmp5]])&gt;0,1,0)</f>
        <v>0</v>
      </c>
      <c r="W1064">
        <v>0</v>
      </c>
      <c r="X1064">
        <v>3</v>
      </c>
      <c r="Y1064">
        <v>11</v>
      </c>
      <c r="Z1064">
        <v>0</v>
      </c>
      <c r="AA1064">
        <v>62</v>
      </c>
      <c r="AB1064">
        <v>2428</v>
      </c>
      <c r="AC1064" s="28">
        <f>ifood_data[[#This Row],[Customer_Days]]/365</f>
        <v>6.6520547945205477</v>
      </c>
      <c r="AD1064">
        <v>0</v>
      </c>
      <c r="AE1064">
        <v>0</v>
      </c>
      <c r="AF1064">
        <v>0</v>
      </c>
      <c r="AG1064">
        <v>1</v>
      </c>
      <c r="AH1064">
        <v>0</v>
      </c>
      <c r="AI1064">
        <v>0</v>
      </c>
      <c r="AJ1064">
        <v>0</v>
      </c>
      <c r="AK1064">
        <v>0</v>
      </c>
      <c r="AL1064">
        <v>0</v>
      </c>
      <c r="AM1064">
        <v>1</v>
      </c>
      <c r="AN1064">
        <v>445</v>
      </c>
      <c r="AO1064">
        <v>441</v>
      </c>
      <c r="AP1064">
        <f>ifood_data[[#This Row],[MntTotal]]-ifood_data[[#This Row],[MntRegularProds]]</f>
        <v>4</v>
      </c>
      <c r="AQ1064">
        <v>0</v>
      </c>
      <c r="AR1064">
        <f>IF(SUM(ifood_data[[#This Row],[Kidhome]:[Teenhome]])&gt;0,1,0)</f>
        <v>1</v>
      </c>
      <c r="AS1064" t="str">
        <f>IF(SUM(ifood_data[[#This Row],[Kidhome]:[Teenhome]])&gt;0,"Has Family","No Family")</f>
        <v>Has Family</v>
      </c>
      <c r="AT1064" t="str">
        <f>IF(ifood_data[[#This Row],[marital_Married]]=1,"Married", (IF(ifood_data[[#This Row],[marital_Single]]=1,"Single",(IF(ifood_data[[#This Row],[marital_Divorced]]=1,"Divorced",(IF(ifood_data[[#This Row],[marital_Together]]=1,"Living Together",(IF(ifood_data[[#This Row],[marital_Widow]]=1,"Widow","Other")))))))))</f>
        <v>Living Together</v>
      </c>
      <c r="AU1064" t="str">
        <f>IF(ifood_data[[#This Row],[education_Basic]]=1,"High School",(IF(ifood_data[[#This Row],[education_Graduation]]=1,"Undergraduate Degree",(IF(SUM(AM1064,AL1064,AI1064)&gt;0,"Master's Degree or Higher","Other")))))</f>
        <v>Master's Degree or Higher</v>
      </c>
      <c r="AV1064" t="str">
        <f>IF(ifood_data[[#All],[Income]]&gt;75000,"75K+",(IF(ifood_data[[#All],[Income]]&gt;50000,"50K-75K",(IF(ifood_data[[#All],[Income]]&gt;35000,"35K-50K","&lt;35K")))))</f>
        <v>50K-75K</v>
      </c>
      <c r="AW1064" t="str">
        <f>IF(ifood_data[[#All],[Age]]&gt;60,"60+",(IF(ifood_data[[#All],[Age]]&gt;50,"50-60",(IF(ifood_data[[#All],[Age]]&gt;40,"40-50",(IF(ifood_data[[#All],[Age]]&gt;30,"30-40","&lt;30")))))))</f>
        <v>60+</v>
      </c>
      <c r="AX1064">
        <f t="shared" si="64"/>
        <v>20</v>
      </c>
      <c r="AY1064">
        <f t="shared" si="65"/>
        <v>0.99999999999999978</v>
      </c>
      <c r="AZ1064">
        <f t="shared" si="66"/>
        <v>4</v>
      </c>
      <c r="BA1064">
        <f t="shared" si="67"/>
        <v>5</v>
      </c>
      <c r="BB1064">
        <f>SUM(ifood_data[[#This Row],[Recency Score]:[Monetary Score]])</f>
        <v>10</v>
      </c>
      <c r="BC1064">
        <f>(_xlfn.PERCENTRANK.INC(ifood_data[[#All],[RFM]],ifood_data[[#This Row],[RFM]],1))*10</f>
        <v>2</v>
      </c>
      <c r="BD1064" t="str">
        <f>VLOOKUP(ifood_data[[#This Row],[RFM Score]],'RFM Analysis'!$A$3:$B$14,2,FALSE)</f>
        <v>At Risk</v>
      </c>
      <c r="BE1064">
        <f>'Regression Models'!$B$101+'Regression Models'!$B$102*ifood_data[[#This Row],[Income]]+'Regression Models'!$B$103*ifood_data[[#This Row],[Age]]+'Regression Models'!$B$104*ifood_data[[#This Row],[Family]]</f>
        <v>459.10044699845628</v>
      </c>
      <c r="BF1064" t="str">
        <f>IF(ifood_data[[#This Row],[AcceptedCmpOverall]]=1,"Campaign Respondent","Non-respondent")</f>
        <v>Non-respondent</v>
      </c>
    </row>
    <row r="1065" spans="1:58" x14ac:dyDescent="0.35">
      <c r="A1065">
        <v>1721</v>
      </c>
      <c r="B1065">
        <v>50616</v>
      </c>
      <c r="C1065">
        <v>0</v>
      </c>
      <c r="D1065">
        <v>1</v>
      </c>
      <c r="E1065">
        <v>56</v>
      </c>
      <c r="F1065">
        <v>128</v>
      </c>
      <c r="G1065">
        <v>0</v>
      </c>
      <c r="H1065">
        <v>16</v>
      </c>
      <c r="I1065">
        <v>0</v>
      </c>
      <c r="J1065">
        <v>1</v>
      </c>
      <c r="K1065">
        <v>4</v>
      </c>
      <c r="L1065">
        <v>2</v>
      </c>
      <c r="M1065">
        <v>4</v>
      </c>
      <c r="N1065">
        <v>0</v>
      </c>
      <c r="O1065">
        <v>4</v>
      </c>
      <c r="P1065">
        <v>7</v>
      </c>
      <c r="Q1065">
        <v>0</v>
      </c>
      <c r="R1065">
        <v>0</v>
      </c>
      <c r="S1065">
        <v>0</v>
      </c>
      <c r="T1065">
        <v>0</v>
      </c>
      <c r="U1065">
        <v>0</v>
      </c>
      <c r="V1065">
        <f>IF(SUM(ifood_data[[#This Row],[AcceptedCmp1]:[AcceptedCmp5]])&gt;0,1,0)</f>
        <v>0</v>
      </c>
      <c r="W1065">
        <v>0</v>
      </c>
      <c r="X1065">
        <v>3</v>
      </c>
      <c r="Y1065">
        <v>11</v>
      </c>
      <c r="Z1065">
        <v>0</v>
      </c>
      <c r="AA1065">
        <v>52</v>
      </c>
      <c r="AB1065">
        <v>2231</v>
      </c>
      <c r="AC1065" s="28">
        <f>ifood_data[[#This Row],[Customer_Days]]/365</f>
        <v>6.1123287671232873</v>
      </c>
      <c r="AD1065">
        <v>1</v>
      </c>
      <c r="AE1065">
        <v>0</v>
      </c>
      <c r="AF1065">
        <v>0</v>
      </c>
      <c r="AG1065">
        <v>0</v>
      </c>
      <c r="AH1065">
        <v>0</v>
      </c>
      <c r="AI1065">
        <v>0</v>
      </c>
      <c r="AJ1065">
        <v>0</v>
      </c>
      <c r="AK1065">
        <v>0</v>
      </c>
      <c r="AL1065">
        <v>0</v>
      </c>
      <c r="AM1065">
        <v>1</v>
      </c>
      <c r="AN1065">
        <v>145</v>
      </c>
      <c r="AO1065">
        <v>141</v>
      </c>
      <c r="AP1065">
        <f>ifood_data[[#This Row],[MntTotal]]-ifood_data[[#This Row],[MntRegularProds]]</f>
        <v>4</v>
      </c>
      <c r="AQ1065">
        <v>0</v>
      </c>
      <c r="AR1065">
        <f>IF(SUM(ifood_data[[#This Row],[Kidhome]:[Teenhome]])&gt;0,1,0)</f>
        <v>1</v>
      </c>
      <c r="AS1065" t="str">
        <f>IF(SUM(ifood_data[[#This Row],[Kidhome]:[Teenhome]])&gt;0,"Has Family","No Family")</f>
        <v>Has Family</v>
      </c>
      <c r="AT1065" t="str">
        <f>IF(ifood_data[[#This Row],[marital_Married]]=1,"Married", (IF(ifood_data[[#This Row],[marital_Single]]=1,"Single",(IF(ifood_data[[#This Row],[marital_Divorced]]=1,"Divorced",(IF(ifood_data[[#This Row],[marital_Together]]=1,"Living Together",(IF(ifood_data[[#This Row],[marital_Widow]]=1,"Widow","Other")))))))))</f>
        <v>Divorced</v>
      </c>
      <c r="AU1065" t="str">
        <f>IF(ifood_data[[#This Row],[education_Basic]]=1,"High School",(IF(ifood_data[[#This Row],[education_Graduation]]=1,"Undergraduate Degree",(IF(SUM(AM1065,AL1065,AI1065)&gt;0,"Master's Degree or Higher","Other")))))</f>
        <v>Master's Degree or Higher</v>
      </c>
      <c r="AV1065" t="str">
        <f>IF(ifood_data[[#All],[Income]]&gt;75000,"75K+",(IF(ifood_data[[#All],[Income]]&gt;50000,"50K-75K",(IF(ifood_data[[#All],[Income]]&gt;35000,"35K-50K","&lt;35K")))))</f>
        <v>50K-75K</v>
      </c>
      <c r="AW1065" t="str">
        <f>IF(ifood_data[[#All],[Age]]&gt;60,"60+",(IF(ifood_data[[#All],[Age]]&gt;50,"50-60",(IF(ifood_data[[#All],[Age]]&gt;40,"40-50",(IF(ifood_data[[#All],[Age]]&gt;30,"30-40","&lt;30")))))))</f>
        <v>50-60</v>
      </c>
      <c r="AX1065">
        <f t="shared" si="64"/>
        <v>17</v>
      </c>
      <c r="AY1065">
        <f t="shared" si="65"/>
        <v>5</v>
      </c>
      <c r="AZ1065">
        <f t="shared" si="66"/>
        <v>3</v>
      </c>
      <c r="BA1065">
        <f t="shared" si="67"/>
        <v>3</v>
      </c>
      <c r="BB1065">
        <f>SUM(ifood_data[[#This Row],[Recency Score]:[Monetary Score]])</f>
        <v>11</v>
      </c>
      <c r="BC1065">
        <f>(_xlfn.PERCENTRANK.INC(ifood_data[[#All],[RFM]],ifood_data[[#This Row],[RFM]],1))*10</f>
        <v>2</v>
      </c>
      <c r="BD1065" t="str">
        <f>VLOOKUP(ifood_data[[#This Row],[RFM Score]],'RFM Analysis'!$A$3:$B$14,2,FALSE)</f>
        <v>At Risk</v>
      </c>
      <c r="BE1065">
        <f>'Regression Models'!$B$101+'Regression Models'!$B$102*ifood_data[[#This Row],[Income]]+'Regression Models'!$B$103*ifood_data[[#This Row],[Age]]+'Regression Models'!$B$104*ifood_data[[#This Row],[Family]]</f>
        <v>459.07416892160211</v>
      </c>
      <c r="BF1065" t="str">
        <f>IF(ifood_data[[#This Row],[AcceptedCmpOverall]]=1,"Campaign Respondent","Non-respondent")</f>
        <v>Non-respondent</v>
      </c>
    </row>
    <row r="1066" spans="1:58" x14ac:dyDescent="0.35">
      <c r="A1066">
        <v>539</v>
      </c>
      <c r="B1066">
        <v>52157</v>
      </c>
      <c r="C1066">
        <v>0</v>
      </c>
      <c r="D1066">
        <v>1</v>
      </c>
      <c r="E1066">
        <v>48</v>
      </c>
      <c r="F1066">
        <v>189</v>
      </c>
      <c r="G1066">
        <v>2</v>
      </c>
      <c r="H1066">
        <v>29</v>
      </c>
      <c r="I1066">
        <v>3</v>
      </c>
      <c r="J1066">
        <v>2</v>
      </c>
      <c r="K1066">
        <v>40</v>
      </c>
      <c r="L1066">
        <v>2</v>
      </c>
      <c r="M1066">
        <v>3</v>
      </c>
      <c r="N1066">
        <v>2</v>
      </c>
      <c r="O1066">
        <v>5</v>
      </c>
      <c r="P1066">
        <v>4</v>
      </c>
      <c r="Q1066">
        <v>0</v>
      </c>
      <c r="R1066">
        <v>0</v>
      </c>
      <c r="S1066">
        <v>0</v>
      </c>
      <c r="T1066">
        <v>0</v>
      </c>
      <c r="U1066">
        <v>0</v>
      </c>
      <c r="V1066">
        <f>IF(SUM(ifood_data[[#This Row],[AcceptedCmp1]:[AcceptedCmp5]])&gt;0,1,0)</f>
        <v>0</v>
      </c>
      <c r="W1066">
        <v>0</v>
      </c>
      <c r="X1066">
        <v>3</v>
      </c>
      <c r="Y1066">
        <v>11</v>
      </c>
      <c r="Z1066">
        <v>0</v>
      </c>
      <c r="AA1066">
        <v>70</v>
      </c>
      <c r="AB1066">
        <v>2181</v>
      </c>
      <c r="AC1066" s="28">
        <f>ifood_data[[#This Row],[Customer_Days]]/365</f>
        <v>5.9753424657534246</v>
      </c>
      <c r="AD1066">
        <v>0</v>
      </c>
      <c r="AE1066">
        <v>0</v>
      </c>
      <c r="AF1066">
        <v>0</v>
      </c>
      <c r="AG1066">
        <v>1</v>
      </c>
      <c r="AH1066">
        <v>0</v>
      </c>
      <c r="AI1066">
        <v>0</v>
      </c>
      <c r="AJ1066">
        <v>0</v>
      </c>
      <c r="AK1066">
        <v>0</v>
      </c>
      <c r="AL1066">
        <v>0</v>
      </c>
      <c r="AM1066">
        <v>1</v>
      </c>
      <c r="AN1066">
        <v>225</v>
      </c>
      <c r="AO1066">
        <v>185</v>
      </c>
      <c r="AP1066">
        <f>ifood_data[[#This Row],[MntTotal]]-ifood_data[[#This Row],[MntRegularProds]]</f>
        <v>40</v>
      </c>
      <c r="AQ1066">
        <v>0</v>
      </c>
      <c r="AR1066">
        <f>IF(SUM(ifood_data[[#This Row],[Kidhome]:[Teenhome]])&gt;0,1,0)</f>
        <v>1</v>
      </c>
      <c r="AS1066" t="str">
        <f>IF(SUM(ifood_data[[#This Row],[Kidhome]:[Teenhome]])&gt;0,"Has Family","No Family")</f>
        <v>Has Family</v>
      </c>
      <c r="AT1066" t="str">
        <f>IF(ifood_data[[#This Row],[marital_Married]]=1,"Married", (IF(ifood_data[[#This Row],[marital_Single]]=1,"Single",(IF(ifood_data[[#This Row],[marital_Divorced]]=1,"Divorced",(IF(ifood_data[[#This Row],[marital_Together]]=1,"Living Together",(IF(ifood_data[[#This Row],[marital_Widow]]=1,"Widow","Other")))))))))</f>
        <v>Living Together</v>
      </c>
      <c r="AU1066" t="str">
        <f>IF(ifood_data[[#This Row],[education_Basic]]=1,"High School",(IF(ifood_data[[#This Row],[education_Graduation]]=1,"Undergraduate Degree",(IF(SUM(AM1066,AL1066,AI1066)&gt;0,"Master's Degree or Higher","Other")))))</f>
        <v>Master's Degree or Higher</v>
      </c>
      <c r="AV1066" t="str">
        <f>IF(ifood_data[[#All],[Income]]&gt;75000,"75K+",(IF(ifood_data[[#All],[Income]]&gt;50000,"50K-75K",(IF(ifood_data[[#All],[Income]]&gt;35000,"35K-50K","&lt;35K")))))</f>
        <v>50K-75K</v>
      </c>
      <c r="AW1066" t="str">
        <f>IF(ifood_data[[#All],[Age]]&gt;60,"60+",(IF(ifood_data[[#All],[Age]]&gt;50,"50-60",(IF(ifood_data[[#All],[Age]]&gt;40,"40-50",(IF(ifood_data[[#All],[Age]]&gt;30,"30-40","&lt;30")))))))</f>
        <v>60+</v>
      </c>
      <c r="AX1066">
        <f t="shared" si="64"/>
        <v>16</v>
      </c>
      <c r="AY1066">
        <f t="shared" si="65"/>
        <v>6</v>
      </c>
      <c r="AZ1066">
        <f t="shared" si="66"/>
        <v>3</v>
      </c>
      <c r="BA1066">
        <f t="shared" si="67"/>
        <v>4</v>
      </c>
      <c r="BB1066">
        <f>SUM(ifood_data[[#This Row],[Recency Score]:[Monetary Score]])</f>
        <v>13</v>
      </c>
      <c r="BC1066">
        <f>(_xlfn.PERCENTRANK.INC(ifood_data[[#All],[RFM]],ifood_data[[#This Row],[RFM]],1))*10</f>
        <v>3</v>
      </c>
      <c r="BD1066" t="str">
        <f>VLOOKUP(ifood_data[[#This Row],[RFM Score]],'RFM Analysis'!$A$3:$B$14,2,FALSE)</f>
        <v>At Risk</v>
      </c>
      <c r="BE1066">
        <f>'Regression Models'!$B$101+'Regression Models'!$B$102*ifood_data[[#This Row],[Income]]+'Regression Models'!$B$103*ifood_data[[#This Row],[Age]]+'Regression Models'!$B$104*ifood_data[[#This Row],[Family]]</f>
        <v>457.43735721125347</v>
      </c>
      <c r="BF1066" t="str">
        <f>IF(ifood_data[[#This Row],[AcceptedCmpOverall]]=1,"Campaign Respondent","Non-respondent")</f>
        <v>Non-respondent</v>
      </c>
    </row>
    <row r="1067" spans="1:58" x14ac:dyDescent="0.35">
      <c r="A1067">
        <v>1134</v>
      </c>
      <c r="B1067">
        <v>51412</v>
      </c>
      <c r="C1067">
        <v>0</v>
      </c>
      <c r="D1067">
        <v>1</v>
      </c>
      <c r="E1067">
        <v>42</v>
      </c>
      <c r="F1067">
        <v>140</v>
      </c>
      <c r="G1067">
        <v>3</v>
      </c>
      <c r="H1067">
        <v>29</v>
      </c>
      <c r="I1067">
        <v>4</v>
      </c>
      <c r="J1067">
        <v>5</v>
      </c>
      <c r="K1067">
        <v>14</v>
      </c>
      <c r="L1067">
        <v>2</v>
      </c>
      <c r="M1067">
        <v>3</v>
      </c>
      <c r="N1067">
        <v>2</v>
      </c>
      <c r="O1067">
        <v>4</v>
      </c>
      <c r="P1067">
        <v>4</v>
      </c>
      <c r="Q1067">
        <v>0</v>
      </c>
      <c r="R1067">
        <v>0</v>
      </c>
      <c r="S1067">
        <v>0</v>
      </c>
      <c r="T1067">
        <v>0</v>
      </c>
      <c r="U1067">
        <v>0</v>
      </c>
      <c r="V1067">
        <f>IF(SUM(ifood_data[[#This Row],[AcceptedCmp1]:[AcceptedCmp5]])&gt;0,1,0)</f>
        <v>0</v>
      </c>
      <c r="W1067">
        <v>0</v>
      </c>
      <c r="X1067">
        <v>3</v>
      </c>
      <c r="Y1067">
        <v>11</v>
      </c>
      <c r="Z1067">
        <v>0</v>
      </c>
      <c r="AA1067">
        <v>62</v>
      </c>
      <c r="AB1067">
        <v>2339</v>
      </c>
      <c r="AC1067" s="28">
        <f>ifood_data[[#This Row],[Customer_Days]]/365</f>
        <v>6.4082191780821915</v>
      </c>
      <c r="AD1067">
        <v>0</v>
      </c>
      <c r="AE1067">
        <v>1</v>
      </c>
      <c r="AF1067">
        <v>0</v>
      </c>
      <c r="AG1067">
        <v>0</v>
      </c>
      <c r="AH1067">
        <v>0</v>
      </c>
      <c r="AI1067">
        <v>0</v>
      </c>
      <c r="AJ1067">
        <v>0</v>
      </c>
      <c r="AK1067">
        <v>0</v>
      </c>
      <c r="AL1067">
        <v>1</v>
      </c>
      <c r="AM1067">
        <v>0</v>
      </c>
      <c r="AN1067">
        <v>181</v>
      </c>
      <c r="AO1067">
        <v>167</v>
      </c>
      <c r="AP1067">
        <f>ifood_data[[#This Row],[MntTotal]]-ifood_data[[#This Row],[MntRegularProds]]</f>
        <v>14</v>
      </c>
      <c r="AQ1067">
        <v>0</v>
      </c>
      <c r="AR1067">
        <f>IF(SUM(ifood_data[[#This Row],[Kidhome]:[Teenhome]])&gt;0,1,0)</f>
        <v>1</v>
      </c>
      <c r="AS1067" t="str">
        <f>IF(SUM(ifood_data[[#This Row],[Kidhome]:[Teenhome]])&gt;0,"Has Family","No Family")</f>
        <v>Has Family</v>
      </c>
      <c r="AT1067" t="str">
        <f>IF(ifood_data[[#This Row],[marital_Married]]=1,"Married", (IF(ifood_data[[#This Row],[marital_Single]]=1,"Single",(IF(ifood_data[[#This Row],[marital_Divorced]]=1,"Divorced",(IF(ifood_data[[#This Row],[marital_Together]]=1,"Living Together",(IF(ifood_data[[#This Row],[marital_Widow]]=1,"Widow","Other")))))))))</f>
        <v>Married</v>
      </c>
      <c r="AU1067" t="str">
        <f>IF(ifood_data[[#This Row],[education_Basic]]=1,"High School",(IF(ifood_data[[#This Row],[education_Graduation]]=1,"Undergraduate Degree",(IF(SUM(AM1067,AL1067,AI1067)&gt;0,"Master's Degree or Higher","Other")))))</f>
        <v>Master's Degree or Higher</v>
      </c>
      <c r="AV1067" t="str">
        <f>IF(ifood_data[[#All],[Income]]&gt;75000,"75K+",(IF(ifood_data[[#All],[Income]]&gt;50000,"50K-75K",(IF(ifood_data[[#All],[Income]]&gt;35000,"35K-50K","&lt;35K")))))</f>
        <v>50K-75K</v>
      </c>
      <c r="AW1067" t="str">
        <f>IF(ifood_data[[#All],[Age]]&gt;60,"60+",(IF(ifood_data[[#All],[Age]]&gt;50,"50-60",(IF(ifood_data[[#All],[Age]]&gt;40,"40-50",(IF(ifood_data[[#All],[Age]]&gt;30,"30-40","&lt;30")))))))</f>
        <v>60+</v>
      </c>
      <c r="AX1067">
        <f t="shared" si="64"/>
        <v>15</v>
      </c>
      <c r="AY1067">
        <f t="shared" si="65"/>
        <v>6</v>
      </c>
      <c r="AZ1067">
        <f t="shared" si="66"/>
        <v>2</v>
      </c>
      <c r="BA1067">
        <f t="shared" si="67"/>
        <v>3</v>
      </c>
      <c r="BB1067">
        <f>SUM(ifood_data[[#This Row],[Recency Score]:[Monetary Score]])</f>
        <v>11</v>
      </c>
      <c r="BC1067">
        <f>(_xlfn.PERCENTRANK.INC(ifood_data[[#All],[RFM]],ifood_data[[#This Row],[RFM]],1))*10</f>
        <v>2</v>
      </c>
      <c r="BD1067" t="str">
        <f>VLOOKUP(ifood_data[[#This Row],[RFM Score]],'RFM Analysis'!$A$3:$B$14,2,FALSE)</f>
        <v>At Risk</v>
      </c>
      <c r="BE1067">
        <f>'Regression Models'!$B$101+'Regression Models'!$B$102*ifood_data[[#This Row],[Income]]+'Regression Models'!$B$103*ifood_data[[#This Row],[Age]]+'Regression Models'!$B$104*ifood_data[[#This Row],[Family]]</f>
        <v>456.93923757520281</v>
      </c>
      <c r="BF1067" t="str">
        <f>IF(ifood_data[[#This Row],[AcceptedCmpOverall]]=1,"Campaign Respondent","Non-respondent")</f>
        <v>Non-respondent</v>
      </c>
    </row>
    <row r="1068" spans="1:58" x14ac:dyDescent="0.35">
      <c r="A1068">
        <v>763</v>
      </c>
      <c r="B1068">
        <v>49681</v>
      </c>
      <c r="C1068">
        <v>0</v>
      </c>
      <c r="D1068">
        <v>2</v>
      </c>
      <c r="E1068">
        <v>66</v>
      </c>
      <c r="F1068">
        <v>411</v>
      </c>
      <c r="G1068">
        <v>0</v>
      </c>
      <c r="H1068">
        <v>26</v>
      </c>
      <c r="I1068">
        <v>0</v>
      </c>
      <c r="J1068">
        <v>0</v>
      </c>
      <c r="K1068">
        <v>21</v>
      </c>
      <c r="L1068">
        <v>6</v>
      </c>
      <c r="M1068">
        <v>7</v>
      </c>
      <c r="N1068">
        <v>1</v>
      </c>
      <c r="O1068">
        <v>7</v>
      </c>
      <c r="P1068">
        <v>7</v>
      </c>
      <c r="Q1068">
        <v>0</v>
      </c>
      <c r="R1068">
        <v>0</v>
      </c>
      <c r="S1068">
        <v>0</v>
      </c>
      <c r="T1068">
        <v>0</v>
      </c>
      <c r="U1068">
        <v>0</v>
      </c>
      <c r="V1068">
        <f>IF(SUM(ifood_data[[#This Row],[AcceptedCmp1]:[AcceptedCmp5]])&gt;0,1,0)</f>
        <v>0</v>
      </c>
      <c r="W1068">
        <v>0</v>
      </c>
      <c r="X1068">
        <v>3</v>
      </c>
      <c r="Y1068">
        <v>11</v>
      </c>
      <c r="Z1068">
        <v>0</v>
      </c>
      <c r="AA1068">
        <v>44</v>
      </c>
      <c r="AB1068">
        <v>2396</v>
      </c>
      <c r="AC1068" s="28">
        <f>ifood_data[[#This Row],[Customer_Days]]/365</f>
        <v>6.5643835616438357</v>
      </c>
      <c r="AD1068">
        <v>0</v>
      </c>
      <c r="AE1068">
        <v>1</v>
      </c>
      <c r="AF1068">
        <v>0</v>
      </c>
      <c r="AG1068">
        <v>0</v>
      </c>
      <c r="AH1068">
        <v>0</v>
      </c>
      <c r="AI1068">
        <v>0</v>
      </c>
      <c r="AJ1068">
        <v>0</v>
      </c>
      <c r="AK1068">
        <v>0</v>
      </c>
      <c r="AL1068">
        <v>1</v>
      </c>
      <c r="AM1068">
        <v>0</v>
      </c>
      <c r="AN1068">
        <v>437</v>
      </c>
      <c r="AO1068">
        <v>416</v>
      </c>
      <c r="AP1068">
        <f>ifood_data[[#This Row],[MntTotal]]-ifood_data[[#This Row],[MntRegularProds]]</f>
        <v>21</v>
      </c>
      <c r="AQ1068">
        <v>0</v>
      </c>
      <c r="AR1068">
        <f>IF(SUM(ifood_data[[#This Row],[Kidhome]:[Teenhome]])&gt;0,1,0)</f>
        <v>1</v>
      </c>
      <c r="AS1068" t="str">
        <f>IF(SUM(ifood_data[[#This Row],[Kidhome]:[Teenhome]])&gt;0,"Has Family","No Family")</f>
        <v>Has Family</v>
      </c>
      <c r="AT1068" t="str">
        <f>IF(ifood_data[[#This Row],[marital_Married]]=1,"Married", (IF(ifood_data[[#This Row],[marital_Single]]=1,"Single",(IF(ifood_data[[#This Row],[marital_Divorced]]=1,"Divorced",(IF(ifood_data[[#This Row],[marital_Together]]=1,"Living Together",(IF(ifood_data[[#This Row],[marital_Widow]]=1,"Widow","Other")))))))))</f>
        <v>Married</v>
      </c>
      <c r="AU1068" t="str">
        <f>IF(ifood_data[[#This Row],[education_Basic]]=1,"High School",(IF(ifood_data[[#This Row],[education_Graduation]]=1,"Undergraduate Degree",(IF(SUM(AM1068,AL1068,AI1068)&gt;0,"Master's Degree or Higher","Other")))))</f>
        <v>Master's Degree or Higher</v>
      </c>
      <c r="AV1068" t="str">
        <f>IF(ifood_data[[#All],[Income]]&gt;75000,"75K+",(IF(ifood_data[[#All],[Income]]&gt;50000,"50K-75K",(IF(ifood_data[[#All],[Income]]&gt;35000,"35K-50K","&lt;35K")))))</f>
        <v>35K-50K</v>
      </c>
      <c r="AW1068" t="str">
        <f>IF(ifood_data[[#All],[Age]]&gt;60,"60+",(IF(ifood_data[[#All],[Age]]&gt;50,"50-60",(IF(ifood_data[[#All],[Age]]&gt;40,"40-50",(IF(ifood_data[[#All],[Age]]&gt;30,"30-40","&lt;30")))))))</f>
        <v>40-50</v>
      </c>
      <c r="AX1068">
        <f t="shared" si="64"/>
        <v>28</v>
      </c>
      <c r="AY1068">
        <f t="shared" si="65"/>
        <v>4</v>
      </c>
      <c r="AZ1068">
        <f t="shared" si="66"/>
        <v>8</v>
      </c>
      <c r="BA1068">
        <f t="shared" si="67"/>
        <v>5</v>
      </c>
      <c r="BB1068">
        <f>SUM(ifood_data[[#This Row],[Recency Score]:[Monetary Score]])</f>
        <v>17</v>
      </c>
      <c r="BC1068">
        <f>(_xlfn.PERCENTRANK.INC(ifood_data[[#All],[RFM]],ifood_data[[#This Row],[RFM]],1))*10</f>
        <v>6</v>
      </c>
      <c r="BD1068" t="str">
        <f>VLOOKUP(ifood_data[[#This Row],[RFM Score]],'RFM Analysis'!$A$3:$B$14,2,FALSE)</f>
        <v>Promising</v>
      </c>
      <c r="BE1068">
        <f>'Regression Models'!$B$101+'Regression Models'!$B$102*ifood_data[[#This Row],[Income]]+'Regression Models'!$B$103*ifood_data[[#This Row],[Age]]+'Regression Models'!$B$104*ifood_data[[#This Row],[Family]]</f>
        <v>454.70218333821083</v>
      </c>
      <c r="BF1068" t="str">
        <f>IF(ifood_data[[#This Row],[AcceptedCmpOverall]]=1,"Campaign Respondent","Non-respondent")</f>
        <v>Non-respondent</v>
      </c>
    </row>
    <row r="1069" spans="1:58" x14ac:dyDescent="0.35">
      <c r="A1069">
        <v>1543</v>
      </c>
      <c r="B1069">
        <v>49544</v>
      </c>
      <c r="C1069">
        <v>1</v>
      </c>
      <c r="D1069">
        <v>0</v>
      </c>
      <c r="E1069">
        <v>0</v>
      </c>
      <c r="F1069">
        <v>308</v>
      </c>
      <c r="G1069">
        <v>0</v>
      </c>
      <c r="H1069">
        <v>73</v>
      </c>
      <c r="I1069">
        <v>0</v>
      </c>
      <c r="J1069">
        <v>0</v>
      </c>
      <c r="K1069">
        <v>23</v>
      </c>
      <c r="L1069">
        <v>2</v>
      </c>
      <c r="M1069">
        <v>5</v>
      </c>
      <c r="N1069">
        <v>1</v>
      </c>
      <c r="O1069">
        <v>8</v>
      </c>
      <c r="P1069">
        <v>7</v>
      </c>
      <c r="Q1069">
        <v>0</v>
      </c>
      <c r="R1069">
        <v>0</v>
      </c>
      <c r="S1069">
        <v>0</v>
      </c>
      <c r="T1069">
        <v>0</v>
      </c>
      <c r="U1069">
        <v>0</v>
      </c>
      <c r="V1069">
        <f>IF(SUM(ifood_data[[#This Row],[AcceptedCmp1]:[AcceptedCmp5]])&gt;0,1,0)</f>
        <v>0</v>
      </c>
      <c r="W1069">
        <v>0</v>
      </c>
      <c r="X1069">
        <v>3</v>
      </c>
      <c r="Y1069">
        <v>11</v>
      </c>
      <c r="Z1069">
        <v>0</v>
      </c>
      <c r="AA1069">
        <v>44</v>
      </c>
      <c r="AB1069">
        <v>2661</v>
      </c>
      <c r="AC1069" s="28">
        <f>ifood_data[[#This Row],[Customer_Days]]/365</f>
        <v>7.2904109589041095</v>
      </c>
      <c r="AD1069">
        <v>0</v>
      </c>
      <c r="AE1069">
        <v>1</v>
      </c>
      <c r="AF1069">
        <v>0</v>
      </c>
      <c r="AG1069">
        <v>0</v>
      </c>
      <c r="AH1069">
        <v>0</v>
      </c>
      <c r="AI1069">
        <v>0</v>
      </c>
      <c r="AJ1069">
        <v>0</v>
      </c>
      <c r="AK1069">
        <v>0</v>
      </c>
      <c r="AL1069">
        <v>0</v>
      </c>
      <c r="AM1069">
        <v>1</v>
      </c>
      <c r="AN1069">
        <v>381</v>
      </c>
      <c r="AO1069">
        <v>358</v>
      </c>
      <c r="AP1069">
        <f>ifood_data[[#This Row],[MntTotal]]-ifood_data[[#This Row],[MntRegularProds]]</f>
        <v>23</v>
      </c>
      <c r="AQ1069">
        <v>0</v>
      </c>
      <c r="AR1069">
        <f>IF(SUM(ifood_data[[#This Row],[Kidhome]:[Teenhome]])&gt;0,1,0)</f>
        <v>1</v>
      </c>
      <c r="AS1069" t="str">
        <f>IF(SUM(ifood_data[[#This Row],[Kidhome]:[Teenhome]])&gt;0,"Has Family","No Family")</f>
        <v>Has Family</v>
      </c>
      <c r="AT1069" t="str">
        <f>IF(ifood_data[[#This Row],[marital_Married]]=1,"Married", (IF(ifood_data[[#This Row],[marital_Single]]=1,"Single",(IF(ifood_data[[#This Row],[marital_Divorced]]=1,"Divorced",(IF(ifood_data[[#This Row],[marital_Together]]=1,"Living Together",(IF(ifood_data[[#This Row],[marital_Widow]]=1,"Widow","Other")))))))))</f>
        <v>Married</v>
      </c>
      <c r="AU1069" t="str">
        <f>IF(ifood_data[[#This Row],[education_Basic]]=1,"High School",(IF(ifood_data[[#This Row],[education_Graduation]]=1,"Undergraduate Degree",(IF(SUM(AM1069,AL1069,AI1069)&gt;0,"Master's Degree or Higher","Other")))))</f>
        <v>Master's Degree or Higher</v>
      </c>
      <c r="AV1069" t="str">
        <f>IF(ifood_data[[#All],[Income]]&gt;75000,"75K+",(IF(ifood_data[[#All],[Income]]&gt;50000,"50K-75K",(IF(ifood_data[[#All],[Income]]&gt;35000,"35K-50K","&lt;35K")))))</f>
        <v>35K-50K</v>
      </c>
      <c r="AW1069" t="str">
        <f>IF(ifood_data[[#All],[Age]]&gt;60,"60+",(IF(ifood_data[[#All],[Age]]&gt;50,"50-60",(IF(ifood_data[[#All],[Age]]&gt;40,"40-50",(IF(ifood_data[[#All],[Age]]&gt;30,"30-40","&lt;30")))))))</f>
        <v>40-50</v>
      </c>
      <c r="AX1069">
        <f t="shared" si="64"/>
        <v>23</v>
      </c>
      <c r="AY1069">
        <f t="shared" si="65"/>
        <v>10</v>
      </c>
      <c r="AZ1069">
        <f t="shared" si="66"/>
        <v>6</v>
      </c>
      <c r="BA1069">
        <f t="shared" si="67"/>
        <v>5</v>
      </c>
      <c r="BB1069">
        <f>SUM(ifood_data[[#This Row],[Recency Score]:[Monetary Score]])</f>
        <v>21</v>
      </c>
      <c r="BC1069">
        <f>(_xlfn.PERCENTRANK.INC(ifood_data[[#All],[RFM]],ifood_data[[#This Row],[RFM]],1))*10</f>
        <v>8</v>
      </c>
      <c r="BD1069" t="str">
        <f>VLOOKUP(ifood_data[[#This Row],[RFM Score]],'RFM Analysis'!$A$3:$B$14,2,FALSE)</f>
        <v>Loyal Customer</v>
      </c>
      <c r="BE1069">
        <f>'Regression Models'!$B$101+'Regression Models'!$B$102*ifood_data[[#This Row],[Income]]+'Regression Models'!$B$103*ifood_data[[#This Row],[Age]]+'Regression Models'!$B$104*ifood_data[[#This Row],[Family]]</f>
        <v>451.90892210249672</v>
      </c>
      <c r="BF1069" t="str">
        <f>IF(ifood_data[[#This Row],[AcceptedCmpOverall]]=1,"Campaign Respondent","Non-respondent")</f>
        <v>Non-respondent</v>
      </c>
    </row>
    <row r="1070" spans="1:58" x14ac:dyDescent="0.35">
      <c r="A1070">
        <v>106</v>
      </c>
      <c r="B1070">
        <v>50785</v>
      </c>
      <c r="C1070">
        <v>1</v>
      </c>
      <c r="D1070">
        <v>1</v>
      </c>
      <c r="E1070">
        <v>27</v>
      </c>
      <c r="F1070">
        <v>64</v>
      </c>
      <c r="G1070">
        <v>1</v>
      </c>
      <c r="H1070">
        <v>21</v>
      </c>
      <c r="I1070">
        <v>0</v>
      </c>
      <c r="J1070">
        <v>1</v>
      </c>
      <c r="K1070">
        <v>27</v>
      </c>
      <c r="L1070">
        <v>2</v>
      </c>
      <c r="M1070">
        <v>2</v>
      </c>
      <c r="N1070">
        <v>1</v>
      </c>
      <c r="O1070">
        <v>3</v>
      </c>
      <c r="P1070">
        <v>6</v>
      </c>
      <c r="Q1070">
        <v>0</v>
      </c>
      <c r="R1070">
        <v>0</v>
      </c>
      <c r="S1070">
        <v>0</v>
      </c>
      <c r="T1070">
        <v>0</v>
      </c>
      <c r="U1070">
        <v>0</v>
      </c>
      <c r="V1070">
        <f>IF(SUM(ifood_data[[#This Row],[AcceptedCmp1]:[AcceptedCmp5]])&gt;0,1,0)</f>
        <v>0</v>
      </c>
      <c r="W1070">
        <v>0</v>
      </c>
      <c r="X1070">
        <v>3</v>
      </c>
      <c r="Y1070">
        <v>11</v>
      </c>
      <c r="Z1070">
        <v>0</v>
      </c>
      <c r="AA1070">
        <v>58</v>
      </c>
      <c r="AB1070">
        <v>2451</v>
      </c>
      <c r="AC1070" s="28">
        <f>ifood_data[[#This Row],[Customer_Days]]/365</f>
        <v>6.7150684931506852</v>
      </c>
      <c r="AD1070">
        <v>0</v>
      </c>
      <c r="AE1070">
        <v>0</v>
      </c>
      <c r="AF1070">
        <v>1</v>
      </c>
      <c r="AG1070">
        <v>0</v>
      </c>
      <c r="AH1070">
        <v>0</v>
      </c>
      <c r="AI1070">
        <v>0</v>
      </c>
      <c r="AJ1070">
        <v>0</v>
      </c>
      <c r="AK1070">
        <v>1</v>
      </c>
      <c r="AL1070">
        <v>0</v>
      </c>
      <c r="AM1070">
        <v>0</v>
      </c>
      <c r="AN1070">
        <v>87</v>
      </c>
      <c r="AO1070">
        <v>60</v>
      </c>
      <c r="AP1070">
        <f>ifood_data[[#This Row],[MntTotal]]-ifood_data[[#This Row],[MntRegularProds]]</f>
        <v>27</v>
      </c>
      <c r="AQ1070">
        <v>0</v>
      </c>
      <c r="AR1070">
        <f>IF(SUM(ifood_data[[#This Row],[Kidhome]:[Teenhome]])&gt;0,1,0)</f>
        <v>1</v>
      </c>
      <c r="AS1070" t="str">
        <f>IF(SUM(ifood_data[[#This Row],[Kidhome]:[Teenhome]])&gt;0,"Has Family","No Family")</f>
        <v>Has Family</v>
      </c>
      <c r="AT1070" t="str">
        <f>IF(ifood_data[[#This Row],[marital_Married]]=1,"Married", (IF(ifood_data[[#This Row],[marital_Single]]=1,"Single",(IF(ifood_data[[#This Row],[marital_Divorced]]=1,"Divorced",(IF(ifood_data[[#This Row],[marital_Together]]=1,"Living Together",(IF(ifood_data[[#This Row],[marital_Widow]]=1,"Widow","Other")))))))))</f>
        <v>Single</v>
      </c>
      <c r="AU1070" t="str">
        <f>IF(ifood_data[[#This Row],[education_Basic]]=1,"High School",(IF(ifood_data[[#This Row],[education_Graduation]]=1,"Undergraduate Degree",(IF(SUM(AM1070,AL1070,AI1070)&gt;0,"Master's Degree or Higher","Other")))))</f>
        <v>Undergraduate Degree</v>
      </c>
      <c r="AV1070" t="str">
        <f>IF(ifood_data[[#All],[Income]]&gt;75000,"75K+",(IF(ifood_data[[#All],[Income]]&gt;50000,"50K-75K",(IF(ifood_data[[#All],[Income]]&gt;35000,"35K-50K","&lt;35K")))))</f>
        <v>50K-75K</v>
      </c>
      <c r="AW1070" t="str">
        <f>IF(ifood_data[[#All],[Age]]&gt;60,"60+",(IF(ifood_data[[#All],[Age]]&gt;50,"50-60",(IF(ifood_data[[#All],[Age]]&gt;40,"40-50",(IF(ifood_data[[#All],[Age]]&gt;30,"30-40","&lt;30")))))))</f>
        <v>50-60</v>
      </c>
      <c r="AX1070">
        <f t="shared" si="64"/>
        <v>14</v>
      </c>
      <c r="AY1070">
        <f t="shared" si="65"/>
        <v>8</v>
      </c>
      <c r="AZ1070">
        <f t="shared" si="66"/>
        <v>2</v>
      </c>
      <c r="BA1070">
        <f t="shared" si="67"/>
        <v>3</v>
      </c>
      <c r="BB1070">
        <f>SUM(ifood_data[[#This Row],[Recency Score]:[Monetary Score]])</f>
        <v>13</v>
      </c>
      <c r="BC1070">
        <f>(_xlfn.PERCENTRANK.INC(ifood_data[[#All],[RFM]],ifood_data[[#This Row],[RFM]],1))*10</f>
        <v>3</v>
      </c>
      <c r="BD1070" t="str">
        <f>VLOOKUP(ifood_data[[#This Row],[RFM Score]],'RFM Analysis'!$A$3:$B$14,2,FALSE)</f>
        <v>At Risk</v>
      </c>
      <c r="BE1070">
        <f>'Regression Models'!$B$101+'Regression Models'!$B$102*ifood_data[[#This Row],[Income]]+'Regression Models'!$B$103*ifood_data[[#This Row],[Age]]+'Regression Models'!$B$104*ifood_data[[#This Row],[Family]]</f>
        <v>451.50123626455536</v>
      </c>
      <c r="BF1070" t="str">
        <f>IF(ifood_data[[#This Row],[AcceptedCmpOverall]]=1,"Campaign Respondent","Non-respondent")</f>
        <v>Non-respondent</v>
      </c>
    </row>
    <row r="1071" spans="1:58" x14ac:dyDescent="0.35">
      <c r="A1071">
        <v>1383</v>
      </c>
      <c r="B1071">
        <v>49854</v>
      </c>
      <c r="C1071">
        <v>1</v>
      </c>
      <c r="D1071">
        <v>0</v>
      </c>
      <c r="E1071">
        <v>63</v>
      </c>
      <c r="F1071">
        <v>123</v>
      </c>
      <c r="G1071">
        <v>17</v>
      </c>
      <c r="H1071">
        <v>171</v>
      </c>
      <c r="I1071">
        <v>39</v>
      </c>
      <c r="J1071">
        <v>0</v>
      </c>
      <c r="K1071">
        <v>30</v>
      </c>
      <c r="L1071">
        <v>5</v>
      </c>
      <c r="M1071">
        <v>6</v>
      </c>
      <c r="N1071">
        <v>2</v>
      </c>
      <c r="O1071">
        <v>5</v>
      </c>
      <c r="P1071">
        <v>6</v>
      </c>
      <c r="Q1071">
        <v>0</v>
      </c>
      <c r="R1071">
        <v>0</v>
      </c>
      <c r="S1071">
        <v>0</v>
      </c>
      <c r="T1071">
        <v>0</v>
      </c>
      <c r="U1071">
        <v>0</v>
      </c>
      <c r="V1071">
        <f>IF(SUM(ifood_data[[#This Row],[AcceptedCmp1]:[AcceptedCmp5]])&gt;0,1,0)</f>
        <v>0</v>
      </c>
      <c r="W1071">
        <v>0</v>
      </c>
      <c r="X1071">
        <v>3</v>
      </c>
      <c r="Y1071">
        <v>11</v>
      </c>
      <c r="Z1071">
        <v>0</v>
      </c>
      <c r="AA1071">
        <v>48</v>
      </c>
      <c r="AB1071">
        <v>2390</v>
      </c>
      <c r="AC1071" s="28">
        <f>ifood_data[[#This Row],[Customer_Days]]/365</f>
        <v>6.5479452054794525</v>
      </c>
      <c r="AD1071">
        <v>0</v>
      </c>
      <c r="AE1071">
        <v>0</v>
      </c>
      <c r="AF1071">
        <v>0</v>
      </c>
      <c r="AG1071">
        <v>1</v>
      </c>
      <c r="AH1071">
        <v>0</v>
      </c>
      <c r="AI1071">
        <v>0</v>
      </c>
      <c r="AJ1071">
        <v>0</v>
      </c>
      <c r="AK1071">
        <v>0</v>
      </c>
      <c r="AL1071">
        <v>1</v>
      </c>
      <c r="AM1071">
        <v>0</v>
      </c>
      <c r="AN1071">
        <v>350</v>
      </c>
      <c r="AO1071">
        <v>320</v>
      </c>
      <c r="AP1071">
        <f>ifood_data[[#This Row],[MntTotal]]-ifood_data[[#This Row],[MntRegularProds]]</f>
        <v>30</v>
      </c>
      <c r="AQ1071">
        <v>0</v>
      </c>
      <c r="AR1071">
        <f>IF(SUM(ifood_data[[#This Row],[Kidhome]:[Teenhome]])&gt;0,1,0)</f>
        <v>1</v>
      </c>
      <c r="AS1071" t="str">
        <f>IF(SUM(ifood_data[[#This Row],[Kidhome]:[Teenhome]])&gt;0,"Has Family","No Family")</f>
        <v>Has Family</v>
      </c>
      <c r="AT1071" t="str">
        <f>IF(ifood_data[[#This Row],[marital_Married]]=1,"Married", (IF(ifood_data[[#This Row],[marital_Single]]=1,"Single",(IF(ifood_data[[#This Row],[marital_Divorced]]=1,"Divorced",(IF(ifood_data[[#This Row],[marital_Together]]=1,"Living Together",(IF(ifood_data[[#This Row],[marital_Widow]]=1,"Widow","Other")))))))))</f>
        <v>Living Together</v>
      </c>
      <c r="AU1071" t="str">
        <f>IF(ifood_data[[#This Row],[education_Basic]]=1,"High School",(IF(ifood_data[[#This Row],[education_Graduation]]=1,"Undergraduate Degree",(IF(SUM(AM1071,AL1071,AI1071)&gt;0,"Master's Degree or Higher","Other")))))</f>
        <v>Master's Degree or Higher</v>
      </c>
      <c r="AV1071" t="str">
        <f>IF(ifood_data[[#All],[Income]]&gt;75000,"75K+",(IF(ifood_data[[#All],[Income]]&gt;50000,"50K-75K",(IF(ifood_data[[#All],[Income]]&gt;35000,"35K-50K","&lt;35K")))))</f>
        <v>35K-50K</v>
      </c>
      <c r="AW1071" t="str">
        <f>IF(ifood_data[[#All],[Age]]&gt;60,"60+",(IF(ifood_data[[#All],[Age]]&gt;50,"50-60",(IF(ifood_data[[#All],[Age]]&gt;40,"40-50",(IF(ifood_data[[#All],[Age]]&gt;30,"30-40","&lt;30")))))))</f>
        <v>40-50</v>
      </c>
      <c r="AX1071">
        <f t="shared" si="64"/>
        <v>24</v>
      </c>
      <c r="AY1071">
        <f t="shared" si="65"/>
        <v>4</v>
      </c>
      <c r="AZ1071">
        <f t="shared" si="66"/>
        <v>6</v>
      </c>
      <c r="BA1071">
        <f t="shared" si="67"/>
        <v>5</v>
      </c>
      <c r="BB1071">
        <f>SUM(ifood_data[[#This Row],[Recency Score]:[Monetary Score]])</f>
        <v>15</v>
      </c>
      <c r="BC1071">
        <f>(_xlfn.PERCENTRANK.INC(ifood_data[[#All],[RFM]],ifood_data[[#This Row],[RFM]],1))*10</f>
        <v>4</v>
      </c>
      <c r="BD1071" t="str">
        <f>VLOOKUP(ifood_data[[#This Row],[RFM Score]],'RFM Analysis'!$A$3:$B$14,2,FALSE)</f>
        <v>At Risk</v>
      </c>
      <c r="BE1071">
        <f>'Regression Models'!$B$101+'Regression Models'!$B$102*ifood_data[[#This Row],[Income]]+'Regression Models'!$B$103*ifood_data[[#This Row],[Age]]+'Regression Models'!$B$104*ifood_data[[#This Row],[Family]]</f>
        <v>450.88368391152824</v>
      </c>
      <c r="BF1071" t="str">
        <f>IF(ifood_data[[#This Row],[AcceptedCmpOverall]]=1,"Campaign Respondent","Non-respondent")</f>
        <v>Non-respondent</v>
      </c>
    </row>
    <row r="1072" spans="1:58" x14ac:dyDescent="0.35">
      <c r="A1072">
        <v>1073</v>
      </c>
      <c r="B1072">
        <v>49669</v>
      </c>
      <c r="C1072">
        <v>1</v>
      </c>
      <c r="D1072">
        <v>0</v>
      </c>
      <c r="E1072">
        <v>97</v>
      </c>
      <c r="F1072">
        <v>166</v>
      </c>
      <c r="G1072">
        <v>5</v>
      </c>
      <c r="H1072">
        <v>107</v>
      </c>
      <c r="I1072">
        <v>11</v>
      </c>
      <c r="J1072">
        <v>8</v>
      </c>
      <c r="K1072">
        <v>29</v>
      </c>
      <c r="L1072">
        <v>2</v>
      </c>
      <c r="M1072">
        <v>5</v>
      </c>
      <c r="N1072">
        <v>1</v>
      </c>
      <c r="O1072">
        <v>6</v>
      </c>
      <c r="P1072">
        <v>6</v>
      </c>
      <c r="Q1072">
        <v>0</v>
      </c>
      <c r="R1072">
        <v>0</v>
      </c>
      <c r="S1072">
        <v>0</v>
      </c>
      <c r="T1072">
        <v>0</v>
      </c>
      <c r="U1072">
        <v>0</v>
      </c>
      <c r="V1072">
        <f>IF(SUM(ifood_data[[#This Row],[AcceptedCmp1]:[AcceptedCmp5]])&gt;0,1,0)</f>
        <v>0</v>
      </c>
      <c r="W1072">
        <v>0</v>
      </c>
      <c r="X1072">
        <v>3</v>
      </c>
      <c r="Y1072">
        <v>11</v>
      </c>
      <c r="Z1072">
        <v>0</v>
      </c>
      <c r="AA1072">
        <v>46</v>
      </c>
      <c r="AB1072">
        <v>2195</v>
      </c>
      <c r="AC1072" s="28">
        <f>ifood_data[[#This Row],[Customer_Days]]/365</f>
        <v>6.0136986301369859</v>
      </c>
      <c r="AD1072">
        <v>0</v>
      </c>
      <c r="AE1072">
        <v>0</v>
      </c>
      <c r="AF1072">
        <v>0</v>
      </c>
      <c r="AG1072">
        <v>1</v>
      </c>
      <c r="AH1072">
        <v>0</v>
      </c>
      <c r="AI1072">
        <v>1</v>
      </c>
      <c r="AJ1072">
        <v>0</v>
      </c>
      <c r="AK1072">
        <v>0</v>
      </c>
      <c r="AL1072">
        <v>0</v>
      </c>
      <c r="AM1072">
        <v>0</v>
      </c>
      <c r="AN1072">
        <v>297</v>
      </c>
      <c r="AO1072">
        <v>268</v>
      </c>
      <c r="AP1072">
        <f>ifood_data[[#This Row],[MntTotal]]-ifood_data[[#This Row],[MntRegularProds]]</f>
        <v>29</v>
      </c>
      <c r="AQ1072">
        <v>0</v>
      </c>
      <c r="AR1072">
        <f>IF(SUM(ifood_data[[#This Row],[Kidhome]:[Teenhome]])&gt;0,1,0)</f>
        <v>1</v>
      </c>
      <c r="AS1072" t="str">
        <f>IF(SUM(ifood_data[[#This Row],[Kidhome]:[Teenhome]])&gt;0,"Has Family","No Family")</f>
        <v>Has Family</v>
      </c>
      <c r="AT1072" t="str">
        <f>IF(ifood_data[[#This Row],[marital_Married]]=1,"Married", (IF(ifood_data[[#This Row],[marital_Single]]=1,"Single",(IF(ifood_data[[#This Row],[marital_Divorced]]=1,"Divorced",(IF(ifood_data[[#This Row],[marital_Together]]=1,"Living Together",(IF(ifood_data[[#This Row],[marital_Widow]]=1,"Widow","Other")))))))))</f>
        <v>Living Together</v>
      </c>
      <c r="AU1072" t="str">
        <f>IF(ifood_data[[#This Row],[education_Basic]]=1,"High School",(IF(ifood_data[[#This Row],[education_Graduation]]=1,"Undergraduate Degree",(IF(SUM(AM1072,AL1072,AI1072)&gt;0,"Master's Degree or Higher","Other")))))</f>
        <v>Master's Degree or Higher</v>
      </c>
      <c r="AV1072" t="str">
        <f>IF(ifood_data[[#All],[Income]]&gt;75000,"75K+",(IF(ifood_data[[#All],[Income]]&gt;50000,"50K-75K",(IF(ifood_data[[#All],[Income]]&gt;35000,"35K-50K","&lt;35K")))))</f>
        <v>35K-50K</v>
      </c>
      <c r="AW1072" t="str">
        <f>IF(ifood_data[[#All],[Age]]&gt;60,"60+",(IF(ifood_data[[#All],[Age]]&gt;50,"50-60",(IF(ifood_data[[#All],[Age]]&gt;40,"40-50",(IF(ifood_data[[#All],[Age]]&gt;30,"30-40","&lt;30")))))))</f>
        <v>40-50</v>
      </c>
      <c r="AX1072">
        <f t="shared" si="64"/>
        <v>20</v>
      </c>
      <c r="AY1072">
        <f t="shared" si="65"/>
        <v>0.99999999999999978</v>
      </c>
      <c r="AZ1072">
        <f t="shared" si="66"/>
        <v>4</v>
      </c>
      <c r="BA1072">
        <f t="shared" si="67"/>
        <v>4</v>
      </c>
      <c r="BB1072">
        <f>SUM(ifood_data[[#This Row],[Recency Score]:[Monetary Score]])</f>
        <v>9</v>
      </c>
      <c r="BC1072">
        <f>(_xlfn.PERCENTRANK.INC(ifood_data[[#All],[RFM]],ifood_data[[#This Row],[RFM]],1))*10</f>
        <v>1</v>
      </c>
      <c r="BD1072" t="str">
        <f>VLOOKUP(ifood_data[[#This Row],[RFM Score]],'RFM Analysis'!$A$3:$B$14,2,FALSE)</f>
        <v>At Risk</v>
      </c>
      <c r="BE1072">
        <f>'Regression Models'!$B$101+'Regression Models'!$B$102*ifood_data[[#This Row],[Income]]+'Regression Models'!$B$103*ifood_data[[#This Row],[Age]]+'Regression Models'!$B$104*ifood_data[[#This Row],[Family]]</f>
        <v>450.78463996269556</v>
      </c>
      <c r="BF1072" t="str">
        <f>IF(ifood_data[[#This Row],[AcceptedCmpOverall]]=1,"Campaign Respondent","Non-respondent")</f>
        <v>Non-respondent</v>
      </c>
    </row>
    <row r="1073" spans="1:58" x14ac:dyDescent="0.35">
      <c r="A1073">
        <v>818</v>
      </c>
      <c r="B1073">
        <v>49514</v>
      </c>
      <c r="C1073">
        <v>1</v>
      </c>
      <c r="D1073">
        <v>0</v>
      </c>
      <c r="E1073">
        <v>61</v>
      </c>
      <c r="F1073">
        <v>88</v>
      </c>
      <c r="G1073">
        <v>39</v>
      </c>
      <c r="H1073">
        <v>78</v>
      </c>
      <c r="I1073">
        <v>58</v>
      </c>
      <c r="J1073">
        <v>13</v>
      </c>
      <c r="K1073">
        <v>93</v>
      </c>
      <c r="L1073">
        <v>2</v>
      </c>
      <c r="M1073">
        <v>6</v>
      </c>
      <c r="N1073">
        <v>1</v>
      </c>
      <c r="O1073">
        <v>4</v>
      </c>
      <c r="P1073">
        <v>7</v>
      </c>
      <c r="Q1073">
        <v>0</v>
      </c>
      <c r="R1073">
        <v>0</v>
      </c>
      <c r="S1073">
        <v>0</v>
      </c>
      <c r="T1073">
        <v>0</v>
      </c>
      <c r="U1073">
        <v>0</v>
      </c>
      <c r="V1073">
        <f>IF(SUM(ifood_data[[#This Row],[AcceptedCmp1]:[AcceptedCmp5]])&gt;0,1,0)</f>
        <v>0</v>
      </c>
      <c r="W1073">
        <v>0</v>
      </c>
      <c r="X1073">
        <v>3</v>
      </c>
      <c r="Y1073">
        <v>11</v>
      </c>
      <c r="Z1073">
        <v>0</v>
      </c>
      <c r="AA1073">
        <v>45</v>
      </c>
      <c r="AB1073">
        <v>2353</v>
      </c>
      <c r="AC1073" s="28">
        <f>ifood_data[[#This Row],[Customer_Days]]/365</f>
        <v>6.4465753424657537</v>
      </c>
      <c r="AD1073">
        <v>0</v>
      </c>
      <c r="AE1073">
        <v>0</v>
      </c>
      <c r="AF1073">
        <v>1</v>
      </c>
      <c r="AG1073">
        <v>0</v>
      </c>
      <c r="AH1073">
        <v>0</v>
      </c>
      <c r="AI1073">
        <v>1</v>
      </c>
      <c r="AJ1073">
        <v>0</v>
      </c>
      <c r="AK1073">
        <v>0</v>
      </c>
      <c r="AL1073">
        <v>0</v>
      </c>
      <c r="AM1073">
        <v>0</v>
      </c>
      <c r="AN1073">
        <v>276</v>
      </c>
      <c r="AO1073">
        <v>183</v>
      </c>
      <c r="AP1073">
        <f>ifood_data[[#This Row],[MntTotal]]-ifood_data[[#This Row],[MntRegularProds]]</f>
        <v>93</v>
      </c>
      <c r="AQ1073">
        <v>0</v>
      </c>
      <c r="AR1073">
        <f>IF(SUM(ifood_data[[#This Row],[Kidhome]:[Teenhome]])&gt;0,1,0)</f>
        <v>1</v>
      </c>
      <c r="AS1073" t="str">
        <f>IF(SUM(ifood_data[[#This Row],[Kidhome]:[Teenhome]])&gt;0,"Has Family","No Family")</f>
        <v>Has Family</v>
      </c>
      <c r="AT1073" t="str">
        <f>IF(ifood_data[[#This Row],[marital_Married]]=1,"Married", (IF(ifood_data[[#This Row],[marital_Single]]=1,"Single",(IF(ifood_data[[#This Row],[marital_Divorced]]=1,"Divorced",(IF(ifood_data[[#This Row],[marital_Together]]=1,"Living Together",(IF(ifood_data[[#This Row],[marital_Widow]]=1,"Widow","Other")))))))))</f>
        <v>Single</v>
      </c>
      <c r="AU1073" t="str">
        <f>IF(ifood_data[[#This Row],[education_Basic]]=1,"High School",(IF(ifood_data[[#This Row],[education_Graduation]]=1,"Undergraduate Degree",(IF(SUM(AM1073,AL1073,AI1073)&gt;0,"Master's Degree or Higher","Other")))))</f>
        <v>Master's Degree or Higher</v>
      </c>
      <c r="AV1073" t="str">
        <f>IF(ifood_data[[#All],[Income]]&gt;75000,"75K+",(IF(ifood_data[[#All],[Income]]&gt;50000,"50K-75K",(IF(ifood_data[[#All],[Income]]&gt;35000,"35K-50K","&lt;35K")))))</f>
        <v>35K-50K</v>
      </c>
      <c r="AW1073" t="str">
        <f>IF(ifood_data[[#All],[Age]]&gt;60,"60+",(IF(ifood_data[[#All],[Age]]&gt;50,"50-60",(IF(ifood_data[[#All],[Age]]&gt;40,"40-50",(IF(ifood_data[[#All],[Age]]&gt;30,"30-40","&lt;30")))))))</f>
        <v>40-50</v>
      </c>
      <c r="AX1073">
        <f t="shared" si="64"/>
        <v>20</v>
      </c>
      <c r="AY1073">
        <f t="shared" si="65"/>
        <v>4</v>
      </c>
      <c r="AZ1073">
        <f t="shared" si="66"/>
        <v>4</v>
      </c>
      <c r="BA1073">
        <f t="shared" si="67"/>
        <v>4</v>
      </c>
      <c r="BB1073">
        <f>SUM(ifood_data[[#This Row],[Recency Score]:[Monetary Score]])</f>
        <v>12</v>
      </c>
      <c r="BC1073">
        <f>(_xlfn.PERCENTRANK.INC(ifood_data[[#All],[RFM]],ifood_data[[#This Row],[RFM]],1))*10</f>
        <v>3</v>
      </c>
      <c r="BD1073" t="str">
        <f>VLOOKUP(ifood_data[[#This Row],[RFM Score]],'RFM Analysis'!$A$3:$B$14,2,FALSE)</f>
        <v>At Risk</v>
      </c>
      <c r="BE1073">
        <f>'Regression Models'!$B$101+'Regression Models'!$B$102*ifood_data[[#This Row],[Income]]+'Regression Models'!$B$103*ifood_data[[#This Row],[Age]]+'Regression Models'!$B$104*ifood_data[[#This Row],[Family]]</f>
        <v>449.46081997928547</v>
      </c>
      <c r="BF1073" t="str">
        <f>IF(ifood_data[[#This Row],[AcceptedCmpOverall]]=1,"Campaign Respondent","Non-respondent")</f>
        <v>Non-respondent</v>
      </c>
    </row>
    <row r="1074" spans="1:58" x14ac:dyDescent="0.35">
      <c r="A1074">
        <v>213</v>
      </c>
      <c r="B1074">
        <v>51537</v>
      </c>
      <c r="C1074">
        <v>0</v>
      </c>
      <c r="D1074">
        <v>1</v>
      </c>
      <c r="E1074">
        <v>27</v>
      </c>
      <c r="F1074">
        <v>787</v>
      </c>
      <c r="G1074">
        <v>20</v>
      </c>
      <c r="H1074">
        <v>204</v>
      </c>
      <c r="I1074">
        <v>0</v>
      </c>
      <c r="J1074">
        <v>0</v>
      </c>
      <c r="K1074">
        <v>92</v>
      </c>
      <c r="L1074">
        <v>3</v>
      </c>
      <c r="M1074">
        <v>2</v>
      </c>
      <c r="N1074">
        <v>2</v>
      </c>
      <c r="O1074">
        <v>11</v>
      </c>
      <c r="P1074">
        <v>8</v>
      </c>
      <c r="Q1074">
        <v>0</v>
      </c>
      <c r="R1074">
        <v>0</v>
      </c>
      <c r="S1074">
        <v>0</v>
      </c>
      <c r="T1074">
        <v>0</v>
      </c>
      <c r="U1074">
        <v>0</v>
      </c>
      <c r="V1074">
        <f>IF(SUM(ifood_data[[#This Row],[AcceptedCmp1]:[AcceptedCmp5]])&gt;0,1,0)</f>
        <v>0</v>
      </c>
      <c r="W1074">
        <v>0</v>
      </c>
      <c r="X1074">
        <v>3</v>
      </c>
      <c r="Y1074">
        <v>11</v>
      </c>
      <c r="Z1074">
        <v>0</v>
      </c>
      <c r="AA1074">
        <v>68</v>
      </c>
      <c r="AB1074">
        <v>2726</v>
      </c>
      <c r="AC1074" s="28">
        <f>ifood_data[[#This Row],[Customer_Days]]/365</f>
        <v>7.4684931506849317</v>
      </c>
      <c r="AD1074">
        <v>1</v>
      </c>
      <c r="AE1074">
        <v>0</v>
      </c>
      <c r="AF1074">
        <v>0</v>
      </c>
      <c r="AG1074">
        <v>0</v>
      </c>
      <c r="AH1074">
        <v>0</v>
      </c>
      <c r="AI1074">
        <v>0</v>
      </c>
      <c r="AJ1074">
        <v>0</v>
      </c>
      <c r="AK1074">
        <v>1</v>
      </c>
      <c r="AL1074">
        <v>0</v>
      </c>
      <c r="AM1074">
        <v>0</v>
      </c>
      <c r="AN1074">
        <v>1011</v>
      </c>
      <c r="AO1074">
        <v>919</v>
      </c>
      <c r="AP1074">
        <f>ifood_data[[#This Row],[MntTotal]]-ifood_data[[#This Row],[MntRegularProds]]</f>
        <v>92</v>
      </c>
      <c r="AQ1074">
        <v>0</v>
      </c>
      <c r="AR1074">
        <f>IF(SUM(ifood_data[[#This Row],[Kidhome]:[Teenhome]])&gt;0,1,0)</f>
        <v>1</v>
      </c>
      <c r="AS1074" t="str">
        <f>IF(SUM(ifood_data[[#This Row],[Kidhome]:[Teenhome]])&gt;0,"Has Family","No Family")</f>
        <v>Has Family</v>
      </c>
      <c r="AT1074" t="str">
        <f>IF(ifood_data[[#This Row],[marital_Married]]=1,"Married", (IF(ifood_data[[#This Row],[marital_Single]]=1,"Single",(IF(ifood_data[[#This Row],[marital_Divorced]]=1,"Divorced",(IF(ifood_data[[#This Row],[marital_Together]]=1,"Living Together",(IF(ifood_data[[#This Row],[marital_Widow]]=1,"Widow","Other")))))))))</f>
        <v>Divorced</v>
      </c>
      <c r="AU1074" t="str">
        <f>IF(ifood_data[[#This Row],[education_Basic]]=1,"High School",(IF(ifood_data[[#This Row],[education_Graduation]]=1,"Undergraduate Degree",(IF(SUM(AM1074,AL1074,AI1074)&gt;0,"Master's Degree or Higher","Other")))))</f>
        <v>Undergraduate Degree</v>
      </c>
      <c r="AV1074" t="str">
        <f>IF(ifood_data[[#All],[Income]]&gt;75000,"75K+",(IF(ifood_data[[#All],[Income]]&gt;50000,"50K-75K",(IF(ifood_data[[#All],[Income]]&gt;35000,"35K-50K","&lt;35K")))))</f>
        <v>50K-75K</v>
      </c>
      <c r="AW1074" t="str">
        <f>IF(ifood_data[[#All],[Age]]&gt;60,"60+",(IF(ifood_data[[#All],[Age]]&gt;50,"50-60",(IF(ifood_data[[#All],[Age]]&gt;40,"40-50",(IF(ifood_data[[#All],[Age]]&gt;30,"30-40","&lt;30")))))))</f>
        <v>60+</v>
      </c>
      <c r="AX1074">
        <f t="shared" si="64"/>
        <v>26</v>
      </c>
      <c r="AY1074">
        <f t="shared" si="65"/>
        <v>8</v>
      </c>
      <c r="AZ1074">
        <f t="shared" si="66"/>
        <v>7</v>
      </c>
      <c r="BA1074">
        <f t="shared" si="67"/>
        <v>7</v>
      </c>
      <c r="BB1074">
        <f>SUM(ifood_data[[#This Row],[Recency Score]:[Monetary Score]])</f>
        <v>22</v>
      </c>
      <c r="BC1074">
        <f>(_xlfn.PERCENTRANK.INC(ifood_data[[#All],[RFM]],ifood_data[[#This Row],[RFM]],1))*10</f>
        <v>8</v>
      </c>
      <c r="BD1074" t="str">
        <f>VLOOKUP(ifood_data[[#This Row],[RFM Score]],'RFM Analysis'!$A$3:$B$14,2,FALSE)</f>
        <v>Loyal Customer</v>
      </c>
      <c r="BE1074">
        <f>'Regression Models'!$B$101+'Regression Models'!$B$102*ifood_data[[#This Row],[Income]]+'Regression Models'!$B$103*ifood_data[[#This Row],[Age]]+'Regression Models'!$B$104*ifood_data[[#This Row],[Family]]</f>
        <v>448.46919911982457</v>
      </c>
      <c r="BF1074" t="str">
        <f>IF(ifood_data[[#This Row],[AcceptedCmpOverall]]=1,"Campaign Respondent","Non-respondent")</f>
        <v>Non-respondent</v>
      </c>
    </row>
    <row r="1075" spans="1:58" x14ac:dyDescent="0.35">
      <c r="A1075">
        <v>312</v>
      </c>
      <c r="B1075">
        <v>33996</v>
      </c>
      <c r="C1075">
        <v>0</v>
      </c>
      <c r="D1075">
        <v>0</v>
      </c>
      <c r="E1075">
        <v>46</v>
      </c>
      <c r="F1075">
        <v>40</v>
      </c>
      <c r="G1075">
        <v>2</v>
      </c>
      <c r="H1075">
        <v>15</v>
      </c>
      <c r="I1075">
        <v>8</v>
      </c>
      <c r="J1075">
        <v>0</v>
      </c>
      <c r="K1075">
        <v>6</v>
      </c>
      <c r="L1075">
        <v>1</v>
      </c>
      <c r="M1075">
        <v>1</v>
      </c>
      <c r="N1075">
        <v>1</v>
      </c>
      <c r="O1075">
        <v>3</v>
      </c>
      <c r="P1075">
        <v>4</v>
      </c>
      <c r="Q1075">
        <v>0</v>
      </c>
      <c r="R1075">
        <v>0</v>
      </c>
      <c r="S1075">
        <v>0</v>
      </c>
      <c r="T1075">
        <v>0</v>
      </c>
      <c r="U1075">
        <v>0</v>
      </c>
      <c r="V1075">
        <f>IF(SUM(ifood_data[[#This Row],[AcceptedCmp1]:[AcceptedCmp5]])&gt;0,1,0)</f>
        <v>0</v>
      </c>
      <c r="W1075">
        <v>0</v>
      </c>
      <c r="X1075">
        <v>3</v>
      </c>
      <c r="Y1075">
        <v>11</v>
      </c>
      <c r="Z1075">
        <v>0</v>
      </c>
      <c r="AA1075">
        <v>31</v>
      </c>
      <c r="AB1075">
        <v>2450</v>
      </c>
      <c r="AC1075" s="28">
        <f>ifood_data[[#This Row],[Customer_Days]]/365</f>
        <v>6.7123287671232879</v>
      </c>
      <c r="AD1075">
        <v>0</v>
      </c>
      <c r="AE1075">
        <v>0</v>
      </c>
      <c r="AF1075">
        <v>1</v>
      </c>
      <c r="AG1075">
        <v>0</v>
      </c>
      <c r="AH1075">
        <v>0</v>
      </c>
      <c r="AI1075">
        <v>0</v>
      </c>
      <c r="AJ1075">
        <v>0</v>
      </c>
      <c r="AK1075">
        <v>0</v>
      </c>
      <c r="AL1075">
        <v>0</v>
      </c>
      <c r="AM1075">
        <v>1</v>
      </c>
      <c r="AN1075">
        <v>65</v>
      </c>
      <c r="AO1075">
        <v>59</v>
      </c>
      <c r="AP1075">
        <f>ifood_data[[#This Row],[MntTotal]]-ifood_data[[#This Row],[MntRegularProds]]</f>
        <v>6</v>
      </c>
      <c r="AQ1075">
        <v>0</v>
      </c>
      <c r="AR1075">
        <f>IF(SUM(ifood_data[[#This Row],[Kidhome]:[Teenhome]])&gt;0,1,0)</f>
        <v>0</v>
      </c>
      <c r="AS1075" t="str">
        <f>IF(SUM(ifood_data[[#This Row],[Kidhome]:[Teenhome]])&gt;0,"Has Family","No Family")</f>
        <v>No Family</v>
      </c>
      <c r="AT1075" t="str">
        <f>IF(ifood_data[[#This Row],[marital_Married]]=1,"Married", (IF(ifood_data[[#This Row],[marital_Single]]=1,"Single",(IF(ifood_data[[#This Row],[marital_Divorced]]=1,"Divorced",(IF(ifood_data[[#This Row],[marital_Together]]=1,"Living Together",(IF(ifood_data[[#This Row],[marital_Widow]]=1,"Widow","Other")))))))))</f>
        <v>Single</v>
      </c>
      <c r="AU1075" t="str">
        <f>IF(ifood_data[[#This Row],[education_Basic]]=1,"High School",(IF(ifood_data[[#This Row],[education_Graduation]]=1,"Undergraduate Degree",(IF(SUM(AM1075,AL1075,AI1075)&gt;0,"Master's Degree or Higher","Other")))))</f>
        <v>Master's Degree or Higher</v>
      </c>
      <c r="AV1075" t="str">
        <f>IF(ifood_data[[#All],[Income]]&gt;75000,"75K+",(IF(ifood_data[[#All],[Income]]&gt;50000,"50K-75K",(IF(ifood_data[[#All],[Income]]&gt;35000,"35K-50K","&lt;35K")))))</f>
        <v>&lt;35K</v>
      </c>
      <c r="AW1075" t="str">
        <f>IF(ifood_data[[#All],[Age]]&gt;60,"60+",(IF(ifood_data[[#All],[Age]]&gt;50,"50-60",(IF(ifood_data[[#All],[Age]]&gt;40,"40-50",(IF(ifood_data[[#All],[Age]]&gt;30,"30-40","&lt;30")))))))</f>
        <v>30-40</v>
      </c>
      <c r="AX1075">
        <f t="shared" si="64"/>
        <v>10</v>
      </c>
      <c r="AY1075">
        <f t="shared" si="65"/>
        <v>6</v>
      </c>
      <c r="AZ1075">
        <f t="shared" si="66"/>
        <v>0</v>
      </c>
      <c r="BA1075">
        <f t="shared" si="67"/>
        <v>2</v>
      </c>
      <c r="BB1075">
        <f>SUM(ifood_data[[#This Row],[Recency Score]:[Monetary Score]])</f>
        <v>8</v>
      </c>
      <c r="BC1075">
        <f>(_xlfn.PERCENTRANK.INC(ifood_data[[#All],[RFM]],ifood_data[[#This Row],[RFM]],1))*10</f>
        <v>1</v>
      </c>
      <c r="BD1075" t="str">
        <f>VLOOKUP(ifood_data[[#This Row],[RFM Score]],'RFM Analysis'!$A$3:$B$14,2,FALSE)</f>
        <v>At Risk</v>
      </c>
      <c r="BE1075">
        <f>'Regression Models'!$B$101+'Regression Models'!$B$102*ifood_data[[#This Row],[Income]]+'Regression Models'!$B$103*ifood_data[[#This Row],[Age]]+'Regression Models'!$B$104*ifood_data[[#This Row],[Family]]</f>
        <v>448.3916940997978</v>
      </c>
      <c r="BF1075" t="str">
        <f>IF(ifood_data[[#This Row],[AcceptedCmpOverall]]=1,"Campaign Respondent","Non-respondent")</f>
        <v>Non-respondent</v>
      </c>
    </row>
    <row r="1076" spans="1:58" x14ac:dyDescent="0.35">
      <c r="A1076">
        <v>1432</v>
      </c>
      <c r="B1076">
        <v>51411</v>
      </c>
      <c r="C1076">
        <v>1</v>
      </c>
      <c r="D1076">
        <v>2</v>
      </c>
      <c r="E1076">
        <v>81</v>
      </c>
      <c r="F1076">
        <v>14</v>
      </c>
      <c r="G1076">
        <v>0</v>
      </c>
      <c r="H1076">
        <v>3</v>
      </c>
      <c r="I1076">
        <v>0</v>
      </c>
      <c r="J1076">
        <v>0</v>
      </c>
      <c r="K1076">
        <v>1</v>
      </c>
      <c r="L1076">
        <v>1</v>
      </c>
      <c r="M1076">
        <v>0</v>
      </c>
      <c r="N1076">
        <v>0</v>
      </c>
      <c r="O1076">
        <v>3</v>
      </c>
      <c r="P1076">
        <v>5</v>
      </c>
      <c r="Q1076">
        <v>0</v>
      </c>
      <c r="R1076">
        <v>0</v>
      </c>
      <c r="S1076">
        <v>0</v>
      </c>
      <c r="T1076">
        <v>0</v>
      </c>
      <c r="U1076">
        <v>0</v>
      </c>
      <c r="V1076">
        <f>IF(SUM(ifood_data[[#This Row],[AcceptedCmp1]:[AcceptedCmp5]])&gt;0,1,0)</f>
        <v>0</v>
      </c>
      <c r="W1076">
        <v>0</v>
      </c>
      <c r="X1076">
        <v>3</v>
      </c>
      <c r="Y1076">
        <v>11</v>
      </c>
      <c r="Z1076">
        <v>0</v>
      </c>
      <c r="AA1076">
        <v>67</v>
      </c>
      <c r="AB1076">
        <v>2558</v>
      </c>
      <c r="AC1076" s="28">
        <f>ifood_data[[#This Row],[Customer_Days]]/365</f>
        <v>7.0082191780821921</v>
      </c>
      <c r="AD1076">
        <v>0</v>
      </c>
      <c r="AE1076">
        <v>0</v>
      </c>
      <c r="AF1076">
        <v>1</v>
      </c>
      <c r="AG1076">
        <v>0</v>
      </c>
      <c r="AH1076">
        <v>0</v>
      </c>
      <c r="AI1076">
        <v>0</v>
      </c>
      <c r="AJ1076">
        <v>0</v>
      </c>
      <c r="AK1076">
        <v>0</v>
      </c>
      <c r="AL1076">
        <v>0</v>
      </c>
      <c r="AM1076">
        <v>1</v>
      </c>
      <c r="AN1076">
        <v>17</v>
      </c>
      <c r="AO1076">
        <v>16</v>
      </c>
      <c r="AP1076">
        <f>ifood_data[[#This Row],[MntTotal]]-ifood_data[[#This Row],[MntRegularProds]]</f>
        <v>1</v>
      </c>
      <c r="AQ1076">
        <v>0</v>
      </c>
      <c r="AR1076">
        <f>IF(SUM(ifood_data[[#This Row],[Kidhome]:[Teenhome]])&gt;0,1,0)</f>
        <v>1</v>
      </c>
      <c r="AS1076" t="str">
        <f>IF(SUM(ifood_data[[#This Row],[Kidhome]:[Teenhome]])&gt;0,"Has Family","No Family")</f>
        <v>Has Family</v>
      </c>
      <c r="AT1076" t="str">
        <f>IF(ifood_data[[#This Row],[marital_Married]]=1,"Married", (IF(ifood_data[[#This Row],[marital_Single]]=1,"Single",(IF(ifood_data[[#This Row],[marital_Divorced]]=1,"Divorced",(IF(ifood_data[[#This Row],[marital_Together]]=1,"Living Together",(IF(ifood_data[[#This Row],[marital_Widow]]=1,"Widow","Other")))))))))</f>
        <v>Single</v>
      </c>
      <c r="AU1076" t="str">
        <f>IF(ifood_data[[#This Row],[education_Basic]]=1,"High School",(IF(ifood_data[[#This Row],[education_Graduation]]=1,"Undergraduate Degree",(IF(SUM(AM1076,AL1076,AI1076)&gt;0,"Master's Degree or Higher","Other")))))</f>
        <v>Master's Degree or Higher</v>
      </c>
      <c r="AV1076" t="str">
        <f>IF(ifood_data[[#All],[Income]]&gt;75000,"75K+",(IF(ifood_data[[#All],[Income]]&gt;50000,"50K-75K",(IF(ifood_data[[#All],[Income]]&gt;35000,"35K-50K","&lt;35K")))))</f>
        <v>50K-75K</v>
      </c>
      <c r="AW1076" t="str">
        <f>IF(ifood_data[[#All],[Age]]&gt;60,"60+",(IF(ifood_data[[#All],[Age]]&gt;50,"50-60",(IF(ifood_data[[#All],[Age]]&gt;40,"40-50",(IF(ifood_data[[#All],[Age]]&gt;30,"30-40","&lt;30")))))))</f>
        <v>60+</v>
      </c>
      <c r="AX1076">
        <f t="shared" si="64"/>
        <v>9</v>
      </c>
      <c r="AY1076">
        <f t="shared" si="65"/>
        <v>1.9999999999999996</v>
      </c>
      <c r="AZ1076">
        <f t="shared" si="66"/>
        <v>0</v>
      </c>
      <c r="BA1076">
        <f t="shared" si="67"/>
        <v>0</v>
      </c>
      <c r="BB1076">
        <f>SUM(ifood_data[[#This Row],[Recency Score]:[Monetary Score]])</f>
        <v>1.9999999999999996</v>
      </c>
      <c r="BC1076">
        <f>(_xlfn.PERCENTRANK.INC(ifood_data[[#All],[RFM]],ifood_data[[#This Row],[RFM]],1))*10</f>
        <v>0</v>
      </c>
      <c r="BD1076" t="str">
        <f>VLOOKUP(ifood_data[[#This Row],[RFM Score]],'RFM Analysis'!$A$3:$B$14,2,FALSE)</f>
        <v>Lost</v>
      </c>
      <c r="BE1076">
        <f>'Regression Models'!$B$101+'Regression Models'!$B$102*ifood_data[[#This Row],[Income]]+'Regression Models'!$B$103*ifood_data[[#This Row],[Age]]+'Regression Models'!$B$104*ifood_data[[#This Row],[Family]]</f>
        <v>447.73665341258754</v>
      </c>
      <c r="BF1076" t="str">
        <f>IF(ifood_data[[#This Row],[AcceptedCmpOverall]]=1,"Campaign Respondent","Non-respondent")</f>
        <v>Non-respondent</v>
      </c>
    </row>
    <row r="1077" spans="1:58" x14ac:dyDescent="0.35">
      <c r="A1077">
        <v>1019</v>
      </c>
      <c r="B1077">
        <v>50014</v>
      </c>
      <c r="C1077">
        <v>1</v>
      </c>
      <c r="D1077">
        <v>0</v>
      </c>
      <c r="E1077">
        <v>9</v>
      </c>
      <c r="F1077">
        <v>234</v>
      </c>
      <c r="G1077">
        <v>14</v>
      </c>
      <c r="H1077">
        <v>77</v>
      </c>
      <c r="I1077">
        <v>19</v>
      </c>
      <c r="J1077">
        <v>10</v>
      </c>
      <c r="K1077">
        <v>42</v>
      </c>
      <c r="L1077">
        <v>2</v>
      </c>
      <c r="M1077">
        <v>4</v>
      </c>
      <c r="N1077">
        <v>1</v>
      </c>
      <c r="O1077">
        <v>8</v>
      </c>
      <c r="P1077">
        <v>5</v>
      </c>
      <c r="Q1077">
        <v>0</v>
      </c>
      <c r="R1077">
        <v>0</v>
      </c>
      <c r="S1077">
        <v>0</v>
      </c>
      <c r="T1077">
        <v>0</v>
      </c>
      <c r="U1077">
        <v>0</v>
      </c>
      <c r="V1077">
        <f>IF(SUM(ifood_data[[#This Row],[AcceptedCmp1]:[AcceptedCmp5]])&gt;0,1,0)</f>
        <v>0</v>
      </c>
      <c r="W1077">
        <v>0</v>
      </c>
      <c r="X1077">
        <v>3</v>
      </c>
      <c r="Y1077">
        <v>11</v>
      </c>
      <c r="Z1077">
        <v>0</v>
      </c>
      <c r="AA1077">
        <v>52</v>
      </c>
      <c r="AB1077">
        <v>2317</v>
      </c>
      <c r="AC1077" s="28">
        <f>ifood_data[[#This Row],[Customer_Days]]/365</f>
        <v>6.3479452054794523</v>
      </c>
      <c r="AD1077">
        <v>0</v>
      </c>
      <c r="AE1077">
        <v>0</v>
      </c>
      <c r="AF1077">
        <v>1</v>
      </c>
      <c r="AG1077">
        <v>0</v>
      </c>
      <c r="AH1077">
        <v>0</v>
      </c>
      <c r="AI1077">
        <v>0</v>
      </c>
      <c r="AJ1077">
        <v>0</v>
      </c>
      <c r="AK1077">
        <v>0</v>
      </c>
      <c r="AL1077">
        <v>1</v>
      </c>
      <c r="AM1077">
        <v>0</v>
      </c>
      <c r="AN1077">
        <v>354</v>
      </c>
      <c r="AO1077">
        <v>312</v>
      </c>
      <c r="AP1077">
        <f>ifood_data[[#This Row],[MntTotal]]-ifood_data[[#This Row],[MntRegularProds]]</f>
        <v>42</v>
      </c>
      <c r="AQ1077">
        <v>0</v>
      </c>
      <c r="AR1077">
        <f>IF(SUM(ifood_data[[#This Row],[Kidhome]:[Teenhome]])&gt;0,1,0)</f>
        <v>1</v>
      </c>
      <c r="AS1077" t="str">
        <f>IF(SUM(ifood_data[[#This Row],[Kidhome]:[Teenhome]])&gt;0,"Has Family","No Family")</f>
        <v>Has Family</v>
      </c>
      <c r="AT1077" t="str">
        <f>IF(ifood_data[[#This Row],[marital_Married]]=1,"Married", (IF(ifood_data[[#This Row],[marital_Single]]=1,"Single",(IF(ifood_data[[#This Row],[marital_Divorced]]=1,"Divorced",(IF(ifood_data[[#This Row],[marital_Together]]=1,"Living Together",(IF(ifood_data[[#This Row],[marital_Widow]]=1,"Widow","Other")))))))))</f>
        <v>Single</v>
      </c>
      <c r="AU1077" t="str">
        <f>IF(ifood_data[[#This Row],[education_Basic]]=1,"High School",(IF(ifood_data[[#This Row],[education_Graduation]]=1,"Undergraduate Degree",(IF(SUM(AM1077,AL1077,AI1077)&gt;0,"Master's Degree or Higher","Other")))))</f>
        <v>Master's Degree or Higher</v>
      </c>
      <c r="AV1077" t="str">
        <f>IF(ifood_data[[#All],[Income]]&gt;75000,"75K+",(IF(ifood_data[[#All],[Income]]&gt;50000,"50K-75K",(IF(ifood_data[[#All],[Income]]&gt;35000,"35K-50K","&lt;35K")))))</f>
        <v>50K-75K</v>
      </c>
      <c r="AW1077" t="str">
        <f>IF(ifood_data[[#All],[Age]]&gt;60,"60+",(IF(ifood_data[[#All],[Age]]&gt;50,"50-60",(IF(ifood_data[[#All],[Age]]&gt;40,"40-50",(IF(ifood_data[[#All],[Age]]&gt;30,"30-40","&lt;30")))))))</f>
        <v>50-60</v>
      </c>
      <c r="AX1077">
        <f t="shared" si="64"/>
        <v>20</v>
      </c>
      <c r="AY1077">
        <f t="shared" si="65"/>
        <v>10</v>
      </c>
      <c r="AZ1077">
        <f t="shared" si="66"/>
        <v>4</v>
      </c>
      <c r="BA1077">
        <f t="shared" si="67"/>
        <v>5</v>
      </c>
      <c r="BB1077">
        <f>SUM(ifood_data[[#This Row],[Recency Score]:[Monetary Score]])</f>
        <v>19</v>
      </c>
      <c r="BC1077">
        <f>(_xlfn.PERCENTRANK.INC(ifood_data[[#All],[RFM]],ifood_data[[#This Row],[RFM]],1))*10</f>
        <v>7</v>
      </c>
      <c r="BD1077" t="str">
        <f>VLOOKUP(ifood_data[[#This Row],[RFM Score]],'RFM Analysis'!$A$3:$B$14,2,FALSE)</f>
        <v>Loyal Customer</v>
      </c>
      <c r="BE1077">
        <f>'Regression Models'!$B$101+'Regression Models'!$B$102*ifood_data[[#This Row],[Income]]+'Regression Models'!$B$103*ifood_data[[#This Row],[Age]]+'Regression Models'!$B$104*ifood_data[[#This Row],[Family]]</f>
        <v>446.80013049897502</v>
      </c>
      <c r="BF1077" t="str">
        <f>IF(ifood_data[[#This Row],[AcceptedCmpOverall]]=1,"Campaign Respondent","Non-respondent")</f>
        <v>Non-respondent</v>
      </c>
    </row>
    <row r="1078" spans="1:58" x14ac:dyDescent="0.35">
      <c r="A1078">
        <v>387</v>
      </c>
      <c r="B1078">
        <v>50437</v>
      </c>
      <c r="C1078">
        <v>0</v>
      </c>
      <c r="D1078">
        <v>2</v>
      </c>
      <c r="E1078">
        <v>28</v>
      </c>
      <c r="F1078">
        <v>370</v>
      </c>
      <c r="G1078">
        <v>9</v>
      </c>
      <c r="H1078">
        <v>92</v>
      </c>
      <c r="I1078">
        <v>6</v>
      </c>
      <c r="J1078">
        <v>9</v>
      </c>
      <c r="K1078">
        <v>4</v>
      </c>
      <c r="L1078">
        <v>3</v>
      </c>
      <c r="M1078">
        <v>7</v>
      </c>
      <c r="N1078">
        <v>1</v>
      </c>
      <c r="O1078">
        <v>8</v>
      </c>
      <c r="P1078">
        <v>7</v>
      </c>
      <c r="Q1078">
        <v>0</v>
      </c>
      <c r="R1078">
        <v>0</v>
      </c>
      <c r="S1078">
        <v>0</v>
      </c>
      <c r="T1078">
        <v>0</v>
      </c>
      <c r="U1078">
        <v>0</v>
      </c>
      <c r="V1078">
        <f>IF(SUM(ifood_data[[#This Row],[AcceptedCmp1]:[AcceptedCmp5]])&gt;0,1,0)</f>
        <v>0</v>
      </c>
      <c r="W1078">
        <v>0</v>
      </c>
      <c r="X1078">
        <v>3</v>
      </c>
      <c r="Y1078">
        <v>11</v>
      </c>
      <c r="Z1078">
        <v>0</v>
      </c>
      <c r="AA1078">
        <v>57</v>
      </c>
      <c r="AB1078">
        <v>2779</v>
      </c>
      <c r="AC1078" s="28">
        <f>ifood_data[[#This Row],[Customer_Days]]/365</f>
        <v>7.6136986301369864</v>
      </c>
      <c r="AD1078">
        <v>0</v>
      </c>
      <c r="AE1078">
        <v>1</v>
      </c>
      <c r="AF1078">
        <v>0</v>
      </c>
      <c r="AG1078">
        <v>0</v>
      </c>
      <c r="AH1078">
        <v>0</v>
      </c>
      <c r="AI1078">
        <v>0</v>
      </c>
      <c r="AJ1078">
        <v>0</v>
      </c>
      <c r="AK1078">
        <v>1</v>
      </c>
      <c r="AL1078">
        <v>0</v>
      </c>
      <c r="AM1078">
        <v>0</v>
      </c>
      <c r="AN1078">
        <v>486</v>
      </c>
      <c r="AO1078">
        <v>482</v>
      </c>
      <c r="AP1078">
        <f>ifood_data[[#This Row],[MntTotal]]-ifood_data[[#This Row],[MntRegularProds]]</f>
        <v>4</v>
      </c>
      <c r="AQ1078">
        <v>0</v>
      </c>
      <c r="AR1078">
        <f>IF(SUM(ifood_data[[#This Row],[Kidhome]:[Teenhome]])&gt;0,1,0)</f>
        <v>1</v>
      </c>
      <c r="AS1078" t="str">
        <f>IF(SUM(ifood_data[[#This Row],[Kidhome]:[Teenhome]])&gt;0,"Has Family","No Family")</f>
        <v>Has Family</v>
      </c>
      <c r="AT1078" t="str">
        <f>IF(ifood_data[[#This Row],[marital_Married]]=1,"Married", (IF(ifood_data[[#This Row],[marital_Single]]=1,"Single",(IF(ifood_data[[#This Row],[marital_Divorced]]=1,"Divorced",(IF(ifood_data[[#This Row],[marital_Together]]=1,"Living Together",(IF(ifood_data[[#This Row],[marital_Widow]]=1,"Widow","Other")))))))))</f>
        <v>Married</v>
      </c>
      <c r="AU1078" t="str">
        <f>IF(ifood_data[[#This Row],[education_Basic]]=1,"High School",(IF(ifood_data[[#This Row],[education_Graduation]]=1,"Undergraduate Degree",(IF(SUM(AM1078,AL1078,AI1078)&gt;0,"Master's Degree or Higher","Other")))))</f>
        <v>Undergraduate Degree</v>
      </c>
      <c r="AV1078" t="str">
        <f>IF(ifood_data[[#All],[Income]]&gt;75000,"75K+",(IF(ifood_data[[#All],[Income]]&gt;50000,"50K-75K",(IF(ifood_data[[#All],[Income]]&gt;35000,"35K-50K","&lt;35K")))))</f>
        <v>50K-75K</v>
      </c>
      <c r="AW1078" t="str">
        <f>IF(ifood_data[[#All],[Age]]&gt;60,"60+",(IF(ifood_data[[#All],[Age]]&gt;50,"50-60",(IF(ifood_data[[#All],[Age]]&gt;40,"40-50",(IF(ifood_data[[#All],[Age]]&gt;30,"30-40","&lt;30")))))))</f>
        <v>50-60</v>
      </c>
      <c r="AX1078">
        <f t="shared" si="64"/>
        <v>26</v>
      </c>
      <c r="AY1078">
        <f t="shared" si="65"/>
        <v>8</v>
      </c>
      <c r="AZ1078">
        <f t="shared" si="66"/>
        <v>7</v>
      </c>
      <c r="BA1078">
        <f t="shared" si="67"/>
        <v>5</v>
      </c>
      <c r="BB1078">
        <f>SUM(ifood_data[[#This Row],[Recency Score]:[Monetary Score]])</f>
        <v>20</v>
      </c>
      <c r="BC1078">
        <f>(_xlfn.PERCENTRANK.INC(ifood_data[[#All],[RFM]],ifood_data[[#This Row],[RFM]],1))*10</f>
        <v>7</v>
      </c>
      <c r="BD1078" t="str">
        <f>VLOOKUP(ifood_data[[#This Row],[RFM Score]],'RFM Analysis'!$A$3:$B$14,2,FALSE)</f>
        <v>Loyal Customer</v>
      </c>
      <c r="BE1078">
        <f>'Regression Models'!$B$101+'Regression Models'!$B$102*ifood_data[[#This Row],[Income]]+'Regression Models'!$B$103*ifood_data[[#This Row],[Age]]+'Regression Models'!$B$104*ifood_data[[#This Row],[Family]]</f>
        <v>446.24238402937283</v>
      </c>
      <c r="BF1078" t="str">
        <f>IF(ifood_data[[#This Row],[AcceptedCmpOverall]]=1,"Campaign Respondent","Non-respondent")</f>
        <v>Non-respondent</v>
      </c>
    </row>
    <row r="1079" spans="1:58" x14ac:dyDescent="0.35">
      <c r="A1079">
        <v>17</v>
      </c>
      <c r="B1079">
        <v>37760</v>
      </c>
      <c r="C1079">
        <v>0</v>
      </c>
      <c r="D1079">
        <v>0</v>
      </c>
      <c r="E1079">
        <v>20</v>
      </c>
      <c r="F1079">
        <v>84</v>
      </c>
      <c r="G1079">
        <v>5</v>
      </c>
      <c r="H1079">
        <v>38</v>
      </c>
      <c r="I1079">
        <v>150</v>
      </c>
      <c r="J1079">
        <v>12</v>
      </c>
      <c r="K1079">
        <v>28</v>
      </c>
      <c r="L1079">
        <v>2</v>
      </c>
      <c r="M1079">
        <v>4</v>
      </c>
      <c r="N1079">
        <v>1</v>
      </c>
      <c r="O1079">
        <v>6</v>
      </c>
      <c r="P1079">
        <v>7</v>
      </c>
      <c r="Q1079">
        <v>0</v>
      </c>
      <c r="R1079">
        <v>0</v>
      </c>
      <c r="S1079">
        <v>0</v>
      </c>
      <c r="T1079">
        <v>0</v>
      </c>
      <c r="U1079">
        <v>0</v>
      </c>
      <c r="V1079">
        <f>IF(SUM(ifood_data[[#This Row],[AcceptedCmp1]:[AcceptedCmp5]])&gt;0,1,0)</f>
        <v>0</v>
      </c>
      <c r="W1079">
        <v>0</v>
      </c>
      <c r="X1079">
        <v>3</v>
      </c>
      <c r="Y1079">
        <v>11</v>
      </c>
      <c r="Z1079">
        <v>0</v>
      </c>
      <c r="AA1079">
        <v>74</v>
      </c>
      <c r="AB1079">
        <v>2826</v>
      </c>
      <c r="AC1079" s="28">
        <f>ifood_data[[#This Row],[Customer_Days]]/365</f>
        <v>7.7424657534246579</v>
      </c>
      <c r="AD1079">
        <v>0</v>
      </c>
      <c r="AE1079">
        <v>0</v>
      </c>
      <c r="AF1079">
        <v>0</v>
      </c>
      <c r="AG1079">
        <v>1</v>
      </c>
      <c r="AH1079">
        <v>0</v>
      </c>
      <c r="AI1079">
        <v>0</v>
      </c>
      <c r="AJ1079">
        <v>0</v>
      </c>
      <c r="AK1079">
        <v>1</v>
      </c>
      <c r="AL1079">
        <v>0</v>
      </c>
      <c r="AM1079">
        <v>0</v>
      </c>
      <c r="AN1079">
        <v>289</v>
      </c>
      <c r="AO1079">
        <v>261</v>
      </c>
      <c r="AP1079">
        <f>ifood_data[[#This Row],[MntTotal]]-ifood_data[[#This Row],[MntRegularProds]]</f>
        <v>28</v>
      </c>
      <c r="AQ1079">
        <v>0</v>
      </c>
      <c r="AR1079">
        <f>IF(SUM(ifood_data[[#This Row],[Kidhome]:[Teenhome]])&gt;0,1,0)</f>
        <v>0</v>
      </c>
      <c r="AS1079" t="str">
        <f>IF(SUM(ifood_data[[#This Row],[Kidhome]:[Teenhome]])&gt;0,"Has Family","No Family")</f>
        <v>No Family</v>
      </c>
      <c r="AT1079" t="str">
        <f>IF(ifood_data[[#This Row],[marital_Married]]=1,"Married", (IF(ifood_data[[#This Row],[marital_Single]]=1,"Single",(IF(ifood_data[[#This Row],[marital_Divorced]]=1,"Divorced",(IF(ifood_data[[#This Row],[marital_Together]]=1,"Living Together",(IF(ifood_data[[#This Row],[marital_Widow]]=1,"Widow","Other")))))))))</f>
        <v>Living Together</v>
      </c>
      <c r="AU1079" t="str">
        <f>IF(ifood_data[[#This Row],[education_Basic]]=1,"High School",(IF(ifood_data[[#This Row],[education_Graduation]]=1,"Undergraduate Degree",(IF(SUM(AM1079,AL1079,AI1079)&gt;0,"Master's Degree or Higher","Other")))))</f>
        <v>Undergraduate Degree</v>
      </c>
      <c r="AV1079" t="str">
        <f>IF(ifood_data[[#All],[Income]]&gt;75000,"75K+",(IF(ifood_data[[#All],[Income]]&gt;50000,"50K-75K",(IF(ifood_data[[#All],[Income]]&gt;35000,"35K-50K","&lt;35K")))))</f>
        <v>35K-50K</v>
      </c>
      <c r="AW1079" t="str">
        <f>IF(ifood_data[[#All],[Age]]&gt;60,"60+",(IF(ifood_data[[#All],[Age]]&gt;50,"50-60",(IF(ifood_data[[#All],[Age]]&gt;40,"40-50",(IF(ifood_data[[#All],[Age]]&gt;30,"30-40","&lt;30")))))))</f>
        <v>60+</v>
      </c>
      <c r="AX1079">
        <f t="shared" si="64"/>
        <v>20</v>
      </c>
      <c r="AY1079">
        <f t="shared" si="65"/>
        <v>8</v>
      </c>
      <c r="AZ1079">
        <f t="shared" si="66"/>
        <v>4</v>
      </c>
      <c r="BA1079">
        <f t="shared" si="67"/>
        <v>4</v>
      </c>
      <c r="BB1079">
        <f>SUM(ifood_data[[#This Row],[Recency Score]:[Monetary Score]])</f>
        <v>16</v>
      </c>
      <c r="BC1079">
        <f>(_xlfn.PERCENTRANK.INC(ifood_data[[#All],[RFM]],ifood_data[[#This Row],[RFM]],1))*10</f>
        <v>5</v>
      </c>
      <c r="BD1079" t="str">
        <f>VLOOKUP(ifood_data[[#This Row],[RFM Score]],'RFM Analysis'!$A$3:$B$14,2,FALSE)</f>
        <v>Promising</v>
      </c>
      <c r="BE1079">
        <f>'Regression Models'!$B$101+'Regression Models'!$B$102*ifood_data[[#This Row],[Income]]+'Regression Models'!$B$103*ifood_data[[#This Row],[Age]]+'Regression Models'!$B$104*ifood_data[[#This Row],[Family]]</f>
        <v>446.16813700097941</v>
      </c>
      <c r="BF1079" t="str">
        <f>IF(ifood_data[[#This Row],[AcceptedCmpOverall]]=1,"Campaign Respondent","Non-respondent")</f>
        <v>Non-respondent</v>
      </c>
    </row>
    <row r="1080" spans="1:58" x14ac:dyDescent="0.35">
      <c r="A1080">
        <v>736</v>
      </c>
      <c r="B1080">
        <v>51124</v>
      </c>
      <c r="C1080">
        <v>1</v>
      </c>
      <c r="D1080">
        <v>1</v>
      </c>
      <c r="E1080">
        <v>79</v>
      </c>
      <c r="F1080">
        <v>26</v>
      </c>
      <c r="G1080">
        <v>1</v>
      </c>
      <c r="H1080">
        <v>11</v>
      </c>
      <c r="I1080">
        <v>0</v>
      </c>
      <c r="J1080">
        <v>1</v>
      </c>
      <c r="K1080">
        <v>4</v>
      </c>
      <c r="L1080">
        <v>2</v>
      </c>
      <c r="M1080">
        <v>1</v>
      </c>
      <c r="N1080">
        <v>0</v>
      </c>
      <c r="O1080">
        <v>3</v>
      </c>
      <c r="P1080">
        <v>3</v>
      </c>
      <c r="Q1080">
        <v>0</v>
      </c>
      <c r="R1080">
        <v>0</v>
      </c>
      <c r="S1080">
        <v>0</v>
      </c>
      <c r="T1080">
        <v>0</v>
      </c>
      <c r="U1080">
        <v>0</v>
      </c>
      <c r="V1080">
        <f>IF(SUM(ifood_data[[#This Row],[AcceptedCmp1]:[AcceptedCmp5]])&gt;0,1,0)</f>
        <v>0</v>
      </c>
      <c r="W1080">
        <v>0</v>
      </c>
      <c r="X1080">
        <v>3</v>
      </c>
      <c r="Y1080">
        <v>11</v>
      </c>
      <c r="Z1080">
        <v>0</v>
      </c>
      <c r="AA1080">
        <v>65</v>
      </c>
      <c r="AB1080">
        <v>2352</v>
      </c>
      <c r="AC1080" s="28">
        <f>ifood_data[[#This Row],[Customer_Days]]/365</f>
        <v>6.4438356164383563</v>
      </c>
      <c r="AD1080">
        <v>0</v>
      </c>
      <c r="AE1080">
        <v>0</v>
      </c>
      <c r="AF1080">
        <v>1</v>
      </c>
      <c r="AG1080">
        <v>0</v>
      </c>
      <c r="AH1080">
        <v>0</v>
      </c>
      <c r="AI1080">
        <v>0</v>
      </c>
      <c r="AJ1080">
        <v>0</v>
      </c>
      <c r="AK1080">
        <v>0</v>
      </c>
      <c r="AL1080">
        <v>1</v>
      </c>
      <c r="AM1080">
        <v>0</v>
      </c>
      <c r="AN1080">
        <v>39</v>
      </c>
      <c r="AO1080">
        <v>35</v>
      </c>
      <c r="AP1080">
        <f>ifood_data[[#This Row],[MntTotal]]-ifood_data[[#This Row],[MntRegularProds]]</f>
        <v>4</v>
      </c>
      <c r="AQ1080">
        <v>0</v>
      </c>
      <c r="AR1080">
        <f>IF(SUM(ifood_data[[#This Row],[Kidhome]:[Teenhome]])&gt;0,1,0)</f>
        <v>1</v>
      </c>
      <c r="AS1080" t="str">
        <f>IF(SUM(ifood_data[[#This Row],[Kidhome]:[Teenhome]])&gt;0,"Has Family","No Family")</f>
        <v>Has Family</v>
      </c>
      <c r="AT1080" t="str">
        <f>IF(ifood_data[[#This Row],[marital_Married]]=1,"Married", (IF(ifood_data[[#This Row],[marital_Single]]=1,"Single",(IF(ifood_data[[#This Row],[marital_Divorced]]=1,"Divorced",(IF(ifood_data[[#This Row],[marital_Together]]=1,"Living Together",(IF(ifood_data[[#This Row],[marital_Widow]]=1,"Widow","Other")))))))))</f>
        <v>Single</v>
      </c>
      <c r="AU1080" t="str">
        <f>IF(ifood_data[[#This Row],[education_Basic]]=1,"High School",(IF(ifood_data[[#This Row],[education_Graduation]]=1,"Undergraduate Degree",(IF(SUM(AM1080,AL1080,AI1080)&gt;0,"Master's Degree or Higher","Other")))))</f>
        <v>Master's Degree or Higher</v>
      </c>
      <c r="AV1080" t="str">
        <f>IF(ifood_data[[#All],[Income]]&gt;75000,"75K+",(IF(ifood_data[[#All],[Income]]&gt;50000,"50K-75K",(IF(ifood_data[[#All],[Income]]&gt;35000,"35K-50K","&lt;35K")))))</f>
        <v>50K-75K</v>
      </c>
      <c r="AW1080" t="str">
        <f>IF(ifood_data[[#All],[Age]]&gt;60,"60+",(IF(ifood_data[[#All],[Age]]&gt;50,"50-60",(IF(ifood_data[[#All],[Age]]&gt;40,"40-50",(IF(ifood_data[[#All],[Age]]&gt;30,"30-40","&lt;30")))))))</f>
        <v>60+</v>
      </c>
      <c r="AX1080">
        <f t="shared" si="64"/>
        <v>9</v>
      </c>
      <c r="AY1080">
        <f t="shared" si="65"/>
        <v>3.0000000000000004</v>
      </c>
      <c r="AZ1080">
        <f t="shared" si="66"/>
        <v>0</v>
      </c>
      <c r="BA1080">
        <f t="shared" si="67"/>
        <v>1</v>
      </c>
      <c r="BB1080">
        <f>SUM(ifood_data[[#This Row],[Recency Score]:[Monetary Score]])</f>
        <v>4</v>
      </c>
      <c r="BC1080">
        <f>(_xlfn.PERCENTRANK.INC(ifood_data[[#All],[RFM]],ifood_data[[#This Row],[RFM]],1))*10</f>
        <v>0</v>
      </c>
      <c r="BD1080" t="str">
        <f>VLOOKUP(ifood_data[[#This Row],[RFM Score]],'RFM Analysis'!$A$3:$B$14,2,FALSE)</f>
        <v>Lost</v>
      </c>
      <c r="BE1080">
        <f>'Regression Models'!$B$101+'Regression Models'!$B$102*ifood_data[[#This Row],[Income]]+'Regression Models'!$B$103*ifood_data[[#This Row],[Age]]+'Regression Models'!$B$104*ifood_data[[#This Row],[Family]]</f>
        <v>445.55795511307713</v>
      </c>
      <c r="BF1080" t="str">
        <f>IF(ifood_data[[#This Row],[AcceptedCmpOverall]]=1,"Campaign Respondent","Non-respondent")</f>
        <v>Non-respondent</v>
      </c>
    </row>
    <row r="1081" spans="1:58" x14ac:dyDescent="0.35">
      <c r="A1081">
        <v>955</v>
      </c>
      <c r="B1081">
        <v>49187</v>
      </c>
      <c r="C1081">
        <v>0</v>
      </c>
      <c r="D1081">
        <v>1</v>
      </c>
      <c r="E1081">
        <v>63</v>
      </c>
      <c r="F1081">
        <v>81</v>
      </c>
      <c r="G1081">
        <v>1</v>
      </c>
      <c r="H1081">
        <v>31</v>
      </c>
      <c r="I1081">
        <v>2</v>
      </c>
      <c r="J1081">
        <v>1</v>
      </c>
      <c r="K1081">
        <v>0</v>
      </c>
      <c r="L1081">
        <v>1</v>
      </c>
      <c r="M1081">
        <v>1</v>
      </c>
      <c r="N1081">
        <v>1</v>
      </c>
      <c r="O1081">
        <v>5</v>
      </c>
      <c r="P1081">
        <v>2</v>
      </c>
      <c r="Q1081">
        <v>0</v>
      </c>
      <c r="R1081">
        <v>0</v>
      </c>
      <c r="S1081">
        <v>0</v>
      </c>
      <c r="T1081">
        <v>0</v>
      </c>
      <c r="U1081">
        <v>0</v>
      </c>
      <c r="V1081">
        <f>IF(SUM(ifood_data[[#This Row],[AcceptedCmp1]:[AcceptedCmp5]])&gt;0,1,0)</f>
        <v>0</v>
      </c>
      <c r="W1081">
        <v>0</v>
      </c>
      <c r="X1081">
        <v>3</v>
      </c>
      <c r="Y1081">
        <v>11</v>
      </c>
      <c r="Z1081">
        <v>0</v>
      </c>
      <c r="AA1081">
        <v>44</v>
      </c>
      <c r="AB1081">
        <v>2328</v>
      </c>
      <c r="AC1081" s="28">
        <f>ifood_data[[#This Row],[Customer_Days]]/365</f>
        <v>6.3780821917808215</v>
      </c>
      <c r="AD1081">
        <v>0</v>
      </c>
      <c r="AE1081">
        <v>0</v>
      </c>
      <c r="AF1081">
        <v>0</v>
      </c>
      <c r="AG1081">
        <v>1</v>
      </c>
      <c r="AH1081">
        <v>0</v>
      </c>
      <c r="AI1081">
        <v>0</v>
      </c>
      <c r="AJ1081">
        <v>0</v>
      </c>
      <c r="AK1081">
        <v>0</v>
      </c>
      <c r="AL1081">
        <v>0</v>
      </c>
      <c r="AM1081">
        <v>1</v>
      </c>
      <c r="AN1081">
        <v>116</v>
      </c>
      <c r="AO1081">
        <v>116</v>
      </c>
      <c r="AP1081">
        <f>ifood_data[[#This Row],[MntTotal]]-ifood_data[[#This Row],[MntRegularProds]]</f>
        <v>0</v>
      </c>
      <c r="AQ1081">
        <v>0</v>
      </c>
      <c r="AR1081">
        <f>IF(SUM(ifood_data[[#This Row],[Kidhome]:[Teenhome]])&gt;0,1,0)</f>
        <v>1</v>
      </c>
      <c r="AS1081" t="str">
        <f>IF(SUM(ifood_data[[#This Row],[Kidhome]:[Teenhome]])&gt;0,"Has Family","No Family")</f>
        <v>Has Family</v>
      </c>
      <c r="AT1081" t="str">
        <f>IF(ifood_data[[#This Row],[marital_Married]]=1,"Married", (IF(ifood_data[[#This Row],[marital_Single]]=1,"Single",(IF(ifood_data[[#This Row],[marital_Divorced]]=1,"Divorced",(IF(ifood_data[[#This Row],[marital_Together]]=1,"Living Together",(IF(ifood_data[[#This Row],[marital_Widow]]=1,"Widow","Other")))))))))</f>
        <v>Living Together</v>
      </c>
      <c r="AU1081" t="str">
        <f>IF(ifood_data[[#This Row],[education_Basic]]=1,"High School",(IF(ifood_data[[#This Row],[education_Graduation]]=1,"Undergraduate Degree",(IF(SUM(AM1081,AL1081,AI1081)&gt;0,"Master's Degree or Higher","Other")))))</f>
        <v>Master's Degree or Higher</v>
      </c>
      <c r="AV1081" t="str">
        <f>IF(ifood_data[[#All],[Income]]&gt;75000,"75K+",(IF(ifood_data[[#All],[Income]]&gt;50000,"50K-75K",(IF(ifood_data[[#All],[Income]]&gt;35000,"35K-50K","&lt;35K")))))</f>
        <v>35K-50K</v>
      </c>
      <c r="AW1081" t="str">
        <f>IF(ifood_data[[#All],[Age]]&gt;60,"60+",(IF(ifood_data[[#All],[Age]]&gt;50,"50-60",(IF(ifood_data[[#All],[Age]]&gt;40,"40-50",(IF(ifood_data[[#All],[Age]]&gt;30,"30-40","&lt;30")))))))</f>
        <v>40-50</v>
      </c>
      <c r="AX1081">
        <f t="shared" si="64"/>
        <v>10</v>
      </c>
      <c r="AY1081">
        <f t="shared" si="65"/>
        <v>4</v>
      </c>
      <c r="AZ1081">
        <f t="shared" si="66"/>
        <v>0</v>
      </c>
      <c r="BA1081">
        <f t="shared" si="67"/>
        <v>3</v>
      </c>
      <c r="BB1081">
        <f>SUM(ifood_data[[#This Row],[Recency Score]:[Monetary Score]])</f>
        <v>7</v>
      </c>
      <c r="BC1081">
        <f>(_xlfn.PERCENTRANK.INC(ifood_data[[#All],[RFM]],ifood_data[[#This Row],[RFM]],1))*10</f>
        <v>1</v>
      </c>
      <c r="BD1081" t="str">
        <f>VLOOKUP(ifood_data[[#This Row],[RFM Score]],'RFM Analysis'!$A$3:$B$14,2,FALSE)</f>
        <v>At Risk</v>
      </c>
      <c r="BE1081">
        <f>'Regression Models'!$B$101+'Regression Models'!$B$102*ifood_data[[#This Row],[Income]]+'Regression Models'!$B$103*ifood_data[[#This Row],[Age]]+'Regression Models'!$B$104*ifood_data[[#This Row],[Family]]</f>
        <v>444.63013187512479</v>
      </c>
      <c r="BF1081" t="str">
        <f>IF(ifood_data[[#This Row],[AcceptedCmpOverall]]=1,"Campaign Respondent","Non-respondent")</f>
        <v>Non-respondent</v>
      </c>
    </row>
    <row r="1082" spans="1:58" x14ac:dyDescent="0.35">
      <c r="A1082">
        <v>653</v>
      </c>
      <c r="B1082">
        <v>50611</v>
      </c>
      <c r="C1082">
        <v>0</v>
      </c>
      <c r="D1082">
        <v>1</v>
      </c>
      <c r="E1082">
        <v>98</v>
      </c>
      <c r="F1082">
        <v>459</v>
      </c>
      <c r="G1082">
        <v>0</v>
      </c>
      <c r="H1082">
        <v>24</v>
      </c>
      <c r="I1082">
        <v>6</v>
      </c>
      <c r="J1082">
        <v>0</v>
      </c>
      <c r="K1082">
        <v>4</v>
      </c>
      <c r="L1082">
        <v>6</v>
      </c>
      <c r="M1082">
        <v>4</v>
      </c>
      <c r="N1082">
        <v>5</v>
      </c>
      <c r="O1082">
        <v>7</v>
      </c>
      <c r="P1082">
        <v>6</v>
      </c>
      <c r="Q1082">
        <v>0</v>
      </c>
      <c r="R1082">
        <v>0</v>
      </c>
      <c r="S1082">
        <v>0</v>
      </c>
      <c r="T1082">
        <v>1</v>
      </c>
      <c r="U1082">
        <v>0</v>
      </c>
      <c r="V1082">
        <f>IF(SUM(ifood_data[[#This Row],[AcceptedCmp1]:[AcceptedCmp5]])&gt;0,1,0)</f>
        <v>1</v>
      </c>
      <c r="W1082">
        <v>0</v>
      </c>
      <c r="X1082">
        <v>3</v>
      </c>
      <c r="Y1082">
        <v>11</v>
      </c>
      <c r="Z1082">
        <v>1</v>
      </c>
      <c r="AA1082">
        <v>60</v>
      </c>
      <c r="AB1082">
        <v>2792</v>
      </c>
      <c r="AC1082" s="28">
        <f>ifood_data[[#This Row],[Customer_Days]]/365</f>
        <v>7.6493150684931503</v>
      </c>
      <c r="AD1082">
        <v>1</v>
      </c>
      <c r="AE1082">
        <v>0</v>
      </c>
      <c r="AF1082">
        <v>0</v>
      </c>
      <c r="AG1082">
        <v>0</v>
      </c>
      <c r="AH1082">
        <v>0</v>
      </c>
      <c r="AI1082">
        <v>0</v>
      </c>
      <c r="AJ1082">
        <v>0</v>
      </c>
      <c r="AK1082">
        <v>0</v>
      </c>
      <c r="AL1082">
        <v>0</v>
      </c>
      <c r="AM1082">
        <v>1</v>
      </c>
      <c r="AN1082">
        <v>489</v>
      </c>
      <c r="AO1082">
        <v>485</v>
      </c>
      <c r="AP1082">
        <f>ifood_data[[#This Row],[MntTotal]]-ifood_data[[#This Row],[MntRegularProds]]</f>
        <v>4</v>
      </c>
      <c r="AQ1082">
        <v>1</v>
      </c>
      <c r="AR1082">
        <f>IF(SUM(ifood_data[[#This Row],[Kidhome]:[Teenhome]])&gt;0,1,0)</f>
        <v>1</v>
      </c>
      <c r="AS1082" t="str">
        <f>IF(SUM(ifood_data[[#This Row],[Kidhome]:[Teenhome]])&gt;0,"Has Family","No Family")</f>
        <v>Has Family</v>
      </c>
      <c r="AT1082" t="str">
        <f>IF(ifood_data[[#This Row],[marital_Married]]=1,"Married", (IF(ifood_data[[#This Row],[marital_Single]]=1,"Single",(IF(ifood_data[[#This Row],[marital_Divorced]]=1,"Divorced",(IF(ifood_data[[#This Row],[marital_Together]]=1,"Living Together",(IF(ifood_data[[#This Row],[marital_Widow]]=1,"Widow","Other")))))))))</f>
        <v>Divorced</v>
      </c>
      <c r="AU1082" t="str">
        <f>IF(ifood_data[[#This Row],[education_Basic]]=1,"High School",(IF(ifood_data[[#This Row],[education_Graduation]]=1,"Undergraduate Degree",(IF(SUM(AM1082,AL1082,AI1082)&gt;0,"Master's Degree or Higher","Other")))))</f>
        <v>Master's Degree or Higher</v>
      </c>
      <c r="AV1082" t="str">
        <f>IF(ifood_data[[#All],[Income]]&gt;75000,"75K+",(IF(ifood_data[[#All],[Income]]&gt;50000,"50K-75K",(IF(ifood_data[[#All],[Income]]&gt;35000,"35K-50K","&lt;35K")))))</f>
        <v>50K-75K</v>
      </c>
      <c r="AW1082" t="str">
        <f>IF(ifood_data[[#All],[Age]]&gt;60,"60+",(IF(ifood_data[[#All],[Age]]&gt;50,"50-60",(IF(ifood_data[[#All],[Age]]&gt;40,"40-50",(IF(ifood_data[[#All],[Age]]&gt;30,"30-40","&lt;30")))))))</f>
        <v>50-60</v>
      </c>
      <c r="AX1082">
        <f t="shared" si="64"/>
        <v>28</v>
      </c>
      <c r="AY1082">
        <f t="shared" si="65"/>
        <v>0.99999999999999978</v>
      </c>
      <c r="AZ1082">
        <f t="shared" si="66"/>
        <v>8</v>
      </c>
      <c r="BA1082">
        <f t="shared" si="67"/>
        <v>5</v>
      </c>
      <c r="BB1082">
        <f>SUM(ifood_data[[#This Row],[Recency Score]:[Monetary Score]])</f>
        <v>14</v>
      </c>
      <c r="BC1082">
        <f>(_xlfn.PERCENTRANK.INC(ifood_data[[#All],[RFM]],ifood_data[[#This Row],[RFM]],1))*10</f>
        <v>4</v>
      </c>
      <c r="BD1082" t="str">
        <f>VLOOKUP(ifood_data[[#This Row],[RFM Score]],'RFM Analysis'!$A$3:$B$14,2,FALSE)</f>
        <v>At Risk</v>
      </c>
      <c r="BE1082">
        <f>'Regression Models'!$B$101+'Regression Models'!$B$102*ifood_data[[#This Row],[Income]]+'Regression Models'!$B$103*ifood_data[[#This Row],[Age]]+'Regression Models'!$B$104*ifood_data[[#This Row],[Family]]</f>
        <v>444.28071244972841</v>
      </c>
      <c r="BF1082" t="str">
        <f>IF(ifood_data[[#This Row],[AcceptedCmpOverall]]=1,"Campaign Respondent","Non-respondent")</f>
        <v>Campaign Respondent</v>
      </c>
    </row>
    <row r="1083" spans="1:58" x14ac:dyDescent="0.35">
      <c r="A1083">
        <v>1289</v>
      </c>
      <c r="B1083">
        <v>50611</v>
      </c>
      <c r="C1083">
        <v>0</v>
      </c>
      <c r="D1083">
        <v>1</v>
      </c>
      <c r="E1083">
        <v>98</v>
      </c>
      <c r="F1083">
        <v>459</v>
      </c>
      <c r="G1083">
        <v>0</v>
      </c>
      <c r="H1083">
        <v>24</v>
      </c>
      <c r="I1083">
        <v>6</v>
      </c>
      <c r="J1083">
        <v>0</v>
      </c>
      <c r="K1083">
        <v>4</v>
      </c>
      <c r="L1083">
        <v>6</v>
      </c>
      <c r="M1083">
        <v>4</v>
      </c>
      <c r="N1083">
        <v>5</v>
      </c>
      <c r="O1083">
        <v>7</v>
      </c>
      <c r="P1083">
        <v>6</v>
      </c>
      <c r="Q1083">
        <v>0</v>
      </c>
      <c r="R1083">
        <v>0</v>
      </c>
      <c r="S1083">
        <v>0</v>
      </c>
      <c r="T1083">
        <v>1</v>
      </c>
      <c r="U1083">
        <v>0</v>
      </c>
      <c r="V1083">
        <f>IF(SUM(ifood_data[[#This Row],[AcceptedCmp1]:[AcceptedCmp5]])&gt;0,1,0)</f>
        <v>1</v>
      </c>
      <c r="W1083">
        <v>0</v>
      </c>
      <c r="X1083">
        <v>3</v>
      </c>
      <c r="Y1083">
        <v>11</v>
      </c>
      <c r="Z1083">
        <v>0</v>
      </c>
      <c r="AA1083">
        <v>60</v>
      </c>
      <c r="AB1083">
        <v>2792</v>
      </c>
      <c r="AC1083" s="28">
        <f>ifood_data[[#This Row],[Customer_Days]]/365</f>
        <v>7.6493150684931503</v>
      </c>
      <c r="AD1083">
        <v>1</v>
      </c>
      <c r="AE1083">
        <v>0</v>
      </c>
      <c r="AF1083">
        <v>0</v>
      </c>
      <c r="AG1083">
        <v>0</v>
      </c>
      <c r="AH1083">
        <v>0</v>
      </c>
      <c r="AI1083">
        <v>0</v>
      </c>
      <c r="AJ1083">
        <v>0</v>
      </c>
      <c r="AK1083">
        <v>0</v>
      </c>
      <c r="AL1083">
        <v>0</v>
      </c>
      <c r="AM1083">
        <v>1</v>
      </c>
      <c r="AN1083">
        <v>489</v>
      </c>
      <c r="AO1083">
        <v>485</v>
      </c>
      <c r="AP1083">
        <f>ifood_data[[#This Row],[MntTotal]]-ifood_data[[#This Row],[MntRegularProds]]</f>
        <v>4</v>
      </c>
      <c r="AQ1083">
        <v>1</v>
      </c>
      <c r="AR1083">
        <f>IF(SUM(ifood_data[[#This Row],[Kidhome]:[Teenhome]])&gt;0,1,0)</f>
        <v>1</v>
      </c>
      <c r="AS1083" t="str">
        <f>IF(SUM(ifood_data[[#This Row],[Kidhome]:[Teenhome]])&gt;0,"Has Family","No Family")</f>
        <v>Has Family</v>
      </c>
      <c r="AT1083" t="str">
        <f>IF(ifood_data[[#This Row],[marital_Married]]=1,"Married", (IF(ifood_data[[#This Row],[marital_Single]]=1,"Single",(IF(ifood_data[[#This Row],[marital_Divorced]]=1,"Divorced",(IF(ifood_data[[#This Row],[marital_Together]]=1,"Living Together",(IF(ifood_data[[#This Row],[marital_Widow]]=1,"Widow","Other")))))))))</f>
        <v>Divorced</v>
      </c>
      <c r="AU1083" t="str">
        <f>IF(ifood_data[[#This Row],[education_Basic]]=1,"High School",(IF(ifood_data[[#This Row],[education_Graduation]]=1,"Undergraduate Degree",(IF(SUM(AM1083,AL1083,AI1083)&gt;0,"Master's Degree or Higher","Other")))))</f>
        <v>Master's Degree or Higher</v>
      </c>
      <c r="AV1083" t="str">
        <f>IF(ifood_data[[#All],[Income]]&gt;75000,"75K+",(IF(ifood_data[[#All],[Income]]&gt;50000,"50K-75K",(IF(ifood_data[[#All],[Income]]&gt;35000,"35K-50K","&lt;35K")))))</f>
        <v>50K-75K</v>
      </c>
      <c r="AW1083" t="str">
        <f>IF(ifood_data[[#All],[Age]]&gt;60,"60+",(IF(ifood_data[[#All],[Age]]&gt;50,"50-60",(IF(ifood_data[[#All],[Age]]&gt;40,"40-50",(IF(ifood_data[[#All],[Age]]&gt;30,"30-40","&lt;30")))))))</f>
        <v>50-60</v>
      </c>
      <c r="AX1083">
        <f t="shared" si="64"/>
        <v>28</v>
      </c>
      <c r="AY1083">
        <f t="shared" si="65"/>
        <v>0.99999999999999978</v>
      </c>
      <c r="AZ1083">
        <f t="shared" si="66"/>
        <v>8</v>
      </c>
      <c r="BA1083">
        <f t="shared" si="67"/>
        <v>5</v>
      </c>
      <c r="BB1083">
        <f>SUM(ifood_data[[#This Row],[Recency Score]:[Monetary Score]])</f>
        <v>14</v>
      </c>
      <c r="BC1083">
        <f>(_xlfn.PERCENTRANK.INC(ifood_data[[#All],[RFM]],ifood_data[[#This Row],[RFM]],1))*10</f>
        <v>4</v>
      </c>
      <c r="BD1083" t="str">
        <f>VLOOKUP(ifood_data[[#This Row],[RFM Score]],'RFM Analysis'!$A$3:$B$14,2,FALSE)</f>
        <v>At Risk</v>
      </c>
      <c r="BE1083">
        <f>'Regression Models'!$B$101+'Regression Models'!$B$102*ifood_data[[#This Row],[Income]]+'Regression Models'!$B$103*ifood_data[[#This Row],[Age]]+'Regression Models'!$B$104*ifood_data[[#This Row],[Family]]</f>
        <v>444.28071244972841</v>
      </c>
      <c r="BF1083" t="str">
        <f>IF(ifood_data[[#This Row],[AcceptedCmpOverall]]=1,"Campaign Respondent","Non-respondent")</f>
        <v>Campaign Respondent</v>
      </c>
    </row>
    <row r="1084" spans="1:58" x14ac:dyDescent="0.35">
      <c r="A1084">
        <v>1136</v>
      </c>
      <c r="B1084">
        <v>50965</v>
      </c>
      <c r="C1084">
        <v>0</v>
      </c>
      <c r="D1084">
        <v>1</v>
      </c>
      <c r="E1084">
        <v>87</v>
      </c>
      <c r="F1084">
        <v>544</v>
      </c>
      <c r="G1084">
        <v>13</v>
      </c>
      <c r="H1084">
        <v>85</v>
      </c>
      <c r="I1084">
        <v>8</v>
      </c>
      <c r="J1084">
        <v>6</v>
      </c>
      <c r="K1084">
        <v>29</v>
      </c>
      <c r="L1084">
        <v>3</v>
      </c>
      <c r="M1084">
        <v>10</v>
      </c>
      <c r="N1084">
        <v>4</v>
      </c>
      <c r="O1084">
        <v>5</v>
      </c>
      <c r="P1084">
        <v>8</v>
      </c>
      <c r="Q1084">
        <v>0</v>
      </c>
      <c r="R1084">
        <v>0</v>
      </c>
      <c r="S1084">
        <v>1</v>
      </c>
      <c r="T1084">
        <v>0</v>
      </c>
      <c r="U1084">
        <v>0</v>
      </c>
      <c r="V1084">
        <f>IF(SUM(ifood_data[[#This Row],[AcceptedCmp1]:[AcceptedCmp5]])&gt;0,1,0)</f>
        <v>1</v>
      </c>
      <c r="W1084">
        <v>0</v>
      </c>
      <c r="X1084">
        <v>3</v>
      </c>
      <c r="Y1084">
        <v>11</v>
      </c>
      <c r="Z1084">
        <v>0</v>
      </c>
      <c r="AA1084">
        <v>64</v>
      </c>
      <c r="AB1084">
        <v>2653</v>
      </c>
      <c r="AC1084" s="28">
        <f>ifood_data[[#This Row],[Customer_Days]]/365</f>
        <v>7.2684931506849315</v>
      </c>
      <c r="AD1084">
        <v>0</v>
      </c>
      <c r="AE1084">
        <v>1</v>
      </c>
      <c r="AF1084">
        <v>0</v>
      </c>
      <c r="AG1084">
        <v>0</v>
      </c>
      <c r="AH1084">
        <v>0</v>
      </c>
      <c r="AI1084">
        <v>0</v>
      </c>
      <c r="AJ1084">
        <v>0</v>
      </c>
      <c r="AK1084">
        <v>0</v>
      </c>
      <c r="AL1084">
        <v>1</v>
      </c>
      <c r="AM1084">
        <v>0</v>
      </c>
      <c r="AN1084">
        <v>656</v>
      </c>
      <c r="AO1084">
        <v>627</v>
      </c>
      <c r="AP1084">
        <f>ifood_data[[#This Row],[MntTotal]]-ifood_data[[#This Row],[MntRegularProds]]</f>
        <v>29</v>
      </c>
      <c r="AQ1084">
        <v>1</v>
      </c>
      <c r="AR1084">
        <f>IF(SUM(ifood_data[[#This Row],[Kidhome]:[Teenhome]])&gt;0,1,0)</f>
        <v>1</v>
      </c>
      <c r="AS1084" t="str">
        <f>IF(SUM(ifood_data[[#This Row],[Kidhome]:[Teenhome]])&gt;0,"Has Family","No Family")</f>
        <v>Has Family</v>
      </c>
      <c r="AT1084" t="str">
        <f>IF(ifood_data[[#This Row],[marital_Married]]=1,"Married", (IF(ifood_data[[#This Row],[marital_Single]]=1,"Single",(IF(ifood_data[[#This Row],[marital_Divorced]]=1,"Divorced",(IF(ifood_data[[#This Row],[marital_Together]]=1,"Living Together",(IF(ifood_data[[#This Row],[marital_Widow]]=1,"Widow","Other")))))))))</f>
        <v>Married</v>
      </c>
      <c r="AU1084" t="str">
        <f>IF(ifood_data[[#This Row],[education_Basic]]=1,"High School",(IF(ifood_data[[#This Row],[education_Graduation]]=1,"Undergraduate Degree",(IF(SUM(AM1084,AL1084,AI1084)&gt;0,"Master's Degree or Higher","Other")))))</f>
        <v>Master's Degree or Higher</v>
      </c>
      <c r="AV1084" t="str">
        <f>IF(ifood_data[[#All],[Income]]&gt;75000,"75K+",(IF(ifood_data[[#All],[Income]]&gt;50000,"50K-75K",(IF(ifood_data[[#All],[Income]]&gt;35000,"35K-50K","&lt;35K")))))</f>
        <v>50K-75K</v>
      </c>
      <c r="AW1084" t="str">
        <f>IF(ifood_data[[#All],[Age]]&gt;60,"60+",(IF(ifood_data[[#All],[Age]]&gt;50,"50-60",(IF(ifood_data[[#All],[Age]]&gt;40,"40-50",(IF(ifood_data[[#All],[Age]]&gt;30,"30-40","&lt;30")))))))</f>
        <v>60+</v>
      </c>
      <c r="AX1084">
        <f t="shared" si="64"/>
        <v>30</v>
      </c>
      <c r="AY1084">
        <f t="shared" si="65"/>
        <v>1.9999999999999996</v>
      </c>
      <c r="AZ1084">
        <f t="shared" si="66"/>
        <v>8</v>
      </c>
      <c r="BA1084">
        <f t="shared" si="67"/>
        <v>6</v>
      </c>
      <c r="BB1084">
        <f>SUM(ifood_data[[#This Row],[Recency Score]:[Monetary Score]])</f>
        <v>16</v>
      </c>
      <c r="BC1084">
        <f>(_xlfn.PERCENTRANK.INC(ifood_data[[#All],[RFM]],ifood_data[[#This Row],[RFM]],1))*10</f>
        <v>5</v>
      </c>
      <c r="BD1084" t="str">
        <f>VLOOKUP(ifood_data[[#This Row],[RFM Score]],'RFM Analysis'!$A$3:$B$14,2,FALSE)</f>
        <v>Promising</v>
      </c>
      <c r="BE1084">
        <f>'Regression Models'!$B$101+'Regression Models'!$B$102*ifood_data[[#This Row],[Income]]+'Regression Models'!$B$103*ifood_data[[#This Row],[Age]]+'Regression Models'!$B$104*ifood_data[[#This Row],[Family]]</f>
        <v>444.15258005709154</v>
      </c>
      <c r="BF1084" t="str">
        <f>IF(ifood_data[[#This Row],[AcceptedCmpOverall]]=1,"Campaign Respondent","Non-respondent")</f>
        <v>Campaign Respondent</v>
      </c>
    </row>
    <row r="1085" spans="1:58" x14ac:dyDescent="0.35">
      <c r="A1085">
        <v>412</v>
      </c>
      <c r="B1085">
        <v>50943</v>
      </c>
      <c r="C1085">
        <v>0</v>
      </c>
      <c r="D1085">
        <v>1</v>
      </c>
      <c r="E1085">
        <v>49</v>
      </c>
      <c r="F1085">
        <v>31</v>
      </c>
      <c r="G1085">
        <v>0</v>
      </c>
      <c r="H1085">
        <v>7</v>
      </c>
      <c r="I1085">
        <v>2</v>
      </c>
      <c r="J1085">
        <v>0</v>
      </c>
      <c r="K1085">
        <v>6</v>
      </c>
      <c r="L1085">
        <v>1</v>
      </c>
      <c r="M1085">
        <v>1</v>
      </c>
      <c r="N1085">
        <v>0</v>
      </c>
      <c r="O1085">
        <v>3</v>
      </c>
      <c r="P1085">
        <v>5</v>
      </c>
      <c r="Q1085">
        <v>0</v>
      </c>
      <c r="R1085">
        <v>0</v>
      </c>
      <c r="S1085">
        <v>0</v>
      </c>
      <c r="T1085">
        <v>0</v>
      </c>
      <c r="U1085">
        <v>0</v>
      </c>
      <c r="V1085">
        <f>IF(SUM(ifood_data[[#This Row],[AcceptedCmp1]:[AcceptedCmp5]])&gt;0,1,0)</f>
        <v>0</v>
      </c>
      <c r="W1085">
        <v>0</v>
      </c>
      <c r="X1085">
        <v>3</v>
      </c>
      <c r="Y1085">
        <v>11</v>
      </c>
      <c r="Z1085">
        <v>0</v>
      </c>
      <c r="AA1085">
        <v>64</v>
      </c>
      <c r="AB1085">
        <v>2532</v>
      </c>
      <c r="AC1085" s="28">
        <f>ifood_data[[#This Row],[Customer_Days]]/365</f>
        <v>6.9369863013698634</v>
      </c>
      <c r="AD1085">
        <v>0</v>
      </c>
      <c r="AE1085">
        <v>0</v>
      </c>
      <c r="AF1085">
        <v>0</v>
      </c>
      <c r="AG1085">
        <v>1</v>
      </c>
      <c r="AH1085">
        <v>0</v>
      </c>
      <c r="AI1085">
        <v>0</v>
      </c>
      <c r="AJ1085">
        <v>0</v>
      </c>
      <c r="AK1085">
        <v>0</v>
      </c>
      <c r="AL1085">
        <v>1</v>
      </c>
      <c r="AM1085">
        <v>0</v>
      </c>
      <c r="AN1085">
        <v>40</v>
      </c>
      <c r="AO1085">
        <v>34</v>
      </c>
      <c r="AP1085">
        <f>ifood_data[[#This Row],[MntTotal]]-ifood_data[[#This Row],[MntRegularProds]]</f>
        <v>6</v>
      </c>
      <c r="AQ1085">
        <v>0</v>
      </c>
      <c r="AR1085">
        <f>IF(SUM(ifood_data[[#This Row],[Kidhome]:[Teenhome]])&gt;0,1,0)</f>
        <v>1</v>
      </c>
      <c r="AS1085" t="str">
        <f>IF(SUM(ifood_data[[#This Row],[Kidhome]:[Teenhome]])&gt;0,"Has Family","No Family")</f>
        <v>Has Family</v>
      </c>
      <c r="AT1085" t="str">
        <f>IF(ifood_data[[#This Row],[marital_Married]]=1,"Married", (IF(ifood_data[[#This Row],[marital_Single]]=1,"Single",(IF(ifood_data[[#This Row],[marital_Divorced]]=1,"Divorced",(IF(ifood_data[[#This Row],[marital_Together]]=1,"Living Together",(IF(ifood_data[[#This Row],[marital_Widow]]=1,"Widow","Other")))))))))</f>
        <v>Living Together</v>
      </c>
      <c r="AU1085" t="str">
        <f>IF(ifood_data[[#This Row],[education_Basic]]=1,"High School",(IF(ifood_data[[#This Row],[education_Graduation]]=1,"Undergraduate Degree",(IF(SUM(AM1085,AL1085,AI1085)&gt;0,"Master's Degree or Higher","Other")))))</f>
        <v>Master's Degree or Higher</v>
      </c>
      <c r="AV1085" t="str">
        <f>IF(ifood_data[[#All],[Income]]&gt;75000,"75K+",(IF(ifood_data[[#All],[Income]]&gt;50000,"50K-75K",(IF(ifood_data[[#All],[Income]]&gt;35000,"35K-50K","&lt;35K")))))</f>
        <v>50K-75K</v>
      </c>
      <c r="AW1085" t="str">
        <f>IF(ifood_data[[#All],[Age]]&gt;60,"60+",(IF(ifood_data[[#All],[Age]]&gt;50,"50-60",(IF(ifood_data[[#All],[Age]]&gt;40,"40-50",(IF(ifood_data[[#All],[Age]]&gt;30,"30-40","&lt;30")))))))</f>
        <v>60+</v>
      </c>
      <c r="AX1085">
        <f t="shared" si="64"/>
        <v>10</v>
      </c>
      <c r="AY1085">
        <f t="shared" si="65"/>
        <v>6</v>
      </c>
      <c r="AZ1085">
        <f t="shared" si="66"/>
        <v>0</v>
      </c>
      <c r="BA1085">
        <f t="shared" si="67"/>
        <v>1</v>
      </c>
      <c r="BB1085">
        <f>SUM(ifood_data[[#This Row],[Recency Score]:[Monetary Score]])</f>
        <v>7</v>
      </c>
      <c r="BC1085">
        <f>(_xlfn.PERCENTRANK.INC(ifood_data[[#All],[RFM]],ifood_data[[#This Row],[RFM]],1))*10</f>
        <v>1</v>
      </c>
      <c r="BD1085" t="str">
        <f>VLOOKUP(ifood_data[[#This Row],[RFM Score]],'RFM Analysis'!$A$3:$B$14,2,FALSE)</f>
        <v>At Risk</v>
      </c>
      <c r="BE1085">
        <f>'Regression Models'!$B$101+'Regression Models'!$B$102*ifood_data[[#This Row],[Income]]+'Regression Models'!$B$103*ifood_data[[#This Row],[Age]]+'Regression Models'!$B$104*ifood_data[[#This Row],[Family]]</f>
        <v>443.70402715792591</v>
      </c>
      <c r="BF1085" t="str">
        <f>IF(ifood_data[[#This Row],[AcceptedCmpOverall]]=1,"Campaign Respondent","Non-respondent")</f>
        <v>Non-respondent</v>
      </c>
    </row>
    <row r="1086" spans="1:58" x14ac:dyDescent="0.35">
      <c r="A1086">
        <v>1611</v>
      </c>
      <c r="B1086">
        <v>51569</v>
      </c>
      <c r="C1086">
        <v>0</v>
      </c>
      <c r="D1086">
        <v>1</v>
      </c>
      <c r="E1086">
        <v>39</v>
      </c>
      <c r="F1086">
        <v>380</v>
      </c>
      <c r="G1086">
        <v>0</v>
      </c>
      <c r="H1086">
        <v>47</v>
      </c>
      <c r="I1086">
        <v>6</v>
      </c>
      <c r="J1086">
        <v>0</v>
      </c>
      <c r="K1086">
        <v>34</v>
      </c>
      <c r="L1086">
        <v>4</v>
      </c>
      <c r="M1086">
        <v>7</v>
      </c>
      <c r="N1086">
        <v>1</v>
      </c>
      <c r="O1086">
        <v>7</v>
      </c>
      <c r="P1086">
        <v>8</v>
      </c>
      <c r="Q1086">
        <v>0</v>
      </c>
      <c r="R1086">
        <v>0</v>
      </c>
      <c r="S1086">
        <v>0</v>
      </c>
      <c r="T1086">
        <v>1</v>
      </c>
      <c r="U1086">
        <v>0</v>
      </c>
      <c r="V1086">
        <f>IF(SUM(ifood_data[[#This Row],[AcceptedCmp1]:[AcceptedCmp5]])&gt;0,1,0)</f>
        <v>1</v>
      </c>
      <c r="W1086">
        <v>0</v>
      </c>
      <c r="X1086">
        <v>3</v>
      </c>
      <c r="Y1086">
        <v>11</v>
      </c>
      <c r="Z1086">
        <v>1</v>
      </c>
      <c r="AA1086">
        <v>71</v>
      </c>
      <c r="AB1086">
        <v>2661</v>
      </c>
      <c r="AC1086" s="28">
        <f>ifood_data[[#This Row],[Customer_Days]]/365</f>
        <v>7.2904109589041095</v>
      </c>
      <c r="AD1086">
        <v>0</v>
      </c>
      <c r="AE1086">
        <v>0</v>
      </c>
      <c r="AF1086">
        <v>0</v>
      </c>
      <c r="AG1086">
        <v>0</v>
      </c>
      <c r="AH1086">
        <v>1</v>
      </c>
      <c r="AI1086">
        <v>0</v>
      </c>
      <c r="AJ1086">
        <v>0</v>
      </c>
      <c r="AK1086">
        <v>0</v>
      </c>
      <c r="AL1086">
        <v>0</v>
      </c>
      <c r="AM1086">
        <v>1</v>
      </c>
      <c r="AN1086">
        <v>433</v>
      </c>
      <c r="AO1086">
        <v>399</v>
      </c>
      <c r="AP1086">
        <f>ifood_data[[#This Row],[MntTotal]]-ifood_data[[#This Row],[MntRegularProds]]</f>
        <v>34</v>
      </c>
      <c r="AQ1086">
        <v>1</v>
      </c>
      <c r="AR1086">
        <f>IF(SUM(ifood_data[[#This Row],[Kidhome]:[Teenhome]])&gt;0,1,0)</f>
        <v>1</v>
      </c>
      <c r="AS1086" t="str">
        <f>IF(SUM(ifood_data[[#This Row],[Kidhome]:[Teenhome]])&gt;0,"Has Family","No Family")</f>
        <v>Has Family</v>
      </c>
      <c r="AT1086" t="str">
        <f>IF(ifood_data[[#This Row],[marital_Married]]=1,"Married", (IF(ifood_data[[#This Row],[marital_Single]]=1,"Single",(IF(ifood_data[[#This Row],[marital_Divorced]]=1,"Divorced",(IF(ifood_data[[#This Row],[marital_Together]]=1,"Living Together",(IF(ifood_data[[#This Row],[marital_Widow]]=1,"Widow","Other")))))))))</f>
        <v>Widow</v>
      </c>
      <c r="AU1086" t="str">
        <f>IF(ifood_data[[#This Row],[education_Basic]]=1,"High School",(IF(ifood_data[[#This Row],[education_Graduation]]=1,"Undergraduate Degree",(IF(SUM(AM1086,AL1086,AI1086)&gt;0,"Master's Degree or Higher","Other")))))</f>
        <v>Master's Degree or Higher</v>
      </c>
      <c r="AV1086" t="str">
        <f>IF(ifood_data[[#All],[Income]]&gt;75000,"75K+",(IF(ifood_data[[#All],[Income]]&gt;50000,"50K-75K",(IF(ifood_data[[#All],[Income]]&gt;35000,"35K-50K","&lt;35K")))))</f>
        <v>50K-75K</v>
      </c>
      <c r="AW1086" t="str">
        <f>IF(ifood_data[[#All],[Age]]&gt;60,"60+",(IF(ifood_data[[#All],[Age]]&gt;50,"50-60",(IF(ifood_data[[#All],[Age]]&gt;40,"40-50",(IF(ifood_data[[#All],[Age]]&gt;30,"30-40","&lt;30")))))))</f>
        <v>60+</v>
      </c>
      <c r="AX1086">
        <f t="shared" si="64"/>
        <v>27</v>
      </c>
      <c r="AY1086">
        <f t="shared" si="65"/>
        <v>7</v>
      </c>
      <c r="AZ1086">
        <f t="shared" si="66"/>
        <v>7</v>
      </c>
      <c r="BA1086">
        <f t="shared" si="67"/>
        <v>5</v>
      </c>
      <c r="BB1086">
        <f>SUM(ifood_data[[#This Row],[Recency Score]:[Monetary Score]])</f>
        <v>19</v>
      </c>
      <c r="BC1086">
        <f>(_xlfn.PERCENTRANK.INC(ifood_data[[#All],[RFM]],ifood_data[[#This Row],[RFM]],1))*10</f>
        <v>7</v>
      </c>
      <c r="BD1086" t="str">
        <f>VLOOKUP(ifood_data[[#This Row],[RFM Score]],'RFM Analysis'!$A$3:$B$14,2,FALSE)</f>
        <v>Loyal Customer</v>
      </c>
      <c r="BE1086">
        <f>'Regression Models'!$B$101+'Regression Models'!$B$102*ifood_data[[#This Row],[Income]]+'Regression Models'!$B$103*ifood_data[[#This Row],[Age]]+'Regression Models'!$B$104*ifood_data[[#This Row],[Family]]</f>
        <v>443.61232246374664</v>
      </c>
      <c r="BF1086" t="str">
        <f>IF(ifood_data[[#This Row],[AcceptedCmpOverall]]=1,"Campaign Respondent","Non-respondent")</f>
        <v>Campaign Respondent</v>
      </c>
    </row>
    <row r="1087" spans="1:58" x14ac:dyDescent="0.35">
      <c r="A1087">
        <v>792</v>
      </c>
      <c r="B1087">
        <v>49494</v>
      </c>
      <c r="C1087">
        <v>1</v>
      </c>
      <c r="D1087">
        <v>0</v>
      </c>
      <c r="E1087">
        <v>46</v>
      </c>
      <c r="F1087">
        <v>191</v>
      </c>
      <c r="G1087">
        <v>9</v>
      </c>
      <c r="H1087">
        <v>97</v>
      </c>
      <c r="I1087">
        <v>0</v>
      </c>
      <c r="J1087">
        <v>6</v>
      </c>
      <c r="K1087">
        <v>82</v>
      </c>
      <c r="L1087">
        <v>2</v>
      </c>
      <c r="M1087">
        <v>6</v>
      </c>
      <c r="N1087">
        <v>1</v>
      </c>
      <c r="O1087">
        <v>5</v>
      </c>
      <c r="P1087">
        <v>7</v>
      </c>
      <c r="Q1087">
        <v>0</v>
      </c>
      <c r="R1087">
        <v>0</v>
      </c>
      <c r="S1087">
        <v>0</v>
      </c>
      <c r="T1087">
        <v>0</v>
      </c>
      <c r="U1087">
        <v>0</v>
      </c>
      <c r="V1087">
        <f>IF(SUM(ifood_data[[#This Row],[AcceptedCmp1]:[AcceptedCmp5]])&gt;0,1,0)</f>
        <v>0</v>
      </c>
      <c r="W1087">
        <v>0</v>
      </c>
      <c r="X1087">
        <v>3</v>
      </c>
      <c r="Y1087">
        <v>11</v>
      </c>
      <c r="Z1087">
        <v>0</v>
      </c>
      <c r="AA1087">
        <v>48</v>
      </c>
      <c r="AB1087">
        <v>2589</v>
      </c>
      <c r="AC1087" s="28">
        <f>ifood_data[[#This Row],[Customer_Days]]/365</f>
        <v>7.0931506849315067</v>
      </c>
      <c r="AD1087">
        <v>0</v>
      </c>
      <c r="AE1087">
        <v>0</v>
      </c>
      <c r="AF1087">
        <v>1</v>
      </c>
      <c r="AG1087">
        <v>0</v>
      </c>
      <c r="AH1087">
        <v>0</v>
      </c>
      <c r="AI1087">
        <v>0</v>
      </c>
      <c r="AJ1087">
        <v>0</v>
      </c>
      <c r="AK1087">
        <v>0</v>
      </c>
      <c r="AL1087">
        <v>1</v>
      </c>
      <c r="AM1087">
        <v>0</v>
      </c>
      <c r="AN1087">
        <v>303</v>
      </c>
      <c r="AO1087">
        <v>221</v>
      </c>
      <c r="AP1087">
        <f>ifood_data[[#This Row],[MntTotal]]-ifood_data[[#This Row],[MntRegularProds]]</f>
        <v>82</v>
      </c>
      <c r="AQ1087">
        <v>0</v>
      </c>
      <c r="AR1087">
        <f>IF(SUM(ifood_data[[#This Row],[Kidhome]:[Teenhome]])&gt;0,1,0)</f>
        <v>1</v>
      </c>
      <c r="AS1087" t="str">
        <f>IF(SUM(ifood_data[[#This Row],[Kidhome]:[Teenhome]])&gt;0,"Has Family","No Family")</f>
        <v>Has Family</v>
      </c>
      <c r="AT1087" t="str">
        <f>IF(ifood_data[[#This Row],[marital_Married]]=1,"Married", (IF(ifood_data[[#This Row],[marital_Single]]=1,"Single",(IF(ifood_data[[#This Row],[marital_Divorced]]=1,"Divorced",(IF(ifood_data[[#This Row],[marital_Together]]=1,"Living Together",(IF(ifood_data[[#This Row],[marital_Widow]]=1,"Widow","Other")))))))))</f>
        <v>Single</v>
      </c>
      <c r="AU1087" t="str">
        <f>IF(ifood_data[[#This Row],[education_Basic]]=1,"High School",(IF(ifood_data[[#This Row],[education_Graduation]]=1,"Undergraduate Degree",(IF(SUM(AM1087,AL1087,AI1087)&gt;0,"Master's Degree or Higher","Other")))))</f>
        <v>Master's Degree or Higher</v>
      </c>
      <c r="AV1087" t="str">
        <f>IF(ifood_data[[#All],[Income]]&gt;75000,"75K+",(IF(ifood_data[[#All],[Income]]&gt;50000,"50K-75K",(IF(ifood_data[[#All],[Income]]&gt;35000,"35K-50K","&lt;35K")))))</f>
        <v>35K-50K</v>
      </c>
      <c r="AW1087" t="str">
        <f>IF(ifood_data[[#All],[Age]]&gt;60,"60+",(IF(ifood_data[[#All],[Age]]&gt;50,"50-60",(IF(ifood_data[[#All],[Age]]&gt;40,"40-50",(IF(ifood_data[[#All],[Age]]&gt;30,"30-40","&lt;30")))))))</f>
        <v>40-50</v>
      </c>
      <c r="AX1087">
        <f t="shared" si="64"/>
        <v>21</v>
      </c>
      <c r="AY1087">
        <f t="shared" si="65"/>
        <v>6</v>
      </c>
      <c r="AZ1087">
        <f t="shared" si="66"/>
        <v>5</v>
      </c>
      <c r="BA1087">
        <f t="shared" si="67"/>
        <v>4</v>
      </c>
      <c r="BB1087">
        <f>SUM(ifood_data[[#This Row],[Recency Score]:[Monetary Score]])</f>
        <v>15</v>
      </c>
      <c r="BC1087">
        <f>(_xlfn.PERCENTRANK.INC(ifood_data[[#All],[RFM]],ifood_data[[#This Row],[RFM]],1))*10</f>
        <v>4</v>
      </c>
      <c r="BD1087" t="str">
        <f>VLOOKUP(ifood_data[[#This Row],[RFM Score]],'RFM Analysis'!$A$3:$B$14,2,FALSE)</f>
        <v>At Risk</v>
      </c>
      <c r="BE1087">
        <f>'Regression Models'!$B$101+'Regression Models'!$B$102*ifood_data[[#This Row],[Income]]+'Regression Models'!$B$103*ifood_data[[#This Row],[Age]]+'Regression Models'!$B$104*ifood_data[[#This Row],[Family]]</f>
        <v>443.54372737972471</v>
      </c>
      <c r="BF1087" t="str">
        <f>IF(ifood_data[[#This Row],[AcceptedCmpOverall]]=1,"Campaign Respondent","Non-respondent")</f>
        <v>Non-respondent</v>
      </c>
    </row>
    <row r="1088" spans="1:58" x14ac:dyDescent="0.35">
      <c r="A1088">
        <v>1496</v>
      </c>
      <c r="B1088">
        <v>50664</v>
      </c>
      <c r="C1088">
        <v>1</v>
      </c>
      <c r="D1088">
        <v>1</v>
      </c>
      <c r="E1088">
        <v>64</v>
      </c>
      <c r="F1088">
        <v>313</v>
      </c>
      <c r="G1088">
        <v>8</v>
      </c>
      <c r="H1088">
        <v>104</v>
      </c>
      <c r="I1088">
        <v>6</v>
      </c>
      <c r="J1088">
        <v>4</v>
      </c>
      <c r="K1088">
        <v>126</v>
      </c>
      <c r="L1088">
        <v>9</v>
      </c>
      <c r="M1088">
        <v>8</v>
      </c>
      <c r="N1088">
        <v>1</v>
      </c>
      <c r="O1088">
        <v>6</v>
      </c>
      <c r="P1088">
        <v>9</v>
      </c>
      <c r="Q1088">
        <v>0</v>
      </c>
      <c r="R1088">
        <v>0</v>
      </c>
      <c r="S1088">
        <v>0</v>
      </c>
      <c r="T1088">
        <v>0</v>
      </c>
      <c r="U1088">
        <v>0</v>
      </c>
      <c r="V1088">
        <f>IF(SUM(ifood_data[[#This Row],[AcceptedCmp1]:[AcceptedCmp5]])&gt;0,1,0)</f>
        <v>0</v>
      </c>
      <c r="W1088">
        <v>0</v>
      </c>
      <c r="X1088">
        <v>3</v>
      </c>
      <c r="Y1088">
        <v>11</v>
      </c>
      <c r="Z1088">
        <v>0</v>
      </c>
      <c r="AA1088">
        <v>61</v>
      </c>
      <c r="AB1088">
        <v>2688</v>
      </c>
      <c r="AC1088" s="28">
        <f>ifood_data[[#This Row],[Customer_Days]]/365</f>
        <v>7.3643835616438356</v>
      </c>
      <c r="AD1088">
        <v>0</v>
      </c>
      <c r="AE1088">
        <v>0</v>
      </c>
      <c r="AF1088">
        <v>1</v>
      </c>
      <c r="AG1088">
        <v>0</v>
      </c>
      <c r="AH1088">
        <v>0</v>
      </c>
      <c r="AI1088">
        <v>0</v>
      </c>
      <c r="AJ1088">
        <v>0</v>
      </c>
      <c r="AK1088">
        <v>1</v>
      </c>
      <c r="AL1088">
        <v>0</v>
      </c>
      <c r="AM1088">
        <v>0</v>
      </c>
      <c r="AN1088">
        <v>435</v>
      </c>
      <c r="AO1088">
        <v>309</v>
      </c>
      <c r="AP1088">
        <f>ifood_data[[#This Row],[MntTotal]]-ifood_data[[#This Row],[MntRegularProds]]</f>
        <v>126</v>
      </c>
      <c r="AQ1088">
        <v>0</v>
      </c>
      <c r="AR1088">
        <f>IF(SUM(ifood_data[[#This Row],[Kidhome]:[Teenhome]])&gt;0,1,0)</f>
        <v>1</v>
      </c>
      <c r="AS1088" t="str">
        <f>IF(SUM(ifood_data[[#This Row],[Kidhome]:[Teenhome]])&gt;0,"Has Family","No Family")</f>
        <v>Has Family</v>
      </c>
      <c r="AT1088" t="str">
        <f>IF(ifood_data[[#This Row],[marital_Married]]=1,"Married", (IF(ifood_data[[#This Row],[marital_Single]]=1,"Single",(IF(ifood_data[[#This Row],[marital_Divorced]]=1,"Divorced",(IF(ifood_data[[#This Row],[marital_Together]]=1,"Living Together",(IF(ifood_data[[#This Row],[marital_Widow]]=1,"Widow","Other")))))))))</f>
        <v>Single</v>
      </c>
      <c r="AU1088" t="str">
        <f>IF(ifood_data[[#This Row],[education_Basic]]=1,"High School",(IF(ifood_data[[#This Row],[education_Graduation]]=1,"Undergraduate Degree",(IF(SUM(AM1088,AL1088,AI1088)&gt;0,"Master's Degree or Higher","Other")))))</f>
        <v>Undergraduate Degree</v>
      </c>
      <c r="AV1088" t="str">
        <f>IF(ifood_data[[#All],[Income]]&gt;75000,"75K+",(IF(ifood_data[[#All],[Income]]&gt;50000,"50K-75K",(IF(ifood_data[[#All],[Income]]&gt;35000,"35K-50K","&lt;35K")))))</f>
        <v>50K-75K</v>
      </c>
      <c r="AW1088" t="str">
        <f>IF(ifood_data[[#All],[Age]]&gt;60,"60+",(IF(ifood_data[[#All],[Age]]&gt;50,"50-60",(IF(ifood_data[[#All],[Age]]&gt;40,"40-50",(IF(ifood_data[[#All],[Age]]&gt;30,"30-40","&lt;30")))))))</f>
        <v>60+</v>
      </c>
      <c r="AX1088">
        <f t="shared" si="64"/>
        <v>33</v>
      </c>
      <c r="AY1088">
        <f t="shared" si="65"/>
        <v>4</v>
      </c>
      <c r="AZ1088">
        <f t="shared" si="66"/>
        <v>9</v>
      </c>
      <c r="BA1088">
        <f t="shared" si="67"/>
        <v>5</v>
      </c>
      <c r="BB1088">
        <f>SUM(ifood_data[[#This Row],[Recency Score]:[Monetary Score]])</f>
        <v>18</v>
      </c>
      <c r="BC1088">
        <f>(_xlfn.PERCENTRANK.INC(ifood_data[[#All],[RFM]],ifood_data[[#This Row],[RFM]],1))*10</f>
        <v>6</v>
      </c>
      <c r="BD1088" t="str">
        <f>VLOOKUP(ifood_data[[#This Row],[RFM Score]],'RFM Analysis'!$A$3:$B$14,2,FALSE)</f>
        <v>Promising</v>
      </c>
      <c r="BE1088">
        <f>'Regression Models'!$B$101+'Regression Models'!$B$102*ifood_data[[#This Row],[Income]]+'Regression Models'!$B$103*ifood_data[[#This Row],[Age]]+'Regression Models'!$B$104*ifood_data[[#This Row],[Family]]</f>
        <v>443.52487808246076</v>
      </c>
      <c r="BF1088" t="str">
        <f>IF(ifood_data[[#This Row],[AcceptedCmpOverall]]=1,"Campaign Respondent","Non-respondent")</f>
        <v>Non-respondent</v>
      </c>
    </row>
    <row r="1089" spans="1:58" x14ac:dyDescent="0.35">
      <c r="A1089">
        <v>1529</v>
      </c>
      <c r="B1089">
        <v>50729</v>
      </c>
      <c r="C1089">
        <v>1</v>
      </c>
      <c r="D1089">
        <v>1</v>
      </c>
      <c r="E1089">
        <v>62</v>
      </c>
      <c r="F1089">
        <v>239</v>
      </c>
      <c r="G1089">
        <v>13</v>
      </c>
      <c r="H1089">
        <v>143</v>
      </c>
      <c r="I1089">
        <v>45</v>
      </c>
      <c r="J1089">
        <v>4</v>
      </c>
      <c r="K1089">
        <v>52</v>
      </c>
      <c r="L1089">
        <v>9</v>
      </c>
      <c r="M1089">
        <v>6</v>
      </c>
      <c r="N1089">
        <v>2</v>
      </c>
      <c r="O1089">
        <v>7</v>
      </c>
      <c r="P1089">
        <v>6</v>
      </c>
      <c r="Q1089">
        <v>0</v>
      </c>
      <c r="R1089">
        <v>0</v>
      </c>
      <c r="S1089">
        <v>0</v>
      </c>
      <c r="T1089">
        <v>0</v>
      </c>
      <c r="U1089">
        <v>0</v>
      </c>
      <c r="V1089">
        <f>IF(SUM(ifood_data[[#This Row],[AcceptedCmp1]:[AcceptedCmp5]])&gt;0,1,0)</f>
        <v>0</v>
      </c>
      <c r="W1089">
        <v>0</v>
      </c>
      <c r="X1089">
        <v>3</v>
      </c>
      <c r="Y1089">
        <v>11</v>
      </c>
      <c r="Z1089">
        <v>0</v>
      </c>
      <c r="AA1089">
        <v>62</v>
      </c>
      <c r="AB1089">
        <v>2582</v>
      </c>
      <c r="AC1089" s="28">
        <f>ifood_data[[#This Row],[Customer_Days]]/365</f>
        <v>7.0739726027397261</v>
      </c>
      <c r="AD1089">
        <v>0</v>
      </c>
      <c r="AE1089">
        <v>0</v>
      </c>
      <c r="AF1089">
        <v>1</v>
      </c>
      <c r="AG1089">
        <v>0</v>
      </c>
      <c r="AH1089">
        <v>0</v>
      </c>
      <c r="AI1089">
        <v>0</v>
      </c>
      <c r="AJ1089">
        <v>0</v>
      </c>
      <c r="AK1089">
        <v>0</v>
      </c>
      <c r="AL1089">
        <v>0</v>
      </c>
      <c r="AM1089">
        <v>1</v>
      </c>
      <c r="AN1089">
        <v>444</v>
      </c>
      <c r="AO1089">
        <v>392</v>
      </c>
      <c r="AP1089">
        <f>ifood_data[[#This Row],[MntTotal]]-ifood_data[[#This Row],[MntRegularProds]]</f>
        <v>52</v>
      </c>
      <c r="AQ1089">
        <v>0</v>
      </c>
      <c r="AR1089">
        <f>IF(SUM(ifood_data[[#This Row],[Kidhome]:[Teenhome]])&gt;0,1,0)</f>
        <v>1</v>
      </c>
      <c r="AS1089" t="str">
        <f>IF(SUM(ifood_data[[#This Row],[Kidhome]:[Teenhome]])&gt;0,"Has Family","No Family")</f>
        <v>Has Family</v>
      </c>
      <c r="AT1089" t="str">
        <f>IF(ifood_data[[#This Row],[marital_Married]]=1,"Married", (IF(ifood_data[[#This Row],[marital_Single]]=1,"Single",(IF(ifood_data[[#This Row],[marital_Divorced]]=1,"Divorced",(IF(ifood_data[[#This Row],[marital_Together]]=1,"Living Together",(IF(ifood_data[[#This Row],[marital_Widow]]=1,"Widow","Other")))))))))</f>
        <v>Single</v>
      </c>
      <c r="AU1089" t="str">
        <f>IF(ifood_data[[#This Row],[education_Basic]]=1,"High School",(IF(ifood_data[[#This Row],[education_Graduation]]=1,"Undergraduate Degree",(IF(SUM(AM1089,AL1089,AI1089)&gt;0,"Master's Degree or Higher","Other")))))</f>
        <v>Master's Degree or Higher</v>
      </c>
      <c r="AV1089" t="str">
        <f>IF(ifood_data[[#All],[Income]]&gt;75000,"75K+",(IF(ifood_data[[#All],[Income]]&gt;50000,"50K-75K",(IF(ifood_data[[#All],[Income]]&gt;35000,"35K-50K","&lt;35K")))))</f>
        <v>50K-75K</v>
      </c>
      <c r="AW1089" t="str">
        <f>IF(ifood_data[[#All],[Age]]&gt;60,"60+",(IF(ifood_data[[#All],[Age]]&gt;50,"50-60",(IF(ifood_data[[#All],[Age]]&gt;40,"40-50",(IF(ifood_data[[#All],[Age]]&gt;30,"30-40","&lt;30")))))))</f>
        <v>60+</v>
      </c>
      <c r="AX1089">
        <f t="shared" si="64"/>
        <v>30</v>
      </c>
      <c r="AY1089">
        <f t="shared" si="65"/>
        <v>4</v>
      </c>
      <c r="AZ1089">
        <f t="shared" si="66"/>
        <v>8</v>
      </c>
      <c r="BA1089">
        <f t="shared" si="67"/>
        <v>5</v>
      </c>
      <c r="BB1089">
        <f>SUM(ifood_data[[#This Row],[Recency Score]:[Monetary Score]])</f>
        <v>17</v>
      </c>
      <c r="BC1089">
        <f>(_xlfn.PERCENTRANK.INC(ifood_data[[#All],[RFM]],ifood_data[[#This Row],[RFM]],1))*10</f>
        <v>6</v>
      </c>
      <c r="BD1089" t="str">
        <f>VLOOKUP(ifood_data[[#This Row],[RFM Score]],'RFM Analysis'!$A$3:$B$14,2,FALSE)</f>
        <v>Promising</v>
      </c>
      <c r="BE1089">
        <f>'Regression Models'!$B$101+'Regression Models'!$B$102*ifood_data[[#This Row],[Income]]+'Regression Models'!$B$103*ifood_data[[#This Row],[Age]]+'Regression Models'!$B$104*ifood_data[[#This Row],[Family]]</f>
        <v>443.01370893291994</v>
      </c>
      <c r="BF1089" t="str">
        <f>IF(ifood_data[[#This Row],[AcceptedCmpOverall]]=1,"Campaign Respondent","Non-respondent")</f>
        <v>Non-respondent</v>
      </c>
    </row>
    <row r="1090" spans="1:58" x14ac:dyDescent="0.35">
      <c r="A1090">
        <v>1836</v>
      </c>
      <c r="B1090">
        <v>34445</v>
      </c>
      <c r="C1090">
        <v>0</v>
      </c>
      <c r="D1090">
        <v>0</v>
      </c>
      <c r="E1090">
        <v>92</v>
      </c>
      <c r="F1090">
        <v>228</v>
      </c>
      <c r="G1090">
        <v>122</v>
      </c>
      <c r="H1090">
        <v>122</v>
      </c>
      <c r="I1090">
        <v>208</v>
      </c>
      <c r="J1090">
        <v>129</v>
      </c>
      <c r="K1090">
        <v>30</v>
      </c>
      <c r="L1090">
        <v>6</v>
      </c>
      <c r="M1090">
        <v>11</v>
      </c>
      <c r="N1090">
        <v>2</v>
      </c>
      <c r="O1090">
        <v>8</v>
      </c>
      <c r="P1090">
        <v>9</v>
      </c>
      <c r="Q1090">
        <v>0</v>
      </c>
      <c r="R1090">
        <v>0</v>
      </c>
      <c r="S1090">
        <v>0</v>
      </c>
      <c r="T1090">
        <v>0</v>
      </c>
      <c r="U1090">
        <v>0</v>
      </c>
      <c r="V1090">
        <f>IF(SUM(ifood_data[[#This Row],[AcceptedCmp1]:[AcceptedCmp5]])&gt;0,1,0)</f>
        <v>0</v>
      </c>
      <c r="W1090">
        <v>0</v>
      </c>
      <c r="X1090">
        <v>3</v>
      </c>
      <c r="Y1090">
        <v>11</v>
      </c>
      <c r="Z1090">
        <v>0</v>
      </c>
      <c r="AA1090">
        <v>39</v>
      </c>
      <c r="AB1090">
        <v>2677</v>
      </c>
      <c r="AC1090" s="28">
        <f>ifood_data[[#This Row],[Customer_Days]]/365</f>
        <v>7.3342465753424655</v>
      </c>
      <c r="AD1090">
        <v>0</v>
      </c>
      <c r="AE1090">
        <v>1</v>
      </c>
      <c r="AF1090">
        <v>0</v>
      </c>
      <c r="AG1090">
        <v>0</v>
      </c>
      <c r="AH1090">
        <v>0</v>
      </c>
      <c r="AI1090">
        <v>0</v>
      </c>
      <c r="AJ1090">
        <v>1</v>
      </c>
      <c r="AK1090">
        <v>0</v>
      </c>
      <c r="AL1090">
        <v>0</v>
      </c>
      <c r="AM1090">
        <v>0</v>
      </c>
      <c r="AN1090">
        <v>809</v>
      </c>
      <c r="AO1090">
        <v>779</v>
      </c>
      <c r="AP1090">
        <f>ifood_data[[#This Row],[MntTotal]]-ifood_data[[#This Row],[MntRegularProds]]</f>
        <v>30</v>
      </c>
      <c r="AQ1090">
        <v>0</v>
      </c>
      <c r="AR1090">
        <f>IF(SUM(ifood_data[[#This Row],[Kidhome]:[Teenhome]])&gt;0,1,0)</f>
        <v>0</v>
      </c>
      <c r="AS1090" t="str">
        <f>IF(SUM(ifood_data[[#This Row],[Kidhome]:[Teenhome]])&gt;0,"Has Family","No Family")</f>
        <v>No Family</v>
      </c>
      <c r="AT1090" t="str">
        <f>IF(ifood_data[[#This Row],[marital_Married]]=1,"Married", (IF(ifood_data[[#This Row],[marital_Single]]=1,"Single",(IF(ifood_data[[#This Row],[marital_Divorced]]=1,"Divorced",(IF(ifood_data[[#This Row],[marital_Together]]=1,"Living Together",(IF(ifood_data[[#This Row],[marital_Widow]]=1,"Widow","Other")))))))))</f>
        <v>Married</v>
      </c>
      <c r="AU1090" t="str">
        <f>IF(ifood_data[[#This Row],[education_Basic]]=1,"High School",(IF(ifood_data[[#This Row],[education_Graduation]]=1,"Undergraduate Degree",(IF(SUM(AM1090,AL1090,AI1090)&gt;0,"Master's Degree or Higher","Other")))))</f>
        <v>High School</v>
      </c>
      <c r="AV1090" t="str">
        <f>IF(ifood_data[[#All],[Income]]&gt;75000,"75K+",(IF(ifood_data[[#All],[Income]]&gt;50000,"50K-75K",(IF(ifood_data[[#All],[Income]]&gt;35000,"35K-50K","&lt;35K")))))</f>
        <v>&lt;35K</v>
      </c>
      <c r="AW1090" t="str">
        <f>IF(ifood_data[[#All],[Age]]&gt;60,"60+",(IF(ifood_data[[#All],[Age]]&gt;50,"50-60",(IF(ifood_data[[#All],[Age]]&gt;40,"40-50",(IF(ifood_data[[#All],[Age]]&gt;30,"30-40","&lt;30")))))))</f>
        <v>30-40</v>
      </c>
      <c r="AX1090">
        <f t="shared" ref="AX1090:AX1153" si="68">SUM(L1090:P1090)</f>
        <v>36</v>
      </c>
      <c r="AY1090">
        <f t="shared" ref="AY1090:AY1153" si="69">(1-_xlfn.PERCENTRANK.INC($E$2:$E$2022,E1090,1))*10</f>
        <v>0.99999999999999978</v>
      </c>
      <c r="AZ1090">
        <f t="shared" ref="AZ1090:AZ1153" si="70">_xlfn.PERCENTRANK.INC($AX$2:$AX$2022,AX1090,1)*10</f>
        <v>9</v>
      </c>
      <c r="BA1090">
        <f t="shared" ref="BA1090:BA1153" si="71">_xlfn.PERCENTRANK.INC($AN$2:$AN$2022,AN1090,1)*10</f>
        <v>6</v>
      </c>
      <c r="BB1090">
        <f>SUM(ifood_data[[#This Row],[Recency Score]:[Monetary Score]])</f>
        <v>16</v>
      </c>
      <c r="BC1090">
        <f>(_xlfn.PERCENTRANK.INC(ifood_data[[#All],[RFM]],ifood_data[[#This Row],[RFM]],1))*10</f>
        <v>5</v>
      </c>
      <c r="BD1090" t="str">
        <f>VLOOKUP(ifood_data[[#This Row],[RFM Score]],'RFM Analysis'!$A$3:$B$14,2,FALSE)</f>
        <v>Promising</v>
      </c>
      <c r="BE1090">
        <f>'Regression Models'!$B$101+'Regression Models'!$B$102*ifood_data[[#This Row],[Income]]+'Regression Models'!$B$103*ifood_data[[#This Row],[Age]]+'Regression Models'!$B$104*ifood_data[[#This Row],[Family]]</f>
        <v>442.85473836525415</v>
      </c>
      <c r="BF1090" t="str">
        <f>IF(ifood_data[[#This Row],[AcceptedCmpOverall]]=1,"Campaign Respondent","Non-respondent")</f>
        <v>Non-respondent</v>
      </c>
    </row>
    <row r="1091" spans="1:58" x14ac:dyDescent="0.35">
      <c r="A1091">
        <v>414</v>
      </c>
      <c r="B1091">
        <v>51529</v>
      </c>
      <c r="C1091">
        <v>0</v>
      </c>
      <c r="D1091">
        <v>1</v>
      </c>
      <c r="E1091">
        <v>14</v>
      </c>
      <c r="F1091">
        <v>400</v>
      </c>
      <c r="G1091">
        <v>4</v>
      </c>
      <c r="H1091">
        <v>35</v>
      </c>
      <c r="I1091">
        <v>6</v>
      </c>
      <c r="J1091">
        <v>0</v>
      </c>
      <c r="K1091">
        <v>22</v>
      </c>
      <c r="L1091">
        <v>2</v>
      </c>
      <c r="M1091">
        <v>9</v>
      </c>
      <c r="N1091">
        <v>1</v>
      </c>
      <c r="O1091">
        <v>5</v>
      </c>
      <c r="P1091">
        <v>8</v>
      </c>
      <c r="Q1091">
        <v>0</v>
      </c>
      <c r="R1091">
        <v>0</v>
      </c>
      <c r="S1091">
        <v>0</v>
      </c>
      <c r="T1091">
        <v>0</v>
      </c>
      <c r="U1091">
        <v>0</v>
      </c>
      <c r="V1091">
        <f>IF(SUM(ifood_data[[#This Row],[AcceptedCmp1]:[AcceptedCmp5]])&gt;0,1,0)</f>
        <v>0</v>
      </c>
      <c r="W1091">
        <v>0</v>
      </c>
      <c r="X1091">
        <v>3</v>
      </c>
      <c r="Y1091">
        <v>11</v>
      </c>
      <c r="Z1091">
        <v>0</v>
      </c>
      <c r="AA1091">
        <v>71</v>
      </c>
      <c r="AB1091">
        <v>2454</v>
      </c>
      <c r="AC1091" s="28">
        <f>ifood_data[[#This Row],[Customer_Days]]/365</f>
        <v>6.7232876712328764</v>
      </c>
      <c r="AD1091">
        <v>0</v>
      </c>
      <c r="AE1091">
        <v>0</v>
      </c>
      <c r="AF1091">
        <v>0</v>
      </c>
      <c r="AG1091">
        <v>0</v>
      </c>
      <c r="AH1091">
        <v>1</v>
      </c>
      <c r="AI1091">
        <v>0</v>
      </c>
      <c r="AJ1091">
        <v>0</v>
      </c>
      <c r="AK1091">
        <v>0</v>
      </c>
      <c r="AL1091">
        <v>1</v>
      </c>
      <c r="AM1091">
        <v>0</v>
      </c>
      <c r="AN1091">
        <v>445</v>
      </c>
      <c r="AO1091">
        <v>423</v>
      </c>
      <c r="AP1091">
        <f>ifood_data[[#This Row],[MntTotal]]-ifood_data[[#This Row],[MntRegularProds]]</f>
        <v>22</v>
      </c>
      <c r="AQ1091">
        <v>0</v>
      </c>
      <c r="AR1091">
        <f>IF(SUM(ifood_data[[#This Row],[Kidhome]:[Teenhome]])&gt;0,1,0)</f>
        <v>1</v>
      </c>
      <c r="AS1091" t="str">
        <f>IF(SUM(ifood_data[[#This Row],[Kidhome]:[Teenhome]])&gt;0,"Has Family","No Family")</f>
        <v>Has Family</v>
      </c>
      <c r="AT1091" t="str">
        <f>IF(ifood_data[[#This Row],[marital_Married]]=1,"Married", (IF(ifood_data[[#This Row],[marital_Single]]=1,"Single",(IF(ifood_data[[#This Row],[marital_Divorced]]=1,"Divorced",(IF(ifood_data[[#This Row],[marital_Together]]=1,"Living Together",(IF(ifood_data[[#This Row],[marital_Widow]]=1,"Widow","Other")))))))))</f>
        <v>Widow</v>
      </c>
      <c r="AU1091" t="str">
        <f>IF(ifood_data[[#This Row],[education_Basic]]=1,"High School",(IF(ifood_data[[#This Row],[education_Graduation]]=1,"Undergraduate Degree",(IF(SUM(AM1091,AL1091,AI1091)&gt;0,"Master's Degree or Higher","Other")))))</f>
        <v>Master's Degree or Higher</v>
      </c>
      <c r="AV1091" t="str">
        <f>IF(ifood_data[[#All],[Income]]&gt;75000,"75K+",(IF(ifood_data[[#All],[Income]]&gt;50000,"50K-75K",(IF(ifood_data[[#All],[Income]]&gt;35000,"35K-50K","&lt;35K")))))</f>
        <v>50K-75K</v>
      </c>
      <c r="AW1091" t="str">
        <f>IF(ifood_data[[#All],[Age]]&gt;60,"60+",(IF(ifood_data[[#All],[Age]]&gt;50,"50-60",(IF(ifood_data[[#All],[Age]]&gt;40,"40-50",(IF(ifood_data[[#All],[Age]]&gt;30,"30-40","&lt;30")))))))</f>
        <v>60+</v>
      </c>
      <c r="AX1091">
        <f t="shared" si="68"/>
        <v>25</v>
      </c>
      <c r="AY1091">
        <f t="shared" si="69"/>
        <v>9</v>
      </c>
      <c r="AZ1091">
        <f t="shared" si="70"/>
        <v>7</v>
      </c>
      <c r="BA1091">
        <f t="shared" si="71"/>
        <v>5</v>
      </c>
      <c r="BB1091">
        <f>SUM(ifood_data[[#This Row],[Recency Score]:[Monetary Score]])</f>
        <v>21</v>
      </c>
      <c r="BC1091">
        <f>(_xlfn.PERCENTRANK.INC(ifood_data[[#All],[RFM]],ifood_data[[#This Row],[RFM]],1))*10</f>
        <v>8</v>
      </c>
      <c r="BD1091" t="str">
        <f>VLOOKUP(ifood_data[[#This Row],[RFM Score]],'RFM Analysis'!$A$3:$B$14,2,FALSE)</f>
        <v>Loyal Customer</v>
      </c>
      <c r="BE1091">
        <f>'Regression Models'!$B$101+'Regression Models'!$B$102*ifood_data[[#This Row],[Income]]+'Regression Models'!$B$103*ifood_data[[#This Row],[Age]]+'Regression Models'!$B$104*ifood_data[[#This Row],[Family]]</f>
        <v>442.79677173799053</v>
      </c>
      <c r="BF1091" t="str">
        <f>IF(ifood_data[[#This Row],[AcceptedCmpOverall]]=1,"Campaign Respondent","Non-respondent")</f>
        <v>Non-respondent</v>
      </c>
    </row>
    <row r="1092" spans="1:58" x14ac:dyDescent="0.35">
      <c r="A1092">
        <v>270</v>
      </c>
      <c r="B1092">
        <v>50898</v>
      </c>
      <c r="C1092">
        <v>1</v>
      </c>
      <c r="D1092">
        <v>1</v>
      </c>
      <c r="E1092">
        <v>88</v>
      </c>
      <c r="F1092">
        <v>285</v>
      </c>
      <c r="G1092">
        <v>28</v>
      </c>
      <c r="H1092">
        <v>242</v>
      </c>
      <c r="I1092">
        <v>55</v>
      </c>
      <c r="J1092">
        <v>114</v>
      </c>
      <c r="K1092">
        <v>135</v>
      </c>
      <c r="L1092">
        <v>13</v>
      </c>
      <c r="M1092">
        <v>6</v>
      </c>
      <c r="N1092">
        <v>2</v>
      </c>
      <c r="O1092">
        <v>12</v>
      </c>
      <c r="P1092">
        <v>5</v>
      </c>
      <c r="Q1092">
        <v>0</v>
      </c>
      <c r="R1092">
        <v>0</v>
      </c>
      <c r="S1092">
        <v>0</v>
      </c>
      <c r="T1092">
        <v>0</v>
      </c>
      <c r="U1092">
        <v>0</v>
      </c>
      <c r="V1092">
        <f>IF(SUM(ifood_data[[#This Row],[AcceptedCmp1]:[AcceptedCmp5]])&gt;0,1,0)</f>
        <v>0</v>
      </c>
      <c r="W1092">
        <v>0</v>
      </c>
      <c r="X1092">
        <v>3</v>
      </c>
      <c r="Y1092">
        <v>11</v>
      </c>
      <c r="Z1092">
        <v>0</v>
      </c>
      <c r="AA1092">
        <v>64</v>
      </c>
      <c r="AB1092">
        <v>2696</v>
      </c>
      <c r="AC1092" s="28">
        <f>ifood_data[[#This Row],[Customer_Days]]/365</f>
        <v>7.3863013698630136</v>
      </c>
      <c r="AD1092">
        <v>0</v>
      </c>
      <c r="AE1092">
        <v>0</v>
      </c>
      <c r="AF1092">
        <v>0</v>
      </c>
      <c r="AG1092">
        <v>1</v>
      </c>
      <c r="AH1092">
        <v>0</v>
      </c>
      <c r="AI1092">
        <v>0</v>
      </c>
      <c r="AJ1092">
        <v>0</v>
      </c>
      <c r="AK1092">
        <v>0</v>
      </c>
      <c r="AL1092">
        <v>1</v>
      </c>
      <c r="AM1092">
        <v>0</v>
      </c>
      <c r="AN1092">
        <v>724</v>
      </c>
      <c r="AO1092">
        <v>589</v>
      </c>
      <c r="AP1092">
        <f>ifood_data[[#This Row],[MntTotal]]-ifood_data[[#This Row],[MntRegularProds]]</f>
        <v>135</v>
      </c>
      <c r="AQ1092">
        <v>0</v>
      </c>
      <c r="AR1092">
        <f>IF(SUM(ifood_data[[#This Row],[Kidhome]:[Teenhome]])&gt;0,1,0)</f>
        <v>1</v>
      </c>
      <c r="AS1092" t="str">
        <f>IF(SUM(ifood_data[[#This Row],[Kidhome]:[Teenhome]])&gt;0,"Has Family","No Family")</f>
        <v>Has Family</v>
      </c>
      <c r="AT1092" t="str">
        <f>IF(ifood_data[[#This Row],[marital_Married]]=1,"Married", (IF(ifood_data[[#This Row],[marital_Single]]=1,"Single",(IF(ifood_data[[#This Row],[marital_Divorced]]=1,"Divorced",(IF(ifood_data[[#This Row],[marital_Together]]=1,"Living Together",(IF(ifood_data[[#This Row],[marital_Widow]]=1,"Widow","Other")))))))))</f>
        <v>Living Together</v>
      </c>
      <c r="AU1092" t="str">
        <f>IF(ifood_data[[#This Row],[education_Basic]]=1,"High School",(IF(ifood_data[[#This Row],[education_Graduation]]=1,"Undergraduate Degree",(IF(SUM(AM1092,AL1092,AI1092)&gt;0,"Master's Degree or Higher","Other")))))</f>
        <v>Master's Degree or Higher</v>
      </c>
      <c r="AV1092" t="str">
        <f>IF(ifood_data[[#All],[Income]]&gt;75000,"75K+",(IF(ifood_data[[#All],[Income]]&gt;50000,"50K-75K",(IF(ifood_data[[#All],[Income]]&gt;35000,"35K-50K","&lt;35K")))))</f>
        <v>50K-75K</v>
      </c>
      <c r="AW1092" t="str">
        <f>IF(ifood_data[[#All],[Age]]&gt;60,"60+",(IF(ifood_data[[#All],[Age]]&gt;50,"50-60",(IF(ifood_data[[#All],[Age]]&gt;40,"40-50",(IF(ifood_data[[#All],[Age]]&gt;30,"30-40","&lt;30")))))))</f>
        <v>60+</v>
      </c>
      <c r="AX1092">
        <f t="shared" si="68"/>
        <v>38</v>
      </c>
      <c r="AY1092">
        <f t="shared" si="69"/>
        <v>1.9999999999999996</v>
      </c>
      <c r="AZ1092">
        <f t="shared" si="70"/>
        <v>9</v>
      </c>
      <c r="BA1092">
        <f t="shared" si="71"/>
        <v>6</v>
      </c>
      <c r="BB1092">
        <f>SUM(ifood_data[[#This Row],[Recency Score]:[Monetary Score]])</f>
        <v>17</v>
      </c>
      <c r="BC1092">
        <f>(_xlfn.PERCENTRANK.INC(ifood_data[[#All],[RFM]],ifood_data[[#This Row],[RFM]],1))*10</f>
        <v>6</v>
      </c>
      <c r="BD1092" t="str">
        <f>VLOOKUP(ifood_data[[#This Row],[RFM Score]],'RFM Analysis'!$A$3:$B$14,2,FALSE)</f>
        <v>Promising</v>
      </c>
      <c r="BE1092">
        <f>'Regression Models'!$B$101+'Regression Models'!$B$102*ifood_data[[#This Row],[Income]]+'Regression Models'!$B$103*ifood_data[[#This Row],[Age]]+'Regression Models'!$B$104*ifood_data[[#This Row],[Family]]</f>
        <v>442.78653259145028</v>
      </c>
      <c r="BF1092" t="str">
        <f>IF(ifood_data[[#This Row],[AcceptedCmpOverall]]=1,"Campaign Respondent","Non-respondent")</f>
        <v>Non-respondent</v>
      </c>
    </row>
    <row r="1093" spans="1:58" x14ac:dyDescent="0.35">
      <c r="A1093">
        <v>1288</v>
      </c>
      <c r="B1093">
        <v>50523</v>
      </c>
      <c r="C1093">
        <v>1</v>
      </c>
      <c r="D1093">
        <v>1</v>
      </c>
      <c r="E1093">
        <v>89</v>
      </c>
      <c r="F1093">
        <v>51</v>
      </c>
      <c r="G1093">
        <v>4</v>
      </c>
      <c r="H1093">
        <v>24</v>
      </c>
      <c r="I1093">
        <v>4</v>
      </c>
      <c r="J1093">
        <v>7</v>
      </c>
      <c r="K1093">
        <v>1</v>
      </c>
      <c r="L1093">
        <v>2</v>
      </c>
      <c r="M1093">
        <v>2</v>
      </c>
      <c r="N1093">
        <v>0</v>
      </c>
      <c r="O1093">
        <v>4</v>
      </c>
      <c r="P1093">
        <v>6</v>
      </c>
      <c r="Q1093">
        <v>0</v>
      </c>
      <c r="R1093">
        <v>0</v>
      </c>
      <c r="S1093">
        <v>0</v>
      </c>
      <c r="T1093">
        <v>0</v>
      </c>
      <c r="U1093">
        <v>0</v>
      </c>
      <c r="V1093">
        <f>IF(SUM(ifood_data[[#This Row],[AcceptedCmp1]:[AcceptedCmp5]])&gt;0,1,0)</f>
        <v>0</v>
      </c>
      <c r="W1093">
        <v>0</v>
      </c>
      <c r="X1093">
        <v>3</v>
      </c>
      <c r="Y1093">
        <v>11</v>
      </c>
      <c r="Z1093">
        <v>0</v>
      </c>
      <c r="AA1093">
        <v>60</v>
      </c>
      <c r="AB1093">
        <v>2345</v>
      </c>
      <c r="AC1093" s="28">
        <f>ifood_data[[#This Row],[Customer_Days]]/365</f>
        <v>6.4246575342465757</v>
      </c>
      <c r="AD1093">
        <v>0</v>
      </c>
      <c r="AE1093">
        <v>0</v>
      </c>
      <c r="AF1093">
        <v>0</v>
      </c>
      <c r="AG1093">
        <v>1</v>
      </c>
      <c r="AH1093">
        <v>0</v>
      </c>
      <c r="AI1093">
        <v>1</v>
      </c>
      <c r="AJ1093">
        <v>0</v>
      </c>
      <c r="AK1093">
        <v>0</v>
      </c>
      <c r="AL1093">
        <v>0</v>
      </c>
      <c r="AM1093">
        <v>0</v>
      </c>
      <c r="AN1093">
        <v>90</v>
      </c>
      <c r="AO1093">
        <v>89</v>
      </c>
      <c r="AP1093">
        <f>ifood_data[[#This Row],[MntTotal]]-ifood_data[[#This Row],[MntRegularProds]]</f>
        <v>1</v>
      </c>
      <c r="AQ1093">
        <v>0</v>
      </c>
      <c r="AR1093">
        <f>IF(SUM(ifood_data[[#This Row],[Kidhome]:[Teenhome]])&gt;0,1,0)</f>
        <v>1</v>
      </c>
      <c r="AS1093" t="str">
        <f>IF(SUM(ifood_data[[#This Row],[Kidhome]:[Teenhome]])&gt;0,"Has Family","No Family")</f>
        <v>Has Family</v>
      </c>
      <c r="AT1093" t="str">
        <f>IF(ifood_data[[#This Row],[marital_Married]]=1,"Married", (IF(ifood_data[[#This Row],[marital_Single]]=1,"Single",(IF(ifood_data[[#This Row],[marital_Divorced]]=1,"Divorced",(IF(ifood_data[[#This Row],[marital_Together]]=1,"Living Together",(IF(ifood_data[[#This Row],[marital_Widow]]=1,"Widow","Other")))))))))</f>
        <v>Living Together</v>
      </c>
      <c r="AU1093" t="str">
        <f>IF(ifood_data[[#This Row],[education_Basic]]=1,"High School",(IF(ifood_data[[#This Row],[education_Graduation]]=1,"Undergraduate Degree",(IF(SUM(AM1093,AL1093,AI1093)&gt;0,"Master's Degree or Higher","Other")))))</f>
        <v>Master's Degree or Higher</v>
      </c>
      <c r="AV1093" t="str">
        <f>IF(ifood_data[[#All],[Income]]&gt;75000,"75K+",(IF(ifood_data[[#All],[Income]]&gt;50000,"50K-75K",(IF(ifood_data[[#All],[Income]]&gt;35000,"35K-50K","&lt;35K")))))</f>
        <v>50K-75K</v>
      </c>
      <c r="AW1093" t="str">
        <f>IF(ifood_data[[#All],[Age]]&gt;60,"60+",(IF(ifood_data[[#All],[Age]]&gt;50,"50-60",(IF(ifood_data[[#All],[Age]]&gt;40,"40-50",(IF(ifood_data[[#All],[Age]]&gt;30,"30-40","&lt;30")))))))</f>
        <v>50-60</v>
      </c>
      <c r="AX1093">
        <f t="shared" si="68"/>
        <v>14</v>
      </c>
      <c r="AY1093">
        <f t="shared" si="69"/>
        <v>1.9999999999999996</v>
      </c>
      <c r="AZ1093">
        <f t="shared" si="70"/>
        <v>2</v>
      </c>
      <c r="BA1093">
        <f t="shared" si="71"/>
        <v>3</v>
      </c>
      <c r="BB1093">
        <f>SUM(ifood_data[[#This Row],[Recency Score]:[Monetary Score]])</f>
        <v>7</v>
      </c>
      <c r="BC1093">
        <f>(_xlfn.PERCENTRANK.INC(ifood_data[[#All],[RFM]],ifood_data[[#This Row],[RFM]],1))*10</f>
        <v>1</v>
      </c>
      <c r="BD1093" t="str">
        <f>VLOOKUP(ifood_data[[#This Row],[RFM Score]],'RFM Analysis'!$A$3:$B$14,2,FALSE)</f>
        <v>At Risk</v>
      </c>
      <c r="BE1093">
        <f>'Regression Models'!$B$101+'Regression Models'!$B$102*ifood_data[[#This Row],[Income]]+'Regression Models'!$B$103*ifood_data[[#This Row],[Age]]+'Regression Models'!$B$104*ifood_data[[#This Row],[Family]]</f>
        <v>442.48650085306542</v>
      </c>
      <c r="BF1093" t="str">
        <f>IF(ifood_data[[#This Row],[AcceptedCmpOverall]]=1,"Campaign Respondent","Non-respondent")</f>
        <v>Non-respondent</v>
      </c>
    </row>
    <row r="1094" spans="1:58" x14ac:dyDescent="0.35">
      <c r="A1094">
        <v>397</v>
      </c>
      <c r="B1094">
        <v>49505</v>
      </c>
      <c r="C1094">
        <v>1</v>
      </c>
      <c r="D1094">
        <v>1</v>
      </c>
      <c r="E1094">
        <v>4</v>
      </c>
      <c r="F1094">
        <v>604</v>
      </c>
      <c r="G1094">
        <v>0</v>
      </c>
      <c r="H1094">
        <v>100</v>
      </c>
      <c r="I1094">
        <v>19</v>
      </c>
      <c r="J1094">
        <v>0</v>
      </c>
      <c r="K1094">
        <v>28</v>
      </c>
      <c r="L1094">
        <v>9</v>
      </c>
      <c r="M1094">
        <v>10</v>
      </c>
      <c r="N1094">
        <v>2</v>
      </c>
      <c r="O1094">
        <v>8</v>
      </c>
      <c r="P1094">
        <v>8</v>
      </c>
      <c r="Q1094">
        <v>0</v>
      </c>
      <c r="R1094">
        <v>0</v>
      </c>
      <c r="S1094">
        <v>0</v>
      </c>
      <c r="T1094">
        <v>0</v>
      </c>
      <c r="U1094">
        <v>0</v>
      </c>
      <c r="V1094">
        <f>IF(SUM(ifood_data[[#This Row],[AcceptedCmp1]:[AcceptedCmp5]])&gt;0,1,0)</f>
        <v>0</v>
      </c>
      <c r="W1094">
        <v>0</v>
      </c>
      <c r="X1094">
        <v>3</v>
      </c>
      <c r="Y1094">
        <v>11</v>
      </c>
      <c r="Z1094">
        <v>0</v>
      </c>
      <c r="AA1094">
        <v>49</v>
      </c>
      <c r="AB1094">
        <v>2640</v>
      </c>
      <c r="AC1094" s="28">
        <f>ifood_data[[#This Row],[Customer_Days]]/365</f>
        <v>7.2328767123287667</v>
      </c>
      <c r="AD1094">
        <v>0</v>
      </c>
      <c r="AE1094">
        <v>1</v>
      </c>
      <c r="AF1094">
        <v>0</v>
      </c>
      <c r="AG1094">
        <v>0</v>
      </c>
      <c r="AH1094">
        <v>0</v>
      </c>
      <c r="AI1094">
        <v>0</v>
      </c>
      <c r="AJ1094">
        <v>0</v>
      </c>
      <c r="AK1094">
        <v>0</v>
      </c>
      <c r="AL1094">
        <v>1</v>
      </c>
      <c r="AM1094">
        <v>0</v>
      </c>
      <c r="AN1094">
        <v>723</v>
      </c>
      <c r="AO1094">
        <v>695</v>
      </c>
      <c r="AP1094">
        <f>ifood_data[[#This Row],[MntTotal]]-ifood_data[[#This Row],[MntRegularProds]]</f>
        <v>28</v>
      </c>
      <c r="AQ1094">
        <v>0</v>
      </c>
      <c r="AR1094">
        <f>IF(SUM(ifood_data[[#This Row],[Kidhome]:[Teenhome]])&gt;0,1,0)</f>
        <v>1</v>
      </c>
      <c r="AS1094" t="str">
        <f>IF(SUM(ifood_data[[#This Row],[Kidhome]:[Teenhome]])&gt;0,"Has Family","No Family")</f>
        <v>Has Family</v>
      </c>
      <c r="AT1094" t="str">
        <f>IF(ifood_data[[#This Row],[marital_Married]]=1,"Married", (IF(ifood_data[[#This Row],[marital_Single]]=1,"Single",(IF(ifood_data[[#This Row],[marital_Divorced]]=1,"Divorced",(IF(ifood_data[[#This Row],[marital_Together]]=1,"Living Together",(IF(ifood_data[[#This Row],[marital_Widow]]=1,"Widow","Other")))))))))</f>
        <v>Married</v>
      </c>
      <c r="AU1094" t="str">
        <f>IF(ifood_data[[#This Row],[education_Basic]]=1,"High School",(IF(ifood_data[[#This Row],[education_Graduation]]=1,"Undergraduate Degree",(IF(SUM(AM1094,AL1094,AI1094)&gt;0,"Master's Degree or Higher","Other")))))</f>
        <v>Master's Degree or Higher</v>
      </c>
      <c r="AV1094" t="str">
        <f>IF(ifood_data[[#All],[Income]]&gt;75000,"75K+",(IF(ifood_data[[#All],[Income]]&gt;50000,"50K-75K",(IF(ifood_data[[#All],[Income]]&gt;35000,"35K-50K","&lt;35K")))))</f>
        <v>35K-50K</v>
      </c>
      <c r="AW1094" t="str">
        <f>IF(ifood_data[[#All],[Age]]&gt;60,"60+",(IF(ifood_data[[#All],[Age]]&gt;50,"50-60",(IF(ifood_data[[#All],[Age]]&gt;40,"40-50",(IF(ifood_data[[#All],[Age]]&gt;30,"30-40","&lt;30")))))))</f>
        <v>40-50</v>
      </c>
      <c r="AX1094">
        <f t="shared" si="68"/>
        <v>37</v>
      </c>
      <c r="AY1094">
        <f t="shared" si="69"/>
        <v>10</v>
      </c>
      <c r="AZ1094">
        <f t="shared" si="70"/>
        <v>9</v>
      </c>
      <c r="BA1094">
        <f t="shared" si="71"/>
        <v>6</v>
      </c>
      <c r="BB1094">
        <f>SUM(ifood_data[[#This Row],[Recency Score]:[Monetary Score]])</f>
        <v>25</v>
      </c>
      <c r="BC1094">
        <f>(_xlfn.PERCENTRANK.INC(ifood_data[[#All],[RFM]],ifood_data[[#This Row],[RFM]],1))*10</f>
        <v>9</v>
      </c>
      <c r="BD1094" t="str">
        <f>VLOOKUP(ifood_data[[#This Row],[RFM Score]],'RFM Analysis'!$A$3:$B$14,2,FALSE)</f>
        <v>Top Customer</v>
      </c>
      <c r="BE1094">
        <f>'Regression Models'!$B$101+'Regression Models'!$B$102*ifood_data[[#This Row],[Income]]+'Regression Models'!$B$103*ifood_data[[#This Row],[Age]]+'Regression Models'!$B$104*ifood_data[[#This Row],[Family]]</f>
        <v>441.93156475041326</v>
      </c>
      <c r="BF1094" t="str">
        <f>IF(ifood_data[[#This Row],[AcceptedCmpOverall]]=1,"Campaign Respondent","Non-respondent")</f>
        <v>Non-respondent</v>
      </c>
    </row>
    <row r="1095" spans="1:58" x14ac:dyDescent="0.35">
      <c r="A1095">
        <v>805</v>
      </c>
      <c r="B1095">
        <v>49166</v>
      </c>
      <c r="C1095">
        <v>0</v>
      </c>
      <c r="D1095">
        <v>1</v>
      </c>
      <c r="E1095">
        <v>17</v>
      </c>
      <c r="F1095">
        <v>224</v>
      </c>
      <c r="G1095">
        <v>2</v>
      </c>
      <c r="H1095">
        <v>25</v>
      </c>
      <c r="I1095">
        <v>7</v>
      </c>
      <c r="J1095">
        <v>0</v>
      </c>
      <c r="K1095">
        <v>110</v>
      </c>
      <c r="L1095">
        <v>2</v>
      </c>
      <c r="M1095">
        <v>5</v>
      </c>
      <c r="N1095">
        <v>3</v>
      </c>
      <c r="O1095">
        <v>3</v>
      </c>
      <c r="P1095">
        <v>6</v>
      </c>
      <c r="Q1095">
        <v>0</v>
      </c>
      <c r="R1095">
        <v>0</v>
      </c>
      <c r="S1095">
        <v>0</v>
      </c>
      <c r="T1095">
        <v>0</v>
      </c>
      <c r="U1095">
        <v>0</v>
      </c>
      <c r="V1095">
        <f>IF(SUM(ifood_data[[#This Row],[AcceptedCmp1]:[AcceptedCmp5]])&gt;0,1,0)</f>
        <v>0</v>
      </c>
      <c r="W1095">
        <v>0</v>
      </c>
      <c r="X1095">
        <v>3</v>
      </c>
      <c r="Y1095">
        <v>11</v>
      </c>
      <c r="Z1095">
        <v>0</v>
      </c>
      <c r="AA1095">
        <v>46</v>
      </c>
      <c r="AB1095">
        <v>2540</v>
      </c>
      <c r="AC1095" s="28">
        <f>ifood_data[[#This Row],[Customer_Days]]/365</f>
        <v>6.9589041095890414</v>
      </c>
      <c r="AD1095">
        <v>0</v>
      </c>
      <c r="AE1095">
        <v>0</v>
      </c>
      <c r="AF1095">
        <v>1</v>
      </c>
      <c r="AG1095">
        <v>0</v>
      </c>
      <c r="AH1095">
        <v>0</v>
      </c>
      <c r="AI1095">
        <v>0</v>
      </c>
      <c r="AJ1095">
        <v>0</v>
      </c>
      <c r="AK1095">
        <v>1</v>
      </c>
      <c r="AL1095">
        <v>0</v>
      </c>
      <c r="AM1095">
        <v>0</v>
      </c>
      <c r="AN1095">
        <v>258</v>
      </c>
      <c r="AO1095">
        <v>148</v>
      </c>
      <c r="AP1095">
        <f>ifood_data[[#This Row],[MntTotal]]-ifood_data[[#This Row],[MntRegularProds]]</f>
        <v>110</v>
      </c>
      <c r="AQ1095">
        <v>0</v>
      </c>
      <c r="AR1095">
        <f>IF(SUM(ifood_data[[#This Row],[Kidhome]:[Teenhome]])&gt;0,1,0)</f>
        <v>1</v>
      </c>
      <c r="AS1095" t="str">
        <f>IF(SUM(ifood_data[[#This Row],[Kidhome]:[Teenhome]])&gt;0,"Has Family","No Family")</f>
        <v>Has Family</v>
      </c>
      <c r="AT1095" t="str">
        <f>IF(ifood_data[[#This Row],[marital_Married]]=1,"Married", (IF(ifood_data[[#This Row],[marital_Single]]=1,"Single",(IF(ifood_data[[#This Row],[marital_Divorced]]=1,"Divorced",(IF(ifood_data[[#This Row],[marital_Together]]=1,"Living Together",(IF(ifood_data[[#This Row],[marital_Widow]]=1,"Widow","Other")))))))))</f>
        <v>Single</v>
      </c>
      <c r="AU1095" t="str">
        <f>IF(ifood_data[[#This Row],[education_Basic]]=1,"High School",(IF(ifood_data[[#This Row],[education_Graduation]]=1,"Undergraduate Degree",(IF(SUM(AM1095,AL1095,AI1095)&gt;0,"Master's Degree or Higher","Other")))))</f>
        <v>Undergraduate Degree</v>
      </c>
      <c r="AV1095" t="str">
        <f>IF(ifood_data[[#All],[Income]]&gt;75000,"75K+",(IF(ifood_data[[#All],[Income]]&gt;50000,"50K-75K",(IF(ifood_data[[#All],[Income]]&gt;35000,"35K-50K","&lt;35K")))))</f>
        <v>35K-50K</v>
      </c>
      <c r="AW1095" t="str">
        <f>IF(ifood_data[[#All],[Age]]&gt;60,"60+",(IF(ifood_data[[#All],[Age]]&gt;50,"50-60",(IF(ifood_data[[#All],[Age]]&gt;40,"40-50",(IF(ifood_data[[#All],[Age]]&gt;30,"30-40","&lt;30")))))))</f>
        <v>40-50</v>
      </c>
      <c r="AX1095">
        <f t="shared" si="68"/>
        <v>19</v>
      </c>
      <c r="AY1095">
        <f t="shared" si="69"/>
        <v>9</v>
      </c>
      <c r="AZ1095">
        <f t="shared" si="70"/>
        <v>4</v>
      </c>
      <c r="BA1095">
        <f t="shared" si="71"/>
        <v>4</v>
      </c>
      <c r="BB1095">
        <f>SUM(ifood_data[[#This Row],[Recency Score]:[Monetary Score]])</f>
        <v>17</v>
      </c>
      <c r="BC1095">
        <f>(_xlfn.PERCENTRANK.INC(ifood_data[[#All],[RFM]],ifood_data[[#This Row],[RFM]],1))*10</f>
        <v>6</v>
      </c>
      <c r="BD1095" t="str">
        <f>VLOOKUP(ifood_data[[#This Row],[RFM Score]],'RFM Analysis'!$A$3:$B$14,2,FALSE)</f>
        <v>Promising</v>
      </c>
      <c r="BE1095">
        <f>'Regression Models'!$B$101+'Regression Models'!$B$102*ifood_data[[#This Row],[Income]]+'Regression Models'!$B$103*ifood_data[[#This Row],[Age]]+'Regression Models'!$B$104*ifood_data[[#This Row],[Family]]</f>
        <v>440.5290895863144</v>
      </c>
      <c r="BF1095" t="str">
        <f>IF(ifood_data[[#This Row],[AcceptedCmpOverall]]=1,"Campaign Respondent","Non-respondent")</f>
        <v>Non-respondent</v>
      </c>
    </row>
    <row r="1096" spans="1:58" x14ac:dyDescent="0.35">
      <c r="A1096">
        <v>438</v>
      </c>
      <c r="B1096">
        <v>50520</v>
      </c>
      <c r="C1096">
        <v>0</v>
      </c>
      <c r="D1096">
        <v>1</v>
      </c>
      <c r="E1096">
        <v>25</v>
      </c>
      <c r="F1096">
        <v>112</v>
      </c>
      <c r="G1096">
        <v>0</v>
      </c>
      <c r="H1096">
        <v>6</v>
      </c>
      <c r="I1096">
        <v>2</v>
      </c>
      <c r="J1096">
        <v>1</v>
      </c>
      <c r="K1096">
        <v>14</v>
      </c>
      <c r="L1096">
        <v>2</v>
      </c>
      <c r="M1096">
        <v>3</v>
      </c>
      <c r="N1096">
        <v>1</v>
      </c>
      <c r="O1096">
        <v>3</v>
      </c>
      <c r="P1096">
        <v>6</v>
      </c>
      <c r="Q1096">
        <v>0</v>
      </c>
      <c r="R1096">
        <v>0</v>
      </c>
      <c r="S1096">
        <v>0</v>
      </c>
      <c r="T1096">
        <v>0</v>
      </c>
      <c r="U1096">
        <v>0</v>
      </c>
      <c r="V1096">
        <f>IF(SUM(ifood_data[[#This Row],[AcceptedCmp1]:[AcceptedCmp5]])&gt;0,1,0)</f>
        <v>0</v>
      </c>
      <c r="W1096">
        <v>0</v>
      </c>
      <c r="X1096">
        <v>3</v>
      </c>
      <c r="Y1096">
        <v>11</v>
      </c>
      <c r="Z1096">
        <v>0</v>
      </c>
      <c r="AA1096">
        <v>62</v>
      </c>
      <c r="AB1096">
        <v>2311</v>
      </c>
      <c r="AC1096" s="28">
        <f>ifood_data[[#This Row],[Customer_Days]]/365</f>
        <v>6.3315068493150681</v>
      </c>
      <c r="AD1096">
        <v>0</v>
      </c>
      <c r="AE1096">
        <v>0</v>
      </c>
      <c r="AF1096">
        <v>0</v>
      </c>
      <c r="AG1096">
        <v>0</v>
      </c>
      <c r="AH1096">
        <v>1</v>
      </c>
      <c r="AI1096">
        <v>0</v>
      </c>
      <c r="AJ1096">
        <v>0</v>
      </c>
      <c r="AK1096">
        <v>0</v>
      </c>
      <c r="AL1096">
        <v>0</v>
      </c>
      <c r="AM1096">
        <v>1</v>
      </c>
      <c r="AN1096">
        <v>121</v>
      </c>
      <c r="AO1096">
        <v>107</v>
      </c>
      <c r="AP1096">
        <f>ifood_data[[#This Row],[MntTotal]]-ifood_data[[#This Row],[MntRegularProds]]</f>
        <v>14</v>
      </c>
      <c r="AQ1096">
        <v>0</v>
      </c>
      <c r="AR1096">
        <f>IF(SUM(ifood_data[[#This Row],[Kidhome]:[Teenhome]])&gt;0,1,0)</f>
        <v>1</v>
      </c>
      <c r="AS1096" t="str">
        <f>IF(SUM(ifood_data[[#This Row],[Kidhome]:[Teenhome]])&gt;0,"Has Family","No Family")</f>
        <v>Has Family</v>
      </c>
      <c r="AT1096" t="str">
        <f>IF(ifood_data[[#This Row],[marital_Married]]=1,"Married", (IF(ifood_data[[#This Row],[marital_Single]]=1,"Single",(IF(ifood_data[[#This Row],[marital_Divorced]]=1,"Divorced",(IF(ifood_data[[#This Row],[marital_Together]]=1,"Living Together",(IF(ifood_data[[#This Row],[marital_Widow]]=1,"Widow","Other")))))))))</f>
        <v>Widow</v>
      </c>
      <c r="AU1096" t="str">
        <f>IF(ifood_data[[#This Row],[education_Basic]]=1,"High School",(IF(ifood_data[[#This Row],[education_Graduation]]=1,"Undergraduate Degree",(IF(SUM(AM1096,AL1096,AI1096)&gt;0,"Master's Degree or Higher","Other")))))</f>
        <v>Master's Degree or Higher</v>
      </c>
      <c r="AV1096" t="str">
        <f>IF(ifood_data[[#All],[Income]]&gt;75000,"75K+",(IF(ifood_data[[#All],[Income]]&gt;50000,"50K-75K",(IF(ifood_data[[#All],[Income]]&gt;35000,"35K-50K","&lt;35K")))))</f>
        <v>50K-75K</v>
      </c>
      <c r="AW1096" t="str">
        <f>IF(ifood_data[[#All],[Age]]&gt;60,"60+",(IF(ifood_data[[#All],[Age]]&gt;50,"50-60",(IF(ifood_data[[#All],[Age]]&gt;40,"40-50",(IF(ifood_data[[#All],[Age]]&gt;30,"30-40","&lt;30")))))))</f>
        <v>60+</v>
      </c>
      <c r="AX1096">
        <f t="shared" si="68"/>
        <v>15</v>
      </c>
      <c r="AY1096">
        <f t="shared" si="69"/>
        <v>8</v>
      </c>
      <c r="AZ1096">
        <f t="shared" si="70"/>
        <v>2</v>
      </c>
      <c r="BA1096">
        <f t="shared" si="71"/>
        <v>3</v>
      </c>
      <c r="BB1096">
        <f>SUM(ifood_data[[#This Row],[Recency Score]:[Monetary Score]])</f>
        <v>13</v>
      </c>
      <c r="BC1096">
        <f>(_xlfn.PERCENTRANK.INC(ifood_data[[#All],[RFM]],ifood_data[[#This Row],[RFM]],1))*10</f>
        <v>3</v>
      </c>
      <c r="BD1096" t="str">
        <f>VLOOKUP(ifood_data[[#This Row],[RFM Score]],'RFM Analysis'!$A$3:$B$14,2,FALSE)</f>
        <v>At Risk</v>
      </c>
      <c r="BE1096">
        <f>'Regression Models'!$B$101+'Regression Models'!$B$102*ifood_data[[#This Row],[Income]]+'Regression Models'!$B$103*ifood_data[[#This Row],[Age]]+'Regression Models'!$B$104*ifood_data[[#This Row],[Family]]</f>
        <v>438.75245639084517</v>
      </c>
      <c r="BF1096" t="str">
        <f>IF(ifood_data[[#This Row],[AcceptedCmpOverall]]=1,"Campaign Respondent","Non-respondent")</f>
        <v>Non-respondent</v>
      </c>
    </row>
    <row r="1097" spans="1:58" x14ac:dyDescent="0.35">
      <c r="A1097">
        <v>1261</v>
      </c>
      <c r="B1097">
        <v>50127</v>
      </c>
      <c r="C1097">
        <v>0</v>
      </c>
      <c r="D1097">
        <v>1</v>
      </c>
      <c r="E1097">
        <v>88</v>
      </c>
      <c r="F1097">
        <v>274</v>
      </c>
      <c r="G1097">
        <v>0</v>
      </c>
      <c r="H1097">
        <v>21</v>
      </c>
      <c r="I1097">
        <v>4</v>
      </c>
      <c r="J1097">
        <v>6</v>
      </c>
      <c r="K1097">
        <v>15</v>
      </c>
      <c r="L1097">
        <v>1</v>
      </c>
      <c r="M1097">
        <v>5</v>
      </c>
      <c r="N1097">
        <v>1</v>
      </c>
      <c r="O1097">
        <v>6</v>
      </c>
      <c r="P1097">
        <v>6</v>
      </c>
      <c r="Q1097">
        <v>0</v>
      </c>
      <c r="R1097">
        <v>0</v>
      </c>
      <c r="S1097">
        <v>0</v>
      </c>
      <c r="T1097">
        <v>1</v>
      </c>
      <c r="U1097">
        <v>0</v>
      </c>
      <c r="V1097">
        <f>IF(SUM(ifood_data[[#This Row],[AcceptedCmp1]:[AcceptedCmp5]])&gt;0,1,0)</f>
        <v>1</v>
      </c>
      <c r="W1097">
        <v>0</v>
      </c>
      <c r="X1097">
        <v>3</v>
      </c>
      <c r="Y1097">
        <v>11</v>
      </c>
      <c r="Z1097">
        <v>0</v>
      </c>
      <c r="AA1097">
        <v>58</v>
      </c>
      <c r="AB1097">
        <v>2190</v>
      </c>
      <c r="AC1097" s="28">
        <f>ifood_data[[#This Row],[Customer_Days]]/365</f>
        <v>6</v>
      </c>
      <c r="AD1097">
        <v>0</v>
      </c>
      <c r="AE1097">
        <v>0</v>
      </c>
      <c r="AF1097">
        <v>0</v>
      </c>
      <c r="AG1097">
        <v>1</v>
      </c>
      <c r="AH1097">
        <v>0</v>
      </c>
      <c r="AI1097">
        <v>0</v>
      </c>
      <c r="AJ1097">
        <v>0</v>
      </c>
      <c r="AK1097">
        <v>1</v>
      </c>
      <c r="AL1097">
        <v>0</v>
      </c>
      <c r="AM1097">
        <v>0</v>
      </c>
      <c r="AN1097">
        <v>305</v>
      </c>
      <c r="AO1097">
        <v>290</v>
      </c>
      <c r="AP1097">
        <f>ifood_data[[#This Row],[MntTotal]]-ifood_data[[#This Row],[MntRegularProds]]</f>
        <v>15</v>
      </c>
      <c r="AQ1097">
        <v>1</v>
      </c>
      <c r="AR1097">
        <f>IF(SUM(ifood_data[[#This Row],[Kidhome]:[Teenhome]])&gt;0,1,0)</f>
        <v>1</v>
      </c>
      <c r="AS1097" t="str">
        <f>IF(SUM(ifood_data[[#This Row],[Kidhome]:[Teenhome]])&gt;0,"Has Family","No Family")</f>
        <v>Has Family</v>
      </c>
      <c r="AT1097" t="str">
        <f>IF(ifood_data[[#This Row],[marital_Married]]=1,"Married", (IF(ifood_data[[#This Row],[marital_Single]]=1,"Single",(IF(ifood_data[[#This Row],[marital_Divorced]]=1,"Divorced",(IF(ifood_data[[#This Row],[marital_Together]]=1,"Living Together",(IF(ifood_data[[#This Row],[marital_Widow]]=1,"Widow","Other")))))))))</f>
        <v>Living Together</v>
      </c>
      <c r="AU1097" t="str">
        <f>IF(ifood_data[[#This Row],[education_Basic]]=1,"High School",(IF(ifood_data[[#This Row],[education_Graduation]]=1,"Undergraduate Degree",(IF(SUM(AM1097,AL1097,AI1097)&gt;0,"Master's Degree or Higher","Other")))))</f>
        <v>Undergraduate Degree</v>
      </c>
      <c r="AV1097" t="str">
        <f>IF(ifood_data[[#All],[Income]]&gt;75000,"75K+",(IF(ifood_data[[#All],[Income]]&gt;50000,"50K-75K",(IF(ifood_data[[#All],[Income]]&gt;35000,"35K-50K","&lt;35K")))))</f>
        <v>50K-75K</v>
      </c>
      <c r="AW1097" t="str">
        <f>IF(ifood_data[[#All],[Age]]&gt;60,"60+",(IF(ifood_data[[#All],[Age]]&gt;50,"50-60",(IF(ifood_data[[#All],[Age]]&gt;40,"40-50",(IF(ifood_data[[#All],[Age]]&gt;30,"30-40","&lt;30")))))))</f>
        <v>50-60</v>
      </c>
      <c r="AX1097">
        <f t="shared" si="68"/>
        <v>19</v>
      </c>
      <c r="AY1097">
        <f t="shared" si="69"/>
        <v>1.9999999999999996</v>
      </c>
      <c r="AZ1097">
        <f t="shared" si="70"/>
        <v>4</v>
      </c>
      <c r="BA1097">
        <f t="shared" si="71"/>
        <v>4</v>
      </c>
      <c r="BB1097">
        <f>SUM(ifood_data[[#This Row],[Recency Score]:[Monetary Score]])</f>
        <v>10</v>
      </c>
      <c r="BC1097">
        <f>(_xlfn.PERCENTRANK.INC(ifood_data[[#All],[RFM]],ifood_data[[#This Row],[RFM]],1))*10</f>
        <v>2</v>
      </c>
      <c r="BD1097" t="str">
        <f>VLOOKUP(ifood_data[[#This Row],[RFM Score]],'RFM Analysis'!$A$3:$B$14,2,FALSE)</f>
        <v>At Risk</v>
      </c>
      <c r="BE1097">
        <f>'Regression Models'!$B$101+'Regression Models'!$B$102*ifood_data[[#This Row],[Income]]+'Regression Models'!$B$103*ifood_data[[#This Row],[Age]]+'Regression Models'!$B$104*ifood_data[[#This Row],[Family]]</f>
        <v>438.08542682586994</v>
      </c>
      <c r="BF1097" t="str">
        <f>IF(ifood_data[[#This Row],[AcceptedCmpOverall]]=1,"Campaign Respondent","Non-respondent")</f>
        <v>Campaign Respondent</v>
      </c>
    </row>
    <row r="1098" spans="1:58" x14ac:dyDescent="0.35">
      <c r="A1098">
        <v>336</v>
      </c>
      <c r="B1098">
        <v>50737</v>
      </c>
      <c r="C1098">
        <v>0</v>
      </c>
      <c r="D1098">
        <v>1</v>
      </c>
      <c r="E1098">
        <v>61</v>
      </c>
      <c r="F1098">
        <v>78</v>
      </c>
      <c r="G1098">
        <v>0</v>
      </c>
      <c r="H1098">
        <v>11</v>
      </c>
      <c r="I1098">
        <v>0</v>
      </c>
      <c r="J1098">
        <v>0</v>
      </c>
      <c r="K1098">
        <v>10</v>
      </c>
      <c r="L1098">
        <v>1</v>
      </c>
      <c r="M1098">
        <v>2</v>
      </c>
      <c r="N1098">
        <v>0</v>
      </c>
      <c r="O1098">
        <v>4</v>
      </c>
      <c r="P1098">
        <v>6</v>
      </c>
      <c r="Q1098">
        <v>0</v>
      </c>
      <c r="R1098">
        <v>0</v>
      </c>
      <c r="S1098">
        <v>0</v>
      </c>
      <c r="T1098">
        <v>1</v>
      </c>
      <c r="U1098">
        <v>0</v>
      </c>
      <c r="V1098">
        <f>IF(SUM(ifood_data[[#This Row],[AcceptedCmp1]:[AcceptedCmp5]])&gt;0,1,0)</f>
        <v>1</v>
      </c>
      <c r="W1098">
        <v>0</v>
      </c>
      <c r="X1098">
        <v>3</v>
      </c>
      <c r="Y1098">
        <v>11</v>
      </c>
      <c r="Z1098">
        <v>0</v>
      </c>
      <c r="AA1098">
        <v>65</v>
      </c>
      <c r="AB1098">
        <v>2573</v>
      </c>
      <c r="AC1098" s="28">
        <f>ifood_data[[#This Row],[Customer_Days]]/365</f>
        <v>7.0493150684931507</v>
      </c>
      <c r="AD1098">
        <v>0</v>
      </c>
      <c r="AE1098">
        <v>1</v>
      </c>
      <c r="AF1098">
        <v>0</v>
      </c>
      <c r="AG1098">
        <v>0</v>
      </c>
      <c r="AH1098">
        <v>0</v>
      </c>
      <c r="AI1098">
        <v>0</v>
      </c>
      <c r="AJ1098">
        <v>0</v>
      </c>
      <c r="AK1098">
        <v>1</v>
      </c>
      <c r="AL1098">
        <v>0</v>
      </c>
      <c r="AM1098">
        <v>0</v>
      </c>
      <c r="AN1098">
        <v>89</v>
      </c>
      <c r="AO1098">
        <v>79</v>
      </c>
      <c r="AP1098">
        <f>ifood_data[[#This Row],[MntTotal]]-ifood_data[[#This Row],[MntRegularProds]]</f>
        <v>10</v>
      </c>
      <c r="AQ1098">
        <v>1</v>
      </c>
      <c r="AR1098">
        <f>IF(SUM(ifood_data[[#This Row],[Kidhome]:[Teenhome]])&gt;0,1,0)</f>
        <v>1</v>
      </c>
      <c r="AS1098" t="str">
        <f>IF(SUM(ifood_data[[#This Row],[Kidhome]:[Teenhome]])&gt;0,"Has Family","No Family")</f>
        <v>Has Family</v>
      </c>
      <c r="AT1098" t="str">
        <f>IF(ifood_data[[#This Row],[marital_Married]]=1,"Married", (IF(ifood_data[[#This Row],[marital_Single]]=1,"Single",(IF(ifood_data[[#This Row],[marital_Divorced]]=1,"Divorced",(IF(ifood_data[[#This Row],[marital_Together]]=1,"Living Together",(IF(ifood_data[[#This Row],[marital_Widow]]=1,"Widow","Other")))))))))</f>
        <v>Married</v>
      </c>
      <c r="AU1098" t="str">
        <f>IF(ifood_data[[#This Row],[education_Basic]]=1,"High School",(IF(ifood_data[[#This Row],[education_Graduation]]=1,"Undergraduate Degree",(IF(SUM(AM1098,AL1098,AI1098)&gt;0,"Master's Degree or Higher","Other")))))</f>
        <v>Undergraduate Degree</v>
      </c>
      <c r="AV1098" t="str">
        <f>IF(ifood_data[[#All],[Income]]&gt;75000,"75K+",(IF(ifood_data[[#All],[Income]]&gt;50000,"50K-75K",(IF(ifood_data[[#All],[Income]]&gt;35000,"35K-50K","&lt;35K")))))</f>
        <v>50K-75K</v>
      </c>
      <c r="AW1098" t="str">
        <f>IF(ifood_data[[#All],[Age]]&gt;60,"60+",(IF(ifood_data[[#All],[Age]]&gt;50,"50-60",(IF(ifood_data[[#All],[Age]]&gt;40,"40-50",(IF(ifood_data[[#All],[Age]]&gt;30,"30-40","&lt;30")))))))</f>
        <v>60+</v>
      </c>
      <c r="AX1098">
        <f t="shared" si="68"/>
        <v>13</v>
      </c>
      <c r="AY1098">
        <f t="shared" si="69"/>
        <v>4</v>
      </c>
      <c r="AZ1098">
        <f t="shared" si="70"/>
        <v>1</v>
      </c>
      <c r="BA1098">
        <f t="shared" si="71"/>
        <v>3</v>
      </c>
      <c r="BB1098">
        <f>SUM(ifood_data[[#This Row],[Recency Score]:[Monetary Score]])</f>
        <v>8</v>
      </c>
      <c r="BC1098">
        <f>(_xlfn.PERCENTRANK.INC(ifood_data[[#All],[RFM]],ifood_data[[#This Row],[RFM]],1))*10</f>
        <v>1</v>
      </c>
      <c r="BD1098" t="str">
        <f>VLOOKUP(ifood_data[[#This Row],[RFM Score]],'RFM Analysis'!$A$3:$B$14,2,FALSE)</f>
        <v>At Risk</v>
      </c>
      <c r="BE1098">
        <f>'Regression Models'!$B$101+'Regression Models'!$B$102*ifood_data[[#This Row],[Income]]+'Regression Models'!$B$103*ifood_data[[#This Row],[Age]]+'Regression Models'!$B$104*ifood_data[[#This Row],[Family]]</f>
        <v>437.66750184138834</v>
      </c>
      <c r="BF1098" t="str">
        <f>IF(ifood_data[[#This Row],[AcceptedCmpOverall]]=1,"Campaign Respondent","Non-respondent")</f>
        <v>Campaign Respondent</v>
      </c>
    </row>
    <row r="1099" spans="1:58" x14ac:dyDescent="0.35">
      <c r="A1099">
        <v>1637</v>
      </c>
      <c r="B1099">
        <v>49094</v>
      </c>
      <c r="C1099">
        <v>0</v>
      </c>
      <c r="D1099">
        <v>1</v>
      </c>
      <c r="E1099">
        <v>6</v>
      </c>
      <c r="F1099">
        <v>376</v>
      </c>
      <c r="G1099">
        <v>0</v>
      </c>
      <c r="H1099">
        <v>38</v>
      </c>
      <c r="I1099">
        <v>11</v>
      </c>
      <c r="J1099">
        <v>8</v>
      </c>
      <c r="K1099">
        <v>69</v>
      </c>
      <c r="L1099">
        <v>5</v>
      </c>
      <c r="M1099">
        <v>6</v>
      </c>
      <c r="N1099">
        <v>3</v>
      </c>
      <c r="O1099">
        <v>6</v>
      </c>
      <c r="P1099">
        <v>6</v>
      </c>
      <c r="Q1099">
        <v>0</v>
      </c>
      <c r="R1099">
        <v>0</v>
      </c>
      <c r="S1099">
        <v>0</v>
      </c>
      <c r="T1099">
        <v>0</v>
      </c>
      <c r="U1099">
        <v>0</v>
      </c>
      <c r="V1099">
        <f>IF(SUM(ifood_data[[#This Row],[AcceptedCmp1]:[AcceptedCmp5]])&gt;0,1,0)</f>
        <v>0</v>
      </c>
      <c r="W1099">
        <v>0</v>
      </c>
      <c r="X1099">
        <v>3</v>
      </c>
      <c r="Y1099">
        <v>11</v>
      </c>
      <c r="Z1099">
        <v>0</v>
      </c>
      <c r="AA1099">
        <v>47</v>
      </c>
      <c r="AB1099">
        <v>2805</v>
      </c>
      <c r="AC1099" s="28">
        <f>ifood_data[[#This Row],[Customer_Days]]/365</f>
        <v>7.6849315068493151</v>
      </c>
      <c r="AD1099">
        <v>0</v>
      </c>
      <c r="AE1099">
        <v>1</v>
      </c>
      <c r="AF1099">
        <v>0</v>
      </c>
      <c r="AG1099">
        <v>0</v>
      </c>
      <c r="AH1099">
        <v>0</v>
      </c>
      <c r="AI1099">
        <v>0</v>
      </c>
      <c r="AJ1099">
        <v>0</v>
      </c>
      <c r="AK1099">
        <v>1</v>
      </c>
      <c r="AL1099">
        <v>0</v>
      </c>
      <c r="AM1099">
        <v>0</v>
      </c>
      <c r="AN1099">
        <v>433</v>
      </c>
      <c r="AO1099">
        <v>364</v>
      </c>
      <c r="AP1099">
        <f>ifood_data[[#This Row],[MntTotal]]-ifood_data[[#This Row],[MntRegularProds]]</f>
        <v>69</v>
      </c>
      <c r="AQ1099">
        <v>0</v>
      </c>
      <c r="AR1099">
        <f>IF(SUM(ifood_data[[#This Row],[Kidhome]:[Teenhome]])&gt;0,1,0)</f>
        <v>1</v>
      </c>
      <c r="AS1099" t="str">
        <f>IF(SUM(ifood_data[[#This Row],[Kidhome]:[Teenhome]])&gt;0,"Has Family","No Family")</f>
        <v>Has Family</v>
      </c>
      <c r="AT1099" t="str">
        <f>IF(ifood_data[[#This Row],[marital_Married]]=1,"Married", (IF(ifood_data[[#This Row],[marital_Single]]=1,"Single",(IF(ifood_data[[#This Row],[marital_Divorced]]=1,"Divorced",(IF(ifood_data[[#This Row],[marital_Together]]=1,"Living Together",(IF(ifood_data[[#This Row],[marital_Widow]]=1,"Widow","Other")))))))))</f>
        <v>Married</v>
      </c>
      <c r="AU1099" t="str">
        <f>IF(ifood_data[[#This Row],[education_Basic]]=1,"High School",(IF(ifood_data[[#This Row],[education_Graduation]]=1,"Undergraduate Degree",(IF(SUM(AM1099,AL1099,AI1099)&gt;0,"Master's Degree or Higher","Other")))))</f>
        <v>Undergraduate Degree</v>
      </c>
      <c r="AV1099" t="str">
        <f>IF(ifood_data[[#All],[Income]]&gt;75000,"75K+",(IF(ifood_data[[#All],[Income]]&gt;50000,"50K-75K",(IF(ifood_data[[#All],[Income]]&gt;35000,"35K-50K","&lt;35K")))))</f>
        <v>35K-50K</v>
      </c>
      <c r="AW1099" t="str">
        <f>IF(ifood_data[[#All],[Age]]&gt;60,"60+",(IF(ifood_data[[#All],[Age]]&gt;50,"50-60",(IF(ifood_data[[#All],[Age]]&gt;40,"40-50",(IF(ifood_data[[#All],[Age]]&gt;30,"30-40","&lt;30")))))))</f>
        <v>40-50</v>
      </c>
      <c r="AX1099">
        <f t="shared" si="68"/>
        <v>26</v>
      </c>
      <c r="AY1099">
        <f t="shared" si="69"/>
        <v>10</v>
      </c>
      <c r="AZ1099">
        <f t="shared" si="70"/>
        <v>7</v>
      </c>
      <c r="BA1099">
        <f t="shared" si="71"/>
        <v>5</v>
      </c>
      <c r="BB1099">
        <f>SUM(ifood_data[[#This Row],[Recency Score]:[Monetary Score]])</f>
        <v>22</v>
      </c>
      <c r="BC1099">
        <f>(_xlfn.PERCENTRANK.INC(ifood_data[[#All],[RFM]],ifood_data[[#This Row],[RFM]],1))*10</f>
        <v>8</v>
      </c>
      <c r="BD1099" t="str">
        <f>VLOOKUP(ifood_data[[#This Row],[RFM Score]],'RFM Analysis'!$A$3:$B$14,2,FALSE)</f>
        <v>Loyal Customer</v>
      </c>
      <c r="BE1099">
        <f>'Regression Models'!$B$101+'Regression Models'!$B$102*ifood_data[[#This Row],[Income]]+'Regression Models'!$B$103*ifood_data[[#This Row],[Age]]+'Regression Models'!$B$104*ifood_data[[#This Row],[Family]]</f>
        <v>437.22465920105935</v>
      </c>
      <c r="BF1099" t="str">
        <f>IF(ifood_data[[#This Row],[AcceptedCmpOverall]]=1,"Campaign Respondent","Non-respondent")</f>
        <v>Non-respondent</v>
      </c>
    </row>
    <row r="1100" spans="1:58" x14ac:dyDescent="0.35">
      <c r="A1100">
        <v>444</v>
      </c>
      <c r="B1100">
        <v>49269</v>
      </c>
      <c r="C1100">
        <v>1</v>
      </c>
      <c r="D1100">
        <v>0</v>
      </c>
      <c r="E1100">
        <v>92</v>
      </c>
      <c r="F1100">
        <v>639</v>
      </c>
      <c r="G1100">
        <v>8</v>
      </c>
      <c r="H1100">
        <v>166</v>
      </c>
      <c r="I1100">
        <v>11</v>
      </c>
      <c r="J1100">
        <v>8</v>
      </c>
      <c r="K1100">
        <v>58</v>
      </c>
      <c r="L1100">
        <v>3</v>
      </c>
      <c r="M1100">
        <v>7</v>
      </c>
      <c r="N1100">
        <v>3</v>
      </c>
      <c r="O1100">
        <v>12</v>
      </c>
      <c r="P1100">
        <v>7</v>
      </c>
      <c r="Q1100">
        <v>0</v>
      </c>
      <c r="R1100">
        <v>0</v>
      </c>
      <c r="S1100">
        <v>0</v>
      </c>
      <c r="T1100">
        <v>0</v>
      </c>
      <c r="U1100">
        <v>0</v>
      </c>
      <c r="V1100">
        <f>IF(SUM(ifood_data[[#This Row],[AcceptedCmp1]:[AcceptedCmp5]])&gt;0,1,0)</f>
        <v>0</v>
      </c>
      <c r="W1100">
        <v>0</v>
      </c>
      <c r="X1100">
        <v>3</v>
      </c>
      <c r="Y1100">
        <v>11</v>
      </c>
      <c r="Z1100">
        <v>0</v>
      </c>
      <c r="AA1100">
        <v>49</v>
      </c>
      <c r="AB1100">
        <v>2842</v>
      </c>
      <c r="AC1100" s="28">
        <f>ifood_data[[#This Row],[Customer_Days]]/365</f>
        <v>7.7863013698630139</v>
      </c>
      <c r="AD1100">
        <v>0</v>
      </c>
      <c r="AE1100">
        <v>0</v>
      </c>
      <c r="AF1100">
        <v>0</v>
      </c>
      <c r="AG1100">
        <v>1</v>
      </c>
      <c r="AH1100">
        <v>0</v>
      </c>
      <c r="AI1100">
        <v>0</v>
      </c>
      <c r="AJ1100">
        <v>0</v>
      </c>
      <c r="AK1100">
        <v>0</v>
      </c>
      <c r="AL1100">
        <v>0</v>
      </c>
      <c r="AM1100">
        <v>1</v>
      </c>
      <c r="AN1100">
        <v>832</v>
      </c>
      <c r="AO1100">
        <v>774</v>
      </c>
      <c r="AP1100">
        <f>ifood_data[[#This Row],[MntTotal]]-ifood_data[[#This Row],[MntRegularProds]]</f>
        <v>58</v>
      </c>
      <c r="AQ1100">
        <v>0</v>
      </c>
      <c r="AR1100">
        <f>IF(SUM(ifood_data[[#This Row],[Kidhome]:[Teenhome]])&gt;0,1,0)</f>
        <v>1</v>
      </c>
      <c r="AS1100" t="str">
        <f>IF(SUM(ifood_data[[#This Row],[Kidhome]:[Teenhome]])&gt;0,"Has Family","No Family")</f>
        <v>Has Family</v>
      </c>
      <c r="AT1100" t="str">
        <f>IF(ifood_data[[#This Row],[marital_Married]]=1,"Married", (IF(ifood_data[[#This Row],[marital_Single]]=1,"Single",(IF(ifood_data[[#This Row],[marital_Divorced]]=1,"Divorced",(IF(ifood_data[[#This Row],[marital_Together]]=1,"Living Together",(IF(ifood_data[[#This Row],[marital_Widow]]=1,"Widow","Other")))))))))</f>
        <v>Living Together</v>
      </c>
      <c r="AU1100" t="str">
        <f>IF(ifood_data[[#This Row],[education_Basic]]=1,"High School",(IF(ifood_data[[#This Row],[education_Graduation]]=1,"Undergraduate Degree",(IF(SUM(AM1100,AL1100,AI1100)&gt;0,"Master's Degree or Higher","Other")))))</f>
        <v>Master's Degree or Higher</v>
      </c>
      <c r="AV1100" t="str">
        <f>IF(ifood_data[[#All],[Income]]&gt;75000,"75K+",(IF(ifood_data[[#All],[Income]]&gt;50000,"50K-75K",(IF(ifood_data[[#All],[Income]]&gt;35000,"35K-50K","&lt;35K")))))</f>
        <v>35K-50K</v>
      </c>
      <c r="AW1100" t="str">
        <f>IF(ifood_data[[#All],[Age]]&gt;60,"60+",(IF(ifood_data[[#All],[Age]]&gt;50,"50-60",(IF(ifood_data[[#All],[Age]]&gt;40,"40-50",(IF(ifood_data[[#All],[Age]]&gt;30,"30-40","&lt;30")))))))</f>
        <v>40-50</v>
      </c>
      <c r="AX1100">
        <f t="shared" si="68"/>
        <v>32</v>
      </c>
      <c r="AY1100">
        <f t="shared" si="69"/>
        <v>0.99999999999999978</v>
      </c>
      <c r="AZ1100">
        <f t="shared" si="70"/>
        <v>9</v>
      </c>
      <c r="BA1100">
        <f t="shared" si="71"/>
        <v>6</v>
      </c>
      <c r="BB1100">
        <f>SUM(ifood_data[[#This Row],[Recency Score]:[Monetary Score]])</f>
        <v>16</v>
      </c>
      <c r="BC1100">
        <f>(_xlfn.PERCENTRANK.INC(ifood_data[[#All],[RFM]],ifood_data[[#This Row],[RFM]],1))*10</f>
        <v>5</v>
      </c>
      <c r="BD1100" t="str">
        <f>VLOOKUP(ifood_data[[#This Row],[RFM Score]],'RFM Analysis'!$A$3:$B$14,2,FALSE)</f>
        <v>Promising</v>
      </c>
      <c r="BE1100">
        <f>'Regression Models'!$B$101+'Regression Models'!$B$102*ifood_data[[#This Row],[Income]]+'Regression Models'!$B$103*ifood_data[[#This Row],[Age]]+'Regression Models'!$B$104*ifood_data[[#This Row],[Family]]</f>
        <v>437.11981546845311</v>
      </c>
      <c r="BF1100" t="str">
        <f>IF(ifood_data[[#This Row],[AcceptedCmpOverall]]=1,"Campaign Respondent","Non-respondent")</f>
        <v>Non-respondent</v>
      </c>
    </row>
    <row r="1101" spans="1:58" x14ac:dyDescent="0.35">
      <c r="A1101">
        <v>803</v>
      </c>
      <c r="B1101">
        <v>49980</v>
      </c>
      <c r="C1101">
        <v>0</v>
      </c>
      <c r="D1101">
        <v>1</v>
      </c>
      <c r="E1101">
        <v>79</v>
      </c>
      <c r="F1101">
        <v>104</v>
      </c>
      <c r="G1101">
        <v>1</v>
      </c>
      <c r="H1101">
        <v>54</v>
      </c>
      <c r="I1101">
        <v>13</v>
      </c>
      <c r="J1101">
        <v>9</v>
      </c>
      <c r="K1101">
        <v>14</v>
      </c>
      <c r="L1101">
        <v>2</v>
      </c>
      <c r="M1101">
        <v>3</v>
      </c>
      <c r="N1101">
        <v>1</v>
      </c>
      <c r="O1101">
        <v>5</v>
      </c>
      <c r="P1101">
        <v>5</v>
      </c>
      <c r="Q1101">
        <v>0</v>
      </c>
      <c r="R1101">
        <v>0</v>
      </c>
      <c r="S1101">
        <v>0</v>
      </c>
      <c r="T1101">
        <v>0</v>
      </c>
      <c r="U1101">
        <v>0</v>
      </c>
      <c r="V1101">
        <f>IF(SUM(ifood_data[[#This Row],[AcceptedCmp1]:[AcceptedCmp5]])&gt;0,1,0)</f>
        <v>0</v>
      </c>
      <c r="W1101">
        <v>0</v>
      </c>
      <c r="X1101">
        <v>3</v>
      </c>
      <c r="Y1101">
        <v>11</v>
      </c>
      <c r="Z1101">
        <v>0</v>
      </c>
      <c r="AA1101">
        <v>57</v>
      </c>
      <c r="AB1101">
        <v>2408</v>
      </c>
      <c r="AC1101" s="28">
        <f>ifood_data[[#This Row],[Customer_Days]]/365</f>
        <v>6.5972602739726032</v>
      </c>
      <c r="AD1101">
        <v>0</v>
      </c>
      <c r="AE1101">
        <v>0</v>
      </c>
      <c r="AF1101">
        <v>1</v>
      </c>
      <c r="AG1101">
        <v>0</v>
      </c>
      <c r="AH1101">
        <v>0</v>
      </c>
      <c r="AI1101">
        <v>0</v>
      </c>
      <c r="AJ1101">
        <v>0</v>
      </c>
      <c r="AK1101">
        <v>1</v>
      </c>
      <c r="AL1101">
        <v>0</v>
      </c>
      <c r="AM1101">
        <v>0</v>
      </c>
      <c r="AN1101">
        <v>181</v>
      </c>
      <c r="AO1101">
        <v>167</v>
      </c>
      <c r="AP1101">
        <f>ifood_data[[#This Row],[MntTotal]]-ifood_data[[#This Row],[MntRegularProds]]</f>
        <v>14</v>
      </c>
      <c r="AQ1101">
        <v>0</v>
      </c>
      <c r="AR1101">
        <f>IF(SUM(ifood_data[[#This Row],[Kidhome]:[Teenhome]])&gt;0,1,0)</f>
        <v>1</v>
      </c>
      <c r="AS1101" t="str">
        <f>IF(SUM(ifood_data[[#This Row],[Kidhome]:[Teenhome]])&gt;0,"Has Family","No Family")</f>
        <v>Has Family</v>
      </c>
      <c r="AT1101" t="str">
        <f>IF(ifood_data[[#This Row],[marital_Married]]=1,"Married", (IF(ifood_data[[#This Row],[marital_Single]]=1,"Single",(IF(ifood_data[[#This Row],[marital_Divorced]]=1,"Divorced",(IF(ifood_data[[#This Row],[marital_Together]]=1,"Living Together",(IF(ifood_data[[#This Row],[marital_Widow]]=1,"Widow","Other")))))))))</f>
        <v>Single</v>
      </c>
      <c r="AU1101" t="str">
        <f>IF(ifood_data[[#This Row],[education_Basic]]=1,"High School",(IF(ifood_data[[#This Row],[education_Graduation]]=1,"Undergraduate Degree",(IF(SUM(AM1101,AL1101,AI1101)&gt;0,"Master's Degree or Higher","Other")))))</f>
        <v>Undergraduate Degree</v>
      </c>
      <c r="AV1101" t="str">
        <f>IF(ifood_data[[#All],[Income]]&gt;75000,"75K+",(IF(ifood_data[[#All],[Income]]&gt;50000,"50K-75K",(IF(ifood_data[[#All],[Income]]&gt;35000,"35K-50K","&lt;35K")))))</f>
        <v>35K-50K</v>
      </c>
      <c r="AW1101" t="str">
        <f>IF(ifood_data[[#All],[Age]]&gt;60,"60+",(IF(ifood_data[[#All],[Age]]&gt;50,"50-60",(IF(ifood_data[[#All],[Age]]&gt;40,"40-50",(IF(ifood_data[[#All],[Age]]&gt;30,"30-40","&lt;30")))))))</f>
        <v>50-60</v>
      </c>
      <c r="AX1101">
        <f t="shared" si="68"/>
        <v>16</v>
      </c>
      <c r="AY1101">
        <f t="shared" si="69"/>
        <v>3.0000000000000004</v>
      </c>
      <c r="AZ1101">
        <f t="shared" si="70"/>
        <v>3</v>
      </c>
      <c r="BA1101">
        <f t="shared" si="71"/>
        <v>3</v>
      </c>
      <c r="BB1101">
        <f>SUM(ifood_data[[#This Row],[Recency Score]:[Monetary Score]])</f>
        <v>9</v>
      </c>
      <c r="BC1101">
        <f>(_xlfn.PERCENTRANK.INC(ifood_data[[#All],[RFM]],ifood_data[[#This Row],[RFM]],1))*10</f>
        <v>1</v>
      </c>
      <c r="BD1101" t="str">
        <f>VLOOKUP(ifood_data[[#This Row],[RFM Score]],'RFM Analysis'!$A$3:$B$14,2,FALSE)</f>
        <v>At Risk</v>
      </c>
      <c r="BE1101">
        <f>'Regression Models'!$B$101+'Regression Models'!$B$102*ifood_data[[#This Row],[Income]]+'Regression Models'!$B$103*ifood_data[[#This Row],[Age]]+'Regression Models'!$B$104*ifood_data[[#This Row],[Family]]</f>
        <v>436.92471698761108</v>
      </c>
      <c r="BF1101" t="str">
        <f>IF(ifood_data[[#This Row],[AcceptedCmpOverall]]=1,"Campaign Respondent","Non-respondent")</f>
        <v>Non-respondent</v>
      </c>
    </row>
    <row r="1102" spans="1:58" x14ac:dyDescent="0.35">
      <c r="A1102">
        <v>1061</v>
      </c>
      <c r="B1102">
        <v>48526</v>
      </c>
      <c r="C1102">
        <v>1</v>
      </c>
      <c r="D1102">
        <v>0</v>
      </c>
      <c r="E1102">
        <v>32</v>
      </c>
      <c r="F1102">
        <v>23</v>
      </c>
      <c r="G1102">
        <v>17</v>
      </c>
      <c r="H1102">
        <v>23</v>
      </c>
      <c r="I1102">
        <v>43</v>
      </c>
      <c r="J1102">
        <v>20</v>
      </c>
      <c r="K1102">
        <v>9</v>
      </c>
      <c r="L1102">
        <v>1</v>
      </c>
      <c r="M1102">
        <v>2</v>
      </c>
      <c r="N1102">
        <v>1</v>
      </c>
      <c r="O1102">
        <v>4</v>
      </c>
      <c r="P1102">
        <v>3</v>
      </c>
      <c r="Q1102">
        <v>0</v>
      </c>
      <c r="R1102">
        <v>0</v>
      </c>
      <c r="S1102">
        <v>0</v>
      </c>
      <c r="T1102">
        <v>0</v>
      </c>
      <c r="U1102">
        <v>0</v>
      </c>
      <c r="V1102">
        <f>IF(SUM(ifood_data[[#This Row],[AcceptedCmp1]:[AcceptedCmp5]])&gt;0,1,0)</f>
        <v>0</v>
      </c>
      <c r="W1102">
        <v>0</v>
      </c>
      <c r="X1102">
        <v>3</v>
      </c>
      <c r="Y1102">
        <v>11</v>
      </c>
      <c r="Z1102">
        <v>0</v>
      </c>
      <c r="AA1102">
        <v>41</v>
      </c>
      <c r="AB1102">
        <v>2346</v>
      </c>
      <c r="AC1102" s="28">
        <f>ifood_data[[#This Row],[Customer_Days]]/365</f>
        <v>6.4273972602739722</v>
      </c>
      <c r="AD1102">
        <v>0</v>
      </c>
      <c r="AE1102">
        <v>0</v>
      </c>
      <c r="AF1102">
        <v>1</v>
      </c>
      <c r="AG1102">
        <v>0</v>
      </c>
      <c r="AH1102">
        <v>0</v>
      </c>
      <c r="AI1102">
        <v>0</v>
      </c>
      <c r="AJ1102">
        <v>0</v>
      </c>
      <c r="AK1102">
        <v>1</v>
      </c>
      <c r="AL1102">
        <v>0</v>
      </c>
      <c r="AM1102">
        <v>0</v>
      </c>
      <c r="AN1102">
        <v>126</v>
      </c>
      <c r="AO1102">
        <v>117</v>
      </c>
      <c r="AP1102">
        <f>ifood_data[[#This Row],[MntTotal]]-ifood_data[[#This Row],[MntRegularProds]]</f>
        <v>9</v>
      </c>
      <c r="AQ1102">
        <v>0</v>
      </c>
      <c r="AR1102">
        <f>IF(SUM(ifood_data[[#This Row],[Kidhome]:[Teenhome]])&gt;0,1,0)</f>
        <v>1</v>
      </c>
      <c r="AS1102" t="str">
        <f>IF(SUM(ifood_data[[#This Row],[Kidhome]:[Teenhome]])&gt;0,"Has Family","No Family")</f>
        <v>Has Family</v>
      </c>
      <c r="AT1102" t="str">
        <f>IF(ifood_data[[#This Row],[marital_Married]]=1,"Married", (IF(ifood_data[[#This Row],[marital_Single]]=1,"Single",(IF(ifood_data[[#This Row],[marital_Divorced]]=1,"Divorced",(IF(ifood_data[[#This Row],[marital_Together]]=1,"Living Together",(IF(ifood_data[[#This Row],[marital_Widow]]=1,"Widow","Other")))))))))</f>
        <v>Single</v>
      </c>
      <c r="AU1102" t="str">
        <f>IF(ifood_data[[#This Row],[education_Basic]]=1,"High School",(IF(ifood_data[[#This Row],[education_Graduation]]=1,"Undergraduate Degree",(IF(SUM(AM1102,AL1102,AI1102)&gt;0,"Master's Degree or Higher","Other")))))</f>
        <v>Undergraduate Degree</v>
      </c>
      <c r="AV1102" t="str">
        <f>IF(ifood_data[[#All],[Income]]&gt;75000,"75K+",(IF(ifood_data[[#All],[Income]]&gt;50000,"50K-75K",(IF(ifood_data[[#All],[Income]]&gt;35000,"35K-50K","&lt;35K")))))</f>
        <v>35K-50K</v>
      </c>
      <c r="AW1102" t="str">
        <f>IF(ifood_data[[#All],[Age]]&gt;60,"60+",(IF(ifood_data[[#All],[Age]]&gt;50,"50-60",(IF(ifood_data[[#All],[Age]]&gt;40,"40-50",(IF(ifood_data[[#All],[Age]]&gt;30,"30-40","&lt;30")))))))</f>
        <v>40-50</v>
      </c>
      <c r="AX1102">
        <f t="shared" si="68"/>
        <v>11</v>
      </c>
      <c r="AY1102">
        <f t="shared" si="69"/>
        <v>7</v>
      </c>
      <c r="AZ1102">
        <f t="shared" si="70"/>
        <v>0</v>
      </c>
      <c r="BA1102">
        <f t="shared" si="71"/>
        <v>3</v>
      </c>
      <c r="BB1102">
        <f>SUM(ifood_data[[#This Row],[Recency Score]:[Monetary Score]])</f>
        <v>10</v>
      </c>
      <c r="BC1102">
        <f>(_xlfn.PERCENTRANK.INC(ifood_data[[#All],[RFM]],ifood_data[[#This Row],[RFM]],1))*10</f>
        <v>2</v>
      </c>
      <c r="BD1102" t="str">
        <f>VLOOKUP(ifood_data[[#This Row],[RFM Score]],'RFM Analysis'!$A$3:$B$14,2,FALSE)</f>
        <v>At Risk</v>
      </c>
      <c r="BE1102">
        <f>'Regression Models'!$B$101+'Regression Models'!$B$102*ifood_data[[#This Row],[Income]]+'Regression Models'!$B$103*ifood_data[[#This Row],[Age]]+'Regression Models'!$B$104*ifood_data[[#This Row],[Family]]</f>
        <v>436.66247336869048</v>
      </c>
      <c r="BF1102" t="str">
        <f>IF(ifood_data[[#This Row],[AcceptedCmpOverall]]=1,"Campaign Respondent","Non-respondent")</f>
        <v>Non-respondent</v>
      </c>
    </row>
    <row r="1103" spans="1:58" x14ac:dyDescent="0.35">
      <c r="A1103">
        <v>577</v>
      </c>
      <c r="B1103">
        <v>49618</v>
      </c>
      <c r="C1103">
        <v>1</v>
      </c>
      <c r="D1103">
        <v>1</v>
      </c>
      <c r="E1103">
        <v>77</v>
      </c>
      <c r="F1103">
        <v>80</v>
      </c>
      <c r="G1103">
        <v>3</v>
      </c>
      <c r="H1103">
        <v>26</v>
      </c>
      <c r="I1103">
        <v>4</v>
      </c>
      <c r="J1103">
        <v>2</v>
      </c>
      <c r="K1103">
        <v>14</v>
      </c>
      <c r="L1103">
        <v>4</v>
      </c>
      <c r="M1103">
        <v>3</v>
      </c>
      <c r="N1103">
        <v>1</v>
      </c>
      <c r="O1103">
        <v>3</v>
      </c>
      <c r="P1103">
        <v>7</v>
      </c>
      <c r="Q1103">
        <v>0</v>
      </c>
      <c r="R1103">
        <v>0</v>
      </c>
      <c r="S1103">
        <v>0</v>
      </c>
      <c r="T1103">
        <v>0</v>
      </c>
      <c r="U1103">
        <v>0</v>
      </c>
      <c r="V1103">
        <f>IF(SUM(ifood_data[[#This Row],[AcceptedCmp1]:[AcceptedCmp5]])&gt;0,1,0)</f>
        <v>0</v>
      </c>
      <c r="W1103">
        <v>0</v>
      </c>
      <c r="X1103">
        <v>3</v>
      </c>
      <c r="Y1103">
        <v>11</v>
      </c>
      <c r="Z1103">
        <v>0</v>
      </c>
      <c r="AA1103">
        <v>54</v>
      </c>
      <c r="AB1103">
        <v>2678</v>
      </c>
      <c r="AC1103" s="28">
        <f>ifood_data[[#This Row],[Customer_Days]]/365</f>
        <v>7.3369863013698629</v>
      </c>
      <c r="AD1103">
        <v>0</v>
      </c>
      <c r="AE1103">
        <v>0</v>
      </c>
      <c r="AF1103">
        <v>0</v>
      </c>
      <c r="AG1103">
        <v>1</v>
      </c>
      <c r="AH1103">
        <v>0</v>
      </c>
      <c r="AI1103">
        <v>0</v>
      </c>
      <c r="AJ1103">
        <v>0</v>
      </c>
      <c r="AK1103">
        <v>0</v>
      </c>
      <c r="AL1103">
        <v>1</v>
      </c>
      <c r="AM1103">
        <v>0</v>
      </c>
      <c r="AN1103">
        <v>115</v>
      </c>
      <c r="AO1103">
        <v>101</v>
      </c>
      <c r="AP1103">
        <f>ifood_data[[#This Row],[MntTotal]]-ifood_data[[#This Row],[MntRegularProds]]</f>
        <v>14</v>
      </c>
      <c r="AQ1103">
        <v>0</v>
      </c>
      <c r="AR1103">
        <f>IF(SUM(ifood_data[[#This Row],[Kidhome]:[Teenhome]])&gt;0,1,0)</f>
        <v>1</v>
      </c>
      <c r="AS1103" t="str">
        <f>IF(SUM(ifood_data[[#This Row],[Kidhome]:[Teenhome]])&gt;0,"Has Family","No Family")</f>
        <v>Has Family</v>
      </c>
      <c r="AT1103" t="str">
        <f>IF(ifood_data[[#This Row],[marital_Married]]=1,"Married", (IF(ifood_data[[#This Row],[marital_Single]]=1,"Single",(IF(ifood_data[[#This Row],[marital_Divorced]]=1,"Divorced",(IF(ifood_data[[#This Row],[marital_Together]]=1,"Living Together",(IF(ifood_data[[#This Row],[marital_Widow]]=1,"Widow","Other")))))))))</f>
        <v>Living Together</v>
      </c>
      <c r="AU1103" t="str">
        <f>IF(ifood_data[[#This Row],[education_Basic]]=1,"High School",(IF(ifood_data[[#This Row],[education_Graduation]]=1,"Undergraduate Degree",(IF(SUM(AM1103,AL1103,AI1103)&gt;0,"Master's Degree or Higher","Other")))))</f>
        <v>Master's Degree or Higher</v>
      </c>
      <c r="AV1103" t="str">
        <f>IF(ifood_data[[#All],[Income]]&gt;75000,"75K+",(IF(ifood_data[[#All],[Income]]&gt;50000,"50K-75K",(IF(ifood_data[[#All],[Income]]&gt;35000,"35K-50K","&lt;35K")))))</f>
        <v>35K-50K</v>
      </c>
      <c r="AW1103" t="str">
        <f>IF(ifood_data[[#All],[Age]]&gt;60,"60+",(IF(ifood_data[[#All],[Age]]&gt;50,"50-60",(IF(ifood_data[[#All],[Age]]&gt;40,"40-50",(IF(ifood_data[[#All],[Age]]&gt;30,"30-40","&lt;30")))))))</f>
        <v>50-60</v>
      </c>
      <c r="AX1103">
        <f t="shared" si="68"/>
        <v>18</v>
      </c>
      <c r="AY1103">
        <f t="shared" si="69"/>
        <v>3.0000000000000004</v>
      </c>
      <c r="AZ1103">
        <f t="shared" si="70"/>
        <v>4</v>
      </c>
      <c r="BA1103">
        <f t="shared" si="71"/>
        <v>3</v>
      </c>
      <c r="BB1103">
        <f>SUM(ifood_data[[#This Row],[Recency Score]:[Monetary Score]])</f>
        <v>10</v>
      </c>
      <c r="BC1103">
        <f>(_xlfn.PERCENTRANK.INC(ifood_data[[#All],[RFM]],ifood_data[[#This Row],[RFM]],1))*10</f>
        <v>2</v>
      </c>
      <c r="BD1103" t="str">
        <f>VLOOKUP(ifood_data[[#This Row],[RFM Score]],'RFM Analysis'!$A$3:$B$14,2,FALSE)</f>
        <v>At Risk</v>
      </c>
      <c r="BE1103">
        <f>'Regression Models'!$B$101+'Regression Models'!$B$102*ifood_data[[#This Row],[Income]]+'Regression Models'!$B$103*ifood_data[[#This Row],[Age]]+'Regression Models'!$B$104*ifood_data[[#This Row],[Family]]</f>
        <v>435.05330015620257</v>
      </c>
      <c r="BF1103" t="str">
        <f>IF(ifood_data[[#This Row],[AcceptedCmpOverall]]=1,"Campaign Respondent","Non-respondent")</f>
        <v>Non-respondent</v>
      </c>
    </row>
    <row r="1104" spans="1:58" x14ac:dyDescent="0.35">
      <c r="A1104">
        <v>1046</v>
      </c>
      <c r="B1104">
        <v>50870</v>
      </c>
      <c r="C1104">
        <v>0</v>
      </c>
      <c r="D1104">
        <v>1</v>
      </c>
      <c r="E1104">
        <v>13</v>
      </c>
      <c r="F1104">
        <v>53</v>
      </c>
      <c r="G1104">
        <v>0</v>
      </c>
      <c r="H1104">
        <v>8</v>
      </c>
      <c r="I1104">
        <v>0</v>
      </c>
      <c r="J1104">
        <v>0</v>
      </c>
      <c r="K1104">
        <v>2</v>
      </c>
      <c r="L1104">
        <v>1</v>
      </c>
      <c r="M1104">
        <v>2</v>
      </c>
      <c r="N1104">
        <v>0</v>
      </c>
      <c r="O1104">
        <v>3</v>
      </c>
      <c r="P1104">
        <v>5</v>
      </c>
      <c r="Q1104">
        <v>0</v>
      </c>
      <c r="R1104">
        <v>0</v>
      </c>
      <c r="S1104">
        <v>0</v>
      </c>
      <c r="T1104">
        <v>0</v>
      </c>
      <c r="U1104">
        <v>0</v>
      </c>
      <c r="V1104">
        <f>IF(SUM(ifood_data[[#This Row],[AcceptedCmp1]:[AcceptedCmp5]])&gt;0,1,0)</f>
        <v>0</v>
      </c>
      <c r="W1104">
        <v>0</v>
      </c>
      <c r="X1104">
        <v>3</v>
      </c>
      <c r="Y1104">
        <v>11</v>
      </c>
      <c r="Z1104">
        <v>0</v>
      </c>
      <c r="AA1104">
        <v>68</v>
      </c>
      <c r="AB1104">
        <v>2169</v>
      </c>
      <c r="AC1104" s="28">
        <f>ifood_data[[#This Row],[Customer_Days]]/365</f>
        <v>5.9424657534246572</v>
      </c>
      <c r="AD1104">
        <v>0</v>
      </c>
      <c r="AE1104">
        <v>1</v>
      </c>
      <c r="AF1104">
        <v>0</v>
      </c>
      <c r="AG1104">
        <v>0</v>
      </c>
      <c r="AH1104">
        <v>0</v>
      </c>
      <c r="AI1104">
        <v>0</v>
      </c>
      <c r="AJ1104">
        <v>0</v>
      </c>
      <c r="AK1104">
        <v>0</v>
      </c>
      <c r="AL1104">
        <v>0</v>
      </c>
      <c r="AM1104">
        <v>1</v>
      </c>
      <c r="AN1104">
        <v>61</v>
      </c>
      <c r="AO1104">
        <v>59</v>
      </c>
      <c r="AP1104">
        <f>ifood_data[[#This Row],[MntTotal]]-ifood_data[[#This Row],[MntRegularProds]]</f>
        <v>2</v>
      </c>
      <c r="AQ1104">
        <v>0</v>
      </c>
      <c r="AR1104">
        <f>IF(SUM(ifood_data[[#This Row],[Kidhome]:[Teenhome]])&gt;0,1,0)</f>
        <v>1</v>
      </c>
      <c r="AS1104" t="str">
        <f>IF(SUM(ifood_data[[#This Row],[Kidhome]:[Teenhome]])&gt;0,"Has Family","No Family")</f>
        <v>Has Family</v>
      </c>
      <c r="AT1104" t="str">
        <f>IF(ifood_data[[#This Row],[marital_Married]]=1,"Married", (IF(ifood_data[[#This Row],[marital_Single]]=1,"Single",(IF(ifood_data[[#This Row],[marital_Divorced]]=1,"Divorced",(IF(ifood_data[[#This Row],[marital_Together]]=1,"Living Together",(IF(ifood_data[[#This Row],[marital_Widow]]=1,"Widow","Other")))))))))</f>
        <v>Married</v>
      </c>
      <c r="AU1104" t="str">
        <f>IF(ifood_data[[#This Row],[education_Basic]]=1,"High School",(IF(ifood_data[[#This Row],[education_Graduation]]=1,"Undergraduate Degree",(IF(SUM(AM1104,AL1104,AI1104)&gt;0,"Master's Degree or Higher","Other")))))</f>
        <v>Master's Degree or Higher</v>
      </c>
      <c r="AV1104" t="str">
        <f>IF(ifood_data[[#All],[Income]]&gt;75000,"75K+",(IF(ifood_data[[#All],[Income]]&gt;50000,"50K-75K",(IF(ifood_data[[#All],[Income]]&gt;35000,"35K-50K","&lt;35K")))))</f>
        <v>50K-75K</v>
      </c>
      <c r="AW1104" t="str">
        <f>IF(ifood_data[[#All],[Age]]&gt;60,"60+",(IF(ifood_data[[#All],[Age]]&gt;50,"50-60",(IF(ifood_data[[#All],[Age]]&gt;40,"40-50",(IF(ifood_data[[#All],[Age]]&gt;30,"30-40","&lt;30")))))))</f>
        <v>60+</v>
      </c>
      <c r="AX1104">
        <f t="shared" si="68"/>
        <v>11</v>
      </c>
      <c r="AY1104">
        <f t="shared" si="69"/>
        <v>9</v>
      </c>
      <c r="AZ1104">
        <f t="shared" si="70"/>
        <v>0</v>
      </c>
      <c r="BA1104">
        <f t="shared" si="71"/>
        <v>2</v>
      </c>
      <c r="BB1104">
        <f>SUM(ifood_data[[#This Row],[Recency Score]:[Monetary Score]])</f>
        <v>11</v>
      </c>
      <c r="BC1104">
        <f>(_xlfn.PERCENTRANK.INC(ifood_data[[#All],[RFM]],ifood_data[[#This Row],[RFM]],1))*10</f>
        <v>2</v>
      </c>
      <c r="BD1104" t="str">
        <f>VLOOKUP(ifood_data[[#This Row],[RFM Score]],'RFM Analysis'!$A$3:$B$14,2,FALSE)</f>
        <v>At Risk</v>
      </c>
      <c r="BE1104">
        <f>'Regression Models'!$B$101+'Regression Models'!$B$102*ifood_data[[#This Row],[Income]]+'Regression Models'!$B$103*ifood_data[[#This Row],[Age]]+'Regression Models'!$B$104*ifood_data[[#This Row],[Family]]</f>
        <v>434.86989076784414</v>
      </c>
      <c r="BF1104" t="str">
        <f>IF(ifood_data[[#This Row],[AcceptedCmpOverall]]=1,"Campaign Respondent","Non-respondent")</f>
        <v>Non-respondent</v>
      </c>
    </row>
    <row r="1105" spans="1:58" x14ac:dyDescent="0.35">
      <c r="A1105">
        <v>81</v>
      </c>
      <c r="B1105">
        <v>50388</v>
      </c>
      <c r="C1105">
        <v>0</v>
      </c>
      <c r="D1105">
        <v>1</v>
      </c>
      <c r="E1105">
        <v>3</v>
      </c>
      <c r="F1105">
        <v>292</v>
      </c>
      <c r="G1105">
        <v>6</v>
      </c>
      <c r="H1105">
        <v>37</v>
      </c>
      <c r="I1105">
        <v>0</v>
      </c>
      <c r="J1105">
        <v>3</v>
      </c>
      <c r="K1105">
        <v>34</v>
      </c>
      <c r="L1105">
        <v>4</v>
      </c>
      <c r="M1105">
        <v>6</v>
      </c>
      <c r="N1105">
        <v>1</v>
      </c>
      <c r="O1105">
        <v>6</v>
      </c>
      <c r="P1105">
        <v>7</v>
      </c>
      <c r="Q1105">
        <v>1</v>
      </c>
      <c r="R1105">
        <v>0</v>
      </c>
      <c r="S1105">
        <v>0</v>
      </c>
      <c r="T1105">
        <v>1</v>
      </c>
      <c r="U1105">
        <v>0</v>
      </c>
      <c r="V1105">
        <f>IF(SUM(ifood_data[[#This Row],[AcceptedCmp1]:[AcceptedCmp5]])&gt;0,1,0)</f>
        <v>1</v>
      </c>
      <c r="W1105">
        <v>0</v>
      </c>
      <c r="X1105">
        <v>3</v>
      </c>
      <c r="Y1105">
        <v>11</v>
      </c>
      <c r="Z1105">
        <v>1</v>
      </c>
      <c r="AA1105">
        <v>63</v>
      </c>
      <c r="AB1105">
        <v>2191</v>
      </c>
      <c r="AC1105" s="28">
        <f>ifood_data[[#This Row],[Customer_Days]]/365</f>
        <v>6.0027397260273974</v>
      </c>
      <c r="AD1105">
        <v>0</v>
      </c>
      <c r="AE1105">
        <v>0</v>
      </c>
      <c r="AF1105">
        <v>1</v>
      </c>
      <c r="AG1105">
        <v>0</v>
      </c>
      <c r="AH1105">
        <v>0</v>
      </c>
      <c r="AI1105">
        <v>0</v>
      </c>
      <c r="AJ1105">
        <v>0</v>
      </c>
      <c r="AK1105">
        <v>1</v>
      </c>
      <c r="AL1105">
        <v>0</v>
      </c>
      <c r="AM1105">
        <v>0</v>
      </c>
      <c r="AN1105">
        <v>338</v>
      </c>
      <c r="AO1105">
        <v>304</v>
      </c>
      <c r="AP1105">
        <f>ifood_data[[#This Row],[MntTotal]]-ifood_data[[#This Row],[MntRegularProds]]</f>
        <v>34</v>
      </c>
      <c r="AQ1105">
        <v>2</v>
      </c>
      <c r="AR1105">
        <f>IF(SUM(ifood_data[[#This Row],[Kidhome]:[Teenhome]])&gt;0,1,0)</f>
        <v>1</v>
      </c>
      <c r="AS1105" t="str">
        <f>IF(SUM(ifood_data[[#This Row],[Kidhome]:[Teenhome]])&gt;0,"Has Family","No Family")</f>
        <v>Has Family</v>
      </c>
      <c r="AT1105" t="str">
        <f>IF(ifood_data[[#This Row],[marital_Married]]=1,"Married", (IF(ifood_data[[#This Row],[marital_Single]]=1,"Single",(IF(ifood_data[[#This Row],[marital_Divorced]]=1,"Divorced",(IF(ifood_data[[#This Row],[marital_Together]]=1,"Living Together",(IF(ifood_data[[#This Row],[marital_Widow]]=1,"Widow","Other")))))))))</f>
        <v>Single</v>
      </c>
      <c r="AU1105" t="str">
        <f>IF(ifood_data[[#This Row],[education_Basic]]=1,"High School",(IF(ifood_data[[#This Row],[education_Graduation]]=1,"Undergraduate Degree",(IF(SUM(AM1105,AL1105,AI1105)&gt;0,"Master's Degree or Higher","Other")))))</f>
        <v>Undergraduate Degree</v>
      </c>
      <c r="AV1105" t="str">
        <f>IF(ifood_data[[#All],[Income]]&gt;75000,"75K+",(IF(ifood_data[[#All],[Income]]&gt;50000,"50K-75K",(IF(ifood_data[[#All],[Income]]&gt;35000,"35K-50K","&lt;35K")))))</f>
        <v>50K-75K</v>
      </c>
      <c r="AW1105" t="str">
        <f>IF(ifood_data[[#All],[Age]]&gt;60,"60+",(IF(ifood_data[[#All],[Age]]&gt;50,"50-60",(IF(ifood_data[[#All],[Age]]&gt;40,"40-50",(IF(ifood_data[[#All],[Age]]&gt;30,"30-40","&lt;30")))))))</f>
        <v>60+</v>
      </c>
      <c r="AX1105">
        <f t="shared" si="68"/>
        <v>24</v>
      </c>
      <c r="AY1105">
        <f t="shared" si="69"/>
        <v>10</v>
      </c>
      <c r="AZ1105">
        <f t="shared" si="70"/>
        <v>6</v>
      </c>
      <c r="BA1105">
        <f t="shared" si="71"/>
        <v>4</v>
      </c>
      <c r="BB1105">
        <f>SUM(ifood_data[[#This Row],[Recency Score]:[Monetary Score]])</f>
        <v>20</v>
      </c>
      <c r="BC1105">
        <f>(_xlfn.PERCENTRANK.INC(ifood_data[[#All],[RFM]],ifood_data[[#This Row],[RFM]],1))*10</f>
        <v>7</v>
      </c>
      <c r="BD1105" t="str">
        <f>VLOOKUP(ifood_data[[#This Row],[RFM Score]],'RFM Analysis'!$A$3:$B$14,2,FALSE)</f>
        <v>Loyal Customer</v>
      </c>
      <c r="BE1105">
        <f>'Regression Models'!$B$101+'Regression Models'!$B$102*ifood_data[[#This Row],[Income]]+'Regression Models'!$B$103*ifood_data[[#This Row],[Age]]+'Regression Models'!$B$104*ifood_data[[#This Row],[Family]]</f>
        <v>434.22469991695618</v>
      </c>
      <c r="BF1105" t="str">
        <f>IF(ifood_data[[#This Row],[AcceptedCmpOverall]]=1,"Campaign Respondent","Non-respondent")</f>
        <v>Campaign Respondent</v>
      </c>
    </row>
    <row r="1106" spans="1:58" x14ac:dyDescent="0.35">
      <c r="A1106">
        <v>1364</v>
      </c>
      <c r="B1106">
        <v>50725</v>
      </c>
      <c r="C1106">
        <v>0</v>
      </c>
      <c r="D1106">
        <v>1</v>
      </c>
      <c r="E1106">
        <v>45</v>
      </c>
      <c r="F1106">
        <v>443</v>
      </c>
      <c r="G1106">
        <v>10</v>
      </c>
      <c r="H1106">
        <v>75</v>
      </c>
      <c r="I1106">
        <v>0</v>
      </c>
      <c r="J1106">
        <v>10</v>
      </c>
      <c r="K1106">
        <v>48</v>
      </c>
      <c r="L1106">
        <v>4</v>
      </c>
      <c r="M1106">
        <v>8</v>
      </c>
      <c r="N1106">
        <v>1</v>
      </c>
      <c r="O1106">
        <v>8</v>
      </c>
      <c r="P1106">
        <v>8</v>
      </c>
      <c r="Q1106">
        <v>0</v>
      </c>
      <c r="R1106">
        <v>0</v>
      </c>
      <c r="S1106">
        <v>0</v>
      </c>
      <c r="T1106">
        <v>0</v>
      </c>
      <c r="U1106">
        <v>0</v>
      </c>
      <c r="V1106">
        <f>IF(SUM(ifood_data[[#This Row],[AcceptedCmp1]:[AcceptedCmp5]])&gt;0,1,0)</f>
        <v>0</v>
      </c>
      <c r="W1106">
        <v>0</v>
      </c>
      <c r="X1106">
        <v>3</v>
      </c>
      <c r="Y1106">
        <v>11</v>
      </c>
      <c r="Z1106">
        <v>0</v>
      </c>
      <c r="AA1106">
        <v>67</v>
      </c>
      <c r="AB1106">
        <v>2660</v>
      </c>
      <c r="AC1106" s="28">
        <f>ifood_data[[#This Row],[Customer_Days]]/365</f>
        <v>7.2876712328767121</v>
      </c>
      <c r="AD1106">
        <v>0</v>
      </c>
      <c r="AE1106">
        <v>1</v>
      </c>
      <c r="AF1106">
        <v>0</v>
      </c>
      <c r="AG1106">
        <v>0</v>
      </c>
      <c r="AH1106">
        <v>0</v>
      </c>
      <c r="AI1106">
        <v>0</v>
      </c>
      <c r="AJ1106">
        <v>0</v>
      </c>
      <c r="AK1106">
        <v>1</v>
      </c>
      <c r="AL1106">
        <v>0</v>
      </c>
      <c r="AM1106">
        <v>0</v>
      </c>
      <c r="AN1106">
        <v>538</v>
      </c>
      <c r="AO1106">
        <v>490</v>
      </c>
      <c r="AP1106">
        <f>ifood_data[[#This Row],[MntTotal]]-ifood_data[[#This Row],[MntRegularProds]]</f>
        <v>48</v>
      </c>
      <c r="AQ1106">
        <v>0</v>
      </c>
      <c r="AR1106">
        <f>IF(SUM(ifood_data[[#This Row],[Kidhome]:[Teenhome]])&gt;0,1,0)</f>
        <v>1</v>
      </c>
      <c r="AS1106" t="str">
        <f>IF(SUM(ifood_data[[#This Row],[Kidhome]:[Teenhome]])&gt;0,"Has Family","No Family")</f>
        <v>Has Family</v>
      </c>
      <c r="AT1106" t="str">
        <f>IF(ifood_data[[#This Row],[marital_Married]]=1,"Married", (IF(ifood_data[[#This Row],[marital_Single]]=1,"Single",(IF(ifood_data[[#This Row],[marital_Divorced]]=1,"Divorced",(IF(ifood_data[[#This Row],[marital_Together]]=1,"Living Together",(IF(ifood_data[[#This Row],[marital_Widow]]=1,"Widow","Other")))))))))</f>
        <v>Married</v>
      </c>
      <c r="AU1106" t="str">
        <f>IF(ifood_data[[#This Row],[education_Basic]]=1,"High School",(IF(ifood_data[[#This Row],[education_Graduation]]=1,"Undergraduate Degree",(IF(SUM(AM1106,AL1106,AI1106)&gt;0,"Master's Degree or Higher","Other")))))</f>
        <v>Undergraduate Degree</v>
      </c>
      <c r="AV1106" t="str">
        <f>IF(ifood_data[[#All],[Income]]&gt;75000,"75K+",(IF(ifood_data[[#All],[Income]]&gt;50000,"50K-75K",(IF(ifood_data[[#All],[Income]]&gt;35000,"35K-50K","&lt;35K")))))</f>
        <v>50K-75K</v>
      </c>
      <c r="AW1106" t="str">
        <f>IF(ifood_data[[#All],[Age]]&gt;60,"60+",(IF(ifood_data[[#All],[Age]]&gt;50,"50-60",(IF(ifood_data[[#All],[Age]]&gt;40,"40-50",(IF(ifood_data[[#All],[Age]]&gt;30,"30-40","&lt;30")))))))</f>
        <v>60+</v>
      </c>
      <c r="AX1106">
        <f t="shared" si="68"/>
        <v>29</v>
      </c>
      <c r="AY1106">
        <f t="shared" si="69"/>
        <v>6</v>
      </c>
      <c r="AZ1106">
        <f t="shared" si="70"/>
        <v>8</v>
      </c>
      <c r="BA1106">
        <f t="shared" si="71"/>
        <v>5</v>
      </c>
      <c r="BB1106">
        <f>SUM(ifood_data[[#This Row],[Recency Score]:[Monetary Score]])</f>
        <v>19</v>
      </c>
      <c r="BC1106">
        <f>(_xlfn.PERCENTRANK.INC(ifood_data[[#All],[RFM]],ifood_data[[#This Row],[RFM]],1))*10</f>
        <v>7</v>
      </c>
      <c r="BD1106" t="str">
        <f>VLOOKUP(ifood_data[[#This Row],[RFM Score]],'RFM Analysis'!$A$3:$B$14,2,FALSE)</f>
        <v>Loyal Customer</v>
      </c>
      <c r="BE1106">
        <f>'Regression Models'!$B$101+'Regression Models'!$B$102*ifood_data[[#This Row],[Income]]+'Regression Models'!$B$103*ifood_data[[#This Row],[Age]]+'Regression Models'!$B$104*ifood_data[[#This Row],[Family]]</f>
        <v>433.74995846587296</v>
      </c>
      <c r="BF1106" t="str">
        <f>IF(ifood_data[[#This Row],[AcceptedCmpOverall]]=1,"Campaign Respondent","Non-respondent")</f>
        <v>Non-respondent</v>
      </c>
    </row>
    <row r="1107" spans="1:58" x14ac:dyDescent="0.35">
      <c r="A1107">
        <v>1660</v>
      </c>
      <c r="B1107">
        <v>50387</v>
      </c>
      <c r="C1107">
        <v>0</v>
      </c>
      <c r="D1107">
        <v>2</v>
      </c>
      <c r="E1107">
        <v>91</v>
      </c>
      <c r="F1107">
        <v>369</v>
      </c>
      <c r="G1107">
        <v>9</v>
      </c>
      <c r="H1107">
        <v>87</v>
      </c>
      <c r="I1107">
        <v>12</v>
      </c>
      <c r="J1107">
        <v>14</v>
      </c>
      <c r="K1107">
        <v>34</v>
      </c>
      <c r="L1107">
        <v>3</v>
      </c>
      <c r="M1107">
        <v>6</v>
      </c>
      <c r="N1107">
        <v>2</v>
      </c>
      <c r="O1107">
        <v>8</v>
      </c>
      <c r="P1107">
        <v>5</v>
      </c>
      <c r="Q1107">
        <v>0</v>
      </c>
      <c r="R1107">
        <v>0</v>
      </c>
      <c r="S1107">
        <v>0</v>
      </c>
      <c r="T1107">
        <v>0</v>
      </c>
      <c r="U1107">
        <v>0</v>
      </c>
      <c r="V1107">
        <f>IF(SUM(ifood_data[[#This Row],[AcceptedCmp1]:[AcceptedCmp5]])&gt;0,1,0)</f>
        <v>0</v>
      </c>
      <c r="W1107">
        <v>0</v>
      </c>
      <c r="X1107">
        <v>3</v>
      </c>
      <c r="Y1107">
        <v>11</v>
      </c>
      <c r="Z1107">
        <v>0</v>
      </c>
      <c r="AA1107">
        <v>64</v>
      </c>
      <c r="AB1107">
        <v>2461</v>
      </c>
      <c r="AC1107" s="28">
        <f>ifood_data[[#This Row],[Customer_Days]]/365</f>
        <v>6.7424657534246579</v>
      </c>
      <c r="AD1107">
        <v>0</v>
      </c>
      <c r="AE1107">
        <v>1</v>
      </c>
      <c r="AF1107">
        <v>0</v>
      </c>
      <c r="AG1107">
        <v>0</v>
      </c>
      <c r="AH1107">
        <v>0</v>
      </c>
      <c r="AI1107">
        <v>0</v>
      </c>
      <c r="AJ1107">
        <v>0</v>
      </c>
      <c r="AK1107">
        <v>1</v>
      </c>
      <c r="AL1107">
        <v>0</v>
      </c>
      <c r="AM1107">
        <v>0</v>
      </c>
      <c r="AN1107">
        <v>491</v>
      </c>
      <c r="AO1107">
        <v>457</v>
      </c>
      <c r="AP1107">
        <f>ifood_data[[#This Row],[MntTotal]]-ifood_data[[#This Row],[MntRegularProds]]</f>
        <v>34</v>
      </c>
      <c r="AQ1107">
        <v>0</v>
      </c>
      <c r="AR1107">
        <f>IF(SUM(ifood_data[[#This Row],[Kidhome]:[Teenhome]])&gt;0,1,0)</f>
        <v>1</v>
      </c>
      <c r="AS1107" t="str">
        <f>IF(SUM(ifood_data[[#This Row],[Kidhome]:[Teenhome]])&gt;0,"Has Family","No Family")</f>
        <v>Has Family</v>
      </c>
      <c r="AT1107" t="str">
        <f>IF(ifood_data[[#This Row],[marital_Married]]=1,"Married", (IF(ifood_data[[#This Row],[marital_Single]]=1,"Single",(IF(ifood_data[[#This Row],[marital_Divorced]]=1,"Divorced",(IF(ifood_data[[#This Row],[marital_Together]]=1,"Living Together",(IF(ifood_data[[#This Row],[marital_Widow]]=1,"Widow","Other")))))))))</f>
        <v>Married</v>
      </c>
      <c r="AU1107" t="str">
        <f>IF(ifood_data[[#This Row],[education_Basic]]=1,"High School",(IF(ifood_data[[#This Row],[education_Graduation]]=1,"Undergraduate Degree",(IF(SUM(AM1107,AL1107,AI1107)&gt;0,"Master's Degree or Higher","Other")))))</f>
        <v>Undergraduate Degree</v>
      </c>
      <c r="AV1107" t="str">
        <f>IF(ifood_data[[#All],[Income]]&gt;75000,"75K+",(IF(ifood_data[[#All],[Income]]&gt;50000,"50K-75K",(IF(ifood_data[[#All],[Income]]&gt;35000,"35K-50K","&lt;35K")))))</f>
        <v>50K-75K</v>
      </c>
      <c r="AW1107" t="str">
        <f>IF(ifood_data[[#All],[Age]]&gt;60,"60+",(IF(ifood_data[[#All],[Age]]&gt;50,"50-60",(IF(ifood_data[[#All],[Age]]&gt;40,"40-50",(IF(ifood_data[[#All],[Age]]&gt;30,"30-40","&lt;30")))))))</f>
        <v>60+</v>
      </c>
      <c r="AX1107">
        <f t="shared" si="68"/>
        <v>24</v>
      </c>
      <c r="AY1107">
        <f t="shared" si="69"/>
        <v>0.99999999999999978</v>
      </c>
      <c r="AZ1107">
        <f t="shared" si="70"/>
        <v>6</v>
      </c>
      <c r="BA1107">
        <f t="shared" si="71"/>
        <v>5</v>
      </c>
      <c r="BB1107">
        <f>SUM(ifood_data[[#This Row],[Recency Score]:[Monetary Score]])</f>
        <v>12</v>
      </c>
      <c r="BC1107">
        <f>(_xlfn.PERCENTRANK.INC(ifood_data[[#All],[RFM]],ifood_data[[#This Row],[RFM]],1))*10</f>
        <v>3</v>
      </c>
      <c r="BD1107" t="str">
        <f>VLOOKUP(ifood_data[[#This Row],[RFM Score]],'RFM Analysis'!$A$3:$B$14,2,FALSE)</f>
        <v>At Risk</v>
      </c>
      <c r="BE1107">
        <f>'Regression Models'!$B$101+'Regression Models'!$B$102*ifood_data[[#This Row],[Income]]+'Regression Models'!$B$103*ifood_data[[#This Row],[Age]]+'Regression Models'!$B$104*ifood_data[[#This Row],[Family]]</f>
        <v>432.36787206991801</v>
      </c>
      <c r="BF1107" t="str">
        <f>IF(ifood_data[[#This Row],[AcceptedCmpOverall]]=1,"Campaign Respondent","Non-respondent")</f>
        <v>Non-respondent</v>
      </c>
    </row>
    <row r="1108" spans="1:58" x14ac:dyDescent="0.35">
      <c r="A1108">
        <v>1991</v>
      </c>
      <c r="B1108">
        <v>50501</v>
      </c>
      <c r="C1108">
        <v>1</v>
      </c>
      <c r="D1108">
        <v>1</v>
      </c>
      <c r="E1108">
        <v>10</v>
      </c>
      <c r="F1108">
        <v>297</v>
      </c>
      <c r="G1108">
        <v>0</v>
      </c>
      <c r="H1108">
        <v>38</v>
      </c>
      <c r="I1108">
        <v>13</v>
      </c>
      <c r="J1108">
        <v>0</v>
      </c>
      <c r="K1108">
        <v>152</v>
      </c>
      <c r="L1108">
        <v>7</v>
      </c>
      <c r="M1108">
        <v>5</v>
      </c>
      <c r="N1108">
        <v>4</v>
      </c>
      <c r="O1108">
        <v>4</v>
      </c>
      <c r="P1108">
        <v>6</v>
      </c>
      <c r="Q1108">
        <v>0</v>
      </c>
      <c r="R1108">
        <v>0</v>
      </c>
      <c r="S1108">
        <v>1</v>
      </c>
      <c r="T1108">
        <v>0</v>
      </c>
      <c r="U1108">
        <v>0</v>
      </c>
      <c r="V1108">
        <f>IF(SUM(ifood_data[[#This Row],[AcceptedCmp1]:[AcceptedCmp5]])&gt;0,1,0)</f>
        <v>1</v>
      </c>
      <c r="W1108">
        <v>0</v>
      </c>
      <c r="X1108">
        <v>3</v>
      </c>
      <c r="Y1108">
        <v>11</v>
      </c>
      <c r="Z1108">
        <v>1</v>
      </c>
      <c r="AA1108">
        <v>66</v>
      </c>
      <c r="AB1108">
        <v>2535</v>
      </c>
      <c r="AC1108" s="28">
        <f>ifood_data[[#This Row],[Customer_Days]]/365</f>
        <v>6.9452054794520546</v>
      </c>
      <c r="AD1108">
        <v>0</v>
      </c>
      <c r="AE1108">
        <v>1</v>
      </c>
      <c r="AF1108">
        <v>0</v>
      </c>
      <c r="AG1108">
        <v>0</v>
      </c>
      <c r="AH1108">
        <v>0</v>
      </c>
      <c r="AI1108">
        <v>0</v>
      </c>
      <c r="AJ1108">
        <v>0</v>
      </c>
      <c r="AK1108">
        <v>1</v>
      </c>
      <c r="AL1108">
        <v>0</v>
      </c>
      <c r="AM1108">
        <v>0</v>
      </c>
      <c r="AN1108">
        <v>348</v>
      </c>
      <c r="AO1108">
        <v>196</v>
      </c>
      <c r="AP1108">
        <f>ifood_data[[#This Row],[MntTotal]]-ifood_data[[#This Row],[MntRegularProds]]</f>
        <v>152</v>
      </c>
      <c r="AQ1108">
        <v>1</v>
      </c>
      <c r="AR1108">
        <f>IF(SUM(ifood_data[[#This Row],[Kidhome]:[Teenhome]])&gt;0,1,0)</f>
        <v>1</v>
      </c>
      <c r="AS1108" t="str">
        <f>IF(SUM(ifood_data[[#This Row],[Kidhome]:[Teenhome]])&gt;0,"Has Family","No Family")</f>
        <v>Has Family</v>
      </c>
      <c r="AT1108" t="str">
        <f>IF(ifood_data[[#This Row],[marital_Married]]=1,"Married", (IF(ifood_data[[#This Row],[marital_Single]]=1,"Single",(IF(ifood_data[[#This Row],[marital_Divorced]]=1,"Divorced",(IF(ifood_data[[#This Row],[marital_Together]]=1,"Living Together",(IF(ifood_data[[#This Row],[marital_Widow]]=1,"Widow","Other")))))))))</f>
        <v>Married</v>
      </c>
      <c r="AU1108" t="str">
        <f>IF(ifood_data[[#This Row],[education_Basic]]=1,"High School",(IF(ifood_data[[#This Row],[education_Graduation]]=1,"Undergraduate Degree",(IF(SUM(AM1108,AL1108,AI1108)&gt;0,"Master's Degree or Higher","Other")))))</f>
        <v>Undergraduate Degree</v>
      </c>
      <c r="AV1108" t="str">
        <f>IF(ifood_data[[#All],[Income]]&gt;75000,"75K+",(IF(ifood_data[[#All],[Income]]&gt;50000,"50K-75K",(IF(ifood_data[[#All],[Income]]&gt;35000,"35K-50K","&lt;35K")))))</f>
        <v>50K-75K</v>
      </c>
      <c r="AW1108" t="str">
        <f>IF(ifood_data[[#All],[Age]]&gt;60,"60+",(IF(ifood_data[[#All],[Age]]&gt;50,"50-60",(IF(ifood_data[[#All],[Age]]&gt;40,"40-50",(IF(ifood_data[[#All],[Age]]&gt;30,"30-40","&lt;30")))))))</f>
        <v>60+</v>
      </c>
      <c r="AX1108">
        <f t="shared" si="68"/>
        <v>26</v>
      </c>
      <c r="AY1108">
        <f t="shared" si="69"/>
        <v>9</v>
      </c>
      <c r="AZ1108">
        <f t="shared" si="70"/>
        <v>7</v>
      </c>
      <c r="BA1108">
        <f t="shared" si="71"/>
        <v>5</v>
      </c>
      <c r="BB1108">
        <f>SUM(ifood_data[[#This Row],[Recency Score]:[Monetary Score]])</f>
        <v>21</v>
      </c>
      <c r="BC1108">
        <f>(_xlfn.PERCENTRANK.INC(ifood_data[[#All],[RFM]],ifood_data[[#This Row],[RFM]],1))*10</f>
        <v>8</v>
      </c>
      <c r="BD1108" t="str">
        <f>VLOOKUP(ifood_data[[#This Row],[RFM Score]],'RFM Analysis'!$A$3:$B$14,2,FALSE)</f>
        <v>Loyal Customer</v>
      </c>
      <c r="BE1108">
        <f>'Regression Models'!$B$101+'Regression Models'!$B$102*ifood_data[[#This Row],[Income]]+'Regression Models'!$B$103*ifood_data[[#This Row],[Age]]+'Regression Models'!$B$104*ifood_data[[#This Row],[Family]]</f>
        <v>431.01931348053392</v>
      </c>
      <c r="BF1108" t="str">
        <f>IF(ifood_data[[#This Row],[AcceptedCmpOverall]]=1,"Campaign Respondent","Non-respondent")</f>
        <v>Campaign Respondent</v>
      </c>
    </row>
    <row r="1109" spans="1:58" x14ac:dyDescent="0.35">
      <c r="A1109">
        <v>1927</v>
      </c>
      <c r="B1109">
        <v>50116</v>
      </c>
      <c r="C1109">
        <v>1</v>
      </c>
      <c r="D1109">
        <v>1</v>
      </c>
      <c r="E1109">
        <v>68</v>
      </c>
      <c r="F1109">
        <v>54</v>
      </c>
      <c r="G1109">
        <v>0</v>
      </c>
      <c r="H1109">
        <v>10</v>
      </c>
      <c r="I1109">
        <v>0</v>
      </c>
      <c r="J1109">
        <v>0</v>
      </c>
      <c r="K1109">
        <v>2</v>
      </c>
      <c r="L1109">
        <v>2</v>
      </c>
      <c r="M1109">
        <v>1</v>
      </c>
      <c r="N1109">
        <v>0</v>
      </c>
      <c r="O1109">
        <v>4</v>
      </c>
      <c r="P1109">
        <v>5</v>
      </c>
      <c r="Q1109">
        <v>0</v>
      </c>
      <c r="R1109">
        <v>0</v>
      </c>
      <c r="S1109">
        <v>0</v>
      </c>
      <c r="T1109">
        <v>1</v>
      </c>
      <c r="U1109">
        <v>0</v>
      </c>
      <c r="V1109">
        <f>IF(SUM(ifood_data[[#This Row],[AcceptedCmp1]:[AcceptedCmp5]])&gt;0,1,0)</f>
        <v>1</v>
      </c>
      <c r="W1109">
        <v>0</v>
      </c>
      <c r="X1109">
        <v>3</v>
      </c>
      <c r="Y1109">
        <v>11</v>
      </c>
      <c r="Z1109">
        <v>0</v>
      </c>
      <c r="AA1109">
        <v>63</v>
      </c>
      <c r="AB1109">
        <v>2168</v>
      </c>
      <c r="AC1109" s="28">
        <f>ifood_data[[#This Row],[Customer_Days]]/365</f>
        <v>5.9397260273972599</v>
      </c>
      <c r="AD1109">
        <v>0</v>
      </c>
      <c r="AE1109">
        <v>0</v>
      </c>
      <c r="AF1109">
        <v>0</v>
      </c>
      <c r="AG1109">
        <v>1</v>
      </c>
      <c r="AH1109">
        <v>0</v>
      </c>
      <c r="AI1109">
        <v>0</v>
      </c>
      <c r="AJ1109">
        <v>0</v>
      </c>
      <c r="AK1109">
        <v>1</v>
      </c>
      <c r="AL1109">
        <v>0</v>
      </c>
      <c r="AM1109">
        <v>0</v>
      </c>
      <c r="AN1109">
        <v>64</v>
      </c>
      <c r="AO1109">
        <v>62</v>
      </c>
      <c r="AP1109">
        <f>ifood_data[[#This Row],[MntTotal]]-ifood_data[[#This Row],[MntRegularProds]]</f>
        <v>2</v>
      </c>
      <c r="AQ1109">
        <v>1</v>
      </c>
      <c r="AR1109">
        <f>IF(SUM(ifood_data[[#This Row],[Kidhome]:[Teenhome]])&gt;0,1,0)</f>
        <v>1</v>
      </c>
      <c r="AS1109" t="str">
        <f>IF(SUM(ifood_data[[#This Row],[Kidhome]:[Teenhome]])&gt;0,"Has Family","No Family")</f>
        <v>Has Family</v>
      </c>
      <c r="AT1109" t="str">
        <f>IF(ifood_data[[#This Row],[marital_Married]]=1,"Married", (IF(ifood_data[[#This Row],[marital_Single]]=1,"Single",(IF(ifood_data[[#This Row],[marital_Divorced]]=1,"Divorced",(IF(ifood_data[[#This Row],[marital_Together]]=1,"Living Together",(IF(ifood_data[[#This Row],[marital_Widow]]=1,"Widow","Other")))))))))</f>
        <v>Living Together</v>
      </c>
      <c r="AU1109" t="str">
        <f>IF(ifood_data[[#This Row],[education_Basic]]=1,"High School",(IF(ifood_data[[#This Row],[education_Graduation]]=1,"Undergraduate Degree",(IF(SUM(AM1109,AL1109,AI1109)&gt;0,"Master's Degree or Higher","Other")))))</f>
        <v>Undergraduate Degree</v>
      </c>
      <c r="AV1109" t="str">
        <f>IF(ifood_data[[#All],[Income]]&gt;75000,"75K+",(IF(ifood_data[[#All],[Income]]&gt;50000,"50K-75K",(IF(ifood_data[[#All],[Income]]&gt;35000,"35K-50K","&lt;35K")))))</f>
        <v>50K-75K</v>
      </c>
      <c r="AW1109" t="str">
        <f>IF(ifood_data[[#All],[Age]]&gt;60,"60+",(IF(ifood_data[[#All],[Age]]&gt;50,"50-60",(IF(ifood_data[[#All],[Age]]&gt;40,"40-50",(IF(ifood_data[[#All],[Age]]&gt;30,"30-40","&lt;30")))))))</f>
        <v>60+</v>
      </c>
      <c r="AX1109">
        <f t="shared" si="68"/>
        <v>12</v>
      </c>
      <c r="AY1109">
        <f t="shared" si="69"/>
        <v>4</v>
      </c>
      <c r="AZ1109">
        <f t="shared" si="70"/>
        <v>1</v>
      </c>
      <c r="BA1109">
        <f t="shared" si="71"/>
        <v>2</v>
      </c>
      <c r="BB1109">
        <f>SUM(ifood_data[[#This Row],[Recency Score]:[Monetary Score]])</f>
        <v>7</v>
      </c>
      <c r="BC1109">
        <f>(_xlfn.PERCENTRANK.INC(ifood_data[[#All],[RFM]],ifood_data[[#This Row],[RFM]],1))*10</f>
        <v>1</v>
      </c>
      <c r="BD1109" t="str">
        <f>VLOOKUP(ifood_data[[#This Row],[RFM Score]],'RFM Analysis'!$A$3:$B$14,2,FALSE)</f>
        <v>At Risk</v>
      </c>
      <c r="BE1109">
        <f>'Regression Models'!$B$101+'Regression Models'!$B$102*ifood_data[[#This Row],[Income]]+'Regression Models'!$B$103*ifood_data[[#This Row],[Age]]+'Regression Models'!$B$104*ifood_data[[#This Row],[Family]]</f>
        <v>428.67895498181565</v>
      </c>
      <c r="BF1109" t="str">
        <f>IF(ifood_data[[#This Row],[AcceptedCmpOverall]]=1,"Campaign Respondent","Non-respondent")</f>
        <v>Campaign Respondent</v>
      </c>
    </row>
    <row r="1110" spans="1:58" x14ac:dyDescent="0.35">
      <c r="A1110">
        <v>1742</v>
      </c>
      <c r="B1110">
        <v>35701</v>
      </c>
      <c r="C1110">
        <v>0</v>
      </c>
      <c r="D1110">
        <v>0</v>
      </c>
      <c r="E1110">
        <v>36</v>
      </c>
      <c r="F1110">
        <v>21</v>
      </c>
      <c r="G1110">
        <v>1</v>
      </c>
      <c r="H1110">
        <v>9</v>
      </c>
      <c r="I1110">
        <v>7</v>
      </c>
      <c r="J1110">
        <v>3</v>
      </c>
      <c r="K1110">
        <v>5</v>
      </c>
      <c r="L1110">
        <v>1</v>
      </c>
      <c r="M1110">
        <v>1</v>
      </c>
      <c r="N1110">
        <v>0</v>
      </c>
      <c r="O1110">
        <v>3</v>
      </c>
      <c r="P1110">
        <v>6</v>
      </c>
      <c r="Q1110">
        <v>0</v>
      </c>
      <c r="R1110">
        <v>0</v>
      </c>
      <c r="S1110">
        <v>0</v>
      </c>
      <c r="T1110">
        <v>0</v>
      </c>
      <c r="U1110">
        <v>0</v>
      </c>
      <c r="V1110">
        <f>IF(SUM(ifood_data[[#This Row],[AcceptedCmp1]:[AcceptedCmp5]])&gt;0,1,0)</f>
        <v>0</v>
      </c>
      <c r="W1110">
        <v>0</v>
      </c>
      <c r="X1110">
        <v>3</v>
      </c>
      <c r="Y1110">
        <v>11</v>
      </c>
      <c r="Z1110">
        <v>0</v>
      </c>
      <c r="AA1110">
        <v>61</v>
      </c>
      <c r="AB1110">
        <v>2626</v>
      </c>
      <c r="AC1110" s="28">
        <f>ifood_data[[#This Row],[Customer_Days]]/365</f>
        <v>7.1945205479452055</v>
      </c>
      <c r="AD1110">
        <v>0</v>
      </c>
      <c r="AE1110">
        <v>1</v>
      </c>
      <c r="AF1110">
        <v>0</v>
      </c>
      <c r="AG1110">
        <v>0</v>
      </c>
      <c r="AH1110">
        <v>0</v>
      </c>
      <c r="AI1110">
        <v>0</v>
      </c>
      <c r="AJ1110">
        <v>0</v>
      </c>
      <c r="AK1110">
        <v>1</v>
      </c>
      <c r="AL1110">
        <v>0</v>
      </c>
      <c r="AM1110">
        <v>0</v>
      </c>
      <c r="AN1110">
        <v>41</v>
      </c>
      <c r="AO1110">
        <v>36</v>
      </c>
      <c r="AP1110">
        <f>ifood_data[[#This Row],[MntTotal]]-ifood_data[[#This Row],[MntRegularProds]]</f>
        <v>5</v>
      </c>
      <c r="AQ1110">
        <v>0</v>
      </c>
      <c r="AR1110">
        <f>IF(SUM(ifood_data[[#This Row],[Kidhome]:[Teenhome]])&gt;0,1,0)</f>
        <v>0</v>
      </c>
      <c r="AS1110" t="str">
        <f>IF(SUM(ifood_data[[#This Row],[Kidhome]:[Teenhome]])&gt;0,"Has Family","No Family")</f>
        <v>No Family</v>
      </c>
      <c r="AT1110" t="str">
        <f>IF(ifood_data[[#This Row],[marital_Married]]=1,"Married", (IF(ifood_data[[#This Row],[marital_Single]]=1,"Single",(IF(ifood_data[[#This Row],[marital_Divorced]]=1,"Divorced",(IF(ifood_data[[#This Row],[marital_Together]]=1,"Living Together",(IF(ifood_data[[#This Row],[marital_Widow]]=1,"Widow","Other")))))))))</f>
        <v>Married</v>
      </c>
      <c r="AU1110" t="str">
        <f>IF(ifood_data[[#This Row],[education_Basic]]=1,"High School",(IF(ifood_data[[#This Row],[education_Graduation]]=1,"Undergraduate Degree",(IF(SUM(AM1110,AL1110,AI1110)&gt;0,"Master's Degree or Higher","Other")))))</f>
        <v>Undergraduate Degree</v>
      </c>
      <c r="AV1110" t="str">
        <f>IF(ifood_data[[#All],[Income]]&gt;75000,"75K+",(IF(ifood_data[[#All],[Income]]&gt;50000,"50K-75K",(IF(ifood_data[[#All],[Income]]&gt;35000,"35K-50K","&lt;35K")))))</f>
        <v>35K-50K</v>
      </c>
      <c r="AW1110" t="str">
        <f>IF(ifood_data[[#All],[Age]]&gt;60,"60+",(IF(ifood_data[[#All],[Age]]&gt;50,"50-60",(IF(ifood_data[[#All],[Age]]&gt;40,"40-50",(IF(ifood_data[[#All],[Age]]&gt;30,"30-40","&lt;30")))))))</f>
        <v>60+</v>
      </c>
      <c r="AX1110">
        <f t="shared" si="68"/>
        <v>11</v>
      </c>
      <c r="AY1110">
        <f t="shared" si="69"/>
        <v>7</v>
      </c>
      <c r="AZ1110">
        <f t="shared" si="70"/>
        <v>0</v>
      </c>
      <c r="BA1110">
        <f t="shared" si="71"/>
        <v>1</v>
      </c>
      <c r="BB1110">
        <f>SUM(ifood_data[[#This Row],[Recency Score]:[Monetary Score]])</f>
        <v>8</v>
      </c>
      <c r="BC1110">
        <f>(_xlfn.PERCENTRANK.INC(ifood_data[[#All],[RFM]],ifood_data[[#This Row],[RFM]],1))*10</f>
        <v>1</v>
      </c>
      <c r="BD1110" t="str">
        <f>VLOOKUP(ifood_data[[#This Row],[RFM Score]],'RFM Analysis'!$A$3:$B$14,2,FALSE)</f>
        <v>At Risk</v>
      </c>
      <c r="BE1110">
        <f>'Regression Models'!$B$101+'Regression Models'!$B$102*ifood_data[[#This Row],[Income]]+'Regression Models'!$B$103*ifood_data[[#This Row],[Age]]+'Regression Models'!$B$104*ifood_data[[#This Row],[Family]]</f>
        <v>428.06137141831709</v>
      </c>
      <c r="BF1110" t="str">
        <f>IF(ifood_data[[#This Row],[AcceptedCmpOverall]]=1,"Campaign Respondent","Non-respondent")</f>
        <v>Non-respondent</v>
      </c>
    </row>
    <row r="1111" spans="1:58" x14ac:dyDescent="0.35">
      <c r="A1111">
        <v>145</v>
      </c>
      <c r="B1111">
        <v>49967</v>
      </c>
      <c r="C1111">
        <v>0</v>
      </c>
      <c r="D1111">
        <v>1</v>
      </c>
      <c r="E1111">
        <v>4</v>
      </c>
      <c r="F1111">
        <v>212</v>
      </c>
      <c r="G1111">
        <v>6</v>
      </c>
      <c r="H1111">
        <v>69</v>
      </c>
      <c r="I1111">
        <v>4</v>
      </c>
      <c r="J1111">
        <v>12</v>
      </c>
      <c r="K1111">
        <v>3</v>
      </c>
      <c r="L1111">
        <v>3</v>
      </c>
      <c r="M1111">
        <v>6</v>
      </c>
      <c r="N1111">
        <v>1</v>
      </c>
      <c r="O1111">
        <v>5</v>
      </c>
      <c r="P1111">
        <v>7</v>
      </c>
      <c r="Q1111">
        <v>0</v>
      </c>
      <c r="R1111">
        <v>0</v>
      </c>
      <c r="S1111">
        <v>0</v>
      </c>
      <c r="T1111">
        <v>0</v>
      </c>
      <c r="U1111">
        <v>0</v>
      </c>
      <c r="V1111">
        <f>IF(SUM(ifood_data[[#This Row],[AcceptedCmp1]:[AcceptedCmp5]])&gt;0,1,0)</f>
        <v>0</v>
      </c>
      <c r="W1111">
        <v>0</v>
      </c>
      <c r="X1111">
        <v>3</v>
      </c>
      <c r="Y1111">
        <v>11</v>
      </c>
      <c r="Z1111">
        <v>0</v>
      </c>
      <c r="AA1111">
        <v>62</v>
      </c>
      <c r="AB1111">
        <v>2515</v>
      </c>
      <c r="AC1111" s="28">
        <f>ifood_data[[#This Row],[Customer_Days]]/365</f>
        <v>6.8904109589041092</v>
      </c>
      <c r="AD1111">
        <v>0</v>
      </c>
      <c r="AE1111">
        <v>0</v>
      </c>
      <c r="AF1111">
        <v>1</v>
      </c>
      <c r="AG1111">
        <v>0</v>
      </c>
      <c r="AH1111">
        <v>0</v>
      </c>
      <c r="AI1111">
        <v>0</v>
      </c>
      <c r="AJ1111">
        <v>0</v>
      </c>
      <c r="AK1111">
        <v>1</v>
      </c>
      <c r="AL1111">
        <v>0</v>
      </c>
      <c r="AM1111">
        <v>0</v>
      </c>
      <c r="AN1111">
        <v>303</v>
      </c>
      <c r="AO1111">
        <v>300</v>
      </c>
      <c r="AP1111">
        <f>ifood_data[[#This Row],[MntTotal]]-ifood_data[[#This Row],[MntRegularProds]]</f>
        <v>3</v>
      </c>
      <c r="AQ1111">
        <v>0</v>
      </c>
      <c r="AR1111">
        <f>IF(SUM(ifood_data[[#This Row],[Kidhome]:[Teenhome]])&gt;0,1,0)</f>
        <v>1</v>
      </c>
      <c r="AS1111" t="str">
        <f>IF(SUM(ifood_data[[#This Row],[Kidhome]:[Teenhome]])&gt;0,"Has Family","No Family")</f>
        <v>Has Family</v>
      </c>
      <c r="AT1111" t="str">
        <f>IF(ifood_data[[#This Row],[marital_Married]]=1,"Married", (IF(ifood_data[[#This Row],[marital_Single]]=1,"Single",(IF(ifood_data[[#This Row],[marital_Divorced]]=1,"Divorced",(IF(ifood_data[[#This Row],[marital_Together]]=1,"Living Together",(IF(ifood_data[[#This Row],[marital_Widow]]=1,"Widow","Other")))))))))</f>
        <v>Single</v>
      </c>
      <c r="AU1111" t="str">
        <f>IF(ifood_data[[#This Row],[education_Basic]]=1,"High School",(IF(ifood_data[[#This Row],[education_Graduation]]=1,"Undergraduate Degree",(IF(SUM(AM1111,AL1111,AI1111)&gt;0,"Master's Degree or Higher","Other")))))</f>
        <v>Undergraduate Degree</v>
      </c>
      <c r="AV1111" t="str">
        <f>IF(ifood_data[[#All],[Income]]&gt;75000,"75K+",(IF(ifood_data[[#All],[Income]]&gt;50000,"50K-75K",(IF(ifood_data[[#All],[Income]]&gt;35000,"35K-50K","&lt;35K")))))</f>
        <v>35K-50K</v>
      </c>
      <c r="AW1111" t="str">
        <f>IF(ifood_data[[#All],[Age]]&gt;60,"60+",(IF(ifood_data[[#All],[Age]]&gt;50,"50-60",(IF(ifood_data[[#All],[Age]]&gt;40,"40-50",(IF(ifood_data[[#All],[Age]]&gt;30,"30-40","&lt;30")))))))</f>
        <v>60+</v>
      </c>
      <c r="AX1111">
        <f t="shared" si="68"/>
        <v>22</v>
      </c>
      <c r="AY1111">
        <f t="shared" si="69"/>
        <v>10</v>
      </c>
      <c r="AZ1111">
        <f t="shared" si="70"/>
        <v>5</v>
      </c>
      <c r="BA1111">
        <f t="shared" si="71"/>
        <v>4</v>
      </c>
      <c r="BB1111">
        <f>SUM(ifood_data[[#This Row],[Recency Score]:[Monetary Score]])</f>
        <v>19</v>
      </c>
      <c r="BC1111">
        <f>(_xlfn.PERCENTRANK.INC(ifood_data[[#All],[RFM]],ifood_data[[#This Row],[RFM]],1))*10</f>
        <v>7</v>
      </c>
      <c r="BD1111" t="str">
        <f>VLOOKUP(ifood_data[[#This Row],[RFM Score]],'RFM Analysis'!$A$3:$B$14,2,FALSE)</f>
        <v>Loyal Customer</v>
      </c>
      <c r="BE1111">
        <f>'Regression Models'!$B$101+'Regression Models'!$B$102*ifood_data[[#This Row],[Income]]+'Regression Models'!$B$103*ifood_data[[#This Row],[Age]]+'Regression Models'!$B$104*ifood_data[[#This Row],[Family]]</f>
        <v>427.47746760726909</v>
      </c>
      <c r="BF1111" t="str">
        <f>IF(ifood_data[[#This Row],[AcceptedCmpOverall]]=1,"Campaign Respondent","Non-respondent")</f>
        <v>Non-respondent</v>
      </c>
    </row>
    <row r="1112" spans="1:58" x14ac:dyDescent="0.35">
      <c r="A1112">
        <v>1076</v>
      </c>
      <c r="B1112">
        <v>49678</v>
      </c>
      <c r="C1112">
        <v>0</v>
      </c>
      <c r="D1112">
        <v>1</v>
      </c>
      <c r="E1112">
        <v>81</v>
      </c>
      <c r="F1112">
        <v>229</v>
      </c>
      <c r="G1112">
        <v>5</v>
      </c>
      <c r="H1112">
        <v>56</v>
      </c>
      <c r="I1112">
        <v>3</v>
      </c>
      <c r="J1112">
        <v>2</v>
      </c>
      <c r="K1112">
        <v>20</v>
      </c>
      <c r="L1112">
        <v>2</v>
      </c>
      <c r="M1112">
        <v>6</v>
      </c>
      <c r="N1112">
        <v>2</v>
      </c>
      <c r="O1112">
        <v>4</v>
      </c>
      <c r="P1112">
        <v>7</v>
      </c>
      <c r="Q1112">
        <v>0</v>
      </c>
      <c r="R1112">
        <v>0</v>
      </c>
      <c r="S1112">
        <v>0</v>
      </c>
      <c r="T1112">
        <v>0</v>
      </c>
      <c r="U1112">
        <v>0</v>
      </c>
      <c r="V1112">
        <f>IF(SUM(ifood_data[[#This Row],[AcceptedCmp1]:[AcceptedCmp5]])&gt;0,1,0)</f>
        <v>0</v>
      </c>
      <c r="W1112">
        <v>0</v>
      </c>
      <c r="X1112">
        <v>3</v>
      </c>
      <c r="Y1112">
        <v>11</v>
      </c>
      <c r="Z1112">
        <v>0</v>
      </c>
      <c r="AA1112">
        <v>59</v>
      </c>
      <c r="AB1112">
        <v>2671</v>
      </c>
      <c r="AC1112" s="28">
        <f>ifood_data[[#This Row],[Customer_Days]]/365</f>
        <v>7.3178082191780822</v>
      </c>
      <c r="AD1112">
        <v>0</v>
      </c>
      <c r="AE1112">
        <v>1</v>
      </c>
      <c r="AF1112">
        <v>0</v>
      </c>
      <c r="AG1112">
        <v>0</v>
      </c>
      <c r="AH1112">
        <v>0</v>
      </c>
      <c r="AI1112">
        <v>0</v>
      </c>
      <c r="AJ1112">
        <v>0</v>
      </c>
      <c r="AK1112">
        <v>1</v>
      </c>
      <c r="AL1112">
        <v>0</v>
      </c>
      <c r="AM1112">
        <v>0</v>
      </c>
      <c r="AN1112">
        <v>295</v>
      </c>
      <c r="AO1112">
        <v>275</v>
      </c>
      <c r="AP1112">
        <f>ifood_data[[#This Row],[MntTotal]]-ifood_data[[#This Row],[MntRegularProds]]</f>
        <v>20</v>
      </c>
      <c r="AQ1112">
        <v>0</v>
      </c>
      <c r="AR1112">
        <f>IF(SUM(ifood_data[[#This Row],[Kidhome]:[Teenhome]])&gt;0,1,0)</f>
        <v>1</v>
      </c>
      <c r="AS1112" t="str">
        <f>IF(SUM(ifood_data[[#This Row],[Kidhome]:[Teenhome]])&gt;0,"Has Family","No Family")</f>
        <v>Has Family</v>
      </c>
      <c r="AT1112" t="str">
        <f>IF(ifood_data[[#This Row],[marital_Married]]=1,"Married", (IF(ifood_data[[#This Row],[marital_Single]]=1,"Single",(IF(ifood_data[[#This Row],[marital_Divorced]]=1,"Divorced",(IF(ifood_data[[#This Row],[marital_Together]]=1,"Living Together",(IF(ifood_data[[#This Row],[marital_Widow]]=1,"Widow","Other")))))))))</f>
        <v>Married</v>
      </c>
      <c r="AU1112" t="str">
        <f>IF(ifood_data[[#This Row],[education_Basic]]=1,"High School",(IF(ifood_data[[#This Row],[education_Graduation]]=1,"Undergraduate Degree",(IF(SUM(AM1112,AL1112,AI1112)&gt;0,"Master's Degree or Higher","Other")))))</f>
        <v>Undergraduate Degree</v>
      </c>
      <c r="AV1112" t="str">
        <f>IF(ifood_data[[#All],[Income]]&gt;75000,"75K+",(IF(ifood_data[[#All],[Income]]&gt;50000,"50K-75K",(IF(ifood_data[[#All],[Income]]&gt;35000,"35K-50K","&lt;35K")))))</f>
        <v>35K-50K</v>
      </c>
      <c r="AW1112" t="str">
        <f>IF(ifood_data[[#All],[Age]]&gt;60,"60+",(IF(ifood_data[[#All],[Age]]&gt;50,"50-60",(IF(ifood_data[[#All],[Age]]&gt;40,"40-50",(IF(ifood_data[[#All],[Age]]&gt;30,"30-40","&lt;30")))))))</f>
        <v>50-60</v>
      </c>
      <c r="AX1112">
        <f t="shared" si="68"/>
        <v>21</v>
      </c>
      <c r="AY1112">
        <f t="shared" si="69"/>
        <v>1.9999999999999996</v>
      </c>
      <c r="AZ1112">
        <f t="shared" si="70"/>
        <v>5</v>
      </c>
      <c r="BA1112">
        <f t="shared" si="71"/>
        <v>4</v>
      </c>
      <c r="BB1112">
        <f>SUM(ifood_data[[#This Row],[Recency Score]:[Monetary Score]])</f>
        <v>11</v>
      </c>
      <c r="BC1112">
        <f>(_xlfn.PERCENTRANK.INC(ifood_data[[#All],[RFM]],ifood_data[[#This Row],[RFM]],1))*10</f>
        <v>2</v>
      </c>
      <c r="BD1112" t="str">
        <f>VLOOKUP(ifood_data[[#This Row],[RFM Score]],'RFM Analysis'!$A$3:$B$14,2,FALSE)</f>
        <v>At Risk</v>
      </c>
      <c r="BE1112">
        <f>'Regression Models'!$B$101+'Regression Models'!$B$102*ifood_data[[#This Row],[Income]]+'Regression Models'!$B$103*ifood_data[[#This Row],[Age]]+'Regression Models'!$B$104*ifood_data[[#This Row],[Family]]</f>
        <v>427.09443085036503</v>
      </c>
      <c r="BF1112" t="str">
        <f>IF(ifood_data[[#This Row],[AcceptedCmpOverall]]=1,"Campaign Respondent","Non-respondent")</f>
        <v>Non-respondent</v>
      </c>
    </row>
    <row r="1113" spans="1:58" x14ac:dyDescent="0.35">
      <c r="A1113">
        <v>1363</v>
      </c>
      <c r="B1113">
        <v>49476</v>
      </c>
      <c r="C1113">
        <v>0</v>
      </c>
      <c r="D1113">
        <v>1</v>
      </c>
      <c r="E1113">
        <v>29</v>
      </c>
      <c r="F1113">
        <v>386</v>
      </c>
      <c r="G1113">
        <v>23</v>
      </c>
      <c r="H1113">
        <v>95</v>
      </c>
      <c r="I1113">
        <v>54</v>
      </c>
      <c r="J1113">
        <v>41</v>
      </c>
      <c r="K1113">
        <v>196</v>
      </c>
      <c r="L1113">
        <v>4</v>
      </c>
      <c r="M1113">
        <v>2</v>
      </c>
      <c r="N1113">
        <v>11</v>
      </c>
      <c r="O1113">
        <v>5</v>
      </c>
      <c r="P1113">
        <v>2</v>
      </c>
      <c r="Q1113">
        <v>0</v>
      </c>
      <c r="R1113">
        <v>0</v>
      </c>
      <c r="S1113">
        <v>0</v>
      </c>
      <c r="T1113">
        <v>0</v>
      </c>
      <c r="U1113">
        <v>0</v>
      </c>
      <c r="V1113">
        <f>IF(SUM(ifood_data[[#This Row],[AcceptedCmp1]:[AcceptedCmp5]])&gt;0,1,0)</f>
        <v>0</v>
      </c>
      <c r="W1113">
        <v>0</v>
      </c>
      <c r="X1113">
        <v>3</v>
      </c>
      <c r="Y1113">
        <v>11</v>
      </c>
      <c r="Z1113">
        <v>0</v>
      </c>
      <c r="AA1113">
        <v>57</v>
      </c>
      <c r="AB1113">
        <v>2533</v>
      </c>
      <c r="AC1113" s="28">
        <f>ifood_data[[#This Row],[Customer_Days]]/365</f>
        <v>6.9397260273972599</v>
      </c>
      <c r="AD1113">
        <v>1</v>
      </c>
      <c r="AE1113">
        <v>0</v>
      </c>
      <c r="AF1113">
        <v>0</v>
      </c>
      <c r="AG1113">
        <v>0</v>
      </c>
      <c r="AH1113">
        <v>0</v>
      </c>
      <c r="AI1113">
        <v>0</v>
      </c>
      <c r="AJ1113">
        <v>0</v>
      </c>
      <c r="AK1113">
        <v>0</v>
      </c>
      <c r="AL1113">
        <v>1</v>
      </c>
      <c r="AM1113">
        <v>0</v>
      </c>
      <c r="AN1113">
        <v>599</v>
      </c>
      <c r="AO1113">
        <v>403</v>
      </c>
      <c r="AP1113">
        <f>ifood_data[[#This Row],[MntTotal]]-ifood_data[[#This Row],[MntRegularProds]]</f>
        <v>196</v>
      </c>
      <c r="AQ1113">
        <v>0</v>
      </c>
      <c r="AR1113">
        <f>IF(SUM(ifood_data[[#This Row],[Kidhome]:[Teenhome]])&gt;0,1,0)</f>
        <v>1</v>
      </c>
      <c r="AS1113" t="str">
        <f>IF(SUM(ifood_data[[#This Row],[Kidhome]:[Teenhome]])&gt;0,"Has Family","No Family")</f>
        <v>Has Family</v>
      </c>
      <c r="AT1113" t="str">
        <f>IF(ifood_data[[#This Row],[marital_Married]]=1,"Married", (IF(ifood_data[[#This Row],[marital_Single]]=1,"Single",(IF(ifood_data[[#This Row],[marital_Divorced]]=1,"Divorced",(IF(ifood_data[[#This Row],[marital_Together]]=1,"Living Together",(IF(ifood_data[[#This Row],[marital_Widow]]=1,"Widow","Other")))))))))</f>
        <v>Divorced</v>
      </c>
      <c r="AU1113" t="str">
        <f>IF(ifood_data[[#This Row],[education_Basic]]=1,"High School",(IF(ifood_data[[#This Row],[education_Graduation]]=1,"Undergraduate Degree",(IF(SUM(AM1113,AL1113,AI1113)&gt;0,"Master's Degree or Higher","Other")))))</f>
        <v>Master's Degree or Higher</v>
      </c>
      <c r="AV1113" t="str">
        <f>IF(ifood_data[[#All],[Income]]&gt;75000,"75K+",(IF(ifood_data[[#All],[Income]]&gt;50000,"50K-75K",(IF(ifood_data[[#All],[Income]]&gt;35000,"35K-50K","&lt;35K")))))</f>
        <v>35K-50K</v>
      </c>
      <c r="AW1113" t="str">
        <f>IF(ifood_data[[#All],[Age]]&gt;60,"60+",(IF(ifood_data[[#All],[Age]]&gt;50,"50-60",(IF(ifood_data[[#All],[Age]]&gt;40,"40-50",(IF(ifood_data[[#All],[Age]]&gt;30,"30-40","&lt;30")))))))</f>
        <v>50-60</v>
      </c>
      <c r="AX1113">
        <f t="shared" si="68"/>
        <v>24</v>
      </c>
      <c r="AY1113">
        <f t="shared" si="69"/>
        <v>8</v>
      </c>
      <c r="AZ1113">
        <f t="shared" si="70"/>
        <v>6</v>
      </c>
      <c r="BA1113">
        <f t="shared" si="71"/>
        <v>6</v>
      </c>
      <c r="BB1113">
        <f>SUM(ifood_data[[#This Row],[Recency Score]:[Monetary Score]])</f>
        <v>20</v>
      </c>
      <c r="BC1113">
        <f>(_xlfn.PERCENTRANK.INC(ifood_data[[#All],[RFM]],ifood_data[[#This Row],[RFM]],1))*10</f>
        <v>7</v>
      </c>
      <c r="BD1113" t="str">
        <f>VLOOKUP(ifood_data[[#This Row],[RFM Score]],'RFM Analysis'!$A$3:$B$14,2,FALSE)</f>
        <v>Loyal Customer</v>
      </c>
      <c r="BE1113">
        <f>'Regression Models'!$B$101+'Regression Models'!$B$102*ifood_data[[#This Row],[Income]]+'Regression Models'!$B$103*ifood_data[[#This Row],[Age]]+'Regression Models'!$B$104*ifood_data[[#This Row],[Family]]</f>
        <v>426.64877784308601</v>
      </c>
      <c r="BF1113" t="str">
        <f>IF(ifood_data[[#This Row],[AcceptedCmpOverall]]=1,"Campaign Respondent","Non-respondent")</f>
        <v>Non-respondent</v>
      </c>
    </row>
    <row r="1114" spans="1:58" x14ac:dyDescent="0.35">
      <c r="A1114">
        <v>621</v>
      </c>
      <c r="B1114">
        <v>50616</v>
      </c>
      <c r="C1114">
        <v>0</v>
      </c>
      <c r="D1114">
        <v>1</v>
      </c>
      <c r="E1114">
        <v>71</v>
      </c>
      <c r="F1114">
        <v>30</v>
      </c>
      <c r="G1114">
        <v>2</v>
      </c>
      <c r="H1114">
        <v>25</v>
      </c>
      <c r="I1114">
        <v>0</v>
      </c>
      <c r="J1114">
        <v>1</v>
      </c>
      <c r="K1114">
        <v>9</v>
      </c>
      <c r="L1114">
        <v>1</v>
      </c>
      <c r="M1114">
        <v>1</v>
      </c>
      <c r="N1114">
        <v>1</v>
      </c>
      <c r="O1114">
        <v>4</v>
      </c>
      <c r="P1114">
        <v>2</v>
      </c>
      <c r="Q1114">
        <v>0</v>
      </c>
      <c r="R1114">
        <v>0</v>
      </c>
      <c r="S1114">
        <v>0</v>
      </c>
      <c r="T1114">
        <v>0</v>
      </c>
      <c r="U1114">
        <v>0</v>
      </c>
      <c r="V1114">
        <f>IF(SUM(ifood_data[[#This Row],[AcceptedCmp1]:[AcceptedCmp5]])&gt;0,1,0)</f>
        <v>0</v>
      </c>
      <c r="W1114">
        <v>0</v>
      </c>
      <c r="X1114">
        <v>3</v>
      </c>
      <c r="Y1114">
        <v>11</v>
      </c>
      <c r="Z1114">
        <v>0</v>
      </c>
      <c r="AA1114">
        <v>70</v>
      </c>
      <c r="AB1114">
        <v>2236</v>
      </c>
      <c r="AC1114" s="28">
        <f>ifood_data[[#This Row],[Customer_Days]]/365</f>
        <v>6.1260273972602741</v>
      </c>
      <c r="AD1114">
        <v>0</v>
      </c>
      <c r="AE1114">
        <v>0</v>
      </c>
      <c r="AF1114">
        <v>0</v>
      </c>
      <c r="AG1114">
        <v>1</v>
      </c>
      <c r="AH1114">
        <v>0</v>
      </c>
      <c r="AI1114">
        <v>0</v>
      </c>
      <c r="AJ1114">
        <v>0</v>
      </c>
      <c r="AK1114">
        <v>0</v>
      </c>
      <c r="AL1114">
        <v>0</v>
      </c>
      <c r="AM1114">
        <v>1</v>
      </c>
      <c r="AN1114">
        <v>58</v>
      </c>
      <c r="AO1114">
        <v>49</v>
      </c>
      <c r="AP1114">
        <f>ifood_data[[#This Row],[MntTotal]]-ifood_data[[#This Row],[MntRegularProds]]</f>
        <v>9</v>
      </c>
      <c r="AQ1114">
        <v>0</v>
      </c>
      <c r="AR1114">
        <f>IF(SUM(ifood_data[[#This Row],[Kidhome]:[Teenhome]])&gt;0,1,0)</f>
        <v>1</v>
      </c>
      <c r="AS1114" t="str">
        <f>IF(SUM(ifood_data[[#This Row],[Kidhome]:[Teenhome]])&gt;0,"Has Family","No Family")</f>
        <v>Has Family</v>
      </c>
      <c r="AT1114" t="str">
        <f>IF(ifood_data[[#This Row],[marital_Married]]=1,"Married", (IF(ifood_data[[#This Row],[marital_Single]]=1,"Single",(IF(ifood_data[[#This Row],[marital_Divorced]]=1,"Divorced",(IF(ifood_data[[#This Row],[marital_Together]]=1,"Living Together",(IF(ifood_data[[#This Row],[marital_Widow]]=1,"Widow","Other")))))))))</f>
        <v>Living Together</v>
      </c>
      <c r="AU1114" t="str">
        <f>IF(ifood_data[[#This Row],[education_Basic]]=1,"High School",(IF(ifood_data[[#This Row],[education_Graduation]]=1,"Undergraduate Degree",(IF(SUM(AM1114,AL1114,AI1114)&gt;0,"Master's Degree or Higher","Other")))))</f>
        <v>Master's Degree or Higher</v>
      </c>
      <c r="AV1114" t="str">
        <f>IF(ifood_data[[#All],[Income]]&gt;75000,"75K+",(IF(ifood_data[[#All],[Income]]&gt;50000,"50K-75K",(IF(ifood_data[[#All],[Income]]&gt;35000,"35K-50K","&lt;35K")))))</f>
        <v>50K-75K</v>
      </c>
      <c r="AW1114" t="str">
        <f>IF(ifood_data[[#All],[Age]]&gt;60,"60+",(IF(ifood_data[[#All],[Age]]&gt;50,"50-60",(IF(ifood_data[[#All],[Age]]&gt;40,"40-50",(IF(ifood_data[[#All],[Age]]&gt;30,"30-40","&lt;30")))))))</f>
        <v>60+</v>
      </c>
      <c r="AX1114">
        <f t="shared" si="68"/>
        <v>9</v>
      </c>
      <c r="AY1114">
        <f t="shared" si="69"/>
        <v>3.0000000000000004</v>
      </c>
      <c r="AZ1114">
        <f t="shared" si="70"/>
        <v>0</v>
      </c>
      <c r="BA1114">
        <f t="shared" si="71"/>
        <v>2</v>
      </c>
      <c r="BB1114">
        <f>SUM(ifood_data[[#This Row],[Recency Score]:[Monetary Score]])</f>
        <v>5</v>
      </c>
      <c r="BC1114">
        <f>(_xlfn.PERCENTRANK.INC(ifood_data[[#All],[RFM]],ifood_data[[#This Row],[RFM]],1))*10</f>
        <v>0</v>
      </c>
      <c r="BD1114" t="str">
        <f>VLOOKUP(ifood_data[[#This Row],[RFM Score]],'RFM Analysis'!$A$3:$B$14,2,FALSE)</f>
        <v>Lost</v>
      </c>
      <c r="BE1114">
        <f>'Regression Models'!$B$101+'Regression Models'!$B$102*ifood_data[[#This Row],[Income]]+'Regression Models'!$B$103*ifood_data[[#This Row],[Age]]+'Regression Models'!$B$104*ifood_data[[#This Row],[Family]]</f>
        <v>426.0182655015052</v>
      </c>
      <c r="BF1114" t="str">
        <f>IF(ifood_data[[#This Row],[AcceptedCmpOverall]]=1,"Campaign Respondent","Non-respondent")</f>
        <v>Non-respondent</v>
      </c>
    </row>
    <row r="1115" spans="1:58" x14ac:dyDescent="0.35">
      <c r="A1115">
        <v>1101</v>
      </c>
      <c r="B1115">
        <v>48985</v>
      </c>
      <c r="C1115">
        <v>0</v>
      </c>
      <c r="D1115">
        <v>1</v>
      </c>
      <c r="E1115">
        <v>13</v>
      </c>
      <c r="F1115">
        <v>19</v>
      </c>
      <c r="G1115">
        <v>13</v>
      </c>
      <c r="H1115">
        <v>18</v>
      </c>
      <c r="I1115">
        <v>10</v>
      </c>
      <c r="J1115">
        <v>7</v>
      </c>
      <c r="K1115">
        <v>8</v>
      </c>
      <c r="L1115">
        <v>1</v>
      </c>
      <c r="M1115">
        <v>1</v>
      </c>
      <c r="N1115">
        <v>1</v>
      </c>
      <c r="O1115">
        <v>3</v>
      </c>
      <c r="P1115">
        <v>3</v>
      </c>
      <c r="Q1115">
        <v>0</v>
      </c>
      <c r="R1115">
        <v>0</v>
      </c>
      <c r="S1115">
        <v>0</v>
      </c>
      <c r="T1115">
        <v>0</v>
      </c>
      <c r="U1115">
        <v>0</v>
      </c>
      <c r="V1115">
        <f>IF(SUM(ifood_data[[#This Row],[AcceptedCmp1]:[AcceptedCmp5]])&gt;0,1,0)</f>
        <v>0</v>
      </c>
      <c r="W1115">
        <v>0</v>
      </c>
      <c r="X1115">
        <v>3</v>
      </c>
      <c r="Y1115">
        <v>11</v>
      </c>
      <c r="Z1115">
        <v>0</v>
      </c>
      <c r="AA1115">
        <v>52</v>
      </c>
      <c r="AB1115">
        <v>2518</v>
      </c>
      <c r="AC1115" s="28">
        <f>ifood_data[[#This Row],[Customer_Days]]/365</f>
        <v>6.8986301369863012</v>
      </c>
      <c r="AD1115">
        <v>0</v>
      </c>
      <c r="AE1115">
        <v>1</v>
      </c>
      <c r="AF1115">
        <v>0</v>
      </c>
      <c r="AG1115">
        <v>0</v>
      </c>
      <c r="AH1115">
        <v>0</v>
      </c>
      <c r="AI1115">
        <v>1</v>
      </c>
      <c r="AJ1115">
        <v>0</v>
      </c>
      <c r="AK1115">
        <v>0</v>
      </c>
      <c r="AL1115">
        <v>0</v>
      </c>
      <c r="AM1115">
        <v>0</v>
      </c>
      <c r="AN1115">
        <v>67</v>
      </c>
      <c r="AO1115">
        <v>59</v>
      </c>
      <c r="AP1115">
        <f>ifood_data[[#This Row],[MntTotal]]-ifood_data[[#This Row],[MntRegularProds]]</f>
        <v>8</v>
      </c>
      <c r="AQ1115">
        <v>0</v>
      </c>
      <c r="AR1115">
        <f>IF(SUM(ifood_data[[#This Row],[Kidhome]:[Teenhome]])&gt;0,1,0)</f>
        <v>1</v>
      </c>
      <c r="AS1115" t="str">
        <f>IF(SUM(ifood_data[[#This Row],[Kidhome]:[Teenhome]])&gt;0,"Has Family","No Family")</f>
        <v>Has Family</v>
      </c>
      <c r="AT1115" t="str">
        <f>IF(ifood_data[[#This Row],[marital_Married]]=1,"Married", (IF(ifood_data[[#This Row],[marital_Single]]=1,"Single",(IF(ifood_data[[#This Row],[marital_Divorced]]=1,"Divorced",(IF(ifood_data[[#This Row],[marital_Together]]=1,"Living Together",(IF(ifood_data[[#This Row],[marital_Widow]]=1,"Widow","Other")))))))))</f>
        <v>Married</v>
      </c>
      <c r="AU1115" t="str">
        <f>IF(ifood_data[[#This Row],[education_Basic]]=1,"High School",(IF(ifood_data[[#This Row],[education_Graduation]]=1,"Undergraduate Degree",(IF(SUM(AM1115,AL1115,AI1115)&gt;0,"Master's Degree or Higher","Other")))))</f>
        <v>Master's Degree or Higher</v>
      </c>
      <c r="AV1115" t="str">
        <f>IF(ifood_data[[#All],[Income]]&gt;75000,"75K+",(IF(ifood_data[[#All],[Income]]&gt;50000,"50K-75K",(IF(ifood_data[[#All],[Income]]&gt;35000,"35K-50K","&lt;35K")))))</f>
        <v>35K-50K</v>
      </c>
      <c r="AW1115" t="str">
        <f>IF(ifood_data[[#All],[Age]]&gt;60,"60+",(IF(ifood_data[[#All],[Age]]&gt;50,"50-60",(IF(ifood_data[[#All],[Age]]&gt;40,"40-50",(IF(ifood_data[[#All],[Age]]&gt;30,"30-40","&lt;30")))))))</f>
        <v>50-60</v>
      </c>
      <c r="AX1115">
        <f t="shared" si="68"/>
        <v>9</v>
      </c>
      <c r="AY1115">
        <f t="shared" si="69"/>
        <v>9</v>
      </c>
      <c r="AZ1115">
        <f t="shared" si="70"/>
        <v>0</v>
      </c>
      <c r="BA1115">
        <f t="shared" si="71"/>
        <v>2</v>
      </c>
      <c r="BB1115">
        <f>SUM(ifood_data[[#This Row],[Recency Score]:[Monetary Score]])</f>
        <v>11</v>
      </c>
      <c r="BC1115">
        <f>(_xlfn.PERCENTRANK.INC(ifood_data[[#All],[RFM]],ifood_data[[#This Row],[RFM]],1))*10</f>
        <v>2</v>
      </c>
      <c r="BD1115" t="str">
        <f>VLOOKUP(ifood_data[[#This Row],[RFM Score]],'RFM Analysis'!$A$3:$B$14,2,FALSE)</f>
        <v>At Risk</v>
      </c>
      <c r="BE1115">
        <f>'Regression Models'!$B$101+'Regression Models'!$B$102*ifood_data[[#This Row],[Income]]+'Regression Models'!$B$103*ifood_data[[#This Row],[Age]]+'Regression Models'!$B$104*ifood_data[[#This Row],[Family]]</f>
        <v>425.82008807890304</v>
      </c>
      <c r="BF1115" t="str">
        <f>IF(ifood_data[[#This Row],[AcceptedCmpOverall]]=1,"Campaign Respondent","Non-respondent")</f>
        <v>Non-respondent</v>
      </c>
    </row>
    <row r="1116" spans="1:58" x14ac:dyDescent="0.35">
      <c r="A1116">
        <v>521</v>
      </c>
      <c r="B1116">
        <v>47850</v>
      </c>
      <c r="C1116">
        <v>1</v>
      </c>
      <c r="D1116">
        <v>0</v>
      </c>
      <c r="E1116">
        <v>72</v>
      </c>
      <c r="F1116">
        <v>42</v>
      </c>
      <c r="G1116">
        <v>7</v>
      </c>
      <c r="H1116">
        <v>43</v>
      </c>
      <c r="I1116">
        <v>20</v>
      </c>
      <c r="J1116">
        <v>12</v>
      </c>
      <c r="K1116">
        <v>10</v>
      </c>
      <c r="L1116">
        <v>1</v>
      </c>
      <c r="M1116">
        <v>3</v>
      </c>
      <c r="N1116">
        <v>0</v>
      </c>
      <c r="O1116">
        <v>4</v>
      </c>
      <c r="P1116">
        <v>6</v>
      </c>
      <c r="Q1116">
        <v>0</v>
      </c>
      <c r="R1116">
        <v>0</v>
      </c>
      <c r="S1116">
        <v>0</v>
      </c>
      <c r="T1116">
        <v>0</v>
      </c>
      <c r="U1116">
        <v>0</v>
      </c>
      <c r="V1116">
        <f>IF(SUM(ifood_data[[#This Row],[AcceptedCmp1]:[AcceptedCmp5]])&gt;0,1,0)</f>
        <v>0</v>
      </c>
      <c r="W1116">
        <v>0</v>
      </c>
      <c r="X1116">
        <v>3</v>
      </c>
      <c r="Y1116">
        <v>11</v>
      </c>
      <c r="Z1116">
        <v>0</v>
      </c>
      <c r="AA1116">
        <v>40</v>
      </c>
      <c r="AB1116">
        <v>2367</v>
      </c>
      <c r="AC1116" s="28">
        <f>ifood_data[[#This Row],[Customer_Days]]/365</f>
        <v>6.484931506849315</v>
      </c>
      <c r="AD1116">
        <v>0</v>
      </c>
      <c r="AE1116">
        <v>1</v>
      </c>
      <c r="AF1116">
        <v>0</v>
      </c>
      <c r="AG1116">
        <v>0</v>
      </c>
      <c r="AH1116">
        <v>0</v>
      </c>
      <c r="AI1116">
        <v>0</v>
      </c>
      <c r="AJ1116">
        <v>0</v>
      </c>
      <c r="AK1116">
        <v>1</v>
      </c>
      <c r="AL1116">
        <v>0</v>
      </c>
      <c r="AM1116">
        <v>0</v>
      </c>
      <c r="AN1116">
        <v>124</v>
      </c>
      <c r="AO1116">
        <v>114</v>
      </c>
      <c r="AP1116">
        <f>ifood_data[[#This Row],[MntTotal]]-ifood_data[[#This Row],[MntRegularProds]]</f>
        <v>10</v>
      </c>
      <c r="AQ1116">
        <v>0</v>
      </c>
      <c r="AR1116">
        <f>IF(SUM(ifood_data[[#This Row],[Kidhome]:[Teenhome]])&gt;0,1,0)</f>
        <v>1</v>
      </c>
      <c r="AS1116" t="str">
        <f>IF(SUM(ifood_data[[#This Row],[Kidhome]:[Teenhome]])&gt;0,"Has Family","No Family")</f>
        <v>Has Family</v>
      </c>
      <c r="AT1116" t="str">
        <f>IF(ifood_data[[#This Row],[marital_Married]]=1,"Married", (IF(ifood_data[[#This Row],[marital_Single]]=1,"Single",(IF(ifood_data[[#This Row],[marital_Divorced]]=1,"Divorced",(IF(ifood_data[[#This Row],[marital_Together]]=1,"Living Together",(IF(ifood_data[[#This Row],[marital_Widow]]=1,"Widow","Other")))))))))</f>
        <v>Married</v>
      </c>
      <c r="AU1116" t="str">
        <f>IF(ifood_data[[#This Row],[education_Basic]]=1,"High School",(IF(ifood_data[[#This Row],[education_Graduation]]=1,"Undergraduate Degree",(IF(SUM(AM1116,AL1116,AI1116)&gt;0,"Master's Degree or Higher","Other")))))</f>
        <v>Undergraduate Degree</v>
      </c>
      <c r="AV1116" t="str">
        <f>IF(ifood_data[[#All],[Income]]&gt;75000,"75K+",(IF(ifood_data[[#All],[Income]]&gt;50000,"50K-75K",(IF(ifood_data[[#All],[Income]]&gt;35000,"35K-50K","&lt;35K")))))</f>
        <v>35K-50K</v>
      </c>
      <c r="AW1116" t="str">
        <f>IF(ifood_data[[#All],[Age]]&gt;60,"60+",(IF(ifood_data[[#All],[Age]]&gt;50,"50-60",(IF(ifood_data[[#All],[Age]]&gt;40,"40-50",(IF(ifood_data[[#All],[Age]]&gt;30,"30-40","&lt;30")))))))</f>
        <v>30-40</v>
      </c>
      <c r="AX1116">
        <f t="shared" si="68"/>
        <v>14</v>
      </c>
      <c r="AY1116">
        <f t="shared" si="69"/>
        <v>3.0000000000000004</v>
      </c>
      <c r="AZ1116">
        <f t="shared" si="70"/>
        <v>2</v>
      </c>
      <c r="BA1116">
        <f t="shared" si="71"/>
        <v>3</v>
      </c>
      <c r="BB1116">
        <f>SUM(ifood_data[[#This Row],[Recency Score]:[Monetary Score]])</f>
        <v>8</v>
      </c>
      <c r="BC1116">
        <f>(_xlfn.PERCENTRANK.INC(ifood_data[[#All],[RFM]],ifood_data[[#This Row],[RFM]],1))*10</f>
        <v>1</v>
      </c>
      <c r="BD1116" t="str">
        <f>VLOOKUP(ifood_data[[#This Row],[RFM Score]],'RFM Analysis'!$A$3:$B$14,2,FALSE)</f>
        <v>At Risk</v>
      </c>
      <c r="BE1116">
        <f>'Regression Models'!$B$101+'Regression Models'!$B$102*ifood_data[[#This Row],[Income]]+'Regression Models'!$B$103*ifood_data[[#This Row],[Age]]+'Regression Models'!$B$104*ifood_data[[#This Row],[Family]]</f>
        <v>424.71610518230909</v>
      </c>
      <c r="BF1116" t="str">
        <f>IF(ifood_data[[#This Row],[AcceptedCmpOverall]]=1,"Campaign Respondent","Non-respondent")</f>
        <v>Non-respondent</v>
      </c>
    </row>
    <row r="1117" spans="1:58" x14ac:dyDescent="0.35">
      <c r="A1117">
        <v>1473</v>
      </c>
      <c r="B1117">
        <v>48432</v>
      </c>
      <c r="C1117">
        <v>0</v>
      </c>
      <c r="D1117">
        <v>1</v>
      </c>
      <c r="E1117">
        <v>3</v>
      </c>
      <c r="F1117">
        <v>322</v>
      </c>
      <c r="G1117">
        <v>3</v>
      </c>
      <c r="H1117">
        <v>50</v>
      </c>
      <c r="I1117">
        <v>4</v>
      </c>
      <c r="J1117">
        <v>3</v>
      </c>
      <c r="K1117">
        <v>42</v>
      </c>
      <c r="L1117">
        <v>5</v>
      </c>
      <c r="M1117">
        <v>7</v>
      </c>
      <c r="N1117">
        <v>1</v>
      </c>
      <c r="O1117">
        <v>6</v>
      </c>
      <c r="P1117">
        <v>8</v>
      </c>
      <c r="Q1117">
        <v>0</v>
      </c>
      <c r="R1117">
        <v>0</v>
      </c>
      <c r="S1117">
        <v>0</v>
      </c>
      <c r="T1117">
        <v>0</v>
      </c>
      <c r="U1117">
        <v>0</v>
      </c>
      <c r="V1117">
        <f>IF(SUM(ifood_data[[#This Row],[AcceptedCmp1]:[AcceptedCmp5]])&gt;0,1,0)</f>
        <v>0</v>
      </c>
      <c r="W1117">
        <v>0</v>
      </c>
      <c r="X1117">
        <v>3</v>
      </c>
      <c r="Y1117">
        <v>11</v>
      </c>
      <c r="Z1117">
        <v>1</v>
      </c>
      <c r="AA1117">
        <v>47</v>
      </c>
      <c r="AB1117">
        <v>2778</v>
      </c>
      <c r="AC1117" s="28">
        <f>ifood_data[[#This Row],[Customer_Days]]/365</f>
        <v>7.6109589041095891</v>
      </c>
      <c r="AD1117">
        <v>0</v>
      </c>
      <c r="AE1117">
        <v>0</v>
      </c>
      <c r="AF1117">
        <v>1</v>
      </c>
      <c r="AG1117">
        <v>0</v>
      </c>
      <c r="AH1117">
        <v>0</v>
      </c>
      <c r="AI1117">
        <v>0</v>
      </c>
      <c r="AJ1117">
        <v>0</v>
      </c>
      <c r="AK1117">
        <v>0</v>
      </c>
      <c r="AL1117">
        <v>0</v>
      </c>
      <c r="AM1117">
        <v>1</v>
      </c>
      <c r="AN1117">
        <v>382</v>
      </c>
      <c r="AO1117">
        <v>340</v>
      </c>
      <c r="AP1117">
        <f>ifood_data[[#This Row],[MntTotal]]-ifood_data[[#This Row],[MntRegularProds]]</f>
        <v>42</v>
      </c>
      <c r="AQ1117">
        <v>0</v>
      </c>
      <c r="AR1117">
        <f>IF(SUM(ifood_data[[#This Row],[Kidhome]:[Teenhome]])&gt;0,1,0)</f>
        <v>1</v>
      </c>
      <c r="AS1117" t="str">
        <f>IF(SUM(ifood_data[[#This Row],[Kidhome]:[Teenhome]])&gt;0,"Has Family","No Family")</f>
        <v>Has Family</v>
      </c>
      <c r="AT1117" t="str">
        <f>IF(ifood_data[[#This Row],[marital_Married]]=1,"Married", (IF(ifood_data[[#This Row],[marital_Single]]=1,"Single",(IF(ifood_data[[#This Row],[marital_Divorced]]=1,"Divorced",(IF(ifood_data[[#This Row],[marital_Together]]=1,"Living Together",(IF(ifood_data[[#This Row],[marital_Widow]]=1,"Widow","Other")))))))))</f>
        <v>Single</v>
      </c>
      <c r="AU1117" t="str">
        <f>IF(ifood_data[[#This Row],[education_Basic]]=1,"High School",(IF(ifood_data[[#This Row],[education_Graduation]]=1,"Undergraduate Degree",(IF(SUM(AM1117,AL1117,AI1117)&gt;0,"Master's Degree or Higher","Other")))))</f>
        <v>Master's Degree or Higher</v>
      </c>
      <c r="AV1117" t="str">
        <f>IF(ifood_data[[#All],[Income]]&gt;75000,"75K+",(IF(ifood_data[[#All],[Income]]&gt;50000,"50K-75K",(IF(ifood_data[[#All],[Income]]&gt;35000,"35K-50K","&lt;35K")))))</f>
        <v>35K-50K</v>
      </c>
      <c r="AW1117" t="str">
        <f>IF(ifood_data[[#All],[Age]]&gt;60,"60+",(IF(ifood_data[[#All],[Age]]&gt;50,"50-60",(IF(ifood_data[[#All],[Age]]&gt;40,"40-50",(IF(ifood_data[[#All],[Age]]&gt;30,"30-40","&lt;30")))))))</f>
        <v>40-50</v>
      </c>
      <c r="AX1117">
        <f t="shared" si="68"/>
        <v>27</v>
      </c>
      <c r="AY1117">
        <f t="shared" si="69"/>
        <v>10</v>
      </c>
      <c r="AZ1117">
        <f t="shared" si="70"/>
        <v>7</v>
      </c>
      <c r="BA1117">
        <f t="shared" si="71"/>
        <v>5</v>
      </c>
      <c r="BB1117">
        <f>SUM(ifood_data[[#This Row],[Recency Score]:[Monetary Score]])</f>
        <v>22</v>
      </c>
      <c r="BC1117">
        <f>(_xlfn.PERCENTRANK.INC(ifood_data[[#All],[RFM]],ifood_data[[#This Row],[RFM]],1))*10</f>
        <v>8</v>
      </c>
      <c r="BD1117" t="str">
        <f>VLOOKUP(ifood_data[[#This Row],[RFM Score]],'RFM Analysis'!$A$3:$B$14,2,FALSE)</f>
        <v>Loyal Customer</v>
      </c>
      <c r="BE1117">
        <f>'Regression Models'!$B$101+'Regression Models'!$B$102*ifood_data[[#This Row],[Income]]+'Regression Models'!$B$103*ifood_data[[#This Row],[Age]]+'Regression Models'!$B$104*ifood_data[[#This Row],[Family]]</f>
        <v>423.72729468979833</v>
      </c>
      <c r="BF1117" t="str">
        <f>IF(ifood_data[[#This Row],[AcceptedCmpOverall]]=1,"Campaign Respondent","Non-respondent")</f>
        <v>Non-respondent</v>
      </c>
    </row>
    <row r="1118" spans="1:58" x14ac:dyDescent="0.35">
      <c r="A1118">
        <v>1972</v>
      </c>
      <c r="B1118">
        <v>48432</v>
      </c>
      <c r="C1118">
        <v>0</v>
      </c>
      <c r="D1118">
        <v>1</v>
      </c>
      <c r="E1118">
        <v>3</v>
      </c>
      <c r="F1118">
        <v>322</v>
      </c>
      <c r="G1118">
        <v>3</v>
      </c>
      <c r="H1118">
        <v>50</v>
      </c>
      <c r="I1118">
        <v>4</v>
      </c>
      <c r="J1118">
        <v>3</v>
      </c>
      <c r="K1118">
        <v>42</v>
      </c>
      <c r="L1118">
        <v>5</v>
      </c>
      <c r="M1118">
        <v>7</v>
      </c>
      <c r="N1118">
        <v>1</v>
      </c>
      <c r="O1118">
        <v>6</v>
      </c>
      <c r="P1118">
        <v>8</v>
      </c>
      <c r="Q1118">
        <v>0</v>
      </c>
      <c r="R1118">
        <v>0</v>
      </c>
      <c r="S1118">
        <v>0</v>
      </c>
      <c r="T1118">
        <v>0</v>
      </c>
      <c r="U1118">
        <v>0</v>
      </c>
      <c r="V1118">
        <f>IF(SUM(ifood_data[[#This Row],[AcceptedCmp1]:[AcceptedCmp5]])&gt;0,1,0)</f>
        <v>0</v>
      </c>
      <c r="W1118">
        <v>0</v>
      </c>
      <c r="X1118">
        <v>3</v>
      </c>
      <c r="Y1118">
        <v>11</v>
      </c>
      <c r="Z1118">
        <v>0</v>
      </c>
      <c r="AA1118">
        <v>47</v>
      </c>
      <c r="AB1118">
        <v>2778</v>
      </c>
      <c r="AC1118" s="28">
        <f>ifood_data[[#This Row],[Customer_Days]]/365</f>
        <v>7.6109589041095891</v>
      </c>
      <c r="AD1118">
        <v>0</v>
      </c>
      <c r="AE1118">
        <v>0</v>
      </c>
      <c r="AF1118">
        <v>1</v>
      </c>
      <c r="AG1118">
        <v>0</v>
      </c>
      <c r="AH1118">
        <v>0</v>
      </c>
      <c r="AI1118">
        <v>0</v>
      </c>
      <c r="AJ1118">
        <v>0</v>
      </c>
      <c r="AK1118">
        <v>0</v>
      </c>
      <c r="AL1118">
        <v>0</v>
      </c>
      <c r="AM1118">
        <v>1</v>
      </c>
      <c r="AN1118">
        <v>382</v>
      </c>
      <c r="AO1118">
        <v>340</v>
      </c>
      <c r="AP1118">
        <f>ifood_data[[#This Row],[MntTotal]]-ifood_data[[#This Row],[MntRegularProds]]</f>
        <v>42</v>
      </c>
      <c r="AQ1118">
        <v>0</v>
      </c>
      <c r="AR1118">
        <f>IF(SUM(ifood_data[[#This Row],[Kidhome]:[Teenhome]])&gt;0,1,0)</f>
        <v>1</v>
      </c>
      <c r="AS1118" t="str">
        <f>IF(SUM(ifood_data[[#This Row],[Kidhome]:[Teenhome]])&gt;0,"Has Family","No Family")</f>
        <v>Has Family</v>
      </c>
      <c r="AT1118" t="str">
        <f>IF(ifood_data[[#This Row],[marital_Married]]=1,"Married", (IF(ifood_data[[#This Row],[marital_Single]]=1,"Single",(IF(ifood_data[[#This Row],[marital_Divorced]]=1,"Divorced",(IF(ifood_data[[#This Row],[marital_Together]]=1,"Living Together",(IF(ifood_data[[#This Row],[marital_Widow]]=1,"Widow","Other")))))))))</f>
        <v>Single</v>
      </c>
      <c r="AU1118" t="str">
        <f>IF(ifood_data[[#This Row],[education_Basic]]=1,"High School",(IF(ifood_data[[#This Row],[education_Graduation]]=1,"Undergraduate Degree",(IF(SUM(AM1118,AL1118,AI1118)&gt;0,"Master's Degree or Higher","Other")))))</f>
        <v>Master's Degree or Higher</v>
      </c>
      <c r="AV1118" t="str">
        <f>IF(ifood_data[[#All],[Income]]&gt;75000,"75K+",(IF(ifood_data[[#All],[Income]]&gt;50000,"50K-75K",(IF(ifood_data[[#All],[Income]]&gt;35000,"35K-50K","&lt;35K")))))</f>
        <v>35K-50K</v>
      </c>
      <c r="AW1118" t="str">
        <f>IF(ifood_data[[#All],[Age]]&gt;60,"60+",(IF(ifood_data[[#All],[Age]]&gt;50,"50-60",(IF(ifood_data[[#All],[Age]]&gt;40,"40-50",(IF(ifood_data[[#All],[Age]]&gt;30,"30-40","&lt;30")))))))</f>
        <v>40-50</v>
      </c>
      <c r="AX1118">
        <f t="shared" si="68"/>
        <v>27</v>
      </c>
      <c r="AY1118">
        <f t="shared" si="69"/>
        <v>10</v>
      </c>
      <c r="AZ1118">
        <f t="shared" si="70"/>
        <v>7</v>
      </c>
      <c r="BA1118">
        <f t="shared" si="71"/>
        <v>5</v>
      </c>
      <c r="BB1118">
        <f>SUM(ifood_data[[#This Row],[Recency Score]:[Monetary Score]])</f>
        <v>22</v>
      </c>
      <c r="BC1118">
        <f>(_xlfn.PERCENTRANK.INC(ifood_data[[#All],[RFM]],ifood_data[[#This Row],[RFM]],1))*10</f>
        <v>8</v>
      </c>
      <c r="BD1118" t="str">
        <f>VLOOKUP(ifood_data[[#This Row],[RFM Score]],'RFM Analysis'!$A$3:$B$14,2,FALSE)</f>
        <v>Loyal Customer</v>
      </c>
      <c r="BE1118">
        <f>'Regression Models'!$B$101+'Regression Models'!$B$102*ifood_data[[#This Row],[Income]]+'Regression Models'!$B$103*ifood_data[[#This Row],[Age]]+'Regression Models'!$B$104*ifood_data[[#This Row],[Family]]</f>
        <v>423.72729468979833</v>
      </c>
      <c r="BF1118" t="str">
        <f>IF(ifood_data[[#This Row],[AcceptedCmpOverall]]=1,"Campaign Respondent","Non-respondent")</f>
        <v>Non-respondent</v>
      </c>
    </row>
    <row r="1119" spans="1:58" x14ac:dyDescent="0.35">
      <c r="A1119">
        <v>434</v>
      </c>
      <c r="B1119">
        <v>50300</v>
      </c>
      <c r="C1119">
        <v>0</v>
      </c>
      <c r="D1119">
        <v>1</v>
      </c>
      <c r="E1119">
        <v>52</v>
      </c>
      <c r="F1119">
        <v>143</v>
      </c>
      <c r="G1119">
        <v>15</v>
      </c>
      <c r="H1119">
        <v>60</v>
      </c>
      <c r="I1119">
        <v>24</v>
      </c>
      <c r="J1119">
        <v>23</v>
      </c>
      <c r="K1119">
        <v>5</v>
      </c>
      <c r="L1119">
        <v>2</v>
      </c>
      <c r="M1119">
        <v>2</v>
      </c>
      <c r="N1119">
        <v>1</v>
      </c>
      <c r="O1119">
        <v>8</v>
      </c>
      <c r="P1119">
        <v>2</v>
      </c>
      <c r="Q1119">
        <v>0</v>
      </c>
      <c r="R1119">
        <v>0</v>
      </c>
      <c r="S1119">
        <v>0</v>
      </c>
      <c r="T1119">
        <v>0</v>
      </c>
      <c r="U1119">
        <v>0</v>
      </c>
      <c r="V1119">
        <f>IF(SUM(ifood_data[[#This Row],[AcceptedCmp1]:[AcceptedCmp5]])&gt;0,1,0)</f>
        <v>0</v>
      </c>
      <c r="W1119">
        <v>0</v>
      </c>
      <c r="X1119">
        <v>3</v>
      </c>
      <c r="Y1119">
        <v>11</v>
      </c>
      <c r="Z1119">
        <v>0</v>
      </c>
      <c r="AA1119">
        <v>68</v>
      </c>
      <c r="AB1119">
        <v>2194</v>
      </c>
      <c r="AC1119" s="28">
        <f>ifood_data[[#This Row],[Customer_Days]]/365</f>
        <v>6.0109589041095894</v>
      </c>
      <c r="AD1119">
        <v>0</v>
      </c>
      <c r="AE1119">
        <v>1</v>
      </c>
      <c r="AF1119">
        <v>0</v>
      </c>
      <c r="AG1119">
        <v>0</v>
      </c>
      <c r="AH1119">
        <v>0</v>
      </c>
      <c r="AI1119">
        <v>0</v>
      </c>
      <c r="AJ1119">
        <v>0</v>
      </c>
      <c r="AK1119">
        <v>1</v>
      </c>
      <c r="AL1119">
        <v>0</v>
      </c>
      <c r="AM1119">
        <v>0</v>
      </c>
      <c r="AN1119">
        <v>265</v>
      </c>
      <c r="AO1119">
        <v>260</v>
      </c>
      <c r="AP1119">
        <f>ifood_data[[#This Row],[MntTotal]]-ifood_data[[#This Row],[MntRegularProds]]</f>
        <v>5</v>
      </c>
      <c r="AQ1119">
        <v>0</v>
      </c>
      <c r="AR1119">
        <f>IF(SUM(ifood_data[[#This Row],[Kidhome]:[Teenhome]])&gt;0,1,0)</f>
        <v>1</v>
      </c>
      <c r="AS1119" t="str">
        <f>IF(SUM(ifood_data[[#This Row],[Kidhome]:[Teenhome]])&gt;0,"Has Family","No Family")</f>
        <v>Has Family</v>
      </c>
      <c r="AT1119" t="str">
        <f>IF(ifood_data[[#This Row],[marital_Married]]=1,"Married", (IF(ifood_data[[#This Row],[marital_Single]]=1,"Single",(IF(ifood_data[[#This Row],[marital_Divorced]]=1,"Divorced",(IF(ifood_data[[#This Row],[marital_Together]]=1,"Living Together",(IF(ifood_data[[#This Row],[marital_Widow]]=1,"Widow","Other")))))))))</f>
        <v>Married</v>
      </c>
      <c r="AU1119" t="str">
        <f>IF(ifood_data[[#This Row],[education_Basic]]=1,"High School",(IF(ifood_data[[#This Row],[education_Graduation]]=1,"Undergraduate Degree",(IF(SUM(AM1119,AL1119,AI1119)&gt;0,"Master's Degree or Higher","Other")))))</f>
        <v>Undergraduate Degree</v>
      </c>
      <c r="AV1119" t="str">
        <f>IF(ifood_data[[#All],[Income]]&gt;75000,"75K+",(IF(ifood_data[[#All],[Income]]&gt;50000,"50K-75K",(IF(ifood_data[[#All],[Income]]&gt;35000,"35K-50K","&lt;35K")))))</f>
        <v>50K-75K</v>
      </c>
      <c r="AW1119" t="str">
        <f>IF(ifood_data[[#All],[Age]]&gt;60,"60+",(IF(ifood_data[[#All],[Age]]&gt;50,"50-60",(IF(ifood_data[[#All],[Age]]&gt;40,"40-50",(IF(ifood_data[[#All],[Age]]&gt;30,"30-40","&lt;30")))))))</f>
        <v>60+</v>
      </c>
      <c r="AX1119">
        <f t="shared" si="68"/>
        <v>15</v>
      </c>
      <c r="AY1119">
        <f t="shared" si="69"/>
        <v>5</v>
      </c>
      <c r="AZ1119">
        <f t="shared" si="70"/>
        <v>2</v>
      </c>
      <c r="BA1119">
        <f t="shared" si="71"/>
        <v>4</v>
      </c>
      <c r="BB1119">
        <f>SUM(ifood_data[[#This Row],[Recency Score]:[Monetary Score]])</f>
        <v>11</v>
      </c>
      <c r="BC1119">
        <f>(_xlfn.PERCENTRANK.INC(ifood_data[[#All],[RFM]],ifood_data[[#This Row],[RFM]],1))*10</f>
        <v>2</v>
      </c>
      <c r="BD1119" t="str">
        <f>VLOOKUP(ifood_data[[#This Row],[RFM Score]],'RFM Analysis'!$A$3:$B$14,2,FALSE)</f>
        <v>At Risk</v>
      </c>
      <c r="BE1119">
        <f>'Regression Models'!$B$101+'Regression Models'!$B$102*ifood_data[[#This Row],[Income]]+'Regression Models'!$B$103*ifood_data[[#This Row],[Age]]+'Regression Models'!$B$104*ifood_data[[#This Row],[Family]]</f>
        <v>423.24829292582183</v>
      </c>
      <c r="BF1119" t="str">
        <f>IF(ifood_data[[#This Row],[AcceptedCmpOverall]]=1,"Campaign Respondent","Non-respondent")</f>
        <v>Non-respondent</v>
      </c>
    </row>
    <row r="1120" spans="1:58" x14ac:dyDescent="0.35">
      <c r="A1120">
        <v>1252</v>
      </c>
      <c r="B1120">
        <v>48752</v>
      </c>
      <c r="C1120">
        <v>1</v>
      </c>
      <c r="D1120">
        <v>1</v>
      </c>
      <c r="E1120">
        <v>8</v>
      </c>
      <c r="F1120">
        <v>73</v>
      </c>
      <c r="G1120">
        <v>57</v>
      </c>
      <c r="H1120">
        <v>100</v>
      </c>
      <c r="I1120">
        <v>71</v>
      </c>
      <c r="J1120">
        <v>15</v>
      </c>
      <c r="K1120">
        <v>0</v>
      </c>
      <c r="L1120">
        <v>5</v>
      </c>
      <c r="M1120">
        <v>6</v>
      </c>
      <c r="N1120">
        <v>1</v>
      </c>
      <c r="O1120">
        <v>5</v>
      </c>
      <c r="P1120">
        <v>9</v>
      </c>
      <c r="Q1120">
        <v>0</v>
      </c>
      <c r="R1120">
        <v>0</v>
      </c>
      <c r="S1120">
        <v>0</v>
      </c>
      <c r="T1120">
        <v>0</v>
      </c>
      <c r="U1120">
        <v>0</v>
      </c>
      <c r="V1120">
        <f>IF(SUM(ifood_data[[#This Row],[AcceptedCmp1]:[AcceptedCmp5]])&gt;0,1,0)</f>
        <v>0</v>
      </c>
      <c r="W1120">
        <v>0</v>
      </c>
      <c r="X1120">
        <v>3</v>
      </c>
      <c r="Y1120">
        <v>11</v>
      </c>
      <c r="Z1120">
        <v>1</v>
      </c>
      <c r="AA1120">
        <v>51</v>
      </c>
      <c r="AB1120">
        <v>2723</v>
      </c>
      <c r="AC1120" s="28">
        <f>ifood_data[[#This Row],[Customer_Days]]/365</f>
        <v>7.4602739726027396</v>
      </c>
      <c r="AD1120">
        <v>0</v>
      </c>
      <c r="AE1120">
        <v>1</v>
      </c>
      <c r="AF1120">
        <v>0</v>
      </c>
      <c r="AG1120">
        <v>0</v>
      </c>
      <c r="AH1120">
        <v>0</v>
      </c>
      <c r="AI1120">
        <v>0</v>
      </c>
      <c r="AJ1120">
        <v>0</v>
      </c>
      <c r="AK1120">
        <v>1</v>
      </c>
      <c r="AL1120">
        <v>0</v>
      </c>
      <c r="AM1120">
        <v>0</v>
      </c>
      <c r="AN1120">
        <v>316</v>
      </c>
      <c r="AO1120">
        <v>316</v>
      </c>
      <c r="AP1120">
        <f>ifood_data[[#This Row],[MntTotal]]-ifood_data[[#This Row],[MntRegularProds]]</f>
        <v>0</v>
      </c>
      <c r="AQ1120">
        <v>0</v>
      </c>
      <c r="AR1120">
        <f>IF(SUM(ifood_data[[#This Row],[Kidhome]:[Teenhome]])&gt;0,1,0)</f>
        <v>1</v>
      </c>
      <c r="AS1120" t="str">
        <f>IF(SUM(ifood_data[[#This Row],[Kidhome]:[Teenhome]])&gt;0,"Has Family","No Family")</f>
        <v>Has Family</v>
      </c>
      <c r="AT1120" t="str">
        <f>IF(ifood_data[[#This Row],[marital_Married]]=1,"Married", (IF(ifood_data[[#This Row],[marital_Single]]=1,"Single",(IF(ifood_data[[#This Row],[marital_Divorced]]=1,"Divorced",(IF(ifood_data[[#This Row],[marital_Together]]=1,"Living Together",(IF(ifood_data[[#This Row],[marital_Widow]]=1,"Widow","Other")))))))))</f>
        <v>Married</v>
      </c>
      <c r="AU1120" t="str">
        <f>IF(ifood_data[[#This Row],[education_Basic]]=1,"High School",(IF(ifood_data[[#This Row],[education_Graduation]]=1,"Undergraduate Degree",(IF(SUM(AM1120,AL1120,AI1120)&gt;0,"Master's Degree or Higher","Other")))))</f>
        <v>Undergraduate Degree</v>
      </c>
      <c r="AV1120" t="str">
        <f>IF(ifood_data[[#All],[Income]]&gt;75000,"75K+",(IF(ifood_data[[#All],[Income]]&gt;50000,"50K-75K",(IF(ifood_data[[#All],[Income]]&gt;35000,"35K-50K","&lt;35K")))))</f>
        <v>35K-50K</v>
      </c>
      <c r="AW1120" t="str">
        <f>IF(ifood_data[[#All],[Age]]&gt;60,"60+",(IF(ifood_data[[#All],[Age]]&gt;50,"50-60",(IF(ifood_data[[#All],[Age]]&gt;40,"40-50",(IF(ifood_data[[#All],[Age]]&gt;30,"30-40","&lt;30")))))))</f>
        <v>50-60</v>
      </c>
      <c r="AX1120">
        <f t="shared" si="68"/>
        <v>26</v>
      </c>
      <c r="AY1120">
        <f t="shared" si="69"/>
        <v>10</v>
      </c>
      <c r="AZ1120">
        <f t="shared" si="70"/>
        <v>7</v>
      </c>
      <c r="BA1120">
        <f t="shared" si="71"/>
        <v>4</v>
      </c>
      <c r="BB1120">
        <f>SUM(ifood_data[[#This Row],[Recency Score]:[Monetary Score]])</f>
        <v>21</v>
      </c>
      <c r="BC1120">
        <f>(_xlfn.PERCENTRANK.INC(ifood_data[[#All],[RFM]],ifood_data[[#This Row],[RFM]],1))*10</f>
        <v>8</v>
      </c>
      <c r="BD1120" t="str">
        <f>VLOOKUP(ifood_data[[#This Row],[RFM Score]],'RFM Analysis'!$A$3:$B$14,2,FALSE)</f>
        <v>Loyal Customer</v>
      </c>
      <c r="BE1120">
        <f>'Regression Models'!$B$101+'Regression Models'!$B$102*ifood_data[[#This Row],[Income]]+'Regression Models'!$B$103*ifood_data[[#This Row],[Age]]+'Regression Models'!$B$104*ifood_data[[#This Row],[Family]]</f>
        <v>422.90594418026888</v>
      </c>
      <c r="BF1120" t="str">
        <f>IF(ifood_data[[#This Row],[AcceptedCmpOverall]]=1,"Campaign Respondent","Non-respondent")</f>
        <v>Non-respondent</v>
      </c>
    </row>
    <row r="1121" spans="1:58" x14ac:dyDescent="0.35">
      <c r="A1121">
        <v>350</v>
      </c>
      <c r="B1121">
        <v>48178</v>
      </c>
      <c r="C1121">
        <v>1</v>
      </c>
      <c r="D1121">
        <v>1</v>
      </c>
      <c r="E1121">
        <v>69</v>
      </c>
      <c r="F1121">
        <v>159</v>
      </c>
      <c r="G1121">
        <v>4</v>
      </c>
      <c r="H1121">
        <v>45</v>
      </c>
      <c r="I1121">
        <v>6</v>
      </c>
      <c r="J1121">
        <v>2</v>
      </c>
      <c r="K1121">
        <v>38</v>
      </c>
      <c r="L1121">
        <v>6</v>
      </c>
      <c r="M1121">
        <v>5</v>
      </c>
      <c r="N1121">
        <v>1</v>
      </c>
      <c r="O1121">
        <v>4</v>
      </c>
      <c r="P1121">
        <v>8</v>
      </c>
      <c r="Q1121">
        <v>0</v>
      </c>
      <c r="R1121">
        <v>0</v>
      </c>
      <c r="S1121">
        <v>0</v>
      </c>
      <c r="T1121">
        <v>0</v>
      </c>
      <c r="U1121">
        <v>0</v>
      </c>
      <c r="V1121">
        <f>IF(SUM(ifood_data[[#This Row],[AcceptedCmp1]:[AcceptedCmp5]])&gt;0,1,0)</f>
        <v>0</v>
      </c>
      <c r="W1121">
        <v>0</v>
      </c>
      <c r="X1121">
        <v>3</v>
      </c>
      <c r="Y1121">
        <v>11</v>
      </c>
      <c r="Z1121">
        <v>0</v>
      </c>
      <c r="AA1121">
        <v>45</v>
      </c>
      <c r="AB1121">
        <v>2768</v>
      </c>
      <c r="AC1121" s="28">
        <f>ifood_data[[#This Row],[Customer_Days]]/365</f>
        <v>7.5835616438356164</v>
      </c>
      <c r="AD1121">
        <v>0</v>
      </c>
      <c r="AE1121">
        <v>1</v>
      </c>
      <c r="AF1121">
        <v>0</v>
      </c>
      <c r="AG1121">
        <v>0</v>
      </c>
      <c r="AH1121">
        <v>0</v>
      </c>
      <c r="AI1121">
        <v>0</v>
      </c>
      <c r="AJ1121">
        <v>0</v>
      </c>
      <c r="AK1121">
        <v>1</v>
      </c>
      <c r="AL1121">
        <v>0</v>
      </c>
      <c r="AM1121">
        <v>0</v>
      </c>
      <c r="AN1121">
        <v>216</v>
      </c>
      <c r="AO1121">
        <v>178</v>
      </c>
      <c r="AP1121">
        <f>ifood_data[[#This Row],[MntTotal]]-ifood_data[[#This Row],[MntRegularProds]]</f>
        <v>38</v>
      </c>
      <c r="AQ1121">
        <v>0</v>
      </c>
      <c r="AR1121">
        <f>IF(SUM(ifood_data[[#This Row],[Kidhome]:[Teenhome]])&gt;0,1,0)</f>
        <v>1</v>
      </c>
      <c r="AS1121" t="str">
        <f>IF(SUM(ifood_data[[#This Row],[Kidhome]:[Teenhome]])&gt;0,"Has Family","No Family")</f>
        <v>Has Family</v>
      </c>
      <c r="AT1121" t="str">
        <f>IF(ifood_data[[#This Row],[marital_Married]]=1,"Married", (IF(ifood_data[[#This Row],[marital_Single]]=1,"Single",(IF(ifood_data[[#This Row],[marital_Divorced]]=1,"Divorced",(IF(ifood_data[[#This Row],[marital_Together]]=1,"Living Together",(IF(ifood_data[[#This Row],[marital_Widow]]=1,"Widow","Other")))))))))</f>
        <v>Married</v>
      </c>
      <c r="AU1121" t="str">
        <f>IF(ifood_data[[#This Row],[education_Basic]]=1,"High School",(IF(ifood_data[[#This Row],[education_Graduation]]=1,"Undergraduate Degree",(IF(SUM(AM1121,AL1121,AI1121)&gt;0,"Master's Degree or Higher","Other")))))</f>
        <v>Undergraduate Degree</v>
      </c>
      <c r="AV1121" t="str">
        <f>IF(ifood_data[[#All],[Income]]&gt;75000,"75K+",(IF(ifood_data[[#All],[Income]]&gt;50000,"50K-75K",(IF(ifood_data[[#All],[Income]]&gt;35000,"35K-50K","&lt;35K")))))</f>
        <v>35K-50K</v>
      </c>
      <c r="AW1121" t="str">
        <f>IF(ifood_data[[#All],[Age]]&gt;60,"60+",(IF(ifood_data[[#All],[Age]]&gt;50,"50-60",(IF(ifood_data[[#All],[Age]]&gt;40,"40-50",(IF(ifood_data[[#All],[Age]]&gt;30,"30-40","&lt;30")))))))</f>
        <v>40-50</v>
      </c>
      <c r="AX1121">
        <f t="shared" si="68"/>
        <v>24</v>
      </c>
      <c r="AY1121">
        <f t="shared" si="69"/>
        <v>4</v>
      </c>
      <c r="AZ1121">
        <f t="shared" si="70"/>
        <v>6</v>
      </c>
      <c r="BA1121">
        <f t="shared" si="71"/>
        <v>4</v>
      </c>
      <c r="BB1121">
        <f>SUM(ifood_data[[#This Row],[Recency Score]:[Monetary Score]])</f>
        <v>14</v>
      </c>
      <c r="BC1121">
        <f>(_xlfn.PERCENTRANK.INC(ifood_data[[#All],[RFM]],ifood_data[[#This Row],[RFM]],1))*10</f>
        <v>4</v>
      </c>
      <c r="BD1121" t="str">
        <f>VLOOKUP(ifood_data[[#This Row],[RFM Score]],'RFM Analysis'!$A$3:$B$14,2,FALSE)</f>
        <v>At Risk</v>
      </c>
      <c r="BE1121">
        <f>'Regression Models'!$B$101+'Regression Models'!$B$102*ifood_data[[#This Row],[Income]]+'Regression Models'!$B$103*ifood_data[[#This Row],[Age]]+'Regression Models'!$B$104*ifood_data[[#This Row],[Family]]</f>
        <v>422.22142573903659</v>
      </c>
      <c r="BF1121" t="str">
        <f>IF(ifood_data[[#This Row],[AcceptedCmpOverall]]=1,"Campaign Respondent","Non-respondent")</f>
        <v>Non-respondent</v>
      </c>
    </row>
    <row r="1122" spans="1:58" x14ac:dyDescent="0.35">
      <c r="A1122">
        <v>1507</v>
      </c>
      <c r="B1122">
        <v>50002</v>
      </c>
      <c r="C1122">
        <v>0</v>
      </c>
      <c r="D1122">
        <v>1</v>
      </c>
      <c r="E1122">
        <v>21</v>
      </c>
      <c r="F1122">
        <v>443</v>
      </c>
      <c r="G1122">
        <v>5</v>
      </c>
      <c r="H1122">
        <v>71</v>
      </c>
      <c r="I1122">
        <v>21</v>
      </c>
      <c r="J1122">
        <v>16</v>
      </c>
      <c r="K1122">
        <v>82</v>
      </c>
      <c r="L1122">
        <v>2</v>
      </c>
      <c r="M1122">
        <v>8</v>
      </c>
      <c r="N1122">
        <v>2</v>
      </c>
      <c r="O1122">
        <v>7</v>
      </c>
      <c r="P1122">
        <v>7</v>
      </c>
      <c r="Q1122">
        <v>0</v>
      </c>
      <c r="R1122">
        <v>0</v>
      </c>
      <c r="S1122">
        <v>0</v>
      </c>
      <c r="T1122">
        <v>0</v>
      </c>
      <c r="U1122">
        <v>0</v>
      </c>
      <c r="V1122">
        <f>IF(SUM(ifood_data[[#This Row],[AcceptedCmp1]:[AcceptedCmp5]])&gt;0,1,0)</f>
        <v>0</v>
      </c>
      <c r="W1122">
        <v>0</v>
      </c>
      <c r="X1122">
        <v>3</v>
      </c>
      <c r="Y1122">
        <v>11</v>
      </c>
      <c r="Z1122">
        <v>0</v>
      </c>
      <c r="AA1122">
        <v>66</v>
      </c>
      <c r="AB1122">
        <v>2536</v>
      </c>
      <c r="AC1122" s="28">
        <f>ifood_data[[#This Row],[Customer_Days]]/365</f>
        <v>6.9479452054794519</v>
      </c>
      <c r="AD1122">
        <v>1</v>
      </c>
      <c r="AE1122">
        <v>0</v>
      </c>
      <c r="AF1122">
        <v>0</v>
      </c>
      <c r="AG1122">
        <v>0</v>
      </c>
      <c r="AH1122">
        <v>0</v>
      </c>
      <c r="AI1122">
        <v>0</v>
      </c>
      <c r="AJ1122">
        <v>0</v>
      </c>
      <c r="AK1122">
        <v>1</v>
      </c>
      <c r="AL1122">
        <v>0</v>
      </c>
      <c r="AM1122">
        <v>0</v>
      </c>
      <c r="AN1122">
        <v>556</v>
      </c>
      <c r="AO1122">
        <v>474</v>
      </c>
      <c r="AP1122">
        <f>ifood_data[[#This Row],[MntTotal]]-ifood_data[[#This Row],[MntRegularProds]]</f>
        <v>82</v>
      </c>
      <c r="AQ1122">
        <v>0</v>
      </c>
      <c r="AR1122">
        <f>IF(SUM(ifood_data[[#This Row],[Kidhome]:[Teenhome]])&gt;0,1,0)</f>
        <v>1</v>
      </c>
      <c r="AS1122" t="str">
        <f>IF(SUM(ifood_data[[#This Row],[Kidhome]:[Teenhome]])&gt;0,"Has Family","No Family")</f>
        <v>Has Family</v>
      </c>
      <c r="AT1122" t="str">
        <f>IF(ifood_data[[#This Row],[marital_Married]]=1,"Married", (IF(ifood_data[[#This Row],[marital_Single]]=1,"Single",(IF(ifood_data[[#This Row],[marital_Divorced]]=1,"Divorced",(IF(ifood_data[[#This Row],[marital_Together]]=1,"Living Together",(IF(ifood_data[[#This Row],[marital_Widow]]=1,"Widow","Other")))))))))</f>
        <v>Divorced</v>
      </c>
      <c r="AU1122" t="str">
        <f>IF(ifood_data[[#This Row],[education_Basic]]=1,"High School",(IF(ifood_data[[#This Row],[education_Graduation]]=1,"Undergraduate Degree",(IF(SUM(AM1122,AL1122,AI1122)&gt;0,"Master's Degree or Higher","Other")))))</f>
        <v>Undergraduate Degree</v>
      </c>
      <c r="AV1122" t="str">
        <f>IF(ifood_data[[#All],[Income]]&gt;75000,"75K+",(IF(ifood_data[[#All],[Income]]&gt;50000,"50K-75K",(IF(ifood_data[[#All],[Income]]&gt;35000,"35K-50K","&lt;35K")))))</f>
        <v>50K-75K</v>
      </c>
      <c r="AW1122" t="str">
        <f>IF(ifood_data[[#All],[Age]]&gt;60,"60+",(IF(ifood_data[[#All],[Age]]&gt;50,"50-60",(IF(ifood_data[[#All],[Age]]&gt;40,"40-50",(IF(ifood_data[[#All],[Age]]&gt;30,"30-40","&lt;30")))))))</f>
        <v>60+</v>
      </c>
      <c r="AX1122">
        <f t="shared" si="68"/>
        <v>26</v>
      </c>
      <c r="AY1122">
        <f t="shared" si="69"/>
        <v>8</v>
      </c>
      <c r="AZ1122">
        <f t="shared" si="70"/>
        <v>7</v>
      </c>
      <c r="BA1122">
        <f t="shared" si="71"/>
        <v>5</v>
      </c>
      <c r="BB1122">
        <f>SUM(ifood_data[[#This Row],[Recency Score]:[Monetary Score]])</f>
        <v>20</v>
      </c>
      <c r="BC1122">
        <f>(_xlfn.PERCENTRANK.INC(ifood_data[[#All],[RFM]],ifood_data[[#This Row],[RFM]],1))*10</f>
        <v>7</v>
      </c>
      <c r="BD1122" t="str">
        <f>VLOOKUP(ifood_data[[#This Row],[RFM Score]],'RFM Analysis'!$A$3:$B$14,2,FALSE)</f>
        <v>Loyal Customer</v>
      </c>
      <c r="BE1122">
        <f>'Regression Models'!$B$101+'Regression Models'!$B$102*ifood_data[[#This Row],[Income]]+'Regression Models'!$B$103*ifood_data[[#This Row],[Age]]+'Regression Models'!$B$104*ifood_data[[#This Row],[Family]]</f>
        <v>420.84531817672837</v>
      </c>
      <c r="BF1122" t="str">
        <f>IF(ifood_data[[#This Row],[AcceptedCmpOverall]]=1,"Campaign Respondent","Non-respondent")</f>
        <v>Non-respondent</v>
      </c>
    </row>
    <row r="1123" spans="1:58" x14ac:dyDescent="0.35">
      <c r="A1123">
        <v>97</v>
      </c>
      <c r="B1123">
        <v>49096</v>
      </c>
      <c r="C1123">
        <v>1</v>
      </c>
      <c r="D1123">
        <v>1</v>
      </c>
      <c r="E1123">
        <v>15</v>
      </c>
      <c r="F1123">
        <v>144</v>
      </c>
      <c r="G1123">
        <v>1</v>
      </c>
      <c r="H1123">
        <v>32</v>
      </c>
      <c r="I1123">
        <v>2</v>
      </c>
      <c r="J1123">
        <v>1</v>
      </c>
      <c r="K1123">
        <v>7</v>
      </c>
      <c r="L1123">
        <v>4</v>
      </c>
      <c r="M1123">
        <v>4</v>
      </c>
      <c r="N1123">
        <v>1</v>
      </c>
      <c r="O1123">
        <v>4</v>
      </c>
      <c r="P1123">
        <v>7</v>
      </c>
      <c r="Q1123">
        <v>0</v>
      </c>
      <c r="R1123">
        <v>0</v>
      </c>
      <c r="S1123">
        <v>0</v>
      </c>
      <c r="T1123">
        <v>0</v>
      </c>
      <c r="U1123">
        <v>0</v>
      </c>
      <c r="V1123">
        <f>IF(SUM(ifood_data[[#This Row],[AcceptedCmp1]:[AcceptedCmp5]])&gt;0,1,0)</f>
        <v>0</v>
      </c>
      <c r="W1123">
        <v>0</v>
      </c>
      <c r="X1123">
        <v>3</v>
      </c>
      <c r="Y1123">
        <v>11</v>
      </c>
      <c r="Z1123">
        <v>0</v>
      </c>
      <c r="AA1123">
        <v>56</v>
      </c>
      <c r="AB1123">
        <v>2437</v>
      </c>
      <c r="AC1123" s="28">
        <f>ifood_data[[#This Row],[Customer_Days]]/365</f>
        <v>6.6767123287671231</v>
      </c>
      <c r="AD1123">
        <v>0</v>
      </c>
      <c r="AE1123">
        <v>1</v>
      </c>
      <c r="AF1123">
        <v>0</v>
      </c>
      <c r="AG1123">
        <v>0</v>
      </c>
      <c r="AH1123">
        <v>0</v>
      </c>
      <c r="AI1123">
        <v>0</v>
      </c>
      <c r="AJ1123">
        <v>0</v>
      </c>
      <c r="AK1123">
        <v>1</v>
      </c>
      <c r="AL1123">
        <v>0</v>
      </c>
      <c r="AM1123">
        <v>0</v>
      </c>
      <c r="AN1123">
        <v>180</v>
      </c>
      <c r="AO1123">
        <v>173</v>
      </c>
      <c r="AP1123">
        <f>ifood_data[[#This Row],[MntTotal]]-ifood_data[[#This Row],[MntRegularProds]]</f>
        <v>7</v>
      </c>
      <c r="AQ1123">
        <v>0</v>
      </c>
      <c r="AR1123">
        <f>IF(SUM(ifood_data[[#This Row],[Kidhome]:[Teenhome]])&gt;0,1,0)</f>
        <v>1</v>
      </c>
      <c r="AS1123" t="str">
        <f>IF(SUM(ifood_data[[#This Row],[Kidhome]:[Teenhome]])&gt;0,"Has Family","No Family")</f>
        <v>Has Family</v>
      </c>
      <c r="AT1123" t="str">
        <f>IF(ifood_data[[#This Row],[marital_Married]]=1,"Married", (IF(ifood_data[[#This Row],[marital_Single]]=1,"Single",(IF(ifood_data[[#This Row],[marital_Divorced]]=1,"Divorced",(IF(ifood_data[[#This Row],[marital_Together]]=1,"Living Together",(IF(ifood_data[[#This Row],[marital_Widow]]=1,"Widow","Other")))))))))</f>
        <v>Married</v>
      </c>
      <c r="AU1123" t="str">
        <f>IF(ifood_data[[#This Row],[education_Basic]]=1,"High School",(IF(ifood_data[[#This Row],[education_Graduation]]=1,"Undergraduate Degree",(IF(SUM(AM1123,AL1123,AI1123)&gt;0,"Master's Degree or Higher","Other")))))</f>
        <v>Undergraduate Degree</v>
      </c>
      <c r="AV1123" t="str">
        <f>IF(ifood_data[[#All],[Income]]&gt;75000,"75K+",(IF(ifood_data[[#All],[Income]]&gt;50000,"50K-75K",(IF(ifood_data[[#All],[Income]]&gt;35000,"35K-50K","&lt;35K")))))</f>
        <v>35K-50K</v>
      </c>
      <c r="AW1123" t="str">
        <f>IF(ifood_data[[#All],[Age]]&gt;60,"60+",(IF(ifood_data[[#All],[Age]]&gt;50,"50-60",(IF(ifood_data[[#All],[Age]]&gt;40,"40-50",(IF(ifood_data[[#All],[Age]]&gt;30,"30-40","&lt;30")))))))</f>
        <v>50-60</v>
      </c>
      <c r="AX1123">
        <f t="shared" si="68"/>
        <v>20</v>
      </c>
      <c r="AY1123">
        <f t="shared" si="69"/>
        <v>9</v>
      </c>
      <c r="AZ1123">
        <f t="shared" si="70"/>
        <v>4</v>
      </c>
      <c r="BA1123">
        <f t="shared" si="71"/>
        <v>3</v>
      </c>
      <c r="BB1123">
        <f>SUM(ifood_data[[#This Row],[Recency Score]:[Monetary Score]])</f>
        <v>16</v>
      </c>
      <c r="BC1123">
        <f>(_xlfn.PERCENTRANK.INC(ifood_data[[#All],[RFM]],ifood_data[[#This Row],[RFM]],1))*10</f>
        <v>5</v>
      </c>
      <c r="BD1123" t="str">
        <f>VLOOKUP(ifood_data[[#This Row],[RFM Score]],'RFM Analysis'!$A$3:$B$14,2,FALSE)</f>
        <v>Promising</v>
      </c>
      <c r="BE1123">
        <f>'Regression Models'!$B$101+'Regression Models'!$B$102*ifood_data[[#This Row],[Income]]+'Regression Models'!$B$103*ifood_data[[#This Row],[Age]]+'Regression Models'!$B$104*ifood_data[[#This Row],[Family]]</f>
        <v>420.7374850272987</v>
      </c>
      <c r="BF1123" t="str">
        <f>IF(ifood_data[[#This Row],[AcceptedCmpOverall]]=1,"Campaign Respondent","Non-respondent")</f>
        <v>Non-respondent</v>
      </c>
    </row>
    <row r="1124" spans="1:58" x14ac:dyDescent="0.35">
      <c r="A1124">
        <v>1674</v>
      </c>
      <c r="B1124">
        <v>48186</v>
      </c>
      <c r="C1124">
        <v>1</v>
      </c>
      <c r="D1124">
        <v>0</v>
      </c>
      <c r="E1124">
        <v>39</v>
      </c>
      <c r="F1124">
        <v>97</v>
      </c>
      <c r="G1124">
        <v>3</v>
      </c>
      <c r="H1124">
        <v>66</v>
      </c>
      <c r="I1124">
        <v>12</v>
      </c>
      <c r="J1124">
        <v>7</v>
      </c>
      <c r="K1124">
        <v>34</v>
      </c>
      <c r="L1124">
        <v>3</v>
      </c>
      <c r="M1124">
        <v>4</v>
      </c>
      <c r="N1124">
        <v>1</v>
      </c>
      <c r="O1124">
        <v>4</v>
      </c>
      <c r="P1124">
        <v>7</v>
      </c>
      <c r="Q1124">
        <v>0</v>
      </c>
      <c r="R1124">
        <v>0</v>
      </c>
      <c r="S1124">
        <v>0</v>
      </c>
      <c r="T1124">
        <v>0</v>
      </c>
      <c r="U1124">
        <v>0</v>
      </c>
      <c r="V1124">
        <f>IF(SUM(ifood_data[[#This Row],[AcceptedCmp1]:[AcceptedCmp5]])&gt;0,1,0)</f>
        <v>0</v>
      </c>
      <c r="W1124">
        <v>0</v>
      </c>
      <c r="X1124">
        <v>3</v>
      </c>
      <c r="Y1124">
        <v>11</v>
      </c>
      <c r="Z1124">
        <v>0</v>
      </c>
      <c r="AA1124">
        <v>46</v>
      </c>
      <c r="AB1124">
        <v>2260</v>
      </c>
      <c r="AC1124" s="28">
        <f>ifood_data[[#This Row],[Customer_Days]]/365</f>
        <v>6.1917808219178081</v>
      </c>
      <c r="AD1124">
        <v>0</v>
      </c>
      <c r="AE1124">
        <v>0</v>
      </c>
      <c r="AF1124">
        <v>0</v>
      </c>
      <c r="AG1124">
        <v>1</v>
      </c>
      <c r="AH1124">
        <v>0</v>
      </c>
      <c r="AI1124">
        <v>0</v>
      </c>
      <c r="AJ1124">
        <v>0</v>
      </c>
      <c r="AK1124">
        <v>1</v>
      </c>
      <c r="AL1124">
        <v>0</v>
      </c>
      <c r="AM1124">
        <v>0</v>
      </c>
      <c r="AN1124">
        <v>185</v>
      </c>
      <c r="AO1124">
        <v>151</v>
      </c>
      <c r="AP1124">
        <f>ifood_data[[#This Row],[MntTotal]]-ifood_data[[#This Row],[MntRegularProds]]</f>
        <v>34</v>
      </c>
      <c r="AQ1124">
        <v>0</v>
      </c>
      <c r="AR1124">
        <f>IF(SUM(ifood_data[[#This Row],[Kidhome]:[Teenhome]])&gt;0,1,0)</f>
        <v>1</v>
      </c>
      <c r="AS1124" t="str">
        <f>IF(SUM(ifood_data[[#This Row],[Kidhome]:[Teenhome]])&gt;0,"Has Family","No Family")</f>
        <v>Has Family</v>
      </c>
      <c r="AT1124" t="str">
        <f>IF(ifood_data[[#This Row],[marital_Married]]=1,"Married", (IF(ifood_data[[#This Row],[marital_Single]]=1,"Single",(IF(ifood_data[[#This Row],[marital_Divorced]]=1,"Divorced",(IF(ifood_data[[#This Row],[marital_Together]]=1,"Living Together",(IF(ifood_data[[#This Row],[marital_Widow]]=1,"Widow","Other")))))))))</f>
        <v>Living Together</v>
      </c>
      <c r="AU1124" t="str">
        <f>IF(ifood_data[[#This Row],[education_Basic]]=1,"High School",(IF(ifood_data[[#This Row],[education_Graduation]]=1,"Undergraduate Degree",(IF(SUM(AM1124,AL1124,AI1124)&gt;0,"Master's Degree or Higher","Other")))))</f>
        <v>Undergraduate Degree</v>
      </c>
      <c r="AV1124" t="str">
        <f>IF(ifood_data[[#All],[Income]]&gt;75000,"75K+",(IF(ifood_data[[#All],[Income]]&gt;50000,"50K-75K",(IF(ifood_data[[#All],[Income]]&gt;35000,"35K-50K","&lt;35K")))))</f>
        <v>35K-50K</v>
      </c>
      <c r="AW1124" t="str">
        <f>IF(ifood_data[[#All],[Age]]&gt;60,"60+",(IF(ifood_data[[#All],[Age]]&gt;50,"50-60",(IF(ifood_data[[#All],[Age]]&gt;40,"40-50",(IF(ifood_data[[#All],[Age]]&gt;30,"30-40","&lt;30")))))))</f>
        <v>40-50</v>
      </c>
      <c r="AX1124">
        <f t="shared" si="68"/>
        <v>19</v>
      </c>
      <c r="AY1124">
        <f t="shared" si="69"/>
        <v>7</v>
      </c>
      <c r="AZ1124">
        <f t="shared" si="70"/>
        <v>4</v>
      </c>
      <c r="BA1124">
        <f t="shared" si="71"/>
        <v>4</v>
      </c>
      <c r="BB1124">
        <f>SUM(ifood_data[[#This Row],[Recency Score]:[Monetary Score]])</f>
        <v>15</v>
      </c>
      <c r="BC1124">
        <f>(_xlfn.PERCENTRANK.INC(ifood_data[[#All],[RFM]],ifood_data[[#This Row],[RFM]],1))*10</f>
        <v>4</v>
      </c>
      <c r="BD1124" t="str">
        <f>VLOOKUP(ifood_data[[#This Row],[RFM Score]],'RFM Analysis'!$A$3:$B$14,2,FALSE)</f>
        <v>At Risk</v>
      </c>
      <c r="BE1124">
        <f>'Regression Models'!$B$101+'Regression Models'!$B$102*ifood_data[[#This Row],[Income]]+'Regression Models'!$B$103*ifood_data[[#This Row],[Age]]+'Regression Models'!$B$104*ifood_data[[#This Row],[Family]]</f>
        <v>420.54809680529354</v>
      </c>
      <c r="BF1124" t="str">
        <f>IF(ifood_data[[#This Row],[AcceptedCmpOverall]]=1,"Campaign Respondent","Non-respondent")</f>
        <v>Non-respondent</v>
      </c>
    </row>
    <row r="1125" spans="1:58" x14ac:dyDescent="0.35">
      <c r="A1125">
        <v>1792</v>
      </c>
      <c r="B1125">
        <v>48877</v>
      </c>
      <c r="C1125">
        <v>0</v>
      </c>
      <c r="D1125">
        <v>1</v>
      </c>
      <c r="E1125">
        <v>27</v>
      </c>
      <c r="F1125">
        <v>102</v>
      </c>
      <c r="G1125">
        <v>1</v>
      </c>
      <c r="H1125">
        <v>15</v>
      </c>
      <c r="I1125">
        <v>2</v>
      </c>
      <c r="J1125">
        <v>0</v>
      </c>
      <c r="K1125">
        <v>24</v>
      </c>
      <c r="L1125">
        <v>1</v>
      </c>
      <c r="M1125">
        <v>3</v>
      </c>
      <c r="N1125">
        <v>0</v>
      </c>
      <c r="O1125">
        <v>4</v>
      </c>
      <c r="P1125">
        <v>7</v>
      </c>
      <c r="Q1125">
        <v>0</v>
      </c>
      <c r="R1125">
        <v>0</v>
      </c>
      <c r="S1125">
        <v>0</v>
      </c>
      <c r="T1125">
        <v>0</v>
      </c>
      <c r="U1125">
        <v>0</v>
      </c>
      <c r="V1125">
        <f>IF(SUM(ifood_data[[#This Row],[AcceptedCmp1]:[AcceptedCmp5]])&gt;0,1,0)</f>
        <v>0</v>
      </c>
      <c r="W1125">
        <v>0</v>
      </c>
      <c r="X1125">
        <v>3</v>
      </c>
      <c r="Y1125">
        <v>11</v>
      </c>
      <c r="Z1125">
        <v>0</v>
      </c>
      <c r="AA1125">
        <v>54</v>
      </c>
      <c r="AB1125">
        <v>2334</v>
      </c>
      <c r="AC1125" s="28">
        <f>ifood_data[[#This Row],[Customer_Days]]/365</f>
        <v>6.3945205479452056</v>
      </c>
      <c r="AD1125">
        <v>1</v>
      </c>
      <c r="AE1125">
        <v>0</v>
      </c>
      <c r="AF1125">
        <v>0</v>
      </c>
      <c r="AG1125">
        <v>0</v>
      </c>
      <c r="AH1125">
        <v>0</v>
      </c>
      <c r="AI1125">
        <v>0</v>
      </c>
      <c r="AJ1125">
        <v>0</v>
      </c>
      <c r="AK1125">
        <v>1</v>
      </c>
      <c r="AL1125">
        <v>0</v>
      </c>
      <c r="AM1125">
        <v>0</v>
      </c>
      <c r="AN1125">
        <v>120</v>
      </c>
      <c r="AO1125">
        <v>96</v>
      </c>
      <c r="AP1125">
        <f>ifood_data[[#This Row],[MntTotal]]-ifood_data[[#This Row],[MntRegularProds]]</f>
        <v>24</v>
      </c>
      <c r="AQ1125">
        <v>0</v>
      </c>
      <c r="AR1125">
        <f>IF(SUM(ifood_data[[#This Row],[Kidhome]:[Teenhome]])&gt;0,1,0)</f>
        <v>1</v>
      </c>
      <c r="AS1125" t="str">
        <f>IF(SUM(ifood_data[[#This Row],[Kidhome]:[Teenhome]])&gt;0,"Has Family","No Family")</f>
        <v>Has Family</v>
      </c>
      <c r="AT1125" t="str">
        <f>IF(ifood_data[[#This Row],[marital_Married]]=1,"Married", (IF(ifood_data[[#This Row],[marital_Single]]=1,"Single",(IF(ifood_data[[#This Row],[marital_Divorced]]=1,"Divorced",(IF(ifood_data[[#This Row],[marital_Together]]=1,"Living Together",(IF(ifood_data[[#This Row],[marital_Widow]]=1,"Widow","Other")))))))))</f>
        <v>Divorced</v>
      </c>
      <c r="AU1125" t="str">
        <f>IF(ifood_data[[#This Row],[education_Basic]]=1,"High School",(IF(ifood_data[[#This Row],[education_Graduation]]=1,"Undergraduate Degree",(IF(SUM(AM1125,AL1125,AI1125)&gt;0,"Master's Degree or Higher","Other")))))</f>
        <v>Undergraduate Degree</v>
      </c>
      <c r="AV1125" t="str">
        <f>IF(ifood_data[[#All],[Income]]&gt;75000,"75K+",(IF(ifood_data[[#All],[Income]]&gt;50000,"50K-75K",(IF(ifood_data[[#All],[Income]]&gt;35000,"35K-50K","&lt;35K")))))</f>
        <v>35K-50K</v>
      </c>
      <c r="AW1125" t="str">
        <f>IF(ifood_data[[#All],[Age]]&gt;60,"60+",(IF(ifood_data[[#All],[Age]]&gt;50,"50-60",(IF(ifood_data[[#All],[Age]]&gt;40,"40-50",(IF(ifood_data[[#All],[Age]]&gt;30,"30-40","&lt;30")))))))</f>
        <v>50-60</v>
      </c>
      <c r="AX1125">
        <f t="shared" si="68"/>
        <v>15</v>
      </c>
      <c r="AY1125">
        <f t="shared" si="69"/>
        <v>8</v>
      </c>
      <c r="AZ1125">
        <f t="shared" si="70"/>
        <v>2</v>
      </c>
      <c r="BA1125">
        <f t="shared" si="71"/>
        <v>3</v>
      </c>
      <c r="BB1125">
        <f>SUM(ifood_data[[#This Row],[Recency Score]:[Monetary Score]])</f>
        <v>13</v>
      </c>
      <c r="BC1125">
        <f>(_xlfn.PERCENTRANK.INC(ifood_data[[#All],[RFM]],ifood_data[[#This Row],[RFM]],1))*10</f>
        <v>3</v>
      </c>
      <c r="BD1125" t="str">
        <f>VLOOKUP(ifood_data[[#This Row],[RFM Score]],'RFM Analysis'!$A$3:$B$14,2,FALSE)</f>
        <v>At Risk</v>
      </c>
      <c r="BE1125">
        <f>'Regression Models'!$B$101+'Regression Models'!$B$102*ifood_data[[#This Row],[Income]]+'Regression Models'!$B$103*ifood_data[[#This Row],[Age]]+'Regression Models'!$B$104*ifood_data[[#This Row],[Family]]</f>
        <v>419.94522296157345</v>
      </c>
      <c r="BF1125" t="str">
        <f>IF(ifood_data[[#This Row],[AcceptedCmpOverall]]=1,"Campaign Respondent","Non-respondent")</f>
        <v>Non-respondent</v>
      </c>
    </row>
    <row r="1126" spans="1:58" x14ac:dyDescent="0.35">
      <c r="A1126">
        <v>542</v>
      </c>
      <c r="B1126">
        <v>47691</v>
      </c>
      <c r="C1126">
        <v>0</v>
      </c>
      <c r="D1126">
        <v>1</v>
      </c>
      <c r="E1126">
        <v>43</v>
      </c>
      <c r="F1126">
        <v>14</v>
      </c>
      <c r="G1126">
        <v>0</v>
      </c>
      <c r="H1126">
        <v>3</v>
      </c>
      <c r="I1126">
        <v>0</v>
      </c>
      <c r="J1126">
        <v>0</v>
      </c>
      <c r="K1126">
        <v>4</v>
      </c>
      <c r="L1126">
        <v>1</v>
      </c>
      <c r="M1126">
        <v>1</v>
      </c>
      <c r="N1126">
        <v>0</v>
      </c>
      <c r="O1126">
        <v>2</v>
      </c>
      <c r="P1126">
        <v>6</v>
      </c>
      <c r="Q1126">
        <v>0</v>
      </c>
      <c r="R1126">
        <v>0</v>
      </c>
      <c r="S1126">
        <v>0</v>
      </c>
      <c r="T1126">
        <v>0</v>
      </c>
      <c r="U1126">
        <v>0</v>
      </c>
      <c r="V1126">
        <f>IF(SUM(ifood_data[[#This Row],[AcceptedCmp1]:[AcceptedCmp5]])&gt;0,1,0)</f>
        <v>0</v>
      </c>
      <c r="W1126">
        <v>0</v>
      </c>
      <c r="X1126">
        <v>3</v>
      </c>
      <c r="Y1126">
        <v>11</v>
      </c>
      <c r="Z1126">
        <v>0</v>
      </c>
      <c r="AA1126">
        <v>41</v>
      </c>
      <c r="AB1126">
        <v>2518</v>
      </c>
      <c r="AC1126" s="28">
        <f>ifood_data[[#This Row],[Customer_Days]]/365</f>
        <v>6.8986301369863012</v>
      </c>
      <c r="AD1126">
        <v>0</v>
      </c>
      <c r="AE1126">
        <v>0</v>
      </c>
      <c r="AF1126">
        <v>1</v>
      </c>
      <c r="AG1126">
        <v>0</v>
      </c>
      <c r="AH1126">
        <v>0</v>
      </c>
      <c r="AI1126">
        <v>0</v>
      </c>
      <c r="AJ1126">
        <v>0</v>
      </c>
      <c r="AK1126">
        <v>1</v>
      </c>
      <c r="AL1126">
        <v>0</v>
      </c>
      <c r="AM1126">
        <v>0</v>
      </c>
      <c r="AN1126">
        <v>17</v>
      </c>
      <c r="AO1126">
        <v>13</v>
      </c>
      <c r="AP1126">
        <f>ifood_data[[#This Row],[MntTotal]]-ifood_data[[#This Row],[MntRegularProds]]</f>
        <v>4</v>
      </c>
      <c r="AQ1126">
        <v>0</v>
      </c>
      <c r="AR1126">
        <f>IF(SUM(ifood_data[[#This Row],[Kidhome]:[Teenhome]])&gt;0,1,0)</f>
        <v>1</v>
      </c>
      <c r="AS1126" t="str">
        <f>IF(SUM(ifood_data[[#This Row],[Kidhome]:[Teenhome]])&gt;0,"Has Family","No Family")</f>
        <v>Has Family</v>
      </c>
      <c r="AT1126" t="str">
        <f>IF(ifood_data[[#This Row],[marital_Married]]=1,"Married", (IF(ifood_data[[#This Row],[marital_Single]]=1,"Single",(IF(ifood_data[[#This Row],[marital_Divorced]]=1,"Divorced",(IF(ifood_data[[#This Row],[marital_Together]]=1,"Living Together",(IF(ifood_data[[#This Row],[marital_Widow]]=1,"Widow","Other")))))))))</f>
        <v>Single</v>
      </c>
      <c r="AU1126" t="str">
        <f>IF(ifood_data[[#This Row],[education_Basic]]=1,"High School",(IF(ifood_data[[#This Row],[education_Graduation]]=1,"Undergraduate Degree",(IF(SUM(AM1126,AL1126,AI1126)&gt;0,"Master's Degree or Higher","Other")))))</f>
        <v>Undergraduate Degree</v>
      </c>
      <c r="AV1126" t="str">
        <f>IF(ifood_data[[#All],[Income]]&gt;75000,"75K+",(IF(ifood_data[[#All],[Income]]&gt;50000,"50K-75K",(IF(ifood_data[[#All],[Income]]&gt;35000,"35K-50K","&lt;35K")))))</f>
        <v>35K-50K</v>
      </c>
      <c r="AW1126" t="str">
        <f>IF(ifood_data[[#All],[Age]]&gt;60,"60+",(IF(ifood_data[[#All],[Age]]&gt;50,"50-60",(IF(ifood_data[[#All],[Age]]&gt;40,"40-50",(IF(ifood_data[[#All],[Age]]&gt;30,"30-40","&lt;30")))))))</f>
        <v>40-50</v>
      </c>
      <c r="AX1126">
        <f t="shared" si="68"/>
        <v>10</v>
      </c>
      <c r="AY1126">
        <f t="shared" si="69"/>
        <v>6</v>
      </c>
      <c r="AZ1126">
        <f t="shared" si="70"/>
        <v>0</v>
      </c>
      <c r="BA1126">
        <f t="shared" si="71"/>
        <v>0</v>
      </c>
      <c r="BB1126">
        <f>SUM(ifood_data[[#This Row],[Recency Score]:[Monetary Score]])</f>
        <v>6</v>
      </c>
      <c r="BC1126">
        <f>(_xlfn.PERCENTRANK.INC(ifood_data[[#All],[RFM]],ifood_data[[#This Row],[RFM]],1))*10</f>
        <v>0</v>
      </c>
      <c r="BD1126" t="str">
        <f>VLOOKUP(ifood_data[[#This Row],[RFM Score]],'RFM Analysis'!$A$3:$B$14,2,FALSE)</f>
        <v>Lost</v>
      </c>
      <c r="BE1126">
        <f>'Regression Models'!$B$101+'Regression Models'!$B$102*ifood_data[[#This Row],[Income]]+'Regression Models'!$B$103*ifood_data[[#This Row],[Age]]+'Regression Models'!$B$104*ifood_data[[#This Row],[Family]]</f>
        <v>419.63785196853496</v>
      </c>
      <c r="BF1126" t="str">
        <f>IF(ifood_data[[#This Row],[AcceptedCmpOverall]]=1,"Campaign Respondent","Non-respondent")</f>
        <v>Non-respondent</v>
      </c>
    </row>
    <row r="1127" spans="1:58" x14ac:dyDescent="0.35">
      <c r="A1127">
        <v>1948</v>
      </c>
      <c r="B1127">
        <v>49572</v>
      </c>
      <c r="C1127">
        <v>1</v>
      </c>
      <c r="D1127">
        <v>1</v>
      </c>
      <c r="E1127">
        <v>25</v>
      </c>
      <c r="F1127">
        <v>35</v>
      </c>
      <c r="G1127">
        <v>1</v>
      </c>
      <c r="H1127">
        <v>16</v>
      </c>
      <c r="I1127">
        <v>0</v>
      </c>
      <c r="J1127">
        <v>1</v>
      </c>
      <c r="K1127">
        <v>1</v>
      </c>
      <c r="L1127">
        <v>2</v>
      </c>
      <c r="M1127">
        <v>2</v>
      </c>
      <c r="N1127">
        <v>0</v>
      </c>
      <c r="O1127">
        <v>3</v>
      </c>
      <c r="P1127">
        <v>7</v>
      </c>
      <c r="Q1127">
        <v>0</v>
      </c>
      <c r="R1127">
        <v>0</v>
      </c>
      <c r="S1127">
        <v>0</v>
      </c>
      <c r="T1127">
        <v>0</v>
      </c>
      <c r="U1127">
        <v>0</v>
      </c>
      <c r="V1127">
        <f>IF(SUM(ifood_data[[#This Row],[AcceptedCmp1]:[AcceptedCmp5]])&gt;0,1,0)</f>
        <v>0</v>
      </c>
      <c r="W1127">
        <v>0</v>
      </c>
      <c r="X1127">
        <v>3</v>
      </c>
      <c r="Y1127">
        <v>11</v>
      </c>
      <c r="Z1127">
        <v>0</v>
      </c>
      <c r="AA1127">
        <v>62</v>
      </c>
      <c r="AB1127">
        <v>2355</v>
      </c>
      <c r="AC1127" s="28">
        <f>ifood_data[[#This Row],[Customer_Days]]/365</f>
        <v>6.4520547945205475</v>
      </c>
      <c r="AD1127">
        <v>0</v>
      </c>
      <c r="AE1127">
        <v>1</v>
      </c>
      <c r="AF1127">
        <v>0</v>
      </c>
      <c r="AG1127">
        <v>0</v>
      </c>
      <c r="AH1127">
        <v>0</v>
      </c>
      <c r="AI1127">
        <v>0</v>
      </c>
      <c r="AJ1127">
        <v>0</v>
      </c>
      <c r="AK1127">
        <v>0</v>
      </c>
      <c r="AL1127">
        <v>1</v>
      </c>
      <c r="AM1127">
        <v>0</v>
      </c>
      <c r="AN1127">
        <v>53</v>
      </c>
      <c r="AO1127">
        <v>52</v>
      </c>
      <c r="AP1127">
        <f>ifood_data[[#This Row],[MntTotal]]-ifood_data[[#This Row],[MntRegularProds]]</f>
        <v>1</v>
      </c>
      <c r="AQ1127">
        <v>0</v>
      </c>
      <c r="AR1127">
        <f>IF(SUM(ifood_data[[#This Row],[Kidhome]:[Teenhome]])&gt;0,1,0)</f>
        <v>1</v>
      </c>
      <c r="AS1127" t="str">
        <f>IF(SUM(ifood_data[[#This Row],[Kidhome]:[Teenhome]])&gt;0,"Has Family","No Family")</f>
        <v>Has Family</v>
      </c>
      <c r="AT1127" t="str">
        <f>IF(ifood_data[[#This Row],[marital_Married]]=1,"Married", (IF(ifood_data[[#This Row],[marital_Single]]=1,"Single",(IF(ifood_data[[#This Row],[marital_Divorced]]=1,"Divorced",(IF(ifood_data[[#This Row],[marital_Together]]=1,"Living Together",(IF(ifood_data[[#This Row],[marital_Widow]]=1,"Widow","Other")))))))))</f>
        <v>Married</v>
      </c>
      <c r="AU1127" t="str">
        <f>IF(ifood_data[[#This Row],[education_Basic]]=1,"High School",(IF(ifood_data[[#This Row],[education_Graduation]]=1,"Undergraduate Degree",(IF(SUM(AM1127,AL1127,AI1127)&gt;0,"Master's Degree or Higher","Other")))))</f>
        <v>Master's Degree or Higher</v>
      </c>
      <c r="AV1127" t="str">
        <f>IF(ifood_data[[#All],[Income]]&gt;75000,"75K+",(IF(ifood_data[[#All],[Income]]&gt;50000,"50K-75K",(IF(ifood_data[[#All],[Income]]&gt;35000,"35K-50K","&lt;35K")))))</f>
        <v>35K-50K</v>
      </c>
      <c r="AW1127" t="str">
        <f>IF(ifood_data[[#All],[Age]]&gt;60,"60+",(IF(ifood_data[[#All],[Age]]&gt;50,"50-60",(IF(ifood_data[[#All],[Age]]&gt;40,"40-50",(IF(ifood_data[[#All],[Age]]&gt;30,"30-40","&lt;30")))))))</f>
        <v>60+</v>
      </c>
      <c r="AX1127">
        <f t="shared" si="68"/>
        <v>14</v>
      </c>
      <c r="AY1127">
        <f t="shared" si="69"/>
        <v>8</v>
      </c>
      <c r="AZ1127">
        <f t="shared" si="70"/>
        <v>2</v>
      </c>
      <c r="BA1127">
        <f t="shared" si="71"/>
        <v>2</v>
      </c>
      <c r="BB1127">
        <f>SUM(ifood_data[[#This Row],[Recency Score]:[Monetary Score]])</f>
        <v>12</v>
      </c>
      <c r="BC1127">
        <f>(_xlfn.PERCENTRANK.INC(ifood_data[[#All],[RFM]],ifood_data[[#This Row],[RFM]],1))*10</f>
        <v>3</v>
      </c>
      <c r="BD1127" t="str">
        <f>VLOOKUP(ifood_data[[#This Row],[RFM Score]],'RFM Analysis'!$A$3:$B$14,2,FALSE)</f>
        <v>At Risk</v>
      </c>
      <c r="BE1127">
        <f>'Regression Models'!$B$101+'Regression Models'!$B$102*ifood_data[[#This Row],[Income]]+'Regression Models'!$B$103*ifood_data[[#This Row],[Age]]+'Regression Models'!$B$104*ifood_data[[#This Row],[Family]]</f>
        <v>419.42390419042897</v>
      </c>
      <c r="BF1127" t="str">
        <f>IF(ifood_data[[#This Row],[AcceptedCmpOverall]]=1,"Campaign Respondent","Non-respondent")</f>
        <v>Non-respondent</v>
      </c>
    </row>
    <row r="1128" spans="1:58" x14ac:dyDescent="0.35">
      <c r="A1128">
        <v>391</v>
      </c>
      <c r="B1128">
        <v>46923</v>
      </c>
      <c r="C1128">
        <v>1</v>
      </c>
      <c r="D1128">
        <v>0</v>
      </c>
      <c r="E1128">
        <v>90</v>
      </c>
      <c r="F1128">
        <v>85</v>
      </c>
      <c r="G1128">
        <v>44</v>
      </c>
      <c r="H1128">
        <v>54</v>
      </c>
      <c r="I1128">
        <v>102</v>
      </c>
      <c r="J1128">
        <v>78</v>
      </c>
      <c r="K1128">
        <v>6</v>
      </c>
      <c r="L1128">
        <v>3</v>
      </c>
      <c r="M1128">
        <v>5</v>
      </c>
      <c r="N1128">
        <v>1</v>
      </c>
      <c r="O1128">
        <v>7</v>
      </c>
      <c r="P1128">
        <v>7</v>
      </c>
      <c r="Q1128">
        <v>0</v>
      </c>
      <c r="R1128">
        <v>0</v>
      </c>
      <c r="S1128">
        <v>0</v>
      </c>
      <c r="T1128">
        <v>0</v>
      </c>
      <c r="U1128">
        <v>0</v>
      </c>
      <c r="V1128">
        <f>IF(SUM(ifood_data[[#This Row],[AcceptedCmp1]:[AcceptedCmp5]])&gt;0,1,0)</f>
        <v>0</v>
      </c>
      <c r="W1128">
        <v>0</v>
      </c>
      <c r="X1128">
        <v>3</v>
      </c>
      <c r="Y1128">
        <v>11</v>
      </c>
      <c r="Z1128">
        <v>0</v>
      </c>
      <c r="AA1128">
        <v>33</v>
      </c>
      <c r="AB1128">
        <v>2835</v>
      </c>
      <c r="AC1128" s="28">
        <f>ifood_data[[#This Row],[Customer_Days]]/365</f>
        <v>7.7671232876712333</v>
      </c>
      <c r="AD1128">
        <v>0</v>
      </c>
      <c r="AE1128">
        <v>0</v>
      </c>
      <c r="AF1128">
        <v>1</v>
      </c>
      <c r="AG1128">
        <v>0</v>
      </c>
      <c r="AH1128">
        <v>0</v>
      </c>
      <c r="AI1128">
        <v>0</v>
      </c>
      <c r="AJ1128">
        <v>0</v>
      </c>
      <c r="AK1128">
        <v>1</v>
      </c>
      <c r="AL1128">
        <v>0</v>
      </c>
      <c r="AM1128">
        <v>0</v>
      </c>
      <c r="AN1128">
        <v>363</v>
      </c>
      <c r="AO1128">
        <v>357</v>
      </c>
      <c r="AP1128">
        <f>ifood_data[[#This Row],[MntTotal]]-ifood_data[[#This Row],[MntRegularProds]]</f>
        <v>6</v>
      </c>
      <c r="AQ1128">
        <v>0</v>
      </c>
      <c r="AR1128">
        <f>IF(SUM(ifood_data[[#This Row],[Kidhome]:[Teenhome]])&gt;0,1,0)</f>
        <v>1</v>
      </c>
      <c r="AS1128" t="str">
        <f>IF(SUM(ifood_data[[#This Row],[Kidhome]:[Teenhome]])&gt;0,"Has Family","No Family")</f>
        <v>Has Family</v>
      </c>
      <c r="AT1128" t="str">
        <f>IF(ifood_data[[#This Row],[marital_Married]]=1,"Married", (IF(ifood_data[[#This Row],[marital_Single]]=1,"Single",(IF(ifood_data[[#This Row],[marital_Divorced]]=1,"Divorced",(IF(ifood_data[[#This Row],[marital_Together]]=1,"Living Together",(IF(ifood_data[[#This Row],[marital_Widow]]=1,"Widow","Other")))))))))</f>
        <v>Single</v>
      </c>
      <c r="AU1128" t="str">
        <f>IF(ifood_data[[#This Row],[education_Basic]]=1,"High School",(IF(ifood_data[[#This Row],[education_Graduation]]=1,"Undergraduate Degree",(IF(SUM(AM1128,AL1128,AI1128)&gt;0,"Master's Degree or Higher","Other")))))</f>
        <v>Undergraduate Degree</v>
      </c>
      <c r="AV1128" t="str">
        <f>IF(ifood_data[[#All],[Income]]&gt;75000,"75K+",(IF(ifood_data[[#All],[Income]]&gt;50000,"50K-75K",(IF(ifood_data[[#All],[Income]]&gt;35000,"35K-50K","&lt;35K")))))</f>
        <v>35K-50K</v>
      </c>
      <c r="AW1128" t="str">
        <f>IF(ifood_data[[#All],[Age]]&gt;60,"60+",(IF(ifood_data[[#All],[Age]]&gt;50,"50-60",(IF(ifood_data[[#All],[Age]]&gt;40,"40-50",(IF(ifood_data[[#All],[Age]]&gt;30,"30-40","&lt;30")))))))</f>
        <v>30-40</v>
      </c>
      <c r="AX1128">
        <f t="shared" si="68"/>
        <v>23</v>
      </c>
      <c r="AY1128">
        <f t="shared" si="69"/>
        <v>0.99999999999999978</v>
      </c>
      <c r="AZ1128">
        <f t="shared" si="70"/>
        <v>6</v>
      </c>
      <c r="BA1128">
        <f t="shared" si="71"/>
        <v>5</v>
      </c>
      <c r="BB1128">
        <f>SUM(ifood_data[[#This Row],[Recency Score]:[Monetary Score]])</f>
        <v>12</v>
      </c>
      <c r="BC1128">
        <f>(_xlfn.PERCENTRANK.INC(ifood_data[[#All],[RFM]],ifood_data[[#This Row],[RFM]],1))*10</f>
        <v>3</v>
      </c>
      <c r="BD1128" t="str">
        <f>VLOOKUP(ifood_data[[#This Row],[RFM Score]],'RFM Analysis'!$A$3:$B$14,2,FALSE)</f>
        <v>At Risk</v>
      </c>
      <c r="BE1128">
        <f>'Regression Models'!$B$101+'Regression Models'!$B$102*ifood_data[[#This Row],[Income]]+'Regression Models'!$B$103*ifood_data[[#This Row],[Age]]+'Regression Models'!$B$104*ifood_data[[#This Row],[Family]]</f>
        <v>418.67079066517476</v>
      </c>
      <c r="BF1128" t="str">
        <f>IF(ifood_data[[#This Row],[AcceptedCmpOverall]]=1,"Campaign Respondent","Non-respondent")</f>
        <v>Non-respondent</v>
      </c>
    </row>
    <row r="1129" spans="1:58" x14ac:dyDescent="0.35">
      <c r="A1129">
        <v>486</v>
      </c>
      <c r="B1129">
        <v>48920</v>
      </c>
      <c r="C1129">
        <v>0</v>
      </c>
      <c r="D1129">
        <v>2</v>
      </c>
      <c r="E1129">
        <v>93</v>
      </c>
      <c r="F1129">
        <v>238</v>
      </c>
      <c r="G1129">
        <v>17</v>
      </c>
      <c r="H1129">
        <v>68</v>
      </c>
      <c r="I1129">
        <v>8</v>
      </c>
      <c r="J1129">
        <v>10</v>
      </c>
      <c r="K1129">
        <v>6</v>
      </c>
      <c r="L1129">
        <v>3</v>
      </c>
      <c r="M1129">
        <v>6</v>
      </c>
      <c r="N1129">
        <v>2</v>
      </c>
      <c r="O1129">
        <v>5</v>
      </c>
      <c r="P1129">
        <v>7</v>
      </c>
      <c r="Q1129">
        <v>0</v>
      </c>
      <c r="R1129">
        <v>0</v>
      </c>
      <c r="S1129">
        <v>0</v>
      </c>
      <c r="T1129">
        <v>1</v>
      </c>
      <c r="U1129">
        <v>0</v>
      </c>
      <c r="V1129">
        <f>IF(SUM(ifood_data[[#This Row],[AcceptedCmp1]:[AcceptedCmp5]])&gt;0,1,0)</f>
        <v>1</v>
      </c>
      <c r="W1129">
        <v>0</v>
      </c>
      <c r="X1129">
        <v>3</v>
      </c>
      <c r="Y1129">
        <v>11</v>
      </c>
      <c r="Z1129">
        <v>0</v>
      </c>
      <c r="AA1129">
        <v>56</v>
      </c>
      <c r="AB1129">
        <v>2411</v>
      </c>
      <c r="AC1129" s="28">
        <f>ifood_data[[#This Row],[Customer_Days]]/365</f>
        <v>6.6054794520547944</v>
      </c>
      <c r="AD1129">
        <v>0</v>
      </c>
      <c r="AE1129">
        <v>1</v>
      </c>
      <c r="AF1129">
        <v>0</v>
      </c>
      <c r="AG1129">
        <v>0</v>
      </c>
      <c r="AH1129">
        <v>0</v>
      </c>
      <c r="AI1129">
        <v>0</v>
      </c>
      <c r="AJ1129">
        <v>0</v>
      </c>
      <c r="AK1129">
        <v>1</v>
      </c>
      <c r="AL1129">
        <v>0</v>
      </c>
      <c r="AM1129">
        <v>0</v>
      </c>
      <c r="AN1129">
        <v>341</v>
      </c>
      <c r="AO1129">
        <v>335</v>
      </c>
      <c r="AP1129">
        <f>ifood_data[[#This Row],[MntTotal]]-ifood_data[[#This Row],[MntRegularProds]]</f>
        <v>6</v>
      </c>
      <c r="AQ1129">
        <v>1</v>
      </c>
      <c r="AR1129">
        <f>IF(SUM(ifood_data[[#This Row],[Kidhome]:[Teenhome]])&gt;0,1,0)</f>
        <v>1</v>
      </c>
      <c r="AS1129" t="str">
        <f>IF(SUM(ifood_data[[#This Row],[Kidhome]:[Teenhome]])&gt;0,"Has Family","No Family")</f>
        <v>Has Family</v>
      </c>
      <c r="AT1129" t="str">
        <f>IF(ifood_data[[#This Row],[marital_Married]]=1,"Married", (IF(ifood_data[[#This Row],[marital_Single]]=1,"Single",(IF(ifood_data[[#This Row],[marital_Divorced]]=1,"Divorced",(IF(ifood_data[[#This Row],[marital_Together]]=1,"Living Together",(IF(ifood_data[[#This Row],[marital_Widow]]=1,"Widow","Other")))))))))</f>
        <v>Married</v>
      </c>
      <c r="AU1129" t="str">
        <f>IF(ifood_data[[#This Row],[education_Basic]]=1,"High School",(IF(ifood_data[[#This Row],[education_Graduation]]=1,"Undergraduate Degree",(IF(SUM(AM1129,AL1129,AI1129)&gt;0,"Master's Degree or Higher","Other")))))</f>
        <v>Undergraduate Degree</v>
      </c>
      <c r="AV1129" t="str">
        <f>IF(ifood_data[[#All],[Income]]&gt;75000,"75K+",(IF(ifood_data[[#All],[Income]]&gt;50000,"50K-75K",(IF(ifood_data[[#All],[Income]]&gt;35000,"35K-50K","&lt;35K")))))</f>
        <v>35K-50K</v>
      </c>
      <c r="AW1129" t="str">
        <f>IF(ifood_data[[#All],[Age]]&gt;60,"60+",(IF(ifood_data[[#All],[Age]]&gt;50,"50-60",(IF(ifood_data[[#All],[Age]]&gt;40,"40-50",(IF(ifood_data[[#All],[Age]]&gt;30,"30-40","&lt;30")))))))</f>
        <v>50-60</v>
      </c>
      <c r="AX1129">
        <f t="shared" si="68"/>
        <v>23</v>
      </c>
      <c r="AY1129">
        <f t="shared" si="69"/>
        <v>0.99999999999999978</v>
      </c>
      <c r="AZ1129">
        <f t="shared" si="70"/>
        <v>6</v>
      </c>
      <c r="BA1129">
        <f t="shared" si="71"/>
        <v>4</v>
      </c>
      <c r="BB1129">
        <f>SUM(ifood_data[[#This Row],[Recency Score]:[Monetary Score]])</f>
        <v>11</v>
      </c>
      <c r="BC1129">
        <f>(_xlfn.PERCENTRANK.INC(ifood_data[[#All],[RFM]],ifood_data[[#This Row],[RFM]],1))*10</f>
        <v>2</v>
      </c>
      <c r="BD1129" t="str">
        <f>VLOOKUP(ifood_data[[#This Row],[RFM Score]],'RFM Analysis'!$A$3:$B$14,2,FALSE)</f>
        <v>At Risk</v>
      </c>
      <c r="BE1129">
        <f>'Regression Models'!$B$101+'Regression Models'!$B$102*ifood_data[[#This Row],[Income]]+'Regression Models'!$B$103*ifood_data[[#This Row],[Age]]+'Regression Models'!$B$104*ifood_data[[#This Row],[Family]]</f>
        <v>417.1490618339725</v>
      </c>
      <c r="BF1129" t="str">
        <f>IF(ifood_data[[#This Row],[AcceptedCmpOverall]]=1,"Campaign Respondent","Non-respondent")</f>
        <v>Campaign Respondent</v>
      </c>
    </row>
    <row r="1130" spans="1:58" x14ac:dyDescent="0.35">
      <c r="A1130">
        <v>1218</v>
      </c>
      <c r="B1130">
        <v>48918</v>
      </c>
      <c r="C1130">
        <v>1</v>
      </c>
      <c r="D1130">
        <v>1</v>
      </c>
      <c r="E1130">
        <v>21</v>
      </c>
      <c r="F1130">
        <v>52</v>
      </c>
      <c r="G1130">
        <v>0</v>
      </c>
      <c r="H1130">
        <v>9</v>
      </c>
      <c r="I1130">
        <v>0</v>
      </c>
      <c r="J1130">
        <v>0</v>
      </c>
      <c r="K1130">
        <v>1</v>
      </c>
      <c r="L1130">
        <v>2</v>
      </c>
      <c r="M1130">
        <v>1</v>
      </c>
      <c r="N1130">
        <v>0</v>
      </c>
      <c r="O1130">
        <v>4</v>
      </c>
      <c r="P1130">
        <v>4</v>
      </c>
      <c r="Q1130">
        <v>0</v>
      </c>
      <c r="R1130">
        <v>0</v>
      </c>
      <c r="S1130">
        <v>0</v>
      </c>
      <c r="T1130">
        <v>0</v>
      </c>
      <c r="U1130">
        <v>0</v>
      </c>
      <c r="V1130">
        <f>IF(SUM(ifood_data[[#This Row],[AcceptedCmp1]:[AcceptedCmp5]])&gt;0,1,0)</f>
        <v>0</v>
      </c>
      <c r="W1130">
        <v>0</v>
      </c>
      <c r="X1130">
        <v>3</v>
      </c>
      <c r="Y1130">
        <v>11</v>
      </c>
      <c r="Z1130">
        <v>0</v>
      </c>
      <c r="AA1130">
        <v>57</v>
      </c>
      <c r="AB1130">
        <v>2237</v>
      </c>
      <c r="AC1130" s="28">
        <f>ifood_data[[#This Row],[Customer_Days]]/365</f>
        <v>6.1287671232876715</v>
      </c>
      <c r="AD1130">
        <v>0</v>
      </c>
      <c r="AE1130">
        <v>0</v>
      </c>
      <c r="AF1130">
        <v>1</v>
      </c>
      <c r="AG1130">
        <v>0</v>
      </c>
      <c r="AH1130">
        <v>0</v>
      </c>
      <c r="AI1130">
        <v>0</v>
      </c>
      <c r="AJ1130">
        <v>0</v>
      </c>
      <c r="AK1130">
        <v>0</v>
      </c>
      <c r="AL1130">
        <v>0</v>
      </c>
      <c r="AM1130">
        <v>1</v>
      </c>
      <c r="AN1130">
        <v>61</v>
      </c>
      <c r="AO1130">
        <v>60</v>
      </c>
      <c r="AP1130">
        <f>ifood_data[[#This Row],[MntTotal]]-ifood_data[[#This Row],[MntRegularProds]]</f>
        <v>1</v>
      </c>
      <c r="AQ1130">
        <v>0</v>
      </c>
      <c r="AR1130">
        <f>IF(SUM(ifood_data[[#This Row],[Kidhome]:[Teenhome]])&gt;0,1,0)</f>
        <v>1</v>
      </c>
      <c r="AS1130" t="str">
        <f>IF(SUM(ifood_data[[#This Row],[Kidhome]:[Teenhome]])&gt;0,"Has Family","No Family")</f>
        <v>Has Family</v>
      </c>
      <c r="AT1130" t="str">
        <f>IF(ifood_data[[#This Row],[marital_Married]]=1,"Married", (IF(ifood_data[[#This Row],[marital_Single]]=1,"Single",(IF(ifood_data[[#This Row],[marital_Divorced]]=1,"Divorced",(IF(ifood_data[[#This Row],[marital_Together]]=1,"Living Together",(IF(ifood_data[[#This Row],[marital_Widow]]=1,"Widow","Other")))))))))</f>
        <v>Single</v>
      </c>
      <c r="AU1130" t="str">
        <f>IF(ifood_data[[#This Row],[education_Basic]]=1,"High School",(IF(ifood_data[[#This Row],[education_Graduation]]=1,"Undergraduate Degree",(IF(SUM(AM1130,AL1130,AI1130)&gt;0,"Master's Degree or Higher","Other")))))</f>
        <v>Master's Degree or Higher</v>
      </c>
      <c r="AV1130" t="str">
        <f>IF(ifood_data[[#All],[Income]]&gt;75000,"75K+",(IF(ifood_data[[#All],[Income]]&gt;50000,"50K-75K",(IF(ifood_data[[#All],[Income]]&gt;35000,"35K-50K","&lt;35K")))))</f>
        <v>35K-50K</v>
      </c>
      <c r="AW1130" t="str">
        <f>IF(ifood_data[[#All],[Age]]&gt;60,"60+",(IF(ifood_data[[#All],[Age]]&gt;50,"50-60",(IF(ifood_data[[#All],[Age]]&gt;40,"40-50",(IF(ifood_data[[#All],[Age]]&gt;30,"30-40","&lt;30")))))))</f>
        <v>50-60</v>
      </c>
      <c r="AX1130">
        <f t="shared" si="68"/>
        <v>11</v>
      </c>
      <c r="AY1130">
        <f t="shared" si="69"/>
        <v>8</v>
      </c>
      <c r="AZ1130">
        <f t="shared" si="70"/>
        <v>0</v>
      </c>
      <c r="BA1130">
        <f t="shared" si="71"/>
        <v>2</v>
      </c>
      <c r="BB1130">
        <f>SUM(ifood_data[[#This Row],[Recency Score]:[Monetary Score]])</f>
        <v>10</v>
      </c>
      <c r="BC1130">
        <f>(_xlfn.PERCENTRANK.INC(ifood_data[[#All],[RFM]],ifood_data[[#This Row],[RFM]],1))*10</f>
        <v>2</v>
      </c>
      <c r="BD1130" t="str">
        <f>VLOOKUP(ifood_data[[#This Row],[RFM Score]],'RFM Analysis'!$A$3:$B$14,2,FALSE)</f>
        <v>At Risk</v>
      </c>
      <c r="BE1130">
        <f>'Regression Models'!$B$101+'Regression Models'!$B$102*ifood_data[[#This Row],[Income]]+'Regression Models'!$B$103*ifood_data[[#This Row],[Age]]+'Regression Models'!$B$104*ifood_data[[#This Row],[Family]]</f>
        <v>415.27184521879053</v>
      </c>
      <c r="BF1130" t="str">
        <f>IF(ifood_data[[#This Row],[AcceptedCmpOverall]]=1,"Campaign Respondent","Non-respondent")</f>
        <v>Non-respondent</v>
      </c>
    </row>
    <row r="1131" spans="1:58" x14ac:dyDescent="0.35">
      <c r="A1131">
        <v>1624</v>
      </c>
      <c r="B1131">
        <v>47808</v>
      </c>
      <c r="C1131">
        <v>0</v>
      </c>
      <c r="D1131">
        <v>1</v>
      </c>
      <c r="E1131">
        <v>30</v>
      </c>
      <c r="F1131">
        <v>123</v>
      </c>
      <c r="G1131">
        <v>1</v>
      </c>
      <c r="H1131">
        <v>26</v>
      </c>
      <c r="I1131">
        <v>2</v>
      </c>
      <c r="J1131">
        <v>0</v>
      </c>
      <c r="K1131">
        <v>72</v>
      </c>
      <c r="L1131">
        <v>2</v>
      </c>
      <c r="M1131">
        <v>3</v>
      </c>
      <c r="N1131">
        <v>2</v>
      </c>
      <c r="O1131">
        <v>3</v>
      </c>
      <c r="P1131">
        <v>7</v>
      </c>
      <c r="Q1131">
        <v>0</v>
      </c>
      <c r="R1131">
        <v>0</v>
      </c>
      <c r="S1131">
        <v>1</v>
      </c>
      <c r="T1131">
        <v>0</v>
      </c>
      <c r="U1131">
        <v>0</v>
      </c>
      <c r="V1131">
        <f>IF(SUM(ifood_data[[#This Row],[AcceptedCmp1]:[AcceptedCmp5]])&gt;0,1,0)</f>
        <v>1</v>
      </c>
      <c r="W1131">
        <v>0</v>
      </c>
      <c r="X1131">
        <v>3</v>
      </c>
      <c r="Y1131">
        <v>11</v>
      </c>
      <c r="Z1131">
        <v>0</v>
      </c>
      <c r="AA1131">
        <v>45</v>
      </c>
      <c r="AB1131">
        <v>2411</v>
      </c>
      <c r="AC1131" s="28">
        <f>ifood_data[[#This Row],[Customer_Days]]/365</f>
        <v>6.6054794520547944</v>
      </c>
      <c r="AD1131">
        <v>0</v>
      </c>
      <c r="AE1131">
        <v>1</v>
      </c>
      <c r="AF1131">
        <v>0</v>
      </c>
      <c r="AG1131">
        <v>0</v>
      </c>
      <c r="AH1131">
        <v>0</v>
      </c>
      <c r="AI1131">
        <v>0</v>
      </c>
      <c r="AJ1131">
        <v>0</v>
      </c>
      <c r="AK1131">
        <v>0</v>
      </c>
      <c r="AL1131">
        <v>1</v>
      </c>
      <c r="AM1131">
        <v>0</v>
      </c>
      <c r="AN1131">
        <v>152</v>
      </c>
      <c r="AO1131">
        <v>80</v>
      </c>
      <c r="AP1131">
        <f>ifood_data[[#This Row],[MntTotal]]-ifood_data[[#This Row],[MntRegularProds]]</f>
        <v>72</v>
      </c>
      <c r="AQ1131">
        <v>1</v>
      </c>
      <c r="AR1131">
        <f>IF(SUM(ifood_data[[#This Row],[Kidhome]:[Teenhome]])&gt;0,1,0)</f>
        <v>1</v>
      </c>
      <c r="AS1131" t="str">
        <f>IF(SUM(ifood_data[[#This Row],[Kidhome]:[Teenhome]])&gt;0,"Has Family","No Family")</f>
        <v>Has Family</v>
      </c>
      <c r="AT1131" t="str">
        <f>IF(ifood_data[[#This Row],[marital_Married]]=1,"Married", (IF(ifood_data[[#This Row],[marital_Single]]=1,"Single",(IF(ifood_data[[#This Row],[marital_Divorced]]=1,"Divorced",(IF(ifood_data[[#This Row],[marital_Together]]=1,"Living Together",(IF(ifood_data[[#This Row],[marital_Widow]]=1,"Widow","Other")))))))))</f>
        <v>Married</v>
      </c>
      <c r="AU1131" t="str">
        <f>IF(ifood_data[[#This Row],[education_Basic]]=1,"High School",(IF(ifood_data[[#This Row],[education_Graduation]]=1,"Undergraduate Degree",(IF(SUM(AM1131,AL1131,AI1131)&gt;0,"Master's Degree or Higher","Other")))))</f>
        <v>Master's Degree or Higher</v>
      </c>
      <c r="AV1131" t="str">
        <f>IF(ifood_data[[#All],[Income]]&gt;75000,"75K+",(IF(ifood_data[[#All],[Income]]&gt;50000,"50K-75K",(IF(ifood_data[[#All],[Income]]&gt;35000,"35K-50K","&lt;35K")))))</f>
        <v>35K-50K</v>
      </c>
      <c r="AW1131" t="str">
        <f>IF(ifood_data[[#All],[Age]]&gt;60,"60+",(IF(ifood_data[[#All],[Age]]&gt;50,"50-60",(IF(ifood_data[[#All],[Age]]&gt;40,"40-50",(IF(ifood_data[[#All],[Age]]&gt;30,"30-40","&lt;30")))))))</f>
        <v>40-50</v>
      </c>
      <c r="AX1131">
        <f t="shared" si="68"/>
        <v>17</v>
      </c>
      <c r="AY1131">
        <f t="shared" si="69"/>
        <v>7</v>
      </c>
      <c r="AZ1131">
        <f t="shared" si="70"/>
        <v>3</v>
      </c>
      <c r="BA1131">
        <f t="shared" si="71"/>
        <v>3</v>
      </c>
      <c r="BB1131">
        <f>SUM(ifood_data[[#This Row],[Recency Score]:[Monetary Score]])</f>
        <v>13</v>
      </c>
      <c r="BC1131">
        <f>(_xlfn.PERCENTRANK.INC(ifood_data[[#All],[RFM]],ifood_data[[#This Row],[RFM]],1))*10</f>
        <v>3</v>
      </c>
      <c r="BD1131" t="str">
        <f>VLOOKUP(ifood_data[[#This Row],[RFM Score]],'RFM Analysis'!$A$3:$B$14,2,FALSE)</f>
        <v>At Risk</v>
      </c>
      <c r="BE1131">
        <f>'Regression Models'!$B$101+'Regression Models'!$B$102*ifood_data[[#This Row],[Income]]+'Regression Models'!$B$103*ifood_data[[#This Row],[Age]]+'Regression Models'!$B$104*ifood_data[[#This Row],[Family]]</f>
        <v>414.67758152579404</v>
      </c>
      <c r="BF1131" t="str">
        <f>IF(ifood_data[[#This Row],[AcceptedCmpOverall]]=1,"Campaign Respondent","Non-respondent")</f>
        <v>Campaign Respondent</v>
      </c>
    </row>
    <row r="1132" spans="1:58" x14ac:dyDescent="0.35">
      <c r="A1132">
        <v>503</v>
      </c>
      <c r="B1132">
        <v>49154</v>
      </c>
      <c r="C1132">
        <v>1</v>
      </c>
      <c r="D1132">
        <v>1</v>
      </c>
      <c r="E1132">
        <v>69</v>
      </c>
      <c r="F1132">
        <v>206</v>
      </c>
      <c r="G1132">
        <v>10</v>
      </c>
      <c r="H1132">
        <v>67</v>
      </c>
      <c r="I1132">
        <v>30</v>
      </c>
      <c r="J1132">
        <v>27</v>
      </c>
      <c r="K1132">
        <v>71</v>
      </c>
      <c r="L1132">
        <v>6</v>
      </c>
      <c r="M1132">
        <v>4</v>
      </c>
      <c r="N1132">
        <v>1</v>
      </c>
      <c r="O1132">
        <v>8</v>
      </c>
      <c r="P1132">
        <v>6</v>
      </c>
      <c r="Q1132">
        <v>0</v>
      </c>
      <c r="R1132">
        <v>0</v>
      </c>
      <c r="S1132">
        <v>0</v>
      </c>
      <c r="T1132">
        <v>0</v>
      </c>
      <c r="U1132">
        <v>0</v>
      </c>
      <c r="V1132">
        <f>IF(SUM(ifood_data[[#This Row],[AcceptedCmp1]:[AcceptedCmp5]])&gt;0,1,0)</f>
        <v>0</v>
      </c>
      <c r="W1132">
        <v>0</v>
      </c>
      <c r="X1132">
        <v>3</v>
      </c>
      <c r="Y1132">
        <v>11</v>
      </c>
      <c r="Z1132">
        <v>0</v>
      </c>
      <c r="AA1132">
        <v>60</v>
      </c>
      <c r="AB1132">
        <v>2397</v>
      </c>
      <c r="AC1132" s="28">
        <f>ifood_data[[#This Row],[Customer_Days]]/365</f>
        <v>6.5671232876712331</v>
      </c>
      <c r="AD1132">
        <v>0</v>
      </c>
      <c r="AE1132">
        <v>1</v>
      </c>
      <c r="AF1132">
        <v>0</v>
      </c>
      <c r="AG1132">
        <v>0</v>
      </c>
      <c r="AH1132">
        <v>0</v>
      </c>
      <c r="AI1132">
        <v>0</v>
      </c>
      <c r="AJ1132">
        <v>0</v>
      </c>
      <c r="AK1132">
        <v>0</v>
      </c>
      <c r="AL1132">
        <v>0</v>
      </c>
      <c r="AM1132">
        <v>1</v>
      </c>
      <c r="AN1132">
        <v>340</v>
      </c>
      <c r="AO1132">
        <v>269</v>
      </c>
      <c r="AP1132">
        <f>ifood_data[[#This Row],[MntTotal]]-ifood_data[[#This Row],[MntRegularProds]]</f>
        <v>71</v>
      </c>
      <c r="AQ1132">
        <v>0</v>
      </c>
      <c r="AR1132">
        <f>IF(SUM(ifood_data[[#This Row],[Kidhome]:[Teenhome]])&gt;0,1,0)</f>
        <v>1</v>
      </c>
      <c r="AS1132" t="str">
        <f>IF(SUM(ifood_data[[#This Row],[Kidhome]:[Teenhome]])&gt;0,"Has Family","No Family")</f>
        <v>Has Family</v>
      </c>
      <c r="AT1132" t="str">
        <f>IF(ifood_data[[#This Row],[marital_Married]]=1,"Married", (IF(ifood_data[[#This Row],[marital_Single]]=1,"Single",(IF(ifood_data[[#This Row],[marital_Divorced]]=1,"Divorced",(IF(ifood_data[[#This Row],[marital_Together]]=1,"Living Together",(IF(ifood_data[[#This Row],[marital_Widow]]=1,"Widow","Other")))))))))</f>
        <v>Married</v>
      </c>
      <c r="AU1132" t="str">
        <f>IF(ifood_data[[#This Row],[education_Basic]]=1,"High School",(IF(ifood_data[[#This Row],[education_Graduation]]=1,"Undergraduate Degree",(IF(SUM(AM1132,AL1132,AI1132)&gt;0,"Master's Degree or Higher","Other")))))</f>
        <v>Master's Degree or Higher</v>
      </c>
      <c r="AV1132" t="str">
        <f>IF(ifood_data[[#All],[Income]]&gt;75000,"75K+",(IF(ifood_data[[#All],[Income]]&gt;50000,"50K-75K",(IF(ifood_data[[#All],[Income]]&gt;35000,"35K-50K","&lt;35K")))))</f>
        <v>35K-50K</v>
      </c>
      <c r="AW1132" t="str">
        <f>IF(ifood_data[[#All],[Age]]&gt;60,"60+",(IF(ifood_data[[#All],[Age]]&gt;50,"50-60",(IF(ifood_data[[#All],[Age]]&gt;40,"40-50",(IF(ifood_data[[#All],[Age]]&gt;30,"30-40","&lt;30")))))))</f>
        <v>50-60</v>
      </c>
      <c r="AX1132">
        <f t="shared" si="68"/>
        <v>25</v>
      </c>
      <c r="AY1132">
        <f t="shared" si="69"/>
        <v>4</v>
      </c>
      <c r="AZ1132">
        <f t="shared" si="70"/>
        <v>7</v>
      </c>
      <c r="BA1132">
        <f t="shared" si="71"/>
        <v>4</v>
      </c>
      <c r="BB1132">
        <f>SUM(ifood_data[[#This Row],[Recency Score]:[Monetary Score]])</f>
        <v>15</v>
      </c>
      <c r="BC1132">
        <f>(_xlfn.PERCENTRANK.INC(ifood_data[[#All],[RFM]],ifood_data[[#This Row],[RFM]],1))*10</f>
        <v>4</v>
      </c>
      <c r="BD1132" t="str">
        <f>VLOOKUP(ifood_data[[#This Row],[RFM Score]],'RFM Analysis'!$A$3:$B$14,2,FALSE)</f>
        <v>At Risk</v>
      </c>
      <c r="BE1132">
        <f>'Regression Models'!$B$101+'Regression Models'!$B$102*ifood_data[[#This Row],[Income]]+'Regression Models'!$B$103*ifood_data[[#This Row],[Age]]+'Regression Models'!$B$104*ifood_data[[#This Row],[Family]]</f>
        <v>414.57427726406775</v>
      </c>
      <c r="BF1132" t="str">
        <f>IF(ifood_data[[#This Row],[AcceptedCmpOverall]]=1,"Campaign Respondent","Non-respondent")</f>
        <v>Non-respondent</v>
      </c>
    </row>
    <row r="1133" spans="1:58" x14ac:dyDescent="0.35">
      <c r="A1133">
        <v>860</v>
      </c>
      <c r="B1133">
        <v>47889</v>
      </c>
      <c r="C1133">
        <v>1</v>
      </c>
      <c r="D1133">
        <v>0</v>
      </c>
      <c r="E1133">
        <v>94</v>
      </c>
      <c r="F1133">
        <v>29</v>
      </c>
      <c r="G1133">
        <v>0</v>
      </c>
      <c r="H1133">
        <v>29</v>
      </c>
      <c r="I1133">
        <v>0</v>
      </c>
      <c r="J1133">
        <v>5</v>
      </c>
      <c r="K1133">
        <v>4</v>
      </c>
      <c r="L1133">
        <v>1</v>
      </c>
      <c r="M1133">
        <v>2</v>
      </c>
      <c r="N1133">
        <v>0</v>
      </c>
      <c r="O1133">
        <v>3</v>
      </c>
      <c r="P1133">
        <v>5</v>
      </c>
      <c r="Q1133">
        <v>0</v>
      </c>
      <c r="R1133">
        <v>0</v>
      </c>
      <c r="S1133">
        <v>0</v>
      </c>
      <c r="T1133">
        <v>0</v>
      </c>
      <c r="U1133">
        <v>0</v>
      </c>
      <c r="V1133">
        <f>IF(SUM(ifood_data[[#This Row],[AcceptedCmp1]:[AcceptedCmp5]])&gt;0,1,0)</f>
        <v>0</v>
      </c>
      <c r="W1133">
        <v>0</v>
      </c>
      <c r="X1133">
        <v>3</v>
      </c>
      <c r="Y1133">
        <v>11</v>
      </c>
      <c r="Z1133">
        <v>0</v>
      </c>
      <c r="AA1133">
        <v>46</v>
      </c>
      <c r="AB1133">
        <v>2335</v>
      </c>
      <c r="AC1133" s="28">
        <f>ifood_data[[#This Row],[Customer_Days]]/365</f>
        <v>6.397260273972603</v>
      </c>
      <c r="AD1133">
        <v>0</v>
      </c>
      <c r="AE1133">
        <v>0</v>
      </c>
      <c r="AF1133">
        <v>0</v>
      </c>
      <c r="AG1133">
        <v>1</v>
      </c>
      <c r="AH1133">
        <v>0</v>
      </c>
      <c r="AI1133">
        <v>0</v>
      </c>
      <c r="AJ1133">
        <v>0</v>
      </c>
      <c r="AK1133">
        <v>1</v>
      </c>
      <c r="AL1133">
        <v>0</v>
      </c>
      <c r="AM1133">
        <v>0</v>
      </c>
      <c r="AN1133">
        <v>63</v>
      </c>
      <c r="AO1133">
        <v>59</v>
      </c>
      <c r="AP1133">
        <f>ifood_data[[#This Row],[MntTotal]]-ifood_data[[#This Row],[MntRegularProds]]</f>
        <v>4</v>
      </c>
      <c r="AQ1133">
        <v>0</v>
      </c>
      <c r="AR1133">
        <f>IF(SUM(ifood_data[[#This Row],[Kidhome]:[Teenhome]])&gt;0,1,0)</f>
        <v>1</v>
      </c>
      <c r="AS1133" t="str">
        <f>IF(SUM(ifood_data[[#This Row],[Kidhome]:[Teenhome]])&gt;0,"Has Family","No Family")</f>
        <v>Has Family</v>
      </c>
      <c r="AT1133" t="str">
        <f>IF(ifood_data[[#This Row],[marital_Married]]=1,"Married", (IF(ifood_data[[#This Row],[marital_Single]]=1,"Single",(IF(ifood_data[[#This Row],[marital_Divorced]]=1,"Divorced",(IF(ifood_data[[#This Row],[marital_Together]]=1,"Living Together",(IF(ifood_data[[#This Row],[marital_Widow]]=1,"Widow","Other")))))))))</f>
        <v>Living Together</v>
      </c>
      <c r="AU1133" t="str">
        <f>IF(ifood_data[[#This Row],[education_Basic]]=1,"High School",(IF(ifood_data[[#This Row],[education_Graduation]]=1,"Undergraduate Degree",(IF(SUM(AM1133,AL1133,AI1133)&gt;0,"Master's Degree or Higher","Other")))))</f>
        <v>Undergraduate Degree</v>
      </c>
      <c r="AV1133" t="str">
        <f>IF(ifood_data[[#All],[Income]]&gt;75000,"75K+",(IF(ifood_data[[#All],[Income]]&gt;50000,"50K-75K",(IF(ifood_data[[#All],[Income]]&gt;35000,"35K-50K","&lt;35K")))))</f>
        <v>35K-50K</v>
      </c>
      <c r="AW1133" t="str">
        <f>IF(ifood_data[[#All],[Age]]&gt;60,"60+",(IF(ifood_data[[#All],[Age]]&gt;50,"50-60",(IF(ifood_data[[#All],[Age]]&gt;40,"40-50",(IF(ifood_data[[#All],[Age]]&gt;30,"30-40","&lt;30")))))))</f>
        <v>40-50</v>
      </c>
      <c r="AX1133">
        <f t="shared" si="68"/>
        <v>11</v>
      </c>
      <c r="AY1133">
        <f t="shared" si="69"/>
        <v>0.99999999999999978</v>
      </c>
      <c r="AZ1133">
        <f t="shared" si="70"/>
        <v>0</v>
      </c>
      <c r="BA1133">
        <f t="shared" si="71"/>
        <v>2</v>
      </c>
      <c r="BB1133">
        <f>SUM(ifood_data[[#This Row],[Recency Score]:[Monetary Score]])</f>
        <v>3</v>
      </c>
      <c r="BC1133">
        <f>(_xlfn.PERCENTRANK.INC(ifood_data[[#All],[RFM]],ifood_data[[#This Row],[RFM]],1))*10</f>
        <v>0</v>
      </c>
      <c r="BD1133" t="str">
        <f>VLOOKUP(ifood_data[[#This Row],[RFM Score]],'RFM Analysis'!$A$3:$B$14,2,FALSE)</f>
        <v>Lost</v>
      </c>
      <c r="BE1133">
        <f>'Regression Models'!$B$101+'Regression Models'!$B$102*ifood_data[[#This Row],[Income]]+'Regression Models'!$B$103*ifood_data[[#This Row],[Age]]+'Regression Models'!$B$104*ifood_data[[#This Row],[Family]]</f>
        <v>414.49263266655555</v>
      </c>
      <c r="BF1133" t="str">
        <f>IF(ifood_data[[#This Row],[AcceptedCmpOverall]]=1,"Campaign Respondent","Non-respondent")</f>
        <v>Non-respondent</v>
      </c>
    </row>
    <row r="1134" spans="1:58" x14ac:dyDescent="0.35">
      <c r="A1134">
        <v>538</v>
      </c>
      <c r="B1134">
        <v>48799</v>
      </c>
      <c r="C1134">
        <v>0</v>
      </c>
      <c r="D1134">
        <v>1</v>
      </c>
      <c r="E1134">
        <v>9</v>
      </c>
      <c r="F1134">
        <v>174</v>
      </c>
      <c r="G1134">
        <v>18</v>
      </c>
      <c r="H1134">
        <v>81</v>
      </c>
      <c r="I1134">
        <v>28</v>
      </c>
      <c r="J1134">
        <v>6</v>
      </c>
      <c r="K1134">
        <v>24</v>
      </c>
      <c r="L1134">
        <v>3</v>
      </c>
      <c r="M1134">
        <v>3</v>
      </c>
      <c r="N1134">
        <v>2</v>
      </c>
      <c r="O1134">
        <v>7</v>
      </c>
      <c r="P1134">
        <v>3</v>
      </c>
      <c r="Q1134">
        <v>0</v>
      </c>
      <c r="R1134">
        <v>0</v>
      </c>
      <c r="S1134">
        <v>0</v>
      </c>
      <c r="T1134">
        <v>0</v>
      </c>
      <c r="U1134">
        <v>0</v>
      </c>
      <c r="V1134">
        <f>IF(SUM(ifood_data[[#This Row],[AcceptedCmp1]:[AcceptedCmp5]])&gt;0,1,0)</f>
        <v>0</v>
      </c>
      <c r="W1134">
        <v>0</v>
      </c>
      <c r="X1134">
        <v>3</v>
      </c>
      <c r="Y1134">
        <v>11</v>
      </c>
      <c r="Z1134">
        <v>0</v>
      </c>
      <c r="AA1134">
        <v>57</v>
      </c>
      <c r="AB1134">
        <v>2395</v>
      </c>
      <c r="AC1134" s="28">
        <f>ifood_data[[#This Row],[Customer_Days]]/365</f>
        <v>6.5616438356164384</v>
      </c>
      <c r="AD1134">
        <v>1</v>
      </c>
      <c r="AE1134">
        <v>0</v>
      </c>
      <c r="AF1134">
        <v>0</v>
      </c>
      <c r="AG1134">
        <v>0</v>
      </c>
      <c r="AH1134">
        <v>0</v>
      </c>
      <c r="AI1134">
        <v>0</v>
      </c>
      <c r="AJ1134">
        <v>0</v>
      </c>
      <c r="AK1134">
        <v>0</v>
      </c>
      <c r="AL1134">
        <v>0</v>
      </c>
      <c r="AM1134">
        <v>1</v>
      </c>
      <c r="AN1134">
        <v>307</v>
      </c>
      <c r="AO1134">
        <v>283</v>
      </c>
      <c r="AP1134">
        <f>ifood_data[[#This Row],[MntTotal]]-ifood_data[[#This Row],[MntRegularProds]]</f>
        <v>24</v>
      </c>
      <c r="AQ1134">
        <v>0</v>
      </c>
      <c r="AR1134">
        <f>IF(SUM(ifood_data[[#This Row],[Kidhome]:[Teenhome]])&gt;0,1,0)</f>
        <v>1</v>
      </c>
      <c r="AS1134" t="str">
        <f>IF(SUM(ifood_data[[#This Row],[Kidhome]:[Teenhome]])&gt;0,"Has Family","No Family")</f>
        <v>Has Family</v>
      </c>
      <c r="AT1134" t="str">
        <f>IF(ifood_data[[#This Row],[marital_Married]]=1,"Married", (IF(ifood_data[[#This Row],[marital_Single]]=1,"Single",(IF(ifood_data[[#This Row],[marital_Divorced]]=1,"Divorced",(IF(ifood_data[[#This Row],[marital_Together]]=1,"Living Together",(IF(ifood_data[[#This Row],[marital_Widow]]=1,"Widow","Other")))))))))</f>
        <v>Divorced</v>
      </c>
      <c r="AU1134" t="str">
        <f>IF(ifood_data[[#This Row],[education_Basic]]=1,"High School",(IF(ifood_data[[#This Row],[education_Graduation]]=1,"Undergraduate Degree",(IF(SUM(AM1134,AL1134,AI1134)&gt;0,"Master's Degree or Higher","Other")))))</f>
        <v>Master's Degree or Higher</v>
      </c>
      <c r="AV1134" t="str">
        <f>IF(ifood_data[[#All],[Income]]&gt;75000,"75K+",(IF(ifood_data[[#All],[Income]]&gt;50000,"50K-75K",(IF(ifood_data[[#All],[Income]]&gt;35000,"35K-50K","&lt;35K")))))</f>
        <v>35K-50K</v>
      </c>
      <c r="AW1134" t="str">
        <f>IF(ifood_data[[#All],[Age]]&gt;60,"60+",(IF(ifood_data[[#All],[Age]]&gt;50,"50-60",(IF(ifood_data[[#All],[Age]]&gt;40,"40-50",(IF(ifood_data[[#All],[Age]]&gt;30,"30-40","&lt;30")))))))</f>
        <v>50-60</v>
      </c>
      <c r="AX1134">
        <f t="shared" si="68"/>
        <v>18</v>
      </c>
      <c r="AY1134">
        <f t="shared" si="69"/>
        <v>10</v>
      </c>
      <c r="AZ1134">
        <f t="shared" si="70"/>
        <v>4</v>
      </c>
      <c r="BA1134">
        <f t="shared" si="71"/>
        <v>4</v>
      </c>
      <c r="BB1134">
        <f>SUM(ifood_data[[#This Row],[Recency Score]:[Monetary Score]])</f>
        <v>18</v>
      </c>
      <c r="BC1134">
        <f>(_xlfn.PERCENTRANK.INC(ifood_data[[#All],[RFM]],ifood_data[[#This Row],[RFM]],1))*10</f>
        <v>6</v>
      </c>
      <c r="BD1134" t="str">
        <f>VLOOKUP(ifood_data[[#This Row],[RFM Score]],'RFM Analysis'!$A$3:$B$14,2,FALSE)</f>
        <v>Promising</v>
      </c>
      <c r="BE1134">
        <f>'Regression Models'!$B$101+'Regression Models'!$B$102*ifood_data[[#This Row],[Income]]+'Regression Models'!$B$103*ifood_data[[#This Row],[Age]]+'Regression Models'!$B$104*ifood_data[[#This Row],[Family]]</f>
        <v>412.84558180966656</v>
      </c>
      <c r="BF1134" t="str">
        <f>IF(ifood_data[[#This Row],[AcceptedCmpOverall]]=1,"Campaign Respondent","Non-respondent")</f>
        <v>Non-respondent</v>
      </c>
    </row>
    <row r="1135" spans="1:58" x14ac:dyDescent="0.35">
      <c r="A1135">
        <v>504</v>
      </c>
      <c r="B1135">
        <v>47682</v>
      </c>
      <c r="C1135">
        <v>0</v>
      </c>
      <c r="D1135">
        <v>1</v>
      </c>
      <c r="E1135">
        <v>80</v>
      </c>
      <c r="F1135">
        <v>162</v>
      </c>
      <c r="G1135">
        <v>61</v>
      </c>
      <c r="H1135">
        <v>83</v>
      </c>
      <c r="I1135">
        <v>97</v>
      </c>
      <c r="J1135">
        <v>57</v>
      </c>
      <c r="K1135">
        <v>61</v>
      </c>
      <c r="L1135">
        <v>4</v>
      </c>
      <c r="M1135">
        <v>4</v>
      </c>
      <c r="N1135">
        <v>3</v>
      </c>
      <c r="O1135">
        <v>8</v>
      </c>
      <c r="P1135">
        <v>5</v>
      </c>
      <c r="Q1135">
        <v>0</v>
      </c>
      <c r="R1135">
        <v>0</v>
      </c>
      <c r="S1135">
        <v>0</v>
      </c>
      <c r="T1135">
        <v>0</v>
      </c>
      <c r="U1135">
        <v>0</v>
      </c>
      <c r="V1135">
        <f>IF(SUM(ifood_data[[#This Row],[AcceptedCmp1]:[AcceptedCmp5]])&gt;0,1,0)</f>
        <v>0</v>
      </c>
      <c r="W1135">
        <v>0</v>
      </c>
      <c r="X1135">
        <v>3</v>
      </c>
      <c r="Y1135">
        <v>11</v>
      </c>
      <c r="Z1135">
        <v>0</v>
      </c>
      <c r="AA1135">
        <v>45</v>
      </c>
      <c r="AB1135">
        <v>2658</v>
      </c>
      <c r="AC1135" s="28">
        <f>ifood_data[[#This Row],[Customer_Days]]/365</f>
        <v>7.2821917808219174</v>
      </c>
      <c r="AD1135">
        <v>0</v>
      </c>
      <c r="AE1135">
        <v>0</v>
      </c>
      <c r="AF1135">
        <v>0</v>
      </c>
      <c r="AG1135">
        <v>0</v>
      </c>
      <c r="AH1135">
        <v>1</v>
      </c>
      <c r="AI1135">
        <v>1</v>
      </c>
      <c r="AJ1135">
        <v>0</v>
      </c>
      <c r="AK1135">
        <v>0</v>
      </c>
      <c r="AL1135">
        <v>0</v>
      </c>
      <c r="AM1135">
        <v>0</v>
      </c>
      <c r="AN1135">
        <v>460</v>
      </c>
      <c r="AO1135">
        <v>399</v>
      </c>
      <c r="AP1135">
        <f>ifood_data[[#This Row],[MntTotal]]-ifood_data[[#This Row],[MntRegularProds]]</f>
        <v>61</v>
      </c>
      <c r="AQ1135">
        <v>0</v>
      </c>
      <c r="AR1135">
        <f>IF(SUM(ifood_data[[#This Row],[Kidhome]:[Teenhome]])&gt;0,1,0)</f>
        <v>1</v>
      </c>
      <c r="AS1135" t="str">
        <f>IF(SUM(ifood_data[[#This Row],[Kidhome]:[Teenhome]])&gt;0,"Has Family","No Family")</f>
        <v>Has Family</v>
      </c>
      <c r="AT1135" t="str">
        <f>IF(ifood_data[[#This Row],[marital_Married]]=1,"Married", (IF(ifood_data[[#This Row],[marital_Single]]=1,"Single",(IF(ifood_data[[#This Row],[marital_Divorced]]=1,"Divorced",(IF(ifood_data[[#This Row],[marital_Together]]=1,"Living Together",(IF(ifood_data[[#This Row],[marital_Widow]]=1,"Widow","Other")))))))))</f>
        <v>Widow</v>
      </c>
      <c r="AU1135" t="str">
        <f>IF(ifood_data[[#This Row],[education_Basic]]=1,"High School",(IF(ifood_data[[#This Row],[education_Graduation]]=1,"Undergraduate Degree",(IF(SUM(AM1135,AL1135,AI1135)&gt;0,"Master's Degree or Higher","Other")))))</f>
        <v>Master's Degree or Higher</v>
      </c>
      <c r="AV1135" t="str">
        <f>IF(ifood_data[[#All],[Income]]&gt;75000,"75K+",(IF(ifood_data[[#All],[Income]]&gt;50000,"50K-75K",(IF(ifood_data[[#All],[Income]]&gt;35000,"35K-50K","&lt;35K")))))</f>
        <v>35K-50K</v>
      </c>
      <c r="AW1135" t="str">
        <f>IF(ifood_data[[#All],[Age]]&gt;60,"60+",(IF(ifood_data[[#All],[Age]]&gt;50,"50-60",(IF(ifood_data[[#All],[Age]]&gt;40,"40-50",(IF(ifood_data[[#All],[Age]]&gt;30,"30-40","&lt;30")))))))</f>
        <v>40-50</v>
      </c>
      <c r="AX1135">
        <f t="shared" si="68"/>
        <v>24</v>
      </c>
      <c r="AY1135">
        <f t="shared" si="69"/>
        <v>1.9999999999999996</v>
      </c>
      <c r="AZ1135">
        <f t="shared" si="70"/>
        <v>6</v>
      </c>
      <c r="BA1135">
        <f t="shared" si="71"/>
        <v>5</v>
      </c>
      <c r="BB1135">
        <f>SUM(ifood_data[[#This Row],[Recency Score]:[Monetary Score]])</f>
        <v>13</v>
      </c>
      <c r="BC1135">
        <f>(_xlfn.PERCENTRANK.INC(ifood_data[[#All],[RFM]],ifood_data[[#This Row],[RFM]],1))*10</f>
        <v>3</v>
      </c>
      <c r="BD1135" t="str">
        <f>VLOOKUP(ifood_data[[#This Row],[RFM Score]],'RFM Analysis'!$A$3:$B$14,2,FALSE)</f>
        <v>At Risk</v>
      </c>
      <c r="BE1135">
        <f>'Regression Models'!$B$101+'Regression Models'!$B$102*ifood_data[[#This Row],[Income]]+'Regression Models'!$B$103*ifood_data[[#This Row],[Age]]+'Regression Models'!$B$104*ifood_data[[#This Row],[Family]]</f>
        <v>412.10859673966274</v>
      </c>
      <c r="BF1135" t="str">
        <f>IF(ifood_data[[#This Row],[AcceptedCmpOverall]]=1,"Campaign Respondent","Non-respondent")</f>
        <v>Non-respondent</v>
      </c>
    </row>
    <row r="1136" spans="1:58" x14ac:dyDescent="0.35">
      <c r="A1136">
        <v>193</v>
      </c>
      <c r="B1136">
        <v>48721</v>
      </c>
      <c r="C1136">
        <v>1</v>
      </c>
      <c r="D1136">
        <v>1</v>
      </c>
      <c r="E1136">
        <v>50</v>
      </c>
      <c r="F1136">
        <v>81</v>
      </c>
      <c r="G1136">
        <v>18</v>
      </c>
      <c r="H1136">
        <v>113</v>
      </c>
      <c r="I1136">
        <v>47</v>
      </c>
      <c r="J1136">
        <v>13</v>
      </c>
      <c r="K1136">
        <v>21</v>
      </c>
      <c r="L1136">
        <v>6</v>
      </c>
      <c r="M1136">
        <v>4</v>
      </c>
      <c r="N1136">
        <v>2</v>
      </c>
      <c r="O1136">
        <v>5</v>
      </c>
      <c r="P1136">
        <v>6</v>
      </c>
      <c r="Q1136">
        <v>0</v>
      </c>
      <c r="R1136">
        <v>0</v>
      </c>
      <c r="S1136">
        <v>0</v>
      </c>
      <c r="T1136">
        <v>0</v>
      </c>
      <c r="U1136">
        <v>0</v>
      </c>
      <c r="V1136">
        <f>IF(SUM(ifood_data[[#This Row],[AcceptedCmp1]:[AcceptedCmp5]])&gt;0,1,0)</f>
        <v>0</v>
      </c>
      <c r="W1136">
        <v>0</v>
      </c>
      <c r="X1136">
        <v>3</v>
      </c>
      <c r="Y1136">
        <v>11</v>
      </c>
      <c r="Z1136">
        <v>0</v>
      </c>
      <c r="AA1136">
        <v>57</v>
      </c>
      <c r="AB1136">
        <v>2571</v>
      </c>
      <c r="AC1136" s="28">
        <f>ifood_data[[#This Row],[Customer_Days]]/365</f>
        <v>7.043835616438356</v>
      </c>
      <c r="AD1136">
        <v>1</v>
      </c>
      <c r="AE1136">
        <v>0</v>
      </c>
      <c r="AF1136">
        <v>0</v>
      </c>
      <c r="AG1136">
        <v>0</v>
      </c>
      <c r="AH1136">
        <v>0</v>
      </c>
      <c r="AI1136">
        <v>0</v>
      </c>
      <c r="AJ1136">
        <v>0</v>
      </c>
      <c r="AK1136">
        <v>0</v>
      </c>
      <c r="AL1136">
        <v>1</v>
      </c>
      <c r="AM1136">
        <v>0</v>
      </c>
      <c r="AN1136">
        <v>272</v>
      </c>
      <c r="AO1136">
        <v>251</v>
      </c>
      <c r="AP1136">
        <f>ifood_data[[#This Row],[MntTotal]]-ifood_data[[#This Row],[MntRegularProds]]</f>
        <v>21</v>
      </c>
      <c r="AQ1136">
        <v>0</v>
      </c>
      <c r="AR1136">
        <f>IF(SUM(ifood_data[[#This Row],[Kidhome]:[Teenhome]])&gt;0,1,0)</f>
        <v>1</v>
      </c>
      <c r="AS1136" t="str">
        <f>IF(SUM(ifood_data[[#This Row],[Kidhome]:[Teenhome]])&gt;0,"Has Family","No Family")</f>
        <v>Has Family</v>
      </c>
      <c r="AT1136" t="str">
        <f>IF(ifood_data[[#This Row],[marital_Married]]=1,"Married", (IF(ifood_data[[#This Row],[marital_Single]]=1,"Single",(IF(ifood_data[[#This Row],[marital_Divorced]]=1,"Divorced",(IF(ifood_data[[#This Row],[marital_Together]]=1,"Living Together",(IF(ifood_data[[#This Row],[marital_Widow]]=1,"Widow","Other")))))))))</f>
        <v>Divorced</v>
      </c>
      <c r="AU1136" t="str">
        <f>IF(ifood_data[[#This Row],[education_Basic]]=1,"High School",(IF(ifood_data[[#This Row],[education_Graduation]]=1,"Undergraduate Degree",(IF(SUM(AM1136,AL1136,AI1136)&gt;0,"Master's Degree or Higher","Other")))))</f>
        <v>Master's Degree or Higher</v>
      </c>
      <c r="AV1136" t="str">
        <f>IF(ifood_data[[#All],[Income]]&gt;75000,"75K+",(IF(ifood_data[[#All],[Income]]&gt;50000,"50K-75K",(IF(ifood_data[[#All],[Income]]&gt;35000,"35K-50K","&lt;35K")))))</f>
        <v>35K-50K</v>
      </c>
      <c r="AW1136" t="str">
        <f>IF(ifood_data[[#All],[Age]]&gt;60,"60+",(IF(ifood_data[[#All],[Age]]&gt;50,"50-60",(IF(ifood_data[[#All],[Age]]&gt;40,"40-50",(IF(ifood_data[[#All],[Age]]&gt;30,"30-40","&lt;30")))))))</f>
        <v>50-60</v>
      </c>
      <c r="AX1136">
        <f t="shared" si="68"/>
        <v>23</v>
      </c>
      <c r="AY1136">
        <f t="shared" si="69"/>
        <v>5</v>
      </c>
      <c r="AZ1136">
        <f t="shared" si="70"/>
        <v>6</v>
      </c>
      <c r="BA1136">
        <f t="shared" si="71"/>
        <v>4</v>
      </c>
      <c r="BB1136">
        <f>SUM(ifood_data[[#This Row],[Recency Score]:[Monetary Score]])</f>
        <v>15</v>
      </c>
      <c r="BC1136">
        <f>(_xlfn.PERCENTRANK.INC(ifood_data[[#All],[RFM]],ifood_data[[#This Row],[RFM]],1))*10</f>
        <v>4</v>
      </c>
      <c r="BD1136" t="str">
        <f>VLOOKUP(ifood_data[[#This Row],[RFM Score]],'RFM Analysis'!$A$3:$B$14,2,FALSE)</f>
        <v>At Risk</v>
      </c>
      <c r="BE1136">
        <f>'Regression Models'!$B$101+'Regression Models'!$B$102*ifood_data[[#This Row],[Income]]+'Regression Models'!$B$103*ifood_data[[#This Row],[Age]]+'Regression Models'!$B$104*ifood_data[[#This Row],[Family]]</f>
        <v>411.25525789444237</v>
      </c>
      <c r="BF1136" t="str">
        <f>IF(ifood_data[[#This Row],[AcceptedCmpOverall]]=1,"Campaign Respondent","Non-respondent")</f>
        <v>Non-respondent</v>
      </c>
    </row>
    <row r="1137" spans="1:58" x14ac:dyDescent="0.35">
      <c r="A1137">
        <v>622</v>
      </c>
      <c r="B1137">
        <v>49431</v>
      </c>
      <c r="C1137">
        <v>0</v>
      </c>
      <c r="D1137">
        <v>1</v>
      </c>
      <c r="E1137">
        <v>9</v>
      </c>
      <c r="F1137">
        <v>219</v>
      </c>
      <c r="G1137">
        <v>3</v>
      </c>
      <c r="H1137">
        <v>100</v>
      </c>
      <c r="I1137">
        <v>26</v>
      </c>
      <c r="J1137">
        <v>0</v>
      </c>
      <c r="K1137">
        <v>17</v>
      </c>
      <c r="L1137">
        <v>2</v>
      </c>
      <c r="M1137">
        <v>7</v>
      </c>
      <c r="N1137">
        <v>1</v>
      </c>
      <c r="O1137">
        <v>5</v>
      </c>
      <c r="P1137">
        <v>8</v>
      </c>
      <c r="Q1137">
        <v>0</v>
      </c>
      <c r="R1137">
        <v>0</v>
      </c>
      <c r="S1137">
        <v>0</v>
      </c>
      <c r="T1137">
        <v>0</v>
      </c>
      <c r="U1137">
        <v>0</v>
      </c>
      <c r="V1137">
        <f>IF(SUM(ifood_data[[#This Row],[AcceptedCmp1]:[AcceptedCmp5]])&gt;0,1,0)</f>
        <v>0</v>
      </c>
      <c r="W1137">
        <v>0</v>
      </c>
      <c r="X1137">
        <v>3</v>
      </c>
      <c r="Y1137">
        <v>11</v>
      </c>
      <c r="Z1137">
        <v>0</v>
      </c>
      <c r="AA1137">
        <v>65</v>
      </c>
      <c r="AB1137">
        <v>2854</v>
      </c>
      <c r="AC1137" s="28">
        <f>ifood_data[[#This Row],[Customer_Days]]/365</f>
        <v>7.8191780821917805</v>
      </c>
      <c r="AD1137">
        <v>1</v>
      </c>
      <c r="AE1137">
        <v>0</v>
      </c>
      <c r="AF1137">
        <v>0</v>
      </c>
      <c r="AG1137">
        <v>0</v>
      </c>
      <c r="AH1137">
        <v>0</v>
      </c>
      <c r="AI1137">
        <v>0</v>
      </c>
      <c r="AJ1137">
        <v>0</v>
      </c>
      <c r="AK1137">
        <v>1</v>
      </c>
      <c r="AL1137">
        <v>0</v>
      </c>
      <c r="AM1137">
        <v>0</v>
      </c>
      <c r="AN1137">
        <v>348</v>
      </c>
      <c r="AO1137">
        <v>331</v>
      </c>
      <c r="AP1137">
        <f>ifood_data[[#This Row],[MntTotal]]-ifood_data[[#This Row],[MntRegularProds]]</f>
        <v>17</v>
      </c>
      <c r="AQ1137">
        <v>0</v>
      </c>
      <c r="AR1137">
        <f>IF(SUM(ifood_data[[#This Row],[Kidhome]:[Teenhome]])&gt;0,1,0)</f>
        <v>1</v>
      </c>
      <c r="AS1137" t="str">
        <f>IF(SUM(ifood_data[[#This Row],[Kidhome]:[Teenhome]])&gt;0,"Has Family","No Family")</f>
        <v>Has Family</v>
      </c>
      <c r="AT1137" t="str">
        <f>IF(ifood_data[[#This Row],[marital_Married]]=1,"Married", (IF(ifood_data[[#This Row],[marital_Single]]=1,"Single",(IF(ifood_data[[#This Row],[marital_Divorced]]=1,"Divorced",(IF(ifood_data[[#This Row],[marital_Together]]=1,"Living Together",(IF(ifood_data[[#This Row],[marital_Widow]]=1,"Widow","Other")))))))))</f>
        <v>Divorced</v>
      </c>
      <c r="AU1137" t="str">
        <f>IF(ifood_data[[#This Row],[education_Basic]]=1,"High School",(IF(ifood_data[[#This Row],[education_Graduation]]=1,"Undergraduate Degree",(IF(SUM(AM1137,AL1137,AI1137)&gt;0,"Master's Degree or Higher","Other")))))</f>
        <v>Undergraduate Degree</v>
      </c>
      <c r="AV1137" t="str">
        <f>IF(ifood_data[[#All],[Income]]&gt;75000,"75K+",(IF(ifood_data[[#All],[Income]]&gt;50000,"50K-75K",(IF(ifood_data[[#All],[Income]]&gt;35000,"35K-50K","&lt;35K")))))</f>
        <v>35K-50K</v>
      </c>
      <c r="AW1137" t="str">
        <f>IF(ifood_data[[#All],[Age]]&gt;60,"60+",(IF(ifood_data[[#All],[Age]]&gt;50,"50-60",(IF(ifood_data[[#All],[Age]]&gt;40,"40-50",(IF(ifood_data[[#All],[Age]]&gt;30,"30-40","&lt;30")))))))</f>
        <v>60+</v>
      </c>
      <c r="AX1137">
        <f t="shared" si="68"/>
        <v>23</v>
      </c>
      <c r="AY1137">
        <f t="shared" si="69"/>
        <v>10</v>
      </c>
      <c r="AZ1137">
        <f t="shared" si="70"/>
        <v>6</v>
      </c>
      <c r="BA1137">
        <f t="shared" si="71"/>
        <v>5</v>
      </c>
      <c r="BB1137">
        <f>SUM(ifood_data[[#This Row],[Recency Score]:[Monetary Score]])</f>
        <v>21</v>
      </c>
      <c r="BC1137">
        <f>(_xlfn.PERCENTRANK.INC(ifood_data[[#All],[RFM]],ifood_data[[#This Row],[RFM]],1))*10</f>
        <v>8</v>
      </c>
      <c r="BD1137" t="str">
        <f>VLOOKUP(ifood_data[[#This Row],[RFM Score]],'RFM Analysis'!$A$3:$B$14,2,FALSE)</f>
        <v>Loyal Customer</v>
      </c>
      <c r="BE1137">
        <f>'Regression Models'!$B$101+'Regression Models'!$B$102*ifood_data[[#This Row],[Income]]+'Regression Models'!$B$103*ifood_data[[#This Row],[Age]]+'Regression Models'!$B$104*ifood_data[[#This Row],[Family]]</f>
        <v>411.03977064545643</v>
      </c>
      <c r="BF1137" t="str">
        <f>IF(ifood_data[[#This Row],[AcceptedCmpOverall]]=1,"Campaign Respondent","Non-respondent")</f>
        <v>Non-respondent</v>
      </c>
    </row>
    <row r="1138" spans="1:58" x14ac:dyDescent="0.35">
      <c r="A1138">
        <v>1849</v>
      </c>
      <c r="B1138">
        <v>49912</v>
      </c>
      <c r="C1138">
        <v>0</v>
      </c>
      <c r="D1138">
        <v>1</v>
      </c>
      <c r="E1138">
        <v>5</v>
      </c>
      <c r="F1138">
        <v>520</v>
      </c>
      <c r="G1138">
        <v>8</v>
      </c>
      <c r="H1138">
        <v>223</v>
      </c>
      <c r="I1138">
        <v>32</v>
      </c>
      <c r="J1138">
        <v>49</v>
      </c>
      <c r="K1138">
        <v>42</v>
      </c>
      <c r="L1138">
        <v>4</v>
      </c>
      <c r="M1138">
        <v>10</v>
      </c>
      <c r="N1138">
        <v>5</v>
      </c>
      <c r="O1138">
        <v>7</v>
      </c>
      <c r="P1138">
        <v>8</v>
      </c>
      <c r="Q1138">
        <v>0</v>
      </c>
      <c r="R1138">
        <v>0</v>
      </c>
      <c r="S1138">
        <v>1</v>
      </c>
      <c r="T1138">
        <v>0</v>
      </c>
      <c r="U1138">
        <v>0</v>
      </c>
      <c r="V1138">
        <f>IF(SUM(ifood_data[[#This Row],[AcceptedCmp1]:[AcceptedCmp5]])&gt;0,1,0)</f>
        <v>1</v>
      </c>
      <c r="W1138">
        <v>0</v>
      </c>
      <c r="X1138">
        <v>3</v>
      </c>
      <c r="Y1138">
        <v>11</v>
      </c>
      <c r="Z1138">
        <v>1</v>
      </c>
      <c r="AA1138">
        <v>71</v>
      </c>
      <c r="AB1138">
        <v>2819</v>
      </c>
      <c r="AC1138" s="28">
        <f>ifood_data[[#This Row],[Customer_Days]]/365</f>
        <v>7.7232876712328764</v>
      </c>
      <c r="AD1138">
        <v>0</v>
      </c>
      <c r="AE1138">
        <v>0</v>
      </c>
      <c r="AF1138">
        <v>0</v>
      </c>
      <c r="AG1138">
        <v>1</v>
      </c>
      <c r="AH1138">
        <v>0</v>
      </c>
      <c r="AI1138">
        <v>0</v>
      </c>
      <c r="AJ1138">
        <v>0</v>
      </c>
      <c r="AK1138">
        <v>0</v>
      </c>
      <c r="AL1138">
        <v>1</v>
      </c>
      <c r="AM1138">
        <v>0</v>
      </c>
      <c r="AN1138">
        <v>832</v>
      </c>
      <c r="AO1138">
        <v>790</v>
      </c>
      <c r="AP1138">
        <f>ifood_data[[#This Row],[MntTotal]]-ifood_data[[#This Row],[MntRegularProds]]</f>
        <v>42</v>
      </c>
      <c r="AQ1138">
        <v>1</v>
      </c>
      <c r="AR1138">
        <f>IF(SUM(ifood_data[[#This Row],[Kidhome]:[Teenhome]])&gt;0,1,0)</f>
        <v>1</v>
      </c>
      <c r="AS1138" t="str">
        <f>IF(SUM(ifood_data[[#This Row],[Kidhome]:[Teenhome]])&gt;0,"Has Family","No Family")</f>
        <v>Has Family</v>
      </c>
      <c r="AT1138" t="str">
        <f>IF(ifood_data[[#This Row],[marital_Married]]=1,"Married", (IF(ifood_data[[#This Row],[marital_Single]]=1,"Single",(IF(ifood_data[[#This Row],[marital_Divorced]]=1,"Divorced",(IF(ifood_data[[#This Row],[marital_Together]]=1,"Living Together",(IF(ifood_data[[#This Row],[marital_Widow]]=1,"Widow","Other")))))))))</f>
        <v>Living Together</v>
      </c>
      <c r="AU1138" t="str">
        <f>IF(ifood_data[[#This Row],[education_Basic]]=1,"High School",(IF(ifood_data[[#This Row],[education_Graduation]]=1,"Undergraduate Degree",(IF(SUM(AM1138,AL1138,AI1138)&gt;0,"Master's Degree or Higher","Other")))))</f>
        <v>Master's Degree or Higher</v>
      </c>
      <c r="AV1138" t="str">
        <f>IF(ifood_data[[#All],[Income]]&gt;75000,"75K+",(IF(ifood_data[[#All],[Income]]&gt;50000,"50K-75K",(IF(ifood_data[[#All],[Income]]&gt;35000,"35K-50K","&lt;35K")))))</f>
        <v>35K-50K</v>
      </c>
      <c r="AW1138" t="str">
        <f>IF(ifood_data[[#All],[Age]]&gt;60,"60+",(IF(ifood_data[[#All],[Age]]&gt;50,"50-60",(IF(ifood_data[[#All],[Age]]&gt;40,"40-50",(IF(ifood_data[[#All],[Age]]&gt;30,"30-40","&lt;30")))))))</f>
        <v>60+</v>
      </c>
      <c r="AX1138">
        <f t="shared" si="68"/>
        <v>34</v>
      </c>
      <c r="AY1138">
        <f t="shared" si="69"/>
        <v>10</v>
      </c>
      <c r="AZ1138">
        <f t="shared" si="70"/>
        <v>9</v>
      </c>
      <c r="BA1138">
        <f t="shared" si="71"/>
        <v>6</v>
      </c>
      <c r="BB1138">
        <f>SUM(ifood_data[[#This Row],[Recency Score]:[Monetary Score]])</f>
        <v>25</v>
      </c>
      <c r="BC1138">
        <f>(_xlfn.PERCENTRANK.INC(ifood_data[[#All],[RFM]],ifood_data[[#This Row],[RFM]],1))*10</f>
        <v>9</v>
      </c>
      <c r="BD1138" t="str">
        <f>VLOOKUP(ifood_data[[#This Row],[RFM Score]],'RFM Analysis'!$A$3:$B$14,2,FALSE)</f>
        <v>Top Customer</v>
      </c>
      <c r="BE1138">
        <f>'Regression Models'!$B$101+'Regression Models'!$B$102*ifood_data[[#This Row],[Income]]+'Regression Models'!$B$103*ifood_data[[#This Row],[Age]]+'Regression Models'!$B$104*ifood_data[[#This Row],[Family]]</f>
        <v>409.8281336493061</v>
      </c>
      <c r="BF1138" t="str">
        <f>IF(ifood_data[[#This Row],[AcceptedCmpOverall]]=1,"Campaign Respondent","Non-respondent")</f>
        <v>Campaign Respondent</v>
      </c>
    </row>
    <row r="1139" spans="1:58" x14ac:dyDescent="0.35">
      <c r="A1139">
        <v>1713</v>
      </c>
      <c r="B1139">
        <v>49638</v>
      </c>
      <c r="C1139">
        <v>0</v>
      </c>
      <c r="D1139">
        <v>1</v>
      </c>
      <c r="E1139">
        <v>71</v>
      </c>
      <c r="F1139">
        <v>18</v>
      </c>
      <c r="G1139">
        <v>10</v>
      </c>
      <c r="H1139">
        <v>3</v>
      </c>
      <c r="I1139">
        <v>3</v>
      </c>
      <c r="J1139">
        <v>5</v>
      </c>
      <c r="K1139">
        <v>0</v>
      </c>
      <c r="L1139">
        <v>1</v>
      </c>
      <c r="M1139">
        <v>1</v>
      </c>
      <c r="N1139">
        <v>0</v>
      </c>
      <c r="O1139">
        <v>3</v>
      </c>
      <c r="P1139">
        <v>2</v>
      </c>
      <c r="Q1139">
        <v>0</v>
      </c>
      <c r="R1139">
        <v>0</v>
      </c>
      <c r="S1139">
        <v>0</v>
      </c>
      <c r="T1139">
        <v>0</v>
      </c>
      <c r="U1139">
        <v>0</v>
      </c>
      <c r="V1139">
        <f>IF(SUM(ifood_data[[#This Row],[AcceptedCmp1]:[AcceptedCmp5]])&gt;0,1,0)</f>
        <v>0</v>
      </c>
      <c r="W1139">
        <v>0</v>
      </c>
      <c r="X1139">
        <v>3</v>
      </c>
      <c r="Y1139">
        <v>11</v>
      </c>
      <c r="Z1139">
        <v>0</v>
      </c>
      <c r="AA1139">
        <v>68</v>
      </c>
      <c r="AB1139">
        <v>2230</v>
      </c>
      <c r="AC1139" s="28">
        <f>ifood_data[[#This Row],[Customer_Days]]/365</f>
        <v>6.1095890410958908</v>
      </c>
      <c r="AD1139">
        <v>1</v>
      </c>
      <c r="AE1139">
        <v>0</v>
      </c>
      <c r="AF1139">
        <v>0</v>
      </c>
      <c r="AG1139">
        <v>0</v>
      </c>
      <c r="AH1139">
        <v>0</v>
      </c>
      <c r="AI1139">
        <v>0</v>
      </c>
      <c r="AJ1139">
        <v>0</v>
      </c>
      <c r="AK1139">
        <v>1</v>
      </c>
      <c r="AL1139">
        <v>0</v>
      </c>
      <c r="AM1139">
        <v>0</v>
      </c>
      <c r="AN1139">
        <v>39</v>
      </c>
      <c r="AO1139">
        <v>39</v>
      </c>
      <c r="AP1139">
        <f>ifood_data[[#This Row],[MntTotal]]-ifood_data[[#This Row],[MntRegularProds]]</f>
        <v>0</v>
      </c>
      <c r="AQ1139">
        <v>0</v>
      </c>
      <c r="AR1139">
        <f>IF(SUM(ifood_data[[#This Row],[Kidhome]:[Teenhome]])&gt;0,1,0)</f>
        <v>1</v>
      </c>
      <c r="AS1139" t="str">
        <f>IF(SUM(ifood_data[[#This Row],[Kidhome]:[Teenhome]])&gt;0,"Has Family","No Family")</f>
        <v>Has Family</v>
      </c>
      <c r="AT1139" t="str">
        <f>IF(ifood_data[[#This Row],[marital_Married]]=1,"Married", (IF(ifood_data[[#This Row],[marital_Single]]=1,"Single",(IF(ifood_data[[#This Row],[marital_Divorced]]=1,"Divorced",(IF(ifood_data[[#This Row],[marital_Together]]=1,"Living Together",(IF(ifood_data[[#This Row],[marital_Widow]]=1,"Widow","Other")))))))))</f>
        <v>Divorced</v>
      </c>
      <c r="AU1139" t="str">
        <f>IF(ifood_data[[#This Row],[education_Basic]]=1,"High School",(IF(ifood_data[[#This Row],[education_Graduation]]=1,"Undergraduate Degree",(IF(SUM(AM1139,AL1139,AI1139)&gt;0,"Master's Degree or Higher","Other")))))</f>
        <v>Undergraduate Degree</v>
      </c>
      <c r="AV1139" t="str">
        <f>IF(ifood_data[[#All],[Income]]&gt;75000,"75K+",(IF(ifood_data[[#All],[Income]]&gt;50000,"50K-75K",(IF(ifood_data[[#All],[Income]]&gt;35000,"35K-50K","&lt;35K")))))</f>
        <v>35K-50K</v>
      </c>
      <c r="AW1139" t="str">
        <f>IF(ifood_data[[#All],[Age]]&gt;60,"60+",(IF(ifood_data[[#All],[Age]]&gt;50,"50-60",(IF(ifood_data[[#All],[Age]]&gt;40,"40-50",(IF(ifood_data[[#All],[Age]]&gt;30,"30-40","&lt;30")))))))</f>
        <v>60+</v>
      </c>
      <c r="AX1139">
        <f t="shared" si="68"/>
        <v>7</v>
      </c>
      <c r="AY1139">
        <f t="shared" si="69"/>
        <v>3.0000000000000004</v>
      </c>
      <c r="AZ1139">
        <f t="shared" si="70"/>
        <v>0</v>
      </c>
      <c r="BA1139">
        <f t="shared" si="71"/>
        <v>1</v>
      </c>
      <c r="BB1139">
        <f>SUM(ifood_data[[#This Row],[Recency Score]:[Monetary Score]])</f>
        <v>4</v>
      </c>
      <c r="BC1139">
        <f>(_xlfn.PERCENTRANK.INC(ifood_data[[#All],[RFM]],ifood_data[[#This Row],[RFM]],1))*10</f>
        <v>0</v>
      </c>
      <c r="BD1139" t="str">
        <f>VLOOKUP(ifood_data[[#This Row],[RFM Score]],'RFM Analysis'!$A$3:$B$14,2,FALSE)</f>
        <v>Lost</v>
      </c>
      <c r="BE1139">
        <f>'Regression Models'!$B$101+'Regression Models'!$B$102*ifood_data[[#This Row],[Income]]+'Regression Models'!$B$103*ifood_data[[#This Row],[Age]]+'Regression Models'!$B$104*ifood_data[[#This Row],[Family]]</f>
        <v>409.75092841456069</v>
      </c>
      <c r="BF1139" t="str">
        <f>IF(ifood_data[[#This Row],[AcceptedCmpOverall]]=1,"Campaign Respondent","Non-respondent")</f>
        <v>Non-respondent</v>
      </c>
    </row>
    <row r="1140" spans="1:58" x14ac:dyDescent="0.35">
      <c r="A1140">
        <v>1291</v>
      </c>
      <c r="B1140">
        <v>48904</v>
      </c>
      <c r="C1140">
        <v>0</v>
      </c>
      <c r="D1140">
        <v>1</v>
      </c>
      <c r="E1140">
        <v>1</v>
      </c>
      <c r="F1140">
        <v>283</v>
      </c>
      <c r="G1140">
        <v>10</v>
      </c>
      <c r="H1140">
        <v>38</v>
      </c>
      <c r="I1140">
        <v>0</v>
      </c>
      <c r="J1140">
        <v>13</v>
      </c>
      <c r="K1140">
        <v>27</v>
      </c>
      <c r="L1140">
        <v>4</v>
      </c>
      <c r="M1140">
        <v>7</v>
      </c>
      <c r="N1140">
        <v>2</v>
      </c>
      <c r="O1140">
        <v>4</v>
      </c>
      <c r="P1140">
        <v>8</v>
      </c>
      <c r="Q1140">
        <v>0</v>
      </c>
      <c r="R1140">
        <v>0</v>
      </c>
      <c r="S1140">
        <v>0</v>
      </c>
      <c r="T1140">
        <v>0</v>
      </c>
      <c r="U1140">
        <v>0</v>
      </c>
      <c r="V1140">
        <f>IF(SUM(ifood_data[[#This Row],[AcceptedCmp1]:[AcceptedCmp5]])&gt;0,1,0)</f>
        <v>0</v>
      </c>
      <c r="W1140">
        <v>0</v>
      </c>
      <c r="X1140">
        <v>3</v>
      </c>
      <c r="Y1140">
        <v>11</v>
      </c>
      <c r="Z1140">
        <v>0</v>
      </c>
      <c r="AA1140">
        <v>60</v>
      </c>
      <c r="AB1140">
        <v>2733</v>
      </c>
      <c r="AC1140" s="28">
        <f>ifood_data[[#This Row],[Customer_Days]]/365</f>
        <v>7.4876712328767123</v>
      </c>
      <c r="AD1140">
        <v>0</v>
      </c>
      <c r="AE1140">
        <v>0</v>
      </c>
      <c r="AF1140">
        <v>1</v>
      </c>
      <c r="AG1140">
        <v>0</v>
      </c>
      <c r="AH1140">
        <v>0</v>
      </c>
      <c r="AI1140">
        <v>0</v>
      </c>
      <c r="AJ1140">
        <v>0</v>
      </c>
      <c r="AK1140">
        <v>1</v>
      </c>
      <c r="AL1140">
        <v>0</v>
      </c>
      <c r="AM1140">
        <v>0</v>
      </c>
      <c r="AN1140">
        <v>344</v>
      </c>
      <c r="AO1140">
        <v>317</v>
      </c>
      <c r="AP1140">
        <f>ifood_data[[#This Row],[MntTotal]]-ifood_data[[#This Row],[MntRegularProds]]</f>
        <v>27</v>
      </c>
      <c r="AQ1140">
        <v>0</v>
      </c>
      <c r="AR1140">
        <f>IF(SUM(ifood_data[[#This Row],[Kidhome]:[Teenhome]])&gt;0,1,0)</f>
        <v>1</v>
      </c>
      <c r="AS1140" t="str">
        <f>IF(SUM(ifood_data[[#This Row],[Kidhome]:[Teenhome]])&gt;0,"Has Family","No Family")</f>
        <v>Has Family</v>
      </c>
      <c r="AT1140" t="str">
        <f>IF(ifood_data[[#This Row],[marital_Married]]=1,"Married", (IF(ifood_data[[#This Row],[marital_Single]]=1,"Single",(IF(ifood_data[[#This Row],[marital_Divorced]]=1,"Divorced",(IF(ifood_data[[#This Row],[marital_Together]]=1,"Living Together",(IF(ifood_data[[#This Row],[marital_Widow]]=1,"Widow","Other")))))))))</f>
        <v>Single</v>
      </c>
      <c r="AU1140" t="str">
        <f>IF(ifood_data[[#This Row],[education_Basic]]=1,"High School",(IF(ifood_data[[#This Row],[education_Graduation]]=1,"Undergraduate Degree",(IF(SUM(AM1140,AL1140,AI1140)&gt;0,"Master's Degree or Higher","Other")))))</f>
        <v>Undergraduate Degree</v>
      </c>
      <c r="AV1140" t="str">
        <f>IF(ifood_data[[#All],[Income]]&gt;75000,"75K+",(IF(ifood_data[[#All],[Income]]&gt;50000,"50K-75K",(IF(ifood_data[[#All],[Income]]&gt;35000,"35K-50K","&lt;35K")))))</f>
        <v>35K-50K</v>
      </c>
      <c r="AW1140" t="str">
        <f>IF(ifood_data[[#All],[Age]]&gt;60,"60+",(IF(ifood_data[[#All],[Age]]&gt;50,"50-60",(IF(ifood_data[[#All],[Age]]&gt;40,"40-50",(IF(ifood_data[[#All],[Age]]&gt;30,"30-40","&lt;30")))))))</f>
        <v>50-60</v>
      </c>
      <c r="AX1140">
        <f t="shared" si="68"/>
        <v>25</v>
      </c>
      <c r="AY1140">
        <f t="shared" si="69"/>
        <v>10</v>
      </c>
      <c r="AZ1140">
        <f t="shared" si="70"/>
        <v>7</v>
      </c>
      <c r="BA1140">
        <f t="shared" si="71"/>
        <v>5</v>
      </c>
      <c r="BB1140">
        <f>SUM(ifood_data[[#This Row],[Recency Score]:[Monetary Score]])</f>
        <v>22</v>
      </c>
      <c r="BC1140">
        <f>(_xlfn.PERCENTRANK.INC(ifood_data[[#All],[RFM]],ifood_data[[#This Row],[RFM]],1))*10</f>
        <v>8</v>
      </c>
      <c r="BD1140" t="str">
        <f>VLOOKUP(ifood_data[[#This Row],[RFM Score]],'RFM Analysis'!$A$3:$B$14,2,FALSE)</f>
        <v>Loyal Customer</v>
      </c>
      <c r="BE1140">
        <f>'Regression Models'!$B$101+'Regression Models'!$B$102*ifood_data[[#This Row],[Income]]+'Regression Models'!$B$103*ifood_data[[#This Row],[Age]]+'Regression Models'!$B$104*ifood_data[[#This Row],[Family]]</f>
        <v>409.47708522809307</v>
      </c>
      <c r="BF1140" t="str">
        <f>IF(ifood_data[[#This Row],[AcceptedCmpOverall]]=1,"Campaign Respondent","Non-respondent")</f>
        <v>Non-respondent</v>
      </c>
    </row>
    <row r="1141" spans="1:58" x14ac:dyDescent="0.35">
      <c r="A1141">
        <v>273</v>
      </c>
      <c r="B1141">
        <v>32414</v>
      </c>
      <c r="C1141">
        <v>0</v>
      </c>
      <c r="D1141">
        <v>0</v>
      </c>
      <c r="E1141">
        <v>11</v>
      </c>
      <c r="F1141">
        <v>20</v>
      </c>
      <c r="G1141">
        <v>6</v>
      </c>
      <c r="H1141">
        <v>5</v>
      </c>
      <c r="I1141">
        <v>0</v>
      </c>
      <c r="J1141">
        <v>9</v>
      </c>
      <c r="K1141">
        <v>12</v>
      </c>
      <c r="L1141">
        <v>1</v>
      </c>
      <c r="M1141">
        <v>1</v>
      </c>
      <c r="N1141">
        <v>0</v>
      </c>
      <c r="O1141">
        <v>3</v>
      </c>
      <c r="P1141">
        <v>7</v>
      </c>
      <c r="Q1141">
        <v>0</v>
      </c>
      <c r="R1141">
        <v>0</v>
      </c>
      <c r="S1141">
        <v>1</v>
      </c>
      <c r="T1141">
        <v>0</v>
      </c>
      <c r="U1141">
        <v>0</v>
      </c>
      <c r="V1141">
        <f>IF(SUM(ifood_data[[#This Row],[AcceptedCmp1]:[AcceptedCmp5]])&gt;0,1,0)</f>
        <v>1</v>
      </c>
      <c r="W1141">
        <v>0</v>
      </c>
      <c r="X1141">
        <v>3</v>
      </c>
      <c r="Y1141">
        <v>11</v>
      </c>
      <c r="Z1141">
        <v>0</v>
      </c>
      <c r="AA1141">
        <v>36</v>
      </c>
      <c r="AB1141">
        <v>2519</v>
      </c>
      <c r="AC1141" s="28">
        <f>ifood_data[[#This Row],[Customer_Days]]/365</f>
        <v>6.9013698630136986</v>
      </c>
      <c r="AD1141">
        <v>0</v>
      </c>
      <c r="AE1141">
        <v>0</v>
      </c>
      <c r="AF1141">
        <v>0</v>
      </c>
      <c r="AG1141">
        <v>1</v>
      </c>
      <c r="AH1141">
        <v>0</v>
      </c>
      <c r="AI1141">
        <v>1</v>
      </c>
      <c r="AJ1141">
        <v>0</v>
      </c>
      <c r="AK1141">
        <v>0</v>
      </c>
      <c r="AL1141">
        <v>0</v>
      </c>
      <c r="AM1141">
        <v>0</v>
      </c>
      <c r="AN1141">
        <v>40</v>
      </c>
      <c r="AO1141">
        <v>28</v>
      </c>
      <c r="AP1141">
        <f>ifood_data[[#This Row],[MntTotal]]-ifood_data[[#This Row],[MntRegularProds]]</f>
        <v>12</v>
      </c>
      <c r="AQ1141">
        <v>1</v>
      </c>
      <c r="AR1141">
        <f>IF(SUM(ifood_data[[#This Row],[Kidhome]:[Teenhome]])&gt;0,1,0)</f>
        <v>0</v>
      </c>
      <c r="AS1141" t="str">
        <f>IF(SUM(ifood_data[[#This Row],[Kidhome]:[Teenhome]])&gt;0,"Has Family","No Family")</f>
        <v>No Family</v>
      </c>
      <c r="AT1141" t="str">
        <f>IF(ifood_data[[#This Row],[marital_Married]]=1,"Married", (IF(ifood_data[[#This Row],[marital_Single]]=1,"Single",(IF(ifood_data[[#This Row],[marital_Divorced]]=1,"Divorced",(IF(ifood_data[[#This Row],[marital_Together]]=1,"Living Together",(IF(ifood_data[[#This Row],[marital_Widow]]=1,"Widow","Other")))))))))</f>
        <v>Living Together</v>
      </c>
      <c r="AU1141" t="str">
        <f>IF(ifood_data[[#This Row],[education_Basic]]=1,"High School",(IF(ifood_data[[#This Row],[education_Graduation]]=1,"Undergraduate Degree",(IF(SUM(AM1141,AL1141,AI1141)&gt;0,"Master's Degree or Higher","Other")))))</f>
        <v>Master's Degree or Higher</v>
      </c>
      <c r="AV1141" t="str">
        <f>IF(ifood_data[[#All],[Income]]&gt;75000,"75K+",(IF(ifood_data[[#All],[Income]]&gt;50000,"50K-75K",(IF(ifood_data[[#All],[Income]]&gt;35000,"35K-50K","&lt;35K")))))</f>
        <v>&lt;35K</v>
      </c>
      <c r="AW1141" t="str">
        <f>IF(ifood_data[[#All],[Age]]&gt;60,"60+",(IF(ifood_data[[#All],[Age]]&gt;50,"50-60",(IF(ifood_data[[#All],[Age]]&gt;40,"40-50",(IF(ifood_data[[#All],[Age]]&gt;30,"30-40","&lt;30")))))))</f>
        <v>30-40</v>
      </c>
      <c r="AX1141">
        <f t="shared" si="68"/>
        <v>12</v>
      </c>
      <c r="AY1141">
        <f t="shared" si="69"/>
        <v>9</v>
      </c>
      <c r="AZ1141">
        <f t="shared" si="70"/>
        <v>1</v>
      </c>
      <c r="BA1141">
        <f t="shared" si="71"/>
        <v>1</v>
      </c>
      <c r="BB1141">
        <f>SUM(ifood_data[[#This Row],[Recency Score]:[Monetary Score]])</f>
        <v>11</v>
      </c>
      <c r="BC1141">
        <f>(_xlfn.PERCENTRANK.INC(ifood_data[[#All],[RFM]],ifood_data[[#This Row],[RFM]],1))*10</f>
        <v>2</v>
      </c>
      <c r="BD1141" t="str">
        <f>VLOOKUP(ifood_data[[#This Row],[RFM Score]],'RFM Analysis'!$A$3:$B$14,2,FALSE)</f>
        <v>At Risk</v>
      </c>
      <c r="BE1141">
        <f>'Regression Models'!$B$101+'Regression Models'!$B$102*ifood_data[[#This Row],[Income]]+'Regression Models'!$B$103*ifood_data[[#This Row],[Age]]+'Regression Models'!$B$104*ifood_data[[#This Row],[Family]]</f>
        <v>406.95446750167838</v>
      </c>
      <c r="BF1141" t="str">
        <f>IF(ifood_data[[#This Row],[AcceptedCmpOverall]]=1,"Campaign Respondent","Non-respondent")</f>
        <v>Campaign Respondent</v>
      </c>
    </row>
    <row r="1142" spans="1:58" x14ac:dyDescent="0.35">
      <c r="A1142">
        <v>881</v>
      </c>
      <c r="B1142">
        <v>46107</v>
      </c>
      <c r="C1142">
        <v>1</v>
      </c>
      <c r="D1142">
        <v>0</v>
      </c>
      <c r="E1142">
        <v>78</v>
      </c>
      <c r="F1142">
        <v>31</v>
      </c>
      <c r="G1142">
        <v>9</v>
      </c>
      <c r="H1142">
        <v>27</v>
      </c>
      <c r="I1142">
        <v>16</v>
      </c>
      <c r="J1142">
        <v>9</v>
      </c>
      <c r="K1142">
        <v>33</v>
      </c>
      <c r="L1142">
        <v>1</v>
      </c>
      <c r="M1142">
        <v>1</v>
      </c>
      <c r="N1142">
        <v>1</v>
      </c>
      <c r="O1142">
        <v>4</v>
      </c>
      <c r="P1142">
        <v>3</v>
      </c>
      <c r="Q1142">
        <v>0</v>
      </c>
      <c r="R1142">
        <v>0</v>
      </c>
      <c r="S1142">
        <v>0</v>
      </c>
      <c r="T1142">
        <v>0</v>
      </c>
      <c r="U1142">
        <v>0</v>
      </c>
      <c r="V1142">
        <f>IF(SUM(ifood_data[[#This Row],[AcceptedCmp1]:[AcceptedCmp5]])&gt;0,1,0)</f>
        <v>0</v>
      </c>
      <c r="W1142">
        <v>0</v>
      </c>
      <c r="X1142">
        <v>3</v>
      </c>
      <c r="Y1142">
        <v>11</v>
      </c>
      <c r="Z1142">
        <v>0</v>
      </c>
      <c r="AA1142">
        <v>31</v>
      </c>
      <c r="AB1142">
        <v>2298</v>
      </c>
      <c r="AC1142" s="28">
        <f>ifood_data[[#This Row],[Customer_Days]]/365</f>
        <v>6.2958904109589042</v>
      </c>
      <c r="AD1142">
        <v>0</v>
      </c>
      <c r="AE1142">
        <v>0</v>
      </c>
      <c r="AF1142">
        <v>1</v>
      </c>
      <c r="AG1142">
        <v>0</v>
      </c>
      <c r="AH1142">
        <v>0</v>
      </c>
      <c r="AI1142">
        <v>0</v>
      </c>
      <c r="AJ1142">
        <v>0</v>
      </c>
      <c r="AK1142">
        <v>1</v>
      </c>
      <c r="AL1142">
        <v>0</v>
      </c>
      <c r="AM1142">
        <v>0</v>
      </c>
      <c r="AN1142">
        <v>92</v>
      </c>
      <c r="AO1142">
        <v>59</v>
      </c>
      <c r="AP1142">
        <f>ifood_data[[#This Row],[MntTotal]]-ifood_data[[#This Row],[MntRegularProds]]</f>
        <v>33</v>
      </c>
      <c r="AQ1142">
        <v>0</v>
      </c>
      <c r="AR1142">
        <f>IF(SUM(ifood_data[[#This Row],[Kidhome]:[Teenhome]])&gt;0,1,0)</f>
        <v>1</v>
      </c>
      <c r="AS1142" t="str">
        <f>IF(SUM(ifood_data[[#This Row],[Kidhome]:[Teenhome]])&gt;0,"Has Family","No Family")</f>
        <v>Has Family</v>
      </c>
      <c r="AT1142" t="str">
        <f>IF(ifood_data[[#This Row],[marital_Married]]=1,"Married", (IF(ifood_data[[#This Row],[marital_Single]]=1,"Single",(IF(ifood_data[[#This Row],[marital_Divorced]]=1,"Divorced",(IF(ifood_data[[#This Row],[marital_Together]]=1,"Living Together",(IF(ifood_data[[#This Row],[marital_Widow]]=1,"Widow","Other")))))))))</f>
        <v>Single</v>
      </c>
      <c r="AU1142" t="str">
        <f>IF(ifood_data[[#This Row],[education_Basic]]=1,"High School",(IF(ifood_data[[#This Row],[education_Graduation]]=1,"Undergraduate Degree",(IF(SUM(AM1142,AL1142,AI1142)&gt;0,"Master's Degree or Higher","Other")))))</f>
        <v>Undergraduate Degree</v>
      </c>
      <c r="AV1142" t="str">
        <f>IF(ifood_data[[#All],[Income]]&gt;75000,"75K+",(IF(ifood_data[[#All],[Income]]&gt;50000,"50K-75K",(IF(ifood_data[[#All],[Income]]&gt;35000,"35K-50K","&lt;35K")))))</f>
        <v>35K-50K</v>
      </c>
      <c r="AW1142" t="str">
        <f>IF(ifood_data[[#All],[Age]]&gt;60,"60+",(IF(ifood_data[[#All],[Age]]&gt;50,"50-60",(IF(ifood_data[[#All],[Age]]&gt;40,"40-50",(IF(ifood_data[[#All],[Age]]&gt;30,"30-40","&lt;30")))))))</f>
        <v>30-40</v>
      </c>
      <c r="AX1142">
        <f t="shared" si="68"/>
        <v>10</v>
      </c>
      <c r="AY1142">
        <f t="shared" si="69"/>
        <v>3.0000000000000004</v>
      </c>
      <c r="AZ1142">
        <f t="shared" si="70"/>
        <v>0</v>
      </c>
      <c r="BA1142">
        <f t="shared" si="71"/>
        <v>3</v>
      </c>
      <c r="BB1142">
        <f>SUM(ifood_data[[#This Row],[Recency Score]:[Monetary Score]])</f>
        <v>6</v>
      </c>
      <c r="BC1142">
        <f>(_xlfn.PERCENTRANK.INC(ifood_data[[#All],[RFM]],ifood_data[[#This Row],[RFM]],1))*10</f>
        <v>0</v>
      </c>
      <c r="BD1142" t="str">
        <f>VLOOKUP(ifood_data[[#This Row],[RFM Score]],'RFM Analysis'!$A$3:$B$14,2,FALSE)</f>
        <v>Lost</v>
      </c>
      <c r="BE1142">
        <f>'Regression Models'!$B$101+'Regression Models'!$B$102*ifood_data[[#This Row],[Income]]+'Regression Models'!$B$103*ifood_data[[#This Row],[Age]]+'Regression Models'!$B$104*ifood_data[[#This Row],[Family]]</f>
        <v>405.70643401754182</v>
      </c>
      <c r="BF1142" t="str">
        <f>IF(ifood_data[[#This Row],[AcceptedCmpOverall]]=1,"Campaign Respondent","Non-respondent")</f>
        <v>Non-respondent</v>
      </c>
    </row>
    <row r="1143" spans="1:58" x14ac:dyDescent="0.35">
      <c r="A1143">
        <v>1549</v>
      </c>
      <c r="B1143">
        <v>49413</v>
      </c>
      <c r="C1143">
        <v>0</v>
      </c>
      <c r="D1143">
        <v>1</v>
      </c>
      <c r="E1143">
        <v>88</v>
      </c>
      <c r="F1143">
        <v>205</v>
      </c>
      <c r="G1143">
        <v>7</v>
      </c>
      <c r="H1143">
        <v>41</v>
      </c>
      <c r="I1143">
        <v>3</v>
      </c>
      <c r="J1143">
        <v>2</v>
      </c>
      <c r="K1143">
        <v>46</v>
      </c>
      <c r="L1143">
        <v>2</v>
      </c>
      <c r="M1143">
        <v>4</v>
      </c>
      <c r="N1143">
        <v>2</v>
      </c>
      <c r="O1143">
        <v>5</v>
      </c>
      <c r="P1143">
        <v>5</v>
      </c>
      <c r="Q1143">
        <v>0</v>
      </c>
      <c r="R1143">
        <v>0</v>
      </c>
      <c r="S1143">
        <v>0</v>
      </c>
      <c r="T1143">
        <v>0</v>
      </c>
      <c r="U1143">
        <v>0</v>
      </c>
      <c r="V1143">
        <f>IF(SUM(ifood_data[[#This Row],[AcceptedCmp1]:[AcceptedCmp5]])&gt;0,1,0)</f>
        <v>0</v>
      </c>
      <c r="W1143">
        <v>0</v>
      </c>
      <c r="X1143">
        <v>3</v>
      </c>
      <c r="Y1143">
        <v>11</v>
      </c>
      <c r="Z1143">
        <v>0</v>
      </c>
      <c r="AA1143">
        <v>68</v>
      </c>
      <c r="AB1143">
        <v>2406</v>
      </c>
      <c r="AC1143" s="28">
        <f>ifood_data[[#This Row],[Customer_Days]]/365</f>
        <v>6.5917808219178085</v>
      </c>
      <c r="AD1143">
        <v>0</v>
      </c>
      <c r="AE1143">
        <v>1</v>
      </c>
      <c r="AF1143">
        <v>0</v>
      </c>
      <c r="AG1143">
        <v>0</v>
      </c>
      <c r="AH1143">
        <v>0</v>
      </c>
      <c r="AI1143">
        <v>0</v>
      </c>
      <c r="AJ1143">
        <v>0</v>
      </c>
      <c r="AK1143">
        <v>1</v>
      </c>
      <c r="AL1143">
        <v>0</v>
      </c>
      <c r="AM1143">
        <v>0</v>
      </c>
      <c r="AN1143">
        <v>258</v>
      </c>
      <c r="AO1143">
        <v>212</v>
      </c>
      <c r="AP1143">
        <f>ifood_data[[#This Row],[MntTotal]]-ifood_data[[#This Row],[MntRegularProds]]</f>
        <v>46</v>
      </c>
      <c r="AQ1143">
        <v>0</v>
      </c>
      <c r="AR1143">
        <f>IF(SUM(ifood_data[[#This Row],[Kidhome]:[Teenhome]])&gt;0,1,0)</f>
        <v>1</v>
      </c>
      <c r="AS1143" t="str">
        <f>IF(SUM(ifood_data[[#This Row],[Kidhome]:[Teenhome]])&gt;0,"Has Family","No Family")</f>
        <v>Has Family</v>
      </c>
      <c r="AT1143" t="str">
        <f>IF(ifood_data[[#This Row],[marital_Married]]=1,"Married", (IF(ifood_data[[#This Row],[marital_Single]]=1,"Single",(IF(ifood_data[[#This Row],[marital_Divorced]]=1,"Divorced",(IF(ifood_data[[#This Row],[marital_Together]]=1,"Living Together",(IF(ifood_data[[#This Row],[marital_Widow]]=1,"Widow","Other")))))))))</f>
        <v>Married</v>
      </c>
      <c r="AU1143" t="str">
        <f>IF(ifood_data[[#This Row],[education_Basic]]=1,"High School",(IF(ifood_data[[#This Row],[education_Graduation]]=1,"Undergraduate Degree",(IF(SUM(AM1143,AL1143,AI1143)&gt;0,"Master's Degree or Higher","Other")))))</f>
        <v>Undergraduate Degree</v>
      </c>
      <c r="AV1143" t="str">
        <f>IF(ifood_data[[#All],[Income]]&gt;75000,"75K+",(IF(ifood_data[[#All],[Income]]&gt;50000,"50K-75K",(IF(ifood_data[[#All],[Income]]&gt;35000,"35K-50K","&lt;35K")))))</f>
        <v>35K-50K</v>
      </c>
      <c r="AW1143" t="str">
        <f>IF(ifood_data[[#All],[Age]]&gt;60,"60+",(IF(ifood_data[[#All],[Age]]&gt;50,"50-60",(IF(ifood_data[[#All],[Age]]&gt;40,"40-50",(IF(ifood_data[[#All],[Age]]&gt;30,"30-40","&lt;30")))))))</f>
        <v>60+</v>
      </c>
      <c r="AX1143">
        <f t="shared" si="68"/>
        <v>18</v>
      </c>
      <c r="AY1143">
        <f t="shared" si="69"/>
        <v>1.9999999999999996</v>
      </c>
      <c r="AZ1143">
        <f t="shared" si="70"/>
        <v>4</v>
      </c>
      <c r="BA1143">
        <f t="shared" si="71"/>
        <v>4</v>
      </c>
      <c r="BB1143">
        <f>SUM(ifood_data[[#This Row],[Recency Score]:[Monetary Score]])</f>
        <v>10</v>
      </c>
      <c r="BC1143">
        <f>(_xlfn.PERCENTRANK.INC(ifood_data[[#All],[RFM]],ifood_data[[#This Row],[RFM]],1))*10</f>
        <v>2</v>
      </c>
      <c r="BD1143" t="str">
        <f>VLOOKUP(ifood_data[[#This Row],[RFM Score]],'RFM Analysis'!$A$3:$B$14,2,FALSE)</f>
        <v>At Risk</v>
      </c>
      <c r="BE1143">
        <f>'Regression Models'!$B$101+'Regression Models'!$B$102*ifood_data[[#This Row],[Income]]+'Regression Models'!$B$103*ifood_data[[#This Row],[Age]]+'Regression Models'!$B$104*ifood_data[[#This Row],[Family]]</f>
        <v>405.16345558218347</v>
      </c>
      <c r="BF1143" t="str">
        <f>IF(ifood_data[[#This Row],[AcceptedCmpOverall]]=1,"Campaign Respondent","Non-respondent")</f>
        <v>Non-respondent</v>
      </c>
    </row>
    <row r="1144" spans="1:58" x14ac:dyDescent="0.35">
      <c r="A1144">
        <v>1057</v>
      </c>
      <c r="B1144">
        <v>47025</v>
      </c>
      <c r="C1144">
        <v>0</v>
      </c>
      <c r="D1144">
        <v>1</v>
      </c>
      <c r="E1144">
        <v>98</v>
      </c>
      <c r="F1144">
        <v>508</v>
      </c>
      <c r="G1144">
        <v>11</v>
      </c>
      <c r="H1144">
        <v>59</v>
      </c>
      <c r="I1144">
        <v>23</v>
      </c>
      <c r="J1144">
        <v>5</v>
      </c>
      <c r="K1144">
        <v>29</v>
      </c>
      <c r="L1144">
        <v>5</v>
      </c>
      <c r="M1144">
        <v>11</v>
      </c>
      <c r="N1144">
        <v>1</v>
      </c>
      <c r="O1144">
        <v>6</v>
      </c>
      <c r="P1144">
        <v>9</v>
      </c>
      <c r="Q1144">
        <v>0</v>
      </c>
      <c r="R1144">
        <v>0</v>
      </c>
      <c r="S1144">
        <v>0</v>
      </c>
      <c r="T1144">
        <v>0</v>
      </c>
      <c r="U1144">
        <v>0</v>
      </c>
      <c r="V1144">
        <f>IF(SUM(ifood_data[[#This Row],[AcceptedCmp1]:[AcceptedCmp5]])&gt;0,1,0)</f>
        <v>0</v>
      </c>
      <c r="W1144">
        <v>0</v>
      </c>
      <c r="X1144">
        <v>3</v>
      </c>
      <c r="Y1144">
        <v>11</v>
      </c>
      <c r="Z1144">
        <v>0</v>
      </c>
      <c r="AA1144">
        <v>42</v>
      </c>
      <c r="AB1144">
        <v>2449</v>
      </c>
      <c r="AC1144" s="28">
        <f>ifood_data[[#This Row],[Customer_Days]]/365</f>
        <v>6.7095890410958905</v>
      </c>
      <c r="AD1144">
        <v>0</v>
      </c>
      <c r="AE1144">
        <v>1</v>
      </c>
      <c r="AF1144">
        <v>0</v>
      </c>
      <c r="AG1144">
        <v>0</v>
      </c>
      <c r="AH1144">
        <v>0</v>
      </c>
      <c r="AI1144">
        <v>1</v>
      </c>
      <c r="AJ1144">
        <v>0</v>
      </c>
      <c r="AK1144">
        <v>0</v>
      </c>
      <c r="AL1144">
        <v>0</v>
      </c>
      <c r="AM1144">
        <v>0</v>
      </c>
      <c r="AN1144">
        <v>606</v>
      </c>
      <c r="AO1144">
        <v>577</v>
      </c>
      <c r="AP1144">
        <f>ifood_data[[#This Row],[MntTotal]]-ifood_data[[#This Row],[MntRegularProds]]</f>
        <v>29</v>
      </c>
      <c r="AQ1144">
        <v>0</v>
      </c>
      <c r="AR1144">
        <f>IF(SUM(ifood_data[[#This Row],[Kidhome]:[Teenhome]])&gt;0,1,0)</f>
        <v>1</v>
      </c>
      <c r="AS1144" t="str">
        <f>IF(SUM(ifood_data[[#This Row],[Kidhome]:[Teenhome]])&gt;0,"Has Family","No Family")</f>
        <v>Has Family</v>
      </c>
      <c r="AT1144" t="str">
        <f>IF(ifood_data[[#This Row],[marital_Married]]=1,"Married", (IF(ifood_data[[#This Row],[marital_Single]]=1,"Single",(IF(ifood_data[[#This Row],[marital_Divorced]]=1,"Divorced",(IF(ifood_data[[#This Row],[marital_Together]]=1,"Living Together",(IF(ifood_data[[#This Row],[marital_Widow]]=1,"Widow","Other")))))))))</f>
        <v>Married</v>
      </c>
      <c r="AU1144" t="str">
        <f>IF(ifood_data[[#This Row],[education_Basic]]=1,"High School",(IF(ifood_data[[#This Row],[education_Graduation]]=1,"Undergraduate Degree",(IF(SUM(AM1144,AL1144,AI1144)&gt;0,"Master's Degree or Higher","Other")))))</f>
        <v>Master's Degree or Higher</v>
      </c>
      <c r="AV1144" t="str">
        <f>IF(ifood_data[[#All],[Income]]&gt;75000,"75K+",(IF(ifood_data[[#All],[Income]]&gt;50000,"50K-75K",(IF(ifood_data[[#All],[Income]]&gt;35000,"35K-50K","&lt;35K")))))</f>
        <v>35K-50K</v>
      </c>
      <c r="AW1144" t="str">
        <f>IF(ifood_data[[#All],[Age]]&gt;60,"60+",(IF(ifood_data[[#All],[Age]]&gt;50,"50-60",(IF(ifood_data[[#All],[Age]]&gt;40,"40-50",(IF(ifood_data[[#All],[Age]]&gt;30,"30-40","&lt;30")))))))</f>
        <v>40-50</v>
      </c>
      <c r="AX1144">
        <f t="shared" si="68"/>
        <v>32</v>
      </c>
      <c r="AY1144">
        <f t="shared" si="69"/>
        <v>0.99999999999999978</v>
      </c>
      <c r="AZ1144">
        <f t="shared" si="70"/>
        <v>9</v>
      </c>
      <c r="BA1144">
        <f t="shared" si="71"/>
        <v>6</v>
      </c>
      <c r="BB1144">
        <f>SUM(ifood_data[[#This Row],[Recency Score]:[Monetary Score]])</f>
        <v>16</v>
      </c>
      <c r="BC1144">
        <f>(_xlfn.PERCENTRANK.INC(ifood_data[[#All],[RFM]],ifood_data[[#This Row],[RFM]],1))*10</f>
        <v>5</v>
      </c>
      <c r="BD1144" t="str">
        <f>VLOOKUP(ifood_data[[#This Row],[RFM Score]],'RFM Analysis'!$A$3:$B$14,2,FALSE)</f>
        <v>Promising</v>
      </c>
      <c r="BE1144">
        <f>'Regression Models'!$B$101+'Regression Models'!$B$102*ifood_data[[#This Row],[Income]]+'Regression Models'!$B$103*ifood_data[[#This Row],[Age]]+'Regression Models'!$B$104*ifood_data[[#This Row],[Family]]</f>
        <v>404.22249330580405</v>
      </c>
      <c r="BF1144" t="str">
        <f>IF(ifood_data[[#This Row],[AcceptedCmpOverall]]=1,"Campaign Respondent","Non-respondent")</f>
        <v>Non-respondent</v>
      </c>
    </row>
    <row r="1145" spans="1:58" x14ac:dyDescent="0.35">
      <c r="A1145">
        <v>272</v>
      </c>
      <c r="B1145">
        <v>35416</v>
      </c>
      <c r="C1145">
        <v>0</v>
      </c>
      <c r="D1145">
        <v>0</v>
      </c>
      <c r="E1145">
        <v>62</v>
      </c>
      <c r="F1145">
        <v>248</v>
      </c>
      <c r="G1145">
        <v>3</v>
      </c>
      <c r="H1145">
        <v>81</v>
      </c>
      <c r="I1145">
        <v>4</v>
      </c>
      <c r="J1145">
        <v>3</v>
      </c>
      <c r="K1145">
        <v>51</v>
      </c>
      <c r="L1145">
        <v>3</v>
      </c>
      <c r="M1145">
        <v>7</v>
      </c>
      <c r="N1145">
        <v>1</v>
      </c>
      <c r="O1145">
        <v>5</v>
      </c>
      <c r="P1145">
        <v>8</v>
      </c>
      <c r="Q1145">
        <v>0</v>
      </c>
      <c r="R1145">
        <v>0</v>
      </c>
      <c r="S1145">
        <v>0</v>
      </c>
      <c r="T1145">
        <v>0</v>
      </c>
      <c r="U1145">
        <v>0</v>
      </c>
      <c r="V1145">
        <f>IF(SUM(ifood_data[[#This Row],[AcceptedCmp1]:[AcceptedCmp5]])&gt;0,1,0)</f>
        <v>0</v>
      </c>
      <c r="W1145">
        <v>0</v>
      </c>
      <c r="X1145">
        <v>3</v>
      </c>
      <c r="Y1145">
        <v>11</v>
      </c>
      <c r="Z1145">
        <v>0</v>
      </c>
      <c r="AA1145">
        <v>71</v>
      </c>
      <c r="AB1145">
        <v>2540</v>
      </c>
      <c r="AC1145" s="28">
        <f>ifood_data[[#This Row],[Customer_Days]]/365</f>
        <v>6.9589041095890414</v>
      </c>
      <c r="AD1145">
        <v>1</v>
      </c>
      <c r="AE1145">
        <v>0</v>
      </c>
      <c r="AF1145">
        <v>0</v>
      </c>
      <c r="AG1145">
        <v>0</v>
      </c>
      <c r="AH1145">
        <v>0</v>
      </c>
      <c r="AI1145">
        <v>0</v>
      </c>
      <c r="AJ1145">
        <v>0</v>
      </c>
      <c r="AK1145">
        <v>0</v>
      </c>
      <c r="AL1145">
        <v>1</v>
      </c>
      <c r="AM1145">
        <v>0</v>
      </c>
      <c r="AN1145">
        <v>339</v>
      </c>
      <c r="AO1145">
        <v>288</v>
      </c>
      <c r="AP1145">
        <f>ifood_data[[#This Row],[MntTotal]]-ifood_data[[#This Row],[MntRegularProds]]</f>
        <v>51</v>
      </c>
      <c r="AQ1145">
        <v>0</v>
      </c>
      <c r="AR1145">
        <f>IF(SUM(ifood_data[[#This Row],[Kidhome]:[Teenhome]])&gt;0,1,0)</f>
        <v>0</v>
      </c>
      <c r="AS1145" t="str">
        <f>IF(SUM(ifood_data[[#This Row],[Kidhome]:[Teenhome]])&gt;0,"Has Family","No Family")</f>
        <v>No Family</v>
      </c>
      <c r="AT1145" t="str">
        <f>IF(ifood_data[[#This Row],[marital_Married]]=1,"Married", (IF(ifood_data[[#This Row],[marital_Single]]=1,"Single",(IF(ifood_data[[#This Row],[marital_Divorced]]=1,"Divorced",(IF(ifood_data[[#This Row],[marital_Together]]=1,"Living Together",(IF(ifood_data[[#This Row],[marital_Widow]]=1,"Widow","Other")))))))))</f>
        <v>Divorced</v>
      </c>
      <c r="AU1145" t="str">
        <f>IF(ifood_data[[#This Row],[education_Basic]]=1,"High School",(IF(ifood_data[[#This Row],[education_Graduation]]=1,"Undergraduate Degree",(IF(SUM(AM1145,AL1145,AI1145)&gt;0,"Master's Degree or Higher","Other")))))</f>
        <v>Master's Degree or Higher</v>
      </c>
      <c r="AV1145" t="str">
        <f>IF(ifood_data[[#All],[Income]]&gt;75000,"75K+",(IF(ifood_data[[#All],[Income]]&gt;50000,"50K-75K",(IF(ifood_data[[#All],[Income]]&gt;35000,"35K-50K","&lt;35K")))))</f>
        <v>35K-50K</v>
      </c>
      <c r="AW1145" t="str">
        <f>IF(ifood_data[[#All],[Age]]&gt;60,"60+",(IF(ifood_data[[#All],[Age]]&gt;50,"50-60",(IF(ifood_data[[#All],[Age]]&gt;40,"40-50",(IF(ifood_data[[#All],[Age]]&gt;30,"30-40","&lt;30")))))))</f>
        <v>60+</v>
      </c>
      <c r="AX1145">
        <f t="shared" si="68"/>
        <v>24</v>
      </c>
      <c r="AY1145">
        <f t="shared" si="69"/>
        <v>4</v>
      </c>
      <c r="AZ1145">
        <f t="shared" si="70"/>
        <v>6</v>
      </c>
      <c r="BA1145">
        <f t="shared" si="71"/>
        <v>4</v>
      </c>
      <c r="BB1145">
        <f>SUM(ifood_data[[#This Row],[Recency Score]:[Monetary Score]])</f>
        <v>14</v>
      </c>
      <c r="BC1145">
        <f>(_xlfn.PERCENTRANK.INC(ifood_data[[#All],[RFM]],ifood_data[[#This Row],[RFM]],1))*10</f>
        <v>4</v>
      </c>
      <c r="BD1145" t="str">
        <f>VLOOKUP(ifood_data[[#This Row],[RFM Score]],'RFM Analysis'!$A$3:$B$14,2,FALSE)</f>
        <v>At Risk</v>
      </c>
      <c r="BE1145">
        <f>'Regression Models'!$B$101+'Regression Models'!$B$102*ifood_data[[#This Row],[Income]]+'Regression Models'!$B$103*ifood_data[[#This Row],[Age]]+'Regression Models'!$B$104*ifood_data[[#This Row],[Family]]</f>
        <v>403.88618170836321</v>
      </c>
      <c r="BF1145" t="str">
        <f>IF(ifood_data[[#This Row],[AcceptedCmpOverall]]=1,"Campaign Respondent","Non-respondent")</f>
        <v>Non-respondent</v>
      </c>
    </row>
    <row r="1146" spans="1:58" x14ac:dyDescent="0.35">
      <c r="A1146">
        <v>34</v>
      </c>
      <c r="B1146">
        <v>49389</v>
      </c>
      <c r="C1146">
        <v>1</v>
      </c>
      <c r="D1146">
        <v>1</v>
      </c>
      <c r="E1146">
        <v>55</v>
      </c>
      <c r="F1146">
        <v>40</v>
      </c>
      <c r="G1146">
        <v>0</v>
      </c>
      <c r="H1146">
        <v>19</v>
      </c>
      <c r="I1146">
        <v>2</v>
      </c>
      <c r="J1146">
        <v>1</v>
      </c>
      <c r="K1146">
        <v>3</v>
      </c>
      <c r="L1146">
        <v>1</v>
      </c>
      <c r="M1146">
        <v>2</v>
      </c>
      <c r="N1146">
        <v>0</v>
      </c>
      <c r="O1146">
        <v>3</v>
      </c>
      <c r="P1146">
        <v>7</v>
      </c>
      <c r="Q1146">
        <v>0</v>
      </c>
      <c r="R1146">
        <v>0</v>
      </c>
      <c r="S1146">
        <v>0</v>
      </c>
      <c r="T1146">
        <v>0</v>
      </c>
      <c r="U1146">
        <v>0</v>
      </c>
      <c r="V1146">
        <f>IF(SUM(ifood_data[[#This Row],[AcceptedCmp1]:[AcceptedCmp5]])&gt;0,1,0)</f>
        <v>0</v>
      </c>
      <c r="W1146">
        <v>0</v>
      </c>
      <c r="X1146">
        <v>3</v>
      </c>
      <c r="Y1146">
        <v>11</v>
      </c>
      <c r="Z1146">
        <v>0</v>
      </c>
      <c r="AA1146">
        <v>69</v>
      </c>
      <c r="AB1146">
        <v>2463</v>
      </c>
      <c r="AC1146" s="28">
        <f>ifood_data[[#This Row],[Customer_Days]]/365</f>
        <v>6.7479452054794518</v>
      </c>
      <c r="AD1146">
        <v>0</v>
      </c>
      <c r="AE1146">
        <v>0</v>
      </c>
      <c r="AF1146">
        <v>1</v>
      </c>
      <c r="AG1146">
        <v>0</v>
      </c>
      <c r="AH1146">
        <v>0</v>
      </c>
      <c r="AI1146">
        <v>0</v>
      </c>
      <c r="AJ1146">
        <v>0</v>
      </c>
      <c r="AK1146">
        <v>0</v>
      </c>
      <c r="AL1146">
        <v>1</v>
      </c>
      <c r="AM1146">
        <v>0</v>
      </c>
      <c r="AN1146">
        <v>62</v>
      </c>
      <c r="AO1146">
        <v>59</v>
      </c>
      <c r="AP1146">
        <f>ifood_data[[#This Row],[MntTotal]]-ifood_data[[#This Row],[MntRegularProds]]</f>
        <v>3</v>
      </c>
      <c r="AQ1146">
        <v>0</v>
      </c>
      <c r="AR1146">
        <f>IF(SUM(ifood_data[[#This Row],[Kidhome]:[Teenhome]])&gt;0,1,0)</f>
        <v>1</v>
      </c>
      <c r="AS1146" t="str">
        <f>IF(SUM(ifood_data[[#This Row],[Kidhome]:[Teenhome]])&gt;0,"Has Family","No Family")</f>
        <v>Has Family</v>
      </c>
      <c r="AT1146" t="str">
        <f>IF(ifood_data[[#This Row],[marital_Married]]=1,"Married", (IF(ifood_data[[#This Row],[marital_Single]]=1,"Single",(IF(ifood_data[[#This Row],[marital_Divorced]]=1,"Divorced",(IF(ifood_data[[#This Row],[marital_Together]]=1,"Living Together",(IF(ifood_data[[#This Row],[marital_Widow]]=1,"Widow","Other")))))))))</f>
        <v>Single</v>
      </c>
      <c r="AU1146" t="str">
        <f>IF(ifood_data[[#This Row],[education_Basic]]=1,"High School",(IF(ifood_data[[#This Row],[education_Graduation]]=1,"Undergraduate Degree",(IF(SUM(AM1146,AL1146,AI1146)&gt;0,"Master's Degree or Higher","Other")))))</f>
        <v>Master's Degree or Higher</v>
      </c>
      <c r="AV1146" t="str">
        <f>IF(ifood_data[[#All],[Income]]&gt;75000,"75K+",(IF(ifood_data[[#All],[Income]]&gt;50000,"50K-75K",(IF(ifood_data[[#All],[Income]]&gt;35000,"35K-50K","&lt;35K")))))</f>
        <v>35K-50K</v>
      </c>
      <c r="AW1146" t="str">
        <f>IF(ifood_data[[#All],[Age]]&gt;60,"60+",(IF(ifood_data[[#All],[Age]]&gt;50,"50-60",(IF(ifood_data[[#All],[Age]]&gt;40,"40-50",(IF(ifood_data[[#All],[Age]]&gt;30,"30-40","&lt;30")))))))</f>
        <v>60+</v>
      </c>
      <c r="AX1146">
        <f t="shared" si="68"/>
        <v>13</v>
      </c>
      <c r="AY1146">
        <f t="shared" si="69"/>
        <v>5</v>
      </c>
      <c r="AZ1146">
        <f t="shared" si="70"/>
        <v>1</v>
      </c>
      <c r="BA1146">
        <f t="shared" si="71"/>
        <v>2</v>
      </c>
      <c r="BB1146">
        <f>SUM(ifood_data[[#This Row],[Recency Score]:[Monetary Score]])</f>
        <v>8</v>
      </c>
      <c r="BC1146">
        <f>(_xlfn.PERCENTRANK.INC(ifood_data[[#All],[RFM]],ifood_data[[#This Row],[RFM]],1))*10</f>
        <v>1</v>
      </c>
      <c r="BD1146" t="str">
        <f>VLOOKUP(ifood_data[[#This Row],[RFM Score]],'RFM Analysis'!$A$3:$B$14,2,FALSE)</f>
        <v>At Risk</v>
      </c>
      <c r="BE1146">
        <f>'Regression Models'!$B$101+'Regression Models'!$B$102*ifood_data[[#This Row],[Income]]+'Regression Models'!$B$103*ifood_data[[#This Row],[Age]]+'Regression Models'!$B$104*ifood_data[[#This Row],[Family]]</f>
        <v>402.83768606783553</v>
      </c>
      <c r="BF1146" t="str">
        <f>IF(ifood_data[[#This Row],[AcceptedCmpOverall]]=1,"Campaign Respondent","Non-respondent")</f>
        <v>Non-respondent</v>
      </c>
    </row>
    <row r="1147" spans="1:58" x14ac:dyDescent="0.35">
      <c r="A1147">
        <v>1284</v>
      </c>
      <c r="B1147">
        <v>47025</v>
      </c>
      <c r="C1147">
        <v>0</v>
      </c>
      <c r="D1147">
        <v>1</v>
      </c>
      <c r="E1147">
        <v>52</v>
      </c>
      <c r="F1147">
        <v>254</v>
      </c>
      <c r="G1147">
        <v>7</v>
      </c>
      <c r="H1147">
        <v>108</v>
      </c>
      <c r="I1147">
        <v>20</v>
      </c>
      <c r="J1147">
        <v>0</v>
      </c>
      <c r="K1147">
        <v>26</v>
      </c>
      <c r="L1147">
        <v>3</v>
      </c>
      <c r="M1147">
        <v>6</v>
      </c>
      <c r="N1147">
        <v>3</v>
      </c>
      <c r="O1147">
        <v>5</v>
      </c>
      <c r="P1147">
        <v>6</v>
      </c>
      <c r="Q1147">
        <v>0</v>
      </c>
      <c r="R1147">
        <v>0</v>
      </c>
      <c r="S1147">
        <v>0</v>
      </c>
      <c r="T1147">
        <v>0</v>
      </c>
      <c r="U1147">
        <v>0</v>
      </c>
      <c r="V1147">
        <f>IF(SUM(ifood_data[[#This Row],[AcceptedCmp1]:[AcceptedCmp5]])&gt;0,1,0)</f>
        <v>0</v>
      </c>
      <c r="W1147">
        <v>0</v>
      </c>
      <c r="X1147">
        <v>3</v>
      </c>
      <c r="Y1147">
        <v>11</v>
      </c>
      <c r="Z1147">
        <v>0</v>
      </c>
      <c r="AA1147">
        <v>44</v>
      </c>
      <c r="AB1147">
        <v>2393</v>
      </c>
      <c r="AC1147" s="28">
        <f>ifood_data[[#This Row],[Customer_Days]]/365</f>
        <v>6.5561643835616437</v>
      </c>
      <c r="AD1147">
        <v>0</v>
      </c>
      <c r="AE1147">
        <v>0</v>
      </c>
      <c r="AF1147">
        <v>1</v>
      </c>
      <c r="AG1147">
        <v>0</v>
      </c>
      <c r="AH1147">
        <v>0</v>
      </c>
      <c r="AI1147">
        <v>0</v>
      </c>
      <c r="AJ1147">
        <v>0</v>
      </c>
      <c r="AK1147">
        <v>1</v>
      </c>
      <c r="AL1147">
        <v>0</v>
      </c>
      <c r="AM1147">
        <v>0</v>
      </c>
      <c r="AN1147">
        <v>389</v>
      </c>
      <c r="AO1147">
        <v>363</v>
      </c>
      <c r="AP1147">
        <f>ifood_data[[#This Row],[MntTotal]]-ifood_data[[#This Row],[MntRegularProds]]</f>
        <v>26</v>
      </c>
      <c r="AQ1147">
        <v>0</v>
      </c>
      <c r="AR1147">
        <f>IF(SUM(ifood_data[[#This Row],[Kidhome]:[Teenhome]])&gt;0,1,0)</f>
        <v>1</v>
      </c>
      <c r="AS1147" t="str">
        <f>IF(SUM(ifood_data[[#This Row],[Kidhome]:[Teenhome]])&gt;0,"Has Family","No Family")</f>
        <v>Has Family</v>
      </c>
      <c r="AT1147" t="str">
        <f>IF(ifood_data[[#This Row],[marital_Married]]=1,"Married", (IF(ifood_data[[#This Row],[marital_Single]]=1,"Single",(IF(ifood_data[[#This Row],[marital_Divorced]]=1,"Divorced",(IF(ifood_data[[#This Row],[marital_Together]]=1,"Living Together",(IF(ifood_data[[#This Row],[marital_Widow]]=1,"Widow","Other")))))))))</f>
        <v>Single</v>
      </c>
      <c r="AU1147" t="str">
        <f>IF(ifood_data[[#This Row],[education_Basic]]=1,"High School",(IF(ifood_data[[#This Row],[education_Graduation]]=1,"Undergraduate Degree",(IF(SUM(AM1147,AL1147,AI1147)&gt;0,"Master's Degree or Higher","Other")))))</f>
        <v>Undergraduate Degree</v>
      </c>
      <c r="AV1147" t="str">
        <f>IF(ifood_data[[#All],[Income]]&gt;75000,"75K+",(IF(ifood_data[[#All],[Income]]&gt;50000,"50K-75K",(IF(ifood_data[[#All],[Income]]&gt;35000,"35K-50K","&lt;35K")))))</f>
        <v>35K-50K</v>
      </c>
      <c r="AW1147" t="str">
        <f>IF(ifood_data[[#All],[Age]]&gt;60,"60+",(IF(ifood_data[[#All],[Age]]&gt;50,"50-60",(IF(ifood_data[[#All],[Age]]&gt;40,"40-50",(IF(ifood_data[[#All],[Age]]&gt;30,"30-40","&lt;30")))))))</f>
        <v>40-50</v>
      </c>
      <c r="AX1147">
        <f t="shared" si="68"/>
        <v>23</v>
      </c>
      <c r="AY1147">
        <f t="shared" si="69"/>
        <v>5</v>
      </c>
      <c r="AZ1147">
        <f t="shared" si="70"/>
        <v>6</v>
      </c>
      <c r="BA1147">
        <f t="shared" si="71"/>
        <v>5</v>
      </c>
      <c r="BB1147">
        <f>SUM(ifood_data[[#This Row],[Recency Score]:[Monetary Score]])</f>
        <v>16</v>
      </c>
      <c r="BC1147">
        <f>(_xlfn.PERCENTRANK.INC(ifood_data[[#All],[RFM]],ifood_data[[#This Row],[RFM]],1))*10</f>
        <v>5</v>
      </c>
      <c r="BD1147" t="str">
        <f>VLOOKUP(ifood_data[[#This Row],[RFM Score]],'RFM Analysis'!$A$3:$B$14,2,FALSE)</f>
        <v>Promising</v>
      </c>
      <c r="BE1147">
        <f>'Regression Models'!$B$101+'Regression Models'!$B$102*ifood_data[[#This Row],[Income]]+'Regression Models'!$B$103*ifood_data[[#This Row],[Age]]+'Regression Models'!$B$104*ifood_data[[#This Row],[Family]]</f>
        <v>400.5496151480155</v>
      </c>
      <c r="BF1147" t="str">
        <f>IF(ifood_data[[#This Row],[AcceptedCmpOverall]]=1,"Campaign Respondent","Non-respondent")</f>
        <v>Non-respondent</v>
      </c>
    </row>
    <row r="1148" spans="1:58" x14ac:dyDescent="0.35">
      <c r="A1148">
        <v>1065</v>
      </c>
      <c r="B1148">
        <v>46931</v>
      </c>
      <c r="C1148">
        <v>2</v>
      </c>
      <c r="D1148">
        <v>1</v>
      </c>
      <c r="E1148">
        <v>94</v>
      </c>
      <c r="F1148">
        <v>41</v>
      </c>
      <c r="G1148">
        <v>0</v>
      </c>
      <c r="H1148">
        <v>17</v>
      </c>
      <c r="I1148">
        <v>3</v>
      </c>
      <c r="J1148">
        <v>1</v>
      </c>
      <c r="K1148">
        <v>16</v>
      </c>
      <c r="L1148">
        <v>2</v>
      </c>
      <c r="M1148">
        <v>1</v>
      </c>
      <c r="N1148">
        <v>1</v>
      </c>
      <c r="O1148">
        <v>3</v>
      </c>
      <c r="P1148">
        <v>3</v>
      </c>
      <c r="Q1148">
        <v>0</v>
      </c>
      <c r="R1148">
        <v>0</v>
      </c>
      <c r="S1148">
        <v>0</v>
      </c>
      <c r="T1148">
        <v>0</v>
      </c>
      <c r="U1148">
        <v>0</v>
      </c>
      <c r="V1148">
        <f>IF(SUM(ifood_data[[#This Row],[AcceptedCmp1]:[AcceptedCmp5]])&gt;0,1,0)</f>
        <v>0</v>
      </c>
      <c r="W1148">
        <v>0</v>
      </c>
      <c r="X1148">
        <v>3</v>
      </c>
      <c r="Y1148">
        <v>11</v>
      </c>
      <c r="Z1148">
        <v>0</v>
      </c>
      <c r="AA1148">
        <v>43</v>
      </c>
      <c r="AB1148">
        <v>2225</v>
      </c>
      <c r="AC1148" s="28">
        <f>ifood_data[[#This Row],[Customer_Days]]/365</f>
        <v>6.095890410958904</v>
      </c>
      <c r="AD1148">
        <v>0</v>
      </c>
      <c r="AE1148">
        <v>0</v>
      </c>
      <c r="AF1148">
        <v>0</v>
      </c>
      <c r="AG1148">
        <v>1</v>
      </c>
      <c r="AH1148">
        <v>0</v>
      </c>
      <c r="AI1148">
        <v>0</v>
      </c>
      <c r="AJ1148">
        <v>0</v>
      </c>
      <c r="AK1148">
        <v>1</v>
      </c>
      <c r="AL1148">
        <v>0</v>
      </c>
      <c r="AM1148">
        <v>0</v>
      </c>
      <c r="AN1148">
        <v>62</v>
      </c>
      <c r="AO1148">
        <v>46</v>
      </c>
      <c r="AP1148">
        <f>ifood_data[[#This Row],[MntTotal]]-ifood_data[[#This Row],[MntRegularProds]]</f>
        <v>16</v>
      </c>
      <c r="AQ1148">
        <v>0</v>
      </c>
      <c r="AR1148">
        <f>IF(SUM(ifood_data[[#This Row],[Kidhome]:[Teenhome]])&gt;0,1,0)</f>
        <v>1</v>
      </c>
      <c r="AS1148" t="str">
        <f>IF(SUM(ifood_data[[#This Row],[Kidhome]:[Teenhome]])&gt;0,"Has Family","No Family")</f>
        <v>Has Family</v>
      </c>
      <c r="AT1148" t="str">
        <f>IF(ifood_data[[#This Row],[marital_Married]]=1,"Married", (IF(ifood_data[[#This Row],[marital_Single]]=1,"Single",(IF(ifood_data[[#This Row],[marital_Divorced]]=1,"Divorced",(IF(ifood_data[[#This Row],[marital_Together]]=1,"Living Together",(IF(ifood_data[[#This Row],[marital_Widow]]=1,"Widow","Other")))))))))</f>
        <v>Living Together</v>
      </c>
      <c r="AU1148" t="str">
        <f>IF(ifood_data[[#This Row],[education_Basic]]=1,"High School",(IF(ifood_data[[#This Row],[education_Graduation]]=1,"Undergraduate Degree",(IF(SUM(AM1148,AL1148,AI1148)&gt;0,"Master's Degree or Higher","Other")))))</f>
        <v>Undergraduate Degree</v>
      </c>
      <c r="AV1148" t="str">
        <f>IF(ifood_data[[#All],[Income]]&gt;75000,"75K+",(IF(ifood_data[[#All],[Income]]&gt;50000,"50K-75K",(IF(ifood_data[[#All],[Income]]&gt;35000,"35K-50K","&lt;35K")))))</f>
        <v>35K-50K</v>
      </c>
      <c r="AW1148" t="str">
        <f>IF(ifood_data[[#All],[Age]]&gt;60,"60+",(IF(ifood_data[[#All],[Age]]&gt;50,"50-60",(IF(ifood_data[[#All],[Age]]&gt;40,"40-50",(IF(ifood_data[[#All],[Age]]&gt;30,"30-40","&lt;30")))))))</f>
        <v>40-50</v>
      </c>
      <c r="AX1148">
        <f t="shared" si="68"/>
        <v>10</v>
      </c>
      <c r="AY1148">
        <f t="shared" si="69"/>
        <v>0.99999999999999978</v>
      </c>
      <c r="AZ1148">
        <f t="shared" si="70"/>
        <v>0</v>
      </c>
      <c r="BA1148">
        <f t="shared" si="71"/>
        <v>2</v>
      </c>
      <c r="BB1148">
        <f>SUM(ifood_data[[#This Row],[Recency Score]:[Monetary Score]])</f>
        <v>3</v>
      </c>
      <c r="BC1148">
        <f>(_xlfn.PERCENTRANK.INC(ifood_data[[#All],[RFM]],ifood_data[[#This Row],[RFM]],1))*10</f>
        <v>0</v>
      </c>
      <c r="BD1148" t="str">
        <f>VLOOKUP(ifood_data[[#This Row],[RFM Score]],'RFM Analysis'!$A$3:$B$14,2,FALSE)</f>
        <v>Lost</v>
      </c>
      <c r="BE1148">
        <f>'Regression Models'!$B$101+'Regression Models'!$B$102*ifood_data[[#This Row],[Income]]+'Regression Models'!$B$103*ifood_data[[#This Row],[Age]]+'Regression Models'!$B$104*ifood_data[[#This Row],[Family]]</f>
        <v>400.46951002138326</v>
      </c>
      <c r="BF1148" t="str">
        <f>IF(ifood_data[[#This Row],[AcceptedCmpOverall]]=1,"Campaign Respondent","Non-respondent")</f>
        <v>Non-respondent</v>
      </c>
    </row>
    <row r="1149" spans="1:58" x14ac:dyDescent="0.35">
      <c r="A1149">
        <v>383</v>
      </c>
      <c r="B1149">
        <v>48006</v>
      </c>
      <c r="C1149">
        <v>1</v>
      </c>
      <c r="D1149">
        <v>1</v>
      </c>
      <c r="E1149">
        <v>55</v>
      </c>
      <c r="F1149">
        <v>23</v>
      </c>
      <c r="G1149">
        <v>0</v>
      </c>
      <c r="H1149">
        <v>11</v>
      </c>
      <c r="I1149">
        <v>3</v>
      </c>
      <c r="J1149">
        <v>2</v>
      </c>
      <c r="K1149">
        <v>2</v>
      </c>
      <c r="L1149">
        <v>1</v>
      </c>
      <c r="M1149">
        <v>1</v>
      </c>
      <c r="N1149">
        <v>0</v>
      </c>
      <c r="O1149">
        <v>3</v>
      </c>
      <c r="P1149">
        <v>6</v>
      </c>
      <c r="Q1149">
        <v>0</v>
      </c>
      <c r="R1149">
        <v>0</v>
      </c>
      <c r="S1149">
        <v>0</v>
      </c>
      <c r="T1149">
        <v>0</v>
      </c>
      <c r="U1149">
        <v>0</v>
      </c>
      <c r="V1149">
        <f>IF(SUM(ifood_data[[#This Row],[AcceptedCmp1]:[AcceptedCmp5]])&gt;0,1,0)</f>
        <v>0</v>
      </c>
      <c r="W1149">
        <v>0</v>
      </c>
      <c r="X1149">
        <v>3</v>
      </c>
      <c r="Y1149">
        <v>11</v>
      </c>
      <c r="Z1149">
        <v>0</v>
      </c>
      <c r="AA1149">
        <v>55</v>
      </c>
      <c r="AB1149">
        <v>2179</v>
      </c>
      <c r="AC1149" s="28">
        <f>ifood_data[[#This Row],[Customer_Days]]/365</f>
        <v>5.9698630136986299</v>
      </c>
      <c r="AD1149">
        <v>0</v>
      </c>
      <c r="AE1149">
        <v>1</v>
      </c>
      <c r="AF1149">
        <v>0</v>
      </c>
      <c r="AG1149">
        <v>0</v>
      </c>
      <c r="AH1149">
        <v>0</v>
      </c>
      <c r="AI1149">
        <v>0</v>
      </c>
      <c r="AJ1149">
        <v>0</v>
      </c>
      <c r="AK1149">
        <v>1</v>
      </c>
      <c r="AL1149">
        <v>0</v>
      </c>
      <c r="AM1149">
        <v>0</v>
      </c>
      <c r="AN1149">
        <v>39</v>
      </c>
      <c r="AO1149">
        <v>37</v>
      </c>
      <c r="AP1149">
        <f>ifood_data[[#This Row],[MntTotal]]-ifood_data[[#This Row],[MntRegularProds]]</f>
        <v>2</v>
      </c>
      <c r="AQ1149">
        <v>0</v>
      </c>
      <c r="AR1149">
        <f>IF(SUM(ifood_data[[#This Row],[Kidhome]:[Teenhome]])&gt;0,1,0)</f>
        <v>1</v>
      </c>
      <c r="AS1149" t="str">
        <f>IF(SUM(ifood_data[[#This Row],[Kidhome]:[Teenhome]])&gt;0,"Has Family","No Family")</f>
        <v>Has Family</v>
      </c>
      <c r="AT1149" t="str">
        <f>IF(ifood_data[[#This Row],[marital_Married]]=1,"Married", (IF(ifood_data[[#This Row],[marital_Single]]=1,"Single",(IF(ifood_data[[#This Row],[marital_Divorced]]=1,"Divorced",(IF(ifood_data[[#This Row],[marital_Together]]=1,"Living Together",(IF(ifood_data[[#This Row],[marital_Widow]]=1,"Widow","Other")))))))))</f>
        <v>Married</v>
      </c>
      <c r="AU1149" t="str">
        <f>IF(ifood_data[[#This Row],[education_Basic]]=1,"High School",(IF(ifood_data[[#This Row],[education_Graduation]]=1,"Undergraduate Degree",(IF(SUM(AM1149,AL1149,AI1149)&gt;0,"Master's Degree or Higher","Other")))))</f>
        <v>Undergraduate Degree</v>
      </c>
      <c r="AV1149" t="str">
        <f>IF(ifood_data[[#All],[Income]]&gt;75000,"75K+",(IF(ifood_data[[#All],[Income]]&gt;50000,"50K-75K",(IF(ifood_data[[#All],[Income]]&gt;35000,"35K-50K","&lt;35K")))))</f>
        <v>35K-50K</v>
      </c>
      <c r="AW1149" t="str">
        <f>IF(ifood_data[[#All],[Age]]&gt;60,"60+",(IF(ifood_data[[#All],[Age]]&gt;50,"50-60",(IF(ifood_data[[#All],[Age]]&gt;40,"40-50",(IF(ifood_data[[#All],[Age]]&gt;30,"30-40","&lt;30")))))))</f>
        <v>50-60</v>
      </c>
      <c r="AX1149">
        <f t="shared" si="68"/>
        <v>11</v>
      </c>
      <c r="AY1149">
        <f t="shared" si="69"/>
        <v>5</v>
      </c>
      <c r="AZ1149">
        <f t="shared" si="70"/>
        <v>0</v>
      </c>
      <c r="BA1149">
        <f t="shared" si="71"/>
        <v>1</v>
      </c>
      <c r="BB1149">
        <f>SUM(ifood_data[[#This Row],[Recency Score]:[Monetary Score]])</f>
        <v>6</v>
      </c>
      <c r="BC1149">
        <f>(_xlfn.PERCENTRANK.INC(ifood_data[[#All],[RFM]],ifood_data[[#This Row],[RFM]],1))*10</f>
        <v>0</v>
      </c>
      <c r="BD1149" t="str">
        <f>VLOOKUP(ifood_data[[#This Row],[RFM Score]],'RFM Analysis'!$A$3:$B$14,2,FALSE)</f>
        <v>Lost</v>
      </c>
      <c r="BE1149">
        <f>'Regression Models'!$B$101+'Regression Models'!$B$102*ifood_data[[#This Row],[Income]]+'Regression Models'!$B$103*ifood_data[[#This Row],[Age]]+'Regression Models'!$B$104*ifood_data[[#This Row],[Family]]</f>
        <v>400.35016682934327</v>
      </c>
      <c r="BF1149" t="str">
        <f>IF(ifood_data[[#This Row],[AcceptedCmpOverall]]=1,"Campaign Respondent","Non-respondent")</f>
        <v>Non-respondent</v>
      </c>
    </row>
    <row r="1150" spans="1:58" x14ac:dyDescent="0.35">
      <c r="A1150">
        <v>555</v>
      </c>
      <c r="B1150">
        <v>47821</v>
      </c>
      <c r="C1150">
        <v>1</v>
      </c>
      <c r="D1150">
        <v>1</v>
      </c>
      <c r="E1150">
        <v>54</v>
      </c>
      <c r="F1150">
        <v>9</v>
      </c>
      <c r="G1150">
        <v>0</v>
      </c>
      <c r="H1150">
        <v>16</v>
      </c>
      <c r="I1150">
        <v>6</v>
      </c>
      <c r="J1150">
        <v>6</v>
      </c>
      <c r="K1150">
        <v>10</v>
      </c>
      <c r="L1150">
        <v>1</v>
      </c>
      <c r="M1150">
        <v>1</v>
      </c>
      <c r="N1150">
        <v>0</v>
      </c>
      <c r="O1150">
        <v>3</v>
      </c>
      <c r="P1150">
        <v>8</v>
      </c>
      <c r="Q1150">
        <v>0</v>
      </c>
      <c r="R1150">
        <v>0</v>
      </c>
      <c r="S1150">
        <v>0</v>
      </c>
      <c r="T1150">
        <v>0</v>
      </c>
      <c r="U1150">
        <v>0</v>
      </c>
      <c r="V1150">
        <f>IF(SUM(ifood_data[[#This Row],[AcceptedCmp1]:[AcceptedCmp5]])&gt;0,1,0)</f>
        <v>0</v>
      </c>
      <c r="W1150">
        <v>0</v>
      </c>
      <c r="X1150">
        <v>3</v>
      </c>
      <c r="Y1150">
        <v>11</v>
      </c>
      <c r="Z1150">
        <v>0</v>
      </c>
      <c r="AA1150">
        <v>53</v>
      </c>
      <c r="AB1150">
        <v>2411</v>
      </c>
      <c r="AC1150" s="28">
        <f>ifood_data[[#This Row],[Customer_Days]]/365</f>
        <v>6.6054794520547944</v>
      </c>
      <c r="AD1150">
        <v>0</v>
      </c>
      <c r="AE1150">
        <v>0</v>
      </c>
      <c r="AF1150">
        <v>0</v>
      </c>
      <c r="AG1150">
        <v>1</v>
      </c>
      <c r="AH1150">
        <v>0</v>
      </c>
      <c r="AI1150">
        <v>1</v>
      </c>
      <c r="AJ1150">
        <v>0</v>
      </c>
      <c r="AK1150">
        <v>0</v>
      </c>
      <c r="AL1150">
        <v>0</v>
      </c>
      <c r="AM1150">
        <v>0</v>
      </c>
      <c r="AN1150">
        <v>37</v>
      </c>
      <c r="AO1150">
        <v>27</v>
      </c>
      <c r="AP1150">
        <f>ifood_data[[#This Row],[MntTotal]]-ifood_data[[#This Row],[MntRegularProds]]</f>
        <v>10</v>
      </c>
      <c r="AQ1150">
        <v>0</v>
      </c>
      <c r="AR1150">
        <f>IF(SUM(ifood_data[[#This Row],[Kidhome]:[Teenhome]])&gt;0,1,0)</f>
        <v>1</v>
      </c>
      <c r="AS1150" t="str">
        <f>IF(SUM(ifood_data[[#This Row],[Kidhome]:[Teenhome]])&gt;0,"Has Family","No Family")</f>
        <v>Has Family</v>
      </c>
      <c r="AT1150" t="str">
        <f>IF(ifood_data[[#This Row],[marital_Married]]=1,"Married", (IF(ifood_data[[#This Row],[marital_Single]]=1,"Single",(IF(ifood_data[[#This Row],[marital_Divorced]]=1,"Divorced",(IF(ifood_data[[#This Row],[marital_Together]]=1,"Living Together",(IF(ifood_data[[#This Row],[marital_Widow]]=1,"Widow","Other")))))))))</f>
        <v>Living Together</v>
      </c>
      <c r="AU1150" t="str">
        <f>IF(ifood_data[[#This Row],[education_Basic]]=1,"High School",(IF(ifood_data[[#This Row],[education_Graduation]]=1,"Undergraduate Degree",(IF(SUM(AM1150,AL1150,AI1150)&gt;0,"Master's Degree or Higher","Other")))))</f>
        <v>Master's Degree or Higher</v>
      </c>
      <c r="AV1150" t="str">
        <f>IF(ifood_data[[#All],[Income]]&gt;75000,"75K+",(IF(ifood_data[[#All],[Income]]&gt;50000,"50K-75K",(IF(ifood_data[[#All],[Income]]&gt;35000,"35K-50K","&lt;35K")))))</f>
        <v>35K-50K</v>
      </c>
      <c r="AW1150" t="str">
        <f>IF(ifood_data[[#All],[Age]]&gt;60,"60+",(IF(ifood_data[[#All],[Age]]&gt;50,"50-60",(IF(ifood_data[[#All],[Age]]&gt;40,"40-50",(IF(ifood_data[[#All],[Age]]&gt;30,"30-40","&lt;30")))))))</f>
        <v>50-60</v>
      </c>
      <c r="AX1150">
        <f t="shared" si="68"/>
        <v>13</v>
      </c>
      <c r="AY1150">
        <f t="shared" si="69"/>
        <v>5</v>
      </c>
      <c r="AZ1150">
        <f t="shared" si="70"/>
        <v>1</v>
      </c>
      <c r="BA1150">
        <f t="shared" si="71"/>
        <v>1</v>
      </c>
      <c r="BB1150">
        <f>SUM(ifood_data[[#This Row],[Recency Score]:[Monetary Score]])</f>
        <v>7</v>
      </c>
      <c r="BC1150">
        <f>(_xlfn.PERCENTRANK.INC(ifood_data[[#All],[RFM]],ifood_data[[#This Row],[RFM]],1))*10</f>
        <v>1</v>
      </c>
      <c r="BD1150" t="str">
        <f>VLOOKUP(ifood_data[[#This Row],[RFM Score]],'RFM Analysis'!$A$3:$B$14,2,FALSE)</f>
        <v>At Risk</v>
      </c>
      <c r="BE1150">
        <f>'Regression Models'!$B$101+'Regression Models'!$B$102*ifood_data[[#This Row],[Income]]+'Regression Models'!$B$103*ifood_data[[#This Row],[Age]]+'Regression Models'!$B$104*ifood_data[[#This Row],[Family]]</f>
        <v>400.25112288051048</v>
      </c>
      <c r="BF1150" t="str">
        <f>IF(ifood_data[[#This Row],[AcceptedCmpOverall]]=1,"Campaign Respondent","Non-respondent")</f>
        <v>Non-respondent</v>
      </c>
    </row>
    <row r="1151" spans="1:58" x14ac:dyDescent="0.35">
      <c r="A1151">
        <v>476</v>
      </c>
      <c r="B1151">
        <v>48330</v>
      </c>
      <c r="C1151">
        <v>0</v>
      </c>
      <c r="D1151">
        <v>1</v>
      </c>
      <c r="E1151">
        <v>2</v>
      </c>
      <c r="F1151">
        <v>28</v>
      </c>
      <c r="G1151">
        <v>0</v>
      </c>
      <c r="H1151">
        <v>4</v>
      </c>
      <c r="I1151">
        <v>0</v>
      </c>
      <c r="J1151">
        <v>0</v>
      </c>
      <c r="K1151">
        <v>0</v>
      </c>
      <c r="L1151">
        <v>1</v>
      </c>
      <c r="M1151">
        <v>1</v>
      </c>
      <c r="N1151">
        <v>0</v>
      </c>
      <c r="O1151">
        <v>3</v>
      </c>
      <c r="P1151">
        <v>5</v>
      </c>
      <c r="Q1151">
        <v>0</v>
      </c>
      <c r="R1151">
        <v>0</v>
      </c>
      <c r="S1151">
        <v>0</v>
      </c>
      <c r="T1151">
        <v>0</v>
      </c>
      <c r="U1151">
        <v>0</v>
      </c>
      <c r="V1151">
        <f>IF(SUM(ifood_data[[#This Row],[AcceptedCmp1]:[AcceptedCmp5]])&gt;0,1,0)</f>
        <v>0</v>
      </c>
      <c r="W1151">
        <v>0</v>
      </c>
      <c r="X1151">
        <v>3</v>
      </c>
      <c r="Y1151">
        <v>11</v>
      </c>
      <c r="Z1151">
        <v>0</v>
      </c>
      <c r="AA1151">
        <v>59</v>
      </c>
      <c r="AB1151">
        <v>2385</v>
      </c>
      <c r="AC1151" s="28">
        <f>ifood_data[[#This Row],[Customer_Days]]/365</f>
        <v>6.5342465753424657</v>
      </c>
      <c r="AD1151">
        <v>0</v>
      </c>
      <c r="AE1151">
        <v>0</v>
      </c>
      <c r="AF1151">
        <v>0</v>
      </c>
      <c r="AG1151">
        <v>1</v>
      </c>
      <c r="AH1151">
        <v>0</v>
      </c>
      <c r="AI1151">
        <v>0</v>
      </c>
      <c r="AJ1151">
        <v>0</v>
      </c>
      <c r="AK1151">
        <v>0</v>
      </c>
      <c r="AL1151">
        <v>1</v>
      </c>
      <c r="AM1151">
        <v>0</v>
      </c>
      <c r="AN1151">
        <v>32</v>
      </c>
      <c r="AO1151">
        <v>32</v>
      </c>
      <c r="AP1151">
        <f>ifood_data[[#This Row],[MntTotal]]-ifood_data[[#This Row],[MntRegularProds]]</f>
        <v>0</v>
      </c>
      <c r="AQ1151">
        <v>0</v>
      </c>
      <c r="AR1151">
        <f>IF(SUM(ifood_data[[#This Row],[Kidhome]:[Teenhome]])&gt;0,1,0)</f>
        <v>1</v>
      </c>
      <c r="AS1151" t="str">
        <f>IF(SUM(ifood_data[[#This Row],[Kidhome]:[Teenhome]])&gt;0,"Has Family","No Family")</f>
        <v>Has Family</v>
      </c>
      <c r="AT1151" t="str">
        <f>IF(ifood_data[[#This Row],[marital_Married]]=1,"Married", (IF(ifood_data[[#This Row],[marital_Single]]=1,"Single",(IF(ifood_data[[#This Row],[marital_Divorced]]=1,"Divorced",(IF(ifood_data[[#This Row],[marital_Together]]=1,"Living Together",(IF(ifood_data[[#This Row],[marital_Widow]]=1,"Widow","Other")))))))))</f>
        <v>Living Together</v>
      </c>
      <c r="AU1151" t="str">
        <f>IF(ifood_data[[#This Row],[education_Basic]]=1,"High School",(IF(ifood_data[[#This Row],[education_Graduation]]=1,"Undergraduate Degree",(IF(SUM(AM1151,AL1151,AI1151)&gt;0,"Master's Degree or Higher","Other")))))</f>
        <v>Master's Degree or Higher</v>
      </c>
      <c r="AV1151" t="str">
        <f>IF(ifood_data[[#All],[Income]]&gt;75000,"75K+",(IF(ifood_data[[#All],[Income]]&gt;50000,"50K-75K",(IF(ifood_data[[#All],[Income]]&gt;35000,"35K-50K","&lt;35K")))))</f>
        <v>35K-50K</v>
      </c>
      <c r="AW1151" t="str">
        <f>IF(ifood_data[[#All],[Age]]&gt;60,"60+",(IF(ifood_data[[#All],[Age]]&gt;50,"50-60",(IF(ifood_data[[#All],[Age]]&gt;40,"40-50",(IF(ifood_data[[#All],[Age]]&gt;30,"30-40","&lt;30")))))))</f>
        <v>50-60</v>
      </c>
      <c r="AX1151">
        <f t="shared" si="68"/>
        <v>10</v>
      </c>
      <c r="AY1151">
        <f t="shared" si="69"/>
        <v>10</v>
      </c>
      <c r="AZ1151">
        <f t="shared" si="70"/>
        <v>0</v>
      </c>
      <c r="BA1151">
        <f t="shared" si="71"/>
        <v>1</v>
      </c>
      <c r="BB1151">
        <f>SUM(ifood_data[[#This Row],[Recency Score]:[Monetary Score]])</f>
        <v>11</v>
      </c>
      <c r="BC1151">
        <f>(_xlfn.PERCENTRANK.INC(ifood_data[[#All],[RFM]],ifood_data[[#This Row],[RFM]],1))*10</f>
        <v>2</v>
      </c>
      <c r="BD1151" t="str">
        <f>VLOOKUP(ifood_data[[#This Row],[RFM Score]],'RFM Analysis'!$A$3:$B$14,2,FALSE)</f>
        <v>At Risk</v>
      </c>
      <c r="BE1151">
        <f>'Regression Models'!$B$101+'Regression Models'!$B$102*ifood_data[[#This Row],[Income]]+'Regression Models'!$B$103*ifood_data[[#This Row],[Age]]+'Regression Models'!$B$104*ifood_data[[#This Row],[Family]]</f>
        <v>399.61037139238942</v>
      </c>
      <c r="BF1151" t="str">
        <f>IF(ifood_data[[#This Row],[AcceptedCmpOverall]]=1,"Campaign Respondent","Non-respondent")</f>
        <v>Non-respondent</v>
      </c>
    </row>
    <row r="1152" spans="1:58" x14ac:dyDescent="0.35">
      <c r="A1152">
        <v>1554</v>
      </c>
      <c r="B1152">
        <v>49090</v>
      </c>
      <c r="C1152">
        <v>0</v>
      </c>
      <c r="D1152">
        <v>1</v>
      </c>
      <c r="E1152">
        <v>45</v>
      </c>
      <c r="F1152">
        <v>494</v>
      </c>
      <c r="G1152">
        <v>5</v>
      </c>
      <c r="H1152">
        <v>82</v>
      </c>
      <c r="I1152">
        <v>7</v>
      </c>
      <c r="J1152">
        <v>0</v>
      </c>
      <c r="K1152">
        <v>100</v>
      </c>
      <c r="L1152">
        <v>3</v>
      </c>
      <c r="M1152">
        <v>7</v>
      </c>
      <c r="N1152">
        <v>2</v>
      </c>
      <c r="O1152">
        <v>9</v>
      </c>
      <c r="P1152">
        <v>7</v>
      </c>
      <c r="Q1152">
        <v>0</v>
      </c>
      <c r="R1152">
        <v>0</v>
      </c>
      <c r="S1152">
        <v>0</v>
      </c>
      <c r="T1152">
        <v>0</v>
      </c>
      <c r="U1152">
        <v>0</v>
      </c>
      <c r="V1152">
        <f>IF(SUM(ifood_data[[#This Row],[AcceptedCmp1]:[AcceptedCmp5]])&gt;0,1,0)</f>
        <v>0</v>
      </c>
      <c r="W1152">
        <v>0</v>
      </c>
      <c r="X1152">
        <v>3</v>
      </c>
      <c r="Y1152">
        <v>11</v>
      </c>
      <c r="Z1152">
        <v>0</v>
      </c>
      <c r="AA1152">
        <v>69</v>
      </c>
      <c r="AB1152">
        <v>2504</v>
      </c>
      <c r="AC1152" s="28">
        <f>ifood_data[[#This Row],[Customer_Days]]/365</f>
        <v>6.86027397260274</v>
      </c>
      <c r="AD1152">
        <v>0</v>
      </c>
      <c r="AE1152">
        <v>0</v>
      </c>
      <c r="AF1152">
        <v>1</v>
      </c>
      <c r="AG1152">
        <v>0</v>
      </c>
      <c r="AH1152">
        <v>0</v>
      </c>
      <c r="AI1152">
        <v>0</v>
      </c>
      <c r="AJ1152">
        <v>0</v>
      </c>
      <c r="AK1152">
        <v>1</v>
      </c>
      <c r="AL1152">
        <v>0</v>
      </c>
      <c r="AM1152">
        <v>0</v>
      </c>
      <c r="AN1152">
        <v>588</v>
      </c>
      <c r="AO1152">
        <v>488</v>
      </c>
      <c r="AP1152">
        <f>ifood_data[[#This Row],[MntTotal]]-ifood_data[[#This Row],[MntRegularProds]]</f>
        <v>100</v>
      </c>
      <c r="AQ1152">
        <v>0</v>
      </c>
      <c r="AR1152">
        <f>IF(SUM(ifood_data[[#This Row],[Kidhome]:[Teenhome]])&gt;0,1,0)</f>
        <v>1</v>
      </c>
      <c r="AS1152" t="str">
        <f>IF(SUM(ifood_data[[#This Row],[Kidhome]:[Teenhome]])&gt;0,"Has Family","No Family")</f>
        <v>Has Family</v>
      </c>
      <c r="AT1152" t="str">
        <f>IF(ifood_data[[#This Row],[marital_Married]]=1,"Married", (IF(ifood_data[[#This Row],[marital_Single]]=1,"Single",(IF(ifood_data[[#This Row],[marital_Divorced]]=1,"Divorced",(IF(ifood_data[[#This Row],[marital_Together]]=1,"Living Together",(IF(ifood_data[[#This Row],[marital_Widow]]=1,"Widow","Other")))))))))</f>
        <v>Single</v>
      </c>
      <c r="AU1152" t="str">
        <f>IF(ifood_data[[#This Row],[education_Basic]]=1,"High School",(IF(ifood_data[[#This Row],[education_Graduation]]=1,"Undergraduate Degree",(IF(SUM(AM1152,AL1152,AI1152)&gt;0,"Master's Degree or Higher","Other")))))</f>
        <v>Undergraduate Degree</v>
      </c>
      <c r="AV1152" t="str">
        <f>IF(ifood_data[[#All],[Income]]&gt;75000,"75K+",(IF(ifood_data[[#All],[Income]]&gt;50000,"50K-75K",(IF(ifood_data[[#All],[Income]]&gt;35000,"35K-50K","&lt;35K")))))</f>
        <v>35K-50K</v>
      </c>
      <c r="AW1152" t="str">
        <f>IF(ifood_data[[#All],[Age]]&gt;60,"60+",(IF(ifood_data[[#All],[Age]]&gt;50,"50-60",(IF(ifood_data[[#All],[Age]]&gt;40,"40-50",(IF(ifood_data[[#All],[Age]]&gt;30,"30-40","&lt;30")))))))</f>
        <v>60+</v>
      </c>
      <c r="AX1152">
        <f t="shared" si="68"/>
        <v>28</v>
      </c>
      <c r="AY1152">
        <f t="shared" si="69"/>
        <v>6</v>
      </c>
      <c r="AZ1152">
        <f t="shared" si="70"/>
        <v>8</v>
      </c>
      <c r="BA1152">
        <f t="shared" si="71"/>
        <v>6</v>
      </c>
      <c r="BB1152">
        <f>SUM(ifood_data[[#This Row],[Recency Score]:[Monetary Score]])</f>
        <v>20</v>
      </c>
      <c r="BC1152">
        <f>(_xlfn.PERCENTRANK.INC(ifood_data[[#All],[RFM]],ifood_data[[#This Row],[RFM]],1))*10</f>
        <v>7</v>
      </c>
      <c r="BD1152" t="str">
        <f>VLOOKUP(ifood_data[[#This Row],[RFM Score]],'RFM Analysis'!$A$3:$B$14,2,FALSE)</f>
        <v>Loyal Customer</v>
      </c>
      <c r="BE1152">
        <f>'Regression Models'!$B$101+'Regression Models'!$B$102*ifood_data[[#This Row],[Income]]+'Regression Models'!$B$103*ifood_data[[#This Row],[Age]]+'Regression Models'!$B$104*ifood_data[[#This Row],[Family]]</f>
        <v>396.74144439280985</v>
      </c>
      <c r="BF1152" t="str">
        <f>IF(ifood_data[[#This Row],[AcceptedCmpOverall]]=1,"Campaign Respondent","Non-respondent")</f>
        <v>Non-respondent</v>
      </c>
    </row>
    <row r="1153" spans="1:58" x14ac:dyDescent="0.35">
      <c r="A1153">
        <v>723</v>
      </c>
      <c r="B1153">
        <v>48726</v>
      </c>
      <c r="C1153">
        <v>0</v>
      </c>
      <c r="D1153">
        <v>1</v>
      </c>
      <c r="E1153">
        <v>90</v>
      </c>
      <c r="F1153">
        <v>138</v>
      </c>
      <c r="G1153">
        <v>3</v>
      </c>
      <c r="H1153">
        <v>38</v>
      </c>
      <c r="I1153">
        <v>4</v>
      </c>
      <c r="J1153">
        <v>0</v>
      </c>
      <c r="K1153">
        <v>59</v>
      </c>
      <c r="L1153">
        <v>3</v>
      </c>
      <c r="M1153">
        <v>3</v>
      </c>
      <c r="N1153">
        <v>2</v>
      </c>
      <c r="O1153">
        <v>4</v>
      </c>
      <c r="P1153">
        <v>6</v>
      </c>
      <c r="Q1153">
        <v>0</v>
      </c>
      <c r="R1153">
        <v>0</v>
      </c>
      <c r="S1153">
        <v>0</v>
      </c>
      <c r="T1153">
        <v>0</v>
      </c>
      <c r="U1153">
        <v>0</v>
      </c>
      <c r="V1153">
        <f>IF(SUM(ifood_data[[#This Row],[AcceptedCmp1]:[AcceptedCmp5]])&gt;0,1,0)</f>
        <v>0</v>
      </c>
      <c r="W1153">
        <v>0</v>
      </c>
      <c r="X1153">
        <v>3</v>
      </c>
      <c r="Y1153">
        <v>11</v>
      </c>
      <c r="Z1153">
        <v>0</v>
      </c>
      <c r="AA1153">
        <v>65</v>
      </c>
      <c r="AB1153">
        <v>2587</v>
      </c>
      <c r="AC1153" s="28">
        <f>ifood_data[[#This Row],[Customer_Days]]/365</f>
        <v>7.087671232876712</v>
      </c>
      <c r="AD1153">
        <v>0</v>
      </c>
      <c r="AE1153">
        <v>1</v>
      </c>
      <c r="AF1153">
        <v>0</v>
      </c>
      <c r="AG1153">
        <v>0</v>
      </c>
      <c r="AH1153">
        <v>0</v>
      </c>
      <c r="AI1153">
        <v>0</v>
      </c>
      <c r="AJ1153">
        <v>0</v>
      </c>
      <c r="AK1153">
        <v>1</v>
      </c>
      <c r="AL1153">
        <v>0</v>
      </c>
      <c r="AM1153">
        <v>0</v>
      </c>
      <c r="AN1153">
        <v>183</v>
      </c>
      <c r="AO1153">
        <v>124</v>
      </c>
      <c r="AP1153">
        <f>ifood_data[[#This Row],[MntTotal]]-ifood_data[[#This Row],[MntRegularProds]]</f>
        <v>59</v>
      </c>
      <c r="AQ1153">
        <v>0</v>
      </c>
      <c r="AR1153">
        <f>IF(SUM(ifood_data[[#This Row],[Kidhome]:[Teenhome]])&gt;0,1,0)</f>
        <v>1</v>
      </c>
      <c r="AS1153" t="str">
        <f>IF(SUM(ifood_data[[#This Row],[Kidhome]:[Teenhome]])&gt;0,"Has Family","No Family")</f>
        <v>Has Family</v>
      </c>
      <c r="AT1153" t="str">
        <f>IF(ifood_data[[#This Row],[marital_Married]]=1,"Married", (IF(ifood_data[[#This Row],[marital_Single]]=1,"Single",(IF(ifood_data[[#This Row],[marital_Divorced]]=1,"Divorced",(IF(ifood_data[[#This Row],[marital_Together]]=1,"Living Together",(IF(ifood_data[[#This Row],[marital_Widow]]=1,"Widow","Other")))))))))</f>
        <v>Married</v>
      </c>
      <c r="AU1153" t="str">
        <f>IF(ifood_data[[#This Row],[education_Basic]]=1,"High School",(IF(ifood_data[[#This Row],[education_Graduation]]=1,"Undergraduate Degree",(IF(SUM(AM1153,AL1153,AI1153)&gt;0,"Master's Degree or Higher","Other")))))</f>
        <v>Undergraduate Degree</v>
      </c>
      <c r="AV1153" t="str">
        <f>IF(ifood_data[[#All],[Income]]&gt;75000,"75K+",(IF(ifood_data[[#All],[Income]]&gt;50000,"50K-75K",(IF(ifood_data[[#All],[Income]]&gt;35000,"35K-50K","&lt;35K")))))</f>
        <v>35K-50K</v>
      </c>
      <c r="AW1153" t="str">
        <f>IF(ifood_data[[#All],[Age]]&gt;60,"60+",(IF(ifood_data[[#All],[Age]]&gt;50,"50-60",(IF(ifood_data[[#All],[Age]]&gt;40,"40-50",(IF(ifood_data[[#All],[Age]]&gt;30,"30-40","&lt;30")))))))</f>
        <v>60+</v>
      </c>
      <c r="AX1153">
        <f t="shared" si="68"/>
        <v>18</v>
      </c>
      <c r="AY1153">
        <f t="shared" si="69"/>
        <v>0.99999999999999978</v>
      </c>
      <c r="AZ1153">
        <f t="shared" si="70"/>
        <v>4</v>
      </c>
      <c r="BA1153">
        <f t="shared" si="71"/>
        <v>4</v>
      </c>
      <c r="BB1153">
        <f>SUM(ifood_data[[#This Row],[Recency Score]:[Monetary Score]])</f>
        <v>9</v>
      </c>
      <c r="BC1153">
        <f>(_xlfn.PERCENTRANK.INC(ifood_data[[#All],[RFM]],ifood_data[[#This Row],[RFM]],1))*10</f>
        <v>1</v>
      </c>
      <c r="BD1153" t="str">
        <f>VLOOKUP(ifood_data[[#This Row],[RFM Score]],'RFM Analysis'!$A$3:$B$14,2,FALSE)</f>
        <v>At Risk</v>
      </c>
      <c r="BE1153">
        <f>'Regression Models'!$B$101+'Regression Models'!$B$102*ifood_data[[#This Row],[Income]]+'Regression Models'!$B$103*ifood_data[[#This Row],[Age]]+'Regression Models'!$B$104*ifood_data[[#This Row],[Family]]</f>
        <v>396.6656891040077</v>
      </c>
      <c r="BF1153" t="str">
        <f>IF(ifood_data[[#This Row],[AcceptedCmpOverall]]=1,"Campaign Respondent","Non-respondent")</f>
        <v>Non-respondent</v>
      </c>
    </row>
    <row r="1154" spans="1:58" x14ac:dyDescent="0.35">
      <c r="A1154">
        <v>1733</v>
      </c>
      <c r="B1154">
        <v>49160</v>
      </c>
      <c r="C1154">
        <v>0</v>
      </c>
      <c r="D1154">
        <v>1</v>
      </c>
      <c r="E1154">
        <v>29</v>
      </c>
      <c r="F1154">
        <v>122</v>
      </c>
      <c r="G1154">
        <v>21</v>
      </c>
      <c r="H1154">
        <v>43</v>
      </c>
      <c r="I1154">
        <v>25</v>
      </c>
      <c r="J1154">
        <v>10</v>
      </c>
      <c r="K1154">
        <v>15</v>
      </c>
      <c r="L1154">
        <v>2</v>
      </c>
      <c r="M1154">
        <v>3</v>
      </c>
      <c r="N1154">
        <v>1</v>
      </c>
      <c r="O1154">
        <v>6</v>
      </c>
      <c r="P1154">
        <v>6</v>
      </c>
      <c r="Q1154">
        <v>0</v>
      </c>
      <c r="R1154">
        <v>0</v>
      </c>
      <c r="S1154">
        <v>0</v>
      </c>
      <c r="T1154">
        <v>0</v>
      </c>
      <c r="U1154">
        <v>0</v>
      </c>
      <c r="V1154">
        <f>IF(SUM(ifood_data[[#This Row],[AcceptedCmp1]:[AcceptedCmp5]])&gt;0,1,0)</f>
        <v>0</v>
      </c>
      <c r="W1154">
        <v>0</v>
      </c>
      <c r="X1154">
        <v>3</v>
      </c>
      <c r="Y1154">
        <v>11</v>
      </c>
      <c r="Z1154">
        <v>0</v>
      </c>
      <c r="AA1154">
        <v>71</v>
      </c>
      <c r="AB1154">
        <v>2411</v>
      </c>
      <c r="AC1154" s="28">
        <f>ifood_data[[#This Row],[Customer_Days]]/365</f>
        <v>6.6054794520547944</v>
      </c>
      <c r="AD1154">
        <v>1</v>
      </c>
      <c r="AE1154">
        <v>0</v>
      </c>
      <c r="AF1154">
        <v>0</v>
      </c>
      <c r="AG1154">
        <v>0</v>
      </c>
      <c r="AH1154">
        <v>0</v>
      </c>
      <c r="AI1154">
        <v>0</v>
      </c>
      <c r="AJ1154">
        <v>0</v>
      </c>
      <c r="AK1154">
        <v>1</v>
      </c>
      <c r="AL1154">
        <v>0</v>
      </c>
      <c r="AM1154">
        <v>0</v>
      </c>
      <c r="AN1154">
        <v>221</v>
      </c>
      <c r="AO1154">
        <v>206</v>
      </c>
      <c r="AP1154">
        <f>ifood_data[[#This Row],[MntTotal]]-ifood_data[[#This Row],[MntRegularProds]]</f>
        <v>15</v>
      </c>
      <c r="AQ1154">
        <v>0</v>
      </c>
      <c r="AR1154">
        <f>IF(SUM(ifood_data[[#This Row],[Kidhome]:[Teenhome]])&gt;0,1,0)</f>
        <v>1</v>
      </c>
      <c r="AS1154" t="str">
        <f>IF(SUM(ifood_data[[#This Row],[Kidhome]:[Teenhome]])&gt;0,"Has Family","No Family")</f>
        <v>Has Family</v>
      </c>
      <c r="AT1154" t="str">
        <f>IF(ifood_data[[#This Row],[marital_Married]]=1,"Married", (IF(ifood_data[[#This Row],[marital_Single]]=1,"Single",(IF(ifood_data[[#This Row],[marital_Divorced]]=1,"Divorced",(IF(ifood_data[[#This Row],[marital_Together]]=1,"Living Together",(IF(ifood_data[[#This Row],[marital_Widow]]=1,"Widow","Other")))))))))</f>
        <v>Divorced</v>
      </c>
      <c r="AU1154" t="str">
        <f>IF(ifood_data[[#This Row],[education_Basic]]=1,"High School",(IF(ifood_data[[#This Row],[education_Graduation]]=1,"Undergraduate Degree",(IF(SUM(AM1154,AL1154,AI1154)&gt;0,"Master's Degree or Higher","Other")))))</f>
        <v>Undergraduate Degree</v>
      </c>
      <c r="AV1154" t="str">
        <f>IF(ifood_data[[#All],[Income]]&gt;75000,"75K+",(IF(ifood_data[[#All],[Income]]&gt;50000,"50K-75K",(IF(ifood_data[[#All],[Income]]&gt;35000,"35K-50K","&lt;35K")))))</f>
        <v>35K-50K</v>
      </c>
      <c r="AW1154" t="str">
        <f>IF(ifood_data[[#All],[Age]]&gt;60,"60+",(IF(ifood_data[[#All],[Age]]&gt;50,"50-60",(IF(ifood_data[[#All],[Age]]&gt;40,"40-50",(IF(ifood_data[[#All],[Age]]&gt;30,"30-40","&lt;30")))))))</f>
        <v>60+</v>
      </c>
      <c r="AX1154">
        <f t="shared" ref="AX1154:AX1217" si="72">SUM(L1154:P1154)</f>
        <v>18</v>
      </c>
      <c r="AY1154">
        <f t="shared" ref="AY1154:AY1217" si="73">(1-_xlfn.PERCENTRANK.INC($E$2:$E$2022,E1154,1))*10</f>
        <v>8</v>
      </c>
      <c r="AZ1154">
        <f t="shared" ref="AZ1154:AZ1217" si="74">_xlfn.PERCENTRANK.INC($AX$2:$AX$2022,AX1154,1)*10</f>
        <v>4</v>
      </c>
      <c r="BA1154">
        <f t="shared" ref="BA1154:BA1217" si="75">_xlfn.PERCENTRANK.INC($AN$2:$AN$2022,AN1154,1)*10</f>
        <v>4</v>
      </c>
      <c r="BB1154">
        <f>SUM(ifood_data[[#This Row],[Recency Score]:[Monetary Score]])</f>
        <v>16</v>
      </c>
      <c r="BC1154">
        <f>(_xlfn.PERCENTRANK.INC(ifood_data[[#All],[RFM]],ifood_data[[#This Row],[RFM]],1))*10</f>
        <v>5</v>
      </c>
      <c r="BD1154" t="str">
        <f>VLOOKUP(ifood_data[[#This Row],[RFM Score]],'RFM Analysis'!$A$3:$B$14,2,FALSE)</f>
        <v>Promising</v>
      </c>
      <c r="BE1154">
        <f>'Regression Models'!$B$101+'Regression Models'!$B$102*ifood_data[[#This Row],[Income]]+'Regression Models'!$B$103*ifood_data[[#This Row],[Age]]+'Regression Models'!$B$104*ifood_data[[#This Row],[Family]]</f>
        <v>394.49578000509416</v>
      </c>
      <c r="BF1154" t="str">
        <f>IF(ifood_data[[#This Row],[AcceptedCmpOverall]]=1,"Campaign Respondent","Non-respondent")</f>
        <v>Non-respondent</v>
      </c>
    </row>
    <row r="1155" spans="1:58" x14ac:dyDescent="0.35">
      <c r="A1155">
        <v>1875</v>
      </c>
      <c r="B1155">
        <v>48794</v>
      </c>
      <c r="C1155">
        <v>1</v>
      </c>
      <c r="D1155">
        <v>1</v>
      </c>
      <c r="E1155">
        <v>97</v>
      </c>
      <c r="F1155">
        <v>25</v>
      </c>
      <c r="G1155">
        <v>0</v>
      </c>
      <c r="H1155">
        <v>11</v>
      </c>
      <c r="I1155">
        <v>3</v>
      </c>
      <c r="J1155">
        <v>0</v>
      </c>
      <c r="K1155">
        <v>15</v>
      </c>
      <c r="L1155">
        <v>1</v>
      </c>
      <c r="M1155">
        <v>1</v>
      </c>
      <c r="N1155">
        <v>0</v>
      </c>
      <c r="O1155">
        <v>3</v>
      </c>
      <c r="P1155">
        <v>4</v>
      </c>
      <c r="Q1155">
        <v>0</v>
      </c>
      <c r="R1155">
        <v>0</v>
      </c>
      <c r="S1155">
        <v>0</v>
      </c>
      <c r="T1155">
        <v>0</v>
      </c>
      <c r="U1155">
        <v>0</v>
      </c>
      <c r="V1155">
        <f>IF(SUM(ifood_data[[#This Row],[AcceptedCmp1]:[AcceptedCmp5]])&gt;0,1,0)</f>
        <v>0</v>
      </c>
      <c r="W1155">
        <v>0</v>
      </c>
      <c r="X1155">
        <v>3</v>
      </c>
      <c r="Y1155">
        <v>11</v>
      </c>
      <c r="Z1155">
        <v>0</v>
      </c>
      <c r="AA1155">
        <v>67</v>
      </c>
      <c r="AB1155">
        <v>2162</v>
      </c>
      <c r="AC1155" s="28">
        <f>ifood_data[[#This Row],[Customer_Days]]/365</f>
        <v>5.9232876712328766</v>
      </c>
      <c r="AD1155">
        <v>0</v>
      </c>
      <c r="AE1155">
        <v>0</v>
      </c>
      <c r="AF1155">
        <v>0</v>
      </c>
      <c r="AG1155">
        <v>1</v>
      </c>
      <c r="AH1155">
        <v>0</v>
      </c>
      <c r="AI1155">
        <v>0</v>
      </c>
      <c r="AJ1155">
        <v>0</v>
      </c>
      <c r="AK1155">
        <v>1</v>
      </c>
      <c r="AL1155">
        <v>0</v>
      </c>
      <c r="AM1155">
        <v>0</v>
      </c>
      <c r="AN1155">
        <v>39</v>
      </c>
      <c r="AO1155">
        <v>24</v>
      </c>
      <c r="AP1155">
        <f>ifood_data[[#This Row],[MntTotal]]-ifood_data[[#This Row],[MntRegularProds]]</f>
        <v>15</v>
      </c>
      <c r="AQ1155">
        <v>0</v>
      </c>
      <c r="AR1155">
        <f>IF(SUM(ifood_data[[#This Row],[Kidhome]:[Teenhome]])&gt;0,1,0)</f>
        <v>1</v>
      </c>
      <c r="AS1155" t="str">
        <f>IF(SUM(ifood_data[[#This Row],[Kidhome]:[Teenhome]])&gt;0,"Has Family","No Family")</f>
        <v>Has Family</v>
      </c>
      <c r="AT1155" t="str">
        <f>IF(ifood_data[[#This Row],[marital_Married]]=1,"Married", (IF(ifood_data[[#This Row],[marital_Single]]=1,"Single",(IF(ifood_data[[#This Row],[marital_Divorced]]=1,"Divorced",(IF(ifood_data[[#This Row],[marital_Together]]=1,"Living Together",(IF(ifood_data[[#This Row],[marital_Widow]]=1,"Widow","Other")))))))))</f>
        <v>Living Together</v>
      </c>
      <c r="AU1155" t="str">
        <f>IF(ifood_data[[#This Row],[education_Basic]]=1,"High School",(IF(ifood_data[[#This Row],[education_Graduation]]=1,"Undergraduate Degree",(IF(SUM(AM1155,AL1155,AI1155)&gt;0,"Master's Degree or Higher","Other")))))</f>
        <v>Undergraduate Degree</v>
      </c>
      <c r="AV1155" t="str">
        <f>IF(ifood_data[[#All],[Income]]&gt;75000,"75K+",(IF(ifood_data[[#All],[Income]]&gt;50000,"50K-75K",(IF(ifood_data[[#All],[Income]]&gt;35000,"35K-50K","&lt;35K")))))</f>
        <v>35K-50K</v>
      </c>
      <c r="AW1155" t="str">
        <f>IF(ifood_data[[#All],[Age]]&gt;60,"60+",(IF(ifood_data[[#All],[Age]]&gt;50,"50-60",(IF(ifood_data[[#All],[Age]]&gt;40,"40-50",(IF(ifood_data[[#All],[Age]]&gt;30,"30-40","&lt;30")))))))</f>
        <v>60+</v>
      </c>
      <c r="AX1155">
        <f t="shared" si="72"/>
        <v>9</v>
      </c>
      <c r="AY1155">
        <f t="shared" si="73"/>
        <v>0.99999999999999978</v>
      </c>
      <c r="AZ1155">
        <f t="shared" si="74"/>
        <v>0</v>
      </c>
      <c r="BA1155">
        <f t="shared" si="75"/>
        <v>1</v>
      </c>
      <c r="BB1155">
        <f>SUM(ifood_data[[#This Row],[Recency Score]:[Monetary Score]])</f>
        <v>1.9999999999999998</v>
      </c>
      <c r="BC1155">
        <f>(_xlfn.PERCENTRANK.INC(ifood_data[[#All],[RFM]],ifood_data[[#This Row],[RFM]],1))*10</f>
        <v>0</v>
      </c>
      <c r="BD1155" t="str">
        <f>VLOOKUP(ifood_data[[#This Row],[RFM Score]],'RFM Analysis'!$A$3:$B$14,2,FALSE)</f>
        <v>Lost</v>
      </c>
      <c r="BE1155">
        <f>'Regression Models'!$B$101+'Regression Models'!$B$102*ifood_data[[#This Row],[Income]]+'Regression Models'!$B$103*ifood_data[[#This Row],[Age]]+'Regression Models'!$B$104*ifood_data[[#This Row],[Family]]</f>
        <v>394.37924718000431</v>
      </c>
      <c r="BF1155" t="str">
        <f>IF(ifood_data[[#This Row],[AcceptedCmpOverall]]=1,"Campaign Respondent","Non-respondent")</f>
        <v>Non-respondent</v>
      </c>
    </row>
    <row r="1156" spans="1:58" x14ac:dyDescent="0.35">
      <c r="A1156">
        <v>1400</v>
      </c>
      <c r="B1156">
        <v>46772</v>
      </c>
      <c r="C1156">
        <v>0</v>
      </c>
      <c r="D1156">
        <v>1</v>
      </c>
      <c r="E1156">
        <v>88</v>
      </c>
      <c r="F1156">
        <v>350</v>
      </c>
      <c r="G1156">
        <v>104</v>
      </c>
      <c r="H1156">
        <v>189</v>
      </c>
      <c r="I1156">
        <v>197</v>
      </c>
      <c r="J1156">
        <v>151</v>
      </c>
      <c r="K1156">
        <v>57</v>
      </c>
      <c r="L1156">
        <v>6</v>
      </c>
      <c r="M1156">
        <v>11</v>
      </c>
      <c r="N1156">
        <v>8</v>
      </c>
      <c r="O1156">
        <v>5</v>
      </c>
      <c r="P1156">
        <v>8</v>
      </c>
      <c r="Q1156">
        <v>0</v>
      </c>
      <c r="R1156">
        <v>0</v>
      </c>
      <c r="S1156">
        <v>1</v>
      </c>
      <c r="T1156">
        <v>0</v>
      </c>
      <c r="U1156">
        <v>0</v>
      </c>
      <c r="V1156">
        <f>IF(SUM(ifood_data[[#This Row],[AcceptedCmp1]:[AcceptedCmp5]])&gt;0,1,0)</f>
        <v>1</v>
      </c>
      <c r="W1156">
        <v>0</v>
      </c>
      <c r="X1156">
        <v>3</v>
      </c>
      <c r="Y1156">
        <v>11</v>
      </c>
      <c r="Z1156">
        <v>0</v>
      </c>
      <c r="AA1156">
        <v>45</v>
      </c>
      <c r="AB1156">
        <v>2758</v>
      </c>
      <c r="AC1156" s="28">
        <f>ifood_data[[#This Row],[Customer_Days]]/365</f>
        <v>7.5561643835616437</v>
      </c>
      <c r="AD1156">
        <v>0</v>
      </c>
      <c r="AE1156">
        <v>0</v>
      </c>
      <c r="AF1156">
        <v>0</v>
      </c>
      <c r="AG1156">
        <v>1</v>
      </c>
      <c r="AH1156">
        <v>0</v>
      </c>
      <c r="AI1156">
        <v>1</v>
      </c>
      <c r="AJ1156">
        <v>0</v>
      </c>
      <c r="AK1156">
        <v>0</v>
      </c>
      <c r="AL1156">
        <v>0</v>
      </c>
      <c r="AM1156">
        <v>0</v>
      </c>
      <c r="AN1156">
        <v>991</v>
      </c>
      <c r="AO1156">
        <v>934</v>
      </c>
      <c r="AP1156">
        <f>ifood_data[[#This Row],[MntTotal]]-ifood_data[[#This Row],[MntRegularProds]]</f>
        <v>57</v>
      </c>
      <c r="AQ1156">
        <v>1</v>
      </c>
      <c r="AR1156">
        <f>IF(SUM(ifood_data[[#This Row],[Kidhome]:[Teenhome]])&gt;0,1,0)</f>
        <v>1</v>
      </c>
      <c r="AS1156" t="str">
        <f>IF(SUM(ifood_data[[#This Row],[Kidhome]:[Teenhome]])&gt;0,"Has Family","No Family")</f>
        <v>Has Family</v>
      </c>
      <c r="AT1156" t="str">
        <f>IF(ifood_data[[#This Row],[marital_Married]]=1,"Married", (IF(ifood_data[[#This Row],[marital_Single]]=1,"Single",(IF(ifood_data[[#This Row],[marital_Divorced]]=1,"Divorced",(IF(ifood_data[[#This Row],[marital_Together]]=1,"Living Together",(IF(ifood_data[[#This Row],[marital_Widow]]=1,"Widow","Other")))))))))</f>
        <v>Living Together</v>
      </c>
      <c r="AU1156" t="str">
        <f>IF(ifood_data[[#This Row],[education_Basic]]=1,"High School",(IF(ifood_data[[#This Row],[education_Graduation]]=1,"Undergraduate Degree",(IF(SUM(AM1156,AL1156,AI1156)&gt;0,"Master's Degree or Higher","Other")))))</f>
        <v>Master's Degree or Higher</v>
      </c>
      <c r="AV1156" t="str">
        <f>IF(ifood_data[[#All],[Income]]&gt;75000,"75K+",(IF(ifood_data[[#All],[Income]]&gt;50000,"50K-75K",(IF(ifood_data[[#All],[Income]]&gt;35000,"35K-50K","&lt;35K")))))</f>
        <v>35K-50K</v>
      </c>
      <c r="AW1156" t="str">
        <f>IF(ifood_data[[#All],[Age]]&gt;60,"60+",(IF(ifood_data[[#All],[Age]]&gt;50,"50-60",(IF(ifood_data[[#All],[Age]]&gt;40,"40-50",(IF(ifood_data[[#All],[Age]]&gt;30,"30-40","&lt;30")))))))</f>
        <v>40-50</v>
      </c>
      <c r="AX1156">
        <f t="shared" si="72"/>
        <v>38</v>
      </c>
      <c r="AY1156">
        <f t="shared" si="73"/>
        <v>1.9999999999999996</v>
      </c>
      <c r="AZ1156">
        <f t="shared" si="74"/>
        <v>9</v>
      </c>
      <c r="BA1156">
        <f t="shared" si="75"/>
        <v>7</v>
      </c>
      <c r="BB1156">
        <f>SUM(ifood_data[[#This Row],[Recency Score]:[Monetary Score]])</f>
        <v>18</v>
      </c>
      <c r="BC1156">
        <f>(_xlfn.PERCENTRANK.INC(ifood_data[[#All],[RFM]],ifood_data[[#This Row],[RFM]],1))*10</f>
        <v>6</v>
      </c>
      <c r="BD1156" t="str">
        <f>VLOOKUP(ifood_data[[#This Row],[RFM Score]],'RFM Analysis'!$A$3:$B$14,2,FALSE)</f>
        <v>Promising</v>
      </c>
      <c r="BE1156">
        <f>'Regression Models'!$B$101+'Regression Models'!$B$102*ifood_data[[#This Row],[Income]]+'Regression Models'!$B$103*ifood_data[[#This Row],[Age]]+'Regression Models'!$B$104*ifood_data[[#This Row],[Family]]</f>
        <v>393.55481772871474</v>
      </c>
      <c r="BF1156" t="str">
        <f>IF(ifood_data[[#This Row],[AcceptedCmpOverall]]=1,"Campaign Respondent","Non-respondent")</f>
        <v>Campaign Respondent</v>
      </c>
    </row>
    <row r="1157" spans="1:58" x14ac:dyDescent="0.35">
      <c r="A1157">
        <v>1499</v>
      </c>
      <c r="B1157">
        <v>47111</v>
      </c>
      <c r="C1157">
        <v>0</v>
      </c>
      <c r="D1157">
        <v>1</v>
      </c>
      <c r="E1157">
        <v>35</v>
      </c>
      <c r="F1157">
        <v>595</v>
      </c>
      <c r="G1157">
        <v>71</v>
      </c>
      <c r="H1157">
        <v>153</v>
      </c>
      <c r="I1157">
        <v>120</v>
      </c>
      <c r="J1157">
        <v>112</v>
      </c>
      <c r="K1157">
        <v>41</v>
      </c>
      <c r="L1157">
        <v>6</v>
      </c>
      <c r="M1157">
        <v>3</v>
      </c>
      <c r="N1157">
        <v>2</v>
      </c>
      <c r="O1157">
        <v>10</v>
      </c>
      <c r="P1157">
        <v>9</v>
      </c>
      <c r="Q1157">
        <v>0</v>
      </c>
      <c r="R1157">
        <v>0</v>
      </c>
      <c r="S1157">
        <v>0</v>
      </c>
      <c r="T1157">
        <v>0</v>
      </c>
      <c r="U1157">
        <v>0</v>
      </c>
      <c r="V1157">
        <f>IF(SUM(ifood_data[[#This Row],[AcceptedCmp1]:[AcceptedCmp5]])&gt;0,1,0)</f>
        <v>0</v>
      </c>
      <c r="W1157">
        <v>0</v>
      </c>
      <c r="X1157">
        <v>3</v>
      </c>
      <c r="Y1157">
        <v>11</v>
      </c>
      <c r="Z1157">
        <v>0</v>
      </c>
      <c r="AA1157">
        <v>49</v>
      </c>
      <c r="AB1157">
        <v>2818</v>
      </c>
      <c r="AC1157" s="28">
        <f>ifood_data[[#This Row],[Customer_Days]]/365</f>
        <v>7.720547945205479</v>
      </c>
      <c r="AD1157">
        <v>0</v>
      </c>
      <c r="AE1157">
        <v>0</v>
      </c>
      <c r="AF1157">
        <v>0</v>
      </c>
      <c r="AG1157">
        <v>0</v>
      </c>
      <c r="AH1157">
        <v>1</v>
      </c>
      <c r="AI1157">
        <v>0</v>
      </c>
      <c r="AJ1157">
        <v>0</v>
      </c>
      <c r="AK1157">
        <v>0</v>
      </c>
      <c r="AL1157">
        <v>0</v>
      </c>
      <c r="AM1157">
        <v>1</v>
      </c>
      <c r="AN1157">
        <v>1051</v>
      </c>
      <c r="AO1157">
        <v>1010</v>
      </c>
      <c r="AP1157">
        <f>ifood_data[[#This Row],[MntTotal]]-ifood_data[[#This Row],[MntRegularProds]]</f>
        <v>41</v>
      </c>
      <c r="AQ1157">
        <v>0</v>
      </c>
      <c r="AR1157">
        <f>IF(SUM(ifood_data[[#This Row],[Kidhome]:[Teenhome]])&gt;0,1,0)</f>
        <v>1</v>
      </c>
      <c r="AS1157" t="str">
        <f>IF(SUM(ifood_data[[#This Row],[Kidhome]:[Teenhome]])&gt;0,"Has Family","No Family")</f>
        <v>Has Family</v>
      </c>
      <c r="AT1157" t="str">
        <f>IF(ifood_data[[#This Row],[marital_Married]]=1,"Married", (IF(ifood_data[[#This Row],[marital_Single]]=1,"Single",(IF(ifood_data[[#This Row],[marital_Divorced]]=1,"Divorced",(IF(ifood_data[[#This Row],[marital_Together]]=1,"Living Together",(IF(ifood_data[[#This Row],[marital_Widow]]=1,"Widow","Other")))))))))</f>
        <v>Widow</v>
      </c>
      <c r="AU1157" t="str">
        <f>IF(ifood_data[[#This Row],[education_Basic]]=1,"High School",(IF(ifood_data[[#This Row],[education_Graduation]]=1,"Undergraduate Degree",(IF(SUM(AM1157,AL1157,AI1157)&gt;0,"Master's Degree or Higher","Other")))))</f>
        <v>Master's Degree or Higher</v>
      </c>
      <c r="AV1157" t="str">
        <f>IF(ifood_data[[#All],[Income]]&gt;75000,"75K+",(IF(ifood_data[[#All],[Income]]&gt;50000,"50K-75K",(IF(ifood_data[[#All],[Income]]&gt;35000,"35K-50K","&lt;35K")))))</f>
        <v>35K-50K</v>
      </c>
      <c r="AW1157" t="str">
        <f>IF(ifood_data[[#All],[Age]]&gt;60,"60+",(IF(ifood_data[[#All],[Age]]&gt;50,"50-60",(IF(ifood_data[[#All],[Age]]&gt;40,"40-50",(IF(ifood_data[[#All],[Age]]&gt;30,"30-40","&lt;30")))))))</f>
        <v>40-50</v>
      </c>
      <c r="AX1157">
        <f t="shared" si="72"/>
        <v>30</v>
      </c>
      <c r="AY1157">
        <f t="shared" si="73"/>
        <v>7</v>
      </c>
      <c r="AZ1157">
        <f t="shared" si="74"/>
        <v>8</v>
      </c>
      <c r="BA1157">
        <f t="shared" si="75"/>
        <v>7</v>
      </c>
      <c r="BB1157">
        <f>SUM(ifood_data[[#This Row],[Recency Score]:[Monetary Score]])</f>
        <v>22</v>
      </c>
      <c r="BC1157">
        <f>(_xlfn.PERCENTRANK.INC(ifood_data[[#All],[RFM]],ifood_data[[#This Row],[RFM]],1))*10</f>
        <v>8</v>
      </c>
      <c r="BD1157" t="str">
        <f>VLOOKUP(ifood_data[[#This Row],[RFM Score]],'RFM Analysis'!$A$3:$B$14,2,FALSE)</f>
        <v>Loyal Customer</v>
      </c>
      <c r="BE1157">
        <f>'Regression Models'!$B$101+'Regression Models'!$B$102*ifood_data[[#This Row],[Income]]+'Regression Models'!$B$103*ifood_data[[#This Row],[Age]]+'Regression Models'!$B$104*ifood_data[[#This Row],[Family]]</f>
        <v>393.12085381391944</v>
      </c>
      <c r="BF1157" t="str">
        <f>IF(ifood_data[[#This Row],[AcceptedCmpOverall]]=1,"Campaign Respondent","Non-respondent")</f>
        <v>Non-respondent</v>
      </c>
    </row>
    <row r="1158" spans="1:58" x14ac:dyDescent="0.35">
      <c r="A1158">
        <v>402</v>
      </c>
      <c r="B1158">
        <v>48686</v>
      </c>
      <c r="C1158">
        <v>1</v>
      </c>
      <c r="D1158">
        <v>2</v>
      </c>
      <c r="E1158">
        <v>8</v>
      </c>
      <c r="F1158">
        <v>10</v>
      </c>
      <c r="G1158">
        <v>0</v>
      </c>
      <c r="H1158">
        <v>7</v>
      </c>
      <c r="I1158">
        <v>2</v>
      </c>
      <c r="J1158">
        <v>0</v>
      </c>
      <c r="K1158">
        <v>1</v>
      </c>
      <c r="L1158">
        <v>1</v>
      </c>
      <c r="M1158">
        <v>1</v>
      </c>
      <c r="N1158">
        <v>0</v>
      </c>
      <c r="O1158">
        <v>2</v>
      </c>
      <c r="P1158">
        <v>8</v>
      </c>
      <c r="Q1158">
        <v>0</v>
      </c>
      <c r="R1158">
        <v>0</v>
      </c>
      <c r="S1158">
        <v>0</v>
      </c>
      <c r="T1158">
        <v>0</v>
      </c>
      <c r="U1158">
        <v>0</v>
      </c>
      <c r="V1158">
        <f>IF(SUM(ifood_data[[#This Row],[AcceptedCmp1]:[AcceptedCmp5]])&gt;0,1,0)</f>
        <v>0</v>
      </c>
      <c r="W1158">
        <v>0</v>
      </c>
      <c r="X1158">
        <v>3</v>
      </c>
      <c r="Y1158">
        <v>11</v>
      </c>
      <c r="Z1158">
        <v>0</v>
      </c>
      <c r="AA1158">
        <v>67</v>
      </c>
      <c r="AB1158">
        <v>2366</v>
      </c>
      <c r="AC1158" s="28">
        <f>ifood_data[[#This Row],[Customer_Days]]/365</f>
        <v>6.4821917808219176</v>
      </c>
      <c r="AD1158">
        <v>0</v>
      </c>
      <c r="AE1158">
        <v>1</v>
      </c>
      <c r="AF1158">
        <v>0</v>
      </c>
      <c r="AG1158">
        <v>0</v>
      </c>
      <c r="AH1158">
        <v>0</v>
      </c>
      <c r="AI1158">
        <v>0</v>
      </c>
      <c r="AJ1158">
        <v>0</v>
      </c>
      <c r="AK1158">
        <v>1</v>
      </c>
      <c r="AL1158">
        <v>0</v>
      </c>
      <c r="AM1158">
        <v>0</v>
      </c>
      <c r="AN1158">
        <v>19</v>
      </c>
      <c r="AO1158">
        <v>18</v>
      </c>
      <c r="AP1158">
        <f>ifood_data[[#This Row],[MntTotal]]-ifood_data[[#This Row],[MntRegularProds]]</f>
        <v>1</v>
      </c>
      <c r="AQ1158">
        <v>0</v>
      </c>
      <c r="AR1158">
        <f>IF(SUM(ifood_data[[#This Row],[Kidhome]:[Teenhome]])&gt;0,1,0)</f>
        <v>1</v>
      </c>
      <c r="AS1158" t="str">
        <f>IF(SUM(ifood_data[[#This Row],[Kidhome]:[Teenhome]])&gt;0,"Has Family","No Family")</f>
        <v>Has Family</v>
      </c>
      <c r="AT1158" t="str">
        <f>IF(ifood_data[[#This Row],[marital_Married]]=1,"Married", (IF(ifood_data[[#This Row],[marital_Single]]=1,"Single",(IF(ifood_data[[#This Row],[marital_Divorced]]=1,"Divorced",(IF(ifood_data[[#This Row],[marital_Together]]=1,"Living Together",(IF(ifood_data[[#This Row],[marital_Widow]]=1,"Widow","Other")))))))))</f>
        <v>Married</v>
      </c>
      <c r="AU1158" t="str">
        <f>IF(ifood_data[[#This Row],[education_Basic]]=1,"High School",(IF(ifood_data[[#This Row],[education_Graduation]]=1,"Undergraduate Degree",(IF(SUM(AM1158,AL1158,AI1158)&gt;0,"Master's Degree or Higher","Other")))))</f>
        <v>Undergraduate Degree</v>
      </c>
      <c r="AV1158" t="str">
        <f>IF(ifood_data[[#All],[Income]]&gt;75000,"75K+",(IF(ifood_data[[#All],[Income]]&gt;50000,"50K-75K",(IF(ifood_data[[#All],[Income]]&gt;35000,"35K-50K","&lt;35K")))))</f>
        <v>35K-50K</v>
      </c>
      <c r="AW1158" t="str">
        <f>IF(ifood_data[[#All],[Age]]&gt;60,"60+",(IF(ifood_data[[#All],[Age]]&gt;50,"50-60",(IF(ifood_data[[#All],[Age]]&gt;40,"40-50",(IF(ifood_data[[#All],[Age]]&gt;30,"30-40","&lt;30")))))))</f>
        <v>60+</v>
      </c>
      <c r="AX1158">
        <f t="shared" si="72"/>
        <v>12</v>
      </c>
      <c r="AY1158">
        <f t="shared" si="73"/>
        <v>10</v>
      </c>
      <c r="AZ1158">
        <f t="shared" si="74"/>
        <v>1</v>
      </c>
      <c r="BA1158">
        <f t="shared" si="75"/>
        <v>0</v>
      </c>
      <c r="BB1158">
        <f>SUM(ifood_data[[#This Row],[Recency Score]:[Monetary Score]])</f>
        <v>11</v>
      </c>
      <c r="BC1158">
        <f>(_xlfn.PERCENTRANK.INC(ifood_data[[#All],[RFM]],ifood_data[[#This Row],[RFM]],1))*10</f>
        <v>2</v>
      </c>
      <c r="BD1158" t="str">
        <f>VLOOKUP(ifood_data[[#This Row],[RFM Score]],'RFM Analysis'!$A$3:$B$14,2,FALSE)</f>
        <v>At Risk</v>
      </c>
      <c r="BE1158">
        <f>'Regression Models'!$B$101+'Regression Models'!$B$102*ifood_data[[#This Row],[Income]]+'Regression Models'!$B$103*ifood_data[[#This Row],[Age]]+'Regression Models'!$B$104*ifood_data[[#This Row],[Family]]</f>
        <v>392.17726022046315</v>
      </c>
      <c r="BF1158" t="str">
        <f>IF(ifood_data[[#This Row],[AcceptedCmpOverall]]=1,"Campaign Respondent","Non-respondent")</f>
        <v>Non-respondent</v>
      </c>
    </row>
    <row r="1159" spans="1:58" x14ac:dyDescent="0.35">
      <c r="A1159">
        <v>185</v>
      </c>
      <c r="B1159">
        <v>46854</v>
      </c>
      <c r="C1159">
        <v>1</v>
      </c>
      <c r="D1159">
        <v>1</v>
      </c>
      <c r="E1159">
        <v>81</v>
      </c>
      <c r="F1159">
        <v>96</v>
      </c>
      <c r="G1159">
        <v>1</v>
      </c>
      <c r="H1159">
        <v>79</v>
      </c>
      <c r="I1159">
        <v>7</v>
      </c>
      <c r="J1159">
        <v>1</v>
      </c>
      <c r="K1159">
        <v>79</v>
      </c>
      <c r="L1159">
        <v>6</v>
      </c>
      <c r="M1159">
        <v>5</v>
      </c>
      <c r="N1159">
        <v>1</v>
      </c>
      <c r="O1159">
        <v>3</v>
      </c>
      <c r="P1159">
        <v>8</v>
      </c>
      <c r="Q1159">
        <v>0</v>
      </c>
      <c r="R1159">
        <v>0</v>
      </c>
      <c r="S1159">
        <v>1</v>
      </c>
      <c r="T1159">
        <v>0</v>
      </c>
      <c r="U1159">
        <v>0</v>
      </c>
      <c r="V1159">
        <f>IF(SUM(ifood_data[[#This Row],[AcceptedCmp1]:[AcceptedCmp5]])&gt;0,1,0)</f>
        <v>1</v>
      </c>
      <c r="W1159">
        <v>0</v>
      </c>
      <c r="X1159">
        <v>3</v>
      </c>
      <c r="Y1159">
        <v>11</v>
      </c>
      <c r="Z1159">
        <v>1</v>
      </c>
      <c r="AA1159">
        <v>47</v>
      </c>
      <c r="AB1159">
        <v>2249</v>
      </c>
      <c r="AC1159" s="28">
        <f>ifood_data[[#This Row],[Customer_Days]]/365</f>
        <v>6.161643835616438</v>
      </c>
      <c r="AD1159">
        <v>0</v>
      </c>
      <c r="AE1159">
        <v>0</v>
      </c>
      <c r="AF1159">
        <v>1</v>
      </c>
      <c r="AG1159">
        <v>0</v>
      </c>
      <c r="AH1159">
        <v>0</v>
      </c>
      <c r="AI1159">
        <v>0</v>
      </c>
      <c r="AJ1159">
        <v>0</v>
      </c>
      <c r="AK1159">
        <v>0</v>
      </c>
      <c r="AL1159">
        <v>0</v>
      </c>
      <c r="AM1159">
        <v>1</v>
      </c>
      <c r="AN1159">
        <v>184</v>
      </c>
      <c r="AO1159">
        <v>105</v>
      </c>
      <c r="AP1159">
        <f>ifood_data[[#This Row],[MntTotal]]-ifood_data[[#This Row],[MntRegularProds]]</f>
        <v>79</v>
      </c>
      <c r="AQ1159">
        <v>1</v>
      </c>
      <c r="AR1159">
        <f>IF(SUM(ifood_data[[#This Row],[Kidhome]:[Teenhome]])&gt;0,1,0)</f>
        <v>1</v>
      </c>
      <c r="AS1159" t="str">
        <f>IF(SUM(ifood_data[[#This Row],[Kidhome]:[Teenhome]])&gt;0,"Has Family","No Family")</f>
        <v>Has Family</v>
      </c>
      <c r="AT1159" t="str">
        <f>IF(ifood_data[[#This Row],[marital_Married]]=1,"Married", (IF(ifood_data[[#This Row],[marital_Single]]=1,"Single",(IF(ifood_data[[#This Row],[marital_Divorced]]=1,"Divorced",(IF(ifood_data[[#This Row],[marital_Together]]=1,"Living Together",(IF(ifood_data[[#This Row],[marital_Widow]]=1,"Widow","Other")))))))))</f>
        <v>Single</v>
      </c>
      <c r="AU1159" t="str">
        <f>IF(ifood_data[[#This Row],[education_Basic]]=1,"High School",(IF(ifood_data[[#This Row],[education_Graduation]]=1,"Undergraduate Degree",(IF(SUM(AM1159,AL1159,AI1159)&gt;0,"Master's Degree or Higher","Other")))))</f>
        <v>Master's Degree or Higher</v>
      </c>
      <c r="AV1159" t="str">
        <f>IF(ifood_data[[#All],[Income]]&gt;75000,"75K+",(IF(ifood_data[[#All],[Income]]&gt;50000,"50K-75K",(IF(ifood_data[[#All],[Income]]&gt;35000,"35K-50K","&lt;35K")))))</f>
        <v>35K-50K</v>
      </c>
      <c r="AW1159" t="str">
        <f>IF(ifood_data[[#All],[Age]]&gt;60,"60+",(IF(ifood_data[[#All],[Age]]&gt;50,"50-60",(IF(ifood_data[[#All],[Age]]&gt;40,"40-50",(IF(ifood_data[[#All],[Age]]&gt;30,"30-40","&lt;30")))))))</f>
        <v>40-50</v>
      </c>
      <c r="AX1159">
        <f t="shared" si="72"/>
        <v>23</v>
      </c>
      <c r="AY1159">
        <f t="shared" si="73"/>
        <v>1.9999999999999996</v>
      </c>
      <c r="AZ1159">
        <f t="shared" si="74"/>
        <v>6</v>
      </c>
      <c r="BA1159">
        <f t="shared" si="75"/>
        <v>4</v>
      </c>
      <c r="BB1159">
        <f>SUM(ifood_data[[#This Row],[Recency Score]:[Monetary Score]])</f>
        <v>12</v>
      </c>
      <c r="BC1159">
        <f>(_xlfn.PERCENTRANK.INC(ifood_data[[#All],[RFM]],ifood_data[[#This Row],[RFM]],1))*10</f>
        <v>3</v>
      </c>
      <c r="BD1159" t="str">
        <f>VLOOKUP(ifood_data[[#This Row],[RFM Score]],'RFM Analysis'!$A$3:$B$14,2,FALSE)</f>
        <v>At Risk</v>
      </c>
      <c r="BE1159">
        <f>'Regression Models'!$B$101+'Regression Models'!$B$102*ifood_data[[#This Row],[Income]]+'Regression Models'!$B$103*ifood_data[[#This Row],[Age]]+'Regression Models'!$B$104*ifood_data[[#This Row],[Family]]</f>
        <v>391.55381855872588</v>
      </c>
      <c r="BF1159" t="str">
        <f>IF(ifood_data[[#This Row],[AcceptedCmpOverall]]=1,"Campaign Respondent","Non-respondent")</f>
        <v>Campaign Respondent</v>
      </c>
    </row>
    <row r="1160" spans="1:58" x14ac:dyDescent="0.35">
      <c r="A1160">
        <v>1827</v>
      </c>
      <c r="B1160">
        <v>33279</v>
      </c>
      <c r="C1160">
        <v>0</v>
      </c>
      <c r="D1160">
        <v>0</v>
      </c>
      <c r="E1160">
        <v>29</v>
      </c>
      <c r="F1160">
        <v>10</v>
      </c>
      <c r="G1160">
        <v>3</v>
      </c>
      <c r="H1160">
        <v>3</v>
      </c>
      <c r="I1160">
        <v>0</v>
      </c>
      <c r="J1160">
        <v>0</v>
      </c>
      <c r="K1160">
        <v>0</v>
      </c>
      <c r="L1160">
        <v>1</v>
      </c>
      <c r="M1160">
        <v>0</v>
      </c>
      <c r="N1160">
        <v>0</v>
      </c>
      <c r="O1160">
        <v>3</v>
      </c>
      <c r="P1160">
        <v>3</v>
      </c>
      <c r="Q1160">
        <v>0</v>
      </c>
      <c r="R1160">
        <v>0</v>
      </c>
      <c r="S1160">
        <v>0</v>
      </c>
      <c r="T1160">
        <v>0</v>
      </c>
      <c r="U1160">
        <v>0</v>
      </c>
      <c r="V1160">
        <f>IF(SUM(ifood_data[[#This Row],[AcceptedCmp1]:[AcceptedCmp5]])&gt;0,1,0)</f>
        <v>0</v>
      </c>
      <c r="W1160">
        <v>0</v>
      </c>
      <c r="X1160">
        <v>3</v>
      </c>
      <c r="Y1160">
        <v>11</v>
      </c>
      <c r="Z1160">
        <v>0</v>
      </c>
      <c r="AA1160">
        <v>54</v>
      </c>
      <c r="AB1160">
        <v>2176</v>
      </c>
      <c r="AC1160" s="28">
        <f>ifood_data[[#This Row],[Customer_Days]]/365</f>
        <v>5.9616438356164387</v>
      </c>
      <c r="AD1160">
        <v>0</v>
      </c>
      <c r="AE1160">
        <v>0</v>
      </c>
      <c r="AF1160">
        <v>1</v>
      </c>
      <c r="AG1160">
        <v>0</v>
      </c>
      <c r="AH1160">
        <v>0</v>
      </c>
      <c r="AI1160">
        <v>0</v>
      </c>
      <c r="AJ1160">
        <v>0</v>
      </c>
      <c r="AK1160">
        <v>1</v>
      </c>
      <c r="AL1160">
        <v>0</v>
      </c>
      <c r="AM1160">
        <v>0</v>
      </c>
      <c r="AN1160">
        <v>16</v>
      </c>
      <c r="AO1160">
        <v>16</v>
      </c>
      <c r="AP1160">
        <f>ifood_data[[#This Row],[MntTotal]]-ifood_data[[#This Row],[MntRegularProds]]</f>
        <v>0</v>
      </c>
      <c r="AQ1160">
        <v>0</v>
      </c>
      <c r="AR1160">
        <f>IF(SUM(ifood_data[[#This Row],[Kidhome]:[Teenhome]])&gt;0,1,0)</f>
        <v>0</v>
      </c>
      <c r="AS1160" t="str">
        <f>IF(SUM(ifood_data[[#This Row],[Kidhome]:[Teenhome]])&gt;0,"Has Family","No Family")</f>
        <v>No Family</v>
      </c>
      <c r="AT1160" t="str">
        <f>IF(ifood_data[[#This Row],[marital_Married]]=1,"Married", (IF(ifood_data[[#This Row],[marital_Single]]=1,"Single",(IF(ifood_data[[#This Row],[marital_Divorced]]=1,"Divorced",(IF(ifood_data[[#This Row],[marital_Together]]=1,"Living Together",(IF(ifood_data[[#This Row],[marital_Widow]]=1,"Widow","Other")))))))))</f>
        <v>Single</v>
      </c>
      <c r="AU1160" t="str">
        <f>IF(ifood_data[[#This Row],[education_Basic]]=1,"High School",(IF(ifood_data[[#This Row],[education_Graduation]]=1,"Undergraduate Degree",(IF(SUM(AM1160,AL1160,AI1160)&gt;0,"Master's Degree or Higher","Other")))))</f>
        <v>Undergraduate Degree</v>
      </c>
      <c r="AV1160" t="str">
        <f>IF(ifood_data[[#All],[Income]]&gt;75000,"75K+",(IF(ifood_data[[#All],[Income]]&gt;50000,"50K-75K",(IF(ifood_data[[#All],[Income]]&gt;35000,"35K-50K","&lt;35K")))))</f>
        <v>&lt;35K</v>
      </c>
      <c r="AW1160" t="str">
        <f>IF(ifood_data[[#All],[Age]]&gt;60,"60+",(IF(ifood_data[[#All],[Age]]&gt;50,"50-60",(IF(ifood_data[[#All],[Age]]&gt;40,"40-50",(IF(ifood_data[[#All],[Age]]&gt;30,"30-40","&lt;30")))))))</f>
        <v>50-60</v>
      </c>
      <c r="AX1160">
        <f t="shared" si="72"/>
        <v>7</v>
      </c>
      <c r="AY1160">
        <f t="shared" si="73"/>
        <v>8</v>
      </c>
      <c r="AZ1160">
        <f t="shared" si="74"/>
        <v>0</v>
      </c>
      <c r="BA1160">
        <f t="shared" si="75"/>
        <v>0</v>
      </c>
      <c r="BB1160">
        <f>SUM(ifood_data[[#This Row],[Recency Score]:[Monetary Score]])</f>
        <v>8</v>
      </c>
      <c r="BC1160">
        <f>(_xlfn.PERCENTRANK.INC(ifood_data[[#All],[RFM]],ifood_data[[#This Row],[RFM]],1))*10</f>
        <v>1</v>
      </c>
      <c r="BD1160" t="str">
        <f>VLOOKUP(ifood_data[[#This Row],[RFM Score]],'RFM Analysis'!$A$3:$B$14,2,FALSE)</f>
        <v>At Risk</v>
      </c>
      <c r="BE1160">
        <f>'Regression Models'!$B$101+'Regression Models'!$B$102*ifood_data[[#This Row],[Income]]+'Regression Models'!$B$103*ifood_data[[#This Row],[Age]]+'Regression Models'!$B$104*ifood_data[[#This Row],[Family]]</f>
        <v>391.53484852605391</v>
      </c>
      <c r="BF1160" t="str">
        <f>IF(ifood_data[[#This Row],[AcceptedCmpOverall]]=1,"Campaign Respondent","Non-respondent")</f>
        <v>Non-respondent</v>
      </c>
    </row>
    <row r="1161" spans="1:58" x14ac:dyDescent="0.35">
      <c r="A1161">
        <v>552</v>
      </c>
      <c r="B1161">
        <v>47472</v>
      </c>
      <c r="C1161">
        <v>1</v>
      </c>
      <c r="D1161">
        <v>1</v>
      </c>
      <c r="E1161">
        <v>39</v>
      </c>
      <c r="F1161">
        <v>56</v>
      </c>
      <c r="G1161">
        <v>0</v>
      </c>
      <c r="H1161">
        <v>11</v>
      </c>
      <c r="I1161">
        <v>0</v>
      </c>
      <c r="J1161">
        <v>0</v>
      </c>
      <c r="K1161">
        <v>8</v>
      </c>
      <c r="L1161">
        <v>2</v>
      </c>
      <c r="M1161">
        <v>2</v>
      </c>
      <c r="N1161">
        <v>0</v>
      </c>
      <c r="O1161">
        <v>4</v>
      </c>
      <c r="P1161">
        <v>5</v>
      </c>
      <c r="Q1161">
        <v>0</v>
      </c>
      <c r="R1161">
        <v>0</v>
      </c>
      <c r="S1161">
        <v>0</v>
      </c>
      <c r="T1161">
        <v>0</v>
      </c>
      <c r="U1161">
        <v>0</v>
      </c>
      <c r="V1161">
        <f>IF(SUM(ifood_data[[#This Row],[AcceptedCmp1]:[AcceptedCmp5]])&gt;0,1,0)</f>
        <v>0</v>
      </c>
      <c r="W1161">
        <v>0</v>
      </c>
      <c r="X1161">
        <v>3</v>
      </c>
      <c r="Y1161">
        <v>11</v>
      </c>
      <c r="Z1161">
        <v>0</v>
      </c>
      <c r="AA1161">
        <v>54</v>
      </c>
      <c r="AB1161">
        <v>2445</v>
      </c>
      <c r="AC1161" s="28">
        <f>ifood_data[[#This Row],[Customer_Days]]/365</f>
        <v>6.6986301369863011</v>
      </c>
      <c r="AD1161">
        <v>0</v>
      </c>
      <c r="AE1161">
        <v>0</v>
      </c>
      <c r="AF1161">
        <v>0</v>
      </c>
      <c r="AG1161">
        <v>1</v>
      </c>
      <c r="AH1161">
        <v>0</v>
      </c>
      <c r="AI1161">
        <v>0</v>
      </c>
      <c r="AJ1161">
        <v>0</v>
      </c>
      <c r="AK1161">
        <v>0</v>
      </c>
      <c r="AL1161">
        <v>0</v>
      </c>
      <c r="AM1161">
        <v>1</v>
      </c>
      <c r="AN1161">
        <v>67</v>
      </c>
      <c r="AO1161">
        <v>59</v>
      </c>
      <c r="AP1161">
        <f>ifood_data[[#This Row],[MntTotal]]-ifood_data[[#This Row],[MntRegularProds]]</f>
        <v>8</v>
      </c>
      <c r="AQ1161">
        <v>0</v>
      </c>
      <c r="AR1161">
        <f>IF(SUM(ifood_data[[#This Row],[Kidhome]:[Teenhome]])&gt;0,1,0)</f>
        <v>1</v>
      </c>
      <c r="AS1161" t="str">
        <f>IF(SUM(ifood_data[[#This Row],[Kidhome]:[Teenhome]])&gt;0,"Has Family","No Family")</f>
        <v>Has Family</v>
      </c>
      <c r="AT1161" t="str">
        <f>IF(ifood_data[[#This Row],[marital_Married]]=1,"Married", (IF(ifood_data[[#This Row],[marital_Single]]=1,"Single",(IF(ifood_data[[#This Row],[marital_Divorced]]=1,"Divorced",(IF(ifood_data[[#This Row],[marital_Together]]=1,"Living Together",(IF(ifood_data[[#This Row],[marital_Widow]]=1,"Widow","Other")))))))))</f>
        <v>Living Together</v>
      </c>
      <c r="AU1161" t="str">
        <f>IF(ifood_data[[#This Row],[education_Basic]]=1,"High School",(IF(ifood_data[[#This Row],[education_Graduation]]=1,"Undergraduate Degree",(IF(SUM(AM1161,AL1161,AI1161)&gt;0,"Master's Degree or Higher","Other")))))</f>
        <v>Master's Degree or Higher</v>
      </c>
      <c r="AV1161" t="str">
        <f>IF(ifood_data[[#All],[Income]]&gt;75000,"75K+",(IF(ifood_data[[#All],[Income]]&gt;50000,"50K-75K",(IF(ifood_data[[#All],[Income]]&gt;35000,"35K-50K","&lt;35K")))))</f>
        <v>35K-50K</v>
      </c>
      <c r="AW1161" t="str">
        <f>IF(ifood_data[[#All],[Age]]&gt;60,"60+",(IF(ifood_data[[#All],[Age]]&gt;50,"50-60",(IF(ifood_data[[#All],[Age]]&gt;40,"40-50",(IF(ifood_data[[#All],[Age]]&gt;30,"30-40","&lt;30")))))))</f>
        <v>50-60</v>
      </c>
      <c r="AX1161">
        <f t="shared" si="72"/>
        <v>13</v>
      </c>
      <c r="AY1161">
        <f t="shared" si="73"/>
        <v>7</v>
      </c>
      <c r="AZ1161">
        <f t="shared" si="74"/>
        <v>1</v>
      </c>
      <c r="BA1161">
        <f t="shared" si="75"/>
        <v>2</v>
      </c>
      <c r="BB1161">
        <f>SUM(ifood_data[[#This Row],[Recency Score]:[Monetary Score]])</f>
        <v>10</v>
      </c>
      <c r="BC1161">
        <f>(_xlfn.PERCENTRANK.INC(ifood_data[[#All],[RFM]],ifood_data[[#This Row],[RFM]],1))*10</f>
        <v>2</v>
      </c>
      <c r="BD1161" t="str">
        <f>VLOOKUP(ifood_data[[#This Row],[RFM Score]],'RFM Analysis'!$A$3:$B$14,2,FALSE)</f>
        <v>At Risk</v>
      </c>
      <c r="BE1161">
        <f>'Regression Models'!$B$101+'Regression Models'!$B$102*ifood_data[[#This Row],[Income]]+'Regression Models'!$B$103*ifood_data[[#This Row],[Age]]+'Regression Models'!$B$104*ifood_data[[#This Row],[Family]]</f>
        <v>391.2990037193955</v>
      </c>
      <c r="BF1161" t="str">
        <f>IF(ifood_data[[#This Row],[AcceptedCmpOverall]]=1,"Campaign Respondent","Non-respondent")</f>
        <v>Non-respondent</v>
      </c>
    </row>
    <row r="1162" spans="1:58" x14ac:dyDescent="0.35">
      <c r="A1162">
        <v>285</v>
      </c>
      <c r="B1162">
        <v>46377</v>
      </c>
      <c r="C1162">
        <v>1</v>
      </c>
      <c r="D1162">
        <v>0</v>
      </c>
      <c r="E1162">
        <v>89</v>
      </c>
      <c r="F1162">
        <v>37</v>
      </c>
      <c r="G1162">
        <v>0</v>
      </c>
      <c r="H1162">
        <v>46</v>
      </c>
      <c r="I1162">
        <v>4</v>
      </c>
      <c r="J1162">
        <v>3</v>
      </c>
      <c r="K1162">
        <v>0</v>
      </c>
      <c r="L1162">
        <v>1</v>
      </c>
      <c r="M1162">
        <v>2</v>
      </c>
      <c r="N1162">
        <v>1</v>
      </c>
      <c r="O1162">
        <v>3</v>
      </c>
      <c r="P1162">
        <v>4</v>
      </c>
      <c r="Q1162">
        <v>0</v>
      </c>
      <c r="R1162">
        <v>0</v>
      </c>
      <c r="S1162">
        <v>0</v>
      </c>
      <c r="T1162">
        <v>0</v>
      </c>
      <c r="U1162">
        <v>0</v>
      </c>
      <c r="V1162">
        <f>IF(SUM(ifood_data[[#This Row],[AcceptedCmp1]:[AcceptedCmp5]])&gt;0,1,0)</f>
        <v>0</v>
      </c>
      <c r="W1162">
        <v>0</v>
      </c>
      <c r="X1162">
        <v>3</v>
      </c>
      <c r="Y1162">
        <v>11</v>
      </c>
      <c r="Z1162">
        <v>0</v>
      </c>
      <c r="AA1162">
        <v>42</v>
      </c>
      <c r="AB1162">
        <v>2279</v>
      </c>
      <c r="AC1162" s="28">
        <f>ifood_data[[#This Row],[Customer_Days]]/365</f>
        <v>6.2438356164383562</v>
      </c>
      <c r="AD1162">
        <v>0</v>
      </c>
      <c r="AE1162">
        <v>1</v>
      </c>
      <c r="AF1162">
        <v>0</v>
      </c>
      <c r="AG1162">
        <v>0</v>
      </c>
      <c r="AH1162">
        <v>0</v>
      </c>
      <c r="AI1162">
        <v>0</v>
      </c>
      <c r="AJ1162">
        <v>0</v>
      </c>
      <c r="AK1162">
        <v>0</v>
      </c>
      <c r="AL1162">
        <v>0</v>
      </c>
      <c r="AM1162">
        <v>1</v>
      </c>
      <c r="AN1162">
        <v>90</v>
      </c>
      <c r="AO1162">
        <v>90</v>
      </c>
      <c r="AP1162">
        <f>ifood_data[[#This Row],[MntTotal]]-ifood_data[[#This Row],[MntRegularProds]]</f>
        <v>0</v>
      </c>
      <c r="AQ1162">
        <v>0</v>
      </c>
      <c r="AR1162">
        <f>IF(SUM(ifood_data[[#This Row],[Kidhome]:[Teenhome]])&gt;0,1,0)</f>
        <v>1</v>
      </c>
      <c r="AS1162" t="str">
        <f>IF(SUM(ifood_data[[#This Row],[Kidhome]:[Teenhome]])&gt;0,"Has Family","No Family")</f>
        <v>Has Family</v>
      </c>
      <c r="AT1162" t="str">
        <f>IF(ifood_data[[#This Row],[marital_Married]]=1,"Married", (IF(ifood_data[[#This Row],[marital_Single]]=1,"Single",(IF(ifood_data[[#This Row],[marital_Divorced]]=1,"Divorced",(IF(ifood_data[[#This Row],[marital_Together]]=1,"Living Together",(IF(ifood_data[[#This Row],[marital_Widow]]=1,"Widow","Other")))))))))</f>
        <v>Married</v>
      </c>
      <c r="AU1162" t="str">
        <f>IF(ifood_data[[#This Row],[education_Basic]]=1,"High School",(IF(ifood_data[[#This Row],[education_Graduation]]=1,"Undergraduate Degree",(IF(SUM(AM1162,AL1162,AI1162)&gt;0,"Master's Degree or Higher","Other")))))</f>
        <v>Master's Degree or Higher</v>
      </c>
      <c r="AV1162" t="str">
        <f>IF(ifood_data[[#All],[Income]]&gt;75000,"75K+",(IF(ifood_data[[#All],[Income]]&gt;50000,"50K-75K",(IF(ifood_data[[#All],[Income]]&gt;35000,"35K-50K","&lt;35K")))))</f>
        <v>35K-50K</v>
      </c>
      <c r="AW1162" t="str">
        <f>IF(ifood_data[[#All],[Age]]&gt;60,"60+",(IF(ifood_data[[#All],[Age]]&gt;50,"50-60",(IF(ifood_data[[#All],[Age]]&gt;40,"40-50",(IF(ifood_data[[#All],[Age]]&gt;30,"30-40","&lt;30")))))))</f>
        <v>40-50</v>
      </c>
      <c r="AX1162">
        <f t="shared" si="72"/>
        <v>11</v>
      </c>
      <c r="AY1162">
        <f t="shared" si="73"/>
        <v>1.9999999999999996</v>
      </c>
      <c r="AZ1162">
        <f t="shared" si="74"/>
        <v>0</v>
      </c>
      <c r="BA1162">
        <f t="shared" si="75"/>
        <v>3</v>
      </c>
      <c r="BB1162">
        <f>SUM(ifood_data[[#This Row],[Recency Score]:[Monetary Score]])</f>
        <v>5</v>
      </c>
      <c r="BC1162">
        <f>(_xlfn.PERCENTRANK.INC(ifood_data[[#All],[RFM]],ifood_data[[#This Row],[RFM]],1))*10</f>
        <v>0</v>
      </c>
      <c r="BD1162" t="str">
        <f>VLOOKUP(ifood_data[[#This Row],[RFM Score]],'RFM Analysis'!$A$3:$B$14,2,FALSE)</f>
        <v>Lost</v>
      </c>
      <c r="BE1162">
        <f>'Regression Models'!$B$101+'Regression Models'!$B$102*ifood_data[[#This Row],[Income]]+'Regression Models'!$B$103*ifood_data[[#This Row],[Age]]+'Regression Models'!$B$104*ifood_data[[#This Row],[Family]]</f>
        <v>391.01057154855755</v>
      </c>
      <c r="BF1162" t="str">
        <f>IF(ifood_data[[#This Row],[AcceptedCmpOverall]]=1,"Campaign Respondent","Non-respondent")</f>
        <v>Non-respondent</v>
      </c>
    </row>
    <row r="1163" spans="1:58" x14ac:dyDescent="0.35">
      <c r="A1163">
        <v>87</v>
      </c>
      <c r="B1163">
        <v>47916</v>
      </c>
      <c r="C1163">
        <v>0</v>
      </c>
      <c r="D1163">
        <v>1</v>
      </c>
      <c r="E1163">
        <v>72</v>
      </c>
      <c r="F1163">
        <v>505</v>
      </c>
      <c r="G1163">
        <v>0</v>
      </c>
      <c r="H1163">
        <v>26</v>
      </c>
      <c r="I1163">
        <v>0</v>
      </c>
      <c r="J1163">
        <v>0</v>
      </c>
      <c r="K1163">
        <v>75</v>
      </c>
      <c r="L1163">
        <v>5</v>
      </c>
      <c r="M1163">
        <v>7</v>
      </c>
      <c r="N1163">
        <v>4</v>
      </c>
      <c r="O1163">
        <v>6</v>
      </c>
      <c r="P1163">
        <v>6</v>
      </c>
      <c r="Q1163">
        <v>0</v>
      </c>
      <c r="R1163">
        <v>0</v>
      </c>
      <c r="S1163">
        <v>0</v>
      </c>
      <c r="T1163">
        <v>1</v>
      </c>
      <c r="U1163">
        <v>0</v>
      </c>
      <c r="V1163">
        <f>IF(SUM(ifood_data[[#This Row],[AcceptedCmp1]:[AcceptedCmp5]])&gt;0,1,0)</f>
        <v>1</v>
      </c>
      <c r="W1163">
        <v>0</v>
      </c>
      <c r="X1163">
        <v>3</v>
      </c>
      <c r="Y1163">
        <v>11</v>
      </c>
      <c r="Z1163">
        <v>0</v>
      </c>
      <c r="AA1163">
        <v>60</v>
      </c>
      <c r="AB1163">
        <v>2743</v>
      </c>
      <c r="AC1163" s="28">
        <f>ifood_data[[#This Row],[Customer_Days]]/365</f>
        <v>7.515068493150685</v>
      </c>
      <c r="AD1163">
        <v>0</v>
      </c>
      <c r="AE1163">
        <v>0</v>
      </c>
      <c r="AF1163">
        <v>0</v>
      </c>
      <c r="AG1163">
        <v>0</v>
      </c>
      <c r="AH1163">
        <v>1</v>
      </c>
      <c r="AI1163">
        <v>0</v>
      </c>
      <c r="AJ1163">
        <v>0</v>
      </c>
      <c r="AK1163">
        <v>1</v>
      </c>
      <c r="AL1163">
        <v>0</v>
      </c>
      <c r="AM1163">
        <v>0</v>
      </c>
      <c r="AN1163">
        <v>531</v>
      </c>
      <c r="AO1163">
        <v>456</v>
      </c>
      <c r="AP1163">
        <f>ifood_data[[#This Row],[MntTotal]]-ifood_data[[#This Row],[MntRegularProds]]</f>
        <v>75</v>
      </c>
      <c r="AQ1163">
        <v>1</v>
      </c>
      <c r="AR1163">
        <f>IF(SUM(ifood_data[[#This Row],[Kidhome]:[Teenhome]])&gt;0,1,0)</f>
        <v>1</v>
      </c>
      <c r="AS1163" t="str">
        <f>IF(SUM(ifood_data[[#This Row],[Kidhome]:[Teenhome]])&gt;0,"Has Family","No Family")</f>
        <v>Has Family</v>
      </c>
      <c r="AT1163" t="str">
        <f>IF(ifood_data[[#This Row],[marital_Married]]=1,"Married", (IF(ifood_data[[#This Row],[marital_Single]]=1,"Single",(IF(ifood_data[[#This Row],[marital_Divorced]]=1,"Divorced",(IF(ifood_data[[#This Row],[marital_Together]]=1,"Living Together",(IF(ifood_data[[#This Row],[marital_Widow]]=1,"Widow","Other")))))))))</f>
        <v>Widow</v>
      </c>
      <c r="AU1163" t="str">
        <f>IF(ifood_data[[#This Row],[education_Basic]]=1,"High School",(IF(ifood_data[[#This Row],[education_Graduation]]=1,"Undergraduate Degree",(IF(SUM(AM1163,AL1163,AI1163)&gt;0,"Master's Degree or Higher","Other")))))</f>
        <v>Undergraduate Degree</v>
      </c>
      <c r="AV1163" t="str">
        <f>IF(ifood_data[[#All],[Income]]&gt;75000,"75K+",(IF(ifood_data[[#All],[Income]]&gt;50000,"50K-75K",(IF(ifood_data[[#All],[Income]]&gt;35000,"35K-50K","&lt;35K")))))</f>
        <v>35K-50K</v>
      </c>
      <c r="AW1163" t="str">
        <f>IF(ifood_data[[#All],[Age]]&gt;60,"60+",(IF(ifood_data[[#All],[Age]]&gt;50,"50-60",(IF(ifood_data[[#All],[Age]]&gt;40,"40-50",(IF(ifood_data[[#All],[Age]]&gt;30,"30-40","&lt;30")))))))</f>
        <v>50-60</v>
      </c>
      <c r="AX1163">
        <f t="shared" si="72"/>
        <v>28</v>
      </c>
      <c r="AY1163">
        <f t="shared" si="73"/>
        <v>3.0000000000000004</v>
      </c>
      <c r="AZ1163">
        <f t="shared" si="74"/>
        <v>8</v>
      </c>
      <c r="BA1163">
        <f t="shared" si="75"/>
        <v>5</v>
      </c>
      <c r="BB1163">
        <f>SUM(ifood_data[[#This Row],[Recency Score]:[Monetary Score]])</f>
        <v>16</v>
      </c>
      <c r="BC1163">
        <f>(_xlfn.PERCENTRANK.INC(ifood_data[[#All],[RFM]],ifood_data[[#This Row],[RFM]],1))*10</f>
        <v>5</v>
      </c>
      <c r="BD1163" t="str">
        <f>VLOOKUP(ifood_data[[#This Row],[RFM Score]],'RFM Analysis'!$A$3:$B$14,2,FALSE)</f>
        <v>Promising</v>
      </c>
      <c r="BE1163">
        <f>'Regression Models'!$B$101+'Regression Models'!$B$102*ifood_data[[#This Row],[Income]]+'Regression Models'!$B$103*ifood_data[[#This Row],[Age]]+'Regression Models'!$B$104*ifood_data[[#This Row],[Family]]</f>
        <v>389.33298230192099</v>
      </c>
      <c r="BF1163" t="str">
        <f>IF(ifood_data[[#This Row],[AcceptedCmpOverall]]=1,"Campaign Respondent","Non-respondent")</f>
        <v>Campaign Respondent</v>
      </c>
    </row>
    <row r="1164" spans="1:58" x14ac:dyDescent="0.35">
      <c r="A1164">
        <v>701</v>
      </c>
      <c r="B1164">
        <v>48767</v>
      </c>
      <c r="C1164">
        <v>1</v>
      </c>
      <c r="D1164">
        <v>2</v>
      </c>
      <c r="E1164">
        <v>79</v>
      </c>
      <c r="F1164">
        <v>28</v>
      </c>
      <c r="G1164">
        <v>1</v>
      </c>
      <c r="H1164">
        <v>21</v>
      </c>
      <c r="I1164">
        <v>3</v>
      </c>
      <c r="J1164">
        <v>0</v>
      </c>
      <c r="K1164">
        <v>10</v>
      </c>
      <c r="L1164">
        <v>3</v>
      </c>
      <c r="M1164">
        <v>2</v>
      </c>
      <c r="N1164">
        <v>1</v>
      </c>
      <c r="O1164">
        <v>3</v>
      </c>
      <c r="P1164">
        <v>5</v>
      </c>
      <c r="Q1164">
        <v>0</v>
      </c>
      <c r="R1164">
        <v>0</v>
      </c>
      <c r="S1164">
        <v>0</v>
      </c>
      <c r="T1164">
        <v>0</v>
      </c>
      <c r="U1164">
        <v>0</v>
      </c>
      <c r="V1164">
        <f>IF(SUM(ifood_data[[#This Row],[AcceptedCmp1]:[AcceptedCmp5]])&gt;0,1,0)</f>
        <v>0</v>
      </c>
      <c r="W1164">
        <v>0</v>
      </c>
      <c r="X1164">
        <v>3</v>
      </c>
      <c r="Y1164">
        <v>11</v>
      </c>
      <c r="Z1164">
        <v>0</v>
      </c>
      <c r="AA1164">
        <v>70</v>
      </c>
      <c r="AB1164">
        <v>2338</v>
      </c>
      <c r="AC1164" s="28">
        <f>ifood_data[[#This Row],[Customer_Days]]/365</f>
        <v>6.4054794520547942</v>
      </c>
      <c r="AD1164">
        <v>0</v>
      </c>
      <c r="AE1164">
        <v>0</v>
      </c>
      <c r="AF1164">
        <v>1</v>
      </c>
      <c r="AG1164">
        <v>0</v>
      </c>
      <c r="AH1164">
        <v>0</v>
      </c>
      <c r="AI1164">
        <v>0</v>
      </c>
      <c r="AJ1164">
        <v>0</v>
      </c>
      <c r="AK1164">
        <v>0</v>
      </c>
      <c r="AL1164">
        <v>0</v>
      </c>
      <c r="AM1164">
        <v>1</v>
      </c>
      <c r="AN1164">
        <v>53</v>
      </c>
      <c r="AO1164">
        <v>43</v>
      </c>
      <c r="AP1164">
        <f>ifood_data[[#This Row],[MntTotal]]-ifood_data[[#This Row],[MntRegularProds]]</f>
        <v>10</v>
      </c>
      <c r="AQ1164">
        <v>0</v>
      </c>
      <c r="AR1164">
        <f>IF(SUM(ifood_data[[#This Row],[Kidhome]:[Teenhome]])&gt;0,1,0)</f>
        <v>1</v>
      </c>
      <c r="AS1164" t="str">
        <f>IF(SUM(ifood_data[[#This Row],[Kidhome]:[Teenhome]])&gt;0,"Has Family","No Family")</f>
        <v>Has Family</v>
      </c>
      <c r="AT1164" t="str">
        <f>IF(ifood_data[[#This Row],[marital_Married]]=1,"Married", (IF(ifood_data[[#This Row],[marital_Single]]=1,"Single",(IF(ifood_data[[#This Row],[marital_Divorced]]=1,"Divorced",(IF(ifood_data[[#This Row],[marital_Together]]=1,"Living Together",(IF(ifood_data[[#This Row],[marital_Widow]]=1,"Widow","Other")))))))))</f>
        <v>Single</v>
      </c>
      <c r="AU1164" t="str">
        <f>IF(ifood_data[[#This Row],[education_Basic]]=1,"High School",(IF(ifood_data[[#This Row],[education_Graduation]]=1,"Undergraduate Degree",(IF(SUM(AM1164,AL1164,AI1164)&gt;0,"Master's Degree or Higher","Other")))))</f>
        <v>Master's Degree or Higher</v>
      </c>
      <c r="AV1164" t="str">
        <f>IF(ifood_data[[#All],[Income]]&gt;75000,"75K+",(IF(ifood_data[[#All],[Income]]&gt;50000,"50K-75K",(IF(ifood_data[[#All],[Income]]&gt;35000,"35K-50K","&lt;35K")))))</f>
        <v>35K-50K</v>
      </c>
      <c r="AW1164" t="str">
        <f>IF(ifood_data[[#All],[Age]]&gt;60,"60+",(IF(ifood_data[[#All],[Age]]&gt;50,"50-60",(IF(ifood_data[[#All],[Age]]&gt;40,"40-50",(IF(ifood_data[[#All],[Age]]&gt;30,"30-40","&lt;30")))))))</f>
        <v>60+</v>
      </c>
      <c r="AX1164">
        <f t="shared" si="72"/>
        <v>14</v>
      </c>
      <c r="AY1164">
        <f t="shared" si="73"/>
        <v>3.0000000000000004</v>
      </c>
      <c r="AZ1164">
        <f t="shared" si="74"/>
        <v>2</v>
      </c>
      <c r="BA1164">
        <f t="shared" si="75"/>
        <v>2</v>
      </c>
      <c r="BB1164">
        <f>SUM(ifood_data[[#This Row],[Recency Score]:[Monetary Score]])</f>
        <v>7</v>
      </c>
      <c r="BC1164">
        <f>(_xlfn.PERCENTRANK.INC(ifood_data[[#All],[RFM]],ifood_data[[#This Row],[RFM]],1))*10</f>
        <v>1</v>
      </c>
      <c r="BD1164" t="str">
        <f>VLOOKUP(ifood_data[[#This Row],[RFM Score]],'RFM Analysis'!$A$3:$B$14,2,FALSE)</f>
        <v>At Risk</v>
      </c>
      <c r="BE1164">
        <f>'Regression Models'!$B$101+'Regression Models'!$B$102*ifood_data[[#This Row],[Income]]+'Regression Models'!$B$103*ifood_data[[#This Row],[Age]]+'Regression Models'!$B$104*ifood_data[[#This Row],[Family]]</f>
        <v>388.31943320343623</v>
      </c>
      <c r="BF1164" t="str">
        <f>IF(ifood_data[[#This Row],[AcceptedCmpOverall]]=1,"Campaign Respondent","Non-respondent")</f>
        <v>Non-respondent</v>
      </c>
    </row>
    <row r="1165" spans="1:58" x14ac:dyDescent="0.35">
      <c r="A1165">
        <v>1844</v>
      </c>
      <c r="B1165">
        <v>48195</v>
      </c>
      <c r="C1165">
        <v>1</v>
      </c>
      <c r="D1165">
        <v>1</v>
      </c>
      <c r="E1165">
        <v>53</v>
      </c>
      <c r="F1165">
        <v>106</v>
      </c>
      <c r="G1165">
        <v>27</v>
      </c>
      <c r="H1165">
        <v>68</v>
      </c>
      <c r="I1165">
        <v>52</v>
      </c>
      <c r="J1165">
        <v>7</v>
      </c>
      <c r="K1165">
        <v>5</v>
      </c>
      <c r="L1165">
        <v>6</v>
      </c>
      <c r="M1165">
        <v>4</v>
      </c>
      <c r="N1165">
        <v>2</v>
      </c>
      <c r="O1165">
        <v>5</v>
      </c>
      <c r="P1165">
        <v>6</v>
      </c>
      <c r="Q1165">
        <v>0</v>
      </c>
      <c r="R1165">
        <v>0</v>
      </c>
      <c r="S1165">
        <v>0</v>
      </c>
      <c r="T1165">
        <v>0</v>
      </c>
      <c r="U1165">
        <v>0</v>
      </c>
      <c r="V1165">
        <f>IF(SUM(ifood_data[[#This Row],[AcceptedCmp1]:[AcceptedCmp5]])&gt;0,1,0)</f>
        <v>0</v>
      </c>
      <c r="W1165">
        <v>0</v>
      </c>
      <c r="X1165">
        <v>3</v>
      </c>
      <c r="Y1165">
        <v>11</v>
      </c>
      <c r="Z1165">
        <v>0</v>
      </c>
      <c r="AA1165">
        <v>64</v>
      </c>
      <c r="AB1165">
        <v>2318</v>
      </c>
      <c r="AC1165" s="28">
        <f>ifood_data[[#This Row],[Customer_Days]]/365</f>
        <v>6.3506849315068497</v>
      </c>
      <c r="AD1165">
        <v>0</v>
      </c>
      <c r="AE1165">
        <v>1</v>
      </c>
      <c r="AF1165">
        <v>0</v>
      </c>
      <c r="AG1165">
        <v>0</v>
      </c>
      <c r="AH1165">
        <v>0</v>
      </c>
      <c r="AI1165">
        <v>0</v>
      </c>
      <c r="AJ1165">
        <v>0</v>
      </c>
      <c r="AK1165">
        <v>1</v>
      </c>
      <c r="AL1165">
        <v>0</v>
      </c>
      <c r="AM1165">
        <v>0</v>
      </c>
      <c r="AN1165">
        <v>260</v>
      </c>
      <c r="AO1165">
        <v>255</v>
      </c>
      <c r="AP1165">
        <f>ifood_data[[#This Row],[MntTotal]]-ifood_data[[#This Row],[MntRegularProds]]</f>
        <v>5</v>
      </c>
      <c r="AQ1165">
        <v>0</v>
      </c>
      <c r="AR1165">
        <f>IF(SUM(ifood_data[[#This Row],[Kidhome]:[Teenhome]])&gt;0,1,0)</f>
        <v>1</v>
      </c>
      <c r="AS1165" t="str">
        <f>IF(SUM(ifood_data[[#This Row],[Kidhome]:[Teenhome]])&gt;0,"Has Family","No Family")</f>
        <v>Has Family</v>
      </c>
      <c r="AT1165" t="str">
        <f>IF(ifood_data[[#This Row],[marital_Married]]=1,"Married", (IF(ifood_data[[#This Row],[marital_Single]]=1,"Single",(IF(ifood_data[[#This Row],[marital_Divorced]]=1,"Divorced",(IF(ifood_data[[#This Row],[marital_Together]]=1,"Living Together",(IF(ifood_data[[#This Row],[marital_Widow]]=1,"Widow","Other")))))))))</f>
        <v>Married</v>
      </c>
      <c r="AU1165" t="str">
        <f>IF(ifood_data[[#This Row],[education_Basic]]=1,"High School",(IF(ifood_data[[#This Row],[education_Graduation]]=1,"Undergraduate Degree",(IF(SUM(AM1165,AL1165,AI1165)&gt;0,"Master's Degree or Higher","Other")))))</f>
        <v>Undergraduate Degree</v>
      </c>
      <c r="AV1165" t="str">
        <f>IF(ifood_data[[#All],[Income]]&gt;75000,"75K+",(IF(ifood_data[[#All],[Income]]&gt;50000,"50K-75K",(IF(ifood_data[[#All],[Income]]&gt;35000,"35K-50K","&lt;35K")))))</f>
        <v>35K-50K</v>
      </c>
      <c r="AW1165" t="str">
        <f>IF(ifood_data[[#All],[Age]]&gt;60,"60+",(IF(ifood_data[[#All],[Age]]&gt;50,"50-60",(IF(ifood_data[[#All],[Age]]&gt;40,"40-50",(IF(ifood_data[[#All],[Age]]&gt;30,"30-40","&lt;30")))))))</f>
        <v>60+</v>
      </c>
      <c r="AX1165">
        <f t="shared" si="72"/>
        <v>23</v>
      </c>
      <c r="AY1165">
        <f t="shared" si="73"/>
        <v>5</v>
      </c>
      <c r="AZ1165">
        <f t="shared" si="74"/>
        <v>6</v>
      </c>
      <c r="BA1165">
        <f t="shared" si="75"/>
        <v>4</v>
      </c>
      <c r="BB1165">
        <f>SUM(ifood_data[[#This Row],[Recency Score]:[Monetary Score]])</f>
        <v>15</v>
      </c>
      <c r="BC1165">
        <f>(_xlfn.PERCENTRANK.INC(ifood_data[[#All],[RFM]],ifood_data[[#This Row],[RFM]],1))*10</f>
        <v>4</v>
      </c>
      <c r="BD1165" t="str">
        <f>VLOOKUP(ifood_data[[#This Row],[RFM Score]],'RFM Analysis'!$A$3:$B$14,2,FALSE)</f>
        <v>At Risk</v>
      </c>
      <c r="BE1165">
        <f>'Regression Models'!$B$101+'Regression Models'!$B$102*ifood_data[[#This Row],[Income]]+'Regression Models'!$B$103*ifood_data[[#This Row],[Age]]+'Regression Models'!$B$104*ifood_data[[#This Row],[Family]]</f>
        <v>387.67569229849164</v>
      </c>
      <c r="BF1165" t="str">
        <f>IF(ifood_data[[#This Row],[AcceptedCmpOverall]]=1,"Campaign Respondent","Non-respondent")</f>
        <v>Non-respondent</v>
      </c>
    </row>
    <row r="1166" spans="1:58" x14ac:dyDescent="0.35">
      <c r="A1166">
        <v>91</v>
      </c>
      <c r="B1166">
        <v>47823</v>
      </c>
      <c r="C1166">
        <v>0</v>
      </c>
      <c r="D1166">
        <v>1</v>
      </c>
      <c r="E1166">
        <v>0</v>
      </c>
      <c r="F1166">
        <v>53</v>
      </c>
      <c r="G1166">
        <v>1</v>
      </c>
      <c r="H1166">
        <v>5</v>
      </c>
      <c r="I1166">
        <v>2</v>
      </c>
      <c r="J1166">
        <v>1</v>
      </c>
      <c r="K1166">
        <v>10</v>
      </c>
      <c r="L1166">
        <v>2</v>
      </c>
      <c r="M1166">
        <v>2</v>
      </c>
      <c r="N1166">
        <v>0</v>
      </c>
      <c r="O1166">
        <v>3</v>
      </c>
      <c r="P1166">
        <v>8</v>
      </c>
      <c r="Q1166">
        <v>0</v>
      </c>
      <c r="R1166">
        <v>0</v>
      </c>
      <c r="S1166">
        <v>0</v>
      </c>
      <c r="T1166">
        <v>0</v>
      </c>
      <c r="U1166">
        <v>0</v>
      </c>
      <c r="V1166">
        <f>IF(SUM(ifood_data[[#This Row],[AcceptedCmp1]:[AcceptedCmp5]])&gt;0,1,0)</f>
        <v>0</v>
      </c>
      <c r="W1166">
        <v>0</v>
      </c>
      <c r="X1166">
        <v>3</v>
      </c>
      <c r="Y1166">
        <v>11</v>
      </c>
      <c r="Z1166">
        <v>0</v>
      </c>
      <c r="AA1166">
        <v>60</v>
      </c>
      <c r="AB1166">
        <v>2500</v>
      </c>
      <c r="AC1166" s="28">
        <f>ifood_data[[#This Row],[Customer_Days]]/365</f>
        <v>6.8493150684931505</v>
      </c>
      <c r="AD1166">
        <v>0</v>
      </c>
      <c r="AE1166">
        <v>0</v>
      </c>
      <c r="AF1166">
        <v>1</v>
      </c>
      <c r="AG1166">
        <v>0</v>
      </c>
      <c r="AH1166">
        <v>0</v>
      </c>
      <c r="AI1166">
        <v>1</v>
      </c>
      <c r="AJ1166">
        <v>0</v>
      </c>
      <c r="AK1166">
        <v>0</v>
      </c>
      <c r="AL1166">
        <v>0</v>
      </c>
      <c r="AM1166">
        <v>0</v>
      </c>
      <c r="AN1166">
        <v>62</v>
      </c>
      <c r="AO1166">
        <v>52</v>
      </c>
      <c r="AP1166">
        <f>ifood_data[[#This Row],[MntTotal]]-ifood_data[[#This Row],[MntRegularProds]]</f>
        <v>10</v>
      </c>
      <c r="AQ1166">
        <v>0</v>
      </c>
      <c r="AR1166">
        <f>IF(SUM(ifood_data[[#This Row],[Kidhome]:[Teenhome]])&gt;0,1,0)</f>
        <v>1</v>
      </c>
      <c r="AS1166" t="str">
        <f>IF(SUM(ifood_data[[#This Row],[Kidhome]:[Teenhome]])&gt;0,"Has Family","No Family")</f>
        <v>Has Family</v>
      </c>
      <c r="AT1166" t="str">
        <f>IF(ifood_data[[#This Row],[marital_Married]]=1,"Married", (IF(ifood_data[[#This Row],[marital_Single]]=1,"Single",(IF(ifood_data[[#This Row],[marital_Divorced]]=1,"Divorced",(IF(ifood_data[[#This Row],[marital_Together]]=1,"Living Together",(IF(ifood_data[[#This Row],[marital_Widow]]=1,"Widow","Other")))))))))</f>
        <v>Single</v>
      </c>
      <c r="AU1166" t="str">
        <f>IF(ifood_data[[#This Row],[education_Basic]]=1,"High School",(IF(ifood_data[[#This Row],[education_Graduation]]=1,"Undergraduate Degree",(IF(SUM(AM1166,AL1166,AI1166)&gt;0,"Master's Degree or Higher","Other")))))</f>
        <v>Master's Degree or Higher</v>
      </c>
      <c r="AV1166" t="str">
        <f>IF(ifood_data[[#All],[Income]]&gt;75000,"75K+",(IF(ifood_data[[#All],[Income]]&gt;50000,"50K-75K",(IF(ifood_data[[#All],[Income]]&gt;35000,"35K-50K","&lt;35K")))))</f>
        <v>35K-50K</v>
      </c>
      <c r="AW1166" t="str">
        <f>IF(ifood_data[[#All],[Age]]&gt;60,"60+",(IF(ifood_data[[#All],[Age]]&gt;50,"50-60",(IF(ifood_data[[#All],[Age]]&gt;40,"40-50",(IF(ifood_data[[#All],[Age]]&gt;30,"30-40","&lt;30")))))))</f>
        <v>50-60</v>
      </c>
      <c r="AX1166">
        <f t="shared" si="72"/>
        <v>15</v>
      </c>
      <c r="AY1166">
        <f t="shared" si="73"/>
        <v>10</v>
      </c>
      <c r="AZ1166">
        <f t="shared" si="74"/>
        <v>2</v>
      </c>
      <c r="BA1166">
        <f t="shared" si="75"/>
        <v>2</v>
      </c>
      <c r="BB1166">
        <f>SUM(ifood_data[[#This Row],[Recency Score]:[Monetary Score]])</f>
        <v>14</v>
      </c>
      <c r="BC1166">
        <f>(_xlfn.PERCENTRANK.INC(ifood_data[[#All],[RFM]],ifood_data[[#This Row],[RFM]],1))*10</f>
        <v>4</v>
      </c>
      <c r="BD1166" t="str">
        <f>VLOOKUP(ifood_data[[#This Row],[RFM Score]],'RFM Analysis'!$A$3:$B$14,2,FALSE)</f>
        <v>At Risk</v>
      </c>
      <c r="BE1166">
        <f>'Regression Models'!$B$101+'Regression Models'!$B$102*ifood_data[[#This Row],[Income]]+'Regression Models'!$B$103*ifood_data[[#This Row],[Age]]+'Regression Models'!$B$104*ifood_data[[#This Row],[Family]]</f>
        <v>387.43682686453838</v>
      </c>
      <c r="BF1166" t="str">
        <f>IF(ifood_data[[#This Row],[AcceptedCmpOverall]]=1,"Campaign Respondent","Non-respondent")</f>
        <v>Non-respondent</v>
      </c>
    </row>
    <row r="1167" spans="1:58" x14ac:dyDescent="0.35">
      <c r="A1167">
        <v>1901</v>
      </c>
      <c r="B1167">
        <v>48699</v>
      </c>
      <c r="C1167">
        <v>1</v>
      </c>
      <c r="D1167">
        <v>1</v>
      </c>
      <c r="E1167">
        <v>90</v>
      </c>
      <c r="F1167">
        <v>26</v>
      </c>
      <c r="G1167">
        <v>1</v>
      </c>
      <c r="H1167">
        <v>10</v>
      </c>
      <c r="I1167">
        <v>2</v>
      </c>
      <c r="J1167">
        <v>0</v>
      </c>
      <c r="K1167">
        <v>1</v>
      </c>
      <c r="L1167">
        <v>1</v>
      </c>
      <c r="M1167">
        <v>1</v>
      </c>
      <c r="N1167">
        <v>0</v>
      </c>
      <c r="O1167">
        <v>3</v>
      </c>
      <c r="P1167">
        <v>5</v>
      </c>
      <c r="Q1167">
        <v>0</v>
      </c>
      <c r="R1167">
        <v>0</v>
      </c>
      <c r="S1167">
        <v>0</v>
      </c>
      <c r="T1167">
        <v>0</v>
      </c>
      <c r="U1167">
        <v>0</v>
      </c>
      <c r="V1167">
        <f>IF(SUM(ifood_data[[#This Row],[AcceptedCmp1]:[AcceptedCmp5]])&gt;0,1,0)</f>
        <v>0</v>
      </c>
      <c r="W1167">
        <v>0</v>
      </c>
      <c r="X1167">
        <v>3</v>
      </c>
      <c r="Y1167">
        <v>11</v>
      </c>
      <c r="Z1167">
        <v>0</v>
      </c>
      <c r="AA1167">
        <v>70</v>
      </c>
      <c r="AB1167">
        <v>2563</v>
      </c>
      <c r="AC1167" s="28">
        <f>ifood_data[[#This Row],[Customer_Days]]/365</f>
        <v>7.021917808219178</v>
      </c>
      <c r="AD1167">
        <v>0</v>
      </c>
      <c r="AE1167">
        <v>1</v>
      </c>
      <c r="AF1167">
        <v>0</v>
      </c>
      <c r="AG1167">
        <v>0</v>
      </c>
      <c r="AH1167">
        <v>0</v>
      </c>
      <c r="AI1167">
        <v>0</v>
      </c>
      <c r="AJ1167">
        <v>0</v>
      </c>
      <c r="AK1167">
        <v>0</v>
      </c>
      <c r="AL1167">
        <v>0</v>
      </c>
      <c r="AM1167">
        <v>1</v>
      </c>
      <c r="AN1167">
        <v>39</v>
      </c>
      <c r="AO1167">
        <v>38</v>
      </c>
      <c r="AP1167">
        <f>ifood_data[[#This Row],[MntTotal]]-ifood_data[[#This Row],[MntRegularProds]]</f>
        <v>1</v>
      </c>
      <c r="AQ1167">
        <v>0</v>
      </c>
      <c r="AR1167">
        <f>IF(SUM(ifood_data[[#This Row],[Kidhome]:[Teenhome]])&gt;0,1,0)</f>
        <v>1</v>
      </c>
      <c r="AS1167" t="str">
        <f>IF(SUM(ifood_data[[#This Row],[Kidhome]:[Teenhome]])&gt;0,"Has Family","No Family")</f>
        <v>Has Family</v>
      </c>
      <c r="AT1167" t="str">
        <f>IF(ifood_data[[#This Row],[marital_Married]]=1,"Married", (IF(ifood_data[[#This Row],[marital_Single]]=1,"Single",(IF(ifood_data[[#This Row],[marital_Divorced]]=1,"Divorced",(IF(ifood_data[[#This Row],[marital_Together]]=1,"Living Together",(IF(ifood_data[[#This Row],[marital_Widow]]=1,"Widow","Other")))))))))</f>
        <v>Married</v>
      </c>
      <c r="AU1167" t="str">
        <f>IF(ifood_data[[#This Row],[education_Basic]]=1,"High School",(IF(ifood_data[[#This Row],[education_Graduation]]=1,"Undergraduate Degree",(IF(SUM(AM1167,AL1167,AI1167)&gt;0,"Master's Degree or Higher","Other")))))</f>
        <v>Master's Degree or Higher</v>
      </c>
      <c r="AV1167" t="str">
        <f>IF(ifood_data[[#All],[Income]]&gt;75000,"75K+",(IF(ifood_data[[#All],[Income]]&gt;50000,"50K-75K",(IF(ifood_data[[#All],[Income]]&gt;35000,"35K-50K","&lt;35K")))))</f>
        <v>35K-50K</v>
      </c>
      <c r="AW1167" t="str">
        <f>IF(ifood_data[[#All],[Age]]&gt;60,"60+",(IF(ifood_data[[#All],[Age]]&gt;50,"50-60",(IF(ifood_data[[#All],[Age]]&gt;40,"40-50",(IF(ifood_data[[#All],[Age]]&gt;30,"30-40","&lt;30")))))))</f>
        <v>60+</v>
      </c>
      <c r="AX1167">
        <f t="shared" si="72"/>
        <v>10</v>
      </c>
      <c r="AY1167">
        <f t="shared" si="73"/>
        <v>0.99999999999999978</v>
      </c>
      <c r="AZ1167">
        <f t="shared" si="74"/>
        <v>0</v>
      </c>
      <c r="BA1167">
        <f t="shared" si="75"/>
        <v>1</v>
      </c>
      <c r="BB1167">
        <f>SUM(ifood_data[[#This Row],[Recency Score]:[Monetary Score]])</f>
        <v>1.9999999999999998</v>
      </c>
      <c r="BC1167">
        <f>(_xlfn.PERCENTRANK.INC(ifood_data[[#All],[RFM]],ifood_data[[#This Row],[RFM]],1))*10</f>
        <v>0</v>
      </c>
      <c r="BD1167" t="str">
        <f>VLOOKUP(ifood_data[[#This Row],[RFM Score]],'RFM Analysis'!$A$3:$B$14,2,FALSE)</f>
        <v>Lost</v>
      </c>
      <c r="BE1167">
        <f>'Regression Models'!$B$101+'Regression Models'!$B$102*ifood_data[[#This Row],[Income]]+'Regression Models'!$B$103*ifood_data[[#This Row],[Age]]+'Regression Models'!$B$104*ifood_data[[#This Row],[Family]]</f>
        <v>386.93299696965107</v>
      </c>
      <c r="BF1167" t="str">
        <f>IF(ifood_data[[#This Row],[AcceptedCmpOverall]]=1,"Campaign Respondent","Non-respondent")</f>
        <v>Non-respondent</v>
      </c>
    </row>
    <row r="1168" spans="1:58" x14ac:dyDescent="0.35">
      <c r="A1168">
        <v>466</v>
      </c>
      <c r="B1168">
        <v>46310</v>
      </c>
      <c r="C1168">
        <v>1</v>
      </c>
      <c r="D1168">
        <v>0</v>
      </c>
      <c r="E1168">
        <v>99</v>
      </c>
      <c r="F1168">
        <v>185</v>
      </c>
      <c r="G1168">
        <v>2</v>
      </c>
      <c r="H1168">
        <v>88</v>
      </c>
      <c r="I1168">
        <v>15</v>
      </c>
      <c r="J1168">
        <v>5</v>
      </c>
      <c r="K1168">
        <v>14</v>
      </c>
      <c r="L1168">
        <v>2</v>
      </c>
      <c r="M1168">
        <v>6</v>
      </c>
      <c r="N1168">
        <v>1</v>
      </c>
      <c r="O1168">
        <v>5</v>
      </c>
      <c r="P1168">
        <v>8</v>
      </c>
      <c r="Q1168">
        <v>0</v>
      </c>
      <c r="R1168">
        <v>0</v>
      </c>
      <c r="S1168">
        <v>0</v>
      </c>
      <c r="T1168">
        <v>0</v>
      </c>
      <c r="U1168">
        <v>0</v>
      </c>
      <c r="V1168">
        <f>IF(SUM(ifood_data[[#This Row],[AcceptedCmp1]:[AcceptedCmp5]])&gt;0,1,0)</f>
        <v>0</v>
      </c>
      <c r="W1168">
        <v>0</v>
      </c>
      <c r="X1168">
        <v>3</v>
      </c>
      <c r="Y1168">
        <v>11</v>
      </c>
      <c r="Z1168">
        <v>0</v>
      </c>
      <c r="AA1168">
        <v>44</v>
      </c>
      <c r="AB1168">
        <v>2732</v>
      </c>
      <c r="AC1168" s="28">
        <f>ifood_data[[#This Row],[Customer_Days]]/365</f>
        <v>7.484931506849315</v>
      </c>
      <c r="AD1168">
        <v>1</v>
      </c>
      <c r="AE1168">
        <v>0</v>
      </c>
      <c r="AF1168">
        <v>0</v>
      </c>
      <c r="AG1168">
        <v>0</v>
      </c>
      <c r="AH1168">
        <v>0</v>
      </c>
      <c r="AI1168">
        <v>0</v>
      </c>
      <c r="AJ1168">
        <v>0</v>
      </c>
      <c r="AK1168">
        <v>1</v>
      </c>
      <c r="AL1168">
        <v>0</v>
      </c>
      <c r="AM1168">
        <v>0</v>
      </c>
      <c r="AN1168">
        <v>295</v>
      </c>
      <c r="AO1168">
        <v>281</v>
      </c>
      <c r="AP1168">
        <f>ifood_data[[#This Row],[MntTotal]]-ifood_data[[#This Row],[MntRegularProds]]</f>
        <v>14</v>
      </c>
      <c r="AQ1168">
        <v>0</v>
      </c>
      <c r="AR1168">
        <f>IF(SUM(ifood_data[[#This Row],[Kidhome]:[Teenhome]])&gt;0,1,0)</f>
        <v>1</v>
      </c>
      <c r="AS1168" t="str">
        <f>IF(SUM(ifood_data[[#This Row],[Kidhome]:[Teenhome]])&gt;0,"Has Family","No Family")</f>
        <v>Has Family</v>
      </c>
      <c r="AT1168" t="str">
        <f>IF(ifood_data[[#This Row],[marital_Married]]=1,"Married", (IF(ifood_data[[#This Row],[marital_Single]]=1,"Single",(IF(ifood_data[[#This Row],[marital_Divorced]]=1,"Divorced",(IF(ifood_data[[#This Row],[marital_Together]]=1,"Living Together",(IF(ifood_data[[#This Row],[marital_Widow]]=1,"Widow","Other")))))))))</f>
        <v>Divorced</v>
      </c>
      <c r="AU1168" t="str">
        <f>IF(ifood_data[[#This Row],[education_Basic]]=1,"High School",(IF(ifood_data[[#This Row],[education_Graduation]]=1,"Undergraduate Degree",(IF(SUM(AM1168,AL1168,AI1168)&gt;0,"Master's Degree or Higher","Other")))))</f>
        <v>Undergraduate Degree</v>
      </c>
      <c r="AV1168" t="str">
        <f>IF(ifood_data[[#All],[Income]]&gt;75000,"75K+",(IF(ifood_data[[#All],[Income]]&gt;50000,"50K-75K",(IF(ifood_data[[#All],[Income]]&gt;35000,"35K-50K","&lt;35K")))))</f>
        <v>35K-50K</v>
      </c>
      <c r="AW1168" t="str">
        <f>IF(ifood_data[[#All],[Age]]&gt;60,"60+",(IF(ifood_data[[#All],[Age]]&gt;50,"50-60",(IF(ifood_data[[#All],[Age]]&gt;40,"40-50",(IF(ifood_data[[#All],[Age]]&gt;30,"30-40","&lt;30")))))))</f>
        <v>40-50</v>
      </c>
      <c r="AX1168">
        <f t="shared" si="72"/>
        <v>22</v>
      </c>
      <c r="AY1168">
        <f t="shared" si="73"/>
        <v>0.99999999999999978</v>
      </c>
      <c r="AZ1168">
        <f t="shared" si="74"/>
        <v>5</v>
      </c>
      <c r="BA1168">
        <f t="shared" si="75"/>
        <v>4</v>
      </c>
      <c r="BB1168">
        <f>SUM(ifood_data[[#This Row],[Recency Score]:[Monetary Score]])</f>
        <v>10</v>
      </c>
      <c r="BC1168">
        <f>(_xlfn.PERCENTRANK.INC(ifood_data[[#All],[RFM]],ifood_data[[#This Row],[RFM]],1))*10</f>
        <v>2</v>
      </c>
      <c r="BD1168" t="str">
        <f>VLOOKUP(ifood_data[[#This Row],[RFM Score]],'RFM Analysis'!$A$3:$B$14,2,FALSE)</f>
        <v>At Risk</v>
      </c>
      <c r="BE1168">
        <f>'Regression Models'!$B$101+'Regression Models'!$B$102*ifood_data[[#This Row],[Income]]+'Regression Models'!$B$103*ifood_data[[#This Row],[Age]]+'Regression Models'!$B$104*ifood_data[[#This Row],[Family]]</f>
        <v>385.97164592512775</v>
      </c>
      <c r="BF1168" t="str">
        <f>IF(ifood_data[[#This Row],[AcceptedCmpOverall]]=1,"Campaign Respondent","Non-respondent")</f>
        <v>Non-respondent</v>
      </c>
    </row>
    <row r="1169" spans="1:58" x14ac:dyDescent="0.35">
      <c r="A1169">
        <v>206</v>
      </c>
      <c r="B1169">
        <v>45204</v>
      </c>
      <c r="C1169">
        <v>1</v>
      </c>
      <c r="D1169">
        <v>0</v>
      </c>
      <c r="E1169">
        <v>93</v>
      </c>
      <c r="F1169">
        <v>30</v>
      </c>
      <c r="G1169">
        <v>11</v>
      </c>
      <c r="H1169">
        <v>25</v>
      </c>
      <c r="I1169">
        <v>29</v>
      </c>
      <c r="J1169">
        <v>1</v>
      </c>
      <c r="K1169">
        <v>18</v>
      </c>
      <c r="L1169">
        <v>1</v>
      </c>
      <c r="M1169">
        <v>1</v>
      </c>
      <c r="N1169">
        <v>1</v>
      </c>
      <c r="O1169">
        <v>4</v>
      </c>
      <c r="P1169">
        <v>3</v>
      </c>
      <c r="Q1169">
        <v>0</v>
      </c>
      <c r="R1169">
        <v>0</v>
      </c>
      <c r="S1169">
        <v>0</v>
      </c>
      <c r="T1169">
        <v>0</v>
      </c>
      <c r="U1169">
        <v>0</v>
      </c>
      <c r="V1169">
        <f>IF(SUM(ifood_data[[#This Row],[AcceptedCmp1]:[AcceptedCmp5]])&gt;0,1,0)</f>
        <v>0</v>
      </c>
      <c r="W1169">
        <v>0</v>
      </c>
      <c r="X1169">
        <v>3</v>
      </c>
      <c r="Y1169">
        <v>11</v>
      </c>
      <c r="Z1169">
        <v>0</v>
      </c>
      <c r="AA1169">
        <v>32</v>
      </c>
      <c r="AB1169">
        <v>2238</v>
      </c>
      <c r="AC1169" s="28">
        <f>ifood_data[[#This Row],[Customer_Days]]/365</f>
        <v>6.1315068493150688</v>
      </c>
      <c r="AD1169">
        <v>0</v>
      </c>
      <c r="AE1169">
        <v>0</v>
      </c>
      <c r="AF1169">
        <v>0</v>
      </c>
      <c r="AG1169">
        <v>1</v>
      </c>
      <c r="AH1169">
        <v>0</v>
      </c>
      <c r="AI1169">
        <v>1</v>
      </c>
      <c r="AJ1169">
        <v>0</v>
      </c>
      <c r="AK1169">
        <v>0</v>
      </c>
      <c r="AL1169">
        <v>0</v>
      </c>
      <c r="AM1169">
        <v>0</v>
      </c>
      <c r="AN1169">
        <v>96</v>
      </c>
      <c r="AO1169">
        <v>78</v>
      </c>
      <c r="AP1169">
        <f>ifood_data[[#This Row],[MntTotal]]-ifood_data[[#This Row],[MntRegularProds]]</f>
        <v>18</v>
      </c>
      <c r="AQ1169">
        <v>0</v>
      </c>
      <c r="AR1169">
        <f>IF(SUM(ifood_data[[#This Row],[Kidhome]:[Teenhome]])&gt;0,1,0)</f>
        <v>1</v>
      </c>
      <c r="AS1169" t="str">
        <f>IF(SUM(ifood_data[[#This Row],[Kidhome]:[Teenhome]])&gt;0,"Has Family","No Family")</f>
        <v>Has Family</v>
      </c>
      <c r="AT1169" t="str">
        <f>IF(ifood_data[[#This Row],[marital_Married]]=1,"Married", (IF(ifood_data[[#This Row],[marital_Single]]=1,"Single",(IF(ifood_data[[#This Row],[marital_Divorced]]=1,"Divorced",(IF(ifood_data[[#This Row],[marital_Together]]=1,"Living Together",(IF(ifood_data[[#This Row],[marital_Widow]]=1,"Widow","Other")))))))))</f>
        <v>Living Together</v>
      </c>
      <c r="AU1169" t="str">
        <f>IF(ifood_data[[#This Row],[education_Basic]]=1,"High School",(IF(ifood_data[[#This Row],[education_Graduation]]=1,"Undergraduate Degree",(IF(SUM(AM1169,AL1169,AI1169)&gt;0,"Master's Degree or Higher","Other")))))</f>
        <v>Master's Degree or Higher</v>
      </c>
      <c r="AV1169" t="str">
        <f>IF(ifood_data[[#All],[Income]]&gt;75000,"75K+",(IF(ifood_data[[#All],[Income]]&gt;50000,"50K-75K",(IF(ifood_data[[#All],[Income]]&gt;35000,"35K-50K","&lt;35K")))))</f>
        <v>35K-50K</v>
      </c>
      <c r="AW1169" t="str">
        <f>IF(ifood_data[[#All],[Age]]&gt;60,"60+",(IF(ifood_data[[#All],[Age]]&gt;50,"50-60",(IF(ifood_data[[#All],[Age]]&gt;40,"40-50",(IF(ifood_data[[#All],[Age]]&gt;30,"30-40","&lt;30")))))))</f>
        <v>30-40</v>
      </c>
      <c r="AX1169">
        <f t="shared" si="72"/>
        <v>10</v>
      </c>
      <c r="AY1169">
        <f t="shared" si="73"/>
        <v>0.99999999999999978</v>
      </c>
      <c r="AZ1169">
        <f t="shared" si="74"/>
        <v>0</v>
      </c>
      <c r="BA1169">
        <f t="shared" si="75"/>
        <v>3</v>
      </c>
      <c r="BB1169">
        <f>SUM(ifood_data[[#This Row],[Recency Score]:[Monetary Score]])</f>
        <v>4</v>
      </c>
      <c r="BC1169">
        <f>(_xlfn.PERCENTRANK.INC(ifood_data[[#All],[RFM]],ifood_data[[#This Row],[RFM]],1))*10</f>
        <v>0</v>
      </c>
      <c r="BD1169" t="str">
        <f>VLOOKUP(ifood_data[[#This Row],[RFM Score]],'RFM Analysis'!$A$3:$B$14,2,FALSE)</f>
        <v>Lost</v>
      </c>
      <c r="BE1169">
        <f>'Regression Models'!$B$101+'Regression Models'!$B$102*ifood_data[[#This Row],[Income]]+'Regression Models'!$B$103*ifood_data[[#This Row],[Age]]+'Regression Models'!$B$104*ifood_data[[#This Row],[Family]]</f>
        <v>385.45893730470686</v>
      </c>
      <c r="BF1169" t="str">
        <f>IF(ifood_data[[#This Row],[AcceptedCmpOverall]]=1,"Campaign Respondent","Non-respondent")</f>
        <v>Non-respondent</v>
      </c>
    </row>
    <row r="1170" spans="1:58" x14ac:dyDescent="0.35">
      <c r="A1170">
        <v>794</v>
      </c>
      <c r="B1170">
        <v>45889</v>
      </c>
      <c r="C1170">
        <v>0</v>
      </c>
      <c r="D1170">
        <v>1</v>
      </c>
      <c r="E1170">
        <v>42</v>
      </c>
      <c r="F1170">
        <v>31</v>
      </c>
      <c r="G1170">
        <v>0</v>
      </c>
      <c r="H1170">
        <v>6</v>
      </c>
      <c r="I1170">
        <v>0</v>
      </c>
      <c r="J1170">
        <v>1</v>
      </c>
      <c r="K1170">
        <v>8</v>
      </c>
      <c r="L1170">
        <v>1</v>
      </c>
      <c r="M1170">
        <v>1</v>
      </c>
      <c r="N1170">
        <v>0</v>
      </c>
      <c r="O1170">
        <v>3</v>
      </c>
      <c r="P1170">
        <v>6</v>
      </c>
      <c r="Q1170">
        <v>0</v>
      </c>
      <c r="R1170">
        <v>0</v>
      </c>
      <c r="S1170">
        <v>0</v>
      </c>
      <c r="T1170">
        <v>0</v>
      </c>
      <c r="U1170">
        <v>0</v>
      </c>
      <c r="V1170">
        <f>IF(SUM(ifood_data[[#This Row],[AcceptedCmp1]:[AcceptedCmp5]])&gt;0,1,0)</f>
        <v>0</v>
      </c>
      <c r="W1170">
        <v>0</v>
      </c>
      <c r="X1170">
        <v>3</v>
      </c>
      <c r="Y1170">
        <v>11</v>
      </c>
      <c r="Z1170">
        <v>0</v>
      </c>
      <c r="AA1170">
        <v>40</v>
      </c>
      <c r="AB1170">
        <v>2521</v>
      </c>
      <c r="AC1170" s="28">
        <f>ifood_data[[#This Row],[Customer_Days]]/365</f>
        <v>6.9068493150684933</v>
      </c>
      <c r="AD1170">
        <v>0</v>
      </c>
      <c r="AE1170">
        <v>0</v>
      </c>
      <c r="AF1170">
        <v>1</v>
      </c>
      <c r="AG1170">
        <v>0</v>
      </c>
      <c r="AH1170">
        <v>0</v>
      </c>
      <c r="AI1170">
        <v>1</v>
      </c>
      <c r="AJ1170">
        <v>0</v>
      </c>
      <c r="AK1170">
        <v>0</v>
      </c>
      <c r="AL1170">
        <v>0</v>
      </c>
      <c r="AM1170">
        <v>0</v>
      </c>
      <c r="AN1170">
        <v>38</v>
      </c>
      <c r="AO1170">
        <v>30</v>
      </c>
      <c r="AP1170">
        <f>ifood_data[[#This Row],[MntTotal]]-ifood_data[[#This Row],[MntRegularProds]]</f>
        <v>8</v>
      </c>
      <c r="AQ1170">
        <v>0</v>
      </c>
      <c r="AR1170">
        <f>IF(SUM(ifood_data[[#This Row],[Kidhome]:[Teenhome]])&gt;0,1,0)</f>
        <v>1</v>
      </c>
      <c r="AS1170" t="str">
        <f>IF(SUM(ifood_data[[#This Row],[Kidhome]:[Teenhome]])&gt;0,"Has Family","No Family")</f>
        <v>Has Family</v>
      </c>
      <c r="AT1170" t="str">
        <f>IF(ifood_data[[#This Row],[marital_Married]]=1,"Married", (IF(ifood_data[[#This Row],[marital_Single]]=1,"Single",(IF(ifood_data[[#This Row],[marital_Divorced]]=1,"Divorced",(IF(ifood_data[[#This Row],[marital_Together]]=1,"Living Together",(IF(ifood_data[[#This Row],[marital_Widow]]=1,"Widow","Other")))))))))</f>
        <v>Single</v>
      </c>
      <c r="AU1170" t="str">
        <f>IF(ifood_data[[#This Row],[education_Basic]]=1,"High School",(IF(ifood_data[[#This Row],[education_Graduation]]=1,"Undergraduate Degree",(IF(SUM(AM1170,AL1170,AI1170)&gt;0,"Master's Degree or Higher","Other")))))</f>
        <v>Master's Degree or Higher</v>
      </c>
      <c r="AV1170" t="str">
        <f>IF(ifood_data[[#All],[Income]]&gt;75000,"75K+",(IF(ifood_data[[#All],[Income]]&gt;50000,"50K-75K",(IF(ifood_data[[#All],[Income]]&gt;35000,"35K-50K","&lt;35K")))))</f>
        <v>35K-50K</v>
      </c>
      <c r="AW1170" t="str">
        <f>IF(ifood_data[[#All],[Age]]&gt;60,"60+",(IF(ifood_data[[#All],[Age]]&gt;50,"50-60",(IF(ifood_data[[#All],[Age]]&gt;40,"40-50",(IF(ifood_data[[#All],[Age]]&gt;30,"30-40","&lt;30")))))))</f>
        <v>30-40</v>
      </c>
      <c r="AX1170">
        <f t="shared" si="72"/>
        <v>11</v>
      </c>
      <c r="AY1170">
        <f t="shared" si="73"/>
        <v>6</v>
      </c>
      <c r="AZ1170">
        <f t="shared" si="74"/>
        <v>0</v>
      </c>
      <c r="BA1170">
        <f t="shared" si="75"/>
        <v>1</v>
      </c>
      <c r="BB1170">
        <f>SUM(ifood_data[[#This Row],[Recency Score]:[Monetary Score]])</f>
        <v>7</v>
      </c>
      <c r="BC1170">
        <f>(_xlfn.PERCENTRANK.INC(ifood_data[[#All],[RFM]],ifood_data[[#This Row],[RFM]],1))*10</f>
        <v>1</v>
      </c>
      <c r="BD1170" t="str">
        <f>VLOOKUP(ifood_data[[#This Row],[RFM Score]],'RFM Analysis'!$A$3:$B$14,2,FALSE)</f>
        <v>At Risk</v>
      </c>
      <c r="BE1170">
        <f>'Regression Models'!$B$101+'Regression Models'!$B$102*ifood_data[[#This Row],[Income]]+'Regression Models'!$B$103*ifood_data[[#This Row],[Age]]+'Regression Models'!$B$104*ifood_data[[#This Row],[Family]]</f>
        <v>384.73373085212347</v>
      </c>
      <c r="BF1170" t="str">
        <f>IF(ifood_data[[#This Row],[AcceptedCmpOverall]]=1,"Campaign Respondent","Non-respondent")</f>
        <v>Non-respondent</v>
      </c>
    </row>
    <row r="1171" spans="1:58" x14ac:dyDescent="0.35">
      <c r="A1171">
        <v>1212</v>
      </c>
      <c r="B1171">
        <v>46831</v>
      </c>
      <c r="C1171">
        <v>1</v>
      </c>
      <c r="D1171">
        <v>1</v>
      </c>
      <c r="E1171">
        <v>84</v>
      </c>
      <c r="F1171">
        <v>22</v>
      </c>
      <c r="G1171">
        <v>2</v>
      </c>
      <c r="H1171">
        <v>10</v>
      </c>
      <c r="I1171">
        <v>6</v>
      </c>
      <c r="J1171">
        <v>4</v>
      </c>
      <c r="K1171">
        <v>34</v>
      </c>
      <c r="L1171">
        <v>2</v>
      </c>
      <c r="M1171">
        <v>1</v>
      </c>
      <c r="N1171">
        <v>2</v>
      </c>
      <c r="O1171">
        <v>2</v>
      </c>
      <c r="P1171">
        <v>4</v>
      </c>
      <c r="Q1171">
        <v>0</v>
      </c>
      <c r="R1171">
        <v>0</v>
      </c>
      <c r="S1171">
        <v>0</v>
      </c>
      <c r="T1171">
        <v>0</v>
      </c>
      <c r="U1171">
        <v>0</v>
      </c>
      <c r="V1171">
        <f>IF(SUM(ifood_data[[#This Row],[AcceptedCmp1]:[AcceptedCmp5]])&gt;0,1,0)</f>
        <v>0</v>
      </c>
      <c r="W1171">
        <v>0</v>
      </c>
      <c r="X1171">
        <v>3</v>
      </c>
      <c r="Y1171">
        <v>11</v>
      </c>
      <c r="Z1171">
        <v>0</v>
      </c>
      <c r="AA1171">
        <v>51</v>
      </c>
      <c r="AB1171">
        <v>2545</v>
      </c>
      <c r="AC1171" s="28">
        <f>ifood_data[[#This Row],[Customer_Days]]/365</f>
        <v>6.9726027397260273</v>
      </c>
      <c r="AD1171">
        <v>0</v>
      </c>
      <c r="AE1171">
        <v>1</v>
      </c>
      <c r="AF1171">
        <v>0</v>
      </c>
      <c r="AG1171">
        <v>0</v>
      </c>
      <c r="AH1171">
        <v>0</v>
      </c>
      <c r="AI1171">
        <v>1</v>
      </c>
      <c r="AJ1171">
        <v>0</v>
      </c>
      <c r="AK1171">
        <v>0</v>
      </c>
      <c r="AL1171">
        <v>0</v>
      </c>
      <c r="AM1171">
        <v>0</v>
      </c>
      <c r="AN1171">
        <v>44</v>
      </c>
      <c r="AO1171">
        <v>10</v>
      </c>
      <c r="AP1171">
        <f>ifood_data[[#This Row],[MntTotal]]-ifood_data[[#This Row],[MntRegularProds]]</f>
        <v>34</v>
      </c>
      <c r="AQ1171">
        <v>0</v>
      </c>
      <c r="AR1171">
        <f>IF(SUM(ifood_data[[#This Row],[Kidhome]:[Teenhome]])&gt;0,1,0)</f>
        <v>1</v>
      </c>
      <c r="AS1171" t="str">
        <f>IF(SUM(ifood_data[[#This Row],[Kidhome]:[Teenhome]])&gt;0,"Has Family","No Family")</f>
        <v>Has Family</v>
      </c>
      <c r="AT1171" t="str">
        <f>IF(ifood_data[[#This Row],[marital_Married]]=1,"Married", (IF(ifood_data[[#This Row],[marital_Single]]=1,"Single",(IF(ifood_data[[#This Row],[marital_Divorced]]=1,"Divorced",(IF(ifood_data[[#This Row],[marital_Together]]=1,"Living Together",(IF(ifood_data[[#This Row],[marital_Widow]]=1,"Widow","Other")))))))))</f>
        <v>Married</v>
      </c>
      <c r="AU1171" t="str">
        <f>IF(ifood_data[[#This Row],[education_Basic]]=1,"High School",(IF(ifood_data[[#This Row],[education_Graduation]]=1,"Undergraduate Degree",(IF(SUM(AM1171,AL1171,AI1171)&gt;0,"Master's Degree or Higher","Other")))))</f>
        <v>Master's Degree or Higher</v>
      </c>
      <c r="AV1171" t="str">
        <f>IF(ifood_data[[#All],[Income]]&gt;75000,"75K+",(IF(ifood_data[[#All],[Income]]&gt;50000,"50K-75K",(IF(ifood_data[[#All],[Income]]&gt;35000,"35K-50K","&lt;35K")))))</f>
        <v>35K-50K</v>
      </c>
      <c r="AW1171" t="str">
        <f>IF(ifood_data[[#All],[Age]]&gt;60,"60+",(IF(ifood_data[[#All],[Age]]&gt;50,"50-60",(IF(ifood_data[[#All],[Age]]&gt;40,"40-50",(IF(ifood_data[[#All],[Age]]&gt;30,"30-40","&lt;30")))))))</f>
        <v>50-60</v>
      </c>
      <c r="AX1171">
        <f t="shared" si="72"/>
        <v>11</v>
      </c>
      <c r="AY1171">
        <f t="shared" si="73"/>
        <v>1.9999999999999996</v>
      </c>
      <c r="AZ1171">
        <f t="shared" si="74"/>
        <v>0</v>
      </c>
      <c r="BA1171">
        <f t="shared" si="75"/>
        <v>2</v>
      </c>
      <c r="BB1171">
        <f>SUM(ifood_data[[#This Row],[Recency Score]:[Monetary Score]])</f>
        <v>3.9999999999999996</v>
      </c>
      <c r="BC1171">
        <f>(_xlfn.PERCENTRANK.INC(ifood_data[[#All],[RFM]],ifood_data[[#This Row],[RFM]],1))*10</f>
        <v>0</v>
      </c>
      <c r="BD1171" t="str">
        <f>VLOOKUP(ifood_data[[#This Row],[RFM Score]],'RFM Analysis'!$A$3:$B$14,2,FALSE)</f>
        <v>Lost</v>
      </c>
      <c r="BE1171">
        <f>'Regression Models'!$B$101+'Regression Models'!$B$102*ifood_data[[#This Row],[Income]]+'Regression Models'!$B$103*ifood_data[[#This Row],[Age]]+'Regression Models'!$B$104*ifood_data[[#This Row],[Family]]</f>
        <v>383.73912057583914</v>
      </c>
      <c r="BF1171" t="str">
        <f>IF(ifood_data[[#This Row],[AcceptedCmpOverall]]=1,"Campaign Respondent","Non-respondent")</f>
        <v>Non-respondent</v>
      </c>
    </row>
    <row r="1172" spans="1:58" x14ac:dyDescent="0.35">
      <c r="A1172">
        <v>808</v>
      </c>
      <c r="B1172">
        <v>46374</v>
      </c>
      <c r="C1172">
        <v>0</v>
      </c>
      <c r="D1172">
        <v>1</v>
      </c>
      <c r="E1172">
        <v>1</v>
      </c>
      <c r="F1172">
        <v>408</v>
      </c>
      <c r="G1172">
        <v>0</v>
      </c>
      <c r="H1172">
        <v>21</v>
      </c>
      <c r="I1172">
        <v>0</v>
      </c>
      <c r="J1172">
        <v>0</v>
      </c>
      <c r="K1172">
        <v>17</v>
      </c>
      <c r="L1172">
        <v>3</v>
      </c>
      <c r="M1172">
        <v>7</v>
      </c>
      <c r="N1172">
        <v>1</v>
      </c>
      <c r="O1172">
        <v>7</v>
      </c>
      <c r="P1172">
        <v>8</v>
      </c>
      <c r="Q1172">
        <v>1</v>
      </c>
      <c r="R1172">
        <v>0</v>
      </c>
      <c r="S1172">
        <v>0</v>
      </c>
      <c r="T1172">
        <v>1</v>
      </c>
      <c r="U1172">
        <v>0</v>
      </c>
      <c r="V1172">
        <f>IF(SUM(ifood_data[[#This Row],[AcceptedCmp1]:[AcceptedCmp5]])&gt;0,1,0)</f>
        <v>1</v>
      </c>
      <c r="W1172">
        <v>0</v>
      </c>
      <c r="X1172">
        <v>3</v>
      </c>
      <c r="Y1172">
        <v>11</v>
      </c>
      <c r="Z1172">
        <v>1</v>
      </c>
      <c r="AA1172">
        <v>46</v>
      </c>
      <c r="AB1172">
        <v>2263</v>
      </c>
      <c r="AC1172" s="28">
        <f>ifood_data[[#This Row],[Customer_Days]]/365</f>
        <v>6.2</v>
      </c>
      <c r="AD1172">
        <v>0</v>
      </c>
      <c r="AE1172">
        <v>1</v>
      </c>
      <c r="AF1172">
        <v>0</v>
      </c>
      <c r="AG1172">
        <v>0</v>
      </c>
      <c r="AH1172">
        <v>0</v>
      </c>
      <c r="AI1172">
        <v>0</v>
      </c>
      <c r="AJ1172">
        <v>0</v>
      </c>
      <c r="AK1172">
        <v>0</v>
      </c>
      <c r="AL1172">
        <v>0</v>
      </c>
      <c r="AM1172">
        <v>1</v>
      </c>
      <c r="AN1172">
        <v>429</v>
      </c>
      <c r="AO1172">
        <v>412</v>
      </c>
      <c r="AP1172">
        <f>ifood_data[[#This Row],[MntTotal]]-ifood_data[[#This Row],[MntRegularProds]]</f>
        <v>17</v>
      </c>
      <c r="AQ1172">
        <v>2</v>
      </c>
      <c r="AR1172">
        <f>IF(SUM(ifood_data[[#This Row],[Kidhome]:[Teenhome]])&gt;0,1,0)</f>
        <v>1</v>
      </c>
      <c r="AS1172" t="str">
        <f>IF(SUM(ifood_data[[#This Row],[Kidhome]:[Teenhome]])&gt;0,"Has Family","No Family")</f>
        <v>Has Family</v>
      </c>
      <c r="AT1172" t="str">
        <f>IF(ifood_data[[#This Row],[marital_Married]]=1,"Married", (IF(ifood_data[[#This Row],[marital_Single]]=1,"Single",(IF(ifood_data[[#This Row],[marital_Divorced]]=1,"Divorced",(IF(ifood_data[[#This Row],[marital_Together]]=1,"Living Together",(IF(ifood_data[[#This Row],[marital_Widow]]=1,"Widow","Other")))))))))</f>
        <v>Married</v>
      </c>
      <c r="AU1172" t="str">
        <f>IF(ifood_data[[#This Row],[education_Basic]]=1,"High School",(IF(ifood_data[[#This Row],[education_Graduation]]=1,"Undergraduate Degree",(IF(SUM(AM1172,AL1172,AI1172)&gt;0,"Master's Degree or Higher","Other")))))</f>
        <v>Master's Degree or Higher</v>
      </c>
      <c r="AV1172" t="str">
        <f>IF(ifood_data[[#All],[Income]]&gt;75000,"75K+",(IF(ifood_data[[#All],[Income]]&gt;50000,"50K-75K",(IF(ifood_data[[#All],[Income]]&gt;35000,"35K-50K","&lt;35K")))))</f>
        <v>35K-50K</v>
      </c>
      <c r="AW1172" t="str">
        <f>IF(ifood_data[[#All],[Age]]&gt;60,"60+",(IF(ifood_data[[#All],[Age]]&gt;50,"50-60",(IF(ifood_data[[#All],[Age]]&gt;40,"40-50",(IF(ifood_data[[#All],[Age]]&gt;30,"30-40","&lt;30")))))))</f>
        <v>40-50</v>
      </c>
      <c r="AX1172">
        <f t="shared" si="72"/>
        <v>26</v>
      </c>
      <c r="AY1172">
        <f t="shared" si="73"/>
        <v>10</v>
      </c>
      <c r="AZ1172">
        <f t="shared" si="74"/>
        <v>7</v>
      </c>
      <c r="BA1172">
        <f t="shared" si="75"/>
        <v>5</v>
      </c>
      <c r="BB1172">
        <f>SUM(ifood_data[[#This Row],[Recency Score]:[Monetary Score]])</f>
        <v>22</v>
      </c>
      <c r="BC1172">
        <f>(_xlfn.PERCENTRANK.INC(ifood_data[[#All],[RFM]],ifood_data[[#This Row],[RFM]],1))*10</f>
        <v>8</v>
      </c>
      <c r="BD1172" t="str">
        <f>VLOOKUP(ifood_data[[#This Row],[RFM Score]],'RFM Analysis'!$A$3:$B$14,2,FALSE)</f>
        <v>Loyal Customer</v>
      </c>
      <c r="BE1172">
        <f>'Regression Models'!$B$101+'Regression Models'!$B$102*ifood_data[[#This Row],[Income]]+'Regression Models'!$B$103*ifood_data[[#This Row],[Age]]+'Regression Models'!$B$104*ifood_data[[#This Row],[Family]]</f>
        <v>383.60364892854875</v>
      </c>
      <c r="BF1172" t="str">
        <f>IF(ifood_data[[#This Row],[AcceptedCmpOverall]]=1,"Campaign Respondent","Non-respondent")</f>
        <v>Campaign Respondent</v>
      </c>
    </row>
    <row r="1173" spans="1:58" x14ac:dyDescent="0.35">
      <c r="A1173">
        <v>903</v>
      </c>
      <c r="B1173">
        <v>46106</v>
      </c>
      <c r="C1173">
        <v>1</v>
      </c>
      <c r="D1173">
        <v>1</v>
      </c>
      <c r="E1173">
        <v>84</v>
      </c>
      <c r="F1173">
        <v>30</v>
      </c>
      <c r="G1173">
        <v>0</v>
      </c>
      <c r="H1173">
        <v>8</v>
      </c>
      <c r="I1173">
        <v>2</v>
      </c>
      <c r="J1173">
        <v>0</v>
      </c>
      <c r="K1173">
        <v>14</v>
      </c>
      <c r="L1173">
        <v>1</v>
      </c>
      <c r="M1173">
        <v>1</v>
      </c>
      <c r="N1173">
        <v>1</v>
      </c>
      <c r="O1173">
        <v>2</v>
      </c>
      <c r="P1173">
        <v>6</v>
      </c>
      <c r="Q1173">
        <v>0</v>
      </c>
      <c r="R1173">
        <v>0</v>
      </c>
      <c r="S1173">
        <v>0</v>
      </c>
      <c r="T1173">
        <v>0</v>
      </c>
      <c r="U1173">
        <v>0</v>
      </c>
      <c r="V1173">
        <f>IF(SUM(ifood_data[[#This Row],[AcceptedCmp1]:[AcceptedCmp5]])&gt;0,1,0)</f>
        <v>0</v>
      </c>
      <c r="W1173">
        <v>0</v>
      </c>
      <c r="X1173">
        <v>3</v>
      </c>
      <c r="Y1173">
        <v>11</v>
      </c>
      <c r="Z1173">
        <v>0</v>
      </c>
      <c r="AA1173">
        <v>44</v>
      </c>
      <c r="AB1173">
        <v>2208</v>
      </c>
      <c r="AC1173" s="28">
        <f>ifood_data[[#This Row],[Customer_Days]]/365</f>
        <v>6.0493150684931507</v>
      </c>
      <c r="AD1173">
        <v>0</v>
      </c>
      <c r="AE1173">
        <v>0</v>
      </c>
      <c r="AF1173">
        <v>0</v>
      </c>
      <c r="AG1173">
        <v>1</v>
      </c>
      <c r="AH1173">
        <v>0</v>
      </c>
      <c r="AI1173">
        <v>0</v>
      </c>
      <c r="AJ1173">
        <v>0</v>
      </c>
      <c r="AK1173">
        <v>0</v>
      </c>
      <c r="AL1173">
        <v>1</v>
      </c>
      <c r="AM1173">
        <v>0</v>
      </c>
      <c r="AN1173">
        <v>40</v>
      </c>
      <c r="AO1173">
        <v>26</v>
      </c>
      <c r="AP1173">
        <f>ifood_data[[#This Row],[MntTotal]]-ifood_data[[#This Row],[MntRegularProds]]</f>
        <v>14</v>
      </c>
      <c r="AQ1173">
        <v>0</v>
      </c>
      <c r="AR1173">
        <f>IF(SUM(ifood_data[[#This Row],[Kidhome]:[Teenhome]])&gt;0,1,0)</f>
        <v>1</v>
      </c>
      <c r="AS1173" t="str">
        <f>IF(SUM(ifood_data[[#This Row],[Kidhome]:[Teenhome]])&gt;0,"Has Family","No Family")</f>
        <v>Has Family</v>
      </c>
      <c r="AT1173" t="str">
        <f>IF(ifood_data[[#This Row],[marital_Married]]=1,"Married", (IF(ifood_data[[#This Row],[marital_Single]]=1,"Single",(IF(ifood_data[[#This Row],[marital_Divorced]]=1,"Divorced",(IF(ifood_data[[#This Row],[marital_Together]]=1,"Living Together",(IF(ifood_data[[#This Row],[marital_Widow]]=1,"Widow","Other")))))))))</f>
        <v>Living Together</v>
      </c>
      <c r="AU1173" t="str">
        <f>IF(ifood_data[[#This Row],[education_Basic]]=1,"High School",(IF(ifood_data[[#This Row],[education_Graduation]]=1,"Undergraduate Degree",(IF(SUM(AM1173,AL1173,AI1173)&gt;0,"Master's Degree or Higher","Other")))))</f>
        <v>Master's Degree or Higher</v>
      </c>
      <c r="AV1173" t="str">
        <f>IF(ifood_data[[#All],[Income]]&gt;75000,"75K+",(IF(ifood_data[[#All],[Income]]&gt;50000,"50K-75K",(IF(ifood_data[[#All],[Income]]&gt;35000,"35K-50K","&lt;35K")))))</f>
        <v>35K-50K</v>
      </c>
      <c r="AW1173" t="str">
        <f>IF(ifood_data[[#All],[Age]]&gt;60,"60+",(IF(ifood_data[[#All],[Age]]&gt;50,"50-60",(IF(ifood_data[[#All],[Age]]&gt;40,"40-50",(IF(ifood_data[[#All],[Age]]&gt;30,"30-40","&lt;30")))))))</f>
        <v>40-50</v>
      </c>
      <c r="AX1173">
        <f t="shared" si="72"/>
        <v>11</v>
      </c>
      <c r="AY1173">
        <f t="shared" si="73"/>
        <v>1.9999999999999996</v>
      </c>
      <c r="AZ1173">
        <f t="shared" si="74"/>
        <v>0</v>
      </c>
      <c r="BA1173">
        <f t="shared" si="75"/>
        <v>1</v>
      </c>
      <c r="BB1173">
        <f>SUM(ifood_data[[#This Row],[Recency Score]:[Monetary Score]])</f>
        <v>2.9999999999999996</v>
      </c>
      <c r="BC1173">
        <f>(_xlfn.PERCENTRANK.INC(ifood_data[[#All],[RFM]],ifood_data[[#This Row],[RFM]],1))*10</f>
        <v>0</v>
      </c>
      <c r="BD1173" t="str">
        <f>VLOOKUP(ifood_data[[#This Row],[RFM Score]],'RFM Analysis'!$A$3:$B$14,2,FALSE)</f>
        <v>Lost</v>
      </c>
      <c r="BE1173">
        <f>'Regression Models'!$B$101+'Regression Models'!$B$102*ifood_data[[#This Row],[Income]]+'Regression Models'!$B$103*ifood_data[[#This Row],[Age]]+'Regression Models'!$B$104*ifood_data[[#This Row],[Family]]</f>
        <v>381.81233722377237</v>
      </c>
      <c r="BF1173" t="str">
        <f>IF(ifood_data[[#This Row],[AcceptedCmpOverall]]=1,"Campaign Respondent","Non-respondent")</f>
        <v>Non-respondent</v>
      </c>
    </row>
    <row r="1174" spans="1:58" x14ac:dyDescent="0.35">
      <c r="A1174">
        <v>1636</v>
      </c>
      <c r="B1174">
        <v>46904</v>
      </c>
      <c r="C1174">
        <v>1</v>
      </c>
      <c r="D1174">
        <v>1</v>
      </c>
      <c r="E1174">
        <v>20</v>
      </c>
      <c r="F1174">
        <v>153</v>
      </c>
      <c r="G1174">
        <v>4</v>
      </c>
      <c r="H1174">
        <v>56</v>
      </c>
      <c r="I1174">
        <v>0</v>
      </c>
      <c r="J1174">
        <v>9</v>
      </c>
      <c r="K1174">
        <v>31</v>
      </c>
      <c r="L1174">
        <v>4</v>
      </c>
      <c r="M1174">
        <v>5</v>
      </c>
      <c r="N1174">
        <v>1</v>
      </c>
      <c r="O1174">
        <v>4</v>
      </c>
      <c r="P1174">
        <v>8</v>
      </c>
      <c r="Q1174">
        <v>0</v>
      </c>
      <c r="R1174">
        <v>0</v>
      </c>
      <c r="S1174">
        <v>0</v>
      </c>
      <c r="T1174">
        <v>0</v>
      </c>
      <c r="U1174">
        <v>0</v>
      </c>
      <c r="V1174">
        <f>IF(SUM(ifood_data[[#This Row],[AcceptedCmp1]:[AcceptedCmp5]])&gt;0,1,0)</f>
        <v>0</v>
      </c>
      <c r="W1174">
        <v>0</v>
      </c>
      <c r="X1174">
        <v>3</v>
      </c>
      <c r="Y1174">
        <v>11</v>
      </c>
      <c r="Z1174">
        <v>0</v>
      </c>
      <c r="AA1174">
        <v>53</v>
      </c>
      <c r="AB1174">
        <v>2762</v>
      </c>
      <c r="AC1174" s="28">
        <f>ifood_data[[#This Row],[Customer_Days]]/365</f>
        <v>7.5671232876712331</v>
      </c>
      <c r="AD1174">
        <v>0</v>
      </c>
      <c r="AE1174">
        <v>0</v>
      </c>
      <c r="AF1174">
        <v>1</v>
      </c>
      <c r="AG1174">
        <v>0</v>
      </c>
      <c r="AH1174">
        <v>0</v>
      </c>
      <c r="AI1174">
        <v>0</v>
      </c>
      <c r="AJ1174">
        <v>0</v>
      </c>
      <c r="AK1174">
        <v>1</v>
      </c>
      <c r="AL1174">
        <v>0</v>
      </c>
      <c r="AM1174">
        <v>0</v>
      </c>
      <c r="AN1174">
        <v>222</v>
      </c>
      <c r="AO1174">
        <v>191</v>
      </c>
      <c r="AP1174">
        <f>ifood_data[[#This Row],[MntTotal]]-ifood_data[[#This Row],[MntRegularProds]]</f>
        <v>31</v>
      </c>
      <c r="AQ1174">
        <v>0</v>
      </c>
      <c r="AR1174">
        <f>IF(SUM(ifood_data[[#This Row],[Kidhome]:[Teenhome]])&gt;0,1,0)</f>
        <v>1</v>
      </c>
      <c r="AS1174" t="str">
        <f>IF(SUM(ifood_data[[#This Row],[Kidhome]:[Teenhome]])&gt;0,"Has Family","No Family")</f>
        <v>Has Family</v>
      </c>
      <c r="AT1174" t="str">
        <f>IF(ifood_data[[#This Row],[marital_Married]]=1,"Married", (IF(ifood_data[[#This Row],[marital_Single]]=1,"Single",(IF(ifood_data[[#This Row],[marital_Divorced]]=1,"Divorced",(IF(ifood_data[[#This Row],[marital_Together]]=1,"Living Together",(IF(ifood_data[[#This Row],[marital_Widow]]=1,"Widow","Other")))))))))</f>
        <v>Single</v>
      </c>
      <c r="AU1174" t="str">
        <f>IF(ifood_data[[#This Row],[education_Basic]]=1,"High School",(IF(ifood_data[[#This Row],[education_Graduation]]=1,"Undergraduate Degree",(IF(SUM(AM1174,AL1174,AI1174)&gt;0,"Master's Degree or Higher","Other")))))</f>
        <v>Undergraduate Degree</v>
      </c>
      <c r="AV1174" t="str">
        <f>IF(ifood_data[[#All],[Income]]&gt;75000,"75K+",(IF(ifood_data[[#All],[Income]]&gt;50000,"50K-75K",(IF(ifood_data[[#All],[Income]]&gt;35000,"35K-50K","&lt;35K")))))</f>
        <v>35K-50K</v>
      </c>
      <c r="AW1174" t="str">
        <f>IF(ifood_data[[#All],[Age]]&gt;60,"60+",(IF(ifood_data[[#All],[Age]]&gt;50,"50-60",(IF(ifood_data[[#All],[Age]]&gt;40,"40-50",(IF(ifood_data[[#All],[Age]]&gt;30,"30-40","&lt;30")))))))</f>
        <v>50-60</v>
      </c>
      <c r="AX1174">
        <f t="shared" si="72"/>
        <v>22</v>
      </c>
      <c r="AY1174">
        <f t="shared" si="73"/>
        <v>8</v>
      </c>
      <c r="AZ1174">
        <f t="shared" si="74"/>
        <v>5</v>
      </c>
      <c r="BA1174">
        <f t="shared" si="75"/>
        <v>4</v>
      </c>
      <c r="BB1174">
        <f>SUM(ifood_data[[#This Row],[Recency Score]:[Monetary Score]])</f>
        <v>17</v>
      </c>
      <c r="BC1174">
        <f>(_xlfn.PERCENTRANK.INC(ifood_data[[#All],[RFM]],ifood_data[[#This Row],[RFM]],1))*10</f>
        <v>6</v>
      </c>
      <c r="BD1174" t="str">
        <f>VLOOKUP(ifood_data[[#This Row],[RFM Score]],'RFM Analysis'!$A$3:$B$14,2,FALSE)</f>
        <v>Promising</v>
      </c>
      <c r="BE1174">
        <f>'Regression Models'!$B$101+'Regression Models'!$B$102*ifood_data[[#This Row],[Income]]+'Regression Models'!$B$103*ifood_data[[#This Row],[Age]]+'Regression Models'!$B$104*ifood_data[[#This Row],[Family]]</f>
        <v>381.55462249255527</v>
      </c>
      <c r="BF1174" t="str">
        <f>IF(ifood_data[[#This Row],[AcceptedCmpOverall]]=1,"Campaign Respondent","Non-respondent")</f>
        <v>Non-respondent</v>
      </c>
    </row>
    <row r="1175" spans="1:58" x14ac:dyDescent="0.35">
      <c r="A1175">
        <v>980</v>
      </c>
      <c r="B1175">
        <v>46423</v>
      </c>
      <c r="C1175">
        <v>1</v>
      </c>
      <c r="D1175">
        <v>1</v>
      </c>
      <c r="E1175">
        <v>6</v>
      </c>
      <c r="F1175">
        <v>68</v>
      </c>
      <c r="G1175">
        <v>0</v>
      </c>
      <c r="H1175">
        <v>16</v>
      </c>
      <c r="I1175">
        <v>0</v>
      </c>
      <c r="J1175">
        <v>0</v>
      </c>
      <c r="K1175">
        <v>8</v>
      </c>
      <c r="L1175">
        <v>3</v>
      </c>
      <c r="M1175">
        <v>2</v>
      </c>
      <c r="N1175">
        <v>0</v>
      </c>
      <c r="O1175">
        <v>4</v>
      </c>
      <c r="P1175">
        <v>7</v>
      </c>
      <c r="Q1175">
        <v>0</v>
      </c>
      <c r="R1175">
        <v>0</v>
      </c>
      <c r="S1175">
        <v>0</v>
      </c>
      <c r="T1175">
        <v>0</v>
      </c>
      <c r="U1175">
        <v>0</v>
      </c>
      <c r="V1175">
        <f>IF(SUM(ifood_data[[#This Row],[AcceptedCmp1]:[AcceptedCmp5]])&gt;0,1,0)</f>
        <v>0</v>
      </c>
      <c r="W1175">
        <v>0</v>
      </c>
      <c r="X1175">
        <v>3</v>
      </c>
      <c r="Y1175">
        <v>11</v>
      </c>
      <c r="Z1175">
        <v>0</v>
      </c>
      <c r="AA1175">
        <v>48</v>
      </c>
      <c r="AB1175">
        <v>2443</v>
      </c>
      <c r="AC1175" s="28">
        <f>ifood_data[[#This Row],[Customer_Days]]/365</f>
        <v>6.6931506849315072</v>
      </c>
      <c r="AD1175">
        <v>0</v>
      </c>
      <c r="AE1175">
        <v>0</v>
      </c>
      <c r="AF1175">
        <v>1</v>
      </c>
      <c r="AG1175">
        <v>0</v>
      </c>
      <c r="AH1175">
        <v>0</v>
      </c>
      <c r="AI1175">
        <v>0</v>
      </c>
      <c r="AJ1175">
        <v>0</v>
      </c>
      <c r="AK1175">
        <v>0</v>
      </c>
      <c r="AL1175">
        <v>1</v>
      </c>
      <c r="AM1175">
        <v>0</v>
      </c>
      <c r="AN1175">
        <v>84</v>
      </c>
      <c r="AO1175">
        <v>76</v>
      </c>
      <c r="AP1175">
        <f>ifood_data[[#This Row],[MntTotal]]-ifood_data[[#This Row],[MntRegularProds]]</f>
        <v>8</v>
      </c>
      <c r="AQ1175">
        <v>0</v>
      </c>
      <c r="AR1175">
        <f>IF(SUM(ifood_data[[#This Row],[Kidhome]:[Teenhome]])&gt;0,1,0)</f>
        <v>1</v>
      </c>
      <c r="AS1175" t="str">
        <f>IF(SUM(ifood_data[[#This Row],[Kidhome]:[Teenhome]])&gt;0,"Has Family","No Family")</f>
        <v>Has Family</v>
      </c>
      <c r="AT1175" t="str">
        <f>IF(ifood_data[[#This Row],[marital_Married]]=1,"Married", (IF(ifood_data[[#This Row],[marital_Single]]=1,"Single",(IF(ifood_data[[#This Row],[marital_Divorced]]=1,"Divorced",(IF(ifood_data[[#This Row],[marital_Together]]=1,"Living Together",(IF(ifood_data[[#This Row],[marital_Widow]]=1,"Widow","Other")))))))))</f>
        <v>Single</v>
      </c>
      <c r="AU1175" t="str">
        <f>IF(ifood_data[[#This Row],[education_Basic]]=1,"High School",(IF(ifood_data[[#This Row],[education_Graduation]]=1,"Undergraduate Degree",(IF(SUM(AM1175,AL1175,AI1175)&gt;0,"Master's Degree or Higher","Other")))))</f>
        <v>Master's Degree or Higher</v>
      </c>
      <c r="AV1175" t="str">
        <f>IF(ifood_data[[#All],[Income]]&gt;75000,"75K+",(IF(ifood_data[[#All],[Income]]&gt;50000,"50K-75K",(IF(ifood_data[[#All],[Income]]&gt;35000,"35K-50K","&lt;35K")))))</f>
        <v>35K-50K</v>
      </c>
      <c r="AW1175" t="str">
        <f>IF(ifood_data[[#All],[Age]]&gt;60,"60+",(IF(ifood_data[[#All],[Age]]&gt;50,"50-60",(IF(ifood_data[[#All],[Age]]&gt;40,"40-50",(IF(ifood_data[[#All],[Age]]&gt;30,"30-40","&lt;30")))))))</f>
        <v>40-50</v>
      </c>
      <c r="AX1175">
        <f t="shared" si="72"/>
        <v>16</v>
      </c>
      <c r="AY1175">
        <f t="shared" si="73"/>
        <v>10</v>
      </c>
      <c r="AZ1175">
        <f t="shared" si="74"/>
        <v>3</v>
      </c>
      <c r="BA1175">
        <f t="shared" si="75"/>
        <v>3</v>
      </c>
      <c r="BB1175">
        <f>SUM(ifood_data[[#This Row],[Recency Score]:[Monetary Score]])</f>
        <v>16</v>
      </c>
      <c r="BC1175">
        <f>(_xlfn.PERCENTRANK.INC(ifood_data[[#All],[RFM]],ifood_data[[#This Row],[RFM]],1))*10</f>
        <v>5</v>
      </c>
      <c r="BD1175" t="str">
        <f>VLOOKUP(ifood_data[[#This Row],[RFM Score]],'RFM Analysis'!$A$3:$B$14,2,FALSE)</f>
        <v>Promising</v>
      </c>
      <c r="BE1175">
        <f>'Regression Models'!$B$101+'Regression Models'!$B$102*ifood_data[[#This Row],[Income]]+'Regression Models'!$B$103*ifood_data[[#This Row],[Age]]+'Regression Models'!$B$104*ifood_data[[#This Row],[Family]]</f>
        <v>380.92982040981121</v>
      </c>
      <c r="BF1175" t="str">
        <f>IF(ifood_data[[#This Row],[AcceptedCmpOverall]]=1,"Campaign Respondent","Non-respondent")</f>
        <v>Non-respondent</v>
      </c>
    </row>
    <row r="1176" spans="1:58" x14ac:dyDescent="0.35">
      <c r="A1176">
        <v>1204</v>
      </c>
      <c r="B1176">
        <v>46149</v>
      </c>
      <c r="C1176">
        <v>0</v>
      </c>
      <c r="D1176">
        <v>1</v>
      </c>
      <c r="E1176">
        <v>36</v>
      </c>
      <c r="F1176">
        <v>254</v>
      </c>
      <c r="G1176">
        <v>6</v>
      </c>
      <c r="H1176">
        <v>71</v>
      </c>
      <c r="I1176">
        <v>4</v>
      </c>
      <c r="J1176">
        <v>0</v>
      </c>
      <c r="K1176">
        <v>27</v>
      </c>
      <c r="L1176">
        <v>5</v>
      </c>
      <c r="M1176">
        <v>5</v>
      </c>
      <c r="N1176">
        <v>1</v>
      </c>
      <c r="O1176">
        <v>7</v>
      </c>
      <c r="P1176">
        <v>5</v>
      </c>
      <c r="Q1176">
        <v>0</v>
      </c>
      <c r="R1176">
        <v>0</v>
      </c>
      <c r="S1176">
        <v>0</v>
      </c>
      <c r="T1176">
        <v>0</v>
      </c>
      <c r="U1176">
        <v>0</v>
      </c>
      <c r="V1176">
        <f>IF(SUM(ifood_data[[#This Row],[AcceptedCmp1]:[AcceptedCmp5]])&gt;0,1,0)</f>
        <v>0</v>
      </c>
      <c r="W1176">
        <v>0</v>
      </c>
      <c r="X1176">
        <v>3</v>
      </c>
      <c r="Y1176">
        <v>11</v>
      </c>
      <c r="Z1176">
        <v>0</v>
      </c>
      <c r="AA1176">
        <v>45</v>
      </c>
      <c r="AB1176">
        <v>2371</v>
      </c>
      <c r="AC1176" s="28">
        <f>ifood_data[[#This Row],[Customer_Days]]/365</f>
        <v>6.4958904109589044</v>
      </c>
      <c r="AD1176">
        <v>0</v>
      </c>
      <c r="AE1176">
        <v>1</v>
      </c>
      <c r="AF1176">
        <v>0</v>
      </c>
      <c r="AG1176">
        <v>0</v>
      </c>
      <c r="AH1176">
        <v>0</v>
      </c>
      <c r="AI1176">
        <v>0</v>
      </c>
      <c r="AJ1176">
        <v>0</v>
      </c>
      <c r="AK1176">
        <v>1</v>
      </c>
      <c r="AL1176">
        <v>0</v>
      </c>
      <c r="AM1176">
        <v>0</v>
      </c>
      <c r="AN1176">
        <v>335</v>
      </c>
      <c r="AO1176">
        <v>308</v>
      </c>
      <c r="AP1176">
        <f>ifood_data[[#This Row],[MntTotal]]-ifood_data[[#This Row],[MntRegularProds]]</f>
        <v>27</v>
      </c>
      <c r="AQ1176">
        <v>0</v>
      </c>
      <c r="AR1176">
        <f>IF(SUM(ifood_data[[#This Row],[Kidhome]:[Teenhome]])&gt;0,1,0)</f>
        <v>1</v>
      </c>
      <c r="AS1176" t="str">
        <f>IF(SUM(ifood_data[[#This Row],[Kidhome]:[Teenhome]])&gt;0,"Has Family","No Family")</f>
        <v>Has Family</v>
      </c>
      <c r="AT1176" t="str">
        <f>IF(ifood_data[[#This Row],[marital_Married]]=1,"Married", (IF(ifood_data[[#This Row],[marital_Single]]=1,"Single",(IF(ifood_data[[#This Row],[marital_Divorced]]=1,"Divorced",(IF(ifood_data[[#This Row],[marital_Together]]=1,"Living Together",(IF(ifood_data[[#This Row],[marital_Widow]]=1,"Widow","Other")))))))))</f>
        <v>Married</v>
      </c>
      <c r="AU1176" t="str">
        <f>IF(ifood_data[[#This Row],[education_Basic]]=1,"High School",(IF(ifood_data[[#This Row],[education_Graduation]]=1,"Undergraduate Degree",(IF(SUM(AM1176,AL1176,AI1176)&gt;0,"Master's Degree or Higher","Other")))))</f>
        <v>Undergraduate Degree</v>
      </c>
      <c r="AV1176" t="str">
        <f>IF(ifood_data[[#All],[Income]]&gt;75000,"75K+",(IF(ifood_data[[#All],[Income]]&gt;50000,"50K-75K",(IF(ifood_data[[#All],[Income]]&gt;35000,"35K-50K","&lt;35K")))))</f>
        <v>35K-50K</v>
      </c>
      <c r="AW1176" t="str">
        <f>IF(ifood_data[[#All],[Age]]&gt;60,"60+",(IF(ifood_data[[#All],[Age]]&gt;50,"50-60",(IF(ifood_data[[#All],[Age]]&gt;40,"40-50",(IF(ifood_data[[#All],[Age]]&gt;30,"30-40","&lt;30")))))))</f>
        <v>40-50</v>
      </c>
      <c r="AX1176">
        <f t="shared" si="72"/>
        <v>23</v>
      </c>
      <c r="AY1176">
        <f t="shared" si="73"/>
        <v>7</v>
      </c>
      <c r="AZ1176">
        <f t="shared" si="74"/>
        <v>6</v>
      </c>
      <c r="BA1176">
        <f t="shared" si="75"/>
        <v>4</v>
      </c>
      <c r="BB1176">
        <f>SUM(ifood_data[[#This Row],[Recency Score]:[Monetary Score]])</f>
        <v>17</v>
      </c>
      <c r="BC1176">
        <f>(_xlfn.PERCENTRANK.INC(ifood_data[[#All],[RFM]],ifood_data[[#This Row],[RFM]],1))*10</f>
        <v>6</v>
      </c>
      <c r="BD1176" t="str">
        <f>VLOOKUP(ifood_data[[#This Row],[RFM Score]],'RFM Analysis'!$A$3:$B$14,2,FALSE)</f>
        <v>Promising</v>
      </c>
      <c r="BE1176">
        <f>'Regression Models'!$B$101+'Regression Models'!$B$102*ifood_data[[#This Row],[Income]]+'Regression Models'!$B$103*ifood_data[[#This Row],[Age]]+'Regression Models'!$B$104*ifood_data[[#This Row],[Family]]</f>
        <v>380.85261517506581</v>
      </c>
      <c r="BF1176" t="str">
        <f>IF(ifood_data[[#This Row],[AcceptedCmpOverall]]=1,"Campaign Respondent","Non-respondent")</f>
        <v>Non-respondent</v>
      </c>
    </row>
    <row r="1177" spans="1:58" x14ac:dyDescent="0.35">
      <c r="A1177">
        <v>1092</v>
      </c>
      <c r="B1177">
        <v>46049</v>
      </c>
      <c r="C1177">
        <v>1</v>
      </c>
      <c r="D1177">
        <v>1</v>
      </c>
      <c r="E1177">
        <v>11</v>
      </c>
      <c r="F1177">
        <v>342</v>
      </c>
      <c r="G1177">
        <v>9</v>
      </c>
      <c r="H1177">
        <v>112</v>
      </c>
      <c r="I1177">
        <v>19</v>
      </c>
      <c r="J1177">
        <v>14</v>
      </c>
      <c r="K1177">
        <v>19</v>
      </c>
      <c r="L1177">
        <v>10</v>
      </c>
      <c r="M1177">
        <v>5</v>
      </c>
      <c r="N1177">
        <v>2</v>
      </c>
      <c r="O1177">
        <v>9</v>
      </c>
      <c r="P1177">
        <v>7</v>
      </c>
      <c r="Q1177">
        <v>0</v>
      </c>
      <c r="R1177">
        <v>0</v>
      </c>
      <c r="S1177">
        <v>0</v>
      </c>
      <c r="T1177">
        <v>0</v>
      </c>
      <c r="U1177">
        <v>0</v>
      </c>
      <c r="V1177">
        <f>IF(SUM(ifood_data[[#This Row],[AcceptedCmp1]:[AcceptedCmp5]])&gt;0,1,0)</f>
        <v>0</v>
      </c>
      <c r="W1177">
        <v>0</v>
      </c>
      <c r="X1177">
        <v>3</v>
      </c>
      <c r="Y1177">
        <v>11</v>
      </c>
      <c r="Z1177">
        <v>1</v>
      </c>
      <c r="AA1177">
        <v>44</v>
      </c>
      <c r="AB1177">
        <v>2502</v>
      </c>
      <c r="AC1177" s="28">
        <f>ifood_data[[#This Row],[Customer_Days]]/365</f>
        <v>6.8547945205479452</v>
      </c>
      <c r="AD1177">
        <v>0</v>
      </c>
      <c r="AE1177">
        <v>1</v>
      </c>
      <c r="AF1177">
        <v>0</v>
      </c>
      <c r="AG1177">
        <v>0</v>
      </c>
      <c r="AH1177">
        <v>0</v>
      </c>
      <c r="AI1177">
        <v>0</v>
      </c>
      <c r="AJ1177">
        <v>0</v>
      </c>
      <c r="AK1177">
        <v>1</v>
      </c>
      <c r="AL1177">
        <v>0</v>
      </c>
      <c r="AM1177">
        <v>0</v>
      </c>
      <c r="AN1177">
        <v>496</v>
      </c>
      <c r="AO1177">
        <v>477</v>
      </c>
      <c r="AP1177">
        <f>ifood_data[[#This Row],[MntTotal]]-ifood_data[[#This Row],[MntRegularProds]]</f>
        <v>19</v>
      </c>
      <c r="AQ1177">
        <v>0</v>
      </c>
      <c r="AR1177">
        <f>IF(SUM(ifood_data[[#This Row],[Kidhome]:[Teenhome]])&gt;0,1,0)</f>
        <v>1</v>
      </c>
      <c r="AS1177" t="str">
        <f>IF(SUM(ifood_data[[#This Row],[Kidhome]:[Teenhome]])&gt;0,"Has Family","No Family")</f>
        <v>Has Family</v>
      </c>
      <c r="AT1177" t="str">
        <f>IF(ifood_data[[#This Row],[marital_Married]]=1,"Married", (IF(ifood_data[[#This Row],[marital_Single]]=1,"Single",(IF(ifood_data[[#This Row],[marital_Divorced]]=1,"Divorced",(IF(ifood_data[[#This Row],[marital_Together]]=1,"Living Together",(IF(ifood_data[[#This Row],[marital_Widow]]=1,"Widow","Other")))))))))</f>
        <v>Married</v>
      </c>
      <c r="AU1177" t="str">
        <f>IF(ifood_data[[#This Row],[education_Basic]]=1,"High School",(IF(ifood_data[[#This Row],[education_Graduation]]=1,"Undergraduate Degree",(IF(SUM(AM1177,AL1177,AI1177)&gt;0,"Master's Degree or Higher","Other")))))</f>
        <v>Undergraduate Degree</v>
      </c>
      <c r="AV1177" t="str">
        <f>IF(ifood_data[[#All],[Income]]&gt;75000,"75K+",(IF(ifood_data[[#All],[Income]]&gt;50000,"50K-75K",(IF(ifood_data[[#All],[Income]]&gt;35000,"35K-50K","&lt;35K")))))</f>
        <v>35K-50K</v>
      </c>
      <c r="AW1177" t="str">
        <f>IF(ifood_data[[#All],[Age]]&gt;60,"60+",(IF(ifood_data[[#All],[Age]]&gt;50,"50-60",(IF(ifood_data[[#All],[Age]]&gt;40,"40-50",(IF(ifood_data[[#All],[Age]]&gt;30,"30-40","&lt;30")))))))</f>
        <v>40-50</v>
      </c>
      <c r="AX1177">
        <f t="shared" si="72"/>
        <v>33</v>
      </c>
      <c r="AY1177">
        <f t="shared" si="73"/>
        <v>9</v>
      </c>
      <c r="AZ1177">
        <f t="shared" si="74"/>
        <v>9</v>
      </c>
      <c r="BA1177">
        <f t="shared" si="75"/>
        <v>5</v>
      </c>
      <c r="BB1177">
        <f>SUM(ifood_data[[#This Row],[Recency Score]:[Monetary Score]])</f>
        <v>23</v>
      </c>
      <c r="BC1177">
        <f>(_xlfn.PERCENTRANK.INC(ifood_data[[#All],[RFM]],ifood_data[[#This Row],[RFM]],1))*10</f>
        <v>8</v>
      </c>
      <c r="BD1177" t="str">
        <f>VLOOKUP(ifood_data[[#This Row],[RFM Score]],'RFM Analysis'!$A$3:$B$14,2,FALSE)</f>
        <v>Loyal Customer</v>
      </c>
      <c r="BE1177">
        <f>'Regression Models'!$B$101+'Regression Models'!$B$102*ifood_data[[#This Row],[Income]]+'Regression Models'!$B$103*ifood_data[[#This Row],[Age]]+'Regression Models'!$B$104*ifood_data[[#This Row],[Family]]</f>
        <v>380.65017743957014</v>
      </c>
      <c r="BF1177" t="str">
        <f>IF(ifood_data[[#This Row],[AcceptedCmpOverall]]=1,"Campaign Respondent","Non-respondent")</f>
        <v>Non-respondent</v>
      </c>
    </row>
    <row r="1178" spans="1:58" x14ac:dyDescent="0.35">
      <c r="A1178">
        <v>303</v>
      </c>
      <c r="B1178">
        <v>47025</v>
      </c>
      <c r="C1178">
        <v>1</v>
      </c>
      <c r="D1178">
        <v>1</v>
      </c>
      <c r="E1178">
        <v>6</v>
      </c>
      <c r="F1178">
        <v>16</v>
      </c>
      <c r="G1178">
        <v>0</v>
      </c>
      <c r="H1178">
        <v>3</v>
      </c>
      <c r="I1178">
        <v>0</v>
      </c>
      <c r="J1178">
        <v>0</v>
      </c>
      <c r="K1178">
        <v>1</v>
      </c>
      <c r="L1178">
        <v>1</v>
      </c>
      <c r="M1178">
        <v>1</v>
      </c>
      <c r="N1178">
        <v>0</v>
      </c>
      <c r="O1178">
        <v>2</v>
      </c>
      <c r="P1178">
        <v>7</v>
      </c>
      <c r="Q1178">
        <v>0</v>
      </c>
      <c r="R1178">
        <v>0</v>
      </c>
      <c r="S1178">
        <v>0</v>
      </c>
      <c r="T1178">
        <v>0</v>
      </c>
      <c r="U1178">
        <v>0</v>
      </c>
      <c r="V1178">
        <f>IF(SUM(ifood_data[[#This Row],[AcceptedCmp1]:[AcceptedCmp5]])&gt;0,1,0)</f>
        <v>0</v>
      </c>
      <c r="W1178">
        <v>0</v>
      </c>
      <c r="X1178">
        <v>3</v>
      </c>
      <c r="Y1178">
        <v>11</v>
      </c>
      <c r="Z1178">
        <v>0</v>
      </c>
      <c r="AA1178">
        <v>55</v>
      </c>
      <c r="AB1178">
        <v>2299</v>
      </c>
      <c r="AC1178" s="28">
        <f>ifood_data[[#This Row],[Customer_Days]]/365</f>
        <v>6.2986301369863016</v>
      </c>
      <c r="AD1178">
        <v>1</v>
      </c>
      <c r="AE1178">
        <v>0</v>
      </c>
      <c r="AF1178">
        <v>0</v>
      </c>
      <c r="AG1178">
        <v>0</v>
      </c>
      <c r="AH1178">
        <v>0</v>
      </c>
      <c r="AI1178">
        <v>0</v>
      </c>
      <c r="AJ1178">
        <v>0</v>
      </c>
      <c r="AK1178">
        <v>0</v>
      </c>
      <c r="AL1178">
        <v>0</v>
      </c>
      <c r="AM1178">
        <v>1</v>
      </c>
      <c r="AN1178">
        <v>19</v>
      </c>
      <c r="AO1178">
        <v>18</v>
      </c>
      <c r="AP1178">
        <f>ifood_data[[#This Row],[MntTotal]]-ifood_data[[#This Row],[MntRegularProds]]</f>
        <v>1</v>
      </c>
      <c r="AQ1178">
        <v>0</v>
      </c>
      <c r="AR1178">
        <f>IF(SUM(ifood_data[[#This Row],[Kidhome]:[Teenhome]])&gt;0,1,0)</f>
        <v>1</v>
      </c>
      <c r="AS1178" t="str">
        <f>IF(SUM(ifood_data[[#This Row],[Kidhome]:[Teenhome]])&gt;0,"Has Family","No Family")</f>
        <v>Has Family</v>
      </c>
      <c r="AT1178" t="str">
        <f>IF(ifood_data[[#This Row],[marital_Married]]=1,"Married", (IF(ifood_data[[#This Row],[marital_Single]]=1,"Single",(IF(ifood_data[[#This Row],[marital_Divorced]]=1,"Divorced",(IF(ifood_data[[#This Row],[marital_Together]]=1,"Living Together",(IF(ifood_data[[#This Row],[marital_Widow]]=1,"Widow","Other")))))))))</f>
        <v>Divorced</v>
      </c>
      <c r="AU1178" t="str">
        <f>IF(ifood_data[[#This Row],[education_Basic]]=1,"High School",(IF(ifood_data[[#This Row],[education_Graduation]]=1,"Undergraduate Degree",(IF(SUM(AM1178,AL1178,AI1178)&gt;0,"Master's Degree or Higher","Other")))))</f>
        <v>Master's Degree or Higher</v>
      </c>
      <c r="AV1178" t="str">
        <f>IF(ifood_data[[#All],[Income]]&gt;75000,"75K+",(IF(ifood_data[[#All],[Income]]&gt;50000,"50K-75K",(IF(ifood_data[[#All],[Income]]&gt;35000,"35K-50K","&lt;35K")))))</f>
        <v>35K-50K</v>
      </c>
      <c r="AW1178" t="str">
        <f>IF(ifood_data[[#All],[Age]]&gt;60,"60+",(IF(ifood_data[[#All],[Age]]&gt;50,"50-60",(IF(ifood_data[[#All],[Age]]&gt;40,"40-50",(IF(ifood_data[[#All],[Age]]&gt;30,"30-40","&lt;30")))))))</f>
        <v>50-60</v>
      </c>
      <c r="AX1178">
        <f t="shared" si="72"/>
        <v>11</v>
      </c>
      <c r="AY1178">
        <f t="shared" si="73"/>
        <v>10</v>
      </c>
      <c r="AZ1178">
        <f t="shared" si="74"/>
        <v>0</v>
      </c>
      <c r="BA1178">
        <f t="shared" si="75"/>
        <v>0</v>
      </c>
      <c r="BB1178">
        <f>SUM(ifood_data[[#This Row],[Recency Score]:[Monetary Score]])</f>
        <v>10</v>
      </c>
      <c r="BC1178">
        <f>(_xlfn.PERCENTRANK.INC(ifood_data[[#All],[RFM]],ifood_data[[#This Row],[RFM]],1))*10</f>
        <v>2</v>
      </c>
      <c r="BD1178" t="str">
        <f>VLOOKUP(ifood_data[[#This Row],[RFM Score]],'RFM Analysis'!$A$3:$B$14,2,FALSE)</f>
        <v>At Risk</v>
      </c>
      <c r="BE1178">
        <f>'Regression Models'!$B$101+'Regression Models'!$B$102*ifood_data[[#This Row],[Income]]+'Regression Models'!$B$103*ifood_data[[#This Row],[Age]]+'Regression Models'!$B$104*ifood_data[[#This Row],[Family]]</f>
        <v>380.3487852801785</v>
      </c>
      <c r="BF1178" t="str">
        <f>IF(ifood_data[[#This Row],[AcceptedCmpOverall]]=1,"Campaign Respondent","Non-respondent")</f>
        <v>Non-respondent</v>
      </c>
    </row>
    <row r="1179" spans="1:58" x14ac:dyDescent="0.35">
      <c r="A1179">
        <v>1678</v>
      </c>
      <c r="B1179">
        <v>47743</v>
      </c>
      <c r="C1179">
        <v>0</v>
      </c>
      <c r="D1179">
        <v>1</v>
      </c>
      <c r="E1179">
        <v>56</v>
      </c>
      <c r="F1179">
        <v>198</v>
      </c>
      <c r="G1179">
        <v>2</v>
      </c>
      <c r="H1179">
        <v>43</v>
      </c>
      <c r="I1179">
        <v>0</v>
      </c>
      <c r="J1179">
        <v>12</v>
      </c>
      <c r="K1179">
        <v>20</v>
      </c>
      <c r="L1179">
        <v>3</v>
      </c>
      <c r="M1179">
        <v>4</v>
      </c>
      <c r="N1179">
        <v>1</v>
      </c>
      <c r="O1179">
        <v>6</v>
      </c>
      <c r="P1179">
        <v>6</v>
      </c>
      <c r="Q1179">
        <v>0</v>
      </c>
      <c r="R1179">
        <v>0</v>
      </c>
      <c r="S1179">
        <v>0</v>
      </c>
      <c r="T1179">
        <v>1</v>
      </c>
      <c r="U1179">
        <v>0</v>
      </c>
      <c r="V1179">
        <f>IF(SUM(ifood_data[[#This Row],[AcceptedCmp1]:[AcceptedCmp5]])&gt;0,1,0)</f>
        <v>1</v>
      </c>
      <c r="W1179">
        <v>0</v>
      </c>
      <c r="X1179">
        <v>3</v>
      </c>
      <c r="Y1179">
        <v>11</v>
      </c>
      <c r="Z1179">
        <v>0</v>
      </c>
      <c r="AA1179">
        <v>63</v>
      </c>
      <c r="AB1179">
        <v>2623</v>
      </c>
      <c r="AC1179" s="28">
        <f>ifood_data[[#This Row],[Customer_Days]]/365</f>
        <v>7.1863013698630134</v>
      </c>
      <c r="AD1179">
        <v>0</v>
      </c>
      <c r="AE1179">
        <v>1</v>
      </c>
      <c r="AF1179">
        <v>0</v>
      </c>
      <c r="AG1179">
        <v>0</v>
      </c>
      <c r="AH1179">
        <v>0</v>
      </c>
      <c r="AI1179">
        <v>0</v>
      </c>
      <c r="AJ1179">
        <v>0</v>
      </c>
      <c r="AK1179">
        <v>1</v>
      </c>
      <c r="AL1179">
        <v>0</v>
      </c>
      <c r="AM1179">
        <v>0</v>
      </c>
      <c r="AN1179">
        <v>255</v>
      </c>
      <c r="AO1179">
        <v>235</v>
      </c>
      <c r="AP1179">
        <f>ifood_data[[#This Row],[MntTotal]]-ifood_data[[#This Row],[MntRegularProds]]</f>
        <v>20</v>
      </c>
      <c r="AQ1179">
        <v>1</v>
      </c>
      <c r="AR1179">
        <f>IF(SUM(ifood_data[[#This Row],[Kidhome]:[Teenhome]])&gt;0,1,0)</f>
        <v>1</v>
      </c>
      <c r="AS1179" t="str">
        <f>IF(SUM(ifood_data[[#This Row],[Kidhome]:[Teenhome]])&gt;0,"Has Family","No Family")</f>
        <v>Has Family</v>
      </c>
      <c r="AT1179" t="str">
        <f>IF(ifood_data[[#This Row],[marital_Married]]=1,"Married", (IF(ifood_data[[#This Row],[marital_Single]]=1,"Single",(IF(ifood_data[[#This Row],[marital_Divorced]]=1,"Divorced",(IF(ifood_data[[#This Row],[marital_Together]]=1,"Living Together",(IF(ifood_data[[#This Row],[marital_Widow]]=1,"Widow","Other")))))))))</f>
        <v>Married</v>
      </c>
      <c r="AU1179" t="str">
        <f>IF(ifood_data[[#This Row],[education_Basic]]=1,"High School",(IF(ifood_data[[#This Row],[education_Graduation]]=1,"Undergraduate Degree",(IF(SUM(AM1179,AL1179,AI1179)&gt;0,"Master's Degree or Higher","Other")))))</f>
        <v>Undergraduate Degree</v>
      </c>
      <c r="AV1179" t="str">
        <f>IF(ifood_data[[#All],[Income]]&gt;75000,"75K+",(IF(ifood_data[[#All],[Income]]&gt;50000,"50K-75K",(IF(ifood_data[[#All],[Income]]&gt;35000,"35K-50K","&lt;35K")))))</f>
        <v>35K-50K</v>
      </c>
      <c r="AW1179" t="str">
        <f>IF(ifood_data[[#All],[Age]]&gt;60,"60+",(IF(ifood_data[[#All],[Age]]&gt;50,"50-60",(IF(ifood_data[[#All],[Age]]&gt;40,"40-50",(IF(ifood_data[[#All],[Age]]&gt;30,"30-40","&lt;30")))))))</f>
        <v>60+</v>
      </c>
      <c r="AX1179">
        <f t="shared" si="72"/>
        <v>20</v>
      </c>
      <c r="AY1179">
        <f t="shared" si="73"/>
        <v>5</v>
      </c>
      <c r="AZ1179">
        <f t="shared" si="74"/>
        <v>4</v>
      </c>
      <c r="BA1179">
        <f t="shared" si="75"/>
        <v>4</v>
      </c>
      <c r="BB1179">
        <f>SUM(ifood_data[[#This Row],[Recency Score]:[Monetary Score]])</f>
        <v>13</v>
      </c>
      <c r="BC1179">
        <f>(_xlfn.PERCENTRANK.INC(ifood_data[[#All],[RFM]],ifood_data[[#This Row],[RFM]],1))*10</f>
        <v>3</v>
      </c>
      <c r="BD1179" t="str">
        <f>VLOOKUP(ifood_data[[#This Row],[RFM Score]],'RFM Analysis'!$A$3:$B$14,2,FALSE)</f>
        <v>At Risk</v>
      </c>
      <c r="BE1179">
        <f>'Regression Models'!$B$101+'Regression Models'!$B$102*ifood_data[[#This Row],[Income]]+'Regression Models'!$B$103*ifood_data[[#This Row],[Age]]+'Regression Models'!$B$104*ifood_data[[#This Row],[Family]]</f>
        <v>380.29640817634368</v>
      </c>
      <c r="BF1179" t="str">
        <f>IF(ifood_data[[#This Row],[AcceptedCmpOverall]]=1,"Campaign Respondent","Non-respondent")</f>
        <v>Campaign Respondent</v>
      </c>
    </row>
    <row r="1180" spans="1:58" x14ac:dyDescent="0.35">
      <c r="A1180">
        <v>1238</v>
      </c>
      <c r="B1180">
        <v>47009</v>
      </c>
      <c r="C1180">
        <v>0</v>
      </c>
      <c r="D1180">
        <v>1</v>
      </c>
      <c r="E1180">
        <v>89</v>
      </c>
      <c r="F1180">
        <v>171</v>
      </c>
      <c r="G1180">
        <v>45</v>
      </c>
      <c r="H1180">
        <v>73</v>
      </c>
      <c r="I1180">
        <v>59</v>
      </c>
      <c r="J1180">
        <v>10</v>
      </c>
      <c r="K1180">
        <v>90</v>
      </c>
      <c r="L1180">
        <v>4</v>
      </c>
      <c r="M1180">
        <v>3</v>
      </c>
      <c r="N1180">
        <v>2</v>
      </c>
      <c r="O1180">
        <v>8</v>
      </c>
      <c r="P1180">
        <v>4</v>
      </c>
      <c r="Q1180">
        <v>0</v>
      </c>
      <c r="R1180">
        <v>0</v>
      </c>
      <c r="S1180">
        <v>0</v>
      </c>
      <c r="T1180">
        <v>0</v>
      </c>
      <c r="U1180">
        <v>0</v>
      </c>
      <c r="V1180">
        <f>IF(SUM(ifood_data[[#This Row],[AcceptedCmp1]:[AcceptedCmp5]])&gt;0,1,0)</f>
        <v>0</v>
      </c>
      <c r="W1180">
        <v>0</v>
      </c>
      <c r="X1180">
        <v>3</v>
      </c>
      <c r="Y1180">
        <v>11</v>
      </c>
      <c r="Z1180">
        <v>0</v>
      </c>
      <c r="AA1180">
        <v>55</v>
      </c>
      <c r="AB1180">
        <v>2430</v>
      </c>
      <c r="AC1180" s="28">
        <f>ifood_data[[#This Row],[Customer_Days]]/365</f>
        <v>6.6575342465753424</v>
      </c>
      <c r="AD1180">
        <v>0</v>
      </c>
      <c r="AE1180">
        <v>0</v>
      </c>
      <c r="AF1180">
        <v>0</v>
      </c>
      <c r="AG1180">
        <v>1</v>
      </c>
      <c r="AH1180">
        <v>0</v>
      </c>
      <c r="AI1180">
        <v>0</v>
      </c>
      <c r="AJ1180">
        <v>0</v>
      </c>
      <c r="AK1180">
        <v>1</v>
      </c>
      <c r="AL1180">
        <v>0</v>
      </c>
      <c r="AM1180">
        <v>0</v>
      </c>
      <c r="AN1180">
        <v>358</v>
      </c>
      <c r="AO1180">
        <v>268</v>
      </c>
      <c r="AP1180">
        <f>ifood_data[[#This Row],[MntTotal]]-ifood_data[[#This Row],[MntRegularProds]]</f>
        <v>90</v>
      </c>
      <c r="AQ1180">
        <v>0</v>
      </c>
      <c r="AR1180">
        <f>IF(SUM(ifood_data[[#This Row],[Kidhome]:[Teenhome]])&gt;0,1,0)</f>
        <v>1</v>
      </c>
      <c r="AS1180" t="str">
        <f>IF(SUM(ifood_data[[#This Row],[Kidhome]:[Teenhome]])&gt;0,"Has Family","No Family")</f>
        <v>Has Family</v>
      </c>
      <c r="AT1180" t="str">
        <f>IF(ifood_data[[#This Row],[marital_Married]]=1,"Married", (IF(ifood_data[[#This Row],[marital_Single]]=1,"Single",(IF(ifood_data[[#This Row],[marital_Divorced]]=1,"Divorced",(IF(ifood_data[[#This Row],[marital_Together]]=1,"Living Together",(IF(ifood_data[[#This Row],[marital_Widow]]=1,"Widow","Other")))))))))</f>
        <v>Living Together</v>
      </c>
      <c r="AU1180" t="str">
        <f>IF(ifood_data[[#This Row],[education_Basic]]=1,"High School",(IF(ifood_data[[#This Row],[education_Graduation]]=1,"Undergraduate Degree",(IF(SUM(AM1180,AL1180,AI1180)&gt;0,"Master's Degree or Higher","Other")))))</f>
        <v>Undergraduate Degree</v>
      </c>
      <c r="AV1180" t="str">
        <f>IF(ifood_data[[#All],[Income]]&gt;75000,"75K+",(IF(ifood_data[[#All],[Income]]&gt;50000,"50K-75K",(IF(ifood_data[[#All],[Income]]&gt;35000,"35K-50K","&lt;35K")))))</f>
        <v>35K-50K</v>
      </c>
      <c r="AW1180" t="str">
        <f>IF(ifood_data[[#All],[Age]]&gt;60,"60+",(IF(ifood_data[[#All],[Age]]&gt;50,"50-60",(IF(ifood_data[[#All],[Age]]&gt;40,"40-50",(IF(ifood_data[[#All],[Age]]&gt;30,"30-40","&lt;30")))))))</f>
        <v>50-60</v>
      </c>
      <c r="AX1180">
        <f t="shared" si="72"/>
        <v>21</v>
      </c>
      <c r="AY1180">
        <f t="shared" si="73"/>
        <v>1.9999999999999996</v>
      </c>
      <c r="AZ1180">
        <f t="shared" si="74"/>
        <v>5</v>
      </c>
      <c r="BA1180">
        <f t="shared" si="75"/>
        <v>5</v>
      </c>
      <c r="BB1180">
        <f>SUM(ifood_data[[#This Row],[Recency Score]:[Monetary Score]])</f>
        <v>12</v>
      </c>
      <c r="BC1180">
        <f>(_xlfn.PERCENTRANK.INC(ifood_data[[#All],[RFM]],ifood_data[[#This Row],[RFM]],1))*10</f>
        <v>3</v>
      </c>
      <c r="BD1180" t="str">
        <f>VLOOKUP(ifood_data[[#This Row],[RFM Score]],'RFM Analysis'!$A$3:$B$14,2,FALSE)</f>
        <v>At Risk</v>
      </c>
      <c r="BE1180">
        <f>'Regression Models'!$B$101+'Regression Models'!$B$102*ifood_data[[#This Row],[Income]]+'Regression Models'!$B$103*ifood_data[[#This Row],[Age]]+'Regression Models'!$B$104*ifood_data[[#This Row],[Family]]</f>
        <v>380.02256498987606</v>
      </c>
      <c r="BF1180" t="str">
        <f>IF(ifood_data[[#This Row],[AcceptedCmpOverall]]=1,"Campaign Respondent","Non-respondent")</f>
        <v>Non-respondent</v>
      </c>
    </row>
    <row r="1181" spans="1:58" x14ac:dyDescent="0.35">
      <c r="A1181">
        <v>613</v>
      </c>
      <c r="B1181">
        <v>46463</v>
      </c>
      <c r="C1181">
        <v>1</v>
      </c>
      <c r="D1181">
        <v>1</v>
      </c>
      <c r="E1181">
        <v>56</v>
      </c>
      <c r="F1181">
        <v>163</v>
      </c>
      <c r="G1181">
        <v>2</v>
      </c>
      <c r="H1181">
        <v>40</v>
      </c>
      <c r="I1181">
        <v>8</v>
      </c>
      <c r="J1181">
        <v>11</v>
      </c>
      <c r="K1181">
        <v>11</v>
      </c>
      <c r="L1181">
        <v>7</v>
      </c>
      <c r="M1181">
        <v>3</v>
      </c>
      <c r="N1181">
        <v>1</v>
      </c>
      <c r="O1181">
        <v>6</v>
      </c>
      <c r="P1181">
        <v>6</v>
      </c>
      <c r="Q1181">
        <v>0</v>
      </c>
      <c r="R1181">
        <v>0</v>
      </c>
      <c r="S1181">
        <v>0</v>
      </c>
      <c r="T1181">
        <v>0</v>
      </c>
      <c r="U1181">
        <v>0</v>
      </c>
      <c r="V1181">
        <f>IF(SUM(ifood_data[[#This Row],[AcceptedCmp1]:[AcceptedCmp5]])&gt;0,1,0)</f>
        <v>0</v>
      </c>
      <c r="W1181">
        <v>0</v>
      </c>
      <c r="X1181">
        <v>3</v>
      </c>
      <c r="Y1181">
        <v>11</v>
      </c>
      <c r="Z1181">
        <v>0</v>
      </c>
      <c r="AA1181">
        <v>49</v>
      </c>
      <c r="AB1181">
        <v>2474</v>
      </c>
      <c r="AC1181" s="28">
        <f>ifood_data[[#This Row],[Customer_Days]]/365</f>
        <v>6.7780821917808218</v>
      </c>
      <c r="AD1181">
        <v>0</v>
      </c>
      <c r="AE1181">
        <v>1</v>
      </c>
      <c r="AF1181">
        <v>0</v>
      </c>
      <c r="AG1181">
        <v>0</v>
      </c>
      <c r="AH1181">
        <v>0</v>
      </c>
      <c r="AI1181">
        <v>0</v>
      </c>
      <c r="AJ1181">
        <v>0</v>
      </c>
      <c r="AK1181">
        <v>0</v>
      </c>
      <c r="AL1181">
        <v>0</v>
      </c>
      <c r="AM1181">
        <v>1</v>
      </c>
      <c r="AN1181">
        <v>224</v>
      </c>
      <c r="AO1181">
        <v>213</v>
      </c>
      <c r="AP1181">
        <f>ifood_data[[#This Row],[MntTotal]]-ifood_data[[#This Row],[MntRegularProds]]</f>
        <v>11</v>
      </c>
      <c r="AQ1181">
        <v>0</v>
      </c>
      <c r="AR1181">
        <f>IF(SUM(ifood_data[[#This Row],[Kidhome]:[Teenhome]])&gt;0,1,0)</f>
        <v>1</v>
      </c>
      <c r="AS1181" t="str">
        <f>IF(SUM(ifood_data[[#This Row],[Kidhome]:[Teenhome]])&gt;0,"Has Family","No Family")</f>
        <v>Has Family</v>
      </c>
      <c r="AT1181" t="str">
        <f>IF(ifood_data[[#This Row],[marital_Married]]=1,"Married", (IF(ifood_data[[#This Row],[marital_Single]]=1,"Single",(IF(ifood_data[[#This Row],[marital_Divorced]]=1,"Divorced",(IF(ifood_data[[#This Row],[marital_Together]]=1,"Living Together",(IF(ifood_data[[#This Row],[marital_Widow]]=1,"Widow","Other")))))))))</f>
        <v>Married</v>
      </c>
      <c r="AU1181" t="str">
        <f>IF(ifood_data[[#This Row],[education_Basic]]=1,"High School",(IF(ifood_data[[#This Row],[education_Graduation]]=1,"Undergraduate Degree",(IF(SUM(AM1181,AL1181,AI1181)&gt;0,"Master's Degree or Higher","Other")))))</f>
        <v>Master's Degree or Higher</v>
      </c>
      <c r="AV1181" t="str">
        <f>IF(ifood_data[[#All],[Income]]&gt;75000,"75K+",(IF(ifood_data[[#All],[Income]]&gt;50000,"50K-75K",(IF(ifood_data[[#All],[Income]]&gt;35000,"35K-50K","&lt;35K")))))</f>
        <v>35K-50K</v>
      </c>
      <c r="AW1181" t="str">
        <f>IF(ifood_data[[#All],[Age]]&gt;60,"60+",(IF(ifood_data[[#All],[Age]]&gt;50,"50-60",(IF(ifood_data[[#All],[Age]]&gt;40,"40-50",(IF(ifood_data[[#All],[Age]]&gt;30,"30-40","&lt;30")))))))</f>
        <v>40-50</v>
      </c>
      <c r="AX1181">
        <f t="shared" si="72"/>
        <v>23</v>
      </c>
      <c r="AY1181">
        <f t="shared" si="73"/>
        <v>5</v>
      </c>
      <c r="AZ1181">
        <f t="shared" si="74"/>
        <v>6</v>
      </c>
      <c r="BA1181">
        <f t="shared" si="75"/>
        <v>4</v>
      </c>
      <c r="BB1181">
        <f>SUM(ifood_data[[#This Row],[Recency Score]:[Monetary Score]])</f>
        <v>15</v>
      </c>
      <c r="BC1181">
        <f>(_xlfn.PERCENTRANK.INC(ifood_data[[#All],[RFM]],ifood_data[[#This Row],[RFM]],1))*10</f>
        <v>4</v>
      </c>
      <c r="BD1181" t="str">
        <f>VLOOKUP(ifood_data[[#This Row],[RFM Score]],'RFM Analysis'!$A$3:$B$14,2,FALSE)</f>
        <v>At Risk</v>
      </c>
      <c r="BE1181">
        <f>'Regression Models'!$B$101+'Regression Models'!$B$102*ifood_data[[#This Row],[Income]]+'Regression Models'!$B$103*ifood_data[[#This Row],[Age]]+'Regression Models'!$B$104*ifood_data[[#This Row],[Family]]</f>
        <v>379.90893205667294</v>
      </c>
      <c r="BF1181" t="str">
        <f>IF(ifood_data[[#This Row],[AcceptedCmpOverall]]=1,"Campaign Respondent","Non-respondent")</f>
        <v>Non-respondent</v>
      </c>
    </row>
    <row r="1182" spans="1:58" x14ac:dyDescent="0.35">
      <c r="A1182">
        <v>354</v>
      </c>
      <c r="B1182">
        <v>46098</v>
      </c>
      <c r="C1182">
        <v>1</v>
      </c>
      <c r="D1182">
        <v>1</v>
      </c>
      <c r="E1182">
        <v>86</v>
      </c>
      <c r="F1182">
        <v>57</v>
      </c>
      <c r="G1182">
        <v>0</v>
      </c>
      <c r="H1182">
        <v>27</v>
      </c>
      <c r="I1182">
        <v>0</v>
      </c>
      <c r="J1182">
        <v>0</v>
      </c>
      <c r="K1182">
        <v>36</v>
      </c>
      <c r="L1182">
        <v>4</v>
      </c>
      <c r="M1182">
        <v>3</v>
      </c>
      <c r="N1182">
        <v>2</v>
      </c>
      <c r="O1182">
        <v>2</v>
      </c>
      <c r="P1182">
        <v>8</v>
      </c>
      <c r="Q1182">
        <v>0</v>
      </c>
      <c r="R1182">
        <v>0</v>
      </c>
      <c r="S1182">
        <v>0</v>
      </c>
      <c r="T1182">
        <v>0</v>
      </c>
      <c r="U1182">
        <v>0</v>
      </c>
      <c r="V1182">
        <f>IF(SUM(ifood_data[[#This Row],[AcceptedCmp1]:[AcceptedCmp5]])&gt;0,1,0)</f>
        <v>0</v>
      </c>
      <c r="W1182">
        <v>0</v>
      </c>
      <c r="X1182">
        <v>3</v>
      </c>
      <c r="Y1182">
        <v>11</v>
      </c>
      <c r="Z1182">
        <v>0</v>
      </c>
      <c r="AA1182">
        <v>45</v>
      </c>
      <c r="AB1182">
        <v>2839</v>
      </c>
      <c r="AC1182" s="28">
        <f>ifood_data[[#This Row],[Customer_Days]]/365</f>
        <v>7.7780821917808218</v>
      </c>
      <c r="AD1182">
        <v>0</v>
      </c>
      <c r="AE1182">
        <v>0</v>
      </c>
      <c r="AF1182">
        <v>1</v>
      </c>
      <c r="AG1182">
        <v>0</v>
      </c>
      <c r="AH1182">
        <v>0</v>
      </c>
      <c r="AI1182">
        <v>0</v>
      </c>
      <c r="AJ1182">
        <v>0</v>
      </c>
      <c r="AK1182">
        <v>0</v>
      </c>
      <c r="AL1182">
        <v>1</v>
      </c>
      <c r="AM1182">
        <v>0</v>
      </c>
      <c r="AN1182">
        <v>84</v>
      </c>
      <c r="AO1182">
        <v>48</v>
      </c>
      <c r="AP1182">
        <f>ifood_data[[#This Row],[MntTotal]]-ifood_data[[#This Row],[MntRegularProds]]</f>
        <v>36</v>
      </c>
      <c r="AQ1182">
        <v>0</v>
      </c>
      <c r="AR1182">
        <f>IF(SUM(ifood_data[[#This Row],[Kidhome]:[Teenhome]])&gt;0,1,0)</f>
        <v>1</v>
      </c>
      <c r="AS1182" t="str">
        <f>IF(SUM(ifood_data[[#This Row],[Kidhome]:[Teenhome]])&gt;0,"Has Family","No Family")</f>
        <v>Has Family</v>
      </c>
      <c r="AT1182" t="str">
        <f>IF(ifood_data[[#This Row],[marital_Married]]=1,"Married", (IF(ifood_data[[#This Row],[marital_Single]]=1,"Single",(IF(ifood_data[[#This Row],[marital_Divorced]]=1,"Divorced",(IF(ifood_data[[#This Row],[marital_Together]]=1,"Living Together",(IF(ifood_data[[#This Row],[marital_Widow]]=1,"Widow","Other")))))))))</f>
        <v>Single</v>
      </c>
      <c r="AU1182" t="str">
        <f>IF(ifood_data[[#This Row],[education_Basic]]=1,"High School",(IF(ifood_data[[#This Row],[education_Graduation]]=1,"Undergraduate Degree",(IF(SUM(AM1182,AL1182,AI1182)&gt;0,"Master's Degree or Higher","Other")))))</f>
        <v>Master's Degree or Higher</v>
      </c>
      <c r="AV1182" t="str">
        <f>IF(ifood_data[[#All],[Income]]&gt;75000,"75K+",(IF(ifood_data[[#All],[Income]]&gt;50000,"50K-75K",(IF(ifood_data[[#All],[Income]]&gt;35000,"35K-50K","&lt;35K")))))</f>
        <v>35K-50K</v>
      </c>
      <c r="AW1182" t="str">
        <f>IF(ifood_data[[#All],[Age]]&gt;60,"60+",(IF(ifood_data[[#All],[Age]]&gt;50,"50-60",(IF(ifood_data[[#All],[Age]]&gt;40,"40-50",(IF(ifood_data[[#All],[Age]]&gt;30,"30-40","&lt;30")))))))</f>
        <v>40-50</v>
      </c>
      <c r="AX1182">
        <f t="shared" si="72"/>
        <v>19</v>
      </c>
      <c r="AY1182">
        <f t="shared" si="73"/>
        <v>1.9999999999999996</v>
      </c>
      <c r="AZ1182">
        <f t="shared" si="74"/>
        <v>4</v>
      </c>
      <c r="BA1182">
        <f t="shared" si="75"/>
        <v>3</v>
      </c>
      <c r="BB1182">
        <f>SUM(ifood_data[[#This Row],[Recency Score]:[Monetary Score]])</f>
        <v>9</v>
      </c>
      <c r="BC1182">
        <f>(_xlfn.PERCENTRANK.INC(ifood_data[[#All],[RFM]],ifood_data[[#This Row],[RFM]],1))*10</f>
        <v>1</v>
      </c>
      <c r="BD1182" t="str">
        <f>VLOOKUP(ifood_data[[#This Row],[RFM Score]],'RFM Analysis'!$A$3:$B$14,2,FALSE)</f>
        <v>At Risk</v>
      </c>
      <c r="BE1182">
        <f>'Regression Models'!$B$101+'Regression Models'!$B$102*ifood_data[[#This Row],[Income]]+'Regression Models'!$B$103*ifood_data[[#This Row],[Age]]+'Regression Models'!$B$104*ifood_data[[#This Row],[Family]]</f>
        <v>379.81278799972688</v>
      </c>
      <c r="BF1182" t="str">
        <f>IF(ifood_data[[#This Row],[AcceptedCmpOverall]]=1,"Campaign Respondent","Non-respondent")</f>
        <v>Non-respondent</v>
      </c>
    </row>
    <row r="1183" spans="1:58" x14ac:dyDescent="0.35">
      <c r="A1183">
        <v>1422</v>
      </c>
      <c r="B1183">
        <v>46098</v>
      </c>
      <c r="C1183">
        <v>1</v>
      </c>
      <c r="D1183">
        <v>1</v>
      </c>
      <c r="E1183">
        <v>86</v>
      </c>
      <c r="F1183">
        <v>57</v>
      </c>
      <c r="G1183">
        <v>0</v>
      </c>
      <c r="H1183">
        <v>27</v>
      </c>
      <c r="I1183">
        <v>0</v>
      </c>
      <c r="J1183">
        <v>0</v>
      </c>
      <c r="K1183">
        <v>36</v>
      </c>
      <c r="L1183">
        <v>4</v>
      </c>
      <c r="M1183">
        <v>3</v>
      </c>
      <c r="N1183">
        <v>2</v>
      </c>
      <c r="O1183">
        <v>2</v>
      </c>
      <c r="P1183">
        <v>8</v>
      </c>
      <c r="Q1183">
        <v>0</v>
      </c>
      <c r="R1183">
        <v>0</v>
      </c>
      <c r="S1183">
        <v>0</v>
      </c>
      <c r="T1183">
        <v>0</v>
      </c>
      <c r="U1183">
        <v>0</v>
      </c>
      <c r="V1183">
        <f>IF(SUM(ifood_data[[#This Row],[AcceptedCmp1]:[AcceptedCmp5]])&gt;0,1,0)</f>
        <v>0</v>
      </c>
      <c r="W1183">
        <v>0</v>
      </c>
      <c r="X1183">
        <v>3</v>
      </c>
      <c r="Y1183">
        <v>11</v>
      </c>
      <c r="Z1183">
        <v>1</v>
      </c>
      <c r="AA1183">
        <v>45</v>
      </c>
      <c r="AB1183">
        <v>2839</v>
      </c>
      <c r="AC1183" s="28">
        <f>ifood_data[[#This Row],[Customer_Days]]/365</f>
        <v>7.7780821917808218</v>
      </c>
      <c r="AD1183">
        <v>0</v>
      </c>
      <c r="AE1183">
        <v>0</v>
      </c>
      <c r="AF1183">
        <v>1</v>
      </c>
      <c r="AG1183">
        <v>0</v>
      </c>
      <c r="AH1183">
        <v>0</v>
      </c>
      <c r="AI1183">
        <v>0</v>
      </c>
      <c r="AJ1183">
        <v>0</v>
      </c>
      <c r="AK1183">
        <v>0</v>
      </c>
      <c r="AL1183">
        <v>1</v>
      </c>
      <c r="AM1183">
        <v>0</v>
      </c>
      <c r="AN1183">
        <v>84</v>
      </c>
      <c r="AO1183">
        <v>48</v>
      </c>
      <c r="AP1183">
        <f>ifood_data[[#This Row],[MntTotal]]-ifood_data[[#This Row],[MntRegularProds]]</f>
        <v>36</v>
      </c>
      <c r="AQ1183">
        <v>0</v>
      </c>
      <c r="AR1183">
        <f>IF(SUM(ifood_data[[#This Row],[Kidhome]:[Teenhome]])&gt;0,1,0)</f>
        <v>1</v>
      </c>
      <c r="AS1183" t="str">
        <f>IF(SUM(ifood_data[[#This Row],[Kidhome]:[Teenhome]])&gt;0,"Has Family","No Family")</f>
        <v>Has Family</v>
      </c>
      <c r="AT1183" t="str">
        <f>IF(ifood_data[[#This Row],[marital_Married]]=1,"Married", (IF(ifood_data[[#This Row],[marital_Single]]=1,"Single",(IF(ifood_data[[#This Row],[marital_Divorced]]=1,"Divorced",(IF(ifood_data[[#This Row],[marital_Together]]=1,"Living Together",(IF(ifood_data[[#This Row],[marital_Widow]]=1,"Widow","Other")))))))))</f>
        <v>Single</v>
      </c>
      <c r="AU1183" t="str">
        <f>IF(ifood_data[[#This Row],[education_Basic]]=1,"High School",(IF(ifood_data[[#This Row],[education_Graduation]]=1,"Undergraduate Degree",(IF(SUM(AM1183,AL1183,AI1183)&gt;0,"Master's Degree or Higher","Other")))))</f>
        <v>Master's Degree or Higher</v>
      </c>
      <c r="AV1183" t="str">
        <f>IF(ifood_data[[#All],[Income]]&gt;75000,"75K+",(IF(ifood_data[[#All],[Income]]&gt;50000,"50K-75K",(IF(ifood_data[[#All],[Income]]&gt;35000,"35K-50K","&lt;35K")))))</f>
        <v>35K-50K</v>
      </c>
      <c r="AW1183" t="str">
        <f>IF(ifood_data[[#All],[Age]]&gt;60,"60+",(IF(ifood_data[[#All],[Age]]&gt;50,"50-60",(IF(ifood_data[[#All],[Age]]&gt;40,"40-50",(IF(ifood_data[[#All],[Age]]&gt;30,"30-40","&lt;30")))))))</f>
        <v>40-50</v>
      </c>
      <c r="AX1183">
        <f t="shared" si="72"/>
        <v>19</v>
      </c>
      <c r="AY1183">
        <f t="shared" si="73"/>
        <v>1.9999999999999996</v>
      </c>
      <c r="AZ1183">
        <f t="shared" si="74"/>
        <v>4</v>
      </c>
      <c r="BA1183">
        <f t="shared" si="75"/>
        <v>3</v>
      </c>
      <c r="BB1183">
        <f>SUM(ifood_data[[#This Row],[Recency Score]:[Monetary Score]])</f>
        <v>9</v>
      </c>
      <c r="BC1183">
        <f>(_xlfn.PERCENTRANK.INC(ifood_data[[#All],[RFM]],ifood_data[[#This Row],[RFM]],1))*10</f>
        <v>1</v>
      </c>
      <c r="BD1183" t="str">
        <f>VLOOKUP(ifood_data[[#This Row],[RFM Score]],'RFM Analysis'!$A$3:$B$14,2,FALSE)</f>
        <v>At Risk</v>
      </c>
      <c r="BE1183">
        <f>'Regression Models'!$B$101+'Regression Models'!$B$102*ifood_data[[#This Row],[Income]]+'Regression Models'!$B$103*ifood_data[[#This Row],[Age]]+'Regression Models'!$B$104*ifood_data[[#This Row],[Family]]</f>
        <v>379.81278799972688</v>
      </c>
      <c r="BF1183" t="str">
        <f>IF(ifood_data[[#This Row],[AcceptedCmpOverall]]=1,"Campaign Respondent","Non-respondent")</f>
        <v>Non-respondent</v>
      </c>
    </row>
    <row r="1184" spans="1:58" x14ac:dyDescent="0.35">
      <c r="A1184">
        <v>141</v>
      </c>
      <c r="B1184">
        <v>46344</v>
      </c>
      <c r="C1184">
        <v>0</v>
      </c>
      <c r="D1184">
        <v>1</v>
      </c>
      <c r="E1184">
        <v>28</v>
      </c>
      <c r="F1184">
        <v>233</v>
      </c>
      <c r="G1184">
        <v>20</v>
      </c>
      <c r="H1184">
        <v>57</v>
      </c>
      <c r="I1184">
        <v>8</v>
      </c>
      <c r="J1184">
        <v>20</v>
      </c>
      <c r="K1184">
        <v>91</v>
      </c>
      <c r="L1184">
        <v>4</v>
      </c>
      <c r="M1184">
        <v>7</v>
      </c>
      <c r="N1184">
        <v>1</v>
      </c>
      <c r="O1184">
        <v>5</v>
      </c>
      <c r="P1184">
        <v>7</v>
      </c>
      <c r="Q1184">
        <v>0</v>
      </c>
      <c r="R1184">
        <v>0</v>
      </c>
      <c r="S1184">
        <v>0</v>
      </c>
      <c r="T1184">
        <v>0</v>
      </c>
      <c r="U1184">
        <v>0</v>
      </c>
      <c r="V1184">
        <f>IF(SUM(ifood_data[[#This Row],[AcceptedCmp1]:[AcceptedCmp5]])&gt;0,1,0)</f>
        <v>0</v>
      </c>
      <c r="W1184">
        <v>0</v>
      </c>
      <c r="X1184">
        <v>3</v>
      </c>
      <c r="Y1184">
        <v>11</v>
      </c>
      <c r="Z1184">
        <v>0</v>
      </c>
      <c r="AA1184">
        <v>48</v>
      </c>
      <c r="AB1184">
        <v>2721</v>
      </c>
      <c r="AC1184" s="28">
        <f>ifood_data[[#This Row],[Customer_Days]]/365</f>
        <v>7.4547945205479449</v>
      </c>
      <c r="AD1184">
        <v>0</v>
      </c>
      <c r="AE1184">
        <v>0</v>
      </c>
      <c r="AF1184">
        <v>0</v>
      </c>
      <c r="AG1184">
        <v>1</v>
      </c>
      <c r="AH1184">
        <v>0</v>
      </c>
      <c r="AI1184">
        <v>1</v>
      </c>
      <c r="AJ1184">
        <v>0</v>
      </c>
      <c r="AK1184">
        <v>0</v>
      </c>
      <c r="AL1184">
        <v>0</v>
      </c>
      <c r="AM1184">
        <v>0</v>
      </c>
      <c r="AN1184">
        <v>338</v>
      </c>
      <c r="AO1184">
        <v>247</v>
      </c>
      <c r="AP1184">
        <f>ifood_data[[#This Row],[MntTotal]]-ifood_data[[#This Row],[MntRegularProds]]</f>
        <v>91</v>
      </c>
      <c r="AQ1184">
        <v>0</v>
      </c>
      <c r="AR1184">
        <f>IF(SUM(ifood_data[[#This Row],[Kidhome]:[Teenhome]])&gt;0,1,0)</f>
        <v>1</v>
      </c>
      <c r="AS1184" t="str">
        <f>IF(SUM(ifood_data[[#This Row],[Kidhome]:[Teenhome]])&gt;0,"Has Family","No Family")</f>
        <v>Has Family</v>
      </c>
      <c r="AT1184" t="str">
        <f>IF(ifood_data[[#This Row],[marital_Married]]=1,"Married", (IF(ifood_data[[#This Row],[marital_Single]]=1,"Single",(IF(ifood_data[[#This Row],[marital_Divorced]]=1,"Divorced",(IF(ifood_data[[#This Row],[marital_Together]]=1,"Living Together",(IF(ifood_data[[#This Row],[marital_Widow]]=1,"Widow","Other")))))))))</f>
        <v>Living Together</v>
      </c>
      <c r="AU1184" t="str">
        <f>IF(ifood_data[[#This Row],[education_Basic]]=1,"High School",(IF(ifood_data[[#This Row],[education_Graduation]]=1,"Undergraduate Degree",(IF(SUM(AM1184,AL1184,AI1184)&gt;0,"Master's Degree or Higher","Other")))))</f>
        <v>Master's Degree or Higher</v>
      </c>
      <c r="AV1184" t="str">
        <f>IF(ifood_data[[#All],[Income]]&gt;75000,"75K+",(IF(ifood_data[[#All],[Income]]&gt;50000,"50K-75K",(IF(ifood_data[[#All],[Income]]&gt;35000,"35K-50K","&lt;35K")))))</f>
        <v>35K-50K</v>
      </c>
      <c r="AW1184" t="str">
        <f>IF(ifood_data[[#All],[Age]]&gt;60,"60+",(IF(ifood_data[[#All],[Age]]&gt;50,"50-60",(IF(ifood_data[[#All],[Age]]&gt;40,"40-50",(IF(ifood_data[[#All],[Age]]&gt;30,"30-40","&lt;30")))))))</f>
        <v>40-50</v>
      </c>
      <c r="AX1184">
        <f t="shared" si="72"/>
        <v>24</v>
      </c>
      <c r="AY1184">
        <f t="shared" si="73"/>
        <v>8</v>
      </c>
      <c r="AZ1184">
        <f t="shared" si="74"/>
        <v>6</v>
      </c>
      <c r="BA1184">
        <f t="shared" si="75"/>
        <v>4</v>
      </c>
      <c r="BB1184">
        <f>SUM(ifood_data[[#This Row],[Recency Score]:[Monetary Score]])</f>
        <v>18</v>
      </c>
      <c r="BC1184">
        <f>(_xlfn.PERCENTRANK.INC(ifood_data[[#All],[RFM]],ifood_data[[#This Row],[RFM]],1))*10</f>
        <v>6</v>
      </c>
      <c r="BD1184" t="str">
        <f>VLOOKUP(ifood_data[[#This Row],[RFM Score]],'RFM Analysis'!$A$3:$B$14,2,FALSE)</f>
        <v>Promising</v>
      </c>
      <c r="BE1184">
        <f>'Regression Models'!$B$101+'Regression Models'!$B$102*ifood_data[[#This Row],[Income]]+'Regression Models'!$B$103*ifood_data[[#This Row],[Age]]+'Regression Models'!$B$104*ifood_data[[#This Row],[Family]]</f>
        <v>379.31910772644324</v>
      </c>
      <c r="BF1184" t="str">
        <f>IF(ifood_data[[#This Row],[AcceptedCmpOverall]]=1,"Campaign Respondent","Non-respondent")</f>
        <v>Non-respondent</v>
      </c>
    </row>
    <row r="1185" spans="1:58" x14ac:dyDescent="0.35">
      <c r="A1185">
        <v>1354</v>
      </c>
      <c r="B1185">
        <v>32727</v>
      </c>
      <c r="C1185">
        <v>0</v>
      </c>
      <c r="D1185">
        <v>0</v>
      </c>
      <c r="E1185">
        <v>38</v>
      </c>
      <c r="F1185">
        <v>167</v>
      </c>
      <c r="G1185">
        <v>13</v>
      </c>
      <c r="H1185">
        <v>180</v>
      </c>
      <c r="I1185">
        <v>86</v>
      </c>
      <c r="J1185">
        <v>13</v>
      </c>
      <c r="K1185">
        <v>70</v>
      </c>
      <c r="L1185">
        <v>2</v>
      </c>
      <c r="M1185">
        <v>7</v>
      </c>
      <c r="N1185">
        <v>3</v>
      </c>
      <c r="O1185">
        <v>5</v>
      </c>
      <c r="P1185">
        <v>8</v>
      </c>
      <c r="Q1185">
        <v>0</v>
      </c>
      <c r="R1185">
        <v>0</v>
      </c>
      <c r="S1185">
        <v>0</v>
      </c>
      <c r="T1185">
        <v>0</v>
      </c>
      <c r="U1185">
        <v>0</v>
      </c>
      <c r="V1185">
        <f>IF(SUM(ifood_data[[#This Row],[AcceptedCmp1]:[AcceptedCmp5]])&gt;0,1,0)</f>
        <v>0</v>
      </c>
      <c r="W1185">
        <v>0</v>
      </c>
      <c r="X1185">
        <v>3</v>
      </c>
      <c r="Y1185">
        <v>11</v>
      </c>
      <c r="Z1185">
        <v>0</v>
      </c>
      <c r="AA1185">
        <v>55</v>
      </c>
      <c r="AB1185">
        <v>2829</v>
      </c>
      <c r="AC1185" s="28">
        <f>ifood_data[[#This Row],[Customer_Days]]/365</f>
        <v>7.7506849315068491</v>
      </c>
      <c r="AD1185">
        <v>0</v>
      </c>
      <c r="AE1185">
        <v>0</v>
      </c>
      <c r="AF1185">
        <v>0</v>
      </c>
      <c r="AG1185">
        <v>1</v>
      </c>
      <c r="AH1185">
        <v>0</v>
      </c>
      <c r="AI1185">
        <v>0</v>
      </c>
      <c r="AJ1185">
        <v>0</v>
      </c>
      <c r="AK1185">
        <v>0</v>
      </c>
      <c r="AL1185">
        <v>0</v>
      </c>
      <c r="AM1185">
        <v>1</v>
      </c>
      <c r="AN1185">
        <v>459</v>
      </c>
      <c r="AO1185">
        <v>389</v>
      </c>
      <c r="AP1185">
        <f>ifood_data[[#This Row],[MntTotal]]-ifood_data[[#This Row],[MntRegularProds]]</f>
        <v>70</v>
      </c>
      <c r="AQ1185">
        <v>0</v>
      </c>
      <c r="AR1185">
        <f>IF(SUM(ifood_data[[#This Row],[Kidhome]:[Teenhome]])&gt;0,1,0)</f>
        <v>0</v>
      </c>
      <c r="AS1185" t="str">
        <f>IF(SUM(ifood_data[[#This Row],[Kidhome]:[Teenhome]])&gt;0,"Has Family","No Family")</f>
        <v>No Family</v>
      </c>
      <c r="AT1185" t="str">
        <f>IF(ifood_data[[#This Row],[marital_Married]]=1,"Married", (IF(ifood_data[[#This Row],[marital_Single]]=1,"Single",(IF(ifood_data[[#This Row],[marital_Divorced]]=1,"Divorced",(IF(ifood_data[[#This Row],[marital_Together]]=1,"Living Together",(IF(ifood_data[[#This Row],[marital_Widow]]=1,"Widow","Other")))))))))</f>
        <v>Living Together</v>
      </c>
      <c r="AU1185" t="str">
        <f>IF(ifood_data[[#This Row],[education_Basic]]=1,"High School",(IF(ifood_data[[#This Row],[education_Graduation]]=1,"Undergraduate Degree",(IF(SUM(AM1185,AL1185,AI1185)&gt;0,"Master's Degree or Higher","Other")))))</f>
        <v>Master's Degree or Higher</v>
      </c>
      <c r="AV1185" t="str">
        <f>IF(ifood_data[[#All],[Income]]&gt;75000,"75K+",(IF(ifood_data[[#All],[Income]]&gt;50000,"50K-75K",(IF(ifood_data[[#All],[Income]]&gt;35000,"35K-50K","&lt;35K")))))</f>
        <v>&lt;35K</v>
      </c>
      <c r="AW1185" t="str">
        <f>IF(ifood_data[[#All],[Age]]&gt;60,"60+",(IF(ifood_data[[#All],[Age]]&gt;50,"50-60",(IF(ifood_data[[#All],[Age]]&gt;40,"40-50",(IF(ifood_data[[#All],[Age]]&gt;30,"30-40","&lt;30")))))))</f>
        <v>50-60</v>
      </c>
      <c r="AX1185">
        <f t="shared" si="72"/>
        <v>25</v>
      </c>
      <c r="AY1185">
        <f t="shared" si="73"/>
        <v>7</v>
      </c>
      <c r="AZ1185">
        <f t="shared" si="74"/>
        <v>7</v>
      </c>
      <c r="BA1185">
        <f t="shared" si="75"/>
        <v>5</v>
      </c>
      <c r="BB1185">
        <f>SUM(ifood_data[[#This Row],[Recency Score]:[Monetary Score]])</f>
        <v>19</v>
      </c>
      <c r="BC1185">
        <f>(_xlfn.PERCENTRANK.INC(ifood_data[[#All],[RFM]],ifood_data[[#This Row],[RFM]],1))*10</f>
        <v>7</v>
      </c>
      <c r="BD1185" t="str">
        <f>VLOOKUP(ifood_data[[#This Row],[RFM Score]],'RFM Analysis'!$A$3:$B$14,2,FALSE)</f>
        <v>Loyal Customer</v>
      </c>
      <c r="BE1185">
        <f>'Regression Models'!$B$101+'Regression Models'!$B$102*ifood_data[[#This Row],[Income]]+'Regression Models'!$B$103*ifood_data[[#This Row],[Age]]+'Regression Models'!$B$104*ifood_data[[#This Row],[Family]]</f>
        <v>378.44380943172746</v>
      </c>
      <c r="BF1185" t="str">
        <f>IF(ifood_data[[#This Row],[AcceptedCmpOverall]]=1,"Campaign Respondent","Non-respondent")</f>
        <v>Non-respondent</v>
      </c>
    </row>
    <row r="1186" spans="1:58" x14ac:dyDescent="0.35">
      <c r="A1186">
        <v>1442</v>
      </c>
      <c r="B1186">
        <v>47175</v>
      </c>
      <c r="C1186">
        <v>1</v>
      </c>
      <c r="D1186">
        <v>1</v>
      </c>
      <c r="E1186">
        <v>81</v>
      </c>
      <c r="F1186">
        <v>167</v>
      </c>
      <c r="G1186">
        <v>2</v>
      </c>
      <c r="H1186">
        <v>44</v>
      </c>
      <c r="I1186">
        <v>6</v>
      </c>
      <c r="J1186">
        <v>2</v>
      </c>
      <c r="K1186">
        <v>19</v>
      </c>
      <c r="L1186">
        <v>7</v>
      </c>
      <c r="M1186">
        <v>4</v>
      </c>
      <c r="N1186">
        <v>2</v>
      </c>
      <c r="O1186">
        <v>4</v>
      </c>
      <c r="P1186">
        <v>8</v>
      </c>
      <c r="Q1186">
        <v>0</v>
      </c>
      <c r="R1186">
        <v>0</v>
      </c>
      <c r="S1186">
        <v>1</v>
      </c>
      <c r="T1186">
        <v>0</v>
      </c>
      <c r="U1186">
        <v>0</v>
      </c>
      <c r="V1186">
        <f>IF(SUM(ifood_data[[#This Row],[AcceptedCmp1]:[AcceptedCmp5]])&gt;0,1,0)</f>
        <v>1</v>
      </c>
      <c r="W1186">
        <v>0</v>
      </c>
      <c r="X1186">
        <v>3</v>
      </c>
      <c r="Y1186">
        <v>11</v>
      </c>
      <c r="Z1186">
        <v>1</v>
      </c>
      <c r="AA1186">
        <v>58</v>
      </c>
      <c r="AB1186">
        <v>2768</v>
      </c>
      <c r="AC1186" s="28">
        <f>ifood_data[[#This Row],[Customer_Days]]/365</f>
        <v>7.5835616438356164</v>
      </c>
      <c r="AD1186">
        <v>0</v>
      </c>
      <c r="AE1186">
        <v>0</v>
      </c>
      <c r="AF1186">
        <v>0</v>
      </c>
      <c r="AG1186">
        <v>1</v>
      </c>
      <c r="AH1186">
        <v>0</v>
      </c>
      <c r="AI1186">
        <v>0</v>
      </c>
      <c r="AJ1186">
        <v>0</v>
      </c>
      <c r="AK1186">
        <v>0</v>
      </c>
      <c r="AL1186">
        <v>1</v>
      </c>
      <c r="AM1186">
        <v>0</v>
      </c>
      <c r="AN1186">
        <v>221</v>
      </c>
      <c r="AO1186">
        <v>202</v>
      </c>
      <c r="AP1186">
        <f>ifood_data[[#This Row],[MntTotal]]-ifood_data[[#This Row],[MntRegularProds]]</f>
        <v>19</v>
      </c>
      <c r="AQ1186">
        <v>1</v>
      </c>
      <c r="AR1186">
        <f>IF(SUM(ifood_data[[#This Row],[Kidhome]:[Teenhome]])&gt;0,1,0)</f>
        <v>1</v>
      </c>
      <c r="AS1186" t="str">
        <f>IF(SUM(ifood_data[[#This Row],[Kidhome]:[Teenhome]])&gt;0,"Has Family","No Family")</f>
        <v>Has Family</v>
      </c>
      <c r="AT1186" t="str">
        <f>IF(ifood_data[[#This Row],[marital_Married]]=1,"Married", (IF(ifood_data[[#This Row],[marital_Single]]=1,"Single",(IF(ifood_data[[#This Row],[marital_Divorced]]=1,"Divorced",(IF(ifood_data[[#This Row],[marital_Together]]=1,"Living Together",(IF(ifood_data[[#This Row],[marital_Widow]]=1,"Widow","Other")))))))))</f>
        <v>Living Together</v>
      </c>
      <c r="AU1186" t="str">
        <f>IF(ifood_data[[#This Row],[education_Basic]]=1,"High School",(IF(ifood_data[[#This Row],[education_Graduation]]=1,"Undergraduate Degree",(IF(SUM(AM1186,AL1186,AI1186)&gt;0,"Master's Degree or Higher","Other")))))</f>
        <v>Master's Degree or Higher</v>
      </c>
      <c r="AV1186" t="str">
        <f>IF(ifood_data[[#All],[Income]]&gt;75000,"75K+",(IF(ifood_data[[#All],[Income]]&gt;50000,"50K-75K",(IF(ifood_data[[#All],[Income]]&gt;35000,"35K-50K","&lt;35K")))))</f>
        <v>35K-50K</v>
      </c>
      <c r="AW1186" t="str">
        <f>IF(ifood_data[[#All],[Age]]&gt;60,"60+",(IF(ifood_data[[#All],[Age]]&gt;50,"50-60",(IF(ifood_data[[#All],[Age]]&gt;40,"40-50",(IF(ifood_data[[#All],[Age]]&gt;30,"30-40","&lt;30")))))))</f>
        <v>50-60</v>
      </c>
      <c r="AX1186">
        <f t="shared" si="72"/>
        <v>25</v>
      </c>
      <c r="AY1186">
        <f t="shared" si="73"/>
        <v>1.9999999999999996</v>
      </c>
      <c r="AZ1186">
        <f t="shared" si="74"/>
        <v>7</v>
      </c>
      <c r="BA1186">
        <f t="shared" si="75"/>
        <v>4</v>
      </c>
      <c r="BB1186">
        <f>SUM(ifood_data[[#This Row],[Recency Score]:[Monetary Score]])</f>
        <v>13</v>
      </c>
      <c r="BC1186">
        <f>(_xlfn.PERCENTRANK.INC(ifood_data[[#All],[RFM]],ifood_data[[#This Row],[RFM]],1))*10</f>
        <v>3</v>
      </c>
      <c r="BD1186" t="str">
        <f>VLOOKUP(ifood_data[[#This Row],[RFM Score]],'RFM Analysis'!$A$3:$B$14,2,FALSE)</f>
        <v>At Risk</v>
      </c>
      <c r="BE1186">
        <f>'Regression Models'!$B$101+'Regression Models'!$B$102*ifood_data[[#This Row],[Income]]+'Regression Models'!$B$103*ifood_data[[#This Row],[Age]]+'Regression Models'!$B$104*ifood_data[[#This Row],[Family]]</f>
        <v>377.89778326508042</v>
      </c>
      <c r="BF1186" t="str">
        <f>IF(ifood_data[[#This Row],[AcceptedCmpOverall]]=1,"Campaign Respondent","Non-respondent")</f>
        <v>Campaign Respondent</v>
      </c>
    </row>
    <row r="1187" spans="1:58" x14ac:dyDescent="0.35">
      <c r="A1187">
        <v>1109</v>
      </c>
      <c r="B1187">
        <v>47353</v>
      </c>
      <c r="C1187">
        <v>0</v>
      </c>
      <c r="D1187">
        <v>1</v>
      </c>
      <c r="E1187">
        <v>93</v>
      </c>
      <c r="F1187">
        <v>184</v>
      </c>
      <c r="G1187">
        <v>2</v>
      </c>
      <c r="H1187">
        <v>19</v>
      </c>
      <c r="I1187">
        <v>8</v>
      </c>
      <c r="J1187">
        <v>8</v>
      </c>
      <c r="K1187">
        <v>4</v>
      </c>
      <c r="L1187">
        <v>3</v>
      </c>
      <c r="M1187">
        <v>2</v>
      </c>
      <c r="N1187">
        <v>2</v>
      </c>
      <c r="O1187">
        <v>6</v>
      </c>
      <c r="P1187">
        <v>5</v>
      </c>
      <c r="Q1187">
        <v>0</v>
      </c>
      <c r="R1187">
        <v>0</v>
      </c>
      <c r="S1187">
        <v>0</v>
      </c>
      <c r="T1187">
        <v>0</v>
      </c>
      <c r="U1187">
        <v>0</v>
      </c>
      <c r="V1187">
        <f>IF(SUM(ifood_data[[#This Row],[AcceptedCmp1]:[AcceptedCmp5]])&gt;0,1,0)</f>
        <v>0</v>
      </c>
      <c r="W1187">
        <v>0</v>
      </c>
      <c r="X1187">
        <v>3</v>
      </c>
      <c r="Y1187">
        <v>11</v>
      </c>
      <c r="Z1187">
        <v>0</v>
      </c>
      <c r="AA1187">
        <v>60</v>
      </c>
      <c r="AB1187">
        <v>2387</v>
      </c>
      <c r="AC1187" s="28">
        <f>ifood_data[[#This Row],[Customer_Days]]/365</f>
        <v>6.5397260273972604</v>
      </c>
      <c r="AD1187">
        <v>0</v>
      </c>
      <c r="AE1187">
        <v>1</v>
      </c>
      <c r="AF1187">
        <v>0</v>
      </c>
      <c r="AG1187">
        <v>0</v>
      </c>
      <c r="AH1187">
        <v>0</v>
      </c>
      <c r="AI1187">
        <v>0</v>
      </c>
      <c r="AJ1187">
        <v>0</v>
      </c>
      <c r="AK1187">
        <v>0</v>
      </c>
      <c r="AL1187">
        <v>1</v>
      </c>
      <c r="AM1187">
        <v>0</v>
      </c>
      <c r="AN1187">
        <v>221</v>
      </c>
      <c r="AO1187">
        <v>217</v>
      </c>
      <c r="AP1187">
        <f>ifood_data[[#This Row],[MntTotal]]-ifood_data[[#This Row],[MntRegularProds]]</f>
        <v>4</v>
      </c>
      <c r="AQ1187">
        <v>0</v>
      </c>
      <c r="AR1187">
        <f>IF(SUM(ifood_data[[#This Row],[Kidhome]:[Teenhome]])&gt;0,1,0)</f>
        <v>1</v>
      </c>
      <c r="AS1187" t="str">
        <f>IF(SUM(ifood_data[[#This Row],[Kidhome]:[Teenhome]])&gt;0,"Has Family","No Family")</f>
        <v>Has Family</v>
      </c>
      <c r="AT1187" t="str">
        <f>IF(ifood_data[[#This Row],[marital_Married]]=1,"Married", (IF(ifood_data[[#This Row],[marital_Single]]=1,"Single",(IF(ifood_data[[#This Row],[marital_Divorced]]=1,"Divorced",(IF(ifood_data[[#This Row],[marital_Together]]=1,"Living Together",(IF(ifood_data[[#This Row],[marital_Widow]]=1,"Widow","Other")))))))))</f>
        <v>Married</v>
      </c>
      <c r="AU1187" t="str">
        <f>IF(ifood_data[[#This Row],[education_Basic]]=1,"High School",(IF(ifood_data[[#This Row],[education_Graduation]]=1,"Undergraduate Degree",(IF(SUM(AM1187,AL1187,AI1187)&gt;0,"Master's Degree or Higher","Other")))))</f>
        <v>Master's Degree or Higher</v>
      </c>
      <c r="AV1187" t="str">
        <f>IF(ifood_data[[#All],[Income]]&gt;75000,"75K+",(IF(ifood_data[[#All],[Income]]&gt;50000,"50K-75K",(IF(ifood_data[[#All],[Income]]&gt;35000,"35K-50K","&lt;35K")))))</f>
        <v>35K-50K</v>
      </c>
      <c r="AW1187" t="str">
        <f>IF(ifood_data[[#All],[Age]]&gt;60,"60+",(IF(ifood_data[[#All],[Age]]&gt;50,"50-60",(IF(ifood_data[[#All],[Age]]&gt;40,"40-50",(IF(ifood_data[[#All],[Age]]&gt;30,"30-40","&lt;30")))))))</f>
        <v>50-60</v>
      </c>
      <c r="AX1187">
        <f t="shared" si="72"/>
        <v>18</v>
      </c>
      <c r="AY1187">
        <f t="shared" si="73"/>
        <v>0.99999999999999978</v>
      </c>
      <c r="AZ1187">
        <f t="shared" si="74"/>
        <v>4</v>
      </c>
      <c r="BA1187">
        <f t="shared" si="75"/>
        <v>4</v>
      </c>
      <c r="BB1187">
        <f>SUM(ifood_data[[#This Row],[Recency Score]:[Monetary Score]])</f>
        <v>9</v>
      </c>
      <c r="BC1187">
        <f>(_xlfn.PERCENTRANK.INC(ifood_data[[#All],[RFM]],ifood_data[[#This Row],[RFM]],1))*10</f>
        <v>1</v>
      </c>
      <c r="BD1187" t="str">
        <f>VLOOKUP(ifood_data[[#This Row],[RFM Score]],'RFM Analysis'!$A$3:$B$14,2,FALSE)</f>
        <v>At Risk</v>
      </c>
      <c r="BE1187">
        <f>'Regression Models'!$B$101+'Regression Models'!$B$102*ifood_data[[#This Row],[Income]]+'Regression Models'!$B$103*ifood_data[[#This Row],[Age]]+'Regression Models'!$B$104*ifood_data[[#This Row],[Family]]</f>
        <v>377.85410583690589</v>
      </c>
      <c r="BF1187" t="str">
        <f>IF(ifood_data[[#This Row],[AcceptedCmpOverall]]=1,"Campaign Respondent","Non-respondent")</f>
        <v>Non-respondent</v>
      </c>
    </row>
    <row r="1188" spans="1:58" x14ac:dyDescent="0.35">
      <c r="A1188">
        <v>726</v>
      </c>
      <c r="B1188">
        <v>46891</v>
      </c>
      <c r="C1188">
        <v>0</v>
      </c>
      <c r="D1188">
        <v>1</v>
      </c>
      <c r="E1188">
        <v>91</v>
      </c>
      <c r="F1188">
        <v>43</v>
      </c>
      <c r="G1188">
        <v>12</v>
      </c>
      <c r="H1188">
        <v>23</v>
      </c>
      <c r="I1188">
        <v>29</v>
      </c>
      <c r="J1188">
        <v>15</v>
      </c>
      <c r="K1188">
        <v>61</v>
      </c>
      <c r="L1188">
        <v>1</v>
      </c>
      <c r="M1188">
        <v>2</v>
      </c>
      <c r="N1188">
        <v>1</v>
      </c>
      <c r="O1188">
        <v>4</v>
      </c>
      <c r="P1188">
        <v>4</v>
      </c>
      <c r="Q1188">
        <v>0</v>
      </c>
      <c r="R1188">
        <v>0</v>
      </c>
      <c r="S1188">
        <v>0</v>
      </c>
      <c r="T1188">
        <v>0</v>
      </c>
      <c r="U1188">
        <v>0</v>
      </c>
      <c r="V1188">
        <f>IF(SUM(ifood_data[[#This Row],[AcceptedCmp1]:[AcceptedCmp5]])&gt;0,1,0)</f>
        <v>0</v>
      </c>
      <c r="W1188">
        <v>0</v>
      </c>
      <c r="X1188">
        <v>3</v>
      </c>
      <c r="Y1188">
        <v>11</v>
      </c>
      <c r="Z1188">
        <v>0</v>
      </c>
      <c r="AA1188">
        <v>55</v>
      </c>
      <c r="AB1188">
        <v>2460</v>
      </c>
      <c r="AC1188" s="28">
        <f>ifood_data[[#This Row],[Customer_Days]]/365</f>
        <v>6.7397260273972606</v>
      </c>
      <c r="AD1188">
        <v>0</v>
      </c>
      <c r="AE1188">
        <v>1</v>
      </c>
      <c r="AF1188">
        <v>0</v>
      </c>
      <c r="AG1188">
        <v>0</v>
      </c>
      <c r="AH1188">
        <v>0</v>
      </c>
      <c r="AI1188">
        <v>1</v>
      </c>
      <c r="AJ1188">
        <v>0</v>
      </c>
      <c r="AK1188">
        <v>0</v>
      </c>
      <c r="AL1188">
        <v>0</v>
      </c>
      <c r="AM1188">
        <v>0</v>
      </c>
      <c r="AN1188">
        <v>122</v>
      </c>
      <c r="AO1188">
        <v>61</v>
      </c>
      <c r="AP1188">
        <f>ifood_data[[#This Row],[MntTotal]]-ifood_data[[#This Row],[MntRegularProds]]</f>
        <v>61</v>
      </c>
      <c r="AQ1188">
        <v>0</v>
      </c>
      <c r="AR1188">
        <f>IF(SUM(ifood_data[[#This Row],[Kidhome]:[Teenhome]])&gt;0,1,0)</f>
        <v>1</v>
      </c>
      <c r="AS1188" t="str">
        <f>IF(SUM(ifood_data[[#This Row],[Kidhome]:[Teenhome]])&gt;0,"Has Family","No Family")</f>
        <v>Has Family</v>
      </c>
      <c r="AT1188" t="str">
        <f>IF(ifood_data[[#This Row],[marital_Married]]=1,"Married", (IF(ifood_data[[#This Row],[marital_Single]]=1,"Single",(IF(ifood_data[[#This Row],[marital_Divorced]]=1,"Divorced",(IF(ifood_data[[#This Row],[marital_Together]]=1,"Living Together",(IF(ifood_data[[#This Row],[marital_Widow]]=1,"Widow","Other")))))))))</f>
        <v>Married</v>
      </c>
      <c r="AU1188" t="str">
        <f>IF(ifood_data[[#This Row],[education_Basic]]=1,"High School",(IF(ifood_data[[#This Row],[education_Graduation]]=1,"Undergraduate Degree",(IF(SUM(AM1188,AL1188,AI1188)&gt;0,"Master's Degree or Higher","Other")))))</f>
        <v>Master's Degree or Higher</v>
      </c>
      <c r="AV1188" t="str">
        <f>IF(ifood_data[[#All],[Income]]&gt;75000,"75K+",(IF(ifood_data[[#All],[Income]]&gt;50000,"50K-75K",(IF(ifood_data[[#All],[Income]]&gt;35000,"35K-50K","&lt;35K")))))</f>
        <v>35K-50K</v>
      </c>
      <c r="AW1188" t="str">
        <f>IF(ifood_data[[#All],[Age]]&gt;60,"60+",(IF(ifood_data[[#All],[Age]]&gt;50,"50-60",(IF(ifood_data[[#All],[Age]]&gt;40,"40-50",(IF(ifood_data[[#All],[Age]]&gt;30,"30-40","&lt;30")))))))</f>
        <v>50-60</v>
      </c>
      <c r="AX1188">
        <f t="shared" si="72"/>
        <v>12</v>
      </c>
      <c r="AY1188">
        <f t="shared" si="73"/>
        <v>0.99999999999999978</v>
      </c>
      <c r="AZ1188">
        <f t="shared" si="74"/>
        <v>1</v>
      </c>
      <c r="BA1188">
        <f t="shared" si="75"/>
        <v>3</v>
      </c>
      <c r="BB1188">
        <f>SUM(ifood_data[[#This Row],[Recency Score]:[Monetary Score]])</f>
        <v>5</v>
      </c>
      <c r="BC1188">
        <f>(_xlfn.PERCENTRANK.INC(ifood_data[[#All],[RFM]],ifood_data[[#This Row],[RFM]],1))*10</f>
        <v>0</v>
      </c>
      <c r="BD1188" t="str">
        <f>VLOOKUP(ifood_data[[#This Row],[RFM Score]],'RFM Analysis'!$A$3:$B$14,2,FALSE)</f>
        <v>Lost</v>
      </c>
      <c r="BE1188">
        <f>'Regression Models'!$B$101+'Regression Models'!$B$102*ifood_data[[#This Row],[Income]]+'Regression Models'!$B$103*ifood_data[[#This Row],[Age]]+'Regression Models'!$B$104*ifood_data[[#This Row],[Family]]</f>
        <v>377.61669034889599</v>
      </c>
      <c r="BF1188" t="str">
        <f>IF(ifood_data[[#This Row],[AcceptedCmpOverall]]=1,"Campaign Respondent","Non-respondent")</f>
        <v>Non-respondent</v>
      </c>
    </row>
    <row r="1189" spans="1:58" x14ac:dyDescent="0.35">
      <c r="A1189">
        <v>199</v>
      </c>
      <c r="B1189">
        <v>46014</v>
      </c>
      <c r="C1189">
        <v>1</v>
      </c>
      <c r="D1189">
        <v>1</v>
      </c>
      <c r="E1189">
        <v>21</v>
      </c>
      <c r="F1189">
        <v>410</v>
      </c>
      <c r="G1189">
        <v>0</v>
      </c>
      <c r="H1189">
        <v>59</v>
      </c>
      <c r="I1189">
        <v>19</v>
      </c>
      <c r="J1189">
        <v>9</v>
      </c>
      <c r="K1189">
        <v>44</v>
      </c>
      <c r="L1189">
        <v>10</v>
      </c>
      <c r="M1189">
        <v>7</v>
      </c>
      <c r="N1189">
        <v>1</v>
      </c>
      <c r="O1189">
        <v>8</v>
      </c>
      <c r="P1189">
        <v>7</v>
      </c>
      <c r="Q1189">
        <v>0</v>
      </c>
      <c r="R1189">
        <v>0</v>
      </c>
      <c r="S1189">
        <v>0</v>
      </c>
      <c r="T1189">
        <v>0</v>
      </c>
      <c r="U1189">
        <v>0</v>
      </c>
      <c r="V1189">
        <f>IF(SUM(ifood_data[[#This Row],[AcceptedCmp1]:[AcceptedCmp5]])&gt;0,1,0)</f>
        <v>0</v>
      </c>
      <c r="W1189">
        <v>0</v>
      </c>
      <c r="X1189">
        <v>3</v>
      </c>
      <c r="Y1189">
        <v>11</v>
      </c>
      <c r="Z1189">
        <v>0</v>
      </c>
      <c r="AA1189">
        <v>46</v>
      </c>
      <c r="AB1189">
        <v>2683</v>
      </c>
      <c r="AC1189" s="28">
        <f>ifood_data[[#This Row],[Customer_Days]]/365</f>
        <v>7.3506849315068497</v>
      </c>
      <c r="AD1189">
        <v>0</v>
      </c>
      <c r="AE1189">
        <v>0</v>
      </c>
      <c r="AF1189">
        <v>0</v>
      </c>
      <c r="AG1189">
        <v>1</v>
      </c>
      <c r="AH1189">
        <v>0</v>
      </c>
      <c r="AI1189">
        <v>0</v>
      </c>
      <c r="AJ1189">
        <v>0</v>
      </c>
      <c r="AK1189">
        <v>0</v>
      </c>
      <c r="AL1189">
        <v>1</v>
      </c>
      <c r="AM1189">
        <v>0</v>
      </c>
      <c r="AN1189">
        <v>497</v>
      </c>
      <c r="AO1189">
        <v>453</v>
      </c>
      <c r="AP1189">
        <f>ifood_data[[#This Row],[MntTotal]]-ifood_data[[#This Row],[MntRegularProds]]</f>
        <v>44</v>
      </c>
      <c r="AQ1189">
        <v>0</v>
      </c>
      <c r="AR1189">
        <f>IF(SUM(ifood_data[[#This Row],[Kidhome]:[Teenhome]])&gt;0,1,0)</f>
        <v>1</v>
      </c>
      <c r="AS1189" t="str">
        <f>IF(SUM(ifood_data[[#This Row],[Kidhome]:[Teenhome]])&gt;0,"Has Family","No Family")</f>
        <v>Has Family</v>
      </c>
      <c r="AT1189" t="str">
        <f>IF(ifood_data[[#This Row],[marital_Married]]=1,"Married", (IF(ifood_data[[#This Row],[marital_Single]]=1,"Single",(IF(ifood_data[[#This Row],[marital_Divorced]]=1,"Divorced",(IF(ifood_data[[#This Row],[marital_Together]]=1,"Living Together",(IF(ifood_data[[#This Row],[marital_Widow]]=1,"Widow","Other")))))))))</f>
        <v>Living Together</v>
      </c>
      <c r="AU1189" t="str">
        <f>IF(ifood_data[[#This Row],[education_Basic]]=1,"High School",(IF(ifood_data[[#This Row],[education_Graduation]]=1,"Undergraduate Degree",(IF(SUM(AM1189,AL1189,AI1189)&gt;0,"Master's Degree or Higher","Other")))))</f>
        <v>Master's Degree or Higher</v>
      </c>
      <c r="AV1189" t="str">
        <f>IF(ifood_data[[#All],[Income]]&gt;75000,"75K+",(IF(ifood_data[[#All],[Income]]&gt;50000,"50K-75K",(IF(ifood_data[[#All],[Income]]&gt;35000,"35K-50K","&lt;35K")))))</f>
        <v>35K-50K</v>
      </c>
      <c r="AW1189" t="str">
        <f>IF(ifood_data[[#All],[Age]]&gt;60,"60+",(IF(ifood_data[[#All],[Age]]&gt;50,"50-60",(IF(ifood_data[[#All],[Age]]&gt;40,"40-50",(IF(ifood_data[[#All],[Age]]&gt;30,"30-40","&lt;30")))))))</f>
        <v>40-50</v>
      </c>
      <c r="AX1189">
        <f t="shared" si="72"/>
        <v>33</v>
      </c>
      <c r="AY1189">
        <f t="shared" si="73"/>
        <v>8</v>
      </c>
      <c r="AZ1189">
        <f t="shared" si="74"/>
        <v>9</v>
      </c>
      <c r="BA1189">
        <f t="shared" si="75"/>
        <v>5</v>
      </c>
      <c r="BB1189">
        <f>SUM(ifood_data[[#This Row],[Recency Score]:[Monetary Score]])</f>
        <v>22</v>
      </c>
      <c r="BC1189">
        <f>(_xlfn.PERCENTRANK.INC(ifood_data[[#All],[RFM]],ifood_data[[#This Row],[RFM]],1))*10</f>
        <v>8</v>
      </c>
      <c r="BD1189" t="str">
        <f>VLOOKUP(ifood_data[[#This Row],[RFM Score]],'RFM Analysis'!$A$3:$B$14,2,FALSE)</f>
        <v>Loyal Customer</v>
      </c>
      <c r="BE1189">
        <f>'Regression Models'!$B$101+'Regression Models'!$B$102*ifood_data[[#This Row],[Income]]+'Regression Models'!$B$103*ifood_data[[#This Row],[Age]]+'Regression Models'!$B$104*ifood_data[[#This Row],[Family]]</f>
        <v>376.26369239674511</v>
      </c>
      <c r="BF1189" t="str">
        <f>IF(ifood_data[[#This Row],[AcceptedCmpOverall]]=1,"Campaign Respondent","Non-respondent")</f>
        <v>Non-respondent</v>
      </c>
    </row>
    <row r="1190" spans="1:58" x14ac:dyDescent="0.35">
      <c r="A1190">
        <v>625</v>
      </c>
      <c r="B1190">
        <v>46734</v>
      </c>
      <c r="C1190">
        <v>1</v>
      </c>
      <c r="D1190">
        <v>2</v>
      </c>
      <c r="E1190">
        <v>86</v>
      </c>
      <c r="F1190">
        <v>100</v>
      </c>
      <c r="G1190">
        <v>1</v>
      </c>
      <c r="H1190">
        <v>39</v>
      </c>
      <c r="I1190">
        <v>6</v>
      </c>
      <c r="J1190">
        <v>1</v>
      </c>
      <c r="K1190">
        <v>76</v>
      </c>
      <c r="L1190">
        <v>4</v>
      </c>
      <c r="M1190">
        <v>3</v>
      </c>
      <c r="N1190">
        <v>2</v>
      </c>
      <c r="O1190">
        <v>3</v>
      </c>
      <c r="P1190">
        <v>6</v>
      </c>
      <c r="Q1190">
        <v>0</v>
      </c>
      <c r="R1190">
        <v>0</v>
      </c>
      <c r="S1190">
        <v>1</v>
      </c>
      <c r="T1190">
        <v>0</v>
      </c>
      <c r="U1190">
        <v>0</v>
      </c>
      <c r="V1190">
        <f>IF(SUM(ifood_data[[#This Row],[AcceptedCmp1]:[AcceptedCmp5]])&gt;0,1,0)</f>
        <v>1</v>
      </c>
      <c r="W1190">
        <v>0</v>
      </c>
      <c r="X1190">
        <v>3</v>
      </c>
      <c r="Y1190">
        <v>11</v>
      </c>
      <c r="Z1190">
        <v>0</v>
      </c>
      <c r="AA1190">
        <v>54</v>
      </c>
      <c r="AB1190">
        <v>2410</v>
      </c>
      <c r="AC1190" s="28">
        <f>ifood_data[[#This Row],[Customer_Days]]/365</f>
        <v>6.602739726027397</v>
      </c>
      <c r="AD1190">
        <v>0</v>
      </c>
      <c r="AE1190">
        <v>0</v>
      </c>
      <c r="AF1190">
        <v>1</v>
      </c>
      <c r="AG1190">
        <v>0</v>
      </c>
      <c r="AH1190">
        <v>0</v>
      </c>
      <c r="AI1190">
        <v>0</v>
      </c>
      <c r="AJ1190">
        <v>0</v>
      </c>
      <c r="AK1190">
        <v>0</v>
      </c>
      <c r="AL1190">
        <v>0</v>
      </c>
      <c r="AM1190">
        <v>1</v>
      </c>
      <c r="AN1190">
        <v>147</v>
      </c>
      <c r="AO1190">
        <v>71</v>
      </c>
      <c r="AP1190">
        <f>ifood_data[[#This Row],[MntTotal]]-ifood_data[[#This Row],[MntRegularProds]]</f>
        <v>76</v>
      </c>
      <c r="AQ1190">
        <v>1</v>
      </c>
      <c r="AR1190">
        <f>IF(SUM(ifood_data[[#This Row],[Kidhome]:[Teenhome]])&gt;0,1,0)</f>
        <v>1</v>
      </c>
      <c r="AS1190" t="str">
        <f>IF(SUM(ifood_data[[#This Row],[Kidhome]:[Teenhome]])&gt;0,"Has Family","No Family")</f>
        <v>Has Family</v>
      </c>
      <c r="AT1190" t="str">
        <f>IF(ifood_data[[#This Row],[marital_Married]]=1,"Married", (IF(ifood_data[[#This Row],[marital_Single]]=1,"Single",(IF(ifood_data[[#This Row],[marital_Divorced]]=1,"Divorced",(IF(ifood_data[[#This Row],[marital_Together]]=1,"Living Together",(IF(ifood_data[[#This Row],[marital_Widow]]=1,"Widow","Other")))))))))</f>
        <v>Single</v>
      </c>
      <c r="AU1190" t="str">
        <f>IF(ifood_data[[#This Row],[education_Basic]]=1,"High School",(IF(ifood_data[[#This Row],[education_Graduation]]=1,"Undergraduate Degree",(IF(SUM(AM1190,AL1190,AI1190)&gt;0,"Master's Degree or Higher","Other")))))</f>
        <v>Master's Degree or Higher</v>
      </c>
      <c r="AV1190" t="str">
        <f>IF(ifood_data[[#All],[Income]]&gt;75000,"75K+",(IF(ifood_data[[#All],[Income]]&gt;50000,"50K-75K",(IF(ifood_data[[#All],[Income]]&gt;35000,"35K-50K","&lt;35K")))))</f>
        <v>35K-50K</v>
      </c>
      <c r="AW1190" t="str">
        <f>IF(ifood_data[[#All],[Age]]&gt;60,"60+",(IF(ifood_data[[#All],[Age]]&gt;50,"50-60",(IF(ifood_data[[#All],[Age]]&gt;40,"40-50",(IF(ifood_data[[#All],[Age]]&gt;30,"30-40","&lt;30")))))))</f>
        <v>50-60</v>
      </c>
      <c r="AX1190">
        <f t="shared" si="72"/>
        <v>18</v>
      </c>
      <c r="AY1190">
        <f t="shared" si="73"/>
        <v>1.9999999999999996</v>
      </c>
      <c r="AZ1190">
        <f t="shared" si="74"/>
        <v>4</v>
      </c>
      <c r="BA1190">
        <f t="shared" si="75"/>
        <v>3</v>
      </c>
      <c r="BB1190">
        <f>SUM(ifood_data[[#This Row],[Recency Score]:[Monetary Score]])</f>
        <v>9</v>
      </c>
      <c r="BC1190">
        <f>(_xlfn.PERCENTRANK.INC(ifood_data[[#All],[RFM]],ifood_data[[#This Row],[RFM]],1))*10</f>
        <v>1</v>
      </c>
      <c r="BD1190" t="str">
        <f>VLOOKUP(ifood_data[[#This Row],[RFM Score]],'RFM Analysis'!$A$3:$B$14,2,FALSE)</f>
        <v>At Risk</v>
      </c>
      <c r="BE1190">
        <f>'Regression Models'!$B$101+'Regression Models'!$B$102*ifood_data[[#This Row],[Income]]+'Regression Models'!$B$103*ifood_data[[#This Row],[Age]]+'Regression Models'!$B$104*ifood_data[[#This Row],[Family]]</f>
        <v>376.2520928291982</v>
      </c>
      <c r="BF1190" t="str">
        <f>IF(ifood_data[[#This Row],[AcceptedCmpOverall]]=1,"Campaign Respondent","Non-respondent")</f>
        <v>Campaign Respondent</v>
      </c>
    </row>
    <row r="1191" spans="1:58" x14ac:dyDescent="0.35">
      <c r="A1191">
        <v>1592</v>
      </c>
      <c r="B1191">
        <v>46910</v>
      </c>
      <c r="C1191">
        <v>1</v>
      </c>
      <c r="D1191">
        <v>1</v>
      </c>
      <c r="E1191">
        <v>36</v>
      </c>
      <c r="F1191">
        <v>48</v>
      </c>
      <c r="G1191">
        <v>0</v>
      </c>
      <c r="H1191">
        <v>14</v>
      </c>
      <c r="I1191">
        <v>0</v>
      </c>
      <c r="J1191">
        <v>0</v>
      </c>
      <c r="K1191">
        <v>6</v>
      </c>
      <c r="L1191">
        <v>2</v>
      </c>
      <c r="M1191">
        <v>2</v>
      </c>
      <c r="N1191">
        <v>0</v>
      </c>
      <c r="O1191">
        <v>3</v>
      </c>
      <c r="P1191">
        <v>6</v>
      </c>
      <c r="Q1191">
        <v>0</v>
      </c>
      <c r="R1191">
        <v>0</v>
      </c>
      <c r="S1191">
        <v>0</v>
      </c>
      <c r="T1191">
        <v>0</v>
      </c>
      <c r="U1191">
        <v>0</v>
      </c>
      <c r="V1191">
        <f>IF(SUM(ifood_data[[#This Row],[AcceptedCmp1]:[AcceptedCmp5]])&gt;0,1,0)</f>
        <v>0</v>
      </c>
      <c r="W1191">
        <v>0</v>
      </c>
      <c r="X1191">
        <v>3</v>
      </c>
      <c r="Y1191">
        <v>11</v>
      </c>
      <c r="Z1191">
        <v>0</v>
      </c>
      <c r="AA1191">
        <v>56</v>
      </c>
      <c r="AB1191">
        <v>2257</v>
      </c>
      <c r="AC1191" s="28">
        <f>ifood_data[[#This Row],[Customer_Days]]/365</f>
        <v>6.183561643835616</v>
      </c>
      <c r="AD1191">
        <v>0</v>
      </c>
      <c r="AE1191">
        <v>0</v>
      </c>
      <c r="AF1191">
        <v>0</v>
      </c>
      <c r="AG1191">
        <v>1</v>
      </c>
      <c r="AH1191">
        <v>0</v>
      </c>
      <c r="AI1191">
        <v>0</v>
      </c>
      <c r="AJ1191">
        <v>0</v>
      </c>
      <c r="AK1191">
        <v>0</v>
      </c>
      <c r="AL1191">
        <v>0</v>
      </c>
      <c r="AM1191">
        <v>1</v>
      </c>
      <c r="AN1191">
        <v>62</v>
      </c>
      <c r="AO1191">
        <v>56</v>
      </c>
      <c r="AP1191">
        <f>ifood_data[[#This Row],[MntTotal]]-ifood_data[[#This Row],[MntRegularProds]]</f>
        <v>6</v>
      </c>
      <c r="AQ1191">
        <v>0</v>
      </c>
      <c r="AR1191">
        <f>IF(SUM(ifood_data[[#This Row],[Kidhome]:[Teenhome]])&gt;0,1,0)</f>
        <v>1</v>
      </c>
      <c r="AS1191" t="str">
        <f>IF(SUM(ifood_data[[#This Row],[Kidhome]:[Teenhome]])&gt;0,"Has Family","No Family")</f>
        <v>Has Family</v>
      </c>
      <c r="AT1191" t="str">
        <f>IF(ifood_data[[#This Row],[marital_Married]]=1,"Married", (IF(ifood_data[[#This Row],[marital_Single]]=1,"Single",(IF(ifood_data[[#This Row],[marital_Divorced]]=1,"Divorced",(IF(ifood_data[[#This Row],[marital_Together]]=1,"Living Together",(IF(ifood_data[[#This Row],[marital_Widow]]=1,"Widow","Other")))))))))</f>
        <v>Living Together</v>
      </c>
      <c r="AU1191" t="str">
        <f>IF(ifood_data[[#This Row],[education_Basic]]=1,"High School",(IF(ifood_data[[#This Row],[education_Graduation]]=1,"Undergraduate Degree",(IF(SUM(AM1191,AL1191,AI1191)&gt;0,"Master's Degree or Higher","Other")))))</f>
        <v>Master's Degree or Higher</v>
      </c>
      <c r="AV1191" t="str">
        <f>IF(ifood_data[[#All],[Income]]&gt;75000,"75K+",(IF(ifood_data[[#All],[Income]]&gt;50000,"50K-75K",(IF(ifood_data[[#All],[Income]]&gt;35000,"35K-50K","&lt;35K")))))</f>
        <v>35K-50K</v>
      </c>
      <c r="AW1191" t="str">
        <f>IF(ifood_data[[#All],[Age]]&gt;60,"60+",(IF(ifood_data[[#All],[Age]]&gt;50,"50-60",(IF(ifood_data[[#All],[Age]]&gt;40,"40-50",(IF(ifood_data[[#All],[Age]]&gt;30,"30-40","&lt;30")))))))</f>
        <v>50-60</v>
      </c>
      <c r="AX1191">
        <f t="shared" si="72"/>
        <v>13</v>
      </c>
      <c r="AY1191">
        <f t="shared" si="73"/>
        <v>7</v>
      </c>
      <c r="AZ1191">
        <f t="shared" si="74"/>
        <v>1</v>
      </c>
      <c r="BA1191">
        <f t="shared" si="75"/>
        <v>2</v>
      </c>
      <c r="BB1191">
        <f>SUM(ifood_data[[#This Row],[Recency Score]:[Monetary Score]])</f>
        <v>10</v>
      </c>
      <c r="BC1191">
        <f>(_xlfn.PERCENTRANK.INC(ifood_data[[#All],[RFM]],ifood_data[[#This Row],[RFM]],1))*10</f>
        <v>2</v>
      </c>
      <c r="BD1191" t="str">
        <f>VLOOKUP(ifood_data[[#This Row],[RFM Score]],'RFM Analysis'!$A$3:$B$14,2,FALSE)</f>
        <v>At Risk</v>
      </c>
      <c r="BE1191">
        <f>'Regression Models'!$B$101+'Regression Models'!$B$102*ifood_data[[#This Row],[Income]]+'Regression Models'!$B$103*ifood_data[[#This Row],[Age]]+'Regression Models'!$B$104*ifood_data[[#This Row],[Family]]</f>
        <v>376.16763786473575</v>
      </c>
      <c r="BF1191" t="str">
        <f>IF(ifood_data[[#This Row],[AcceptedCmpOverall]]=1,"Campaign Respondent","Non-respondent")</f>
        <v>Non-respondent</v>
      </c>
    </row>
    <row r="1192" spans="1:58" x14ac:dyDescent="0.35">
      <c r="A1192">
        <v>1239</v>
      </c>
      <c r="B1192">
        <v>46094</v>
      </c>
      <c r="C1192">
        <v>1</v>
      </c>
      <c r="D1192">
        <v>1</v>
      </c>
      <c r="E1192">
        <v>62</v>
      </c>
      <c r="F1192">
        <v>12</v>
      </c>
      <c r="G1192">
        <v>2</v>
      </c>
      <c r="H1192">
        <v>20</v>
      </c>
      <c r="I1192">
        <v>3</v>
      </c>
      <c r="J1192">
        <v>2</v>
      </c>
      <c r="K1192">
        <v>5</v>
      </c>
      <c r="L1192">
        <v>1</v>
      </c>
      <c r="M1192">
        <v>1</v>
      </c>
      <c r="N1192">
        <v>0</v>
      </c>
      <c r="O1192">
        <v>3</v>
      </c>
      <c r="P1192">
        <v>7</v>
      </c>
      <c r="Q1192">
        <v>0</v>
      </c>
      <c r="R1192">
        <v>0</v>
      </c>
      <c r="S1192">
        <v>0</v>
      </c>
      <c r="T1192">
        <v>0</v>
      </c>
      <c r="U1192">
        <v>0</v>
      </c>
      <c r="V1192">
        <f>IF(SUM(ifood_data[[#This Row],[AcceptedCmp1]:[AcceptedCmp5]])&gt;0,1,0)</f>
        <v>0</v>
      </c>
      <c r="W1192">
        <v>0</v>
      </c>
      <c r="X1192">
        <v>3</v>
      </c>
      <c r="Y1192">
        <v>11</v>
      </c>
      <c r="Z1192">
        <v>0</v>
      </c>
      <c r="AA1192">
        <v>47</v>
      </c>
      <c r="AB1192">
        <v>2178</v>
      </c>
      <c r="AC1192" s="28">
        <f>ifood_data[[#This Row],[Customer_Days]]/365</f>
        <v>5.9671232876712326</v>
      </c>
      <c r="AD1192">
        <v>0</v>
      </c>
      <c r="AE1192">
        <v>1</v>
      </c>
      <c r="AF1192">
        <v>0</v>
      </c>
      <c r="AG1192">
        <v>0</v>
      </c>
      <c r="AH1192">
        <v>0</v>
      </c>
      <c r="AI1192">
        <v>1</v>
      </c>
      <c r="AJ1192">
        <v>0</v>
      </c>
      <c r="AK1192">
        <v>0</v>
      </c>
      <c r="AL1192">
        <v>0</v>
      </c>
      <c r="AM1192">
        <v>0</v>
      </c>
      <c r="AN1192">
        <v>39</v>
      </c>
      <c r="AO1192">
        <v>34</v>
      </c>
      <c r="AP1192">
        <f>ifood_data[[#This Row],[MntTotal]]-ifood_data[[#This Row],[MntRegularProds]]</f>
        <v>5</v>
      </c>
      <c r="AQ1192">
        <v>0</v>
      </c>
      <c r="AR1192">
        <f>IF(SUM(ifood_data[[#This Row],[Kidhome]:[Teenhome]])&gt;0,1,0)</f>
        <v>1</v>
      </c>
      <c r="AS1192" t="str">
        <f>IF(SUM(ifood_data[[#This Row],[Kidhome]:[Teenhome]])&gt;0,"Has Family","No Family")</f>
        <v>Has Family</v>
      </c>
      <c r="AT1192" t="str">
        <f>IF(ifood_data[[#This Row],[marital_Married]]=1,"Married", (IF(ifood_data[[#This Row],[marital_Single]]=1,"Single",(IF(ifood_data[[#This Row],[marital_Divorced]]=1,"Divorced",(IF(ifood_data[[#This Row],[marital_Together]]=1,"Living Together",(IF(ifood_data[[#This Row],[marital_Widow]]=1,"Widow","Other")))))))))</f>
        <v>Married</v>
      </c>
      <c r="AU1192" t="str">
        <f>IF(ifood_data[[#This Row],[education_Basic]]=1,"High School",(IF(ifood_data[[#This Row],[education_Graduation]]=1,"Undergraduate Degree",(IF(SUM(AM1192,AL1192,AI1192)&gt;0,"Master's Degree or Higher","Other")))))</f>
        <v>Master's Degree or Higher</v>
      </c>
      <c r="AV1192" t="str">
        <f>IF(ifood_data[[#All],[Income]]&gt;75000,"75K+",(IF(ifood_data[[#All],[Income]]&gt;50000,"50K-75K",(IF(ifood_data[[#All],[Income]]&gt;35000,"35K-50K","&lt;35K")))))</f>
        <v>35K-50K</v>
      </c>
      <c r="AW1192" t="str">
        <f>IF(ifood_data[[#All],[Age]]&gt;60,"60+",(IF(ifood_data[[#All],[Age]]&gt;50,"50-60",(IF(ifood_data[[#All],[Age]]&gt;40,"40-50",(IF(ifood_data[[#All],[Age]]&gt;30,"30-40","&lt;30")))))))</f>
        <v>40-50</v>
      </c>
      <c r="AX1192">
        <f t="shared" si="72"/>
        <v>12</v>
      </c>
      <c r="AY1192">
        <f t="shared" si="73"/>
        <v>4</v>
      </c>
      <c r="AZ1192">
        <f t="shared" si="74"/>
        <v>1</v>
      </c>
      <c r="BA1192">
        <f t="shared" si="75"/>
        <v>1</v>
      </c>
      <c r="BB1192">
        <f>SUM(ifood_data[[#This Row],[Recency Score]:[Monetary Score]])</f>
        <v>6</v>
      </c>
      <c r="BC1192">
        <f>(_xlfn.PERCENTRANK.INC(ifood_data[[#All],[RFM]],ifood_data[[#This Row],[RFM]],1))*10</f>
        <v>0</v>
      </c>
      <c r="BD1192" t="str">
        <f>VLOOKUP(ifood_data[[#This Row],[RFM Score]],'RFM Analysis'!$A$3:$B$14,2,FALSE)</f>
        <v>Lost</v>
      </c>
      <c r="BE1192">
        <f>'Regression Models'!$B$101+'Regression Models'!$B$102*ifood_data[[#This Row],[Income]]+'Regression Models'!$B$103*ifood_data[[#This Row],[Age]]+'Regression Models'!$B$104*ifood_data[[#This Row],[Family]]</f>
        <v>376.05835476936272</v>
      </c>
      <c r="BF1192" t="str">
        <f>IF(ifood_data[[#This Row],[AcceptedCmpOverall]]=1,"Campaign Respondent","Non-respondent")</f>
        <v>Non-respondent</v>
      </c>
    </row>
    <row r="1193" spans="1:58" x14ac:dyDescent="0.35">
      <c r="A1193">
        <v>1449</v>
      </c>
      <c r="B1193">
        <v>47958</v>
      </c>
      <c r="C1193">
        <v>0</v>
      </c>
      <c r="D1193">
        <v>1</v>
      </c>
      <c r="E1193">
        <v>8</v>
      </c>
      <c r="F1193">
        <v>268</v>
      </c>
      <c r="G1193">
        <v>11</v>
      </c>
      <c r="H1193">
        <v>88</v>
      </c>
      <c r="I1193">
        <v>15</v>
      </c>
      <c r="J1193">
        <v>3</v>
      </c>
      <c r="K1193">
        <v>22</v>
      </c>
      <c r="L1193">
        <v>2</v>
      </c>
      <c r="M1193">
        <v>6</v>
      </c>
      <c r="N1193">
        <v>3</v>
      </c>
      <c r="O1193">
        <v>5</v>
      </c>
      <c r="P1193">
        <v>5</v>
      </c>
      <c r="Q1193">
        <v>0</v>
      </c>
      <c r="R1193">
        <v>0</v>
      </c>
      <c r="S1193">
        <v>0</v>
      </c>
      <c r="T1193">
        <v>0</v>
      </c>
      <c r="U1193">
        <v>0</v>
      </c>
      <c r="V1193">
        <f>IF(SUM(ifood_data[[#This Row],[AcceptedCmp1]:[AcceptedCmp5]])&gt;0,1,0)</f>
        <v>0</v>
      </c>
      <c r="W1193">
        <v>0</v>
      </c>
      <c r="X1193">
        <v>3</v>
      </c>
      <c r="Y1193">
        <v>11</v>
      </c>
      <c r="Z1193">
        <v>0</v>
      </c>
      <c r="AA1193">
        <v>68</v>
      </c>
      <c r="AB1193">
        <v>2685</v>
      </c>
      <c r="AC1193" s="28">
        <f>ifood_data[[#This Row],[Customer_Days]]/365</f>
        <v>7.3561643835616435</v>
      </c>
      <c r="AD1193">
        <v>0</v>
      </c>
      <c r="AE1193">
        <v>0</v>
      </c>
      <c r="AF1193">
        <v>1</v>
      </c>
      <c r="AG1193">
        <v>0</v>
      </c>
      <c r="AH1193">
        <v>0</v>
      </c>
      <c r="AI1193">
        <v>0</v>
      </c>
      <c r="AJ1193">
        <v>0</v>
      </c>
      <c r="AK1193">
        <v>1</v>
      </c>
      <c r="AL1193">
        <v>0</v>
      </c>
      <c r="AM1193">
        <v>0</v>
      </c>
      <c r="AN1193">
        <v>385</v>
      </c>
      <c r="AO1193">
        <v>363</v>
      </c>
      <c r="AP1193">
        <f>ifood_data[[#This Row],[MntTotal]]-ifood_data[[#This Row],[MntRegularProds]]</f>
        <v>22</v>
      </c>
      <c r="AQ1193">
        <v>0</v>
      </c>
      <c r="AR1193">
        <f>IF(SUM(ifood_data[[#This Row],[Kidhome]:[Teenhome]])&gt;0,1,0)</f>
        <v>1</v>
      </c>
      <c r="AS1193" t="str">
        <f>IF(SUM(ifood_data[[#This Row],[Kidhome]:[Teenhome]])&gt;0,"Has Family","No Family")</f>
        <v>Has Family</v>
      </c>
      <c r="AT1193" t="str">
        <f>IF(ifood_data[[#This Row],[marital_Married]]=1,"Married", (IF(ifood_data[[#This Row],[marital_Single]]=1,"Single",(IF(ifood_data[[#This Row],[marital_Divorced]]=1,"Divorced",(IF(ifood_data[[#This Row],[marital_Together]]=1,"Living Together",(IF(ifood_data[[#This Row],[marital_Widow]]=1,"Widow","Other")))))))))</f>
        <v>Single</v>
      </c>
      <c r="AU1193" t="str">
        <f>IF(ifood_data[[#This Row],[education_Basic]]=1,"High School",(IF(ifood_data[[#This Row],[education_Graduation]]=1,"Undergraduate Degree",(IF(SUM(AM1193,AL1193,AI1193)&gt;0,"Master's Degree or Higher","Other")))))</f>
        <v>Undergraduate Degree</v>
      </c>
      <c r="AV1193" t="str">
        <f>IF(ifood_data[[#All],[Income]]&gt;75000,"75K+",(IF(ifood_data[[#All],[Income]]&gt;50000,"50K-75K",(IF(ifood_data[[#All],[Income]]&gt;35000,"35K-50K","&lt;35K")))))</f>
        <v>35K-50K</v>
      </c>
      <c r="AW1193" t="str">
        <f>IF(ifood_data[[#All],[Age]]&gt;60,"60+",(IF(ifood_data[[#All],[Age]]&gt;50,"50-60",(IF(ifood_data[[#All],[Age]]&gt;40,"40-50",(IF(ifood_data[[#All],[Age]]&gt;30,"30-40","&lt;30")))))))</f>
        <v>60+</v>
      </c>
      <c r="AX1193">
        <f t="shared" si="72"/>
        <v>21</v>
      </c>
      <c r="AY1193">
        <f t="shared" si="73"/>
        <v>10</v>
      </c>
      <c r="AZ1193">
        <f t="shared" si="74"/>
        <v>5</v>
      </c>
      <c r="BA1193">
        <f t="shared" si="75"/>
        <v>5</v>
      </c>
      <c r="BB1193">
        <f>SUM(ifood_data[[#This Row],[Recency Score]:[Monetary Score]])</f>
        <v>20</v>
      </c>
      <c r="BC1193">
        <f>(_xlfn.PERCENTRANK.INC(ifood_data[[#All],[RFM]],ifood_data[[#This Row],[RFM]],1))*10</f>
        <v>7</v>
      </c>
      <c r="BD1193" t="str">
        <f>VLOOKUP(ifood_data[[#This Row],[RFM Score]],'RFM Analysis'!$A$3:$B$14,2,FALSE)</f>
        <v>Loyal Customer</v>
      </c>
      <c r="BE1193">
        <f>'Regression Models'!$B$101+'Regression Models'!$B$102*ifood_data[[#This Row],[Income]]+'Regression Models'!$B$103*ifood_data[[#This Row],[Age]]+'Regression Models'!$B$104*ifood_data[[#This Row],[Family]]</f>
        <v>375.4977979328105</v>
      </c>
      <c r="BF1193" t="str">
        <f>IF(ifood_data[[#This Row],[AcceptedCmpOverall]]=1,"Campaign Respondent","Non-respondent")</f>
        <v>Non-respondent</v>
      </c>
    </row>
    <row r="1194" spans="1:58" x14ac:dyDescent="0.35">
      <c r="A1194">
        <v>1332</v>
      </c>
      <c r="B1194">
        <v>31907</v>
      </c>
      <c r="C1194">
        <v>0</v>
      </c>
      <c r="D1194">
        <v>0</v>
      </c>
      <c r="E1194">
        <v>75</v>
      </c>
      <c r="F1194">
        <v>33</v>
      </c>
      <c r="G1194">
        <v>87</v>
      </c>
      <c r="H1194">
        <v>64</v>
      </c>
      <c r="I1194">
        <v>175</v>
      </c>
      <c r="J1194">
        <v>16</v>
      </c>
      <c r="K1194">
        <v>74</v>
      </c>
      <c r="L1194">
        <v>1</v>
      </c>
      <c r="M1194">
        <v>6</v>
      </c>
      <c r="N1194">
        <v>1</v>
      </c>
      <c r="O1194">
        <v>6</v>
      </c>
      <c r="P1194">
        <v>7</v>
      </c>
      <c r="Q1194">
        <v>0</v>
      </c>
      <c r="R1194">
        <v>0</v>
      </c>
      <c r="S1194">
        <v>0</v>
      </c>
      <c r="T1194">
        <v>0</v>
      </c>
      <c r="U1194">
        <v>0</v>
      </c>
      <c r="V1194">
        <f>IF(SUM(ifood_data[[#This Row],[AcceptedCmp1]:[AcceptedCmp5]])&gt;0,1,0)</f>
        <v>0</v>
      </c>
      <c r="W1194">
        <v>0</v>
      </c>
      <c r="X1194">
        <v>3</v>
      </c>
      <c r="Y1194">
        <v>11</v>
      </c>
      <c r="Z1194">
        <v>0</v>
      </c>
      <c r="AA1194">
        <v>48</v>
      </c>
      <c r="AB1194">
        <v>2641</v>
      </c>
      <c r="AC1194" s="28">
        <f>ifood_data[[#This Row],[Customer_Days]]/365</f>
        <v>7.2356164383561641</v>
      </c>
      <c r="AD1194">
        <v>0</v>
      </c>
      <c r="AE1194">
        <v>0</v>
      </c>
      <c r="AF1194">
        <v>1</v>
      </c>
      <c r="AG1194">
        <v>0</v>
      </c>
      <c r="AH1194">
        <v>0</v>
      </c>
      <c r="AI1194">
        <v>0</v>
      </c>
      <c r="AJ1194">
        <v>0</v>
      </c>
      <c r="AK1194">
        <v>1</v>
      </c>
      <c r="AL1194">
        <v>0</v>
      </c>
      <c r="AM1194">
        <v>0</v>
      </c>
      <c r="AN1194">
        <v>375</v>
      </c>
      <c r="AO1194">
        <v>301</v>
      </c>
      <c r="AP1194">
        <f>ifood_data[[#This Row],[MntTotal]]-ifood_data[[#This Row],[MntRegularProds]]</f>
        <v>74</v>
      </c>
      <c r="AQ1194">
        <v>0</v>
      </c>
      <c r="AR1194">
        <f>IF(SUM(ifood_data[[#This Row],[Kidhome]:[Teenhome]])&gt;0,1,0)</f>
        <v>0</v>
      </c>
      <c r="AS1194" t="str">
        <f>IF(SUM(ifood_data[[#This Row],[Kidhome]:[Teenhome]])&gt;0,"Has Family","No Family")</f>
        <v>No Family</v>
      </c>
      <c r="AT1194" t="str">
        <f>IF(ifood_data[[#This Row],[marital_Married]]=1,"Married", (IF(ifood_data[[#This Row],[marital_Single]]=1,"Single",(IF(ifood_data[[#This Row],[marital_Divorced]]=1,"Divorced",(IF(ifood_data[[#This Row],[marital_Together]]=1,"Living Together",(IF(ifood_data[[#This Row],[marital_Widow]]=1,"Widow","Other")))))))))</f>
        <v>Single</v>
      </c>
      <c r="AU1194" t="str">
        <f>IF(ifood_data[[#This Row],[education_Basic]]=1,"High School",(IF(ifood_data[[#This Row],[education_Graduation]]=1,"Undergraduate Degree",(IF(SUM(AM1194,AL1194,AI1194)&gt;0,"Master's Degree or Higher","Other")))))</f>
        <v>Undergraduate Degree</v>
      </c>
      <c r="AV1194" t="str">
        <f>IF(ifood_data[[#All],[Income]]&gt;75000,"75K+",(IF(ifood_data[[#All],[Income]]&gt;50000,"50K-75K",(IF(ifood_data[[#All],[Income]]&gt;35000,"35K-50K","&lt;35K")))))</f>
        <v>&lt;35K</v>
      </c>
      <c r="AW1194" t="str">
        <f>IF(ifood_data[[#All],[Age]]&gt;60,"60+",(IF(ifood_data[[#All],[Age]]&gt;50,"50-60",(IF(ifood_data[[#All],[Age]]&gt;40,"40-50",(IF(ifood_data[[#All],[Age]]&gt;30,"30-40","&lt;30")))))))</f>
        <v>40-50</v>
      </c>
      <c r="AX1194">
        <f t="shared" si="72"/>
        <v>21</v>
      </c>
      <c r="AY1194">
        <f t="shared" si="73"/>
        <v>3.0000000000000004</v>
      </c>
      <c r="AZ1194">
        <f t="shared" si="74"/>
        <v>5</v>
      </c>
      <c r="BA1194">
        <f t="shared" si="75"/>
        <v>5</v>
      </c>
      <c r="BB1194">
        <f>SUM(ifood_data[[#This Row],[Recency Score]:[Monetary Score]])</f>
        <v>13</v>
      </c>
      <c r="BC1194">
        <f>(_xlfn.PERCENTRANK.INC(ifood_data[[#All],[RFM]],ifood_data[[#This Row],[RFM]],1))*10</f>
        <v>3</v>
      </c>
      <c r="BD1194" t="str">
        <f>VLOOKUP(ifood_data[[#This Row],[RFM Score]],'RFM Analysis'!$A$3:$B$14,2,FALSE)</f>
        <v>At Risk</v>
      </c>
      <c r="BE1194">
        <f>'Regression Models'!$B$101+'Regression Models'!$B$102*ifood_data[[#This Row],[Income]]+'Regression Models'!$B$103*ifood_data[[#This Row],[Age]]+'Regression Models'!$B$104*ifood_data[[#This Row],[Family]]</f>
        <v>374.58009310599039</v>
      </c>
      <c r="BF1194" t="str">
        <f>IF(ifood_data[[#This Row],[AcceptedCmpOverall]]=1,"Campaign Respondent","Non-respondent")</f>
        <v>Non-respondent</v>
      </c>
    </row>
    <row r="1195" spans="1:58" x14ac:dyDescent="0.35">
      <c r="A1195">
        <v>1457</v>
      </c>
      <c r="B1195">
        <v>45203</v>
      </c>
      <c r="C1195">
        <v>2</v>
      </c>
      <c r="D1195">
        <v>0</v>
      </c>
      <c r="E1195">
        <v>4</v>
      </c>
      <c r="F1195">
        <v>35</v>
      </c>
      <c r="G1195">
        <v>3</v>
      </c>
      <c r="H1195">
        <v>67</v>
      </c>
      <c r="I1195">
        <v>10</v>
      </c>
      <c r="J1195">
        <v>8</v>
      </c>
      <c r="K1195">
        <v>24</v>
      </c>
      <c r="L1195">
        <v>1</v>
      </c>
      <c r="M1195">
        <v>3</v>
      </c>
      <c r="N1195">
        <v>1</v>
      </c>
      <c r="O1195">
        <v>3</v>
      </c>
      <c r="P1195">
        <v>6</v>
      </c>
      <c r="Q1195">
        <v>0</v>
      </c>
      <c r="R1195">
        <v>0</v>
      </c>
      <c r="S1195">
        <v>0</v>
      </c>
      <c r="T1195">
        <v>0</v>
      </c>
      <c r="U1195">
        <v>0</v>
      </c>
      <c r="V1195">
        <f>IF(SUM(ifood_data[[#This Row],[AcceptedCmp1]:[AcceptedCmp5]])&gt;0,1,0)</f>
        <v>0</v>
      </c>
      <c r="W1195">
        <v>0</v>
      </c>
      <c r="X1195">
        <v>3</v>
      </c>
      <c r="Y1195">
        <v>11</v>
      </c>
      <c r="Z1195">
        <v>1</v>
      </c>
      <c r="AA1195">
        <v>38</v>
      </c>
      <c r="AB1195">
        <v>2257</v>
      </c>
      <c r="AC1195" s="28">
        <f>ifood_data[[#This Row],[Customer_Days]]/365</f>
        <v>6.183561643835616</v>
      </c>
      <c r="AD1195">
        <v>0</v>
      </c>
      <c r="AE1195">
        <v>0</v>
      </c>
      <c r="AF1195">
        <v>0</v>
      </c>
      <c r="AG1195">
        <v>1</v>
      </c>
      <c r="AH1195">
        <v>0</v>
      </c>
      <c r="AI1195">
        <v>0</v>
      </c>
      <c r="AJ1195">
        <v>0</v>
      </c>
      <c r="AK1195">
        <v>1</v>
      </c>
      <c r="AL1195">
        <v>0</v>
      </c>
      <c r="AM1195">
        <v>0</v>
      </c>
      <c r="AN1195">
        <v>123</v>
      </c>
      <c r="AO1195">
        <v>99</v>
      </c>
      <c r="AP1195">
        <f>ifood_data[[#This Row],[MntTotal]]-ifood_data[[#This Row],[MntRegularProds]]</f>
        <v>24</v>
      </c>
      <c r="AQ1195">
        <v>0</v>
      </c>
      <c r="AR1195">
        <f>IF(SUM(ifood_data[[#This Row],[Kidhome]:[Teenhome]])&gt;0,1,0)</f>
        <v>1</v>
      </c>
      <c r="AS1195" t="str">
        <f>IF(SUM(ifood_data[[#This Row],[Kidhome]:[Teenhome]])&gt;0,"Has Family","No Family")</f>
        <v>Has Family</v>
      </c>
      <c r="AT1195" t="str">
        <f>IF(ifood_data[[#This Row],[marital_Married]]=1,"Married", (IF(ifood_data[[#This Row],[marital_Single]]=1,"Single",(IF(ifood_data[[#This Row],[marital_Divorced]]=1,"Divorced",(IF(ifood_data[[#This Row],[marital_Together]]=1,"Living Together",(IF(ifood_data[[#This Row],[marital_Widow]]=1,"Widow","Other")))))))))</f>
        <v>Living Together</v>
      </c>
      <c r="AU1195" t="str">
        <f>IF(ifood_data[[#This Row],[education_Basic]]=1,"High School",(IF(ifood_data[[#This Row],[education_Graduation]]=1,"Undergraduate Degree",(IF(SUM(AM1195,AL1195,AI1195)&gt;0,"Master's Degree or Higher","Other")))))</f>
        <v>Undergraduate Degree</v>
      </c>
      <c r="AV1195" t="str">
        <f>IF(ifood_data[[#All],[Income]]&gt;75000,"75K+",(IF(ifood_data[[#All],[Income]]&gt;50000,"50K-75K",(IF(ifood_data[[#All],[Income]]&gt;35000,"35K-50K","&lt;35K")))))</f>
        <v>35K-50K</v>
      </c>
      <c r="AW1195" t="str">
        <f>IF(ifood_data[[#All],[Age]]&gt;60,"60+",(IF(ifood_data[[#All],[Age]]&gt;50,"50-60",(IF(ifood_data[[#All],[Age]]&gt;40,"40-50",(IF(ifood_data[[#All],[Age]]&gt;30,"30-40","&lt;30")))))))</f>
        <v>30-40</v>
      </c>
      <c r="AX1195">
        <f t="shared" si="72"/>
        <v>14</v>
      </c>
      <c r="AY1195">
        <f t="shared" si="73"/>
        <v>10</v>
      </c>
      <c r="AZ1195">
        <f t="shared" si="74"/>
        <v>2</v>
      </c>
      <c r="BA1195">
        <f t="shared" si="75"/>
        <v>3</v>
      </c>
      <c r="BB1195">
        <f>SUM(ifood_data[[#This Row],[Recency Score]:[Monetary Score]])</f>
        <v>15</v>
      </c>
      <c r="BC1195">
        <f>(_xlfn.PERCENTRANK.INC(ifood_data[[#All],[RFM]],ifood_data[[#This Row],[RFM]],1))*10</f>
        <v>4</v>
      </c>
      <c r="BD1195" t="str">
        <f>VLOOKUP(ifood_data[[#This Row],[RFM Score]],'RFM Analysis'!$A$3:$B$14,2,FALSE)</f>
        <v>At Risk</v>
      </c>
      <c r="BE1195">
        <f>'Regression Models'!$B$101+'Regression Models'!$B$102*ifood_data[[#This Row],[Income]]+'Regression Models'!$B$103*ifood_data[[#This Row],[Age]]+'Regression Models'!$B$104*ifood_data[[#This Row],[Family]]</f>
        <v>374.41991406319733</v>
      </c>
      <c r="BF1195" t="str">
        <f>IF(ifood_data[[#This Row],[AcceptedCmpOverall]]=1,"Campaign Respondent","Non-respondent")</f>
        <v>Non-respondent</v>
      </c>
    </row>
    <row r="1196" spans="1:58" x14ac:dyDescent="0.35">
      <c r="A1196">
        <v>1114</v>
      </c>
      <c r="B1196">
        <v>48070</v>
      </c>
      <c r="C1196">
        <v>0</v>
      </c>
      <c r="D1196">
        <v>1</v>
      </c>
      <c r="E1196">
        <v>33</v>
      </c>
      <c r="F1196">
        <v>373</v>
      </c>
      <c r="G1196">
        <v>14</v>
      </c>
      <c r="H1196">
        <v>83</v>
      </c>
      <c r="I1196">
        <v>6</v>
      </c>
      <c r="J1196">
        <v>9</v>
      </c>
      <c r="K1196">
        <v>19</v>
      </c>
      <c r="L1196">
        <v>3</v>
      </c>
      <c r="M1196">
        <v>8</v>
      </c>
      <c r="N1196">
        <v>2</v>
      </c>
      <c r="O1196">
        <v>6</v>
      </c>
      <c r="P1196">
        <v>7</v>
      </c>
      <c r="Q1196">
        <v>0</v>
      </c>
      <c r="R1196">
        <v>0</v>
      </c>
      <c r="S1196">
        <v>0</v>
      </c>
      <c r="T1196">
        <v>0</v>
      </c>
      <c r="U1196">
        <v>0</v>
      </c>
      <c r="V1196">
        <f>IF(SUM(ifood_data[[#This Row],[AcceptedCmp1]:[AcceptedCmp5]])&gt;0,1,0)</f>
        <v>0</v>
      </c>
      <c r="W1196">
        <v>1</v>
      </c>
      <c r="X1196">
        <v>3</v>
      </c>
      <c r="Y1196">
        <v>11</v>
      </c>
      <c r="Z1196">
        <v>0</v>
      </c>
      <c r="AA1196">
        <v>70</v>
      </c>
      <c r="AB1196">
        <v>2691</v>
      </c>
      <c r="AC1196" s="28">
        <f>ifood_data[[#This Row],[Customer_Days]]/365</f>
        <v>7.3726027397260276</v>
      </c>
      <c r="AD1196">
        <v>0</v>
      </c>
      <c r="AE1196">
        <v>0</v>
      </c>
      <c r="AF1196">
        <v>0</v>
      </c>
      <c r="AG1196">
        <v>1</v>
      </c>
      <c r="AH1196">
        <v>0</v>
      </c>
      <c r="AI1196">
        <v>0</v>
      </c>
      <c r="AJ1196">
        <v>0</v>
      </c>
      <c r="AK1196">
        <v>1</v>
      </c>
      <c r="AL1196">
        <v>0</v>
      </c>
      <c r="AM1196">
        <v>0</v>
      </c>
      <c r="AN1196">
        <v>485</v>
      </c>
      <c r="AO1196">
        <v>466</v>
      </c>
      <c r="AP1196">
        <f>ifood_data[[#This Row],[MntTotal]]-ifood_data[[#This Row],[MntRegularProds]]</f>
        <v>19</v>
      </c>
      <c r="AQ1196">
        <v>0</v>
      </c>
      <c r="AR1196">
        <f>IF(SUM(ifood_data[[#This Row],[Kidhome]:[Teenhome]])&gt;0,1,0)</f>
        <v>1</v>
      </c>
      <c r="AS1196" t="str">
        <f>IF(SUM(ifood_data[[#This Row],[Kidhome]:[Teenhome]])&gt;0,"Has Family","No Family")</f>
        <v>Has Family</v>
      </c>
      <c r="AT1196" t="str">
        <f>IF(ifood_data[[#This Row],[marital_Married]]=1,"Married", (IF(ifood_data[[#This Row],[marital_Single]]=1,"Single",(IF(ifood_data[[#This Row],[marital_Divorced]]=1,"Divorced",(IF(ifood_data[[#This Row],[marital_Together]]=1,"Living Together",(IF(ifood_data[[#This Row],[marital_Widow]]=1,"Widow","Other")))))))))</f>
        <v>Living Together</v>
      </c>
      <c r="AU1196" t="str">
        <f>IF(ifood_data[[#This Row],[education_Basic]]=1,"High School",(IF(ifood_data[[#This Row],[education_Graduation]]=1,"Undergraduate Degree",(IF(SUM(AM1196,AL1196,AI1196)&gt;0,"Master's Degree or Higher","Other")))))</f>
        <v>Undergraduate Degree</v>
      </c>
      <c r="AV1196" t="str">
        <f>IF(ifood_data[[#All],[Income]]&gt;75000,"75K+",(IF(ifood_data[[#All],[Income]]&gt;50000,"50K-75K",(IF(ifood_data[[#All],[Income]]&gt;35000,"35K-50K","&lt;35K")))))</f>
        <v>35K-50K</v>
      </c>
      <c r="AW1196" t="str">
        <f>IF(ifood_data[[#All],[Age]]&gt;60,"60+",(IF(ifood_data[[#All],[Age]]&gt;50,"50-60",(IF(ifood_data[[#All],[Age]]&gt;40,"40-50",(IF(ifood_data[[#All],[Age]]&gt;30,"30-40","&lt;30")))))))</f>
        <v>60+</v>
      </c>
      <c r="AX1196">
        <f t="shared" si="72"/>
        <v>26</v>
      </c>
      <c r="AY1196">
        <f t="shared" si="73"/>
        <v>7</v>
      </c>
      <c r="AZ1196">
        <f t="shared" si="74"/>
        <v>7</v>
      </c>
      <c r="BA1196">
        <f t="shared" si="75"/>
        <v>5</v>
      </c>
      <c r="BB1196">
        <f>SUM(ifood_data[[#This Row],[Recency Score]:[Monetary Score]])</f>
        <v>19</v>
      </c>
      <c r="BC1196">
        <f>(_xlfn.PERCENTRANK.INC(ifood_data[[#All],[RFM]],ifood_data[[#This Row],[RFM]],1))*10</f>
        <v>7</v>
      </c>
      <c r="BD1196" t="str">
        <f>VLOOKUP(ifood_data[[#This Row],[RFM Score]],'RFM Analysis'!$A$3:$B$14,2,FALSE)</f>
        <v>Loyal Customer</v>
      </c>
      <c r="BE1196">
        <f>'Regression Models'!$B$101+'Regression Models'!$B$102*ifood_data[[#This Row],[Income]]+'Regression Models'!$B$103*ifood_data[[#This Row],[Age]]+'Regression Models'!$B$104*ifood_data[[#This Row],[Family]]</f>
        <v>374.10846180713872</v>
      </c>
      <c r="BF1196" t="str">
        <f>IF(ifood_data[[#This Row],[AcceptedCmpOverall]]=1,"Campaign Respondent","Non-respondent")</f>
        <v>Non-respondent</v>
      </c>
    </row>
    <row r="1197" spans="1:58" x14ac:dyDescent="0.35">
      <c r="A1197">
        <v>1715</v>
      </c>
      <c r="B1197">
        <v>33051</v>
      </c>
      <c r="C1197">
        <v>0</v>
      </c>
      <c r="D1197">
        <v>0</v>
      </c>
      <c r="E1197">
        <v>15</v>
      </c>
      <c r="F1197">
        <v>100</v>
      </c>
      <c r="G1197">
        <v>71</v>
      </c>
      <c r="H1197">
        <v>243</v>
      </c>
      <c r="I1197">
        <v>108</v>
      </c>
      <c r="J1197">
        <v>94</v>
      </c>
      <c r="K1197">
        <v>219</v>
      </c>
      <c r="L1197">
        <v>3</v>
      </c>
      <c r="M1197">
        <v>9</v>
      </c>
      <c r="N1197">
        <v>1</v>
      </c>
      <c r="O1197">
        <v>8</v>
      </c>
      <c r="P1197">
        <v>9</v>
      </c>
      <c r="Q1197">
        <v>0</v>
      </c>
      <c r="R1197">
        <v>0</v>
      </c>
      <c r="S1197">
        <v>0</v>
      </c>
      <c r="T1197">
        <v>0</v>
      </c>
      <c r="U1197">
        <v>0</v>
      </c>
      <c r="V1197">
        <f>IF(SUM(ifood_data[[#This Row],[AcceptedCmp1]:[AcceptedCmp5]])&gt;0,1,0)</f>
        <v>0</v>
      </c>
      <c r="W1197">
        <v>0</v>
      </c>
      <c r="X1197">
        <v>3</v>
      </c>
      <c r="Y1197">
        <v>11</v>
      </c>
      <c r="Z1197">
        <v>1</v>
      </c>
      <c r="AA1197">
        <v>61</v>
      </c>
      <c r="AB1197">
        <v>2841</v>
      </c>
      <c r="AC1197" s="28">
        <f>ifood_data[[#This Row],[Customer_Days]]/365</f>
        <v>7.7835616438356166</v>
      </c>
      <c r="AD1197">
        <v>0</v>
      </c>
      <c r="AE1197">
        <v>0</v>
      </c>
      <c r="AF1197">
        <v>0</v>
      </c>
      <c r="AG1197">
        <v>0</v>
      </c>
      <c r="AH1197">
        <v>1</v>
      </c>
      <c r="AI1197">
        <v>0</v>
      </c>
      <c r="AJ1197">
        <v>0</v>
      </c>
      <c r="AK1197">
        <v>0</v>
      </c>
      <c r="AL1197">
        <v>1</v>
      </c>
      <c r="AM1197">
        <v>0</v>
      </c>
      <c r="AN1197">
        <v>616</v>
      </c>
      <c r="AO1197">
        <v>397</v>
      </c>
      <c r="AP1197">
        <f>ifood_data[[#This Row],[MntTotal]]-ifood_data[[#This Row],[MntRegularProds]]</f>
        <v>219</v>
      </c>
      <c r="AQ1197">
        <v>0</v>
      </c>
      <c r="AR1197">
        <f>IF(SUM(ifood_data[[#This Row],[Kidhome]:[Teenhome]])&gt;0,1,0)</f>
        <v>0</v>
      </c>
      <c r="AS1197" t="str">
        <f>IF(SUM(ifood_data[[#This Row],[Kidhome]:[Teenhome]])&gt;0,"Has Family","No Family")</f>
        <v>No Family</v>
      </c>
      <c r="AT1197" t="str">
        <f>IF(ifood_data[[#This Row],[marital_Married]]=1,"Married", (IF(ifood_data[[#This Row],[marital_Single]]=1,"Single",(IF(ifood_data[[#This Row],[marital_Divorced]]=1,"Divorced",(IF(ifood_data[[#This Row],[marital_Together]]=1,"Living Together",(IF(ifood_data[[#This Row],[marital_Widow]]=1,"Widow","Other")))))))))</f>
        <v>Widow</v>
      </c>
      <c r="AU1197" t="str">
        <f>IF(ifood_data[[#This Row],[education_Basic]]=1,"High School",(IF(ifood_data[[#This Row],[education_Graduation]]=1,"Undergraduate Degree",(IF(SUM(AM1197,AL1197,AI1197)&gt;0,"Master's Degree or Higher","Other")))))</f>
        <v>Master's Degree or Higher</v>
      </c>
      <c r="AV1197" t="str">
        <f>IF(ifood_data[[#All],[Income]]&gt;75000,"75K+",(IF(ifood_data[[#All],[Income]]&gt;50000,"50K-75K",(IF(ifood_data[[#All],[Income]]&gt;35000,"35K-50K","&lt;35K")))))</f>
        <v>&lt;35K</v>
      </c>
      <c r="AW1197" t="str">
        <f>IF(ifood_data[[#All],[Age]]&gt;60,"60+",(IF(ifood_data[[#All],[Age]]&gt;50,"50-60",(IF(ifood_data[[#All],[Age]]&gt;40,"40-50",(IF(ifood_data[[#All],[Age]]&gt;30,"30-40","&lt;30")))))))</f>
        <v>60+</v>
      </c>
      <c r="AX1197">
        <f t="shared" si="72"/>
        <v>30</v>
      </c>
      <c r="AY1197">
        <f t="shared" si="73"/>
        <v>9</v>
      </c>
      <c r="AZ1197">
        <f t="shared" si="74"/>
        <v>8</v>
      </c>
      <c r="BA1197">
        <f t="shared" si="75"/>
        <v>6</v>
      </c>
      <c r="BB1197">
        <f>SUM(ifood_data[[#This Row],[Recency Score]:[Monetary Score]])</f>
        <v>23</v>
      </c>
      <c r="BC1197">
        <f>(_xlfn.PERCENTRANK.INC(ifood_data[[#All],[RFM]],ifood_data[[#This Row],[RFM]],1))*10</f>
        <v>8</v>
      </c>
      <c r="BD1197" t="str">
        <f>VLOOKUP(ifood_data[[#This Row],[RFM Score]],'RFM Analysis'!$A$3:$B$14,2,FALSE)</f>
        <v>Loyal Customer</v>
      </c>
      <c r="BE1197">
        <f>'Regression Models'!$B$101+'Regression Models'!$B$102*ifood_data[[#This Row],[Income]]+'Regression Models'!$B$103*ifood_data[[#This Row],[Age]]+'Regression Models'!$B$104*ifood_data[[#This Row],[Family]]</f>
        <v>374.03113583698507</v>
      </c>
      <c r="BF1197" t="str">
        <f>IF(ifood_data[[#This Row],[AcceptedCmpOverall]]=1,"Campaign Respondent","Non-respondent")</f>
        <v>Non-respondent</v>
      </c>
    </row>
    <row r="1198" spans="1:58" x14ac:dyDescent="0.35">
      <c r="A1198">
        <v>1911</v>
      </c>
      <c r="B1198">
        <v>48150</v>
      </c>
      <c r="C1198">
        <v>0</v>
      </c>
      <c r="D1198">
        <v>1</v>
      </c>
      <c r="E1198">
        <v>24</v>
      </c>
      <c r="F1198">
        <v>173</v>
      </c>
      <c r="G1198">
        <v>2</v>
      </c>
      <c r="H1198">
        <v>39</v>
      </c>
      <c r="I1198">
        <v>3</v>
      </c>
      <c r="J1198">
        <v>2</v>
      </c>
      <c r="K1198">
        <v>47</v>
      </c>
      <c r="L1198">
        <v>3</v>
      </c>
      <c r="M1198">
        <v>5</v>
      </c>
      <c r="N1198">
        <v>1</v>
      </c>
      <c r="O1198">
        <v>4</v>
      </c>
      <c r="P1198">
        <v>7</v>
      </c>
      <c r="Q1198">
        <v>0</v>
      </c>
      <c r="R1198">
        <v>0</v>
      </c>
      <c r="S1198">
        <v>0</v>
      </c>
      <c r="T1198">
        <v>0</v>
      </c>
      <c r="U1198">
        <v>0</v>
      </c>
      <c r="V1198">
        <f>IF(SUM(ifood_data[[#This Row],[AcceptedCmp1]:[AcceptedCmp5]])&gt;0,1,0)</f>
        <v>0</v>
      </c>
      <c r="W1198">
        <v>0</v>
      </c>
      <c r="X1198">
        <v>3</v>
      </c>
      <c r="Y1198">
        <v>11</v>
      </c>
      <c r="Z1198">
        <v>0</v>
      </c>
      <c r="AA1198">
        <v>71</v>
      </c>
      <c r="AB1198">
        <v>2545</v>
      </c>
      <c r="AC1198" s="28">
        <f>ifood_data[[#This Row],[Customer_Days]]/365</f>
        <v>6.9726027397260273</v>
      </c>
      <c r="AD1198">
        <v>0</v>
      </c>
      <c r="AE1198">
        <v>1</v>
      </c>
      <c r="AF1198">
        <v>0</v>
      </c>
      <c r="AG1198">
        <v>0</v>
      </c>
      <c r="AH1198">
        <v>0</v>
      </c>
      <c r="AI1198">
        <v>0</v>
      </c>
      <c r="AJ1198">
        <v>0</v>
      </c>
      <c r="AK1198">
        <v>0</v>
      </c>
      <c r="AL1198">
        <v>1</v>
      </c>
      <c r="AM1198">
        <v>0</v>
      </c>
      <c r="AN1198">
        <v>219</v>
      </c>
      <c r="AO1198">
        <v>172</v>
      </c>
      <c r="AP1198">
        <f>ifood_data[[#This Row],[MntTotal]]-ifood_data[[#This Row],[MntRegularProds]]</f>
        <v>47</v>
      </c>
      <c r="AQ1198">
        <v>0</v>
      </c>
      <c r="AR1198">
        <f>IF(SUM(ifood_data[[#This Row],[Kidhome]:[Teenhome]])&gt;0,1,0)</f>
        <v>1</v>
      </c>
      <c r="AS1198" t="str">
        <f>IF(SUM(ifood_data[[#This Row],[Kidhome]:[Teenhome]])&gt;0,"Has Family","No Family")</f>
        <v>Has Family</v>
      </c>
      <c r="AT1198" t="str">
        <f>IF(ifood_data[[#This Row],[marital_Married]]=1,"Married", (IF(ifood_data[[#This Row],[marital_Single]]=1,"Single",(IF(ifood_data[[#This Row],[marital_Divorced]]=1,"Divorced",(IF(ifood_data[[#This Row],[marital_Together]]=1,"Living Together",(IF(ifood_data[[#This Row],[marital_Widow]]=1,"Widow","Other")))))))))</f>
        <v>Married</v>
      </c>
      <c r="AU1198" t="str">
        <f>IF(ifood_data[[#This Row],[education_Basic]]=1,"High School",(IF(ifood_data[[#This Row],[education_Graduation]]=1,"Undergraduate Degree",(IF(SUM(AM1198,AL1198,AI1198)&gt;0,"Master's Degree or Higher","Other")))))</f>
        <v>Master's Degree or Higher</v>
      </c>
      <c r="AV1198" t="str">
        <f>IF(ifood_data[[#All],[Income]]&gt;75000,"75K+",(IF(ifood_data[[#All],[Income]]&gt;50000,"50K-75K",(IF(ifood_data[[#All],[Income]]&gt;35000,"35K-50K","&lt;35K")))))</f>
        <v>35K-50K</v>
      </c>
      <c r="AW1198" t="str">
        <f>IF(ifood_data[[#All],[Age]]&gt;60,"60+",(IF(ifood_data[[#All],[Age]]&gt;50,"50-60",(IF(ifood_data[[#All],[Age]]&gt;40,"40-50",(IF(ifood_data[[#All],[Age]]&gt;30,"30-40","&lt;30")))))))</f>
        <v>60+</v>
      </c>
      <c r="AX1198">
        <f t="shared" si="72"/>
        <v>20</v>
      </c>
      <c r="AY1198">
        <f t="shared" si="73"/>
        <v>8</v>
      </c>
      <c r="AZ1198">
        <f t="shared" si="74"/>
        <v>4</v>
      </c>
      <c r="BA1198">
        <f t="shared" si="75"/>
        <v>4</v>
      </c>
      <c r="BB1198">
        <f>SUM(ifood_data[[#This Row],[Recency Score]:[Monetary Score]])</f>
        <v>16</v>
      </c>
      <c r="BC1198">
        <f>(_xlfn.PERCENTRANK.INC(ifood_data[[#All],[RFM]],ifood_data[[#This Row],[RFM]],1))*10</f>
        <v>5</v>
      </c>
      <c r="BD1198" t="str">
        <f>VLOOKUP(ifood_data[[#This Row],[RFM Score]],'RFM Analysis'!$A$3:$B$14,2,FALSE)</f>
        <v>Promising</v>
      </c>
      <c r="BE1198">
        <f>'Regression Models'!$B$101+'Regression Models'!$B$102*ifood_data[[#This Row],[Income]]+'Regression Models'!$B$103*ifood_data[[#This Row],[Age]]+'Regression Models'!$B$104*ifood_data[[#This Row],[Family]]</f>
        <v>373.90312417975633</v>
      </c>
      <c r="BF1198" t="str">
        <f>IF(ifood_data[[#This Row],[AcceptedCmpOverall]]=1,"Campaign Respondent","Non-respondent")</f>
        <v>Non-respondent</v>
      </c>
    </row>
    <row r="1199" spans="1:58" x14ac:dyDescent="0.35">
      <c r="A1199">
        <v>1123</v>
      </c>
      <c r="B1199">
        <v>45894</v>
      </c>
      <c r="C1199">
        <v>0</v>
      </c>
      <c r="D1199">
        <v>2</v>
      </c>
      <c r="E1199">
        <v>15</v>
      </c>
      <c r="F1199">
        <v>27</v>
      </c>
      <c r="G1199">
        <v>2</v>
      </c>
      <c r="H1199">
        <v>7</v>
      </c>
      <c r="I1199">
        <v>0</v>
      </c>
      <c r="J1199">
        <v>2</v>
      </c>
      <c r="K1199">
        <v>13</v>
      </c>
      <c r="L1199">
        <v>1</v>
      </c>
      <c r="M1199">
        <v>1</v>
      </c>
      <c r="N1199">
        <v>0</v>
      </c>
      <c r="O1199">
        <v>3</v>
      </c>
      <c r="P1199">
        <v>5</v>
      </c>
      <c r="Q1199">
        <v>0</v>
      </c>
      <c r="R1199">
        <v>0</v>
      </c>
      <c r="S1199">
        <v>0</v>
      </c>
      <c r="T1199">
        <v>0</v>
      </c>
      <c r="U1199">
        <v>0</v>
      </c>
      <c r="V1199">
        <f>IF(SUM(ifood_data[[#This Row],[AcceptedCmp1]:[AcceptedCmp5]])&gt;0,1,0)</f>
        <v>0</v>
      </c>
      <c r="W1199">
        <v>0</v>
      </c>
      <c r="X1199">
        <v>3</v>
      </c>
      <c r="Y1199">
        <v>11</v>
      </c>
      <c r="Z1199">
        <v>0</v>
      </c>
      <c r="AA1199">
        <v>46</v>
      </c>
      <c r="AB1199">
        <v>2281</v>
      </c>
      <c r="AC1199" s="28">
        <f>ifood_data[[#This Row],[Customer_Days]]/365</f>
        <v>6.2493150684931509</v>
      </c>
      <c r="AD1199">
        <v>0</v>
      </c>
      <c r="AE1199">
        <v>1</v>
      </c>
      <c r="AF1199">
        <v>0</v>
      </c>
      <c r="AG1199">
        <v>0</v>
      </c>
      <c r="AH1199">
        <v>0</v>
      </c>
      <c r="AI1199">
        <v>1</v>
      </c>
      <c r="AJ1199">
        <v>0</v>
      </c>
      <c r="AK1199">
        <v>0</v>
      </c>
      <c r="AL1199">
        <v>0</v>
      </c>
      <c r="AM1199">
        <v>0</v>
      </c>
      <c r="AN1199">
        <v>38</v>
      </c>
      <c r="AO1199">
        <v>25</v>
      </c>
      <c r="AP1199">
        <f>ifood_data[[#This Row],[MntTotal]]-ifood_data[[#This Row],[MntRegularProds]]</f>
        <v>13</v>
      </c>
      <c r="AQ1199">
        <v>0</v>
      </c>
      <c r="AR1199">
        <f>IF(SUM(ifood_data[[#This Row],[Kidhome]:[Teenhome]])&gt;0,1,0)</f>
        <v>1</v>
      </c>
      <c r="AS1199" t="str">
        <f>IF(SUM(ifood_data[[#This Row],[Kidhome]:[Teenhome]])&gt;0,"Has Family","No Family")</f>
        <v>Has Family</v>
      </c>
      <c r="AT1199" t="str">
        <f>IF(ifood_data[[#This Row],[marital_Married]]=1,"Married", (IF(ifood_data[[#This Row],[marital_Single]]=1,"Single",(IF(ifood_data[[#This Row],[marital_Divorced]]=1,"Divorced",(IF(ifood_data[[#This Row],[marital_Together]]=1,"Living Together",(IF(ifood_data[[#This Row],[marital_Widow]]=1,"Widow","Other")))))))))</f>
        <v>Married</v>
      </c>
      <c r="AU1199" t="str">
        <f>IF(ifood_data[[#This Row],[education_Basic]]=1,"High School",(IF(ifood_data[[#This Row],[education_Graduation]]=1,"Undergraduate Degree",(IF(SUM(AM1199,AL1199,AI1199)&gt;0,"Master's Degree or Higher","Other")))))</f>
        <v>Master's Degree or Higher</v>
      </c>
      <c r="AV1199" t="str">
        <f>IF(ifood_data[[#All],[Income]]&gt;75000,"75K+",(IF(ifood_data[[#All],[Income]]&gt;50000,"50K-75K",(IF(ifood_data[[#All],[Income]]&gt;35000,"35K-50K","&lt;35K")))))</f>
        <v>35K-50K</v>
      </c>
      <c r="AW1199" t="str">
        <f>IF(ifood_data[[#All],[Age]]&gt;60,"60+",(IF(ifood_data[[#All],[Age]]&gt;50,"50-60",(IF(ifood_data[[#All],[Age]]&gt;40,"40-50",(IF(ifood_data[[#All],[Age]]&gt;30,"30-40","&lt;30")))))))</f>
        <v>40-50</v>
      </c>
      <c r="AX1199">
        <f t="shared" si="72"/>
        <v>10</v>
      </c>
      <c r="AY1199">
        <f t="shared" si="73"/>
        <v>9</v>
      </c>
      <c r="AZ1199">
        <f t="shared" si="74"/>
        <v>0</v>
      </c>
      <c r="BA1199">
        <f t="shared" si="75"/>
        <v>1</v>
      </c>
      <c r="BB1199">
        <f>SUM(ifood_data[[#This Row],[Recency Score]:[Monetary Score]])</f>
        <v>10</v>
      </c>
      <c r="BC1199">
        <f>(_xlfn.PERCENTRANK.INC(ifood_data[[#All],[RFM]],ifood_data[[#This Row],[RFM]],1))*10</f>
        <v>2</v>
      </c>
      <c r="BD1199" t="str">
        <f>VLOOKUP(ifood_data[[#This Row],[RFM Score]],'RFM Analysis'!$A$3:$B$14,2,FALSE)</f>
        <v>At Risk</v>
      </c>
      <c r="BE1199">
        <f>'Regression Models'!$B$101+'Regression Models'!$B$102*ifood_data[[#This Row],[Income]]+'Regression Models'!$B$103*ifood_data[[#This Row],[Age]]+'Regression Models'!$B$104*ifood_data[[#This Row],[Family]]</f>
        <v>373.81704021947724</v>
      </c>
      <c r="BF1199" t="str">
        <f>IF(ifood_data[[#This Row],[AcceptedCmpOverall]]=1,"Campaign Respondent","Non-respondent")</f>
        <v>Non-respondent</v>
      </c>
    </row>
    <row r="1200" spans="1:58" x14ac:dyDescent="0.35">
      <c r="A1200">
        <v>1350</v>
      </c>
      <c r="B1200">
        <v>46053</v>
      </c>
      <c r="C1200">
        <v>1</v>
      </c>
      <c r="D1200">
        <v>0</v>
      </c>
      <c r="E1200">
        <v>46</v>
      </c>
      <c r="F1200">
        <v>56</v>
      </c>
      <c r="G1200">
        <v>10</v>
      </c>
      <c r="H1200">
        <v>92</v>
      </c>
      <c r="I1200">
        <v>19</v>
      </c>
      <c r="J1200">
        <v>7</v>
      </c>
      <c r="K1200">
        <v>25</v>
      </c>
      <c r="L1200">
        <v>3</v>
      </c>
      <c r="M1200">
        <v>3</v>
      </c>
      <c r="N1200">
        <v>2</v>
      </c>
      <c r="O1200">
        <v>4</v>
      </c>
      <c r="P1200">
        <v>5</v>
      </c>
      <c r="Q1200">
        <v>0</v>
      </c>
      <c r="R1200">
        <v>0</v>
      </c>
      <c r="S1200">
        <v>0</v>
      </c>
      <c r="T1200">
        <v>0</v>
      </c>
      <c r="U1200">
        <v>0</v>
      </c>
      <c r="V1200">
        <f>IF(SUM(ifood_data[[#This Row],[AcceptedCmp1]:[AcceptedCmp5]])&gt;0,1,0)</f>
        <v>0</v>
      </c>
      <c r="W1200">
        <v>0</v>
      </c>
      <c r="X1200">
        <v>3</v>
      </c>
      <c r="Y1200">
        <v>11</v>
      </c>
      <c r="Z1200">
        <v>0</v>
      </c>
      <c r="AA1200">
        <v>48</v>
      </c>
      <c r="AB1200">
        <v>2656</v>
      </c>
      <c r="AC1200" s="28">
        <f>ifood_data[[#This Row],[Customer_Days]]/365</f>
        <v>7.2767123287671236</v>
      </c>
      <c r="AD1200">
        <v>0</v>
      </c>
      <c r="AE1200">
        <v>0</v>
      </c>
      <c r="AF1200">
        <v>0</v>
      </c>
      <c r="AG1200">
        <v>1</v>
      </c>
      <c r="AH1200">
        <v>0</v>
      </c>
      <c r="AI1200">
        <v>0</v>
      </c>
      <c r="AJ1200">
        <v>0</v>
      </c>
      <c r="AK1200">
        <v>1</v>
      </c>
      <c r="AL1200">
        <v>0</v>
      </c>
      <c r="AM1200">
        <v>0</v>
      </c>
      <c r="AN1200">
        <v>184</v>
      </c>
      <c r="AO1200">
        <v>159</v>
      </c>
      <c r="AP1200">
        <f>ifood_data[[#This Row],[MntTotal]]-ifood_data[[#This Row],[MntRegularProds]]</f>
        <v>25</v>
      </c>
      <c r="AQ1200">
        <v>0</v>
      </c>
      <c r="AR1200">
        <f>IF(SUM(ifood_data[[#This Row],[Kidhome]:[Teenhome]])&gt;0,1,0)</f>
        <v>1</v>
      </c>
      <c r="AS1200" t="str">
        <f>IF(SUM(ifood_data[[#This Row],[Kidhome]:[Teenhome]])&gt;0,"Has Family","No Family")</f>
        <v>Has Family</v>
      </c>
      <c r="AT1200" t="str">
        <f>IF(ifood_data[[#This Row],[marital_Married]]=1,"Married", (IF(ifood_data[[#This Row],[marital_Single]]=1,"Single",(IF(ifood_data[[#This Row],[marital_Divorced]]=1,"Divorced",(IF(ifood_data[[#This Row],[marital_Together]]=1,"Living Together",(IF(ifood_data[[#This Row],[marital_Widow]]=1,"Widow","Other")))))))))</f>
        <v>Living Together</v>
      </c>
      <c r="AU1200" t="str">
        <f>IF(ifood_data[[#This Row],[education_Basic]]=1,"High School",(IF(ifood_data[[#This Row],[education_Graduation]]=1,"Undergraduate Degree",(IF(SUM(AM1200,AL1200,AI1200)&gt;0,"Master's Degree or Higher","Other")))))</f>
        <v>Undergraduate Degree</v>
      </c>
      <c r="AV1200" t="str">
        <f>IF(ifood_data[[#All],[Income]]&gt;75000,"75K+",(IF(ifood_data[[#All],[Income]]&gt;50000,"50K-75K",(IF(ifood_data[[#All],[Income]]&gt;35000,"35K-50K","&lt;35K")))))</f>
        <v>35K-50K</v>
      </c>
      <c r="AW1200" t="str">
        <f>IF(ifood_data[[#All],[Age]]&gt;60,"60+",(IF(ifood_data[[#All],[Age]]&gt;50,"50-60",(IF(ifood_data[[#All],[Age]]&gt;40,"40-50",(IF(ifood_data[[#All],[Age]]&gt;30,"30-40","&lt;30")))))))</f>
        <v>40-50</v>
      </c>
      <c r="AX1200">
        <f t="shared" si="72"/>
        <v>17</v>
      </c>
      <c r="AY1200">
        <f t="shared" si="73"/>
        <v>6</v>
      </c>
      <c r="AZ1200">
        <f t="shared" si="74"/>
        <v>3</v>
      </c>
      <c r="BA1200">
        <f t="shared" si="75"/>
        <v>4</v>
      </c>
      <c r="BB1200">
        <f>SUM(ifood_data[[#This Row],[Recency Score]:[Monetary Score]])</f>
        <v>13</v>
      </c>
      <c r="BC1200">
        <f>(_xlfn.PERCENTRANK.INC(ifood_data[[#All],[RFM]],ifood_data[[#This Row],[RFM]],1))*10</f>
        <v>3</v>
      </c>
      <c r="BD1200" t="str">
        <f>VLOOKUP(ifood_data[[#This Row],[RFM Score]],'RFM Analysis'!$A$3:$B$14,2,FALSE)</f>
        <v>At Risk</v>
      </c>
      <c r="BE1200">
        <f>'Regression Models'!$B$101+'Regression Models'!$B$102*ifood_data[[#This Row],[Income]]+'Regression Models'!$B$103*ifood_data[[#This Row],[Age]]+'Regression Models'!$B$104*ifood_data[[#This Row],[Family]]</f>
        <v>373.38597619656866</v>
      </c>
      <c r="BF1200" t="str">
        <f>IF(ifood_data[[#This Row],[AcceptedCmpOverall]]=1,"Campaign Respondent","Non-respondent")</f>
        <v>Non-respondent</v>
      </c>
    </row>
    <row r="1201" spans="1:58" x14ac:dyDescent="0.35">
      <c r="A1201">
        <v>1802</v>
      </c>
      <c r="B1201">
        <v>32632</v>
      </c>
      <c r="C1201">
        <v>0</v>
      </c>
      <c r="D1201">
        <v>0</v>
      </c>
      <c r="E1201">
        <v>32</v>
      </c>
      <c r="F1201">
        <v>63</v>
      </c>
      <c r="G1201">
        <v>151</v>
      </c>
      <c r="H1201">
        <v>137</v>
      </c>
      <c r="I1201">
        <v>153</v>
      </c>
      <c r="J1201">
        <v>19</v>
      </c>
      <c r="K1201">
        <v>53</v>
      </c>
      <c r="L1201">
        <v>2</v>
      </c>
      <c r="M1201">
        <v>4</v>
      </c>
      <c r="N1201">
        <v>4</v>
      </c>
      <c r="O1201">
        <v>8</v>
      </c>
      <c r="P1201">
        <v>5</v>
      </c>
      <c r="Q1201">
        <v>0</v>
      </c>
      <c r="R1201">
        <v>0</v>
      </c>
      <c r="S1201">
        <v>0</v>
      </c>
      <c r="T1201">
        <v>0</v>
      </c>
      <c r="U1201">
        <v>0</v>
      </c>
      <c r="V1201">
        <f>IF(SUM(ifood_data[[#This Row],[AcceptedCmp1]:[AcceptedCmp5]])&gt;0,1,0)</f>
        <v>0</v>
      </c>
      <c r="W1201">
        <v>0</v>
      </c>
      <c r="X1201">
        <v>3</v>
      </c>
      <c r="Y1201">
        <v>11</v>
      </c>
      <c r="Z1201">
        <v>0</v>
      </c>
      <c r="AA1201">
        <v>57</v>
      </c>
      <c r="AB1201">
        <v>2855</v>
      </c>
      <c r="AC1201" s="28">
        <f>ifood_data[[#This Row],[Customer_Days]]/365</f>
        <v>7.8219178082191778</v>
      </c>
      <c r="AD1201">
        <v>0</v>
      </c>
      <c r="AE1201">
        <v>1</v>
      </c>
      <c r="AF1201">
        <v>0</v>
      </c>
      <c r="AG1201">
        <v>0</v>
      </c>
      <c r="AH1201">
        <v>0</v>
      </c>
      <c r="AI1201">
        <v>1</v>
      </c>
      <c r="AJ1201">
        <v>0</v>
      </c>
      <c r="AK1201">
        <v>0</v>
      </c>
      <c r="AL1201">
        <v>0</v>
      </c>
      <c r="AM1201">
        <v>0</v>
      </c>
      <c r="AN1201">
        <v>523</v>
      </c>
      <c r="AO1201">
        <v>470</v>
      </c>
      <c r="AP1201">
        <f>ifood_data[[#This Row],[MntTotal]]-ifood_data[[#This Row],[MntRegularProds]]</f>
        <v>53</v>
      </c>
      <c r="AQ1201">
        <v>0</v>
      </c>
      <c r="AR1201">
        <f>IF(SUM(ifood_data[[#This Row],[Kidhome]:[Teenhome]])&gt;0,1,0)</f>
        <v>0</v>
      </c>
      <c r="AS1201" t="str">
        <f>IF(SUM(ifood_data[[#This Row],[Kidhome]:[Teenhome]])&gt;0,"Has Family","No Family")</f>
        <v>No Family</v>
      </c>
      <c r="AT1201" t="str">
        <f>IF(ifood_data[[#This Row],[marital_Married]]=1,"Married", (IF(ifood_data[[#This Row],[marital_Single]]=1,"Single",(IF(ifood_data[[#This Row],[marital_Divorced]]=1,"Divorced",(IF(ifood_data[[#This Row],[marital_Together]]=1,"Living Together",(IF(ifood_data[[#This Row],[marital_Widow]]=1,"Widow","Other")))))))))</f>
        <v>Married</v>
      </c>
      <c r="AU1201" t="str">
        <f>IF(ifood_data[[#This Row],[education_Basic]]=1,"High School",(IF(ifood_data[[#This Row],[education_Graduation]]=1,"Undergraduate Degree",(IF(SUM(AM1201,AL1201,AI1201)&gt;0,"Master's Degree or Higher","Other")))))</f>
        <v>Master's Degree or Higher</v>
      </c>
      <c r="AV1201" t="str">
        <f>IF(ifood_data[[#All],[Income]]&gt;75000,"75K+",(IF(ifood_data[[#All],[Income]]&gt;50000,"50K-75K",(IF(ifood_data[[#All],[Income]]&gt;35000,"35K-50K","&lt;35K")))))</f>
        <v>&lt;35K</v>
      </c>
      <c r="AW1201" t="str">
        <f>IF(ifood_data[[#All],[Age]]&gt;60,"60+",(IF(ifood_data[[#All],[Age]]&gt;50,"50-60",(IF(ifood_data[[#All],[Age]]&gt;40,"40-50",(IF(ifood_data[[#All],[Age]]&gt;30,"30-40","&lt;30")))))))</f>
        <v>50-60</v>
      </c>
      <c r="AX1201">
        <f t="shared" si="72"/>
        <v>23</v>
      </c>
      <c r="AY1201">
        <f t="shared" si="73"/>
        <v>7</v>
      </c>
      <c r="AZ1201">
        <f t="shared" si="74"/>
        <v>6</v>
      </c>
      <c r="BA1201">
        <f t="shared" si="75"/>
        <v>5</v>
      </c>
      <c r="BB1201">
        <f>SUM(ifood_data[[#This Row],[Recency Score]:[Monetary Score]])</f>
        <v>18</v>
      </c>
      <c r="BC1201">
        <f>(_xlfn.PERCENTRANK.INC(ifood_data[[#All],[RFM]],ifood_data[[#This Row],[RFM]],1))*10</f>
        <v>6</v>
      </c>
      <c r="BD1201" t="str">
        <f>VLOOKUP(ifood_data[[#This Row],[RFM Score]],'RFM Analysis'!$A$3:$B$14,2,FALSE)</f>
        <v>Promising</v>
      </c>
      <c r="BE1201">
        <f>'Regression Models'!$B$101+'Regression Models'!$B$102*ifood_data[[#This Row],[Income]]+'Regression Models'!$B$103*ifood_data[[#This Row],[Age]]+'Regression Models'!$B$104*ifood_data[[#This Row],[Family]]</f>
        <v>372.8339983002686</v>
      </c>
      <c r="BF1201" t="str">
        <f>IF(ifood_data[[#This Row],[AcceptedCmpOverall]]=1,"Campaign Respondent","Non-respondent")</f>
        <v>Non-respondent</v>
      </c>
    </row>
    <row r="1202" spans="1:58" x14ac:dyDescent="0.35">
      <c r="A1202">
        <v>586</v>
      </c>
      <c r="B1202">
        <v>45837</v>
      </c>
      <c r="C1202">
        <v>1</v>
      </c>
      <c r="D1202">
        <v>1</v>
      </c>
      <c r="E1202">
        <v>88</v>
      </c>
      <c r="F1202">
        <v>215</v>
      </c>
      <c r="G1202">
        <v>13</v>
      </c>
      <c r="H1202">
        <v>87</v>
      </c>
      <c r="I1202">
        <v>17</v>
      </c>
      <c r="J1202">
        <v>17</v>
      </c>
      <c r="K1202">
        <v>24</v>
      </c>
      <c r="L1202">
        <v>5</v>
      </c>
      <c r="M1202">
        <v>6</v>
      </c>
      <c r="N1202">
        <v>2</v>
      </c>
      <c r="O1202">
        <v>5</v>
      </c>
      <c r="P1202">
        <v>7</v>
      </c>
      <c r="Q1202">
        <v>0</v>
      </c>
      <c r="R1202">
        <v>0</v>
      </c>
      <c r="S1202">
        <v>0</v>
      </c>
      <c r="T1202">
        <v>0</v>
      </c>
      <c r="U1202">
        <v>0</v>
      </c>
      <c r="V1202">
        <f>IF(SUM(ifood_data[[#This Row],[AcceptedCmp1]:[AcceptedCmp5]])&gt;0,1,0)</f>
        <v>0</v>
      </c>
      <c r="W1202">
        <v>0</v>
      </c>
      <c r="X1202">
        <v>3</v>
      </c>
      <c r="Y1202">
        <v>11</v>
      </c>
      <c r="Z1202">
        <v>0</v>
      </c>
      <c r="AA1202">
        <v>46</v>
      </c>
      <c r="AB1202">
        <v>2497</v>
      </c>
      <c r="AC1202" s="28">
        <f>ifood_data[[#This Row],[Customer_Days]]/365</f>
        <v>6.8410958904109593</v>
      </c>
      <c r="AD1202">
        <v>0</v>
      </c>
      <c r="AE1202">
        <v>1</v>
      </c>
      <c r="AF1202">
        <v>0</v>
      </c>
      <c r="AG1202">
        <v>0</v>
      </c>
      <c r="AH1202">
        <v>0</v>
      </c>
      <c r="AI1202">
        <v>0</v>
      </c>
      <c r="AJ1202">
        <v>0</v>
      </c>
      <c r="AK1202">
        <v>1</v>
      </c>
      <c r="AL1202">
        <v>0</v>
      </c>
      <c r="AM1202">
        <v>0</v>
      </c>
      <c r="AN1202">
        <v>349</v>
      </c>
      <c r="AO1202">
        <v>325</v>
      </c>
      <c r="AP1202">
        <f>ifood_data[[#This Row],[MntTotal]]-ifood_data[[#This Row],[MntRegularProds]]</f>
        <v>24</v>
      </c>
      <c r="AQ1202">
        <v>0</v>
      </c>
      <c r="AR1202">
        <f>IF(SUM(ifood_data[[#This Row],[Kidhome]:[Teenhome]])&gt;0,1,0)</f>
        <v>1</v>
      </c>
      <c r="AS1202" t="str">
        <f>IF(SUM(ifood_data[[#This Row],[Kidhome]:[Teenhome]])&gt;0,"Has Family","No Family")</f>
        <v>Has Family</v>
      </c>
      <c r="AT1202" t="str">
        <f>IF(ifood_data[[#This Row],[marital_Married]]=1,"Married", (IF(ifood_data[[#This Row],[marital_Single]]=1,"Single",(IF(ifood_data[[#This Row],[marital_Divorced]]=1,"Divorced",(IF(ifood_data[[#This Row],[marital_Together]]=1,"Living Together",(IF(ifood_data[[#This Row],[marital_Widow]]=1,"Widow","Other")))))))))</f>
        <v>Married</v>
      </c>
      <c r="AU1202" t="str">
        <f>IF(ifood_data[[#This Row],[education_Basic]]=1,"High School",(IF(ifood_data[[#This Row],[education_Graduation]]=1,"Undergraduate Degree",(IF(SUM(AM1202,AL1202,AI1202)&gt;0,"Master's Degree or Higher","Other")))))</f>
        <v>Undergraduate Degree</v>
      </c>
      <c r="AV1202" t="str">
        <f>IF(ifood_data[[#All],[Income]]&gt;75000,"75K+",(IF(ifood_data[[#All],[Income]]&gt;50000,"50K-75K",(IF(ifood_data[[#All],[Income]]&gt;35000,"35K-50K","&lt;35K")))))</f>
        <v>35K-50K</v>
      </c>
      <c r="AW1202" t="str">
        <f>IF(ifood_data[[#All],[Age]]&gt;60,"60+",(IF(ifood_data[[#All],[Age]]&gt;50,"50-60",(IF(ifood_data[[#All],[Age]]&gt;40,"40-50",(IF(ifood_data[[#All],[Age]]&gt;30,"30-40","&lt;30")))))))</f>
        <v>40-50</v>
      </c>
      <c r="AX1202">
        <f t="shared" si="72"/>
        <v>25</v>
      </c>
      <c r="AY1202">
        <f t="shared" si="73"/>
        <v>1.9999999999999996</v>
      </c>
      <c r="AZ1202">
        <f t="shared" si="74"/>
        <v>7</v>
      </c>
      <c r="BA1202">
        <f t="shared" si="75"/>
        <v>5</v>
      </c>
      <c r="BB1202">
        <f>SUM(ifood_data[[#This Row],[Recency Score]:[Monetary Score]])</f>
        <v>14</v>
      </c>
      <c r="BC1202">
        <f>(_xlfn.PERCENTRANK.INC(ifood_data[[#All],[RFM]],ifood_data[[#This Row],[RFM]],1))*10</f>
        <v>4</v>
      </c>
      <c r="BD1202" t="str">
        <f>VLOOKUP(ifood_data[[#This Row],[RFM Score]],'RFM Analysis'!$A$3:$B$14,2,FALSE)</f>
        <v>At Risk</v>
      </c>
      <c r="BE1202">
        <f>'Regression Models'!$B$101+'Regression Models'!$B$102*ifood_data[[#This Row],[Income]]+'Regression Models'!$B$103*ifood_data[[#This Row],[Age]]+'Regression Models'!$B$104*ifood_data[[#This Row],[Family]]</f>
        <v>372.654880435275</v>
      </c>
      <c r="BF1202" t="str">
        <f>IF(ifood_data[[#This Row],[AcceptedCmpOverall]]=1,"Campaign Respondent","Non-respondent")</f>
        <v>Non-respondent</v>
      </c>
    </row>
    <row r="1203" spans="1:58" x14ac:dyDescent="0.35">
      <c r="A1203">
        <v>982</v>
      </c>
      <c r="B1203">
        <v>47703</v>
      </c>
      <c r="C1203">
        <v>0</v>
      </c>
      <c r="D1203">
        <v>1</v>
      </c>
      <c r="E1203">
        <v>95</v>
      </c>
      <c r="F1203">
        <v>359</v>
      </c>
      <c r="G1203">
        <v>0</v>
      </c>
      <c r="H1203">
        <v>134</v>
      </c>
      <c r="I1203">
        <v>13</v>
      </c>
      <c r="J1203">
        <v>26</v>
      </c>
      <c r="K1203">
        <v>123</v>
      </c>
      <c r="L1203">
        <v>4</v>
      </c>
      <c r="M1203">
        <v>6</v>
      </c>
      <c r="N1203">
        <v>3</v>
      </c>
      <c r="O1203">
        <v>8</v>
      </c>
      <c r="P1203">
        <v>5</v>
      </c>
      <c r="Q1203">
        <v>0</v>
      </c>
      <c r="R1203">
        <v>0</v>
      </c>
      <c r="S1203">
        <v>0</v>
      </c>
      <c r="T1203">
        <v>0</v>
      </c>
      <c r="U1203">
        <v>0</v>
      </c>
      <c r="V1203">
        <f>IF(SUM(ifood_data[[#This Row],[AcceptedCmp1]:[AcceptedCmp5]])&gt;0,1,0)</f>
        <v>0</v>
      </c>
      <c r="W1203">
        <v>0</v>
      </c>
      <c r="X1203">
        <v>3</v>
      </c>
      <c r="Y1203">
        <v>11</v>
      </c>
      <c r="Z1203">
        <v>0</v>
      </c>
      <c r="AA1203">
        <v>67</v>
      </c>
      <c r="AB1203">
        <v>2555</v>
      </c>
      <c r="AC1203" s="28">
        <f>ifood_data[[#This Row],[Customer_Days]]/365</f>
        <v>7</v>
      </c>
      <c r="AD1203">
        <v>0</v>
      </c>
      <c r="AE1203">
        <v>1</v>
      </c>
      <c r="AF1203">
        <v>0</v>
      </c>
      <c r="AG1203">
        <v>0</v>
      </c>
      <c r="AH1203">
        <v>0</v>
      </c>
      <c r="AI1203">
        <v>0</v>
      </c>
      <c r="AJ1203">
        <v>0</v>
      </c>
      <c r="AK1203">
        <v>1</v>
      </c>
      <c r="AL1203">
        <v>0</v>
      </c>
      <c r="AM1203">
        <v>0</v>
      </c>
      <c r="AN1203">
        <v>532</v>
      </c>
      <c r="AO1203">
        <v>409</v>
      </c>
      <c r="AP1203">
        <f>ifood_data[[#This Row],[MntTotal]]-ifood_data[[#This Row],[MntRegularProds]]</f>
        <v>123</v>
      </c>
      <c r="AQ1203">
        <v>0</v>
      </c>
      <c r="AR1203">
        <f>IF(SUM(ifood_data[[#This Row],[Kidhome]:[Teenhome]])&gt;0,1,0)</f>
        <v>1</v>
      </c>
      <c r="AS1203" t="str">
        <f>IF(SUM(ifood_data[[#This Row],[Kidhome]:[Teenhome]])&gt;0,"Has Family","No Family")</f>
        <v>Has Family</v>
      </c>
      <c r="AT1203" t="str">
        <f>IF(ifood_data[[#This Row],[marital_Married]]=1,"Married", (IF(ifood_data[[#This Row],[marital_Single]]=1,"Single",(IF(ifood_data[[#This Row],[marital_Divorced]]=1,"Divorced",(IF(ifood_data[[#This Row],[marital_Together]]=1,"Living Together",(IF(ifood_data[[#This Row],[marital_Widow]]=1,"Widow","Other")))))))))</f>
        <v>Married</v>
      </c>
      <c r="AU1203" t="str">
        <f>IF(ifood_data[[#This Row],[education_Basic]]=1,"High School",(IF(ifood_data[[#This Row],[education_Graduation]]=1,"Undergraduate Degree",(IF(SUM(AM1203,AL1203,AI1203)&gt;0,"Master's Degree or Higher","Other")))))</f>
        <v>Undergraduate Degree</v>
      </c>
      <c r="AV1203" t="str">
        <f>IF(ifood_data[[#All],[Income]]&gt;75000,"75K+",(IF(ifood_data[[#All],[Income]]&gt;50000,"50K-75K",(IF(ifood_data[[#All],[Income]]&gt;35000,"35K-50K","&lt;35K")))))</f>
        <v>35K-50K</v>
      </c>
      <c r="AW1203" t="str">
        <f>IF(ifood_data[[#All],[Age]]&gt;60,"60+",(IF(ifood_data[[#All],[Age]]&gt;50,"50-60",(IF(ifood_data[[#All],[Age]]&gt;40,"40-50",(IF(ifood_data[[#All],[Age]]&gt;30,"30-40","&lt;30")))))))</f>
        <v>60+</v>
      </c>
      <c r="AX1203">
        <f t="shared" si="72"/>
        <v>26</v>
      </c>
      <c r="AY1203">
        <f t="shared" si="73"/>
        <v>0.99999999999999978</v>
      </c>
      <c r="AZ1203">
        <f t="shared" si="74"/>
        <v>7</v>
      </c>
      <c r="BA1203">
        <f t="shared" si="75"/>
        <v>5</v>
      </c>
      <c r="BB1203">
        <f>SUM(ifood_data[[#This Row],[Recency Score]:[Monetary Score]])</f>
        <v>13</v>
      </c>
      <c r="BC1203">
        <f>(_xlfn.PERCENTRANK.INC(ifood_data[[#All],[RFM]],ifood_data[[#This Row],[RFM]],1))*10</f>
        <v>3</v>
      </c>
      <c r="BD1203" t="str">
        <f>VLOOKUP(ifood_data[[#This Row],[RFM Score]],'RFM Analysis'!$A$3:$B$14,2,FALSE)</f>
        <v>At Risk</v>
      </c>
      <c r="BE1203">
        <f>'Regression Models'!$B$101+'Regression Models'!$B$102*ifood_data[[#This Row],[Income]]+'Regression Models'!$B$103*ifood_data[[#This Row],[Age]]+'Regression Models'!$B$104*ifood_data[[#This Row],[Family]]</f>
        <v>372.13510113501059</v>
      </c>
      <c r="BF1203" t="str">
        <f>IF(ifood_data[[#This Row],[AcceptedCmpOverall]]=1,"Campaign Respondent","Non-respondent")</f>
        <v>Non-respondent</v>
      </c>
    </row>
    <row r="1204" spans="1:58" x14ac:dyDescent="0.35">
      <c r="A1204">
        <v>1958</v>
      </c>
      <c r="B1204">
        <v>47320</v>
      </c>
      <c r="C1204">
        <v>0</v>
      </c>
      <c r="D1204">
        <v>1</v>
      </c>
      <c r="E1204">
        <v>10</v>
      </c>
      <c r="F1204">
        <v>200</v>
      </c>
      <c r="G1204">
        <v>19</v>
      </c>
      <c r="H1204">
        <v>111</v>
      </c>
      <c r="I1204">
        <v>50</v>
      </c>
      <c r="J1204">
        <v>15</v>
      </c>
      <c r="K1204">
        <v>19</v>
      </c>
      <c r="L1204">
        <v>6</v>
      </c>
      <c r="M1204">
        <v>5</v>
      </c>
      <c r="N1204">
        <v>1</v>
      </c>
      <c r="O1204">
        <v>8</v>
      </c>
      <c r="P1204">
        <v>6</v>
      </c>
      <c r="Q1204">
        <v>0</v>
      </c>
      <c r="R1204">
        <v>0</v>
      </c>
      <c r="S1204">
        <v>0</v>
      </c>
      <c r="T1204">
        <v>0</v>
      </c>
      <c r="U1204">
        <v>0</v>
      </c>
      <c r="V1204">
        <f>IF(SUM(ifood_data[[#This Row],[AcceptedCmp1]:[AcceptedCmp5]])&gt;0,1,0)</f>
        <v>0</v>
      </c>
      <c r="W1204">
        <v>0</v>
      </c>
      <c r="X1204">
        <v>3</v>
      </c>
      <c r="Y1204">
        <v>11</v>
      </c>
      <c r="Z1204">
        <v>0</v>
      </c>
      <c r="AA1204">
        <v>63</v>
      </c>
      <c r="AB1204">
        <v>2491</v>
      </c>
      <c r="AC1204" s="28">
        <f>ifood_data[[#This Row],[Customer_Days]]/365</f>
        <v>6.8246575342465752</v>
      </c>
      <c r="AD1204">
        <v>0</v>
      </c>
      <c r="AE1204">
        <v>0</v>
      </c>
      <c r="AF1204">
        <v>0</v>
      </c>
      <c r="AG1204">
        <v>1</v>
      </c>
      <c r="AH1204">
        <v>0</v>
      </c>
      <c r="AI1204">
        <v>0</v>
      </c>
      <c r="AJ1204">
        <v>0</v>
      </c>
      <c r="AK1204">
        <v>1</v>
      </c>
      <c r="AL1204">
        <v>0</v>
      </c>
      <c r="AM1204">
        <v>0</v>
      </c>
      <c r="AN1204">
        <v>395</v>
      </c>
      <c r="AO1204">
        <v>376</v>
      </c>
      <c r="AP1204">
        <f>ifood_data[[#This Row],[MntTotal]]-ifood_data[[#This Row],[MntRegularProds]]</f>
        <v>19</v>
      </c>
      <c r="AQ1204">
        <v>0</v>
      </c>
      <c r="AR1204">
        <f>IF(SUM(ifood_data[[#This Row],[Kidhome]:[Teenhome]])&gt;0,1,0)</f>
        <v>1</v>
      </c>
      <c r="AS1204" t="str">
        <f>IF(SUM(ifood_data[[#This Row],[Kidhome]:[Teenhome]])&gt;0,"Has Family","No Family")</f>
        <v>Has Family</v>
      </c>
      <c r="AT1204" t="str">
        <f>IF(ifood_data[[#This Row],[marital_Married]]=1,"Married", (IF(ifood_data[[#This Row],[marital_Single]]=1,"Single",(IF(ifood_data[[#This Row],[marital_Divorced]]=1,"Divorced",(IF(ifood_data[[#This Row],[marital_Together]]=1,"Living Together",(IF(ifood_data[[#This Row],[marital_Widow]]=1,"Widow","Other")))))))))</f>
        <v>Living Together</v>
      </c>
      <c r="AU1204" t="str">
        <f>IF(ifood_data[[#This Row],[education_Basic]]=1,"High School",(IF(ifood_data[[#This Row],[education_Graduation]]=1,"Undergraduate Degree",(IF(SUM(AM1204,AL1204,AI1204)&gt;0,"Master's Degree or Higher","Other")))))</f>
        <v>Undergraduate Degree</v>
      </c>
      <c r="AV1204" t="str">
        <f>IF(ifood_data[[#All],[Income]]&gt;75000,"75K+",(IF(ifood_data[[#All],[Income]]&gt;50000,"50K-75K",(IF(ifood_data[[#All],[Income]]&gt;35000,"35K-50K","&lt;35K")))))</f>
        <v>35K-50K</v>
      </c>
      <c r="AW1204" t="str">
        <f>IF(ifood_data[[#All],[Age]]&gt;60,"60+",(IF(ifood_data[[#All],[Age]]&gt;50,"50-60",(IF(ifood_data[[#All],[Age]]&gt;40,"40-50",(IF(ifood_data[[#All],[Age]]&gt;30,"30-40","&lt;30")))))))</f>
        <v>60+</v>
      </c>
      <c r="AX1204">
        <f t="shared" si="72"/>
        <v>26</v>
      </c>
      <c r="AY1204">
        <f t="shared" si="73"/>
        <v>9</v>
      </c>
      <c r="AZ1204">
        <f t="shared" si="74"/>
        <v>7</v>
      </c>
      <c r="BA1204">
        <f t="shared" si="75"/>
        <v>5</v>
      </c>
      <c r="BB1204">
        <f>SUM(ifood_data[[#This Row],[Recency Score]:[Monetary Score]])</f>
        <v>21</v>
      </c>
      <c r="BC1204">
        <f>(_xlfn.PERCENTRANK.INC(ifood_data[[#All],[RFM]],ifood_data[[#This Row],[RFM]],1))*10</f>
        <v>8</v>
      </c>
      <c r="BD1204" t="str">
        <f>VLOOKUP(ifood_data[[#This Row],[RFM Score]],'RFM Analysis'!$A$3:$B$14,2,FALSE)</f>
        <v>Loyal Customer</v>
      </c>
      <c r="BE1204">
        <f>'Regression Models'!$B$101+'Regression Models'!$B$102*ifood_data[[#This Row],[Income]]+'Regression Models'!$B$103*ifood_data[[#This Row],[Age]]+'Regression Models'!$B$104*ifood_data[[#This Row],[Family]]</f>
        <v>371.67195925147439</v>
      </c>
      <c r="BF1204" t="str">
        <f>IF(ifood_data[[#This Row],[AcceptedCmpOverall]]=1,"Campaign Respondent","Non-respondent")</f>
        <v>Non-respondent</v>
      </c>
    </row>
    <row r="1205" spans="1:58" x14ac:dyDescent="0.35">
      <c r="A1205">
        <v>1653</v>
      </c>
      <c r="B1205">
        <v>46757</v>
      </c>
      <c r="C1205">
        <v>0</v>
      </c>
      <c r="D1205">
        <v>1</v>
      </c>
      <c r="E1205">
        <v>71</v>
      </c>
      <c r="F1205">
        <v>777</v>
      </c>
      <c r="G1205">
        <v>30</v>
      </c>
      <c r="H1205">
        <v>163</v>
      </c>
      <c r="I1205">
        <v>0</v>
      </c>
      <c r="J1205">
        <v>51</v>
      </c>
      <c r="K1205">
        <v>122</v>
      </c>
      <c r="L1205">
        <v>6</v>
      </c>
      <c r="M1205">
        <v>4</v>
      </c>
      <c r="N1205">
        <v>4</v>
      </c>
      <c r="O1205">
        <v>7</v>
      </c>
      <c r="P1205">
        <v>9</v>
      </c>
      <c r="Q1205">
        <v>0</v>
      </c>
      <c r="R1205">
        <v>0</v>
      </c>
      <c r="S1205">
        <v>0</v>
      </c>
      <c r="T1205">
        <v>0</v>
      </c>
      <c r="U1205">
        <v>0</v>
      </c>
      <c r="V1205">
        <f>IF(SUM(ifood_data[[#This Row],[AcceptedCmp1]:[AcceptedCmp5]])&gt;0,1,0)</f>
        <v>0</v>
      </c>
      <c r="W1205">
        <v>0</v>
      </c>
      <c r="X1205">
        <v>3</v>
      </c>
      <c r="Y1205">
        <v>11</v>
      </c>
      <c r="Z1205">
        <v>0</v>
      </c>
      <c r="AA1205">
        <v>57</v>
      </c>
      <c r="AB1205">
        <v>2749</v>
      </c>
      <c r="AC1205" s="28">
        <f>ifood_data[[#This Row],[Customer_Days]]/365</f>
        <v>7.5315068493150683</v>
      </c>
      <c r="AD1205">
        <v>0</v>
      </c>
      <c r="AE1205">
        <v>0</v>
      </c>
      <c r="AF1205">
        <v>1</v>
      </c>
      <c r="AG1205">
        <v>0</v>
      </c>
      <c r="AH1205">
        <v>0</v>
      </c>
      <c r="AI1205">
        <v>0</v>
      </c>
      <c r="AJ1205">
        <v>0</v>
      </c>
      <c r="AK1205">
        <v>0</v>
      </c>
      <c r="AL1205">
        <v>0</v>
      </c>
      <c r="AM1205">
        <v>1</v>
      </c>
      <c r="AN1205">
        <v>1021</v>
      </c>
      <c r="AO1205">
        <v>899</v>
      </c>
      <c r="AP1205">
        <f>ifood_data[[#This Row],[MntTotal]]-ifood_data[[#This Row],[MntRegularProds]]</f>
        <v>122</v>
      </c>
      <c r="AQ1205">
        <v>0</v>
      </c>
      <c r="AR1205">
        <f>IF(SUM(ifood_data[[#This Row],[Kidhome]:[Teenhome]])&gt;0,1,0)</f>
        <v>1</v>
      </c>
      <c r="AS1205" t="str">
        <f>IF(SUM(ifood_data[[#This Row],[Kidhome]:[Teenhome]])&gt;0,"Has Family","No Family")</f>
        <v>Has Family</v>
      </c>
      <c r="AT1205" t="str">
        <f>IF(ifood_data[[#This Row],[marital_Married]]=1,"Married", (IF(ifood_data[[#This Row],[marital_Single]]=1,"Single",(IF(ifood_data[[#This Row],[marital_Divorced]]=1,"Divorced",(IF(ifood_data[[#This Row],[marital_Together]]=1,"Living Together",(IF(ifood_data[[#This Row],[marital_Widow]]=1,"Widow","Other")))))))))</f>
        <v>Single</v>
      </c>
      <c r="AU1205" t="str">
        <f>IF(ifood_data[[#This Row],[education_Basic]]=1,"High School",(IF(ifood_data[[#This Row],[education_Graduation]]=1,"Undergraduate Degree",(IF(SUM(AM1205,AL1205,AI1205)&gt;0,"Master's Degree or Higher","Other")))))</f>
        <v>Master's Degree or Higher</v>
      </c>
      <c r="AV1205" t="str">
        <f>IF(ifood_data[[#All],[Income]]&gt;75000,"75K+",(IF(ifood_data[[#All],[Income]]&gt;50000,"50K-75K",(IF(ifood_data[[#All],[Income]]&gt;35000,"35K-50K","&lt;35K")))))</f>
        <v>35K-50K</v>
      </c>
      <c r="AW1205" t="str">
        <f>IF(ifood_data[[#All],[Age]]&gt;60,"60+",(IF(ifood_data[[#All],[Age]]&gt;50,"50-60",(IF(ifood_data[[#All],[Age]]&gt;40,"40-50",(IF(ifood_data[[#All],[Age]]&gt;30,"30-40","&lt;30")))))))</f>
        <v>50-60</v>
      </c>
      <c r="AX1205">
        <f t="shared" si="72"/>
        <v>30</v>
      </c>
      <c r="AY1205">
        <f t="shared" si="73"/>
        <v>3.0000000000000004</v>
      </c>
      <c r="AZ1205">
        <f t="shared" si="74"/>
        <v>8</v>
      </c>
      <c r="BA1205">
        <f t="shared" si="75"/>
        <v>7</v>
      </c>
      <c r="BB1205">
        <f>SUM(ifood_data[[#This Row],[Recency Score]:[Monetary Score]])</f>
        <v>18</v>
      </c>
      <c r="BC1205">
        <f>(_xlfn.PERCENTRANK.INC(ifood_data[[#All],[RFM]],ifood_data[[#This Row],[RFM]],1))*10</f>
        <v>6</v>
      </c>
      <c r="BD1205" t="str">
        <f>VLOOKUP(ifood_data[[#This Row],[RFM Score]],'RFM Analysis'!$A$3:$B$14,2,FALSE)</f>
        <v>Promising</v>
      </c>
      <c r="BE1205">
        <f>'Regression Models'!$B$101+'Regression Models'!$B$102*ifood_data[[#This Row],[Income]]+'Regression Models'!$B$103*ifood_data[[#This Row],[Age]]+'Regression Models'!$B$104*ifood_data[[#This Row],[Family]]</f>
        <v>371.21171725982504</v>
      </c>
      <c r="BF1205" t="str">
        <f>IF(ifood_data[[#This Row],[AcceptedCmpOverall]]=1,"Campaign Respondent","Non-respondent")</f>
        <v>Non-respondent</v>
      </c>
    </row>
    <row r="1206" spans="1:58" x14ac:dyDescent="0.35">
      <c r="A1206">
        <v>1434</v>
      </c>
      <c r="B1206">
        <v>30390</v>
      </c>
      <c r="C1206">
        <v>0</v>
      </c>
      <c r="D1206">
        <v>0</v>
      </c>
      <c r="E1206">
        <v>5</v>
      </c>
      <c r="F1206">
        <v>10</v>
      </c>
      <c r="G1206">
        <v>12</v>
      </c>
      <c r="H1206">
        <v>12</v>
      </c>
      <c r="I1206">
        <v>25</v>
      </c>
      <c r="J1206">
        <v>1</v>
      </c>
      <c r="K1206">
        <v>20</v>
      </c>
      <c r="L1206">
        <v>1</v>
      </c>
      <c r="M1206">
        <v>2</v>
      </c>
      <c r="N1206">
        <v>0</v>
      </c>
      <c r="O1206">
        <v>3</v>
      </c>
      <c r="P1206">
        <v>6</v>
      </c>
      <c r="Q1206">
        <v>0</v>
      </c>
      <c r="R1206">
        <v>0</v>
      </c>
      <c r="S1206">
        <v>0</v>
      </c>
      <c r="T1206">
        <v>0</v>
      </c>
      <c r="U1206">
        <v>0</v>
      </c>
      <c r="V1206">
        <f>IF(SUM(ifood_data[[#This Row],[AcceptedCmp1]:[AcceptedCmp5]])&gt;0,1,0)</f>
        <v>0</v>
      </c>
      <c r="W1206">
        <v>0</v>
      </c>
      <c r="X1206">
        <v>3</v>
      </c>
      <c r="Y1206">
        <v>11</v>
      </c>
      <c r="Z1206">
        <v>0</v>
      </c>
      <c r="AA1206">
        <v>33</v>
      </c>
      <c r="AB1206">
        <v>2459</v>
      </c>
      <c r="AC1206" s="28">
        <f>ifood_data[[#This Row],[Customer_Days]]/365</f>
        <v>6.7369863013698632</v>
      </c>
      <c r="AD1206">
        <v>0</v>
      </c>
      <c r="AE1206">
        <v>1</v>
      </c>
      <c r="AF1206">
        <v>0</v>
      </c>
      <c r="AG1206">
        <v>0</v>
      </c>
      <c r="AH1206">
        <v>0</v>
      </c>
      <c r="AI1206">
        <v>1</v>
      </c>
      <c r="AJ1206">
        <v>0</v>
      </c>
      <c r="AK1206">
        <v>0</v>
      </c>
      <c r="AL1206">
        <v>0</v>
      </c>
      <c r="AM1206">
        <v>0</v>
      </c>
      <c r="AN1206">
        <v>60</v>
      </c>
      <c r="AO1206">
        <v>40</v>
      </c>
      <c r="AP1206">
        <f>ifood_data[[#This Row],[MntTotal]]-ifood_data[[#This Row],[MntRegularProds]]</f>
        <v>20</v>
      </c>
      <c r="AQ1206">
        <v>0</v>
      </c>
      <c r="AR1206">
        <f>IF(SUM(ifood_data[[#This Row],[Kidhome]:[Teenhome]])&gt;0,1,0)</f>
        <v>0</v>
      </c>
      <c r="AS1206" t="str">
        <f>IF(SUM(ifood_data[[#This Row],[Kidhome]:[Teenhome]])&gt;0,"Has Family","No Family")</f>
        <v>No Family</v>
      </c>
      <c r="AT1206" t="str">
        <f>IF(ifood_data[[#This Row],[marital_Married]]=1,"Married", (IF(ifood_data[[#This Row],[marital_Single]]=1,"Single",(IF(ifood_data[[#This Row],[marital_Divorced]]=1,"Divorced",(IF(ifood_data[[#This Row],[marital_Together]]=1,"Living Together",(IF(ifood_data[[#This Row],[marital_Widow]]=1,"Widow","Other")))))))))</f>
        <v>Married</v>
      </c>
      <c r="AU1206" t="str">
        <f>IF(ifood_data[[#This Row],[education_Basic]]=1,"High School",(IF(ifood_data[[#This Row],[education_Graduation]]=1,"Undergraduate Degree",(IF(SUM(AM1206,AL1206,AI1206)&gt;0,"Master's Degree or Higher","Other")))))</f>
        <v>Master's Degree or Higher</v>
      </c>
      <c r="AV1206" t="str">
        <f>IF(ifood_data[[#All],[Income]]&gt;75000,"75K+",(IF(ifood_data[[#All],[Income]]&gt;50000,"50K-75K",(IF(ifood_data[[#All],[Income]]&gt;35000,"35K-50K","&lt;35K")))))</f>
        <v>&lt;35K</v>
      </c>
      <c r="AW1206" t="str">
        <f>IF(ifood_data[[#All],[Age]]&gt;60,"60+",(IF(ifood_data[[#All],[Age]]&gt;50,"50-60",(IF(ifood_data[[#All],[Age]]&gt;40,"40-50",(IF(ifood_data[[#All],[Age]]&gt;30,"30-40","&lt;30")))))))</f>
        <v>30-40</v>
      </c>
      <c r="AX1206">
        <f t="shared" si="72"/>
        <v>12</v>
      </c>
      <c r="AY1206">
        <f t="shared" si="73"/>
        <v>10</v>
      </c>
      <c r="AZ1206">
        <f t="shared" si="74"/>
        <v>1</v>
      </c>
      <c r="BA1206">
        <f t="shared" si="75"/>
        <v>2</v>
      </c>
      <c r="BB1206">
        <f>SUM(ifood_data[[#This Row],[Recency Score]:[Monetary Score]])</f>
        <v>13</v>
      </c>
      <c r="BC1206">
        <f>(_xlfn.PERCENTRANK.INC(ifood_data[[#All],[RFM]],ifood_data[[#This Row],[RFM]],1))*10</f>
        <v>3</v>
      </c>
      <c r="BD1206" t="str">
        <f>VLOOKUP(ifood_data[[#This Row],[RFM Score]],'RFM Analysis'!$A$3:$B$14,2,FALSE)</f>
        <v>At Risk</v>
      </c>
      <c r="BE1206">
        <f>'Regression Models'!$B$101+'Regression Models'!$B$102*ifood_data[[#This Row],[Income]]+'Regression Models'!$B$103*ifood_data[[#This Row],[Age]]+'Regression Models'!$B$104*ifood_data[[#This Row],[Family]]</f>
        <v>371.19691801510993</v>
      </c>
      <c r="BF1206" t="str">
        <f>IF(ifood_data[[#This Row],[AcceptedCmpOverall]]=1,"Campaign Respondent","Non-respondent")</f>
        <v>Non-respondent</v>
      </c>
    </row>
    <row r="1207" spans="1:58" x14ac:dyDescent="0.35">
      <c r="A1207">
        <v>1688</v>
      </c>
      <c r="B1207">
        <v>30093</v>
      </c>
      <c r="C1207">
        <v>0</v>
      </c>
      <c r="D1207">
        <v>0</v>
      </c>
      <c r="E1207">
        <v>19</v>
      </c>
      <c r="F1207">
        <v>2</v>
      </c>
      <c r="G1207">
        <v>6</v>
      </c>
      <c r="H1207">
        <v>28</v>
      </c>
      <c r="I1207">
        <v>13</v>
      </c>
      <c r="J1207">
        <v>4</v>
      </c>
      <c r="K1207">
        <v>16</v>
      </c>
      <c r="L1207">
        <v>1</v>
      </c>
      <c r="M1207">
        <v>2</v>
      </c>
      <c r="N1207">
        <v>0</v>
      </c>
      <c r="O1207">
        <v>3</v>
      </c>
      <c r="P1207">
        <v>7</v>
      </c>
      <c r="Q1207">
        <v>0</v>
      </c>
      <c r="R1207">
        <v>0</v>
      </c>
      <c r="S1207">
        <v>0</v>
      </c>
      <c r="T1207">
        <v>0</v>
      </c>
      <c r="U1207">
        <v>0</v>
      </c>
      <c r="V1207">
        <f>IF(SUM(ifood_data[[#This Row],[AcceptedCmp1]:[AcceptedCmp5]])&gt;0,1,0)</f>
        <v>0</v>
      </c>
      <c r="W1207">
        <v>0</v>
      </c>
      <c r="X1207">
        <v>3</v>
      </c>
      <c r="Y1207">
        <v>11</v>
      </c>
      <c r="Z1207">
        <v>0</v>
      </c>
      <c r="AA1207">
        <v>30</v>
      </c>
      <c r="AB1207">
        <v>2515</v>
      </c>
      <c r="AC1207" s="28">
        <f>ifood_data[[#This Row],[Customer_Days]]/365</f>
        <v>6.8904109589041092</v>
      </c>
      <c r="AD1207">
        <v>0</v>
      </c>
      <c r="AE1207">
        <v>1</v>
      </c>
      <c r="AF1207">
        <v>0</v>
      </c>
      <c r="AG1207">
        <v>0</v>
      </c>
      <c r="AH1207">
        <v>0</v>
      </c>
      <c r="AI1207">
        <v>0</v>
      </c>
      <c r="AJ1207">
        <v>0</v>
      </c>
      <c r="AK1207">
        <v>1</v>
      </c>
      <c r="AL1207">
        <v>0</v>
      </c>
      <c r="AM1207">
        <v>0</v>
      </c>
      <c r="AN1207">
        <v>53</v>
      </c>
      <c r="AO1207">
        <v>37</v>
      </c>
      <c r="AP1207">
        <f>ifood_data[[#This Row],[MntTotal]]-ifood_data[[#This Row],[MntRegularProds]]</f>
        <v>16</v>
      </c>
      <c r="AQ1207">
        <v>0</v>
      </c>
      <c r="AR1207">
        <f>IF(SUM(ifood_data[[#This Row],[Kidhome]:[Teenhome]])&gt;0,1,0)</f>
        <v>0</v>
      </c>
      <c r="AS1207" t="str">
        <f>IF(SUM(ifood_data[[#This Row],[Kidhome]:[Teenhome]])&gt;0,"Has Family","No Family")</f>
        <v>No Family</v>
      </c>
      <c r="AT1207" t="str">
        <f>IF(ifood_data[[#This Row],[marital_Married]]=1,"Married", (IF(ifood_data[[#This Row],[marital_Single]]=1,"Single",(IF(ifood_data[[#This Row],[marital_Divorced]]=1,"Divorced",(IF(ifood_data[[#This Row],[marital_Together]]=1,"Living Together",(IF(ifood_data[[#This Row],[marital_Widow]]=1,"Widow","Other")))))))))</f>
        <v>Married</v>
      </c>
      <c r="AU1207" t="str">
        <f>IF(ifood_data[[#This Row],[education_Basic]]=1,"High School",(IF(ifood_data[[#This Row],[education_Graduation]]=1,"Undergraduate Degree",(IF(SUM(AM1207,AL1207,AI1207)&gt;0,"Master's Degree or Higher","Other")))))</f>
        <v>Undergraduate Degree</v>
      </c>
      <c r="AV1207" t="str">
        <f>IF(ifood_data[[#All],[Income]]&gt;75000,"75K+",(IF(ifood_data[[#All],[Income]]&gt;50000,"50K-75K",(IF(ifood_data[[#All],[Income]]&gt;35000,"35K-50K","&lt;35K")))))</f>
        <v>&lt;35K</v>
      </c>
      <c r="AW1207" t="str">
        <f>IF(ifood_data[[#All],[Age]]&gt;60,"60+",(IF(ifood_data[[#All],[Age]]&gt;50,"50-60",(IF(ifood_data[[#All],[Age]]&gt;40,"40-50",(IF(ifood_data[[#All],[Age]]&gt;30,"30-40","&lt;30")))))))</f>
        <v>&lt;30</v>
      </c>
      <c r="AX1207">
        <f t="shared" si="72"/>
        <v>13</v>
      </c>
      <c r="AY1207">
        <f t="shared" si="73"/>
        <v>9</v>
      </c>
      <c r="AZ1207">
        <f t="shared" si="74"/>
        <v>1</v>
      </c>
      <c r="BA1207">
        <f t="shared" si="75"/>
        <v>2</v>
      </c>
      <c r="BB1207">
        <f>SUM(ifood_data[[#This Row],[Recency Score]:[Monetary Score]])</f>
        <v>12</v>
      </c>
      <c r="BC1207">
        <f>(_xlfn.PERCENTRANK.INC(ifood_data[[#All],[RFM]],ifood_data[[#This Row],[RFM]],1))*10</f>
        <v>3</v>
      </c>
      <c r="BD1207" t="str">
        <f>VLOOKUP(ifood_data[[#This Row],[RFM Score]],'RFM Analysis'!$A$3:$B$14,2,FALSE)</f>
        <v>At Risk</v>
      </c>
      <c r="BE1207">
        <f>'Regression Models'!$B$101+'Regression Models'!$B$102*ifood_data[[#This Row],[Income]]+'Regression Models'!$B$103*ifood_data[[#This Row],[Age]]+'Regression Models'!$B$104*ifood_data[[#This Row],[Family]]</f>
        <v>370.65077111305476</v>
      </c>
      <c r="BF1207" t="str">
        <f>IF(ifood_data[[#This Row],[AcceptedCmpOverall]]=1,"Campaign Respondent","Non-respondent")</f>
        <v>Non-respondent</v>
      </c>
    </row>
    <row r="1208" spans="1:58" x14ac:dyDescent="0.35">
      <c r="A1208">
        <v>1248</v>
      </c>
      <c r="B1208">
        <v>45503</v>
      </c>
      <c r="C1208">
        <v>1</v>
      </c>
      <c r="D1208">
        <v>0</v>
      </c>
      <c r="E1208">
        <v>54</v>
      </c>
      <c r="F1208">
        <v>97</v>
      </c>
      <c r="G1208">
        <v>4</v>
      </c>
      <c r="H1208">
        <v>44</v>
      </c>
      <c r="I1208">
        <v>6</v>
      </c>
      <c r="J1208">
        <v>1</v>
      </c>
      <c r="K1208">
        <v>18</v>
      </c>
      <c r="L1208">
        <v>1</v>
      </c>
      <c r="M1208">
        <v>3</v>
      </c>
      <c r="N1208">
        <v>1</v>
      </c>
      <c r="O1208">
        <v>4</v>
      </c>
      <c r="P1208">
        <v>5</v>
      </c>
      <c r="Q1208">
        <v>0</v>
      </c>
      <c r="R1208">
        <v>0</v>
      </c>
      <c r="S1208">
        <v>0</v>
      </c>
      <c r="T1208">
        <v>0</v>
      </c>
      <c r="U1208">
        <v>0</v>
      </c>
      <c r="V1208">
        <f>IF(SUM(ifood_data[[#This Row],[AcceptedCmp1]:[AcceptedCmp5]])&gt;0,1,0)</f>
        <v>0</v>
      </c>
      <c r="W1208">
        <v>0</v>
      </c>
      <c r="X1208">
        <v>3</v>
      </c>
      <c r="Y1208">
        <v>11</v>
      </c>
      <c r="Z1208">
        <v>0</v>
      </c>
      <c r="AA1208">
        <v>45</v>
      </c>
      <c r="AB1208">
        <v>2436</v>
      </c>
      <c r="AC1208" s="28">
        <f>ifood_data[[#This Row],[Customer_Days]]/365</f>
        <v>6.6739726027397257</v>
      </c>
      <c r="AD1208">
        <v>0</v>
      </c>
      <c r="AE1208">
        <v>1</v>
      </c>
      <c r="AF1208">
        <v>0</v>
      </c>
      <c r="AG1208">
        <v>0</v>
      </c>
      <c r="AH1208">
        <v>0</v>
      </c>
      <c r="AI1208">
        <v>0</v>
      </c>
      <c r="AJ1208">
        <v>0</v>
      </c>
      <c r="AK1208">
        <v>0</v>
      </c>
      <c r="AL1208">
        <v>0</v>
      </c>
      <c r="AM1208">
        <v>1</v>
      </c>
      <c r="AN1208">
        <v>152</v>
      </c>
      <c r="AO1208">
        <v>134</v>
      </c>
      <c r="AP1208">
        <f>ifood_data[[#This Row],[MntTotal]]-ifood_data[[#This Row],[MntRegularProds]]</f>
        <v>18</v>
      </c>
      <c r="AQ1208">
        <v>0</v>
      </c>
      <c r="AR1208">
        <f>IF(SUM(ifood_data[[#This Row],[Kidhome]:[Teenhome]])&gt;0,1,0)</f>
        <v>1</v>
      </c>
      <c r="AS1208" t="str">
        <f>IF(SUM(ifood_data[[#This Row],[Kidhome]:[Teenhome]])&gt;0,"Has Family","No Family")</f>
        <v>Has Family</v>
      </c>
      <c r="AT1208" t="str">
        <f>IF(ifood_data[[#This Row],[marital_Married]]=1,"Married", (IF(ifood_data[[#This Row],[marital_Single]]=1,"Single",(IF(ifood_data[[#This Row],[marital_Divorced]]=1,"Divorced",(IF(ifood_data[[#This Row],[marital_Together]]=1,"Living Together",(IF(ifood_data[[#This Row],[marital_Widow]]=1,"Widow","Other")))))))))</f>
        <v>Married</v>
      </c>
      <c r="AU1208" t="str">
        <f>IF(ifood_data[[#This Row],[education_Basic]]=1,"High School",(IF(ifood_data[[#This Row],[education_Graduation]]=1,"Undergraduate Degree",(IF(SUM(AM1208,AL1208,AI1208)&gt;0,"Master's Degree or Higher","Other")))))</f>
        <v>Master's Degree or Higher</v>
      </c>
      <c r="AV1208" t="str">
        <f>IF(ifood_data[[#All],[Income]]&gt;75000,"75K+",(IF(ifood_data[[#All],[Income]]&gt;50000,"50K-75K",(IF(ifood_data[[#All],[Income]]&gt;35000,"35K-50K","&lt;35K")))))</f>
        <v>35K-50K</v>
      </c>
      <c r="AW1208" t="str">
        <f>IF(ifood_data[[#All],[Age]]&gt;60,"60+",(IF(ifood_data[[#All],[Age]]&gt;50,"50-60",(IF(ifood_data[[#All],[Age]]&gt;40,"40-50",(IF(ifood_data[[#All],[Age]]&gt;30,"30-40","&lt;30")))))))</f>
        <v>40-50</v>
      </c>
      <c r="AX1208">
        <f t="shared" si="72"/>
        <v>14</v>
      </c>
      <c r="AY1208">
        <f t="shared" si="73"/>
        <v>5</v>
      </c>
      <c r="AZ1208">
        <f t="shared" si="74"/>
        <v>2</v>
      </c>
      <c r="BA1208">
        <f t="shared" si="75"/>
        <v>3</v>
      </c>
      <c r="BB1208">
        <f>SUM(ifood_data[[#This Row],[Recency Score]:[Monetary Score]])</f>
        <v>10</v>
      </c>
      <c r="BC1208">
        <f>(_xlfn.PERCENTRANK.INC(ifood_data[[#All],[RFM]],ifood_data[[#This Row],[RFM]],1))*10</f>
        <v>2</v>
      </c>
      <c r="BD1208" t="str">
        <f>VLOOKUP(ifood_data[[#This Row],[RFM Score]],'RFM Analysis'!$A$3:$B$14,2,FALSE)</f>
        <v>At Risk</v>
      </c>
      <c r="BE1208">
        <f>'Regression Models'!$B$101+'Regression Models'!$B$102*ifood_data[[#This Row],[Income]]+'Regression Models'!$B$103*ifood_data[[#This Row],[Age]]+'Regression Models'!$B$104*ifood_data[[#This Row],[Family]]</f>
        <v>367.68147095410711</v>
      </c>
      <c r="BF1208" t="str">
        <f>IF(ifood_data[[#This Row],[AcceptedCmpOverall]]=1,"Campaign Respondent","Non-respondent")</f>
        <v>Non-respondent</v>
      </c>
    </row>
    <row r="1209" spans="1:58" x14ac:dyDescent="0.35">
      <c r="A1209">
        <v>591</v>
      </c>
      <c r="B1209">
        <v>31632</v>
      </c>
      <c r="C1209">
        <v>0</v>
      </c>
      <c r="D1209">
        <v>0</v>
      </c>
      <c r="E1209">
        <v>92</v>
      </c>
      <c r="F1209">
        <v>17</v>
      </c>
      <c r="G1209">
        <v>8</v>
      </c>
      <c r="H1209">
        <v>12</v>
      </c>
      <c r="I1209">
        <v>11</v>
      </c>
      <c r="J1209">
        <v>15</v>
      </c>
      <c r="K1209">
        <v>32</v>
      </c>
      <c r="L1209">
        <v>1</v>
      </c>
      <c r="M1209">
        <v>2</v>
      </c>
      <c r="N1209">
        <v>1</v>
      </c>
      <c r="O1209">
        <v>2</v>
      </c>
      <c r="P1209">
        <v>7</v>
      </c>
      <c r="Q1209">
        <v>0</v>
      </c>
      <c r="R1209">
        <v>0</v>
      </c>
      <c r="S1209">
        <v>0</v>
      </c>
      <c r="T1209">
        <v>0</v>
      </c>
      <c r="U1209">
        <v>0</v>
      </c>
      <c r="V1209">
        <f>IF(SUM(ifood_data[[#This Row],[AcceptedCmp1]:[AcceptedCmp5]])&gt;0,1,0)</f>
        <v>0</v>
      </c>
      <c r="W1209">
        <v>0</v>
      </c>
      <c r="X1209">
        <v>3</v>
      </c>
      <c r="Y1209">
        <v>11</v>
      </c>
      <c r="Z1209">
        <v>0</v>
      </c>
      <c r="AA1209">
        <v>49</v>
      </c>
      <c r="AB1209">
        <v>2509</v>
      </c>
      <c r="AC1209" s="28">
        <f>ifood_data[[#This Row],[Customer_Days]]/365</f>
        <v>6.8739726027397259</v>
      </c>
      <c r="AD1209">
        <v>0</v>
      </c>
      <c r="AE1209">
        <v>0</v>
      </c>
      <c r="AF1209">
        <v>1</v>
      </c>
      <c r="AG1209">
        <v>0</v>
      </c>
      <c r="AH1209">
        <v>0</v>
      </c>
      <c r="AI1209">
        <v>0</v>
      </c>
      <c r="AJ1209">
        <v>0</v>
      </c>
      <c r="AK1209">
        <v>1</v>
      </c>
      <c r="AL1209">
        <v>0</v>
      </c>
      <c r="AM1209">
        <v>0</v>
      </c>
      <c r="AN1209">
        <v>63</v>
      </c>
      <c r="AO1209">
        <v>31</v>
      </c>
      <c r="AP1209">
        <f>ifood_data[[#This Row],[MntTotal]]-ifood_data[[#This Row],[MntRegularProds]]</f>
        <v>32</v>
      </c>
      <c r="AQ1209">
        <v>0</v>
      </c>
      <c r="AR1209">
        <f>IF(SUM(ifood_data[[#This Row],[Kidhome]:[Teenhome]])&gt;0,1,0)</f>
        <v>0</v>
      </c>
      <c r="AS1209" t="str">
        <f>IF(SUM(ifood_data[[#This Row],[Kidhome]:[Teenhome]])&gt;0,"Has Family","No Family")</f>
        <v>No Family</v>
      </c>
      <c r="AT1209" t="str">
        <f>IF(ifood_data[[#This Row],[marital_Married]]=1,"Married", (IF(ifood_data[[#This Row],[marital_Single]]=1,"Single",(IF(ifood_data[[#This Row],[marital_Divorced]]=1,"Divorced",(IF(ifood_data[[#This Row],[marital_Together]]=1,"Living Together",(IF(ifood_data[[#This Row],[marital_Widow]]=1,"Widow","Other")))))))))</f>
        <v>Single</v>
      </c>
      <c r="AU1209" t="str">
        <f>IF(ifood_data[[#This Row],[education_Basic]]=1,"High School",(IF(ifood_data[[#This Row],[education_Graduation]]=1,"Undergraduate Degree",(IF(SUM(AM1209,AL1209,AI1209)&gt;0,"Master's Degree or Higher","Other")))))</f>
        <v>Undergraduate Degree</v>
      </c>
      <c r="AV1209" t="str">
        <f>IF(ifood_data[[#All],[Income]]&gt;75000,"75K+",(IF(ifood_data[[#All],[Income]]&gt;50000,"50K-75K",(IF(ifood_data[[#All],[Income]]&gt;35000,"35K-50K","&lt;35K")))))</f>
        <v>&lt;35K</v>
      </c>
      <c r="AW1209" t="str">
        <f>IF(ifood_data[[#All],[Age]]&gt;60,"60+",(IF(ifood_data[[#All],[Age]]&gt;50,"50-60",(IF(ifood_data[[#All],[Age]]&gt;40,"40-50",(IF(ifood_data[[#All],[Age]]&gt;30,"30-40","&lt;30")))))))</f>
        <v>40-50</v>
      </c>
      <c r="AX1209">
        <f t="shared" si="72"/>
        <v>13</v>
      </c>
      <c r="AY1209">
        <f t="shared" si="73"/>
        <v>0.99999999999999978</v>
      </c>
      <c r="AZ1209">
        <f t="shared" si="74"/>
        <v>1</v>
      </c>
      <c r="BA1209">
        <f t="shared" si="75"/>
        <v>2</v>
      </c>
      <c r="BB1209">
        <f>SUM(ifood_data[[#This Row],[Recency Score]:[Monetary Score]])</f>
        <v>4</v>
      </c>
      <c r="BC1209">
        <f>(_xlfn.PERCENTRANK.INC(ifood_data[[#All],[RFM]],ifood_data[[#This Row],[RFM]],1))*10</f>
        <v>0</v>
      </c>
      <c r="BD1209" t="str">
        <f>VLOOKUP(ifood_data[[#This Row],[RFM Score]],'RFM Analysis'!$A$3:$B$14,2,FALSE)</f>
        <v>Lost</v>
      </c>
      <c r="BE1209">
        <f>'Regression Models'!$B$101+'Regression Models'!$B$102*ifood_data[[#This Row],[Income]]+'Regression Models'!$B$103*ifood_data[[#This Row],[Age]]+'Regression Models'!$B$104*ifood_data[[#This Row],[Family]]</f>
        <v>367.13674278752387</v>
      </c>
      <c r="BF1209" t="str">
        <f>IF(ifood_data[[#This Row],[AcceptedCmpOverall]]=1,"Campaign Respondent","Non-respondent")</f>
        <v>Non-respondent</v>
      </c>
    </row>
    <row r="1210" spans="1:58" x14ac:dyDescent="0.35">
      <c r="A1210">
        <v>928</v>
      </c>
      <c r="B1210">
        <v>46779</v>
      </c>
      <c r="C1210">
        <v>1</v>
      </c>
      <c r="D1210">
        <v>1</v>
      </c>
      <c r="E1210">
        <v>55</v>
      </c>
      <c r="F1210">
        <v>12</v>
      </c>
      <c r="G1210">
        <v>1</v>
      </c>
      <c r="H1210">
        <v>3</v>
      </c>
      <c r="I1210">
        <v>0</v>
      </c>
      <c r="J1210">
        <v>0</v>
      </c>
      <c r="K1210">
        <v>7</v>
      </c>
      <c r="L1210">
        <v>1</v>
      </c>
      <c r="M1210">
        <v>0</v>
      </c>
      <c r="N1210">
        <v>1</v>
      </c>
      <c r="O1210">
        <v>2</v>
      </c>
      <c r="P1210">
        <v>4</v>
      </c>
      <c r="Q1210">
        <v>0</v>
      </c>
      <c r="R1210">
        <v>0</v>
      </c>
      <c r="S1210">
        <v>0</v>
      </c>
      <c r="T1210">
        <v>0</v>
      </c>
      <c r="U1210">
        <v>0</v>
      </c>
      <c r="V1210">
        <f>IF(SUM(ifood_data[[#This Row],[AcceptedCmp1]:[AcceptedCmp5]])&gt;0,1,0)</f>
        <v>0</v>
      </c>
      <c r="W1210">
        <v>0</v>
      </c>
      <c r="X1210">
        <v>3</v>
      </c>
      <c r="Y1210">
        <v>11</v>
      </c>
      <c r="Z1210">
        <v>0</v>
      </c>
      <c r="AA1210">
        <v>60</v>
      </c>
      <c r="AB1210">
        <v>2511</v>
      </c>
      <c r="AC1210" s="28">
        <f>ifood_data[[#This Row],[Customer_Days]]/365</f>
        <v>6.8794520547945206</v>
      </c>
      <c r="AD1210">
        <v>0</v>
      </c>
      <c r="AE1210">
        <v>0</v>
      </c>
      <c r="AF1210">
        <v>0</v>
      </c>
      <c r="AG1210">
        <v>0</v>
      </c>
      <c r="AH1210">
        <v>1</v>
      </c>
      <c r="AI1210">
        <v>1</v>
      </c>
      <c r="AJ1210">
        <v>0</v>
      </c>
      <c r="AK1210">
        <v>0</v>
      </c>
      <c r="AL1210">
        <v>0</v>
      </c>
      <c r="AM1210">
        <v>0</v>
      </c>
      <c r="AN1210">
        <v>16</v>
      </c>
      <c r="AO1210">
        <v>9</v>
      </c>
      <c r="AP1210">
        <f>ifood_data[[#This Row],[MntTotal]]-ifood_data[[#This Row],[MntRegularProds]]</f>
        <v>7</v>
      </c>
      <c r="AQ1210">
        <v>0</v>
      </c>
      <c r="AR1210">
        <f>IF(SUM(ifood_data[[#This Row],[Kidhome]:[Teenhome]])&gt;0,1,0)</f>
        <v>1</v>
      </c>
      <c r="AS1210" t="str">
        <f>IF(SUM(ifood_data[[#This Row],[Kidhome]:[Teenhome]])&gt;0,"Has Family","No Family")</f>
        <v>Has Family</v>
      </c>
      <c r="AT1210" t="str">
        <f>IF(ifood_data[[#This Row],[marital_Married]]=1,"Married", (IF(ifood_data[[#This Row],[marital_Single]]=1,"Single",(IF(ifood_data[[#This Row],[marital_Divorced]]=1,"Divorced",(IF(ifood_data[[#This Row],[marital_Together]]=1,"Living Together",(IF(ifood_data[[#This Row],[marital_Widow]]=1,"Widow","Other")))))))))</f>
        <v>Widow</v>
      </c>
      <c r="AU1210" t="str">
        <f>IF(ifood_data[[#This Row],[education_Basic]]=1,"High School",(IF(ifood_data[[#This Row],[education_Graduation]]=1,"Undergraduate Degree",(IF(SUM(AM1210,AL1210,AI1210)&gt;0,"Master's Degree or Higher","Other")))))</f>
        <v>Master's Degree or Higher</v>
      </c>
      <c r="AV1210" t="str">
        <f>IF(ifood_data[[#All],[Income]]&gt;75000,"75K+",(IF(ifood_data[[#All],[Income]]&gt;50000,"50K-75K",(IF(ifood_data[[#All],[Income]]&gt;35000,"35K-50K","&lt;35K")))))</f>
        <v>35K-50K</v>
      </c>
      <c r="AW1210" t="str">
        <f>IF(ifood_data[[#All],[Age]]&gt;60,"60+",(IF(ifood_data[[#All],[Age]]&gt;50,"50-60",(IF(ifood_data[[#All],[Age]]&gt;40,"40-50",(IF(ifood_data[[#All],[Age]]&gt;30,"30-40","&lt;30")))))))</f>
        <v>50-60</v>
      </c>
      <c r="AX1210">
        <f t="shared" si="72"/>
        <v>8</v>
      </c>
      <c r="AY1210">
        <f t="shared" si="73"/>
        <v>5</v>
      </c>
      <c r="AZ1210">
        <f t="shared" si="74"/>
        <v>0</v>
      </c>
      <c r="BA1210">
        <f t="shared" si="75"/>
        <v>0</v>
      </c>
      <c r="BB1210">
        <f>SUM(ifood_data[[#This Row],[Recency Score]:[Monetary Score]])</f>
        <v>5</v>
      </c>
      <c r="BC1210">
        <f>(_xlfn.PERCENTRANK.INC(ifood_data[[#All],[RFM]],ifood_data[[#This Row],[RFM]],1))*10</f>
        <v>0</v>
      </c>
      <c r="BD1210" t="str">
        <f>VLOOKUP(ifood_data[[#This Row],[RFM Score]],'RFM Analysis'!$A$3:$B$14,2,FALSE)</f>
        <v>Lost</v>
      </c>
      <c r="BE1210">
        <f>'Regression Models'!$B$101+'Regression Models'!$B$102*ifood_data[[#This Row],[Income]]+'Regression Models'!$B$103*ifood_data[[#This Row],[Age]]+'Regression Models'!$B$104*ifood_data[[#This Row],[Family]]</f>
        <v>366.15095292230797</v>
      </c>
      <c r="BF1210" t="str">
        <f>IF(ifood_data[[#This Row],[AcceptedCmpOverall]]=1,"Campaign Respondent","Non-respondent")</f>
        <v>Non-respondent</v>
      </c>
    </row>
    <row r="1211" spans="1:58" x14ac:dyDescent="0.35">
      <c r="A1211">
        <v>1864</v>
      </c>
      <c r="B1211">
        <v>45057</v>
      </c>
      <c r="C1211">
        <v>1</v>
      </c>
      <c r="D1211">
        <v>0</v>
      </c>
      <c r="E1211">
        <v>80</v>
      </c>
      <c r="F1211">
        <v>37</v>
      </c>
      <c r="G1211">
        <v>0</v>
      </c>
      <c r="H1211">
        <v>7</v>
      </c>
      <c r="I1211">
        <v>3</v>
      </c>
      <c r="J1211">
        <v>0</v>
      </c>
      <c r="K1211">
        <v>3</v>
      </c>
      <c r="L1211">
        <v>1</v>
      </c>
      <c r="M1211">
        <v>2</v>
      </c>
      <c r="N1211">
        <v>0</v>
      </c>
      <c r="O1211">
        <v>3</v>
      </c>
      <c r="P1211">
        <v>5</v>
      </c>
      <c r="Q1211">
        <v>0</v>
      </c>
      <c r="R1211">
        <v>0</v>
      </c>
      <c r="S1211">
        <v>0</v>
      </c>
      <c r="T1211">
        <v>0</v>
      </c>
      <c r="U1211">
        <v>0</v>
      </c>
      <c r="V1211">
        <f>IF(SUM(ifood_data[[#This Row],[AcceptedCmp1]:[AcceptedCmp5]])&gt;0,1,0)</f>
        <v>0</v>
      </c>
      <c r="W1211">
        <v>0</v>
      </c>
      <c r="X1211">
        <v>3</v>
      </c>
      <c r="Y1211">
        <v>11</v>
      </c>
      <c r="Z1211">
        <v>0</v>
      </c>
      <c r="AA1211">
        <v>41</v>
      </c>
      <c r="AB1211">
        <v>2369</v>
      </c>
      <c r="AC1211" s="28">
        <f>ifood_data[[#This Row],[Customer_Days]]/365</f>
        <v>6.4904109589041097</v>
      </c>
      <c r="AD1211">
        <v>0</v>
      </c>
      <c r="AE1211">
        <v>1</v>
      </c>
      <c r="AF1211">
        <v>0</v>
      </c>
      <c r="AG1211">
        <v>0</v>
      </c>
      <c r="AH1211">
        <v>0</v>
      </c>
      <c r="AI1211">
        <v>0</v>
      </c>
      <c r="AJ1211">
        <v>0</v>
      </c>
      <c r="AK1211">
        <v>0</v>
      </c>
      <c r="AL1211">
        <v>1</v>
      </c>
      <c r="AM1211">
        <v>0</v>
      </c>
      <c r="AN1211">
        <v>47</v>
      </c>
      <c r="AO1211">
        <v>44</v>
      </c>
      <c r="AP1211">
        <f>ifood_data[[#This Row],[MntTotal]]-ifood_data[[#This Row],[MntRegularProds]]</f>
        <v>3</v>
      </c>
      <c r="AQ1211">
        <v>0</v>
      </c>
      <c r="AR1211">
        <f>IF(SUM(ifood_data[[#This Row],[Kidhome]:[Teenhome]])&gt;0,1,0)</f>
        <v>1</v>
      </c>
      <c r="AS1211" t="str">
        <f>IF(SUM(ifood_data[[#This Row],[Kidhome]:[Teenhome]])&gt;0,"Has Family","No Family")</f>
        <v>Has Family</v>
      </c>
      <c r="AT1211" t="str">
        <f>IF(ifood_data[[#This Row],[marital_Married]]=1,"Married", (IF(ifood_data[[#This Row],[marital_Single]]=1,"Single",(IF(ifood_data[[#This Row],[marital_Divorced]]=1,"Divorced",(IF(ifood_data[[#This Row],[marital_Together]]=1,"Living Together",(IF(ifood_data[[#This Row],[marital_Widow]]=1,"Widow","Other")))))))))</f>
        <v>Married</v>
      </c>
      <c r="AU1211" t="str">
        <f>IF(ifood_data[[#This Row],[education_Basic]]=1,"High School",(IF(ifood_data[[#This Row],[education_Graduation]]=1,"Undergraduate Degree",(IF(SUM(AM1211,AL1211,AI1211)&gt;0,"Master's Degree or Higher","Other")))))</f>
        <v>Master's Degree or Higher</v>
      </c>
      <c r="AV1211" t="str">
        <f>IF(ifood_data[[#All],[Income]]&gt;75000,"75K+",(IF(ifood_data[[#All],[Income]]&gt;50000,"50K-75K",(IF(ifood_data[[#All],[Income]]&gt;35000,"35K-50K","&lt;35K")))))</f>
        <v>35K-50K</v>
      </c>
      <c r="AW1211" t="str">
        <f>IF(ifood_data[[#All],[Age]]&gt;60,"60+",(IF(ifood_data[[#All],[Age]]&gt;50,"50-60",(IF(ifood_data[[#All],[Age]]&gt;40,"40-50",(IF(ifood_data[[#All],[Age]]&gt;30,"30-40","&lt;30")))))))</f>
        <v>40-50</v>
      </c>
      <c r="AX1211">
        <f t="shared" si="72"/>
        <v>11</v>
      </c>
      <c r="AY1211">
        <f t="shared" si="73"/>
        <v>1.9999999999999996</v>
      </c>
      <c r="AZ1211">
        <f t="shared" si="74"/>
        <v>0</v>
      </c>
      <c r="BA1211">
        <f t="shared" si="75"/>
        <v>2</v>
      </c>
      <c r="BB1211">
        <f>SUM(ifood_data[[#This Row],[Recency Score]:[Monetary Score]])</f>
        <v>3.9999999999999996</v>
      </c>
      <c r="BC1211">
        <f>(_xlfn.PERCENTRANK.INC(ifood_data[[#All],[RFM]],ifood_data[[#This Row],[RFM]],1))*10</f>
        <v>0</v>
      </c>
      <c r="BD1211" t="str">
        <f>VLOOKUP(ifood_data[[#This Row],[RFM Score]],'RFM Analysis'!$A$3:$B$14,2,FALSE)</f>
        <v>Lost</v>
      </c>
      <c r="BE1211">
        <f>'Regression Models'!$B$101+'Regression Models'!$B$102*ifood_data[[#This Row],[Income]]+'Regression Models'!$B$103*ifood_data[[#This Row],[Age]]+'Regression Models'!$B$104*ifood_data[[#This Row],[Family]]</f>
        <v>365.93383667750527</v>
      </c>
      <c r="BF1211" t="str">
        <f>IF(ifood_data[[#This Row],[AcceptedCmpOverall]]=1,"Campaign Respondent","Non-respondent")</f>
        <v>Non-respondent</v>
      </c>
    </row>
    <row r="1212" spans="1:58" x14ac:dyDescent="0.35">
      <c r="A1212">
        <v>1299</v>
      </c>
      <c r="B1212">
        <v>44964</v>
      </c>
      <c r="C1212">
        <v>1</v>
      </c>
      <c r="D1212">
        <v>1</v>
      </c>
      <c r="E1212">
        <v>35</v>
      </c>
      <c r="F1212">
        <v>19</v>
      </c>
      <c r="G1212">
        <v>1</v>
      </c>
      <c r="H1212">
        <v>17</v>
      </c>
      <c r="I1212">
        <v>2</v>
      </c>
      <c r="J1212">
        <v>0</v>
      </c>
      <c r="K1212">
        <v>2</v>
      </c>
      <c r="L1212">
        <v>1</v>
      </c>
      <c r="M1212">
        <v>1</v>
      </c>
      <c r="N1212">
        <v>0</v>
      </c>
      <c r="O1212">
        <v>3</v>
      </c>
      <c r="P1212">
        <v>8</v>
      </c>
      <c r="Q1212">
        <v>0</v>
      </c>
      <c r="R1212">
        <v>0</v>
      </c>
      <c r="S1212">
        <v>0</v>
      </c>
      <c r="T1212">
        <v>0</v>
      </c>
      <c r="U1212">
        <v>0</v>
      </c>
      <c r="V1212">
        <f>IF(SUM(ifood_data[[#This Row],[AcceptedCmp1]:[AcceptedCmp5]])&gt;0,1,0)</f>
        <v>0</v>
      </c>
      <c r="W1212">
        <v>0</v>
      </c>
      <c r="X1212">
        <v>3</v>
      </c>
      <c r="Y1212">
        <v>11</v>
      </c>
      <c r="Z1212">
        <v>0</v>
      </c>
      <c r="AA1212">
        <v>40</v>
      </c>
      <c r="AB1212">
        <v>2719</v>
      </c>
      <c r="AC1212" s="28">
        <f>ifood_data[[#This Row],[Customer_Days]]/365</f>
        <v>7.4493150684931511</v>
      </c>
      <c r="AD1212">
        <v>0</v>
      </c>
      <c r="AE1212">
        <v>0</v>
      </c>
      <c r="AF1212">
        <v>0</v>
      </c>
      <c r="AG1212">
        <v>1</v>
      </c>
      <c r="AH1212">
        <v>0</v>
      </c>
      <c r="AI1212">
        <v>0</v>
      </c>
      <c r="AJ1212">
        <v>0</v>
      </c>
      <c r="AK1212">
        <v>1</v>
      </c>
      <c r="AL1212">
        <v>0</v>
      </c>
      <c r="AM1212">
        <v>0</v>
      </c>
      <c r="AN1212">
        <v>39</v>
      </c>
      <c r="AO1212">
        <v>37</v>
      </c>
      <c r="AP1212">
        <f>ifood_data[[#This Row],[MntTotal]]-ifood_data[[#This Row],[MntRegularProds]]</f>
        <v>2</v>
      </c>
      <c r="AQ1212">
        <v>0</v>
      </c>
      <c r="AR1212">
        <f>IF(SUM(ifood_data[[#This Row],[Kidhome]:[Teenhome]])&gt;0,1,0)</f>
        <v>1</v>
      </c>
      <c r="AS1212" t="str">
        <f>IF(SUM(ifood_data[[#This Row],[Kidhome]:[Teenhome]])&gt;0,"Has Family","No Family")</f>
        <v>Has Family</v>
      </c>
      <c r="AT1212" t="str">
        <f>IF(ifood_data[[#This Row],[marital_Married]]=1,"Married", (IF(ifood_data[[#This Row],[marital_Single]]=1,"Single",(IF(ifood_data[[#This Row],[marital_Divorced]]=1,"Divorced",(IF(ifood_data[[#This Row],[marital_Together]]=1,"Living Together",(IF(ifood_data[[#This Row],[marital_Widow]]=1,"Widow","Other")))))))))</f>
        <v>Living Together</v>
      </c>
      <c r="AU1212" t="str">
        <f>IF(ifood_data[[#This Row],[education_Basic]]=1,"High School",(IF(ifood_data[[#This Row],[education_Graduation]]=1,"Undergraduate Degree",(IF(SUM(AM1212,AL1212,AI1212)&gt;0,"Master's Degree or Higher","Other")))))</f>
        <v>Undergraduate Degree</v>
      </c>
      <c r="AV1212" t="str">
        <f>IF(ifood_data[[#All],[Income]]&gt;75000,"75K+",(IF(ifood_data[[#All],[Income]]&gt;50000,"50K-75K",(IF(ifood_data[[#All],[Income]]&gt;35000,"35K-50K","&lt;35K")))))</f>
        <v>35K-50K</v>
      </c>
      <c r="AW1212" t="str">
        <f>IF(ifood_data[[#All],[Age]]&gt;60,"60+",(IF(ifood_data[[#All],[Age]]&gt;50,"50-60",(IF(ifood_data[[#All],[Age]]&gt;40,"40-50",(IF(ifood_data[[#All],[Age]]&gt;30,"30-40","&lt;30")))))))</f>
        <v>30-40</v>
      </c>
      <c r="AX1212">
        <f t="shared" si="72"/>
        <v>13</v>
      </c>
      <c r="AY1212">
        <f t="shared" si="73"/>
        <v>7</v>
      </c>
      <c r="AZ1212">
        <f t="shared" si="74"/>
        <v>1</v>
      </c>
      <c r="BA1212">
        <f t="shared" si="75"/>
        <v>1</v>
      </c>
      <c r="BB1212">
        <f>SUM(ifood_data[[#This Row],[Recency Score]:[Monetary Score]])</f>
        <v>9</v>
      </c>
      <c r="BC1212">
        <f>(_xlfn.PERCENTRANK.INC(ifood_data[[#All],[RFM]],ifood_data[[#This Row],[RFM]],1))*10</f>
        <v>1</v>
      </c>
      <c r="BD1212" t="str">
        <f>VLOOKUP(ifood_data[[#This Row],[RFM Score]],'RFM Analysis'!$A$3:$B$14,2,FALSE)</f>
        <v>At Risk</v>
      </c>
      <c r="BE1212">
        <f>'Regression Models'!$B$101+'Regression Models'!$B$102*ifood_data[[#This Row],[Income]]+'Regression Models'!$B$103*ifood_data[[#This Row],[Age]]+'Regression Models'!$B$104*ifood_data[[#This Row],[Family]]</f>
        <v>365.87412031901692</v>
      </c>
      <c r="BF1212" t="str">
        <f>IF(ifood_data[[#This Row],[AcceptedCmpOverall]]=1,"Campaign Respondent","Non-respondent")</f>
        <v>Non-respondent</v>
      </c>
    </row>
    <row r="1213" spans="1:58" x14ac:dyDescent="0.35">
      <c r="A1213">
        <v>1723</v>
      </c>
      <c r="B1213">
        <v>30298</v>
      </c>
      <c r="C1213">
        <v>0</v>
      </c>
      <c r="D1213">
        <v>0</v>
      </c>
      <c r="E1213">
        <v>48</v>
      </c>
      <c r="F1213">
        <v>6</v>
      </c>
      <c r="G1213">
        <v>3</v>
      </c>
      <c r="H1213">
        <v>12</v>
      </c>
      <c r="I1213">
        <v>6</v>
      </c>
      <c r="J1213">
        <v>1</v>
      </c>
      <c r="K1213">
        <v>0</v>
      </c>
      <c r="L1213">
        <v>1</v>
      </c>
      <c r="M1213">
        <v>1</v>
      </c>
      <c r="N1213">
        <v>1</v>
      </c>
      <c r="O1213">
        <v>3</v>
      </c>
      <c r="P1213">
        <v>3</v>
      </c>
      <c r="Q1213">
        <v>0</v>
      </c>
      <c r="R1213">
        <v>0</v>
      </c>
      <c r="S1213">
        <v>0</v>
      </c>
      <c r="T1213">
        <v>0</v>
      </c>
      <c r="U1213">
        <v>0</v>
      </c>
      <c r="V1213">
        <f>IF(SUM(ifood_data[[#This Row],[AcceptedCmp1]:[AcceptedCmp5]])&gt;0,1,0)</f>
        <v>0</v>
      </c>
      <c r="W1213">
        <v>0</v>
      </c>
      <c r="X1213">
        <v>3</v>
      </c>
      <c r="Y1213">
        <v>11</v>
      </c>
      <c r="Z1213">
        <v>0</v>
      </c>
      <c r="AA1213">
        <v>35</v>
      </c>
      <c r="AB1213">
        <v>2200</v>
      </c>
      <c r="AC1213" s="28">
        <f>ifood_data[[#This Row],[Customer_Days]]/365</f>
        <v>6.0273972602739727</v>
      </c>
      <c r="AD1213">
        <v>0</v>
      </c>
      <c r="AE1213">
        <v>0</v>
      </c>
      <c r="AF1213">
        <v>1</v>
      </c>
      <c r="AG1213">
        <v>0</v>
      </c>
      <c r="AH1213">
        <v>0</v>
      </c>
      <c r="AI1213">
        <v>0</v>
      </c>
      <c r="AJ1213">
        <v>0</v>
      </c>
      <c r="AK1213">
        <v>0</v>
      </c>
      <c r="AL1213">
        <v>0</v>
      </c>
      <c r="AM1213">
        <v>1</v>
      </c>
      <c r="AN1213">
        <v>28</v>
      </c>
      <c r="AO1213">
        <v>28</v>
      </c>
      <c r="AP1213">
        <f>ifood_data[[#This Row],[MntTotal]]-ifood_data[[#This Row],[MntRegularProds]]</f>
        <v>0</v>
      </c>
      <c r="AQ1213">
        <v>0</v>
      </c>
      <c r="AR1213">
        <f>IF(SUM(ifood_data[[#This Row],[Kidhome]:[Teenhome]])&gt;0,1,0)</f>
        <v>0</v>
      </c>
      <c r="AS1213" t="str">
        <f>IF(SUM(ifood_data[[#This Row],[Kidhome]:[Teenhome]])&gt;0,"Has Family","No Family")</f>
        <v>No Family</v>
      </c>
      <c r="AT1213" t="str">
        <f>IF(ifood_data[[#This Row],[marital_Married]]=1,"Married", (IF(ifood_data[[#This Row],[marital_Single]]=1,"Single",(IF(ifood_data[[#This Row],[marital_Divorced]]=1,"Divorced",(IF(ifood_data[[#This Row],[marital_Together]]=1,"Living Together",(IF(ifood_data[[#This Row],[marital_Widow]]=1,"Widow","Other")))))))))</f>
        <v>Single</v>
      </c>
      <c r="AU1213" t="str">
        <f>IF(ifood_data[[#This Row],[education_Basic]]=1,"High School",(IF(ifood_data[[#This Row],[education_Graduation]]=1,"Undergraduate Degree",(IF(SUM(AM1213,AL1213,AI1213)&gt;0,"Master's Degree or Higher","Other")))))</f>
        <v>Master's Degree or Higher</v>
      </c>
      <c r="AV1213" t="str">
        <f>IF(ifood_data[[#All],[Income]]&gt;75000,"75K+",(IF(ifood_data[[#All],[Income]]&gt;50000,"50K-75K",(IF(ifood_data[[#All],[Income]]&gt;35000,"35K-50K","&lt;35K")))))</f>
        <v>&lt;35K</v>
      </c>
      <c r="AW1213" t="str">
        <f>IF(ifood_data[[#All],[Age]]&gt;60,"60+",(IF(ifood_data[[#All],[Age]]&gt;50,"50-60",(IF(ifood_data[[#All],[Age]]&gt;40,"40-50",(IF(ifood_data[[#All],[Age]]&gt;30,"30-40","&lt;30")))))))</f>
        <v>30-40</v>
      </c>
      <c r="AX1213">
        <f t="shared" si="72"/>
        <v>9</v>
      </c>
      <c r="AY1213">
        <f t="shared" si="73"/>
        <v>6</v>
      </c>
      <c r="AZ1213">
        <f t="shared" si="74"/>
        <v>0</v>
      </c>
      <c r="BA1213">
        <f t="shared" si="75"/>
        <v>0</v>
      </c>
      <c r="BB1213">
        <f>SUM(ifood_data[[#This Row],[Recency Score]:[Monetary Score]])</f>
        <v>6</v>
      </c>
      <c r="BC1213">
        <f>(_xlfn.PERCENTRANK.INC(ifood_data[[#All],[RFM]],ifood_data[[#This Row],[RFM]],1))*10</f>
        <v>0</v>
      </c>
      <c r="BD1213" t="str">
        <f>VLOOKUP(ifood_data[[#This Row],[RFM Score]],'RFM Analysis'!$A$3:$B$14,2,FALSE)</f>
        <v>Lost</v>
      </c>
      <c r="BE1213">
        <f>'Regression Models'!$B$101+'Regression Models'!$B$102*ifood_data[[#This Row],[Income]]+'Regression Models'!$B$103*ifood_data[[#This Row],[Age]]+'Regression Models'!$B$104*ifood_data[[#This Row],[Family]]</f>
        <v>365.64827318808267</v>
      </c>
      <c r="BF1213" t="str">
        <f>IF(ifood_data[[#This Row],[AcceptedCmpOverall]]=1,"Campaign Respondent","Non-respondent")</f>
        <v>Non-respondent</v>
      </c>
    </row>
    <row r="1214" spans="1:58" x14ac:dyDescent="0.35">
      <c r="A1214">
        <v>859</v>
      </c>
      <c r="B1214">
        <v>45684</v>
      </c>
      <c r="C1214">
        <v>1</v>
      </c>
      <c r="D1214">
        <v>0</v>
      </c>
      <c r="E1214">
        <v>37</v>
      </c>
      <c r="F1214">
        <v>5</v>
      </c>
      <c r="G1214">
        <v>1</v>
      </c>
      <c r="H1214">
        <v>5</v>
      </c>
      <c r="I1214">
        <v>10</v>
      </c>
      <c r="J1214">
        <v>0</v>
      </c>
      <c r="K1214">
        <v>7</v>
      </c>
      <c r="L1214">
        <v>1</v>
      </c>
      <c r="M1214">
        <v>1</v>
      </c>
      <c r="N1214">
        <v>0</v>
      </c>
      <c r="O1214">
        <v>2</v>
      </c>
      <c r="P1214">
        <v>7</v>
      </c>
      <c r="Q1214">
        <v>0</v>
      </c>
      <c r="R1214">
        <v>0</v>
      </c>
      <c r="S1214">
        <v>0</v>
      </c>
      <c r="T1214">
        <v>0</v>
      </c>
      <c r="U1214">
        <v>0</v>
      </c>
      <c r="V1214">
        <f>IF(SUM(ifood_data[[#This Row],[AcceptedCmp1]:[AcceptedCmp5]])&gt;0,1,0)</f>
        <v>0</v>
      </c>
      <c r="W1214">
        <v>0</v>
      </c>
      <c r="X1214">
        <v>3</v>
      </c>
      <c r="Y1214">
        <v>11</v>
      </c>
      <c r="Z1214">
        <v>0</v>
      </c>
      <c r="AA1214">
        <v>49</v>
      </c>
      <c r="AB1214">
        <v>2368</v>
      </c>
      <c r="AC1214" s="28">
        <f>ifood_data[[#This Row],[Customer_Days]]/365</f>
        <v>6.4876712328767123</v>
      </c>
      <c r="AD1214">
        <v>0</v>
      </c>
      <c r="AE1214">
        <v>0</v>
      </c>
      <c r="AF1214">
        <v>0</v>
      </c>
      <c r="AG1214">
        <v>0</v>
      </c>
      <c r="AH1214">
        <v>1</v>
      </c>
      <c r="AI1214">
        <v>0</v>
      </c>
      <c r="AJ1214">
        <v>0</v>
      </c>
      <c r="AK1214">
        <v>1</v>
      </c>
      <c r="AL1214">
        <v>0</v>
      </c>
      <c r="AM1214">
        <v>0</v>
      </c>
      <c r="AN1214">
        <v>21</v>
      </c>
      <c r="AO1214">
        <v>14</v>
      </c>
      <c r="AP1214">
        <f>ifood_data[[#This Row],[MntTotal]]-ifood_data[[#This Row],[MntRegularProds]]</f>
        <v>7</v>
      </c>
      <c r="AQ1214">
        <v>0</v>
      </c>
      <c r="AR1214">
        <f>IF(SUM(ifood_data[[#This Row],[Kidhome]:[Teenhome]])&gt;0,1,0)</f>
        <v>1</v>
      </c>
      <c r="AS1214" t="str">
        <f>IF(SUM(ifood_data[[#This Row],[Kidhome]:[Teenhome]])&gt;0,"Has Family","No Family")</f>
        <v>Has Family</v>
      </c>
      <c r="AT1214" t="str">
        <f>IF(ifood_data[[#This Row],[marital_Married]]=1,"Married", (IF(ifood_data[[#This Row],[marital_Single]]=1,"Single",(IF(ifood_data[[#This Row],[marital_Divorced]]=1,"Divorced",(IF(ifood_data[[#This Row],[marital_Together]]=1,"Living Together",(IF(ifood_data[[#This Row],[marital_Widow]]=1,"Widow","Other")))))))))</f>
        <v>Widow</v>
      </c>
      <c r="AU1214" t="str">
        <f>IF(ifood_data[[#This Row],[education_Basic]]=1,"High School",(IF(ifood_data[[#This Row],[education_Graduation]]=1,"Undergraduate Degree",(IF(SUM(AM1214,AL1214,AI1214)&gt;0,"Master's Degree or Higher","Other")))))</f>
        <v>Undergraduate Degree</v>
      </c>
      <c r="AV1214" t="str">
        <f>IF(ifood_data[[#All],[Income]]&gt;75000,"75K+",(IF(ifood_data[[#All],[Income]]&gt;50000,"50K-75K",(IF(ifood_data[[#All],[Income]]&gt;35000,"35K-50K","&lt;35K")))))</f>
        <v>35K-50K</v>
      </c>
      <c r="AW1214" t="str">
        <f>IF(ifood_data[[#All],[Age]]&gt;60,"60+",(IF(ifood_data[[#All],[Age]]&gt;50,"50-60",(IF(ifood_data[[#All],[Age]]&gt;40,"40-50",(IF(ifood_data[[#All],[Age]]&gt;30,"30-40","&lt;30")))))))</f>
        <v>40-50</v>
      </c>
      <c r="AX1214">
        <f t="shared" si="72"/>
        <v>11</v>
      </c>
      <c r="AY1214">
        <f t="shared" si="73"/>
        <v>7</v>
      </c>
      <c r="AZ1214">
        <f t="shared" si="74"/>
        <v>0</v>
      </c>
      <c r="BA1214">
        <f t="shared" si="75"/>
        <v>0</v>
      </c>
      <c r="BB1214">
        <f>SUM(ifood_data[[#This Row],[Recency Score]:[Monetary Score]])</f>
        <v>7</v>
      </c>
      <c r="BC1214">
        <f>(_xlfn.PERCENTRANK.INC(ifood_data[[#All],[RFM]],ifood_data[[#This Row],[RFM]],1))*10</f>
        <v>1</v>
      </c>
      <c r="BD1214" t="str">
        <f>VLOOKUP(ifood_data[[#This Row],[RFM Score]],'RFM Analysis'!$A$3:$B$14,2,FALSE)</f>
        <v>At Risk</v>
      </c>
      <c r="BE1214">
        <f>'Regression Models'!$B$101+'Regression Models'!$B$102*ifood_data[[#This Row],[Income]]+'Regression Models'!$B$103*ifood_data[[#This Row],[Age]]+'Regression Models'!$B$104*ifood_data[[#This Row],[Family]]</f>
        <v>364.02608167257574</v>
      </c>
      <c r="BF1214" t="str">
        <f>IF(ifood_data[[#This Row],[AcceptedCmpOverall]]=1,"Campaign Respondent","Non-respondent")</f>
        <v>Non-respondent</v>
      </c>
    </row>
    <row r="1215" spans="1:58" x14ac:dyDescent="0.35">
      <c r="A1215">
        <v>1786</v>
      </c>
      <c r="B1215">
        <v>46998</v>
      </c>
      <c r="C1215">
        <v>0</v>
      </c>
      <c r="D1215">
        <v>1</v>
      </c>
      <c r="E1215">
        <v>55</v>
      </c>
      <c r="F1215">
        <v>172</v>
      </c>
      <c r="G1215">
        <v>41</v>
      </c>
      <c r="H1215">
        <v>86</v>
      </c>
      <c r="I1215">
        <v>45</v>
      </c>
      <c r="J1215">
        <v>6</v>
      </c>
      <c r="K1215">
        <v>27</v>
      </c>
      <c r="L1215">
        <v>5</v>
      </c>
      <c r="M1215">
        <v>5</v>
      </c>
      <c r="N1215">
        <v>3</v>
      </c>
      <c r="O1215">
        <v>5</v>
      </c>
      <c r="P1215">
        <v>7</v>
      </c>
      <c r="Q1215">
        <v>0</v>
      </c>
      <c r="R1215">
        <v>0</v>
      </c>
      <c r="S1215">
        <v>1</v>
      </c>
      <c r="T1215">
        <v>0</v>
      </c>
      <c r="U1215">
        <v>0</v>
      </c>
      <c r="V1215">
        <f>IF(SUM(ifood_data[[#This Row],[AcceptedCmp1]:[AcceptedCmp5]])&gt;0,1,0)</f>
        <v>1</v>
      </c>
      <c r="W1215">
        <v>0</v>
      </c>
      <c r="X1215">
        <v>3</v>
      </c>
      <c r="Y1215">
        <v>11</v>
      </c>
      <c r="Z1215">
        <v>0</v>
      </c>
      <c r="AA1215">
        <v>64</v>
      </c>
      <c r="AB1215">
        <v>2774</v>
      </c>
      <c r="AC1215" s="28">
        <f>ifood_data[[#This Row],[Customer_Days]]/365</f>
        <v>7.6</v>
      </c>
      <c r="AD1215">
        <v>0</v>
      </c>
      <c r="AE1215">
        <v>0</v>
      </c>
      <c r="AF1215">
        <v>1</v>
      </c>
      <c r="AG1215">
        <v>0</v>
      </c>
      <c r="AH1215">
        <v>0</v>
      </c>
      <c r="AI1215">
        <v>0</v>
      </c>
      <c r="AJ1215">
        <v>0</v>
      </c>
      <c r="AK1215">
        <v>1</v>
      </c>
      <c r="AL1215">
        <v>0</v>
      </c>
      <c r="AM1215">
        <v>0</v>
      </c>
      <c r="AN1215">
        <v>350</v>
      </c>
      <c r="AO1215">
        <v>323</v>
      </c>
      <c r="AP1215">
        <f>ifood_data[[#This Row],[MntTotal]]-ifood_data[[#This Row],[MntRegularProds]]</f>
        <v>27</v>
      </c>
      <c r="AQ1215">
        <v>1</v>
      </c>
      <c r="AR1215">
        <f>IF(SUM(ifood_data[[#This Row],[Kidhome]:[Teenhome]])&gt;0,1,0)</f>
        <v>1</v>
      </c>
      <c r="AS1215" t="str">
        <f>IF(SUM(ifood_data[[#This Row],[Kidhome]:[Teenhome]])&gt;0,"Has Family","No Family")</f>
        <v>Has Family</v>
      </c>
      <c r="AT1215" t="str">
        <f>IF(ifood_data[[#This Row],[marital_Married]]=1,"Married", (IF(ifood_data[[#This Row],[marital_Single]]=1,"Single",(IF(ifood_data[[#This Row],[marital_Divorced]]=1,"Divorced",(IF(ifood_data[[#This Row],[marital_Together]]=1,"Living Together",(IF(ifood_data[[#This Row],[marital_Widow]]=1,"Widow","Other")))))))))</f>
        <v>Single</v>
      </c>
      <c r="AU1215" t="str">
        <f>IF(ifood_data[[#This Row],[education_Basic]]=1,"High School",(IF(ifood_data[[#This Row],[education_Graduation]]=1,"Undergraduate Degree",(IF(SUM(AM1215,AL1215,AI1215)&gt;0,"Master's Degree or Higher","Other")))))</f>
        <v>Undergraduate Degree</v>
      </c>
      <c r="AV1215" t="str">
        <f>IF(ifood_data[[#All],[Income]]&gt;75000,"75K+",(IF(ifood_data[[#All],[Income]]&gt;50000,"50K-75K",(IF(ifood_data[[#All],[Income]]&gt;35000,"35K-50K","&lt;35K")))))</f>
        <v>35K-50K</v>
      </c>
      <c r="AW1215" t="str">
        <f>IF(ifood_data[[#All],[Age]]&gt;60,"60+",(IF(ifood_data[[#All],[Age]]&gt;50,"50-60",(IF(ifood_data[[#All],[Age]]&gt;40,"40-50",(IF(ifood_data[[#All],[Age]]&gt;30,"30-40","&lt;30")))))))</f>
        <v>60+</v>
      </c>
      <c r="AX1215">
        <f t="shared" si="72"/>
        <v>25</v>
      </c>
      <c r="AY1215">
        <f t="shared" si="73"/>
        <v>5</v>
      </c>
      <c r="AZ1215">
        <f t="shared" si="74"/>
        <v>7</v>
      </c>
      <c r="BA1215">
        <f t="shared" si="75"/>
        <v>5</v>
      </c>
      <c r="BB1215">
        <f>SUM(ifood_data[[#This Row],[Recency Score]:[Monetary Score]])</f>
        <v>17</v>
      </c>
      <c r="BC1215">
        <f>(_xlfn.PERCENTRANK.INC(ifood_data[[#All],[RFM]],ifood_data[[#This Row],[RFM]],1))*10</f>
        <v>6</v>
      </c>
      <c r="BD1215" t="str">
        <f>VLOOKUP(ifood_data[[#This Row],[RFM Score]],'RFM Analysis'!$A$3:$B$14,2,FALSE)</f>
        <v>Promising</v>
      </c>
      <c r="BE1215">
        <f>'Regression Models'!$B$101+'Regression Models'!$B$102*ifood_data[[#This Row],[Income]]+'Regression Models'!$B$103*ifood_data[[#This Row],[Age]]+'Regression Models'!$B$104*ifood_data[[#This Row],[Family]]</f>
        <v>363.27033683024467</v>
      </c>
      <c r="BF1215" t="str">
        <f>IF(ifood_data[[#This Row],[AcceptedCmpOverall]]=1,"Campaign Respondent","Non-respondent")</f>
        <v>Campaign Respondent</v>
      </c>
    </row>
    <row r="1216" spans="1:58" x14ac:dyDescent="0.35">
      <c r="A1216">
        <v>759</v>
      </c>
      <c r="B1216">
        <v>46984</v>
      </c>
      <c r="C1216">
        <v>1</v>
      </c>
      <c r="D1216">
        <v>1</v>
      </c>
      <c r="E1216">
        <v>71</v>
      </c>
      <c r="F1216">
        <v>19</v>
      </c>
      <c r="G1216">
        <v>1</v>
      </c>
      <c r="H1216">
        <v>10</v>
      </c>
      <c r="I1216">
        <v>2</v>
      </c>
      <c r="J1216">
        <v>1</v>
      </c>
      <c r="K1216">
        <v>8</v>
      </c>
      <c r="L1216">
        <v>1</v>
      </c>
      <c r="M1216">
        <v>1</v>
      </c>
      <c r="N1216">
        <v>0</v>
      </c>
      <c r="O1216">
        <v>3</v>
      </c>
      <c r="P1216">
        <v>5</v>
      </c>
      <c r="Q1216">
        <v>0</v>
      </c>
      <c r="R1216">
        <v>0</v>
      </c>
      <c r="S1216">
        <v>0</v>
      </c>
      <c r="T1216">
        <v>0</v>
      </c>
      <c r="U1216">
        <v>0</v>
      </c>
      <c r="V1216">
        <f>IF(SUM(ifood_data[[#This Row],[AcceptedCmp1]:[AcceptedCmp5]])&gt;0,1,0)</f>
        <v>0</v>
      </c>
      <c r="W1216">
        <v>0</v>
      </c>
      <c r="X1216">
        <v>3</v>
      </c>
      <c r="Y1216">
        <v>11</v>
      </c>
      <c r="Z1216">
        <v>0</v>
      </c>
      <c r="AA1216">
        <v>64</v>
      </c>
      <c r="AB1216">
        <v>2619</v>
      </c>
      <c r="AC1216" s="28">
        <f>ifood_data[[#This Row],[Customer_Days]]/365</f>
        <v>7.1753424657534248</v>
      </c>
      <c r="AD1216">
        <v>0</v>
      </c>
      <c r="AE1216">
        <v>0</v>
      </c>
      <c r="AF1216">
        <v>0</v>
      </c>
      <c r="AG1216">
        <v>0</v>
      </c>
      <c r="AH1216">
        <v>1</v>
      </c>
      <c r="AI1216">
        <v>0</v>
      </c>
      <c r="AJ1216">
        <v>0</v>
      </c>
      <c r="AK1216">
        <v>1</v>
      </c>
      <c r="AL1216">
        <v>0</v>
      </c>
      <c r="AM1216">
        <v>0</v>
      </c>
      <c r="AN1216">
        <v>33</v>
      </c>
      <c r="AO1216">
        <v>25</v>
      </c>
      <c r="AP1216">
        <f>ifood_data[[#This Row],[MntTotal]]-ifood_data[[#This Row],[MntRegularProds]]</f>
        <v>8</v>
      </c>
      <c r="AQ1216">
        <v>0</v>
      </c>
      <c r="AR1216">
        <f>IF(SUM(ifood_data[[#This Row],[Kidhome]:[Teenhome]])&gt;0,1,0)</f>
        <v>1</v>
      </c>
      <c r="AS1216" t="str">
        <f>IF(SUM(ifood_data[[#This Row],[Kidhome]:[Teenhome]])&gt;0,"Has Family","No Family")</f>
        <v>Has Family</v>
      </c>
      <c r="AT1216" t="str">
        <f>IF(ifood_data[[#This Row],[marital_Married]]=1,"Married", (IF(ifood_data[[#This Row],[marital_Single]]=1,"Single",(IF(ifood_data[[#This Row],[marital_Divorced]]=1,"Divorced",(IF(ifood_data[[#This Row],[marital_Together]]=1,"Living Together",(IF(ifood_data[[#This Row],[marital_Widow]]=1,"Widow","Other")))))))))</f>
        <v>Widow</v>
      </c>
      <c r="AU1216" t="str">
        <f>IF(ifood_data[[#This Row],[education_Basic]]=1,"High School",(IF(ifood_data[[#This Row],[education_Graduation]]=1,"Undergraduate Degree",(IF(SUM(AM1216,AL1216,AI1216)&gt;0,"Master's Degree or Higher","Other")))))</f>
        <v>Undergraduate Degree</v>
      </c>
      <c r="AV1216" t="str">
        <f>IF(ifood_data[[#All],[Income]]&gt;75000,"75K+",(IF(ifood_data[[#All],[Income]]&gt;50000,"50K-75K",(IF(ifood_data[[#All],[Income]]&gt;35000,"35K-50K","&lt;35K")))))</f>
        <v>35K-50K</v>
      </c>
      <c r="AW1216" t="str">
        <f>IF(ifood_data[[#All],[Age]]&gt;60,"60+",(IF(ifood_data[[#All],[Age]]&gt;50,"50-60",(IF(ifood_data[[#All],[Age]]&gt;40,"40-50",(IF(ifood_data[[#All],[Age]]&gt;30,"30-40","&lt;30")))))))</f>
        <v>60+</v>
      </c>
      <c r="AX1216">
        <f t="shared" si="72"/>
        <v>10</v>
      </c>
      <c r="AY1216">
        <f t="shared" si="73"/>
        <v>3.0000000000000004</v>
      </c>
      <c r="AZ1216">
        <f t="shared" si="74"/>
        <v>0</v>
      </c>
      <c r="BA1216">
        <f t="shared" si="75"/>
        <v>1</v>
      </c>
      <c r="BB1216">
        <f>SUM(ifood_data[[#This Row],[Recency Score]:[Monetary Score]])</f>
        <v>4</v>
      </c>
      <c r="BC1216">
        <f>(_xlfn.PERCENTRANK.INC(ifood_data[[#All],[RFM]],ifood_data[[#This Row],[RFM]],1))*10</f>
        <v>0</v>
      </c>
      <c r="BD1216" t="str">
        <f>VLOOKUP(ifood_data[[#This Row],[RFM Score]],'RFM Analysis'!$A$3:$B$14,2,FALSE)</f>
        <v>Lost</v>
      </c>
      <c r="BE1216">
        <f>'Regression Models'!$B$101+'Regression Models'!$B$102*ifood_data[[#This Row],[Income]]+'Regression Models'!$B$103*ifood_data[[#This Row],[Age]]+'Regression Models'!$B$104*ifood_data[[#This Row],[Family]]</f>
        <v>362.98489407623015</v>
      </c>
      <c r="BF1216" t="str">
        <f>IF(ifood_data[[#This Row],[AcceptedCmpOverall]]=1,"Campaign Respondent","Non-respondent")</f>
        <v>Non-respondent</v>
      </c>
    </row>
    <row r="1217" spans="1:58" x14ac:dyDescent="0.35">
      <c r="A1217">
        <v>752</v>
      </c>
      <c r="B1217">
        <v>46524</v>
      </c>
      <c r="C1217">
        <v>0</v>
      </c>
      <c r="D1217">
        <v>1</v>
      </c>
      <c r="E1217">
        <v>70</v>
      </c>
      <c r="F1217">
        <v>31</v>
      </c>
      <c r="G1217">
        <v>19</v>
      </c>
      <c r="H1217">
        <v>35</v>
      </c>
      <c r="I1217">
        <v>26</v>
      </c>
      <c r="J1217">
        <v>14</v>
      </c>
      <c r="K1217">
        <v>52</v>
      </c>
      <c r="L1217">
        <v>2</v>
      </c>
      <c r="M1217">
        <v>1</v>
      </c>
      <c r="N1217">
        <v>1</v>
      </c>
      <c r="O1217">
        <v>5</v>
      </c>
      <c r="P1217">
        <v>3</v>
      </c>
      <c r="Q1217">
        <v>0</v>
      </c>
      <c r="R1217">
        <v>0</v>
      </c>
      <c r="S1217">
        <v>0</v>
      </c>
      <c r="T1217">
        <v>0</v>
      </c>
      <c r="U1217">
        <v>0</v>
      </c>
      <c r="V1217">
        <f>IF(SUM(ifood_data[[#This Row],[AcceptedCmp1]:[AcceptedCmp5]])&gt;0,1,0)</f>
        <v>0</v>
      </c>
      <c r="W1217">
        <v>0</v>
      </c>
      <c r="X1217">
        <v>3</v>
      </c>
      <c r="Y1217">
        <v>11</v>
      </c>
      <c r="Z1217">
        <v>0</v>
      </c>
      <c r="AA1217">
        <v>59</v>
      </c>
      <c r="AB1217">
        <v>2609</v>
      </c>
      <c r="AC1217" s="28">
        <f>ifood_data[[#This Row],[Customer_Days]]/365</f>
        <v>7.1479452054794521</v>
      </c>
      <c r="AD1217">
        <v>0</v>
      </c>
      <c r="AE1217">
        <v>0</v>
      </c>
      <c r="AF1217">
        <v>1</v>
      </c>
      <c r="AG1217">
        <v>0</v>
      </c>
      <c r="AH1217">
        <v>0</v>
      </c>
      <c r="AI1217">
        <v>0</v>
      </c>
      <c r="AJ1217">
        <v>0</v>
      </c>
      <c r="AK1217">
        <v>1</v>
      </c>
      <c r="AL1217">
        <v>0</v>
      </c>
      <c r="AM1217">
        <v>0</v>
      </c>
      <c r="AN1217">
        <v>125</v>
      </c>
      <c r="AO1217">
        <v>73</v>
      </c>
      <c r="AP1217">
        <f>ifood_data[[#This Row],[MntTotal]]-ifood_data[[#This Row],[MntRegularProds]]</f>
        <v>52</v>
      </c>
      <c r="AQ1217">
        <v>0</v>
      </c>
      <c r="AR1217">
        <f>IF(SUM(ifood_data[[#This Row],[Kidhome]:[Teenhome]])&gt;0,1,0)</f>
        <v>1</v>
      </c>
      <c r="AS1217" t="str">
        <f>IF(SUM(ifood_data[[#This Row],[Kidhome]:[Teenhome]])&gt;0,"Has Family","No Family")</f>
        <v>Has Family</v>
      </c>
      <c r="AT1217" t="str">
        <f>IF(ifood_data[[#This Row],[marital_Married]]=1,"Married", (IF(ifood_data[[#This Row],[marital_Single]]=1,"Single",(IF(ifood_data[[#This Row],[marital_Divorced]]=1,"Divorced",(IF(ifood_data[[#This Row],[marital_Together]]=1,"Living Together",(IF(ifood_data[[#This Row],[marital_Widow]]=1,"Widow","Other")))))))))</f>
        <v>Single</v>
      </c>
      <c r="AU1217" t="str">
        <f>IF(ifood_data[[#This Row],[education_Basic]]=1,"High School",(IF(ifood_data[[#This Row],[education_Graduation]]=1,"Undergraduate Degree",(IF(SUM(AM1217,AL1217,AI1217)&gt;0,"Master's Degree or Higher","Other")))))</f>
        <v>Undergraduate Degree</v>
      </c>
      <c r="AV1217" t="str">
        <f>IF(ifood_data[[#All],[Income]]&gt;75000,"75K+",(IF(ifood_data[[#All],[Income]]&gt;50000,"50K-75K",(IF(ifood_data[[#All],[Income]]&gt;35000,"35K-50K","&lt;35K")))))</f>
        <v>35K-50K</v>
      </c>
      <c r="AW1217" t="str">
        <f>IF(ifood_data[[#All],[Age]]&gt;60,"60+",(IF(ifood_data[[#All],[Age]]&gt;50,"50-60",(IF(ifood_data[[#All],[Age]]&gt;40,"40-50",(IF(ifood_data[[#All],[Age]]&gt;30,"30-40","&lt;30")))))))</f>
        <v>50-60</v>
      </c>
      <c r="AX1217">
        <f t="shared" si="72"/>
        <v>12</v>
      </c>
      <c r="AY1217">
        <f t="shared" si="73"/>
        <v>3.0000000000000004</v>
      </c>
      <c r="AZ1217">
        <f t="shared" si="74"/>
        <v>1</v>
      </c>
      <c r="BA1217">
        <f t="shared" si="75"/>
        <v>3</v>
      </c>
      <c r="BB1217">
        <f>SUM(ifood_data[[#This Row],[Recency Score]:[Monetary Score]])</f>
        <v>7</v>
      </c>
      <c r="BC1217">
        <f>(_xlfn.PERCENTRANK.INC(ifood_data[[#All],[RFM]],ifood_data[[#This Row],[RFM]],1))*10</f>
        <v>1</v>
      </c>
      <c r="BD1217" t="str">
        <f>VLOOKUP(ifood_data[[#This Row],[RFM Score]],'RFM Analysis'!$A$3:$B$14,2,FALSE)</f>
        <v>At Risk</v>
      </c>
      <c r="BE1217">
        <f>'Regression Models'!$B$101+'Regression Models'!$B$102*ifood_data[[#This Row],[Income]]+'Regression Models'!$B$103*ifood_data[[#This Row],[Age]]+'Regression Models'!$B$104*ifood_data[[#This Row],[Family]]</f>
        <v>362.78825612450805</v>
      </c>
      <c r="BF1217" t="str">
        <f>IF(ifood_data[[#This Row],[AcceptedCmpOverall]]=1,"Campaign Respondent","Non-respondent")</f>
        <v>Non-respondent</v>
      </c>
    </row>
    <row r="1218" spans="1:58" x14ac:dyDescent="0.35">
      <c r="A1218">
        <v>657</v>
      </c>
      <c r="B1218">
        <v>47570</v>
      </c>
      <c r="C1218">
        <v>1</v>
      </c>
      <c r="D1218">
        <v>1</v>
      </c>
      <c r="E1218">
        <v>3</v>
      </c>
      <c r="F1218">
        <v>67</v>
      </c>
      <c r="G1218">
        <v>1</v>
      </c>
      <c r="H1218">
        <v>20</v>
      </c>
      <c r="I1218">
        <v>0</v>
      </c>
      <c r="J1218">
        <v>2</v>
      </c>
      <c r="K1218">
        <v>31</v>
      </c>
      <c r="L1218">
        <v>3</v>
      </c>
      <c r="M1218">
        <v>2</v>
      </c>
      <c r="N1218">
        <v>2</v>
      </c>
      <c r="O1218">
        <v>2</v>
      </c>
      <c r="P1218">
        <v>7</v>
      </c>
      <c r="Q1218">
        <v>0</v>
      </c>
      <c r="R1218">
        <v>0</v>
      </c>
      <c r="S1218">
        <v>0</v>
      </c>
      <c r="T1218">
        <v>0</v>
      </c>
      <c r="U1218">
        <v>0</v>
      </c>
      <c r="V1218">
        <f>IF(SUM(ifood_data[[#This Row],[AcceptedCmp1]:[AcceptedCmp5]])&gt;0,1,0)</f>
        <v>0</v>
      </c>
      <c r="W1218">
        <v>0</v>
      </c>
      <c r="X1218">
        <v>3</v>
      </c>
      <c r="Y1218">
        <v>11</v>
      </c>
      <c r="Z1218">
        <v>1</v>
      </c>
      <c r="AA1218">
        <v>71</v>
      </c>
      <c r="AB1218">
        <v>2555</v>
      </c>
      <c r="AC1218" s="28">
        <f>ifood_data[[#This Row],[Customer_Days]]/365</f>
        <v>7</v>
      </c>
      <c r="AD1218">
        <v>0</v>
      </c>
      <c r="AE1218">
        <v>0</v>
      </c>
      <c r="AF1218">
        <v>0</v>
      </c>
      <c r="AG1218">
        <v>0</v>
      </c>
      <c r="AH1218">
        <v>1</v>
      </c>
      <c r="AI1218">
        <v>0</v>
      </c>
      <c r="AJ1218">
        <v>0</v>
      </c>
      <c r="AK1218">
        <v>0</v>
      </c>
      <c r="AL1218">
        <v>1</v>
      </c>
      <c r="AM1218">
        <v>0</v>
      </c>
      <c r="AN1218">
        <v>90</v>
      </c>
      <c r="AO1218">
        <v>59</v>
      </c>
      <c r="AP1218">
        <f>ifood_data[[#This Row],[MntTotal]]-ifood_data[[#This Row],[MntRegularProds]]</f>
        <v>31</v>
      </c>
      <c r="AQ1218">
        <v>0</v>
      </c>
      <c r="AR1218">
        <f>IF(SUM(ifood_data[[#This Row],[Kidhome]:[Teenhome]])&gt;0,1,0)</f>
        <v>1</v>
      </c>
      <c r="AS1218" t="str">
        <f>IF(SUM(ifood_data[[#This Row],[Kidhome]:[Teenhome]])&gt;0,"Has Family","No Family")</f>
        <v>Has Family</v>
      </c>
      <c r="AT1218" t="str">
        <f>IF(ifood_data[[#This Row],[marital_Married]]=1,"Married", (IF(ifood_data[[#This Row],[marital_Single]]=1,"Single",(IF(ifood_data[[#This Row],[marital_Divorced]]=1,"Divorced",(IF(ifood_data[[#This Row],[marital_Together]]=1,"Living Together",(IF(ifood_data[[#This Row],[marital_Widow]]=1,"Widow","Other")))))))))</f>
        <v>Widow</v>
      </c>
      <c r="AU1218" t="str">
        <f>IF(ifood_data[[#This Row],[education_Basic]]=1,"High School",(IF(ifood_data[[#This Row],[education_Graduation]]=1,"Undergraduate Degree",(IF(SUM(AM1218,AL1218,AI1218)&gt;0,"Master's Degree or Higher","Other")))))</f>
        <v>Master's Degree or Higher</v>
      </c>
      <c r="AV1218" t="str">
        <f>IF(ifood_data[[#All],[Income]]&gt;75000,"75K+",(IF(ifood_data[[#All],[Income]]&gt;50000,"50K-75K",(IF(ifood_data[[#All],[Income]]&gt;35000,"35K-50K","&lt;35K")))))</f>
        <v>35K-50K</v>
      </c>
      <c r="AW1218" t="str">
        <f>IF(ifood_data[[#All],[Age]]&gt;60,"60+",(IF(ifood_data[[#All],[Age]]&gt;50,"50-60",(IF(ifood_data[[#All],[Age]]&gt;40,"40-50",(IF(ifood_data[[#All],[Age]]&gt;30,"30-40","&lt;30")))))))</f>
        <v>60+</v>
      </c>
      <c r="AX1218">
        <f t="shared" ref="AX1218:AX1281" si="76">SUM(L1218:P1218)</f>
        <v>16</v>
      </c>
      <c r="AY1218">
        <f t="shared" ref="AY1218:AY1281" si="77">(1-_xlfn.PERCENTRANK.INC($E$2:$E$2022,E1218,1))*10</f>
        <v>10</v>
      </c>
      <c r="AZ1218">
        <f t="shared" ref="AZ1218:AZ1281" si="78">_xlfn.PERCENTRANK.INC($AX$2:$AX$2022,AX1218,1)*10</f>
        <v>3</v>
      </c>
      <c r="BA1218">
        <f t="shared" ref="BA1218:BA1281" si="79">_xlfn.PERCENTRANK.INC($AN$2:$AN$2022,AN1218,1)*10</f>
        <v>3</v>
      </c>
      <c r="BB1218">
        <f>SUM(ifood_data[[#This Row],[Recency Score]:[Monetary Score]])</f>
        <v>16</v>
      </c>
      <c r="BC1218">
        <f>(_xlfn.PERCENTRANK.INC(ifood_data[[#All],[RFM]],ifood_data[[#This Row],[RFM]],1))*10</f>
        <v>5</v>
      </c>
      <c r="BD1218" t="str">
        <f>VLOOKUP(ifood_data[[#This Row],[RFM Score]],'RFM Analysis'!$A$3:$B$14,2,FALSE)</f>
        <v>Promising</v>
      </c>
      <c r="BE1218">
        <f>'Regression Models'!$B$101+'Regression Models'!$B$102*ifood_data[[#This Row],[Income]]+'Regression Models'!$B$103*ifood_data[[#This Row],[Age]]+'Regression Models'!$B$104*ifood_data[[#This Row],[Family]]</f>
        <v>362.07763865629499</v>
      </c>
      <c r="BF1218" t="str">
        <f>IF(ifood_data[[#This Row],[AcceptedCmpOverall]]=1,"Campaign Respondent","Non-respondent")</f>
        <v>Non-respondent</v>
      </c>
    </row>
    <row r="1219" spans="1:58" x14ac:dyDescent="0.35">
      <c r="A1219">
        <v>1448</v>
      </c>
      <c r="B1219">
        <v>44322</v>
      </c>
      <c r="C1219">
        <v>1</v>
      </c>
      <c r="D1219">
        <v>0</v>
      </c>
      <c r="E1219">
        <v>30</v>
      </c>
      <c r="F1219">
        <v>46</v>
      </c>
      <c r="G1219">
        <v>0</v>
      </c>
      <c r="H1219">
        <v>40</v>
      </c>
      <c r="I1219">
        <v>3</v>
      </c>
      <c r="J1219">
        <v>0</v>
      </c>
      <c r="K1219">
        <v>3</v>
      </c>
      <c r="L1219">
        <v>2</v>
      </c>
      <c r="M1219">
        <v>3</v>
      </c>
      <c r="N1219">
        <v>0</v>
      </c>
      <c r="O1219">
        <v>3</v>
      </c>
      <c r="P1219">
        <v>8</v>
      </c>
      <c r="Q1219">
        <v>0</v>
      </c>
      <c r="R1219">
        <v>0</v>
      </c>
      <c r="S1219">
        <v>0</v>
      </c>
      <c r="T1219">
        <v>0</v>
      </c>
      <c r="U1219">
        <v>0</v>
      </c>
      <c r="V1219">
        <f>IF(SUM(ifood_data[[#This Row],[AcceptedCmp1]:[AcceptedCmp5]])&gt;0,1,0)</f>
        <v>0</v>
      </c>
      <c r="W1219">
        <v>0</v>
      </c>
      <c r="X1219">
        <v>3</v>
      </c>
      <c r="Y1219">
        <v>11</v>
      </c>
      <c r="Z1219">
        <v>0</v>
      </c>
      <c r="AA1219">
        <v>35</v>
      </c>
      <c r="AB1219">
        <v>2172</v>
      </c>
      <c r="AC1219" s="28">
        <f>ifood_data[[#This Row],[Customer_Days]]/365</f>
        <v>5.9506849315068493</v>
      </c>
      <c r="AD1219">
        <v>0</v>
      </c>
      <c r="AE1219">
        <v>1</v>
      </c>
      <c r="AF1219">
        <v>0</v>
      </c>
      <c r="AG1219">
        <v>0</v>
      </c>
      <c r="AH1219">
        <v>0</v>
      </c>
      <c r="AI1219">
        <v>0</v>
      </c>
      <c r="AJ1219">
        <v>0</v>
      </c>
      <c r="AK1219">
        <v>1</v>
      </c>
      <c r="AL1219">
        <v>0</v>
      </c>
      <c r="AM1219">
        <v>0</v>
      </c>
      <c r="AN1219">
        <v>89</v>
      </c>
      <c r="AO1219">
        <v>86</v>
      </c>
      <c r="AP1219">
        <f>ifood_data[[#This Row],[MntTotal]]-ifood_data[[#This Row],[MntRegularProds]]</f>
        <v>3</v>
      </c>
      <c r="AQ1219">
        <v>0</v>
      </c>
      <c r="AR1219">
        <f>IF(SUM(ifood_data[[#This Row],[Kidhome]:[Teenhome]])&gt;0,1,0)</f>
        <v>1</v>
      </c>
      <c r="AS1219" t="str">
        <f>IF(SUM(ifood_data[[#This Row],[Kidhome]:[Teenhome]])&gt;0,"Has Family","No Family")</f>
        <v>Has Family</v>
      </c>
      <c r="AT1219" t="str">
        <f>IF(ifood_data[[#This Row],[marital_Married]]=1,"Married", (IF(ifood_data[[#This Row],[marital_Single]]=1,"Single",(IF(ifood_data[[#This Row],[marital_Divorced]]=1,"Divorced",(IF(ifood_data[[#This Row],[marital_Together]]=1,"Living Together",(IF(ifood_data[[#This Row],[marital_Widow]]=1,"Widow","Other")))))))))</f>
        <v>Married</v>
      </c>
      <c r="AU1219" t="str">
        <f>IF(ifood_data[[#This Row],[education_Basic]]=1,"High School",(IF(ifood_data[[#This Row],[education_Graduation]]=1,"Undergraduate Degree",(IF(SUM(AM1219,AL1219,AI1219)&gt;0,"Master's Degree or Higher","Other")))))</f>
        <v>Undergraduate Degree</v>
      </c>
      <c r="AV1219" t="str">
        <f>IF(ifood_data[[#All],[Income]]&gt;75000,"75K+",(IF(ifood_data[[#All],[Income]]&gt;50000,"50K-75K",(IF(ifood_data[[#All],[Income]]&gt;35000,"35K-50K","&lt;35K")))))</f>
        <v>35K-50K</v>
      </c>
      <c r="AW1219" t="str">
        <f>IF(ifood_data[[#All],[Age]]&gt;60,"60+",(IF(ifood_data[[#All],[Age]]&gt;50,"50-60",(IF(ifood_data[[#All],[Age]]&gt;40,"40-50",(IF(ifood_data[[#All],[Age]]&gt;30,"30-40","&lt;30")))))))</f>
        <v>30-40</v>
      </c>
      <c r="AX1219">
        <f t="shared" si="76"/>
        <v>16</v>
      </c>
      <c r="AY1219">
        <f t="shared" si="77"/>
        <v>7</v>
      </c>
      <c r="AZ1219">
        <f t="shared" si="78"/>
        <v>3</v>
      </c>
      <c r="BA1219">
        <f t="shared" si="79"/>
        <v>3</v>
      </c>
      <c r="BB1219">
        <f>SUM(ifood_data[[#This Row],[Recency Score]:[Monetary Score]])</f>
        <v>13</v>
      </c>
      <c r="BC1219">
        <f>(_xlfn.PERCENTRANK.INC(ifood_data[[#All],[RFM]],ifood_data[[#This Row],[RFM]],1))*10</f>
        <v>3</v>
      </c>
      <c r="BD1219" t="str">
        <f>VLOOKUP(ifood_data[[#This Row],[RFM Score]],'RFM Analysis'!$A$3:$B$14,2,FALSE)</f>
        <v>At Risk</v>
      </c>
      <c r="BE1219">
        <f>'Regression Models'!$B$101+'Regression Models'!$B$102*ifood_data[[#This Row],[Income]]+'Regression Models'!$B$103*ifood_data[[#This Row],[Age]]+'Regression Models'!$B$104*ifood_data[[#This Row],[Family]]</f>
        <v>361.9667265651052</v>
      </c>
      <c r="BF1219" t="str">
        <f>IF(ifood_data[[#This Row],[AcceptedCmpOverall]]=1,"Campaign Respondent","Non-respondent")</f>
        <v>Non-respondent</v>
      </c>
    </row>
    <row r="1220" spans="1:58" x14ac:dyDescent="0.35">
      <c r="A1220">
        <v>509</v>
      </c>
      <c r="B1220">
        <v>47352</v>
      </c>
      <c r="C1220">
        <v>0</v>
      </c>
      <c r="D1220">
        <v>1</v>
      </c>
      <c r="E1220">
        <v>70</v>
      </c>
      <c r="F1220">
        <v>172</v>
      </c>
      <c r="G1220">
        <v>12</v>
      </c>
      <c r="H1220">
        <v>112</v>
      </c>
      <c r="I1220">
        <v>8</v>
      </c>
      <c r="J1220">
        <v>0</v>
      </c>
      <c r="K1220">
        <v>15</v>
      </c>
      <c r="L1220">
        <v>4</v>
      </c>
      <c r="M1220">
        <v>6</v>
      </c>
      <c r="N1220">
        <v>1</v>
      </c>
      <c r="O1220">
        <v>5</v>
      </c>
      <c r="P1220">
        <v>7</v>
      </c>
      <c r="Q1220">
        <v>0</v>
      </c>
      <c r="R1220">
        <v>0</v>
      </c>
      <c r="S1220">
        <v>0</v>
      </c>
      <c r="T1220">
        <v>0</v>
      </c>
      <c r="U1220">
        <v>0</v>
      </c>
      <c r="V1220">
        <f>IF(SUM(ifood_data[[#This Row],[AcceptedCmp1]:[AcceptedCmp5]])&gt;0,1,0)</f>
        <v>0</v>
      </c>
      <c r="W1220">
        <v>0</v>
      </c>
      <c r="X1220">
        <v>3</v>
      </c>
      <c r="Y1220">
        <v>11</v>
      </c>
      <c r="Z1220">
        <v>0</v>
      </c>
      <c r="AA1220">
        <v>69</v>
      </c>
      <c r="AB1220">
        <v>2603</v>
      </c>
      <c r="AC1220" s="28">
        <f>ifood_data[[#This Row],[Customer_Days]]/365</f>
        <v>7.1315068493150688</v>
      </c>
      <c r="AD1220">
        <v>0</v>
      </c>
      <c r="AE1220">
        <v>0</v>
      </c>
      <c r="AF1220">
        <v>0</v>
      </c>
      <c r="AG1220">
        <v>1</v>
      </c>
      <c r="AH1220">
        <v>0</v>
      </c>
      <c r="AI1220">
        <v>0</v>
      </c>
      <c r="AJ1220">
        <v>0</v>
      </c>
      <c r="AK1220">
        <v>0</v>
      </c>
      <c r="AL1220">
        <v>1</v>
      </c>
      <c r="AM1220">
        <v>0</v>
      </c>
      <c r="AN1220">
        <v>304</v>
      </c>
      <c r="AO1220">
        <v>289</v>
      </c>
      <c r="AP1220">
        <f>ifood_data[[#This Row],[MntTotal]]-ifood_data[[#This Row],[MntRegularProds]]</f>
        <v>15</v>
      </c>
      <c r="AQ1220">
        <v>0</v>
      </c>
      <c r="AR1220">
        <f>IF(SUM(ifood_data[[#This Row],[Kidhome]:[Teenhome]])&gt;0,1,0)</f>
        <v>1</v>
      </c>
      <c r="AS1220" t="str">
        <f>IF(SUM(ifood_data[[#This Row],[Kidhome]:[Teenhome]])&gt;0,"Has Family","No Family")</f>
        <v>Has Family</v>
      </c>
      <c r="AT1220" t="str">
        <f>IF(ifood_data[[#This Row],[marital_Married]]=1,"Married", (IF(ifood_data[[#This Row],[marital_Single]]=1,"Single",(IF(ifood_data[[#This Row],[marital_Divorced]]=1,"Divorced",(IF(ifood_data[[#This Row],[marital_Together]]=1,"Living Together",(IF(ifood_data[[#This Row],[marital_Widow]]=1,"Widow","Other")))))))))</f>
        <v>Living Together</v>
      </c>
      <c r="AU1220" t="str">
        <f>IF(ifood_data[[#This Row],[education_Basic]]=1,"High School",(IF(ifood_data[[#This Row],[education_Graduation]]=1,"Undergraduate Degree",(IF(SUM(AM1220,AL1220,AI1220)&gt;0,"Master's Degree or Higher","Other")))))</f>
        <v>Master's Degree or Higher</v>
      </c>
      <c r="AV1220" t="str">
        <f>IF(ifood_data[[#All],[Income]]&gt;75000,"75K+",(IF(ifood_data[[#All],[Income]]&gt;50000,"50K-75K",(IF(ifood_data[[#All],[Income]]&gt;35000,"35K-50K","&lt;35K")))))</f>
        <v>35K-50K</v>
      </c>
      <c r="AW1220" t="str">
        <f>IF(ifood_data[[#All],[Age]]&gt;60,"60+",(IF(ifood_data[[#All],[Age]]&gt;50,"50-60",(IF(ifood_data[[#All],[Age]]&gt;40,"40-50",(IF(ifood_data[[#All],[Age]]&gt;30,"30-40","&lt;30")))))))</f>
        <v>60+</v>
      </c>
      <c r="AX1220">
        <f t="shared" si="76"/>
        <v>23</v>
      </c>
      <c r="AY1220">
        <f t="shared" si="77"/>
        <v>3.0000000000000004</v>
      </c>
      <c r="AZ1220">
        <f t="shared" si="78"/>
        <v>6</v>
      </c>
      <c r="BA1220">
        <f t="shared" si="79"/>
        <v>4</v>
      </c>
      <c r="BB1220">
        <f>SUM(ifood_data[[#This Row],[Recency Score]:[Monetary Score]])</f>
        <v>13</v>
      </c>
      <c r="BC1220">
        <f>(_xlfn.PERCENTRANK.INC(ifood_data[[#All],[RFM]],ifood_data[[#This Row],[RFM]],1))*10</f>
        <v>3</v>
      </c>
      <c r="BD1220" t="str">
        <f>VLOOKUP(ifood_data[[#This Row],[RFM Score]],'RFM Analysis'!$A$3:$B$14,2,FALSE)</f>
        <v>At Risk</v>
      </c>
      <c r="BE1220">
        <f>'Regression Models'!$B$101+'Regression Models'!$B$102*ifood_data[[#This Row],[Income]]+'Regression Models'!$B$103*ifood_data[[#This Row],[Age]]+'Regression Models'!$B$104*ifood_data[[#This Row],[Family]]</f>
        <v>361.30576535871353</v>
      </c>
      <c r="BF1220" t="str">
        <f>IF(ifood_data[[#This Row],[AcceptedCmpOverall]]=1,"Campaign Respondent","Non-respondent")</f>
        <v>Non-respondent</v>
      </c>
    </row>
    <row r="1221" spans="1:58" x14ac:dyDescent="0.35">
      <c r="A1221">
        <v>1242</v>
      </c>
      <c r="B1221">
        <v>46692</v>
      </c>
      <c r="C1221">
        <v>0</v>
      </c>
      <c r="D1221">
        <v>1</v>
      </c>
      <c r="E1221">
        <v>37</v>
      </c>
      <c r="F1221">
        <v>170</v>
      </c>
      <c r="G1221">
        <v>6</v>
      </c>
      <c r="H1221">
        <v>97</v>
      </c>
      <c r="I1221">
        <v>24</v>
      </c>
      <c r="J1221">
        <v>12</v>
      </c>
      <c r="K1221">
        <v>88</v>
      </c>
      <c r="L1221">
        <v>3</v>
      </c>
      <c r="M1221">
        <v>6</v>
      </c>
      <c r="N1221">
        <v>1</v>
      </c>
      <c r="O1221">
        <v>5</v>
      </c>
      <c r="P1221">
        <v>6</v>
      </c>
      <c r="Q1221">
        <v>0</v>
      </c>
      <c r="R1221">
        <v>0</v>
      </c>
      <c r="S1221">
        <v>0</v>
      </c>
      <c r="T1221">
        <v>0</v>
      </c>
      <c r="U1221">
        <v>0</v>
      </c>
      <c r="V1221">
        <f>IF(SUM(ifood_data[[#This Row],[AcceptedCmp1]:[AcceptedCmp5]])&gt;0,1,0)</f>
        <v>0</v>
      </c>
      <c r="W1221">
        <v>0</v>
      </c>
      <c r="X1221">
        <v>3</v>
      </c>
      <c r="Y1221">
        <v>11</v>
      </c>
      <c r="Z1221">
        <v>0</v>
      </c>
      <c r="AA1221">
        <v>62</v>
      </c>
      <c r="AB1221">
        <v>2547</v>
      </c>
      <c r="AC1221" s="28">
        <f>ifood_data[[#This Row],[Customer_Days]]/365</f>
        <v>6.978082191780822</v>
      </c>
      <c r="AD1221">
        <v>0</v>
      </c>
      <c r="AE1221">
        <v>0</v>
      </c>
      <c r="AF1221">
        <v>0</v>
      </c>
      <c r="AG1221">
        <v>1</v>
      </c>
      <c r="AH1221">
        <v>0</v>
      </c>
      <c r="AI1221">
        <v>0</v>
      </c>
      <c r="AJ1221">
        <v>0</v>
      </c>
      <c r="AK1221">
        <v>0</v>
      </c>
      <c r="AL1221">
        <v>1</v>
      </c>
      <c r="AM1221">
        <v>0</v>
      </c>
      <c r="AN1221">
        <v>309</v>
      </c>
      <c r="AO1221">
        <v>221</v>
      </c>
      <c r="AP1221">
        <f>ifood_data[[#This Row],[MntTotal]]-ifood_data[[#This Row],[MntRegularProds]]</f>
        <v>88</v>
      </c>
      <c r="AQ1221">
        <v>0</v>
      </c>
      <c r="AR1221">
        <f>IF(SUM(ifood_data[[#This Row],[Kidhome]:[Teenhome]])&gt;0,1,0)</f>
        <v>1</v>
      </c>
      <c r="AS1221" t="str">
        <f>IF(SUM(ifood_data[[#This Row],[Kidhome]:[Teenhome]])&gt;0,"Has Family","No Family")</f>
        <v>Has Family</v>
      </c>
      <c r="AT1221" t="str">
        <f>IF(ifood_data[[#This Row],[marital_Married]]=1,"Married", (IF(ifood_data[[#This Row],[marital_Single]]=1,"Single",(IF(ifood_data[[#This Row],[marital_Divorced]]=1,"Divorced",(IF(ifood_data[[#This Row],[marital_Together]]=1,"Living Together",(IF(ifood_data[[#This Row],[marital_Widow]]=1,"Widow","Other")))))))))</f>
        <v>Living Together</v>
      </c>
      <c r="AU1221" t="str">
        <f>IF(ifood_data[[#This Row],[education_Basic]]=1,"High School",(IF(ifood_data[[#This Row],[education_Graduation]]=1,"Undergraduate Degree",(IF(SUM(AM1221,AL1221,AI1221)&gt;0,"Master's Degree or Higher","Other")))))</f>
        <v>Master's Degree or Higher</v>
      </c>
      <c r="AV1221" t="str">
        <f>IF(ifood_data[[#All],[Income]]&gt;75000,"75K+",(IF(ifood_data[[#All],[Income]]&gt;50000,"50K-75K",(IF(ifood_data[[#All],[Income]]&gt;35000,"35K-50K","&lt;35K")))))</f>
        <v>35K-50K</v>
      </c>
      <c r="AW1221" t="str">
        <f>IF(ifood_data[[#All],[Age]]&gt;60,"60+",(IF(ifood_data[[#All],[Age]]&gt;50,"50-60",(IF(ifood_data[[#All],[Age]]&gt;40,"40-50",(IF(ifood_data[[#All],[Age]]&gt;30,"30-40","&lt;30")))))))</f>
        <v>60+</v>
      </c>
      <c r="AX1221">
        <f t="shared" si="76"/>
        <v>21</v>
      </c>
      <c r="AY1221">
        <f t="shared" si="77"/>
        <v>7</v>
      </c>
      <c r="AZ1221">
        <f t="shared" si="78"/>
        <v>5</v>
      </c>
      <c r="BA1221">
        <f t="shared" si="79"/>
        <v>4</v>
      </c>
      <c r="BB1221">
        <f>SUM(ifood_data[[#This Row],[Recency Score]:[Monetary Score]])</f>
        <v>16</v>
      </c>
      <c r="BC1221">
        <f>(_xlfn.PERCENTRANK.INC(ifood_data[[#All],[RFM]],ifood_data[[#This Row],[RFM]],1))*10</f>
        <v>5</v>
      </c>
      <c r="BD1221" t="str">
        <f>VLOOKUP(ifood_data[[#This Row],[RFM Score]],'RFM Analysis'!$A$3:$B$14,2,FALSE)</f>
        <v>Promising</v>
      </c>
      <c r="BE1221">
        <f>'Regression Models'!$B$101+'Regression Models'!$B$102*ifood_data[[#This Row],[Income]]+'Regression Models'!$B$103*ifood_data[[#This Row],[Age]]+'Regression Models'!$B$104*ifood_data[[#This Row],[Family]]</f>
        <v>360.70425193600022</v>
      </c>
      <c r="BF1221" t="str">
        <f>IF(ifood_data[[#This Row],[AcceptedCmpOverall]]=1,"Campaign Respondent","Non-respondent")</f>
        <v>Non-respondent</v>
      </c>
    </row>
    <row r="1222" spans="1:58" x14ac:dyDescent="0.35">
      <c r="A1222">
        <v>554</v>
      </c>
      <c r="B1222">
        <v>45207</v>
      </c>
      <c r="C1222">
        <v>1</v>
      </c>
      <c r="D1222">
        <v>1</v>
      </c>
      <c r="E1222">
        <v>64</v>
      </c>
      <c r="F1222">
        <v>203</v>
      </c>
      <c r="G1222">
        <v>0</v>
      </c>
      <c r="H1222">
        <v>10</v>
      </c>
      <c r="I1222">
        <v>0</v>
      </c>
      <c r="J1222">
        <v>0</v>
      </c>
      <c r="K1222">
        <v>2</v>
      </c>
      <c r="L1222">
        <v>5</v>
      </c>
      <c r="M1222">
        <v>3</v>
      </c>
      <c r="N1222">
        <v>1</v>
      </c>
      <c r="O1222">
        <v>6</v>
      </c>
      <c r="P1222">
        <v>6</v>
      </c>
      <c r="Q1222">
        <v>0</v>
      </c>
      <c r="R1222">
        <v>0</v>
      </c>
      <c r="S1222">
        <v>0</v>
      </c>
      <c r="T1222">
        <v>1</v>
      </c>
      <c r="U1222">
        <v>0</v>
      </c>
      <c r="V1222">
        <f>IF(SUM(ifood_data[[#This Row],[AcceptedCmp1]:[AcceptedCmp5]])&gt;0,1,0)</f>
        <v>1</v>
      </c>
      <c r="W1222">
        <v>0</v>
      </c>
      <c r="X1222">
        <v>3</v>
      </c>
      <c r="Y1222">
        <v>11</v>
      </c>
      <c r="Z1222">
        <v>0</v>
      </c>
      <c r="AA1222">
        <v>46</v>
      </c>
      <c r="AB1222">
        <v>2755</v>
      </c>
      <c r="AC1222" s="28">
        <f>ifood_data[[#This Row],[Customer_Days]]/365</f>
        <v>7.5479452054794525</v>
      </c>
      <c r="AD1222">
        <v>0</v>
      </c>
      <c r="AE1222">
        <v>1</v>
      </c>
      <c r="AF1222">
        <v>0</v>
      </c>
      <c r="AG1222">
        <v>0</v>
      </c>
      <c r="AH1222">
        <v>0</v>
      </c>
      <c r="AI1222">
        <v>0</v>
      </c>
      <c r="AJ1222">
        <v>0</v>
      </c>
      <c r="AK1222">
        <v>0</v>
      </c>
      <c r="AL1222">
        <v>0</v>
      </c>
      <c r="AM1222">
        <v>1</v>
      </c>
      <c r="AN1222">
        <v>213</v>
      </c>
      <c r="AO1222">
        <v>211</v>
      </c>
      <c r="AP1222">
        <f>ifood_data[[#This Row],[MntTotal]]-ifood_data[[#This Row],[MntRegularProds]]</f>
        <v>2</v>
      </c>
      <c r="AQ1222">
        <v>1</v>
      </c>
      <c r="AR1222">
        <f>IF(SUM(ifood_data[[#This Row],[Kidhome]:[Teenhome]])&gt;0,1,0)</f>
        <v>1</v>
      </c>
      <c r="AS1222" t="str">
        <f>IF(SUM(ifood_data[[#This Row],[Kidhome]:[Teenhome]])&gt;0,"Has Family","No Family")</f>
        <v>Has Family</v>
      </c>
      <c r="AT1222" t="str">
        <f>IF(ifood_data[[#This Row],[marital_Married]]=1,"Married", (IF(ifood_data[[#This Row],[marital_Single]]=1,"Single",(IF(ifood_data[[#This Row],[marital_Divorced]]=1,"Divorced",(IF(ifood_data[[#This Row],[marital_Together]]=1,"Living Together",(IF(ifood_data[[#This Row],[marital_Widow]]=1,"Widow","Other")))))))))</f>
        <v>Married</v>
      </c>
      <c r="AU1222" t="str">
        <f>IF(ifood_data[[#This Row],[education_Basic]]=1,"High School",(IF(ifood_data[[#This Row],[education_Graduation]]=1,"Undergraduate Degree",(IF(SUM(AM1222,AL1222,AI1222)&gt;0,"Master's Degree or Higher","Other")))))</f>
        <v>Master's Degree or Higher</v>
      </c>
      <c r="AV1222" t="str">
        <f>IF(ifood_data[[#All],[Income]]&gt;75000,"75K+",(IF(ifood_data[[#All],[Income]]&gt;50000,"50K-75K",(IF(ifood_data[[#All],[Income]]&gt;35000,"35K-50K","&lt;35K")))))</f>
        <v>35K-50K</v>
      </c>
      <c r="AW1222" t="str">
        <f>IF(ifood_data[[#All],[Age]]&gt;60,"60+",(IF(ifood_data[[#All],[Age]]&gt;50,"50-60",(IF(ifood_data[[#All],[Age]]&gt;40,"40-50",(IF(ifood_data[[#All],[Age]]&gt;30,"30-40","&lt;30")))))))</f>
        <v>40-50</v>
      </c>
      <c r="AX1222">
        <f t="shared" si="76"/>
        <v>21</v>
      </c>
      <c r="AY1222">
        <f t="shared" si="77"/>
        <v>4</v>
      </c>
      <c r="AZ1222">
        <f t="shared" si="78"/>
        <v>5</v>
      </c>
      <c r="BA1222">
        <f t="shared" si="79"/>
        <v>4</v>
      </c>
      <c r="BB1222">
        <f>SUM(ifood_data[[#This Row],[Recency Score]:[Monetary Score]])</f>
        <v>13</v>
      </c>
      <c r="BC1222">
        <f>(_xlfn.PERCENTRANK.INC(ifood_data[[#All],[RFM]],ifood_data[[#This Row],[RFM]],1))*10</f>
        <v>3</v>
      </c>
      <c r="BD1222" t="str">
        <f>VLOOKUP(ifood_data[[#This Row],[RFM Score]],'RFM Analysis'!$A$3:$B$14,2,FALSE)</f>
        <v>At Risk</v>
      </c>
      <c r="BE1222">
        <f>'Regression Models'!$B$101+'Regression Models'!$B$102*ifood_data[[#This Row],[Income]]+'Regression Models'!$B$103*ifood_data[[#This Row],[Age]]+'Regression Models'!$B$104*ifood_data[[#This Row],[Family]]</f>
        <v>359.80995650461875</v>
      </c>
      <c r="BF1222" t="str">
        <f>IF(ifood_data[[#This Row],[AcceptedCmpOverall]]=1,"Campaign Respondent","Non-respondent")</f>
        <v>Campaign Respondent</v>
      </c>
    </row>
    <row r="1223" spans="1:58" x14ac:dyDescent="0.35">
      <c r="A1223">
        <v>1463</v>
      </c>
      <c r="B1223">
        <v>45903</v>
      </c>
      <c r="C1223">
        <v>0</v>
      </c>
      <c r="D1223">
        <v>1</v>
      </c>
      <c r="E1223">
        <v>80</v>
      </c>
      <c r="F1223">
        <v>33</v>
      </c>
      <c r="G1223">
        <v>8</v>
      </c>
      <c r="H1223">
        <v>10</v>
      </c>
      <c r="I1223">
        <v>2</v>
      </c>
      <c r="J1223">
        <v>10</v>
      </c>
      <c r="K1223">
        <v>3</v>
      </c>
      <c r="L1223">
        <v>2</v>
      </c>
      <c r="M1223">
        <v>2</v>
      </c>
      <c r="N1223">
        <v>1</v>
      </c>
      <c r="O1223">
        <v>3</v>
      </c>
      <c r="P1223">
        <v>4</v>
      </c>
      <c r="Q1223">
        <v>0</v>
      </c>
      <c r="R1223">
        <v>0</v>
      </c>
      <c r="S1223">
        <v>0</v>
      </c>
      <c r="T1223">
        <v>0</v>
      </c>
      <c r="U1223">
        <v>0</v>
      </c>
      <c r="V1223">
        <f>IF(SUM(ifood_data[[#This Row],[AcceptedCmp1]:[AcceptedCmp5]])&gt;0,1,0)</f>
        <v>0</v>
      </c>
      <c r="W1223">
        <v>0</v>
      </c>
      <c r="X1223">
        <v>3</v>
      </c>
      <c r="Y1223">
        <v>11</v>
      </c>
      <c r="Z1223">
        <v>0</v>
      </c>
      <c r="AA1223">
        <v>54</v>
      </c>
      <c r="AB1223">
        <v>2226</v>
      </c>
      <c r="AC1223" s="28">
        <f>ifood_data[[#This Row],[Customer_Days]]/365</f>
        <v>6.0986301369863014</v>
      </c>
      <c r="AD1223">
        <v>0</v>
      </c>
      <c r="AE1223">
        <v>0</v>
      </c>
      <c r="AF1223">
        <v>0</v>
      </c>
      <c r="AG1223">
        <v>1</v>
      </c>
      <c r="AH1223">
        <v>0</v>
      </c>
      <c r="AI1223">
        <v>0</v>
      </c>
      <c r="AJ1223">
        <v>0</v>
      </c>
      <c r="AK1223">
        <v>0</v>
      </c>
      <c r="AL1223">
        <v>1</v>
      </c>
      <c r="AM1223">
        <v>0</v>
      </c>
      <c r="AN1223">
        <v>63</v>
      </c>
      <c r="AO1223">
        <v>60</v>
      </c>
      <c r="AP1223">
        <f>ifood_data[[#This Row],[MntTotal]]-ifood_data[[#This Row],[MntRegularProds]]</f>
        <v>3</v>
      </c>
      <c r="AQ1223">
        <v>0</v>
      </c>
      <c r="AR1223">
        <f>IF(SUM(ifood_data[[#This Row],[Kidhome]:[Teenhome]])&gt;0,1,0)</f>
        <v>1</v>
      </c>
      <c r="AS1223" t="str">
        <f>IF(SUM(ifood_data[[#This Row],[Kidhome]:[Teenhome]])&gt;0,"Has Family","No Family")</f>
        <v>Has Family</v>
      </c>
      <c r="AT1223" t="str">
        <f>IF(ifood_data[[#This Row],[marital_Married]]=1,"Married", (IF(ifood_data[[#This Row],[marital_Single]]=1,"Single",(IF(ifood_data[[#This Row],[marital_Divorced]]=1,"Divorced",(IF(ifood_data[[#This Row],[marital_Together]]=1,"Living Together",(IF(ifood_data[[#This Row],[marital_Widow]]=1,"Widow","Other")))))))))</f>
        <v>Living Together</v>
      </c>
      <c r="AU1223" t="str">
        <f>IF(ifood_data[[#This Row],[education_Basic]]=1,"High School",(IF(ifood_data[[#This Row],[education_Graduation]]=1,"Undergraduate Degree",(IF(SUM(AM1223,AL1223,AI1223)&gt;0,"Master's Degree or Higher","Other")))))</f>
        <v>Master's Degree or Higher</v>
      </c>
      <c r="AV1223" t="str">
        <f>IF(ifood_data[[#All],[Income]]&gt;75000,"75K+",(IF(ifood_data[[#All],[Income]]&gt;50000,"50K-75K",(IF(ifood_data[[#All],[Income]]&gt;35000,"35K-50K","&lt;35K")))))</f>
        <v>35K-50K</v>
      </c>
      <c r="AW1223" t="str">
        <f>IF(ifood_data[[#All],[Age]]&gt;60,"60+",(IF(ifood_data[[#All],[Age]]&gt;50,"50-60",(IF(ifood_data[[#All],[Age]]&gt;40,"40-50",(IF(ifood_data[[#All],[Age]]&gt;30,"30-40","&lt;30")))))))</f>
        <v>50-60</v>
      </c>
      <c r="AX1223">
        <f t="shared" si="76"/>
        <v>12</v>
      </c>
      <c r="AY1223">
        <f t="shared" si="77"/>
        <v>1.9999999999999996</v>
      </c>
      <c r="AZ1223">
        <f t="shared" si="78"/>
        <v>1</v>
      </c>
      <c r="BA1223">
        <f t="shared" si="79"/>
        <v>2</v>
      </c>
      <c r="BB1223">
        <f>SUM(ifood_data[[#This Row],[Recency Score]:[Monetary Score]])</f>
        <v>5</v>
      </c>
      <c r="BC1223">
        <f>(_xlfn.PERCENTRANK.INC(ifood_data[[#All],[RFM]],ifood_data[[#This Row],[RFM]],1))*10</f>
        <v>0</v>
      </c>
      <c r="BD1223" t="str">
        <f>VLOOKUP(ifood_data[[#This Row],[RFM Score]],'RFM Analysis'!$A$3:$B$14,2,FALSE)</f>
        <v>Lost</v>
      </c>
      <c r="BE1223">
        <f>'Regression Models'!$B$101+'Regression Models'!$B$102*ifood_data[[#This Row],[Income]]+'Regression Models'!$B$103*ifood_data[[#This Row],[Age]]+'Regression Models'!$B$104*ifood_data[[#This Row],[Family]]</f>
        <v>359.30902650161818</v>
      </c>
      <c r="BF1223" t="str">
        <f>IF(ifood_data[[#This Row],[AcceptedCmpOverall]]=1,"Campaign Respondent","Non-respondent")</f>
        <v>Non-respondent</v>
      </c>
    </row>
    <row r="1224" spans="1:58" x14ac:dyDescent="0.35">
      <c r="A1224">
        <v>602</v>
      </c>
      <c r="B1224">
        <v>32218</v>
      </c>
      <c r="C1224">
        <v>0</v>
      </c>
      <c r="D1224">
        <v>0</v>
      </c>
      <c r="E1224">
        <v>27</v>
      </c>
      <c r="F1224">
        <v>10</v>
      </c>
      <c r="G1224">
        <v>24</v>
      </c>
      <c r="H1224">
        <v>15</v>
      </c>
      <c r="I1224">
        <v>13</v>
      </c>
      <c r="J1224">
        <v>1</v>
      </c>
      <c r="K1224">
        <v>30</v>
      </c>
      <c r="L1224">
        <v>1</v>
      </c>
      <c r="M1224">
        <v>2</v>
      </c>
      <c r="N1224">
        <v>1</v>
      </c>
      <c r="O1224">
        <v>3</v>
      </c>
      <c r="P1224">
        <v>7</v>
      </c>
      <c r="Q1224">
        <v>0</v>
      </c>
      <c r="R1224">
        <v>0</v>
      </c>
      <c r="S1224">
        <v>1</v>
      </c>
      <c r="T1224">
        <v>0</v>
      </c>
      <c r="U1224">
        <v>0</v>
      </c>
      <c r="V1224">
        <f>IF(SUM(ifood_data[[#This Row],[AcceptedCmp1]:[AcceptedCmp5]])&gt;0,1,0)</f>
        <v>1</v>
      </c>
      <c r="W1224">
        <v>0</v>
      </c>
      <c r="X1224">
        <v>3</v>
      </c>
      <c r="Y1224">
        <v>11</v>
      </c>
      <c r="Z1224">
        <v>1</v>
      </c>
      <c r="AA1224">
        <v>60</v>
      </c>
      <c r="AB1224">
        <v>2293</v>
      </c>
      <c r="AC1224" s="28">
        <f>ifood_data[[#This Row],[Customer_Days]]/365</f>
        <v>6.2821917808219174</v>
      </c>
      <c r="AD1224">
        <v>0</v>
      </c>
      <c r="AE1224">
        <v>0</v>
      </c>
      <c r="AF1224">
        <v>1</v>
      </c>
      <c r="AG1224">
        <v>0</v>
      </c>
      <c r="AH1224">
        <v>0</v>
      </c>
      <c r="AI1224">
        <v>1</v>
      </c>
      <c r="AJ1224">
        <v>0</v>
      </c>
      <c r="AK1224">
        <v>0</v>
      </c>
      <c r="AL1224">
        <v>0</v>
      </c>
      <c r="AM1224">
        <v>0</v>
      </c>
      <c r="AN1224">
        <v>63</v>
      </c>
      <c r="AO1224">
        <v>33</v>
      </c>
      <c r="AP1224">
        <f>ifood_data[[#This Row],[MntTotal]]-ifood_data[[#This Row],[MntRegularProds]]</f>
        <v>30</v>
      </c>
      <c r="AQ1224">
        <v>1</v>
      </c>
      <c r="AR1224">
        <f>IF(SUM(ifood_data[[#This Row],[Kidhome]:[Teenhome]])&gt;0,1,0)</f>
        <v>0</v>
      </c>
      <c r="AS1224" t="str">
        <f>IF(SUM(ifood_data[[#This Row],[Kidhome]:[Teenhome]])&gt;0,"Has Family","No Family")</f>
        <v>No Family</v>
      </c>
      <c r="AT1224" t="str">
        <f>IF(ifood_data[[#This Row],[marital_Married]]=1,"Married", (IF(ifood_data[[#This Row],[marital_Single]]=1,"Single",(IF(ifood_data[[#This Row],[marital_Divorced]]=1,"Divorced",(IF(ifood_data[[#This Row],[marital_Together]]=1,"Living Together",(IF(ifood_data[[#This Row],[marital_Widow]]=1,"Widow","Other")))))))))</f>
        <v>Single</v>
      </c>
      <c r="AU1224" t="str">
        <f>IF(ifood_data[[#This Row],[education_Basic]]=1,"High School",(IF(ifood_data[[#This Row],[education_Graduation]]=1,"Undergraduate Degree",(IF(SUM(AM1224,AL1224,AI1224)&gt;0,"Master's Degree or Higher","Other")))))</f>
        <v>Master's Degree or Higher</v>
      </c>
      <c r="AV1224" t="str">
        <f>IF(ifood_data[[#All],[Income]]&gt;75000,"75K+",(IF(ifood_data[[#All],[Income]]&gt;50000,"50K-75K",(IF(ifood_data[[#All],[Income]]&gt;35000,"35K-50K","&lt;35K")))))</f>
        <v>&lt;35K</v>
      </c>
      <c r="AW1224" t="str">
        <f>IF(ifood_data[[#All],[Age]]&gt;60,"60+",(IF(ifood_data[[#All],[Age]]&gt;50,"50-60",(IF(ifood_data[[#All],[Age]]&gt;40,"40-50",(IF(ifood_data[[#All],[Age]]&gt;30,"30-40","&lt;30")))))))</f>
        <v>50-60</v>
      </c>
      <c r="AX1224">
        <f t="shared" si="76"/>
        <v>14</v>
      </c>
      <c r="AY1224">
        <f t="shared" si="77"/>
        <v>8</v>
      </c>
      <c r="AZ1224">
        <f t="shared" si="78"/>
        <v>2</v>
      </c>
      <c r="BA1224">
        <f t="shared" si="79"/>
        <v>2</v>
      </c>
      <c r="BB1224">
        <f>SUM(ifood_data[[#This Row],[Recency Score]:[Monetary Score]])</f>
        <v>12</v>
      </c>
      <c r="BC1224">
        <f>(_xlfn.PERCENTRANK.INC(ifood_data[[#All],[RFM]],ifood_data[[#This Row],[RFM]],1))*10</f>
        <v>3</v>
      </c>
      <c r="BD1224" t="str">
        <f>VLOOKUP(ifood_data[[#This Row],[RFM Score]],'RFM Analysis'!$A$3:$B$14,2,FALSE)</f>
        <v>At Risk</v>
      </c>
      <c r="BE1224">
        <f>'Regression Models'!$B$101+'Regression Models'!$B$102*ifood_data[[#This Row],[Income]]+'Regression Models'!$B$103*ifood_data[[#This Row],[Age]]+'Regression Models'!$B$104*ifood_data[[#This Row],[Family]]</f>
        <v>358.88373105201163</v>
      </c>
      <c r="BF1224" t="str">
        <f>IF(ifood_data[[#This Row],[AcceptedCmpOverall]]=1,"Campaign Respondent","Non-respondent")</f>
        <v>Campaign Respondent</v>
      </c>
    </row>
    <row r="1225" spans="1:58" x14ac:dyDescent="0.35">
      <c r="A1225">
        <v>1190</v>
      </c>
      <c r="B1225">
        <v>47139</v>
      </c>
      <c r="C1225">
        <v>1</v>
      </c>
      <c r="D1225">
        <v>1</v>
      </c>
      <c r="E1225">
        <v>2</v>
      </c>
      <c r="F1225">
        <v>46</v>
      </c>
      <c r="G1225">
        <v>0</v>
      </c>
      <c r="H1225">
        <v>12</v>
      </c>
      <c r="I1225">
        <v>0</v>
      </c>
      <c r="J1225">
        <v>2</v>
      </c>
      <c r="K1225">
        <v>23</v>
      </c>
      <c r="L1225">
        <v>2</v>
      </c>
      <c r="M1225">
        <v>2</v>
      </c>
      <c r="N1225">
        <v>1</v>
      </c>
      <c r="O1225">
        <v>2</v>
      </c>
      <c r="P1225">
        <v>7</v>
      </c>
      <c r="Q1225">
        <v>0</v>
      </c>
      <c r="R1225">
        <v>0</v>
      </c>
      <c r="S1225">
        <v>0</v>
      </c>
      <c r="T1225">
        <v>0</v>
      </c>
      <c r="U1225">
        <v>0</v>
      </c>
      <c r="V1225">
        <f>IF(SUM(ifood_data[[#This Row],[AcceptedCmp1]:[AcceptedCmp5]])&gt;0,1,0)</f>
        <v>0</v>
      </c>
      <c r="W1225">
        <v>0</v>
      </c>
      <c r="X1225">
        <v>3</v>
      </c>
      <c r="Y1225">
        <v>11</v>
      </c>
      <c r="Z1225">
        <v>1</v>
      </c>
      <c r="AA1225">
        <v>68</v>
      </c>
      <c r="AB1225">
        <v>2274</v>
      </c>
      <c r="AC1225" s="28">
        <f>ifood_data[[#This Row],[Customer_Days]]/365</f>
        <v>6.2301369863013702</v>
      </c>
      <c r="AD1225">
        <v>0</v>
      </c>
      <c r="AE1225">
        <v>0</v>
      </c>
      <c r="AF1225">
        <v>1</v>
      </c>
      <c r="AG1225">
        <v>0</v>
      </c>
      <c r="AH1225">
        <v>0</v>
      </c>
      <c r="AI1225">
        <v>0</v>
      </c>
      <c r="AJ1225">
        <v>0</v>
      </c>
      <c r="AK1225">
        <v>1</v>
      </c>
      <c r="AL1225">
        <v>0</v>
      </c>
      <c r="AM1225">
        <v>0</v>
      </c>
      <c r="AN1225">
        <v>60</v>
      </c>
      <c r="AO1225">
        <v>37</v>
      </c>
      <c r="AP1225">
        <f>ifood_data[[#This Row],[MntTotal]]-ifood_data[[#This Row],[MntRegularProds]]</f>
        <v>23</v>
      </c>
      <c r="AQ1225">
        <v>0</v>
      </c>
      <c r="AR1225">
        <f>IF(SUM(ifood_data[[#This Row],[Kidhome]:[Teenhome]])&gt;0,1,0)</f>
        <v>1</v>
      </c>
      <c r="AS1225" t="str">
        <f>IF(SUM(ifood_data[[#This Row],[Kidhome]:[Teenhome]])&gt;0,"Has Family","No Family")</f>
        <v>Has Family</v>
      </c>
      <c r="AT1225" t="str">
        <f>IF(ifood_data[[#This Row],[marital_Married]]=1,"Married", (IF(ifood_data[[#This Row],[marital_Single]]=1,"Single",(IF(ifood_data[[#This Row],[marital_Divorced]]=1,"Divorced",(IF(ifood_data[[#This Row],[marital_Together]]=1,"Living Together",(IF(ifood_data[[#This Row],[marital_Widow]]=1,"Widow","Other")))))))))</f>
        <v>Single</v>
      </c>
      <c r="AU1225" t="str">
        <f>IF(ifood_data[[#This Row],[education_Basic]]=1,"High School",(IF(ifood_data[[#This Row],[education_Graduation]]=1,"Undergraduate Degree",(IF(SUM(AM1225,AL1225,AI1225)&gt;0,"Master's Degree or Higher","Other")))))</f>
        <v>Undergraduate Degree</v>
      </c>
      <c r="AV1225" t="str">
        <f>IF(ifood_data[[#All],[Income]]&gt;75000,"75K+",(IF(ifood_data[[#All],[Income]]&gt;50000,"50K-75K",(IF(ifood_data[[#All],[Income]]&gt;35000,"35K-50K","&lt;35K")))))</f>
        <v>35K-50K</v>
      </c>
      <c r="AW1225" t="str">
        <f>IF(ifood_data[[#All],[Age]]&gt;60,"60+",(IF(ifood_data[[#All],[Age]]&gt;50,"50-60",(IF(ifood_data[[#All],[Age]]&gt;40,"40-50",(IF(ifood_data[[#All],[Age]]&gt;30,"30-40","&lt;30")))))))</f>
        <v>60+</v>
      </c>
      <c r="AX1225">
        <f t="shared" si="76"/>
        <v>14</v>
      </c>
      <c r="AY1225">
        <f t="shared" si="77"/>
        <v>10</v>
      </c>
      <c r="AZ1225">
        <f t="shared" si="78"/>
        <v>2</v>
      </c>
      <c r="BA1225">
        <f t="shared" si="79"/>
        <v>2</v>
      </c>
      <c r="BB1225">
        <f>SUM(ifood_data[[#This Row],[Recency Score]:[Monetary Score]])</f>
        <v>14</v>
      </c>
      <c r="BC1225">
        <f>(_xlfn.PERCENTRANK.INC(ifood_data[[#All],[RFM]],ifood_data[[#This Row],[RFM]],1))*10</f>
        <v>4</v>
      </c>
      <c r="BD1225" t="str">
        <f>VLOOKUP(ifood_data[[#This Row],[RFM Score]],'RFM Analysis'!$A$3:$B$14,2,FALSE)</f>
        <v>At Risk</v>
      </c>
      <c r="BE1225">
        <f>'Regression Models'!$B$101+'Regression Models'!$B$102*ifood_data[[#This Row],[Income]]+'Regression Models'!$B$103*ifood_data[[#This Row],[Age]]+'Regression Models'!$B$104*ifood_data[[#This Row],[Family]]</f>
        <v>358.79939682295742</v>
      </c>
      <c r="BF1225" t="str">
        <f>IF(ifood_data[[#This Row],[AcceptedCmpOverall]]=1,"Campaign Respondent","Non-respondent")</f>
        <v>Non-respondent</v>
      </c>
    </row>
    <row r="1226" spans="1:58" x14ac:dyDescent="0.35">
      <c r="A1226">
        <v>1739</v>
      </c>
      <c r="B1226">
        <v>45688</v>
      </c>
      <c r="C1226">
        <v>0</v>
      </c>
      <c r="D1226">
        <v>1</v>
      </c>
      <c r="E1226">
        <v>20</v>
      </c>
      <c r="F1226">
        <v>279</v>
      </c>
      <c r="G1226">
        <v>0</v>
      </c>
      <c r="H1226">
        <v>18</v>
      </c>
      <c r="I1226">
        <v>0</v>
      </c>
      <c r="J1226">
        <v>0</v>
      </c>
      <c r="K1226">
        <v>9</v>
      </c>
      <c r="L1226">
        <v>2</v>
      </c>
      <c r="M1226">
        <v>3</v>
      </c>
      <c r="N1226">
        <v>1</v>
      </c>
      <c r="O1226">
        <v>8</v>
      </c>
      <c r="P1226">
        <v>4</v>
      </c>
      <c r="Q1226">
        <v>0</v>
      </c>
      <c r="R1226">
        <v>0</v>
      </c>
      <c r="S1226">
        <v>0</v>
      </c>
      <c r="T1226">
        <v>1</v>
      </c>
      <c r="U1226">
        <v>0</v>
      </c>
      <c r="V1226">
        <f>IF(SUM(ifood_data[[#This Row],[AcceptedCmp1]:[AcceptedCmp5]])&gt;0,1,0)</f>
        <v>1</v>
      </c>
      <c r="W1226">
        <v>0</v>
      </c>
      <c r="X1226">
        <v>3</v>
      </c>
      <c r="Y1226">
        <v>11</v>
      </c>
      <c r="Z1226">
        <v>0</v>
      </c>
      <c r="AA1226">
        <v>52</v>
      </c>
      <c r="AB1226">
        <v>2314</v>
      </c>
      <c r="AC1226" s="28">
        <f>ifood_data[[#This Row],[Customer_Days]]/365</f>
        <v>6.3397260273972602</v>
      </c>
      <c r="AD1226">
        <v>0</v>
      </c>
      <c r="AE1226">
        <v>1</v>
      </c>
      <c r="AF1226">
        <v>0</v>
      </c>
      <c r="AG1226">
        <v>0</v>
      </c>
      <c r="AH1226">
        <v>0</v>
      </c>
      <c r="AI1226">
        <v>0</v>
      </c>
      <c r="AJ1226">
        <v>0</v>
      </c>
      <c r="AK1226">
        <v>1</v>
      </c>
      <c r="AL1226">
        <v>0</v>
      </c>
      <c r="AM1226">
        <v>0</v>
      </c>
      <c r="AN1226">
        <v>297</v>
      </c>
      <c r="AO1226">
        <v>288</v>
      </c>
      <c r="AP1226">
        <f>ifood_data[[#This Row],[MntTotal]]-ifood_data[[#This Row],[MntRegularProds]]</f>
        <v>9</v>
      </c>
      <c r="AQ1226">
        <v>1</v>
      </c>
      <c r="AR1226">
        <f>IF(SUM(ifood_data[[#This Row],[Kidhome]:[Teenhome]])&gt;0,1,0)</f>
        <v>1</v>
      </c>
      <c r="AS1226" t="str">
        <f>IF(SUM(ifood_data[[#This Row],[Kidhome]:[Teenhome]])&gt;0,"Has Family","No Family")</f>
        <v>Has Family</v>
      </c>
      <c r="AT1226" t="str">
        <f>IF(ifood_data[[#This Row],[marital_Married]]=1,"Married", (IF(ifood_data[[#This Row],[marital_Single]]=1,"Single",(IF(ifood_data[[#This Row],[marital_Divorced]]=1,"Divorced",(IF(ifood_data[[#This Row],[marital_Together]]=1,"Living Together",(IF(ifood_data[[#This Row],[marital_Widow]]=1,"Widow","Other")))))))))</f>
        <v>Married</v>
      </c>
      <c r="AU1226" t="str">
        <f>IF(ifood_data[[#This Row],[education_Basic]]=1,"High School",(IF(ifood_data[[#This Row],[education_Graduation]]=1,"Undergraduate Degree",(IF(SUM(AM1226,AL1226,AI1226)&gt;0,"Master's Degree or Higher","Other")))))</f>
        <v>Undergraduate Degree</v>
      </c>
      <c r="AV1226" t="str">
        <f>IF(ifood_data[[#All],[Income]]&gt;75000,"75K+",(IF(ifood_data[[#All],[Income]]&gt;50000,"50K-75K",(IF(ifood_data[[#All],[Income]]&gt;35000,"35K-50K","&lt;35K")))))</f>
        <v>35K-50K</v>
      </c>
      <c r="AW1226" t="str">
        <f>IF(ifood_data[[#All],[Age]]&gt;60,"60+",(IF(ifood_data[[#All],[Age]]&gt;50,"50-60",(IF(ifood_data[[#All],[Age]]&gt;40,"40-50",(IF(ifood_data[[#All],[Age]]&gt;30,"30-40","&lt;30")))))))</f>
        <v>50-60</v>
      </c>
      <c r="AX1226">
        <f t="shared" si="76"/>
        <v>18</v>
      </c>
      <c r="AY1226">
        <f t="shared" si="77"/>
        <v>8</v>
      </c>
      <c r="AZ1226">
        <f t="shared" si="78"/>
        <v>4</v>
      </c>
      <c r="BA1226">
        <f t="shared" si="79"/>
        <v>4</v>
      </c>
      <c r="BB1226">
        <f>SUM(ifood_data[[#This Row],[Recency Score]:[Monetary Score]])</f>
        <v>16</v>
      </c>
      <c r="BC1226">
        <f>(_xlfn.PERCENTRANK.INC(ifood_data[[#All],[RFM]],ifood_data[[#This Row],[RFM]],1))*10</f>
        <v>5</v>
      </c>
      <c r="BD1226" t="str">
        <f>VLOOKUP(ifood_data[[#This Row],[RFM Score]],'RFM Analysis'!$A$3:$B$14,2,FALSE)</f>
        <v>Promising</v>
      </c>
      <c r="BE1226">
        <f>'Regression Models'!$B$101+'Regression Models'!$B$102*ifood_data[[#This Row],[Income]]+'Regression Models'!$B$103*ifood_data[[#This Row],[Age]]+'Regression Models'!$B$104*ifood_data[[#This Row],[Family]]</f>
        <v>358.59831950846842</v>
      </c>
      <c r="BF1226" t="str">
        <f>IF(ifood_data[[#This Row],[AcceptedCmpOverall]]=1,"Campaign Respondent","Non-respondent")</f>
        <v>Campaign Respondent</v>
      </c>
    </row>
    <row r="1227" spans="1:58" x14ac:dyDescent="0.35">
      <c r="A1227">
        <v>242</v>
      </c>
      <c r="B1227">
        <v>45989</v>
      </c>
      <c r="C1227">
        <v>0</v>
      </c>
      <c r="D1227">
        <v>1</v>
      </c>
      <c r="E1227">
        <v>97</v>
      </c>
      <c r="F1227">
        <v>138</v>
      </c>
      <c r="G1227">
        <v>33</v>
      </c>
      <c r="H1227">
        <v>87</v>
      </c>
      <c r="I1227">
        <v>28</v>
      </c>
      <c r="J1227">
        <v>24</v>
      </c>
      <c r="K1227">
        <v>12</v>
      </c>
      <c r="L1227">
        <v>4</v>
      </c>
      <c r="M1227">
        <v>3</v>
      </c>
      <c r="N1227">
        <v>2</v>
      </c>
      <c r="O1227">
        <v>7</v>
      </c>
      <c r="P1227">
        <v>3</v>
      </c>
      <c r="Q1227">
        <v>0</v>
      </c>
      <c r="R1227">
        <v>0</v>
      </c>
      <c r="S1227">
        <v>0</v>
      </c>
      <c r="T1227">
        <v>0</v>
      </c>
      <c r="U1227">
        <v>0</v>
      </c>
      <c r="V1227">
        <f>IF(SUM(ifood_data[[#This Row],[AcceptedCmp1]:[AcceptedCmp5]])&gt;0,1,0)</f>
        <v>0</v>
      </c>
      <c r="W1227">
        <v>0</v>
      </c>
      <c r="X1227">
        <v>3</v>
      </c>
      <c r="Y1227">
        <v>11</v>
      </c>
      <c r="Z1227">
        <v>0</v>
      </c>
      <c r="AA1227">
        <v>56</v>
      </c>
      <c r="AB1227">
        <v>2774</v>
      </c>
      <c r="AC1227" s="28">
        <f>ifood_data[[#This Row],[Customer_Days]]/365</f>
        <v>7.6</v>
      </c>
      <c r="AD1227">
        <v>0</v>
      </c>
      <c r="AE1227">
        <v>0</v>
      </c>
      <c r="AF1227">
        <v>1</v>
      </c>
      <c r="AG1227">
        <v>0</v>
      </c>
      <c r="AH1227">
        <v>0</v>
      </c>
      <c r="AI1227">
        <v>0</v>
      </c>
      <c r="AJ1227">
        <v>0</v>
      </c>
      <c r="AK1227">
        <v>1</v>
      </c>
      <c r="AL1227">
        <v>0</v>
      </c>
      <c r="AM1227">
        <v>0</v>
      </c>
      <c r="AN1227">
        <v>310</v>
      </c>
      <c r="AO1227">
        <v>298</v>
      </c>
      <c r="AP1227">
        <f>ifood_data[[#This Row],[MntTotal]]-ifood_data[[#This Row],[MntRegularProds]]</f>
        <v>12</v>
      </c>
      <c r="AQ1227">
        <v>0</v>
      </c>
      <c r="AR1227">
        <f>IF(SUM(ifood_data[[#This Row],[Kidhome]:[Teenhome]])&gt;0,1,0)</f>
        <v>1</v>
      </c>
      <c r="AS1227" t="str">
        <f>IF(SUM(ifood_data[[#This Row],[Kidhome]:[Teenhome]])&gt;0,"Has Family","No Family")</f>
        <v>Has Family</v>
      </c>
      <c r="AT1227" t="str">
        <f>IF(ifood_data[[#This Row],[marital_Married]]=1,"Married", (IF(ifood_data[[#This Row],[marital_Single]]=1,"Single",(IF(ifood_data[[#This Row],[marital_Divorced]]=1,"Divorced",(IF(ifood_data[[#This Row],[marital_Together]]=1,"Living Together",(IF(ifood_data[[#This Row],[marital_Widow]]=1,"Widow","Other")))))))))</f>
        <v>Single</v>
      </c>
      <c r="AU1227" t="str">
        <f>IF(ifood_data[[#This Row],[education_Basic]]=1,"High School",(IF(ifood_data[[#This Row],[education_Graduation]]=1,"Undergraduate Degree",(IF(SUM(AM1227,AL1227,AI1227)&gt;0,"Master's Degree or Higher","Other")))))</f>
        <v>Undergraduate Degree</v>
      </c>
      <c r="AV1227" t="str">
        <f>IF(ifood_data[[#All],[Income]]&gt;75000,"75K+",(IF(ifood_data[[#All],[Income]]&gt;50000,"50K-75K",(IF(ifood_data[[#All],[Income]]&gt;35000,"35K-50K","&lt;35K")))))</f>
        <v>35K-50K</v>
      </c>
      <c r="AW1227" t="str">
        <f>IF(ifood_data[[#All],[Age]]&gt;60,"60+",(IF(ifood_data[[#All],[Age]]&gt;50,"50-60",(IF(ifood_data[[#All],[Age]]&gt;40,"40-50",(IF(ifood_data[[#All],[Age]]&gt;30,"30-40","&lt;30")))))))</f>
        <v>50-60</v>
      </c>
      <c r="AX1227">
        <f t="shared" si="76"/>
        <v>19</v>
      </c>
      <c r="AY1227">
        <f t="shared" si="77"/>
        <v>0.99999999999999978</v>
      </c>
      <c r="AZ1227">
        <f t="shared" si="78"/>
        <v>4</v>
      </c>
      <c r="BA1227">
        <f t="shared" si="79"/>
        <v>4</v>
      </c>
      <c r="BB1227">
        <f>SUM(ifood_data[[#This Row],[Recency Score]:[Monetary Score]])</f>
        <v>9</v>
      </c>
      <c r="BC1227">
        <f>(_xlfn.PERCENTRANK.INC(ifood_data[[#All],[RFM]],ifood_data[[#This Row],[RFM]],1))*10</f>
        <v>1</v>
      </c>
      <c r="BD1227" t="str">
        <f>VLOOKUP(ifood_data[[#This Row],[RFM Score]],'RFM Analysis'!$A$3:$B$14,2,FALSE)</f>
        <v>At Risk</v>
      </c>
      <c r="BE1227">
        <f>'Regression Models'!$B$101+'Regression Models'!$B$102*ifood_data[[#This Row],[Income]]+'Regression Models'!$B$103*ifood_data[[#This Row],[Age]]+'Regression Models'!$B$104*ifood_data[[#This Row],[Family]]</f>
        <v>357.38958240420493</v>
      </c>
      <c r="BF1227" t="str">
        <f>IF(ifood_data[[#This Row],[AcceptedCmpOverall]]=1,"Campaign Respondent","Non-respondent")</f>
        <v>Non-respondent</v>
      </c>
    </row>
    <row r="1228" spans="1:58" x14ac:dyDescent="0.35">
      <c r="A1228">
        <v>631</v>
      </c>
      <c r="B1228">
        <v>45068</v>
      </c>
      <c r="C1228">
        <v>0</v>
      </c>
      <c r="D1228">
        <v>1</v>
      </c>
      <c r="E1228">
        <v>25</v>
      </c>
      <c r="F1228">
        <v>14</v>
      </c>
      <c r="G1228">
        <v>0</v>
      </c>
      <c r="H1228">
        <v>3</v>
      </c>
      <c r="I1228">
        <v>0</v>
      </c>
      <c r="J1228">
        <v>0</v>
      </c>
      <c r="K1228">
        <v>3</v>
      </c>
      <c r="L1228">
        <v>1</v>
      </c>
      <c r="M1228">
        <v>1</v>
      </c>
      <c r="N1228">
        <v>0</v>
      </c>
      <c r="O1228">
        <v>2</v>
      </c>
      <c r="P1228">
        <v>7</v>
      </c>
      <c r="Q1228">
        <v>0</v>
      </c>
      <c r="R1228">
        <v>0</v>
      </c>
      <c r="S1228">
        <v>0</v>
      </c>
      <c r="T1228">
        <v>0</v>
      </c>
      <c r="U1228">
        <v>0</v>
      </c>
      <c r="V1228">
        <f>IF(SUM(ifood_data[[#This Row],[AcceptedCmp1]:[AcceptedCmp5]])&gt;0,1,0)</f>
        <v>0</v>
      </c>
      <c r="W1228">
        <v>0</v>
      </c>
      <c r="X1228">
        <v>3</v>
      </c>
      <c r="Y1228">
        <v>11</v>
      </c>
      <c r="Z1228">
        <v>0</v>
      </c>
      <c r="AA1228">
        <v>46</v>
      </c>
      <c r="AB1228">
        <v>2568</v>
      </c>
      <c r="AC1228" s="28">
        <f>ifood_data[[#This Row],[Customer_Days]]/365</f>
        <v>7.0356164383561648</v>
      </c>
      <c r="AD1228">
        <v>0</v>
      </c>
      <c r="AE1228">
        <v>0</v>
      </c>
      <c r="AF1228">
        <v>0</v>
      </c>
      <c r="AG1228">
        <v>1</v>
      </c>
      <c r="AH1228">
        <v>0</v>
      </c>
      <c r="AI1228">
        <v>0</v>
      </c>
      <c r="AJ1228">
        <v>0</v>
      </c>
      <c r="AK1228">
        <v>0</v>
      </c>
      <c r="AL1228">
        <v>0</v>
      </c>
      <c r="AM1228">
        <v>1</v>
      </c>
      <c r="AN1228">
        <v>17</v>
      </c>
      <c r="AO1228">
        <v>14</v>
      </c>
      <c r="AP1228">
        <f>ifood_data[[#This Row],[MntTotal]]-ifood_data[[#This Row],[MntRegularProds]]</f>
        <v>3</v>
      </c>
      <c r="AQ1228">
        <v>0</v>
      </c>
      <c r="AR1228">
        <f>IF(SUM(ifood_data[[#This Row],[Kidhome]:[Teenhome]])&gt;0,1,0)</f>
        <v>1</v>
      </c>
      <c r="AS1228" t="str">
        <f>IF(SUM(ifood_data[[#This Row],[Kidhome]:[Teenhome]])&gt;0,"Has Family","No Family")</f>
        <v>Has Family</v>
      </c>
      <c r="AT1228" t="str">
        <f>IF(ifood_data[[#This Row],[marital_Married]]=1,"Married", (IF(ifood_data[[#This Row],[marital_Single]]=1,"Single",(IF(ifood_data[[#This Row],[marital_Divorced]]=1,"Divorced",(IF(ifood_data[[#This Row],[marital_Together]]=1,"Living Together",(IF(ifood_data[[#This Row],[marital_Widow]]=1,"Widow","Other")))))))))</f>
        <v>Living Together</v>
      </c>
      <c r="AU1228" t="str">
        <f>IF(ifood_data[[#This Row],[education_Basic]]=1,"High School",(IF(ifood_data[[#This Row],[education_Graduation]]=1,"Undergraduate Degree",(IF(SUM(AM1228,AL1228,AI1228)&gt;0,"Master's Degree or Higher","Other")))))</f>
        <v>Master's Degree or Higher</v>
      </c>
      <c r="AV1228" t="str">
        <f>IF(ifood_data[[#All],[Income]]&gt;75000,"75K+",(IF(ifood_data[[#All],[Income]]&gt;50000,"50K-75K",(IF(ifood_data[[#All],[Income]]&gt;35000,"35K-50K","&lt;35K")))))</f>
        <v>35K-50K</v>
      </c>
      <c r="AW1228" t="str">
        <f>IF(ifood_data[[#All],[Age]]&gt;60,"60+",(IF(ifood_data[[#All],[Age]]&gt;50,"50-60",(IF(ifood_data[[#All],[Age]]&gt;40,"40-50",(IF(ifood_data[[#All],[Age]]&gt;30,"30-40","&lt;30")))))))</f>
        <v>40-50</v>
      </c>
      <c r="AX1228">
        <f t="shared" si="76"/>
        <v>11</v>
      </c>
      <c r="AY1228">
        <f t="shared" si="77"/>
        <v>8</v>
      </c>
      <c r="AZ1228">
        <f t="shared" si="78"/>
        <v>0</v>
      </c>
      <c r="BA1228">
        <f t="shared" si="79"/>
        <v>0</v>
      </c>
      <c r="BB1228">
        <f>SUM(ifood_data[[#This Row],[Recency Score]:[Monetary Score]])</f>
        <v>8</v>
      </c>
      <c r="BC1228">
        <f>(_xlfn.PERCENTRANK.INC(ifood_data[[#All],[RFM]],ifood_data[[#This Row],[RFM]],1))*10</f>
        <v>1</v>
      </c>
      <c r="BD1228" t="str">
        <f>VLOOKUP(ifood_data[[#This Row],[RFM Score]],'RFM Analysis'!$A$3:$B$14,2,FALSE)</f>
        <v>At Risk</v>
      </c>
      <c r="BE1228">
        <f>'Regression Models'!$B$101+'Regression Models'!$B$102*ifood_data[[#This Row],[Income]]+'Regression Models'!$B$103*ifood_data[[#This Row],[Age]]+'Regression Models'!$B$104*ifood_data[[#This Row],[Family]]</f>
        <v>356.97591773261684</v>
      </c>
      <c r="BF1228" t="str">
        <f>IF(ifood_data[[#This Row],[AcceptedCmpOverall]]=1,"Campaign Respondent","Non-respondent")</f>
        <v>Non-respondent</v>
      </c>
    </row>
    <row r="1229" spans="1:58" x14ac:dyDescent="0.35">
      <c r="A1229">
        <v>604</v>
      </c>
      <c r="B1229">
        <v>46102</v>
      </c>
      <c r="C1229">
        <v>2</v>
      </c>
      <c r="D1229">
        <v>1</v>
      </c>
      <c r="E1229">
        <v>3</v>
      </c>
      <c r="F1229">
        <v>14</v>
      </c>
      <c r="G1229">
        <v>0</v>
      </c>
      <c r="H1229">
        <v>1</v>
      </c>
      <c r="I1229">
        <v>0</v>
      </c>
      <c r="J1229">
        <v>0</v>
      </c>
      <c r="K1229">
        <v>1</v>
      </c>
      <c r="L1229">
        <v>1</v>
      </c>
      <c r="M1229">
        <v>1</v>
      </c>
      <c r="N1229">
        <v>0</v>
      </c>
      <c r="O1229">
        <v>2</v>
      </c>
      <c r="P1229">
        <v>7</v>
      </c>
      <c r="Q1229">
        <v>0</v>
      </c>
      <c r="R1229">
        <v>0</v>
      </c>
      <c r="S1229">
        <v>0</v>
      </c>
      <c r="T1229">
        <v>0</v>
      </c>
      <c r="U1229">
        <v>0</v>
      </c>
      <c r="V1229">
        <f>IF(SUM(ifood_data[[#This Row],[AcceptedCmp1]:[AcceptedCmp5]])&gt;0,1,0)</f>
        <v>0</v>
      </c>
      <c r="W1229">
        <v>0</v>
      </c>
      <c r="X1229">
        <v>3</v>
      </c>
      <c r="Y1229">
        <v>11</v>
      </c>
      <c r="Z1229">
        <v>0</v>
      </c>
      <c r="AA1229">
        <v>58</v>
      </c>
      <c r="AB1229">
        <v>2270</v>
      </c>
      <c r="AC1229" s="28">
        <f>ifood_data[[#This Row],[Customer_Days]]/365</f>
        <v>6.2191780821917808</v>
      </c>
      <c r="AD1229">
        <v>1</v>
      </c>
      <c r="AE1229">
        <v>0</v>
      </c>
      <c r="AF1229">
        <v>0</v>
      </c>
      <c r="AG1229">
        <v>0</v>
      </c>
      <c r="AH1229">
        <v>0</v>
      </c>
      <c r="AI1229">
        <v>0</v>
      </c>
      <c r="AJ1229">
        <v>0</v>
      </c>
      <c r="AK1229">
        <v>1</v>
      </c>
      <c r="AL1229">
        <v>0</v>
      </c>
      <c r="AM1229">
        <v>0</v>
      </c>
      <c r="AN1229">
        <v>15</v>
      </c>
      <c r="AO1229">
        <v>14</v>
      </c>
      <c r="AP1229">
        <f>ifood_data[[#This Row],[MntTotal]]-ifood_data[[#This Row],[MntRegularProds]]</f>
        <v>1</v>
      </c>
      <c r="AQ1229">
        <v>0</v>
      </c>
      <c r="AR1229">
        <f>IF(SUM(ifood_data[[#This Row],[Kidhome]:[Teenhome]])&gt;0,1,0)</f>
        <v>1</v>
      </c>
      <c r="AS1229" t="str">
        <f>IF(SUM(ifood_data[[#This Row],[Kidhome]:[Teenhome]])&gt;0,"Has Family","No Family")</f>
        <v>Has Family</v>
      </c>
      <c r="AT1229" t="str">
        <f>IF(ifood_data[[#This Row],[marital_Married]]=1,"Married", (IF(ifood_data[[#This Row],[marital_Single]]=1,"Single",(IF(ifood_data[[#This Row],[marital_Divorced]]=1,"Divorced",(IF(ifood_data[[#This Row],[marital_Together]]=1,"Living Together",(IF(ifood_data[[#This Row],[marital_Widow]]=1,"Widow","Other")))))))))</f>
        <v>Divorced</v>
      </c>
      <c r="AU1229" t="str">
        <f>IF(ifood_data[[#This Row],[education_Basic]]=1,"High School",(IF(ifood_data[[#This Row],[education_Graduation]]=1,"Undergraduate Degree",(IF(SUM(AM1229,AL1229,AI1229)&gt;0,"Master's Degree or Higher","Other")))))</f>
        <v>Undergraduate Degree</v>
      </c>
      <c r="AV1229" t="str">
        <f>IF(ifood_data[[#All],[Income]]&gt;75000,"75K+",(IF(ifood_data[[#All],[Income]]&gt;50000,"50K-75K",(IF(ifood_data[[#All],[Income]]&gt;35000,"35K-50K","&lt;35K")))))</f>
        <v>35K-50K</v>
      </c>
      <c r="AW1229" t="str">
        <f>IF(ifood_data[[#All],[Age]]&gt;60,"60+",(IF(ifood_data[[#All],[Age]]&gt;50,"50-60",(IF(ifood_data[[#All],[Age]]&gt;40,"40-50",(IF(ifood_data[[#All],[Age]]&gt;30,"30-40","&lt;30")))))))</f>
        <v>50-60</v>
      </c>
      <c r="AX1229">
        <f t="shared" si="76"/>
        <v>11</v>
      </c>
      <c r="AY1229">
        <f t="shared" si="77"/>
        <v>10</v>
      </c>
      <c r="AZ1229">
        <f t="shared" si="78"/>
        <v>0</v>
      </c>
      <c r="BA1229">
        <f t="shared" si="79"/>
        <v>0</v>
      </c>
      <c r="BB1229">
        <f>SUM(ifood_data[[#This Row],[Recency Score]:[Monetary Score]])</f>
        <v>10</v>
      </c>
      <c r="BC1229">
        <f>(_xlfn.PERCENTRANK.INC(ifood_data[[#All],[RFM]],ifood_data[[#This Row],[RFM]],1))*10</f>
        <v>2</v>
      </c>
      <c r="BD1229" t="str">
        <f>VLOOKUP(ifood_data[[#This Row],[RFM Score]],'RFM Analysis'!$A$3:$B$14,2,FALSE)</f>
        <v>At Risk</v>
      </c>
      <c r="BE1229">
        <f>'Regression Models'!$B$101+'Regression Models'!$B$102*ifood_data[[#This Row],[Income]]+'Regression Models'!$B$103*ifood_data[[#This Row],[Age]]+'Regression Models'!$B$104*ifood_data[[#This Row],[Family]]</f>
        <v>356.02063504667694</v>
      </c>
      <c r="BF1229" t="str">
        <f>IF(ifood_data[[#This Row],[AcceptedCmpOverall]]=1,"Campaign Respondent","Non-respondent")</f>
        <v>Non-respondent</v>
      </c>
    </row>
    <row r="1230" spans="1:58" x14ac:dyDescent="0.35">
      <c r="A1230">
        <v>611</v>
      </c>
      <c r="B1230">
        <v>45906</v>
      </c>
      <c r="C1230">
        <v>0</v>
      </c>
      <c r="D1230">
        <v>1</v>
      </c>
      <c r="E1230">
        <v>20</v>
      </c>
      <c r="F1230">
        <v>305</v>
      </c>
      <c r="G1230">
        <v>3</v>
      </c>
      <c r="H1230">
        <v>27</v>
      </c>
      <c r="I1230">
        <v>4</v>
      </c>
      <c r="J1230">
        <v>3</v>
      </c>
      <c r="K1230">
        <v>144</v>
      </c>
      <c r="L1230">
        <v>2</v>
      </c>
      <c r="M1230">
        <v>5</v>
      </c>
      <c r="N1230">
        <v>4</v>
      </c>
      <c r="O1230">
        <v>4</v>
      </c>
      <c r="P1230">
        <v>5</v>
      </c>
      <c r="Q1230">
        <v>0</v>
      </c>
      <c r="R1230">
        <v>0</v>
      </c>
      <c r="S1230">
        <v>1</v>
      </c>
      <c r="T1230">
        <v>0</v>
      </c>
      <c r="U1230">
        <v>0</v>
      </c>
      <c r="V1230">
        <f>IF(SUM(ifood_data[[#This Row],[AcceptedCmp1]:[AcceptedCmp5]])&gt;0,1,0)</f>
        <v>1</v>
      </c>
      <c r="W1230">
        <v>0</v>
      </c>
      <c r="X1230">
        <v>3</v>
      </c>
      <c r="Y1230">
        <v>11</v>
      </c>
      <c r="Z1230">
        <v>0</v>
      </c>
      <c r="AA1230">
        <v>56</v>
      </c>
      <c r="AB1230">
        <v>2577</v>
      </c>
      <c r="AC1230" s="28">
        <f>ifood_data[[#This Row],[Customer_Days]]/365</f>
        <v>7.0602739726027401</v>
      </c>
      <c r="AD1230">
        <v>0</v>
      </c>
      <c r="AE1230">
        <v>0</v>
      </c>
      <c r="AF1230">
        <v>1</v>
      </c>
      <c r="AG1230">
        <v>0</v>
      </c>
      <c r="AH1230">
        <v>0</v>
      </c>
      <c r="AI1230">
        <v>0</v>
      </c>
      <c r="AJ1230">
        <v>0</v>
      </c>
      <c r="AK1230">
        <v>1</v>
      </c>
      <c r="AL1230">
        <v>0</v>
      </c>
      <c r="AM1230">
        <v>0</v>
      </c>
      <c r="AN1230">
        <v>342</v>
      </c>
      <c r="AO1230">
        <v>198</v>
      </c>
      <c r="AP1230">
        <f>ifood_data[[#This Row],[MntTotal]]-ifood_data[[#This Row],[MntRegularProds]]</f>
        <v>144</v>
      </c>
      <c r="AQ1230">
        <v>1</v>
      </c>
      <c r="AR1230">
        <f>IF(SUM(ifood_data[[#This Row],[Kidhome]:[Teenhome]])&gt;0,1,0)</f>
        <v>1</v>
      </c>
      <c r="AS1230" t="str">
        <f>IF(SUM(ifood_data[[#This Row],[Kidhome]:[Teenhome]])&gt;0,"Has Family","No Family")</f>
        <v>Has Family</v>
      </c>
      <c r="AT1230" t="str">
        <f>IF(ifood_data[[#This Row],[marital_Married]]=1,"Married", (IF(ifood_data[[#This Row],[marital_Single]]=1,"Single",(IF(ifood_data[[#This Row],[marital_Divorced]]=1,"Divorced",(IF(ifood_data[[#This Row],[marital_Together]]=1,"Living Together",(IF(ifood_data[[#This Row],[marital_Widow]]=1,"Widow","Other")))))))))</f>
        <v>Single</v>
      </c>
      <c r="AU1230" t="str">
        <f>IF(ifood_data[[#This Row],[education_Basic]]=1,"High School",(IF(ifood_data[[#This Row],[education_Graduation]]=1,"Undergraduate Degree",(IF(SUM(AM1230,AL1230,AI1230)&gt;0,"Master's Degree or Higher","Other")))))</f>
        <v>Undergraduate Degree</v>
      </c>
      <c r="AV1230" t="str">
        <f>IF(ifood_data[[#All],[Income]]&gt;75000,"75K+",(IF(ifood_data[[#All],[Income]]&gt;50000,"50K-75K",(IF(ifood_data[[#All],[Income]]&gt;35000,"35K-50K","&lt;35K")))))</f>
        <v>35K-50K</v>
      </c>
      <c r="AW1230" t="str">
        <f>IF(ifood_data[[#All],[Age]]&gt;60,"60+",(IF(ifood_data[[#All],[Age]]&gt;50,"50-60",(IF(ifood_data[[#All],[Age]]&gt;40,"40-50",(IF(ifood_data[[#All],[Age]]&gt;30,"30-40","&lt;30")))))))</f>
        <v>50-60</v>
      </c>
      <c r="AX1230">
        <f t="shared" si="76"/>
        <v>20</v>
      </c>
      <c r="AY1230">
        <f t="shared" si="77"/>
        <v>8</v>
      </c>
      <c r="AZ1230">
        <f t="shared" si="78"/>
        <v>4</v>
      </c>
      <c r="BA1230">
        <f t="shared" si="79"/>
        <v>4</v>
      </c>
      <c r="BB1230">
        <f>SUM(ifood_data[[#This Row],[Recency Score]:[Monetary Score]])</f>
        <v>16</v>
      </c>
      <c r="BC1230">
        <f>(_xlfn.PERCENTRANK.INC(ifood_data[[#All],[RFM]],ifood_data[[#This Row],[RFM]],1))*10</f>
        <v>5</v>
      </c>
      <c r="BD1230" t="str">
        <f>VLOOKUP(ifood_data[[#This Row],[RFM Score]],'RFM Analysis'!$A$3:$B$14,2,FALSE)</f>
        <v>Promising</v>
      </c>
      <c r="BE1230">
        <f>'Regression Models'!$B$101+'Regression Models'!$B$102*ifood_data[[#This Row],[Income]]+'Regression Models'!$B$103*ifood_data[[#This Row],[Age]]+'Regression Models'!$B$104*ifood_data[[#This Row],[Family]]</f>
        <v>355.69731464826134</v>
      </c>
      <c r="BF1230" t="str">
        <f>IF(ifood_data[[#This Row],[AcceptedCmpOverall]]=1,"Campaign Respondent","Non-respondent")</f>
        <v>Campaign Respondent</v>
      </c>
    </row>
    <row r="1231" spans="1:58" x14ac:dyDescent="0.35">
      <c r="A1231">
        <v>544</v>
      </c>
      <c r="B1231">
        <v>44989</v>
      </c>
      <c r="C1231">
        <v>0</v>
      </c>
      <c r="D1231">
        <v>1</v>
      </c>
      <c r="E1231">
        <v>26</v>
      </c>
      <c r="F1231">
        <v>98</v>
      </c>
      <c r="G1231">
        <v>0</v>
      </c>
      <c r="H1231">
        <v>106</v>
      </c>
      <c r="I1231">
        <v>49</v>
      </c>
      <c r="J1231">
        <v>10</v>
      </c>
      <c r="K1231">
        <v>106</v>
      </c>
      <c r="L1231">
        <v>5</v>
      </c>
      <c r="M1231">
        <v>5</v>
      </c>
      <c r="N1231">
        <v>1</v>
      </c>
      <c r="O1231">
        <v>5</v>
      </c>
      <c r="P1231">
        <v>6</v>
      </c>
      <c r="Q1231">
        <v>0</v>
      </c>
      <c r="R1231">
        <v>0</v>
      </c>
      <c r="S1231">
        <v>0</v>
      </c>
      <c r="T1231">
        <v>0</v>
      </c>
      <c r="U1231">
        <v>0</v>
      </c>
      <c r="V1231">
        <f>IF(SUM(ifood_data[[#This Row],[AcceptedCmp1]:[AcceptedCmp5]])&gt;0,1,0)</f>
        <v>0</v>
      </c>
      <c r="W1231">
        <v>0</v>
      </c>
      <c r="X1231">
        <v>3</v>
      </c>
      <c r="Y1231">
        <v>11</v>
      </c>
      <c r="Z1231">
        <v>0</v>
      </c>
      <c r="AA1231">
        <v>46</v>
      </c>
      <c r="AB1231">
        <v>2814</v>
      </c>
      <c r="AC1231" s="28">
        <f>ifood_data[[#This Row],[Customer_Days]]/365</f>
        <v>7.7095890410958905</v>
      </c>
      <c r="AD1231">
        <v>0</v>
      </c>
      <c r="AE1231">
        <v>1</v>
      </c>
      <c r="AF1231">
        <v>0</v>
      </c>
      <c r="AG1231">
        <v>0</v>
      </c>
      <c r="AH1231">
        <v>0</v>
      </c>
      <c r="AI1231">
        <v>0</v>
      </c>
      <c r="AJ1231">
        <v>0</v>
      </c>
      <c r="AK1231">
        <v>1</v>
      </c>
      <c r="AL1231">
        <v>0</v>
      </c>
      <c r="AM1231">
        <v>0</v>
      </c>
      <c r="AN1231">
        <v>263</v>
      </c>
      <c r="AO1231">
        <v>157</v>
      </c>
      <c r="AP1231">
        <f>ifood_data[[#This Row],[MntTotal]]-ifood_data[[#This Row],[MntRegularProds]]</f>
        <v>106</v>
      </c>
      <c r="AQ1231">
        <v>0</v>
      </c>
      <c r="AR1231">
        <f>IF(SUM(ifood_data[[#This Row],[Kidhome]:[Teenhome]])&gt;0,1,0)</f>
        <v>1</v>
      </c>
      <c r="AS1231" t="str">
        <f>IF(SUM(ifood_data[[#This Row],[Kidhome]:[Teenhome]])&gt;0,"Has Family","No Family")</f>
        <v>Has Family</v>
      </c>
      <c r="AT1231" t="str">
        <f>IF(ifood_data[[#This Row],[marital_Married]]=1,"Married", (IF(ifood_data[[#This Row],[marital_Single]]=1,"Single",(IF(ifood_data[[#This Row],[marital_Divorced]]=1,"Divorced",(IF(ifood_data[[#This Row],[marital_Together]]=1,"Living Together",(IF(ifood_data[[#This Row],[marital_Widow]]=1,"Widow","Other")))))))))</f>
        <v>Married</v>
      </c>
      <c r="AU1231" t="str">
        <f>IF(ifood_data[[#This Row],[education_Basic]]=1,"High School",(IF(ifood_data[[#This Row],[education_Graduation]]=1,"Undergraduate Degree",(IF(SUM(AM1231,AL1231,AI1231)&gt;0,"Master's Degree or Higher","Other")))))</f>
        <v>Undergraduate Degree</v>
      </c>
      <c r="AV1231" t="str">
        <f>IF(ifood_data[[#All],[Income]]&gt;75000,"75K+",(IF(ifood_data[[#All],[Income]]&gt;50000,"50K-75K",(IF(ifood_data[[#All],[Income]]&gt;35000,"35K-50K","&lt;35K")))))</f>
        <v>35K-50K</v>
      </c>
      <c r="AW1231" t="str">
        <f>IF(ifood_data[[#All],[Age]]&gt;60,"60+",(IF(ifood_data[[#All],[Age]]&gt;50,"50-60",(IF(ifood_data[[#All],[Age]]&gt;40,"40-50",(IF(ifood_data[[#All],[Age]]&gt;30,"30-40","&lt;30")))))))</f>
        <v>40-50</v>
      </c>
      <c r="AX1231">
        <f t="shared" si="76"/>
        <v>22</v>
      </c>
      <c r="AY1231">
        <f t="shared" si="77"/>
        <v>8</v>
      </c>
      <c r="AZ1231">
        <f t="shared" si="78"/>
        <v>5</v>
      </c>
      <c r="BA1231">
        <f t="shared" si="79"/>
        <v>4</v>
      </c>
      <c r="BB1231">
        <f>SUM(ifood_data[[#This Row],[Recency Score]:[Monetary Score]])</f>
        <v>17</v>
      </c>
      <c r="BC1231">
        <f>(_xlfn.PERCENTRANK.INC(ifood_data[[#All],[RFM]],ifood_data[[#This Row],[RFM]],1))*10</f>
        <v>6</v>
      </c>
      <c r="BD1231" t="str">
        <f>VLOOKUP(ifood_data[[#This Row],[RFM Score]],'RFM Analysis'!$A$3:$B$14,2,FALSE)</f>
        <v>Promising</v>
      </c>
      <c r="BE1231">
        <f>'Regression Models'!$B$101+'Regression Models'!$B$102*ifood_data[[#This Row],[Income]]+'Regression Models'!$B$103*ifood_data[[#This Row],[Age]]+'Regression Models'!$B$104*ifood_data[[#This Row],[Family]]</f>
        <v>355.36520504924874</v>
      </c>
      <c r="BF1231" t="str">
        <f>IF(ifood_data[[#This Row],[AcceptedCmpOverall]]=1,"Campaign Respondent","Non-respondent")</f>
        <v>Non-respondent</v>
      </c>
    </row>
    <row r="1232" spans="1:58" x14ac:dyDescent="0.35">
      <c r="A1232">
        <v>1062</v>
      </c>
      <c r="B1232">
        <v>46734</v>
      </c>
      <c r="C1232">
        <v>0</v>
      </c>
      <c r="D1232">
        <v>1</v>
      </c>
      <c r="E1232">
        <v>40</v>
      </c>
      <c r="F1232">
        <v>110</v>
      </c>
      <c r="G1232">
        <v>5</v>
      </c>
      <c r="H1232">
        <v>137</v>
      </c>
      <c r="I1232">
        <v>26</v>
      </c>
      <c r="J1232">
        <v>23</v>
      </c>
      <c r="K1232">
        <v>29</v>
      </c>
      <c r="L1232">
        <v>2</v>
      </c>
      <c r="M1232">
        <v>6</v>
      </c>
      <c r="N1232">
        <v>1</v>
      </c>
      <c r="O1232">
        <v>5</v>
      </c>
      <c r="P1232">
        <v>7</v>
      </c>
      <c r="Q1232">
        <v>0</v>
      </c>
      <c r="R1232">
        <v>0</v>
      </c>
      <c r="S1232">
        <v>0</v>
      </c>
      <c r="T1232">
        <v>0</v>
      </c>
      <c r="U1232">
        <v>0</v>
      </c>
      <c r="V1232">
        <f>IF(SUM(ifood_data[[#This Row],[AcceptedCmp1]:[AcceptedCmp5]])&gt;0,1,0)</f>
        <v>0</v>
      </c>
      <c r="W1232">
        <v>0</v>
      </c>
      <c r="X1232">
        <v>3</v>
      </c>
      <c r="Y1232">
        <v>11</v>
      </c>
      <c r="Z1232">
        <v>0</v>
      </c>
      <c r="AA1232">
        <v>66</v>
      </c>
      <c r="AB1232">
        <v>2747</v>
      </c>
      <c r="AC1232" s="28">
        <f>ifood_data[[#This Row],[Customer_Days]]/365</f>
        <v>7.5260273972602736</v>
      </c>
      <c r="AD1232">
        <v>0</v>
      </c>
      <c r="AE1232">
        <v>1</v>
      </c>
      <c r="AF1232">
        <v>0</v>
      </c>
      <c r="AG1232">
        <v>0</v>
      </c>
      <c r="AH1232">
        <v>0</v>
      </c>
      <c r="AI1232">
        <v>0</v>
      </c>
      <c r="AJ1232">
        <v>0</v>
      </c>
      <c r="AK1232">
        <v>1</v>
      </c>
      <c r="AL1232">
        <v>0</v>
      </c>
      <c r="AM1232">
        <v>0</v>
      </c>
      <c r="AN1232">
        <v>301</v>
      </c>
      <c r="AO1232">
        <v>272</v>
      </c>
      <c r="AP1232">
        <f>ifood_data[[#This Row],[MntTotal]]-ifood_data[[#This Row],[MntRegularProds]]</f>
        <v>29</v>
      </c>
      <c r="AQ1232">
        <v>0</v>
      </c>
      <c r="AR1232">
        <f>IF(SUM(ifood_data[[#This Row],[Kidhome]:[Teenhome]])&gt;0,1,0)</f>
        <v>1</v>
      </c>
      <c r="AS1232" t="str">
        <f>IF(SUM(ifood_data[[#This Row],[Kidhome]:[Teenhome]])&gt;0,"Has Family","No Family")</f>
        <v>Has Family</v>
      </c>
      <c r="AT1232" t="str">
        <f>IF(ifood_data[[#This Row],[marital_Married]]=1,"Married", (IF(ifood_data[[#This Row],[marital_Single]]=1,"Single",(IF(ifood_data[[#This Row],[marital_Divorced]]=1,"Divorced",(IF(ifood_data[[#This Row],[marital_Together]]=1,"Living Together",(IF(ifood_data[[#This Row],[marital_Widow]]=1,"Widow","Other")))))))))</f>
        <v>Married</v>
      </c>
      <c r="AU1232" t="str">
        <f>IF(ifood_data[[#This Row],[education_Basic]]=1,"High School",(IF(ifood_data[[#This Row],[education_Graduation]]=1,"Undergraduate Degree",(IF(SUM(AM1232,AL1232,AI1232)&gt;0,"Master's Degree or Higher","Other")))))</f>
        <v>Undergraduate Degree</v>
      </c>
      <c r="AV1232" t="str">
        <f>IF(ifood_data[[#All],[Income]]&gt;75000,"75K+",(IF(ifood_data[[#All],[Income]]&gt;50000,"50K-75K",(IF(ifood_data[[#All],[Income]]&gt;35000,"35K-50K","&lt;35K")))))</f>
        <v>35K-50K</v>
      </c>
      <c r="AW1232" t="str">
        <f>IF(ifood_data[[#All],[Age]]&gt;60,"60+",(IF(ifood_data[[#All],[Age]]&gt;50,"50-60",(IF(ifood_data[[#All],[Age]]&gt;40,"40-50",(IF(ifood_data[[#All],[Age]]&gt;30,"30-40","&lt;30")))))))</f>
        <v>60+</v>
      </c>
      <c r="AX1232">
        <f t="shared" si="76"/>
        <v>21</v>
      </c>
      <c r="AY1232">
        <f t="shared" si="77"/>
        <v>6</v>
      </c>
      <c r="AZ1232">
        <f t="shared" si="78"/>
        <v>5</v>
      </c>
      <c r="BA1232">
        <f t="shared" si="79"/>
        <v>4</v>
      </c>
      <c r="BB1232">
        <f>SUM(ifood_data[[#This Row],[Recency Score]:[Monetary Score]])</f>
        <v>15</v>
      </c>
      <c r="BC1232">
        <f>(_xlfn.PERCENTRANK.INC(ifood_data[[#All],[RFM]],ifood_data[[#This Row],[RFM]],1))*10</f>
        <v>4</v>
      </c>
      <c r="BD1232" t="str">
        <f>VLOOKUP(ifood_data[[#This Row],[RFM Score]],'RFM Analysis'!$A$3:$B$14,2,FALSE)</f>
        <v>At Risk</v>
      </c>
      <c r="BE1232">
        <f>'Regression Models'!$B$101+'Regression Models'!$B$102*ifood_data[[#This Row],[Income]]+'Regression Models'!$B$103*ifood_data[[#This Row],[Age]]+'Regression Models'!$B$104*ifood_data[[#This Row],[Family]]</f>
        <v>354.21482388246693</v>
      </c>
      <c r="BF1232" t="str">
        <f>IF(ifood_data[[#This Row],[AcceptedCmpOverall]]=1,"Campaign Respondent","Non-respondent")</f>
        <v>Non-respondent</v>
      </c>
    </row>
    <row r="1233" spans="1:58" x14ac:dyDescent="0.35">
      <c r="A1233">
        <v>176</v>
      </c>
      <c r="B1233">
        <v>45759</v>
      </c>
      <c r="C1233">
        <v>1</v>
      </c>
      <c r="D1233">
        <v>1</v>
      </c>
      <c r="E1233">
        <v>13</v>
      </c>
      <c r="F1233">
        <v>42</v>
      </c>
      <c r="G1233">
        <v>1</v>
      </c>
      <c r="H1233">
        <v>18</v>
      </c>
      <c r="I1233">
        <v>3</v>
      </c>
      <c r="J1233">
        <v>0</v>
      </c>
      <c r="K1233">
        <v>4</v>
      </c>
      <c r="L1233">
        <v>2</v>
      </c>
      <c r="M1233">
        <v>2</v>
      </c>
      <c r="N1233">
        <v>0</v>
      </c>
      <c r="O1233">
        <v>3</v>
      </c>
      <c r="P1233">
        <v>7</v>
      </c>
      <c r="Q1233">
        <v>0</v>
      </c>
      <c r="R1233">
        <v>0</v>
      </c>
      <c r="S1233">
        <v>0</v>
      </c>
      <c r="T1233">
        <v>0</v>
      </c>
      <c r="U1233">
        <v>0</v>
      </c>
      <c r="V1233">
        <f>IF(SUM(ifood_data[[#This Row],[AcceptedCmp1]:[AcceptedCmp5]])&gt;0,1,0)</f>
        <v>0</v>
      </c>
      <c r="W1233">
        <v>0</v>
      </c>
      <c r="X1233">
        <v>3</v>
      </c>
      <c r="Y1233">
        <v>11</v>
      </c>
      <c r="Z1233">
        <v>0</v>
      </c>
      <c r="AA1233">
        <v>56</v>
      </c>
      <c r="AB1233">
        <v>2650</v>
      </c>
      <c r="AC1233" s="28">
        <f>ifood_data[[#This Row],[Customer_Days]]/365</f>
        <v>7.2602739726027394</v>
      </c>
      <c r="AD1233">
        <v>0</v>
      </c>
      <c r="AE1233">
        <v>1</v>
      </c>
      <c r="AF1233">
        <v>0</v>
      </c>
      <c r="AG1233">
        <v>0</v>
      </c>
      <c r="AH1233">
        <v>0</v>
      </c>
      <c r="AI1233">
        <v>0</v>
      </c>
      <c r="AJ1233">
        <v>0</v>
      </c>
      <c r="AK1233">
        <v>0</v>
      </c>
      <c r="AL1233">
        <v>0</v>
      </c>
      <c r="AM1233">
        <v>1</v>
      </c>
      <c r="AN1233">
        <v>64</v>
      </c>
      <c r="AO1233">
        <v>60</v>
      </c>
      <c r="AP1233">
        <f>ifood_data[[#This Row],[MntTotal]]-ifood_data[[#This Row],[MntRegularProds]]</f>
        <v>4</v>
      </c>
      <c r="AQ1233">
        <v>0</v>
      </c>
      <c r="AR1233">
        <f>IF(SUM(ifood_data[[#This Row],[Kidhome]:[Teenhome]])&gt;0,1,0)</f>
        <v>1</v>
      </c>
      <c r="AS1233" t="str">
        <f>IF(SUM(ifood_data[[#This Row],[Kidhome]:[Teenhome]])&gt;0,"Has Family","No Family")</f>
        <v>Has Family</v>
      </c>
      <c r="AT1233" t="str">
        <f>IF(ifood_data[[#This Row],[marital_Married]]=1,"Married", (IF(ifood_data[[#This Row],[marital_Single]]=1,"Single",(IF(ifood_data[[#This Row],[marital_Divorced]]=1,"Divorced",(IF(ifood_data[[#This Row],[marital_Together]]=1,"Living Together",(IF(ifood_data[[#This Row],[marital_Widow]]=1,"Widow","Other")))))))))</f>
        <v>Married</v>
      </c>
      <c r="AU1233" t="str">
        <f>IF(ifood_data[[#This Row],[education_Basic]]=1,"High School",(IF(ifood_data[[#This Row],[education_Graduation]]=1,"Undergraduate Degree",(IF(SUM(AM1233,AL1233,AI1233)&gt;0,"Master's Degree or Higher","Other")))))</f>
        <v>Master's Degree or Higher</v>
      </c>
      <c r="AV1233" t="str">
        <f>IF(ifood_data[[#All],[Income]]&gt;75000,"75K+",(IF(ifood_data[[#All],[Income]]&gt;50000,"50K-75K",(IF(ifood_data[[#All],[Income]]&gt;35000,"35K-50K","&lt;35K")))))</f>
        <v>35K-50K</v>
      </c>
      <c r="AW1233" t="str">
        <f>IF(ifood_data[[#All],[Age]]&gt;60,"60+",(IF(ifood_data[[#All],[Age]]&gt;50,"50-60",(IF(ifood_data[[#All],[Age]]&gt;40,"40-50",(IF(ifood_data[[#All],[Age]]&gt;30,"30-40","&lt;30")))))))</f>
        <v>50-60</v>
      </c>
      <c r="AX1233">
        <f t="shared" si="76"/>
        <v>14</v>
      </c>
      <c r="AY1233">
        <f t="shared" si="77"/>
        <v>9</v>
      </c>
      <c r="AZ1233">
        <f t="shared" si="78"/>
        <v>2</v>
      </c>
      <c r="BA1233">
        <f t="shared" si="79"/>
        <v>2</v>
      </c>
      <c r="BB1233">
        <f>SUM(ifood_data[[#This Row],[Recency Score]:[Monetary Score]])</f>
        <v>13</v>
      </c>
      <c r="BC1233">
        <f>(_xlfn.PERCENTRANK.INC(ifood_data[[#All],[RFM]],ifood_data[[#This Row],[RFM]],1))*10</f>
        <v>3</v>
      </c>
      <c r="BD1233" t="str">
        <f>VLOOKUP(ifood_data[[#This Row],[RFM Score]],'RFM Analysis'!$A$3:$B$14,2,FALSE)</f>
        <v>At Risk</v>
      </c>
      <c r="BE1233">
        <f>'Regression Models'!$B$101+'Regression Models'!$B$102*ifood_data[[#This Row],[Income]]+'Regression Models'!$B$103*ifood_data[[#This Row],[Age]]+'Regression Models'!$B$104*ifood_data[[#This Row],[Family]]</f>
        <v>352.7001657311082</v>
      </c>
      <c r="BF1233" t="str">
        <f>IF(ifood_data[[#This Row],[AcceptedCmpOverall]]=1,"Campaign Respondent","Non-respondent")</f>
        <v>Non-respondent</v>
      </c>
    </row>
    <row r="1234" spans="1:58" x14ac:dyDescent="0.35">
      <c r="A1234">
        <v>1790</v>
      </c>
      <c r="B1234">
        <v>44359</v>
      </c>
      <c r="C1234">
        <v>1</v>
      </c>
      <c r="D1234">
        <v>1</v>
      </c>
      <c r="E1234">
        <v>19</v>
      </c>
      <c r="F1234">
        <v>20</v>
      </c>
      <c r="G1234">
        <v>0</v>
      </c>
      <c r="H1234">
        <v>14</v>
      </c>
      <c r="I1234">
        <v>7</v>
      </c>
      <c r="J1234">
        <v>3</v>
      </c>
      <c r="K1234">
        <v>1</v>
      </c>
      <c r="L1234">
        <v>3</v>
      </c>
      <c r="M1234">
        <v>2</v>
      </c>
      <c r="N1234">
        <v>0</v>
      </c>
      <c r="O1234">
        <v>4</v>
      </c>
      <c r="P1234">
        <v>3</v>
      </c>
      <c r="Q1234">
        <v>0</v>
      </c>
      <c r="R1234">
        <v>0</v>
      </c>
      <c r="S1234">
        <v>0</v>
      </c>
      <c r="T1234">
        <v>0</v>
      </c>
      <c r="U1234">
        <v>0</v>
      </c>
      <c r="V1234">
        <f>IF(SUM(ifood_data[[#This Row],[AcceptedCmp1]:[AcceptedCmp5]])&gt;0,1,0)</f>
        <v>0</v>
      </c>
      <c r="W1234">
        <v>0</v>
      </c>
      <c r="X1234">
        <v>3</v>
      </c>
      <c r="Y1234">
        <v>11</v>
      </c>
      <c r="Z1234">
        <v>0</v>
      </c>
      <c r="AA1234">
        <v>42</v>
      </c>
      <c r="AB1234">
        <v>2171</v>
      </c>
      <c r="AC1234" s="28">
        <f>ifood_data[[#This Row],[Customer_Days]]/365</f>
        <v>5.9479452054794519</v>
      </c>
      <c r="AD1234">
        <v>0</v>
      </c>
      <c r="AE1234">
        <v>1</v>
      </c>
      <c r="AF1234">
        <v>0</v>
      </c>
      <c r="AG1234">
        <v>0</v>
      </c>
      <c r="AH1234">
        <v>0</v>
      </c>
      <c r="AI1234">
        <v>0</v>
      </c>
      <c r="AJ1234">
        <v>0</v>
      </c>
      <c r="AK1234">
        <v>1</v>
      </c>
      <c r="AL1234">
        <v>0</v>
      </c>
      <c r="AM1234">
        <v>0</v>
      </c>
      <c r="AN1234">
        <v>44</v>
      </c>
      <c r="AO1234">
        <v>43</v>
      </c>
      <c r="AP1234">
        <f>ifood_data[[#This Row],[MntTotal]]-ifood_data[[#This Row],[MntRegularProds]]</f>
        <v>1</v>
      </c>
      <c r="AQ1234">
        <v>0</v>
      </c>
      <c r="AR1234">
        <f>IF(SUM(ifood_data[[#This Row],[Kidhome]:[Teenhome]])&gt;0,1,0)</f>
        <v>1</v>
      </c>
      <c r="AS1234" t="str">
        <f>IF(SUM(ifood_data[[#This Row],[Kidhome]:[Teenhome]])&gt;0,"Has Family","No Family")</f>
        <v>Has Family</v>
      </c>
      <c r="AT1234" t="str">
        <f>IF(ifood_data[[#This Row],[marital_Married]]=1,"Married", (IF(ifood_data[[#This Row],[marital_Single]]=1,"Single",(IF(ifood_data[[#This Row],[marital_Divorced]]=1,"Divorced",(IF(ifood_data[[#This Row],[marital_Together]]=1,"Living Together",(IF(ifood_data[[#This Row],[marital_Widow]]=1,"Widow","Other")))))))))</f>
        <v>Married</v>
      </c>
      <c r="AU1234" t="str">
        <f>IF(ifood_data[[#This Row],[education_Basic]]=1,"High School",(IF(ifood_data[[#This Row],[education_Graduation]]=1,"Undergraduate Degree",(IF(SUM(AM1234,AL1234,AI1234)&gt;0,"Master's Degree or Higher","Other")))))</f>
        <v>Undergraduate Degree</v>
      </c>
      <c r="AV1234" t="str">
        <f>IF(ifood_data[[#All],[Income]]&gt;75000,"75K+",(IF(ifood_data[[#All],[Income]]&gt;50000,"50K-75K",(IF(ifood_data[[#All],[Income]]&gt;35000,"35K-50K","&lt;35K")))))</f>
        <v>35K-50K</v>
      </c>
      <c r="AW1234" t="str">
        <f>IF(ifood_data[[#All],[Age]]&gt;60,"60+",(IF(ifood_data[[#All],[Age]]&gt;50,"50-60",(IF(ifood_data[[#All],[Age]]&gt;40,"40-50",(IF(ifood_data[[#All],[Age]]&gt;30,"30-40","&lt;30")))))))</f>
        <v>40-50</v>
      </c>
      <c r="AX1234">
        <f t="shared" si="76"/>
        <v>12</v>
      </c>
      <c r="AY1234">
        <f t="shared" si="77"/>
        <v>9</v>
      </c>
      <c r="AZ1234">
        <f t="shared" si="78"/>
        <v>1</v>
      </c>
      <c r="BA1234">
        <f t="shared" si="79"/>
        <v>2</v>
      </c>
      <c r="BB1234">
        <f>SUM(ifood_data[[#This Row],[Recency Score]:[Monetary Score]])</f>
        <v>12</v>
      </c>
      <c r="BC1234">
        <f>(_xlfn.PERCENTRANK.INC(ifood_data[[#All],[RFM]],ifood_data[[#This Row],[RFM]],1))*10</f>
        <v>3</v>
      </c>
      <c r="BD1234" t="str">
        <f>VLOOKUP(ifood_data[[#This Row],[RFM Score]],'RFM Analysis'!$A$3:$B$14,2,FALSE)</f>
        <v>At Risk</v>
      </c>
      <c r="BE1234">
        <f>'Regression Models'!$B$101+'Regression Models'!$B$102*ifood_data[[#This Row],[Income]]+'Regression Models'!$B$103*ifood_data[[#This Row],[Age]]+'Regression Models'!$B$104*ifood_data[[#This Row],[Family]]</f>
        <v>349.86603743416958</v>
      </c>
      <c r="BF1234" t="str">
        <f>IF(ifood_data[[#This Row],[AcceptedCmpOverall]]=1,"Campaign Respondent","Non-respondent")</f>
        <v>Non-respondent</v>
      </c>
    </row>
    <row r="1235" spans="1:58" x14ac:dyDescent="0.35">
      <c r="A1235">
        <v>1295</v>
      </c>
      <c r="B1235">
        <v>46390</v>
      </c>
      <c r="C1235">
        <v>0</v>
      </c>
      <c r="D1235">
        <v>1</v>
      </c>
      <c r="E1235">
        <v>56</v>
      </c>
      <c r="F1235">
        <v>95</v>
      </c>
      <c r="G1235">
        <v>14</v>
      </c>
      <c r="H1235">
        <v>64</v>
      </c>
      <c r="I1235">
        <v>2</v>
      </c>
      <c r="J1235">
        <v>9</v>
      </c>
      <c r="K1235">
        <v>38</v>
      </c>
      <c r="L1235">
        <v>1</v>
      </c>
      <c r="M1235">
        <v>4</v>
      </c>
      <c r="N1235">
        <v>2</v>
      </c>
      <c r="O1235">
        <v>3</v>
      </c>
      <c r="P1235">
        <v>7</v>
      </c>
      <c r="Q1235">
        <v>0</v>
      </c>
      <c r="R1235">
        <v>0</v>
      </c>
      <c r="S1235">
        <v>0</v>
      </c>
      <c r="T1235">
        <v>0</v>
      </c>
      <c r="U1235">
        <v>0</v>
      </c>
      <c r="V1235">
        <f>IF(SUM(ifood_data[[#This Row],[AcceptedCmp1]:[AcceptedCmp5]])&gt;0,1,0)</f>
        <v>0</v>
      </c>
      <c r="W1235">
        <v>0</v>
      </c>
      <c r="X1235">
        <v>3</v>
      </c>
      <c r="Y1235">
        <v>11</v>
      </c>
      <c r="Z1235">
        <v>0</v>
      </c>
      <c r="AA1235">
        <v>65</v>
      </c>
      <c r="AB1235">
        <v>2214</v>
      </c>
      <c r="AC1235" s="28">
        <f>ifood_data[[#This Row],[Customer_Days]]/365</f>
        <v>6.065753424657534</v>
      </c>
      <c r="AD1235">
        <v>1</v>
      </c>
      <c r="AE1235">
        <v>0</v>
      </c>
      <c r="AF1235">
        <v>0</v>
      </c>
      <c r="AG1235">
        <v>0</v>
      </c>
      <c r="AH1235">
        <v>0</v>
      </c>
      <c r="AI1235">
        <v>0</v>
      </c>
      <c r="AJ1235">
        <v>0</v>
      </c>
      <c r="AK1235">
        <v>0</v>
      </c>
      <c r="AL1235">
        <v>1</v>
      </c>
      <c r="AM1235">
        <v>0</v>
      </c>
      <c r="AN1235">
        <v>184</v>
      </c>
      <c r="AO1235">
        <v>146</v>
      </c>
      <c r="AP1235">
        <f>ifood_data[[#This Row],[MntTotal]]-ifood_data[[#This Row],[MntRegularProds]]</f>
        <v>38</v>
      </c>
      <c r="AQ1235">
        <v>0</v>
      </c>
      <c r="AR1235">
        <f>IF(SUM(ifood_data[[#This Row],[Kidhome]:[Teenhome]])&gt;0,1,0)</f>
        <v>1</v>
      </c>
      <c r="AS1235" t="str">
        <f>IF(SUM(ifood_data[[#This Row],[Kidhome]:[Teenhome]])&gt;0,"Has Family","No Family")</f>
        <v>Has Family</v>
      </c>
      <c r="AT1235" t="str">
        <f>IF(ifood_data[[#This Row],[marital_Married]]=1,"Married", (IF(ifood_data[[#This Row],[marital_Single]]=1,"Single",(IF(ifood_data[[#This Row],[marital_Divorced]]=1,"Divorced",(IF(ifood_data[[#This Row],[marital_Together]]=1,"Living Together",(IF(ifood_data[[#This Row],[marital_Widow]]=1,"Widow","Other")))))))))</f>
        <v>Divorced</v>
      </c>
      <c r="AU1235" t="str">
        <f>IF(ifood_data[[#This Row],[education_Basic]]=1,"High School",(IF(ifood_data[[#This Row],[education_Graduation]]=1,"Undergraduate Degree",(IF(SUM(AM1235,AL1235,AI1235)&gt;0,"Master's Degree or Higher","Other")))))</f>
        <v>Master's Degree or Higher</v>
      </c>
      <c r="AV1235" t="str">
        <f>IF(ifood_data[[#All],[Income]]&gt;75000,"75K+",(IF(ifood_data[[#All],[Income]]&gt;50000,"50K-75K",(IF(ifood_data[[#All],[Income]]&gt;35000,"35K-50K","&lt;35K")))))</f>
        <v>35K-50K</v>
      </c>
      <c r="AW1235" t="str">
        <f>IF(ifood_data[[#All],[Age]]&gt;60,"60+",(IF(ifood_data[[#All],[Age]]&gt;50,"50-60",(IF(ifood_data[[#All],[Age]]&gt;40,"40-50",(IF(ifood_data[[#All],[Age]]&gt;30,"30-40","&lt;30")))))))</f>
        <v>60+</v>
      </c>
      <c r="AX1235">
        <f t="shared" si="76"/>
        <v>17</v>
      </c>
      <c r="AY1235">
        <f t="shared" si="77"/>
        <v>5</v>
      </c>
      <c r="AZ1235">
        <f t="shared" si="78"/>
        <v>3</v>
      </c>
      <c r="BA1235">
        <f t="shared" si="79"/>
        <v>4</v>
      </c>
      <c r="BB1235">
        <f>SUM(ifood_data[[#This Row],[Recency Score]:[Monetary Score]])</f>
        <v>12</v>
      </c>
      <c r="BC1235">
        <f>(_xlfn.PERCENTRANK.INC(ifood_data[[#All],[RFM]],ifood_data[[#This Row],[RFM]],1))*10</f>
        <v>3</v>
      </c>
      <c r="BD1235" t="str">
        <f>VLOOKUP(ifood_data[[#This Row],[RFM Score]],'RFM Analysis'!$A$3:$B$14,2,FALSE)</f>
        <v>At Risk</v>
      </c>
      <c r="BE1235">
        <f>'Regression Models'!$B$101+'Regression Models'!$B$102*ifood_data[[#This Row],[Income]]+'Regression Models'!$B$103*ifood_data[[#This Row],[Age]]+'Regression Models'!$B$104*ifood_data[[#This Row],[Family]]</f>
        <v>349.0375267198599</v>
      </c>
      <c r="BF1235" t="str">
        <f>IF(ifood_data[[#This Row],[AcceptedCmpOverall]]=1,"Campaign Respondent","Non-respondent")</f>
        <v>Non-respondent</v>
      </c>
    </row>
    <row r="1236" spans="1:58" x14ac:dyDescent="0.35">
      <c r="A1236">
        <v>32</v>
      </c>
      <c r="B1236">
        <v>46610</v>
      </c>
      <c r="C1236">
        <v>0</v>
      </c>
      <c r="D1236">
        <v>2</v>
      </c>
      <c r="E1236">
        <v>8</v>
      </c>
      <c r="F1236">
        <v>96</v>
      </c>
      <c r="G1236">
        <v>12</v>
      </c>
      <c r="H1236">
        <v>96</v>
      </c>
      <c r="I1236">
        <v>33</v>
      </c>
      <c r="J1236">
        <v>22</v>
      </c>
      <c r="K1236">
        <v>43</v>
      </c>
      <c r="L1236">
        <v>6</v>
      </c>
      <c r="M1236">
        <v>4</v>
      </c>
      <c r="N1236">
        <v>1</v>
      </c>
      <c r="O1236">
        <v>6</v>
      </c>
      <c r="P1236">
        <v>6</v>
      </c>
      <c r="Q1236">
        <v>0</v>
      </c>
      <c r="R1236">
        <v>0</v>
      </c>
      <c r="S1236">
        <v>0</v>
      </c>
      <c r="T1236">
        <v>0</v>
      </c>
      <c r="U1236">
        <v>0</v>
      </c>
      <c r="V1236">
        <f>IF(SUM(ifood_data[[#This Row],[AcceptedCmp1]:[AcceptedCmp5]])&gt;0,1,0)</f>
        <v>0</v>
      </c>
      <c r="W1236">
        <v>0</v>
      </c>
      <c r="X1236">
        <v>3</v>
      </c>
      <c r="Y1236">
        <v>11</v>
      </c>
      <c r="Z1236">
        <v>1</v>
      </c>
      <c r="AA1236">
        <v>68</v>
      </c>
      <c r="AB1236">
        <v>2767</v>
      </c>
      <c r="AC1236" s="28">
        <f>ifood_data[[#This Row],[Customer_Days]]/365</f>
        <v>7.580821917808219</v>
      </c>
      <c r="AD1236">
        <v>1</v>
      </c>
      <c r="AE1236">
        <v>0</v>
      </c>
      <c r="AF1236">
        <v>0</v>
      </c>
      <c r="AG1236">
        <v>0</v>
      </c>
      <c r="AH1236">
        <v>0</v>
      </c>
      <c r="AI1236">
        <v>0</v>
      </c>
      <c r="AJ1236">
        <v>0</v>
      </c>
      <c r="AK1236">
        <v>0</v>
      </c>
      <c r="AL1236">
        <v>0</v>
      </c>
      <c r="AM1236">
        <v>1</v>
      </c>
      <c r="AN1236">
        <v>259</v>
      </c>
      <c r="AO1236">
        <v>216</v>
      </c>
      <c r="AP1236">
        <f>ifood_data[[#This Row],[MntTotal]]-ifood_data[[#This Row],[MntRegularProds]]</f>
        <v>43</v>
      </c>
      <c r="AQ1236">
        <v>0</v>
      </c>
      <c r="AR1236">
        <f>IF(SUM(ifood_data[[#This Row],[Kidhome]:[Teenhome]])&gt;0,1,0)</f>
        <v>1</v>
      </c>
      <c r="AS1236" t="str">
        <f>IF(SUM(ifood_data[[#This Row],[Kidhome]:[Teenhome]])&gt;0,"Has Family","No Family")</f>
        <v>Has Family</v>
      </c>
      <c r="AT1236" t="str">
        <f>IF(ifood_data[[#This Row],[marital_Married]]=1,"Married", (IF(ifood_data[[#This Row],[marital_Single]]=1,"Single",(IF(ifood_data[[#This Row],[marital_Divorced]]=1,"Divorced",(IF(ifood_data[[#This Row],[marital_Together]]=1,"Living Together",(IF(ifood_data[[#This Row],[marital_Widow]]=1,"Widow","Other")))))))))</f>
        <v>Divorced</v>
      </c>
      <c r="AU1236" t="str">
        <f>IF(ifood_data[[#This Row],[education_Basic]]=1,"High School",(IF(ifood_data[[#This Row],[education_Graduation]]=1,"Undergraduate Degree",(IF(SUM(AM1236,AL1236,AI1236)&gt;0,"Master's Degree or Higher","Other")))))</f>
        <v>Master's Degree or Higher</v>
      </c>
      <c r="AV1236" t="str">
        <f>IF(ifood_data[[#All],[Income]]&gt;75000,"75K+",(IF(ifood_data[[#All],[Income]]&gt;50000,"50K-75K",(IF(ifood_data[[#All],[Income]]&gt;35000,"35K-50K","&lt;35K")))))</f>
        <v>35K-50K</v>
      </c>
      <c r="AW1236" t="str">
        <f>IF(ifood_data[[#All],[Age]]&gt;60,"60+",(IF(ifood_data[[#All],[Age]]&gt;50,"50-60",(IF(ifood_data[[#All],[Age]]&gt;40,"40-50",(IF(ifood_data[[#All],[Age]]&gt;30,"30-40","&lt;30")))))))</f>
        <v>60+</v>
      </c>
      <c r="AX1236">
        <f t="shared" si="76"/>
        <v>23</v>
      </c>
      <c r="AY1236">
        <f t="shared" si="77"/>
        <v>10</v>
      </c>
      <c r="AZ1236">
        <f t="shared" si="78"/>
        <v>6</v>
      </c>
      <c r="BA1236">
        <f t="shared" si="79"/>
        <v>4</v>
      </c>
      <c r="BB1236">
        <f>SUM(ifood_data[[#This Row],[Recency Score]:[Monetary Score]])</f>
        <v>20</v>
      </c>
      <c r="BC1236">
        <f>(_xlfn.PERCENTRANK.INC(ifood_data[[#All],[RFM]],ifood_data[[#This Row],[RFM]],1))*10</f>
        <v>7</v>
      </c>
      <c r="BD1236" t="str">
        <f>VLOOKUP(ifood_data[[#This Row],[RFM Score]],'RFM Analysis'!$A$3:$B$14,2,FALSE)</f>
        <v>Loyal Customer</v>
      </c>
      <c r="BE1236">
        <f>'Regression Models'!$B$101+'Regression Models'!$B$102*ifood_data[[#This Row],[Income]]+'Regression Models'!$B$103*ifood_data[[#This Row],[Age]]+'Regression Models'!$B$104*ifood_data[[#This Row],[Family]]</f>
        <v>348.01373847483489</v>
      </c>
      <c r="BF1236" t="str">
        <f>IF(ifood_data[[#This Row],[AcceptedCmpOverall]]=1,"Campaign Respondent","Non-respondent")</f>
        <v>Non-respondent</v>
      </c>
    </row>
    <row r="1237" spans="1:58" x14ac:dyDescent="0.35">
      <c r="A1237">
        <v>1029</v>
      </c>
      <c r="B1237">
        <v>43776</v>
      </c>
      <c r="C1237">
        <v>1</v>
      </c>
      <c r="D1237">
        <v>0</v>
      </c>
      <c r="E1237">
        <v>77</v>
      </c>
      <c r="F1237">
        <v>8</v>
      </c>
      <c r="G1237">
        <v>0</v>
      </c>
      <c r="H1237">
        <v>9</v>
      </c>
      <c r="I1237">
        <v>2</v>
      </c>
      <c r="J1237">
        <v>1</v>
      </c>
      <c r="K1237">
        <v>3</v>
      </c>
      <c r="L1237">
        <v>1</v>
      </c>
      <c r="M1237">
        <v>1</v>
      </c>
      <c r="N1237">
        <v>0</v>
      </c>
      <c r="O1237">
        <v>2</v>
      </c>
      <c r="P1237">
        <v>6</v>
      </c>
      <c r="Q1237">
        <v>0</v>
      </c>
      <c r="R1237">
        <v>0</v>
      </c>
      <c r="S1237">
        <v>0</v>
      </c>
      <c r="T1237">
        <v>0</v>
      </c>
      <c r="U1237">
        <v>0</v>
      </c>
      <c r="V1237">
        <f>IF(SUM(ifood_data[[#This Row],[AcceptedCmp1]:[AcceptedCmp5]])&gt;0,1,0)</f>
        <v>0</v>
      </c>
      <c r="W1237">
        <v>0</v>
      </c>
      <c r="X1237">
        <v>3</v>
      </c>
      <c r="Y1237">
        <v>11</v>
      </c>
      <c r="Z1237">
        <v>0</v>
      </c>
      <c r="AA1237">
        <v>37</v>
      </c>
      <c r="AB1237">
        <v>2216</v>
      </c>
      <c r="AC1237" s="28">
        <f>ifood_data[[#This Row],[Customer_Days]]/365</f>
        <v>6.0712328767123287</v>
      </c>
      <c r="AD1237">
        <v>0</v>
      </c>
      <c r="AE1237">
        <v>0</v>
      </c>
      <c r="AF1237">
        <v>0</v>
      </c>
      <c r="AG1237">
        <v>1</v>
      </c>
      <c r="AH1237">
        <v>0</v>
      </c>
      <c r="AI1237">
        <v>0</v>
      </c>
      <c r="AJ1237">
        <v>0</v>
      </c>
      <c r="AK1237">
        <v>1</v>
      </c>
      <c r="AL1237">
        <v>0</v>
      </c>
      <c r="AM1237">
        <v>0</v>
      </c>
      <c r="AN1237">
        <v>20</v>
      </c>
      <c r="AO1237">
        <v>17</v>
      </c>
      <c r="AP1237">
        <f>ifood_data[[#This Row],[MntTotal]]-ifood_data[[#This Row],[MntRegularProds]]</f>
        <v>3</v>
      </c>
      <c r="AQ1237">
        <v>0</v>
      </c>
      <c r="AR1237">
        <f>IF(SUM(ifood_data[[#This Row],[Kidhome]:[Teenhome]])&gt;0,1,0)</f>
        <v>1</v>
      </c>
      <c r="AS1237" t="str">
        <f>IF(SUM(ifood_data[[#This Row],[Kidhome]:[Teenhome]])&gt;0,"Has Family","No Family")</f>
        <v>Has Family</v>
      </c>
      <c r="AT1237" t="str">
        <f>IF(ifood_data[[#This Row],[marital_Married]]=1,"Married", (IF(ifood_data[[#This Row],[marital_Single]]=1,"Single",(IF(ifood_data[[#This Row],[marital_Divorced]]=1,"Divorced",(IF(ifood_data[[#This Row],[marital_Together]]=1,"Living Together",(IF(ifood_data[[#This Row],[marital_Widow]]=1,"Widow","Other")))))))))</f>
        <v>Living Together</v>
      </c>
      <c r="AU1237" t="str">
        <f>IF(ifood_data[[#This Row],[education_Basic]]=1,"High School",(IF(ifood_data[[#This Row],[education_Graduation]]=1,"Undergraduate Degree",(IF(SUM(AM1237,AL1237,AI1237)&gt;0,"Master's Degree or Higher","Other")))))</f>
        <v>Undergraduate Degree</v>
      </c>
      <c r="AV1237" t="str">
        <f>IF(ifood_data[[#All],[Income]]&gt;75000,"75K+",(IF(ifood_data[[#All],[Income]]&gt;50000,"50K-75K",(IF(ifood_data[[#All],[Income]]&gt;35000,"35K-50K","&lt;35K")))))</f>
        <v>35K-50K</v>
      </c>
      <c r="AW1237" t="str">
        <f>IF(ifood_data[[#All],[Age]]&gt;60,"60+",(IF(ifood_data[[#All],[Age]]&gt;50,"50-60",(IF(ifood_data[[#All],[Age]]&gt;40,"40-50",(IF(ifood_data[[#All],[Age]]&gt;30,"30-40","&lt;30")))))))</f>
        <v>30-40</v>
      </c>
      <c r="AX1237">
        <f t="shared" si="76"/>
        <v>10</v>
      </c>
      <c r="AY1237">
        <f t="shared" si="77"/>
        <v>3.0000000000000004</v>
      </c>
      <c r="AZ1237">
        <f t="shared" si="78"/>
        <v>0</v>
      </c>
      <c r="BA1237">
        <f t="shared" si="79"/>
        <v>0</v>
      </c>
      <c r="BB1237">
        <f>SUM(ifood_data[[#This Row],[Recency Score]:[Monetary Score]])</f>
        <v>3.0000000000000004</v>
      </c>
      <c r="BC1237">
        <f>(_xlfn.PERCENTRANK.INC(ifood_data[[#All],[RFM]],ifood_data[[#This Row],[RFM]],1))*10</f>
        <v>0</v>
      </c>
      <c r="BD1237" t="str">
        <f>VLOOKUP(ifood_data[[#This Row],[RFM Score]],'RFM Analysis'!$A$3:$B$14,2,FALSE)</f>
        <v>Lost</v>
      </c>
      <c r="BE1237">
        <f>'Regression Models'!$B$101+'Regression Models'!$B$102*ifood_data[[#This Row],[Income]]+'Regression Models'!$B$103*ifood_data[[#This Row],[Age]]+'Regression Models'!$B$104*ifood_data[[#This Row],[Family]]</f>
        <v>347.1615810007479</v>
      </c>
      <c r="BF1237" t="str">
        <f>IF(ifood_data[[#This Row],[AcceptedCmpOverall]]=1,"Campaign Respondent","Non-respondent")</f>
        <v>Non-respondent</v>
      </c>
    </row>
    <row r="1238" spans="1:58" x14ac:dyDescent="0.35">
      <c r="A1238">
        <v>918</v>
      </c>
      <c r="B1238">
        <v>44010</v>
      </c>
      <c r="C1238">
        <v>1</v>
      </c>
      <c r="D1238">
        <v>0</v>
      </c>
      <c r="E1238">
        <v>46</v>
      </c>
      <c r="F1238">
        <v>186</v>
      </c>
      <c r="G1238">
        <v>36</v>
      </c>
      <c r="H1238">
        <v>234</v>
      </c>
      <c r="I1238">
        <v>86</v>
      </c>
      <c r="J1238">
        <v>72</v>
      </c>
      <c r="K1238">
        <v>48</v>
      </c>
      <c r="L1238">
        <v>6</v>
      </c>
      <c r="M1238">
        <v>10</v>
      </c>
      <c r="N1238">
        <v>2</v>
      </c>
      <c r="O1238">
        <v>6</v>
      </c>
      <c r="P1238">
        <v>9</v>
      </c>
      <c r="Q1238">
        <v>0</v>
      </c>
      <c r="R1238">
        <v>0</v>
      </c>
      <c r="S1238">
        <v>0</v>
      </c>
      <c r="T1238">
        <v>0</v>
      </c>
      <c r="U1238">
        <v>0</v>
      </c>
      <c r="V1238">
        <f>IF(SUM(ifood_data[[#This Row],[AcceptedCmp1]:[AcceptedCmp5]])&gt;0,1,0)</f>
        <v>0</v>
      </c>
      <c r="W1238">
        <v>0</v>
      </c>
      <c r="X1238">
        <v>3</v>
      </c>
      <c r="Y1238">
        <v>11</v>
      </c>
      <c r="Z1238">
        <v>0</v>
      </c>
      <c r="AA1238">
        <v>40</v>
      </c>
      <c r="AB1238">
        <v>2783</v>
      </c>
      <c r="AC1238" s="28">
        <f>ifood_data[[#This Row],[Customer_Days]]/365</f>
        <v>7.624657534246575</v>
      </c>
      <c r="AD1238">
        <v>0</v>
      </c>
      <c r="AE1238">
        <v>0</v>
      </c>
      <c r="AF1238">
        <v>0</v>
      </c>
      <c r="AG1238">
        <v>1</v>
      </c>
      <c r="AH1238">
        <v>0</v>
      </c>
      <c r="AI1238">
        <v>0</v>
      </c>
      <c r="AJ1238">
        <v>0</v>
      </c>
      <c r="AK1238">
        <v>1</v>
      </c>
      <c r="AL1238">
        <v>0</v>
      </c>
      <c r="AM1238">
        <v>0</v>
      </c>
      <c r="AN1238">
        <v>614</v>
      </c>
      <c r="AO1238">
        <v>566</v>
      </c>
      <c r="AP1238">
        <f>ifood_data[[#This Row],[MntTotal]]-ifood_data[[#This Row],[MntRegularProds]]</f>
        <v>48</v>
      </c>
      <c r="AQ1238">
        <v>0</v>
      </c>
      <c r="AR1238">
        <f>IF(SUM(ifood_data[[#This Row],[Kidhome]:[Teenhome]])&gt;0,1,0)</f>
        <v>1</v>
      </c>
      <c r="AS1238" t="str">
        <f>IF(SUM(ifood_data[[#This Row],[Kidhome]:[Teenhome]])&gt;0,"Has Family","No Family")</f>
        <v>Has Family</v>
      </c>
      <c r="AT1238" t="str">
        <f>IF(ifood_data[[#This Row],[marital_Married]]=1,"Married", (IF(ifood_data[[#This Row],[marital_Single]]=1,"Single",(IF(ifood_data[[#This Row],[marital_Divorced]]=1,"Divorced",(IF(ifood_data[[#This Row],[marital_Together]]=1,"Living Together",(IF(ifood_data[[#This Row],[marital_Widow]]=1,"Widow","Other")))))))))</f>
        <v>Living Together</v>
      </c>
      <c r="AU1238" t="str">
        <f>IF(ifood_data[[#This Row],[education_Basic]]=1,"High School",(IF(ifood_data[[#This Row],[education_Graduation]]=1,"Undergraduate Degree",(IF(SUM(AM1238,AL1238,AI1238)&gt;0,"Master's Degree or Higher","Other")))))</f>
        <v>Undergraduate Degree</v>
      </c>
      <c r="AV1238" t="str">
        <f>IF(ifood_data[[#All],[Income]]&gt;75000,"75K+",(IF(ifood_data[[#All],[Income]]&gt;50000,"50K-75K",(IF(ifood_data[[#All],[Income]]&gt;35000,"35K-50K","&lt;35K")))))</f>
        <v>35K-50K</v>
      </c>
      <c r="AW1238" t="str">
        <f>IF(ifood_data[[#All],[Age]]&gt;60,"60+",(IF(ifood_data[[#All],[Age]]&gt;50,"50-60",(IF(ifood_data[[#All],[Age]]&gt;40,"40-50",(IF(ifood_data[[#All],[Age]]&gt;30,"30-40","&lt;30")))))))</f>
        <v>30-40</v>
      </c>
      <c r="AX1238">
        <f t="shared" si="76"/>
        <v>33</v>
      </c>
      <c r="AY1238">
        <f t="shared" si="77"/>
        <v>6</v>
      </c>
      <c r="AZ1238">
        <f t="shared" si="78"/>
        <v>9</v>
      </c>
      <c r="BA1238">
        <f t="shared" si="79"/>
        <v>6</v>
      </c>
      <c r="BB1238">
        <f>SUM(ifood_data[[#This Row],[Recency Score]:[Monetary Score]])</f>
        <v>21</v>
      </c>
      <c r="BC1238">
        <f>(_xlfn.PERCENTRANK.INC(ifood_data[[#All],[RFM]],ifood_data[[#This Row],[RFM]],1))*10</f>
        <v>8</v>
      </c>
      <c r="BD1238" t="str">
        <f>VLOOKUP(ifood_data[[#This Row],[RFM Score]],'RFM Analysis'!$A$3:$B$14,2,FALSE)</f>
        <v>Loyal Customer</v>
      </c>
      <c r="BE1238">
        <f>'Regression Models'!$B$101+'Regression Models'!$B$102*ifood_data[[#This Row],[Income]]+'Regression Models'!$B$103*ifood_data[[#This Row],[Age]]+'Regression Models'!$B$104*ifood_data[[#This Row],[Family]]</f>
        <v>346.42323550973742</v>
      </c>
      <c r="BF1238" t="str">
        <f>IF(ifood_data[[#This Row],[AcceptedCmpOverall]]=1,"Campaign Respondent","Non-respondent")</f>
        <v>Non-respondent</v>
      </c>
    </row>
    <row r="1239" spans="1:58" x14ac:dyDescent="0.35">
      <c r="A1239">
        <v>2</v>
      </c>
      <c r="B1239">
        <v>46344</v>
      </c>
      <c r="C1239">
        <v>1</v>
      </c>
      <c r="D1239">
        <v>1</v>
      </c>
      <c r="E1239">
        <v>38</v>
      </c>
      <c r="F1239">
        <v>11</v>
      </c>
      <c r="G1239">
        <v>1</v>
      </c>
      <c r="H1239">
        <v>6</v>
      </c>
      <c r="I1239">
        <v>2</v>
      </c>
      <c r="J1239">
        <v>1</v>
      </c>
      <c r="K1239">
        <v>6</v>
      </c>
      <c r="L1239">
        <v>2</v>
      </c>
      <c r="M1239">
        <v>1</v>
      </c>
      <c r="N1239">
        <v>1</v>
      </c>
      <c r="O1239">
        <v>2</v>
      </c>
      <c r="P1239">
        <v>5</v>
      </c>
      <c r="Q1239">
        <v>0</v>
      </c>
      <c r="R1239">
        <v>0</v>
      </c>
      <c r="S1239">
        <v>0</v>
      </c>
      <c r="T1239">
        <v>0</v>
      </c>
      <c r="U1239">
        <v>0</v>
      </c>
      <c r="V1239">
        <f>IF(SUM(ifood_data[[#This Row],[AcceptedCmp1]:[AcceptedCmp5]])&gt;0,1,0)</f>
        <v>0</v>
      </c>
      <c r="W1239">
        <v>0</v>
      </c>
      <c r="X1239">
        <v>3</v>
      </c>
      <c r="Y1239">
        <v>11</v>
      </c>
      <c r="Z1239">
        <v>0</v>
      </c>
      <c r="AA1239">
        <v>66</v>
      </c>
      <c r="AB1239">
        <v>2272</v>
      </c>
      <c r="AC1239" s="28">
        <f>ifood_data[[#This Row],[Customer_Days]]/365</f>
        <v>6.2246575342465755</v>
      </c>
      <c r="AD1239">
        <v>0</v>
      </c>
      <c r="AE1239">
        <v>0</v>
      </c>
      <c r="AF1239">
        <v>1</v>
      </c>
      <c r="AG1239">
        <v>0</v>
      </c>
      <c r="AH1239">
        <v>0</v>
      </c>
      <c r="AI1239">
        <v>0</v>
      </c>
      <c r="AJ1239">
        <v>0</v>
      </c>
      <c r="AK1239">
        <v>1</v>
      </c>
      <c r="AL1239">
        <v>0</v>
      </c>
      <c r="AM1239">
        <v>0</v>
      </c>
      <c r="AN1239">
        <v>21</v>
      </c>
      <c r="AO1239">
        <v>15</v>
      </c>
      <c r="AP1239">
        <f>ifood_data[[#This Row],[MntTotal]]-ifood_data[[#This Row],[MntRegularProds]]</f>
        <v>6</v>
      </c>
      <c r="AQ1239">
        <v>0</v>
      </c>
      <c r="AR1239">
        <f>IF(SUM(ifood_data[[#This Row],[Kidhome]:[Teenhome]])&gt;0,1,0)</f>
        <v>1</v>
      </c>
      <c r="AS1239" t="str">
        <f>IF(SUM(ifood_data[[#This Row],[Kidhome]:[Teenhome]])&gt;0,"Has Family","No Family")</f>
        <v>Has Family</v>
      </c>
      <c r="AT1239" t="str">
        <f>IF(ifood_data[[#This Row],[marital_Married]]=1,"Married", (IF(ifood_data[[#This Row],[marital_Single]]=1,"Single",(IF(ifood_data[[#This Row],[marital_Divorced]]=1,"Divorced",(IF(ifood_data[[#This Row],[marital_Together]]=1,"Living Together",(IF(ifood_data[[#This Row],[marital_Widow]]=1,"Widow","Other")))))))))</f>
        <v>Single</v>
      </c>
      <c r="AU1239" t="str">
        <f>IF(ifood_data[[#This Row],[education_Basic]]=1,"High School",(IF(ifood_data[[#This Row],[education_Graduation]]=1,"Undergraduate Degree",(IF(SUM(AM1239,AL1239,AI1239)&gt;0,"Master's Degree or Higher","Other")))))</f>
        <v>Undergraduate Degree</v>
      </c>
      <c r="AV1239" t="str">
        <f>IF(ifood_data[[#All],[Income]]&gt;75000,"75K+",(IF(ifood_data[[#All],[Income]]&gt;50000,"50K-75K",(IF(ifood_data[[#All],[Income]]&gt;35000,"35K-50K","&lt;35K")))))</f>
        <v>35K-50K</v>
      </c>
      <c r="AW1239" t="str">
        <f>IF(ifood_data[[#All],[Age]]&gt;60,"60+",(IF(ifood_data[[#All],[Age]]&gt;50,"50-60",(IF(ifood_data[[#All],[Age]]&gt;40,"40-50",(IF(ifood_data[[#All],[Age]]&gt;30,"30-40","&lt;30")))))))</f>
        <v>60+</v>
      </c>
      <c r="AX1239">
        <f t="shared" si="76"/>
        <v>11</v>
      </c>
      <c r="AY1239">
        <f t="shared" si="77"/>
        <v>7</v>
      </c>
      <c r="AZ1239">
        <f t="shared" si="78"/>
        <v>0</v>
      </c>
      <c r="BA1239">
        <f t="shared" si="79"/>
        <v>0</v>
      </c>
      <c r="BB1239">
        <f>SUM(ifood_data[[#This Row],[Recency Score]:[Monetary Score]])</f>
        <v>7</v>
      </c>
      <c r="BC1239">
        <f>(_xlfn.PERCENTRANK.INC(ifood_data[[#All],[RFM]],ifood_data[[#This Row],[RFM]],1))*10</f>
        <v>1</v>
      </c>
      <c r="BD1239" t="str">
        <f>VLOOKUP(ifood_data[[#This Row],[RFM Score]],'RFM Analysis'!$A$3:$B$14,2,FALSE)</f>
        <v>At Risk</v>
      </c>
      <c r="BE1239">
        <f>'Regression Models'!$B$101+'Regression Models'!$B$102*ifood_data[[#This Row],[Income]]+'Regression Models'!$B$103*ifood_data[[#This Row],[Age]]+'Regression Models'!$B$104*ifood_data[[#This Row],[Family]]</f>
        <v>346.26320430634632</v>
      </c>
      <c r="BF1239" t="str">
        <f>IF(ifood_data[[#This Row],[AcceptedCmpOverall]]=1,"Campaign Respondent","Non-respondent")</f>
        <v>Non-respondent</v>
      </c>
    </row>
    <row r="1240" spans="1:58" x14ac:dyDescent="0.35">
      <c r="A1240">
        <v>1843</v>
      </c>
      <c r="B1240">
        <v>43815</v>
      </c>
      <c r="C1240">
        <v>1</v>
      </c>
      <c r="D1240">
        <v>0</v>
      </c>
      <c r="E1240">
        <v>53</v>
      </c>
      <c r="F1240">
        <v>14</v>
      </c>
      <c r="G1240">
        <v>10</v>
      </c>
      <c r="H1240">
        <v>29</v>
      </c>
      <c r="I1240">
        <v>4</v>
      </c>
      <c r="J1240">
        <v>7</v>
      </c>
      <c r="K1240">
        <v>15</v>
      </c>
      <c r="L1240">
        <v>1</v>
      </c>
      <c r="M1240">
        <v>2</v>
      </c>
      <c r="N1240">
        <v>0</v>
      </c>
      <c r="O1240">
        <v>3</v>
      </c>
      <c r="P1240">
        <v>6</v>
      </c>
      <c r="Q1240">
        <v>0</v>
      </c>
      <c r="R1240">
        <v>0</v>
      </c>
      <c r="S1240">
        <v>0</v>
      </c>
      <c r="T1240">
        <v>0</v>
      </c>
      <c r="U1240">
        <v>0</v>
      </c>
      <c r="V1240">
        <f>IF(SUM(ifood_data[[#This Row],[AcceptedCmp1]:[AcceptedCmp5]])&gt;0,1,0)</f>
        <v>0</v>
      </c>
      <c r="W1240">
        <v>0</v>
      </c>
      <c r="X1240">
        <v>3</v>
      </c>
      <c r="Y1240">
        <v>11</v>
      </c>
      <c r="Z1240">
        <v>0</v>
      </c>
      <c r="AA1240">
        <v>38</v>
      </c>
      <c r="AB1240">
        <v>2609</v>
      </c>
      <c r="AC1240" s="28">
        <f>ifood_data[[#This Row],[Customer_Days]]/365</f>
        <v>7.1479452054794521</v>
      </c>
      <c r="AD1240">
        <v>0</v>
      </c>
      <c r="AE1240">
        <v>1</v>
      </c>
      <c r="AF1240">
        <v>0</v>
      </c>
      <c r="AG1240">
        <v>0</v>
      </c>
      <c r="AH1240">
        <v>0</v>
      </c>
      <c r="AI1240">
        <v>0</v>
      </c>
      <c r="AJ1240">
        <v>0</v>
      </c>
      <c r="AK1240">
        <v>0</v>
      </c>
      <c r="AL1240">
        <v>1</v>
      </c>
      <c r="AM1240">
        <v>0</v>
      </c>
      <c r="AN1240">
        <v>64</v>
      </c>
      <c r="AO1240">
        <v>49</v>
      </c>
      <c r="AP1240">
        <f>ifood_data[[#This Row],[MntTotal]]-ifood_data[[#This Row],[MntRegularProds]]</f>
        <v>15</v>
      </c>
      <c r="AQ1240">
        <v>0</v>
      </c>
      <c r="AR1240">
        <f>IF(SUM(ifood_data[[#This Row],[Kidhome]:[Teenhome]])&gt;0,1,0)</f>
        <v>1</v>
      </c>
      <c r="AS1240" t="str">
        <f>IF(SUM(ifood_data[[#This Row],[Kidhome]:[Teenhome]])&gt;0,"Has Family","No Family")</f>
        <v>Has Family</v>
      </c>
      <c r="AT1240" t="str">
        <f>IF(ifood_data[[#This Row],[marital_Married]]=1,"Married", (IF(ifood_data[[#This Row],[marital_Single]]=1,"Single",(IF(ifood_data[[#This Row],[marital_Divorced]]=1,"Divorced",(IF(ifood_data[[#This Row],[marital_Together]]=1,"Living Together",(IF(ifood_data[[#This Row],[marital_Widow]]=1,"Widow","Other")))))))))</f>
        <v>Married</v>
      </c>
      <c r="AU1240" t="str">
        <f>IF(ifood_data[[#This Row],[education_Basic]]=1,"High School",(IF(ifood_data[[#This Row],[education_Graduation]]=1,"Undergraduate Degree",(IF(SUM(AM1240,AL1240,AI1240)&gt;0,"Master's Degree or Higher","Other")))))</f>
        <v>Master's Degree or Higher</v>
      </c>
      <c r="AV1240" t="str">
        <f>IF(ifood_data[[#All],[Income]]&gt;75000,"75K+",(IF(ifood_data[[#All],[Income]]&gt;50000,"50K-75K",(IF(ifood_data[[#All],[Income]]&gt;35000,"35K-50K","&lt;35K")))))</f>
        <v>35K-50K</v>
      </c>
      <c r="AW1240" t="str">
        <f>IF(ifood_data[[#All],[Age]]&gt;60,"60+",(IF(ifood_data[[#All],[Age]]&gt;50,"50-60",(IF(ifood_data[[#All],[Age]]&gt;40,"40-50",(IF(ifood_data[[#All],[Age]]&gt;30,"30-40","&lt;30")))))))</f>
        <v>30-40</v>
      </c>
      <c r="AX1240">
        <f t="shared" si="76"/>
        <v>12</v>
      </c>
      <c r="AY1240">
        <f t="shared" si="77"/>
        <v>5</v>
      </c>
      <c r="AZ1240">
        <f t="shared" si="78"/>
        <v>1</v>
      </c>
      <c r="BA1240">
        <f t="shared" si="79"/>
        <v>2</v>
      </c>
      <c r="BB1240">
        <f>SUM(ifood_data[[#This Row],[Recency Score]:[Monetary Score]])</f>
        <v>8</v>
      </c>
      <c r="BC1240">
        <f>(_xlfn.PERCENTRANK.INC(ifood_data[[#All],[RFM]],ifood_data[[#This Row],[RFM]],1))*10</f>
        <v>1</v>
      </c>
      <c r="BD1240" t="str">
        <f>VLOOKUP(ifood_data[[#This Row],[RFM Score]],'RFM Analysis'!$A$3:$B$14,2,FALSE)</f>
        <v>At Risk</v>
      </c>
      <c r="BE1240">
        <f>'Regression Models'!$B$101+'Regression Models'!$B$102*ifood_data[[#This Row],[Income]]+'Regression Models'!$B$103*ifood_data[[#This Row],[Age]]+'Regression Models'!$B$104*ifood_data[[#This Row],[Family]]</f>
        <v>346.12030387946572</v>
      </c>
      <c r="BF1240" t="str">
        <f>IF(ifood_data[[#This Row],[AcceptedCmpOverall]]=1,"Campaign Respondent","Non-respondent")</f>
        <v>Non-respondent</v>
      </c>
    </row>
    <row r="1241" spans="1:58" x14ac:dyDescent="0.35">
      <c r="A1241">
        <v>105</v>
      </c>
      <c r="B1241">
        <v>43974</v>
      </c>
      <c r="C1241">
        <v>1</v>
      </c>
      <c r="D1241">
        <v>0</v>
      </c>
      <c r="E1241">
        <v>19</v>
      </c>
      <c r="F1241">
        <v>378</v>
      </c>
      <c r="G1241">
        <v>0</v>
      </c>
      <c r="H1241">
        <v>101</v>
      </c>
      <c r="I1241">
        <v>0</v>
      </c>
      <c r="J1241">
        <v>0</v>
      </c>
      <c r="K1241">
        <v>72</v>
      </c>
      <c r="L1241">
        <v>5</v>
      </c>
      <c r="M1241">
        <v>6</v>
      </c>
      <c r="N1241">
        <v>4</v>
      </c>
      <c r="O1241">
        <v>6</v>
      </c>
      <c r="P1241">
        <v>7</v>
      </c>
      <c r="Q1241">
        <v>0</v>
      </c>
      <c r="R1241">
        <v>0</v>
      </c>
      <c r="S1241">
        <v>0</v>
      </c>
      <c r="T1241">
        <v>0</v>
      </c>
      <c r="U1241">
        <v>0</v>
      </c>
      <c r="V1241">
        <f>IF(SUM(ifood_data[[#This Row],[AcceptedCmp1]:[AcceptedCmp5]])&gt;0,1,0)</f>
        <v>0</v>
      </c>
      <c r="W1241">
        <v>0</v>
      </c>
      <c r="X1241">
        <v>3</v>
      </c>
      <c r="Y1241">
        <v>11</v>
      </c>
      <c r="Z1241">
        <v>0</v>
      </c>
      <c r="AA1241">
        <v>40</v>
      </c>
      <c r="AB1241">
        <v>2723</v>
      </c>
      <c r="AC1241" s="28">
        <f>ifood_data[[#This Row],[Customer_Days]]/365</f>
        <v>7.4602739726027396</v>
      </c>
      <c r="AD1241">
        <v>0</v>
      </c>
      <c r="AE1241">
        <v>1</v>
      </c>
      <c r="AF1241">
        <v>0</v>
      </c>
      <c r="AG1241">
        <v>0</v>
      </c>
      <c r="AH1241">
        <v>0</v>
      </c>
      <c r="AI1241">
        <v>0</v>
      </c>
      <c r="AJ1241">
        <v>0</v>
      </c>
      <c r="AK1241">
        <v>0</v>
      </c>
      <c r="AL1241">
        <v>0</v>
      </c>
      <c r="AM1241">
        <v>1</v>
      </c>
      <c r="AN1241">
        <v>479</v>
      </c>
      <c r="AO1241">
        <v>407</v>
      </c>
      <c r="AP1241">
        <f>ifood_data[[#This Row],[MntTotal]]-ifood_data[[#This Row],[MntRegularProds]]</f>
        <v>72</v>
      </c>
      <c r="AQ1241">
        <v>0</v>
      </c>
      <c r="AR1241">
        <f>IF(SUM(ifood_data[[#This Row],[Kidhome]:[Teenhome]])&gt;0,1,0)</f>
        <v>1</v>
      </c>
      <c r="AS1241" t="str">
        <f>IF(SUM(ifood_data[[#This Row],[Kidhome]:[Teenhome]])&gt;0,"Has Family","No Family")</f>
        <v>Has Family</v>
      </c>
      <c r="AT1241" t="str">
        <f>IF(ifood_data[[#This Row],[marital_Married]]=1,"Married", (IF(ifood_data[[#This Row],[marital_Single]]=1,"Single",(IF(ifood_data[[#This Row],[marital_Divorced]]=1,"Divorced",(IF(ifood_data[[#This Row],[marital_Together]]=1,"Living Together",(IF(ifood_data[[#This Row],[marital_Widow]]=1,"Widow","Other")))))))))</f>
        <v>Married</v>
      </c>
      <c r="AU1241" t="str">
        <f>IF(ifood_data[[#This Row],[education_Basic]]=1,"High School",(IF(ifood_data[[#This Row],[education_Graduation]]=1,"Undergraduate Degree",(IF(SUM(AM1241,AL1241,AI1241)&gt;0,"Master's Degree or Higher","Other")))))</f>
        <v>Master's Degree or Higher</v>
      </c>
      <c r="AV1241" t="str">
        <f>IF(ifood_data[[#All],[Income]]&gt;75000,"75K+",(IF(ifood_data[[#All],[Income]]&gt;50000,"50K-75K",(IF(ifood_data[[#All],[Income]]&gt;35000,"35K-50K","&lt;35K")))))</f>
        <v>35K-50K</v>
      </c>
      <c r="AW1241" t="str">
        <f>IF(ifood_data[[#All],[Age]]&gt;60,"60+",(IF(ifood_data[[#All],[Age]]&gt;50,"50-60",(IF(ifood_data[[#All],[Age]]&gt;40,"40-50",(IF(ifood_data[[#All],[Age]]&gt;30,"30-40","&lt;30")))))))</f>
        <v>30-40</v>
      </c>
      <c r="AX1241">
        <f t="shared" si="76"/>
        <v>28</v>
      </c>
      <c r="AY1241">
        <f t="shared" si="77"/>
        <v>9</v>
      </c>
      <c r="AZ1241">
        <f t="shared" si="78"/>
        <v>8</v>
      </c>
      <c r="BA1241">
        <f t="shared" si="79"/>
        <v>5</v>
      </c>
      <c r="BB1241">
        <f>SUM(ifood_data[[#This Row],[Recency Score]:[Monetary Score]])</f>
        <v>22</v>
      </c>
      <c r="BC1241">
        <f>(_xlfn.PERCENTRANK.INC(ifood_data[[#All],[RFM]],ifood_data[[#This Row],[RFM]],1))*10</f>
        <v>8</v>
      </c>
      <c r="BD1241" t="str">
        <f>VLOOKUP(ifood_data[[#This Row],[RFM Score]],'RFM Analysis'!$A$3:$B$14,2,FALSE)</f>
        <v>Loyal Customer</v>
      </c>
      <c r="BE1241">
        <f>'Regression Models'!$B$101+'Regression Models'!$B$102*ifood_data[[#This Row],[Income]]+'Regression Models'!$B$103*ifood_data[[#This Row],[Age]]+'Regression Models'!$B$104*ifood_data[[#This Row],[Family]]</f>
        <v>345.68923985655704</v>
      </c>
      <c r="BF1241" t="str">
        <f>IF(ifood_data[[#This Row],[AcceptedCmpOverall]]=1,"Campaign Respondent","Non-respondent")</f>
        <v>Non-respondent</v>
      </c>
    </row>
    <row r="1242" spans="1:58" x14ac:dyDescent="0.35">
      <c r="A1242">
        <v>196</v>
      </c>
      <c r="B1242">
        <v>46097</v>
      </c>
      <c r="C1242">
        <v>0</v>
      </c>
      <c r="D1242">
        <v>1</v>
      </c>
      <c r="E1242">
        <v>11</v>
      </c>
      <c r="F1242">
        <v>72</v>
      </c>
      <c r="G1242">
        <v>24</v>
      </c>
      <c r="H1242">
        <v>68</v>
      </c>
      <c r="I1242">
        <v>65</v>
      </c>
      <c r="J1242">
        <v>4</v>
      </c>
      <c r="K1242">
        <v>8</v>
      </c>
      <c r="L1242">
        <v>5</v>
      </c>
      <c r="M1242">
        <v>3</v>
      </c>
      <c r="N1242">
        <v>1</v>
      </c>
      <c r="O1242">
        <v>6</v>
      </c>
      <c r="P1242">
        <v>4</v>
      </c>
      <c r="Q1242">
        <v>0</v>
      </c>
      <c r="R1242">
        <v>0</v>
      </c>
      <c r="S1242">
        <v>0</v>
      </c>
      <c r="T1242">
        <v>0</v>
      </c>
      <c r="U1242">
        <v>0</v>
      </c>
      <c r="V1242">
        <f>IF(SUM(ifood_data[[#This Row],[AcceptedCmp1]:[AcceptedCmp5]])&gt;0,1,0)</f>
        <v>0</v>
      </c>
      <c r="W1242">
        <v>0</v>
      </c>
      <c r="X1242">
        <v>3</v>
      </c>
      <c r="Y1242">
        <v>11</v>
      </c>
      <c r="Z1242">
        <v>0</v>
      </c>
      <c r="AA1242">
        <v>64</v>
      </c>
      <c r="AB1242">
        <v>2614</v>
      </c>
      <c r="AC1242" s="28">
        <f>ifood_data[[#This Row],[Customer_Days]]/365</f>
        <v>7.161643835616438</v>
      </c>
      <c r="AD1242">
        <v>0</v>
      </c>
      <c r="AE1242">
        <v>0</v>
      </c>
      <c r="AF1242">
        <v>0</v>
      </c>
      <c r="AG1242">
        <v>1</v>
      </c>
      <c r="AH1242">
        <v>0</v>
      </c>
      <c r="AI1242">
        <v>0</v>
      </c>
      <c r="AJ1242">
        <v>0</v>
      </c>
      <c r="AK1242">
        <v>1</v>
      </c>
      <c r="AL1242">
        <v>0</v>
      </c>
      <c r="AM1242">
        <v>0</v>
      </c>
      <c r="AN1242">
        <v>233</v>
      </c>
      <c r="AO1242">
        <v>225</v>
      </c>
      <c r="AP1242">
        <f>ifood_data[[#This Row],[MntTotal]]-ifood_data[[#This Row],[MntRegularProds]]</f>
        <v>8</v>
      </c>
      <c r="AQ1242">
        <v>0</v>
      </c>
      <c r="AR1242">
        <f>IF(SUM(ifood_data[[#This Row],[Kidhome]:[Teenhome]])&gt;0,1,0)</f>
        <v>1</v>
      </c>
      <c r="AS1242" t="str">
        <f>IF(SUM(ifood_data[[#This Row],[Kidhome]:[Teenhome]])&gt;0,"Has Family","No Family")</f>
        <v>Has Family</v>
      </c>
      <c r="AT1242" t="str">
        <f>IF(ifood_data[[#This Row],[marital_Married]]=1,"Married", (IF(ifood_data[[#This Row],[marital_Single]]=1,"Single",(IF(ifood_data[[#This Row],[marital_Divorced]]=1,"Divorced",(IF(ifood_data[[#This Row],[marital_Together]]=1,"Living Together",(IF(ifood_data[[#This Row],[marital_Widow]]=1,"Widow","Other")))))))))</f>
        <v>Living Together</v>
      </c>
      <c r="AU1242" t="str">
        <f>IF(ifood_data[[#This Row],[education_Basic]]=1,"High School",(IF(ifood_data[[#This Row],[education_Graduation]]=1,"Undergraduate Degree",(IF(SUM(AM1242,AL1242,AI1242)&gt;0,"Master's Degree or Higher","Other")))))</f>
        <v>Undergraduate Degree</v>
      </c>
      <c r="AV1242" t="str">
        <f>IF(ifood_data[[#All],[Income]]&gt;75000,"75K+",(IF(ifood_data[[#All],[Income]]&gt;50000,"50K-75K",(IF(ifood_data[[#All],[Income]]&gt;35000,"35K-50K","&lt;35K")))))</f>
        <v>35K-50K</v>
      </c>
      <c r="AW1242" t="str">
        <f>IF(ifood_data[[#All],[Age]]&gt;60,"60+",(IF(ifood_data[[#All],[Age]]&gt;50,"50-60",(IF(ifood_data[[#All],[Age]]&gt;40,"40-50",(IF(ifood_data[[#All],[Age]]&gt;30,"30-40","&lt;30")))))))</f>
        <v>60+</v>
      </c>
      <c r="AX1242">
        <f t="shared" si="76"/>
        <v>19</v>
      </c>
      <c r="AY1242">
        <f t="shared" si="77"/>
        <v>9</v>
      </c>
      <c r="AZ1242">
        <f t="shared" si="78"/>
        <v>4</v>
      </c>
      <c r="BA1242">
        <f t="shared" si="79"/>
        <v>4</v>
      </c>
      <c r="BB1242">
        <f>SUM(ifood_data[[#This Row],[Recency Score]:[Monetary Score]])</f>
        <v>17</v>
      </c>
      <c r="BC1242">
        <f>(_xlfn.PERCENTRANK.INC(ifood_data[[#All],[RFM]],ifood_data[[#This Row],[RFM]],1))*10</f>
        <v>6</v>
      </c>
      <c r="BD1242" t="str">
        <f>VLOOKUP(ifood_data[[#This Row],[RFM Score]],'RFM Analysis'!$A$3:$B$14,2,FALSE)</f>
        <v>Promising</v>
      </c>
      <c r="BE1242">
        <f>'Regression Models'!$B$101+'Regression Models'!$B$102*ifood_data[[#This Row],[Income]]+'Regression Models'!$B$103*ifood_data[[#This Row],[Age]]+'Regression Models'!$B$104*ifood_data[[#This Row],[Family]]</f>
        <v>344.90005673259179</v>
      </c>
      <c r="BF1242" t="str">
        <f>IF(ifood_data[[#This Row],[AcceptedCmpOverall]]=1,"Campaign Respondent","Non-respondent")</f>
        <v>Non-respondent</v>
      </c>
    </row>
    <row r="1243" spans="1:58" x14ac:dyDescent="0.35">
      <c r="A1243">
        <v>944</v>
      </c>
      <c r="B1243">
        <v>46086</v>
      </c>
      <c r="C1243">
        <v>0</v>
      </c>
      <c r="D1243">
        <v>1</v>
      </c>
      <c r="E1243">
        <v>34</v>
      </c>
      <c r="F1243">
        <v>244</v>
      </c>
      <c r="G1243">
        <v>8</v>
      </c>
      <c r="H1243">
        <v>32</v>
      </c>
      <c r="I1243">
        <v>7</v>
      </c>
      <c r="J1243">
        <v>2</v>
      </c>
      <c r="K1243">
        <v>50</v>
      </c>
      <c r="L1243">
        <v>4</v>
      </c>
      <c r="M1243">
        <v>3</v>
      </c>
      <c r="N1243">
        <v>1</v>
      </c>
      <c r="O1243">
        <v>8</v>
      </c>
      <c r="P1243">
        <v>4</v>
      </c>
      <c r="Q1243">
        <v>0</v>
      </c>
      <c r="R1243">
        <v>0</v>
      </c>
      <c r="S1243">
        <v>0</v>
      </c>
      <c r="T1243">
        <v>0</v>
      </c>
      <c r="U1243">
        <v>0</v>
      </c>
      <c r="V1243">
        <f>IF(SUM(ifood_data[[#This Row],[AcceptedCmp1]:[AcceptedCmp5]])&gt;0,1,0)</f>
        <v>0</v>
      </c>
      <c r="W1243">
        <v>0</v>
      </c>
      <c r="X1243">
        <v>3</v>
      </c>
      <c r="Y1243">
        <v>11</v>
      </c>
      <c r="Z1243">
        <v>0</v>
      </c>
      <c r="AA1243">
        <v>64</v>
      </c>
      <c r="AB1243">
        <v>2397</v>
      </c>
      <c r="AC1243" s="28">
        <f>ifood_data[[#This Row],[Customer_Days]]/365</f>
        <v>6.5671232876712331</v>
      </c>
      <c r="AD1243">
        <v>1</v>
      </c>
      <c r="AE1243">
        <v>0</v>
      </c>
      <c r="AF1243">
        <v>0</v>
      </c>
      <c r="AG1243">
        <v>0</v>
      </c>
      <c r="AH1243">
        <v>0</v>
      </c>
      <c r="AI1243">
        <v>0</v>
      </c>
      <c r="AJ1243">
        <v>0</v>
      </c>
      <c r="AK1243">
        <v>1</v>
      </c>
      <c r="AL1243">
        <v>0</v>
      </c>
      <c r="AM1243">
        <v>0</v>
      </c>
      <c r="AN1243">
        <v>293</v>
      </c>
      <c r="AO1243">
        <v>243</v>
      </c>
      <c r="AP1243">
        <f>ifood_data[[#This Row],[MntTotal]]-ifood_data[[#This Row],[MntRegularProds]]</f>
        <v>50</v>
      </c>
      <c r="AQ1243">
        <v>0</v>
      </c>
      <c r="AR1243">
        <f>IF(SUM(ifood_data[[#This Row],[Kidhome]:[Teenhome]])&gt;0,1,0)</f>
        <v>1</v>
      </c>
      <c r="AS1243" t="str">
        <f>IF(SUM(ifood_data[[#This Row],[Kidhome]:[Teenhome]])&gt;0,"Has Family","No Family")</f>
        <v>Has Family</v>
      </c>
      <c r="AT1243" t="str">
        <f>IF(ifood_data[[#This Row],[marital_Married]]=1,"Married", (IF(ifood_data[[#This Row],[marital_Single]]=1,"Single",(IF(ifood_data[[#This Row],[marital_Divorced]]=1,"Divorced",(IF(ifood_data[[#This Row],[marital_Together]]=1,"Living Together",(IF(ifood_data[[#This Row],[marital_Widow]]=1,"Widow","Other")))))))))</f>
        <v>Divorced</v>
      </c>
      <c r="AU1243" t="str">
        <f>IF(ifood_data[[#This Row],[education_Basic]]=1,"High School",(IF(ifood_data[[#This Row],[education_Graduation]]=1,"Undergraduate Degree",(IF(SUM(AM1243,AL1243,AI1243)&gt;0,"Master's Degree or Higher","Other")))))</f>
        <v>Undergraduate Degree</v>
      </c>
      <c r="AV1243" t="str">
        <f>IF(ifood_data[[#All],[Income]]&gt;75000,"75K+",(IF(ifood_data[[#All],[Income]]&gt;50000,"50K-75K",(IF(ifood_data[[#All],[Income]]&gt;35000,"35K-50K","&lt;35K")))))</f>
        <v>35K-50K</v>
      </c>
      <c r="AW1243" t="str">
        <f>IF(ifood_data[[#All],[Age]]&gt;60,"60+",(IF(ifood_data[[#All],[Age]]&gt;50,"50-60",(IF(ifood_data[[#All],[Age]]&gt;40,"40-50",(IF(ifood_data[[#All],[Age]]&gt;30,"30-40","&lt;30")))))))</f>
        <v>60+</v>
      </c>
      <c r="AX1243">
        <f t="shared" si="76"/>
        <v>20</v>
      </c>
      <c r="AY1243">
        <f t="shared" si="77"/>
        <v>7</v>
      </c>
      <c r="AZ1243">
        <f t="shared" si="78"/>
        <v>4</v>
      </c>
      <c r="BA1243">
        <f t="shared" si="79"/>
        <v>4</v>
      </c>
      <c r="BB1243">
        <f>SUM(ifood_data[[#This Row],[Recency Score]:[Monetary Score]])</f>
        <v>15</v>
      </c>
      <c r="BC1243">
        <f>(_xlfn.PERCENTRANK.INC(ifood_data[[#All],[RFM]],ifood_data[[#This Row],[RFM]],1))*10</f>
        <v>4</v>
      </c>
      <c r="BD1243" t="str">
        <f>VLOOKUP(ifood_data[[#This Row],[RFM Score]],'RFM Analysis'!$A$3:$B$14,2,FALSE)</f>
        <v>At Risk</v>
      </c>
      <c r="BE1243">
        <f>'Regression Models'!$B$101+'Regression Models'!$B$102*ifood_data[[#This Row],[Income]]+'Regression Models'!$B$103*ifood_data[[#This Row],[Age]]+'Regression Models'!$B$104*ifood_data[[#This Row],[Family]]</f>
        <v>344.67578028300898</v>
      </c>
      <c r="BF1243" t="str">
        <f>IF(ifood_data[[#This Row],[AcceptedCmpOverall]]=1,"Campaign Respondent","Non-respondent")</f>
        <v>Non-respondent</v>
      </c>
    </row>
    <row r="1244" spans="1:58" x14ac:dyDescent="0.35">
      <c r="A1244">
        <v>267</v>
      </c>
      <c r="B1244">
        <v>44319</v>
      </c>
      <c r="C1244">
        <v>1</v>
      </c>
      <c r="D1244">
        <v>1</v>
      </c>
      <c r="E1244">
        <v>18</v>
      </c>
      <c r="F1244">
        <v>26</v>
      </c>
      <c r="G1244">
        <v>0</v>
      </c>
      <c r="H1244">
        <v>8</v>
      </c>
      <c r="I1244">
        <v>0</v>
      </c>
      <c r="J1244">
        <v>0</v>
      </c>
      <c r="K1244">
        <v>3</v>
      </c>
      <c r="L1244">
        <v>2</v>
      </c>
      <c r="M1244">
        <v>2</v>
      </c>
      <c r="N1244">
        <v>0</v>
      </c>
      <c r="O1244">
        <v>3</v>
      </c>
      <c r="P1244">
        <v>5</v>
      </c>
      <c r="Q1244">
        <v>0</v>
      </c>
      <c r="R1244">
        <v>0</v>
      </c>
      <c r="S1244">
        <v>0</v>
      </c>
      <c r="T1244">
        <v>0</v>
      </c>
      <c r="U1244">
        <v>0</v>
      </c>
      <c r="V1244">
        <f>IF(SUM(ifood_data[[#This Row],[AcceptedCmp1]:[AcceptedCmp5]])&gt;0,1,0)</f>
        <v>0</v>
      </c>
      <c r="W1244">
        <v>0</v>
      </c>
      <c r="X1244">
        <v>3</v>
      </c>
      <c r="Y1244">
        <v>11</v>
      </c>
      <c r="Z1244">
        <v>0</v>
      </c>
      <c r="AA1244">
        <v>45</v>
      </c>
      <c r="AB1244">
        <v>2232</v>
      </c>
      <c r="AC1244" s="28">
        <f>ifood_data[[#This Row],[Customer_Days]]/365</f>
        <v>6.1150684931506847</v>
      </c>
      <c r="AD1244">
        <v>0</v>
      </c>
      <c r="AE1244">
        <v>1</v>
      </c>
      <c r="AF1244">
        <v>0</v>
      </c>
      <c r="AG1244">
        <v>0</v>
      </c>
      <c r="AH1244">
        <v>0</v>
      </c>
      <c r="AI1244">
        <v>0</v>
      </c>
      <c r="AJ1244">
        <v>0</v>
      </c>
      <c r="AK1244">
        <v>0</v>
      </c>
      <c r="AL1244">
        <v>1</v>
      </c>
      <c r="AM1244">
        <v>0</v>
      </c>
      <c r="AN1244">
        <v>34</v>
      </c>
      <c r="AO1244">
        <v>31</v>
      </c>
      <c r="AP1244">
        <f>ifood_data[[#This Row],[MntTotal]]-ifood_data[[#This Row],[MntRegularProds]]</f>
        <v>3</v>
      </c>
      <c r="AQ1244">
        <v>0</v>
      </c>
      <c r="AR1244">
        <f>IF(SUM(ifood_data[[#This Row],[Kidhome]:[Teenhome]])&gt;0,1,0)</f>
        <v>1</v>
      </c>
      <c r="AS1244" t="str">
        <f>IF(SUM(ifood_data[[#This Row],[Kidhome]:[Teenhome]])&gt;0,"Has Family","No Family")</f>
        <v>Has Family</v>
      </c>
      <c r="AT1244" t="str">
        <f>IF(ifood_data[[#This Row],[marital_Married]]=1,"Married", (IF(ifood_data[[#This Row],[marital_Single]]=1,"Single",(IF(ifood_data[[#This Row],[marital_Divorced]]=1,"Divorced",(IF(ifood_data[[#This Row],[marital_Together]]=1,"Living Together",(IF(ifood_data[[#This Row],[marital_Widow]]=1,"Widow","Other")))))))))</f>
        <v>Married</v>
      </c>
      <c r="AU1244" t="str">
        <f>IF(ifood_data[[#This Row],[education_Basic]]=1,"High School",(IF(ifood_data[[#This Row],[education_Graduation]]=1,"Undergraduate Degree",(IF(SUM(AM1244,AL1244,AI1244)&gt;0,"Master's Degree or Higher","Other")))))</f>
        <v>Master's Degree or Higher</v>
      </c>
      <c r="AV1244" t="str">
        <f>IF(ifood_data[[#All],[Income]]&gt;75000,"75K+",(IF(ifood_data[[#All],[Income]]&gt;50000,"50K-75K",(IF(ifood_data[[#All],[Income]]&gt;35000,"35K-50K","&lt;35K")))))</f>
        <v>35K-50K</v>
      </c>
      <c r="AW1244" t="str">
        <f>IF(ifood_data[[#All],[Age]]&gt;60,"60+",(IF(ifood_data[[#All],[Age]]&gt;50,"50-60",(IF(ifood_data[[#All],[Age]]&gt;40,"40-50",(IF(ifood_data[[#All],[Age]]&gt;30,"30-40","&lt;30")))))))</f>
        <v>40-50</v>
      </c>
      <c r="AX1244">
        <f t="shared" si="76"/>
        <v>12</v>
      </c>
      <c r="AY1244">
        <f t="shared" si="77"/>
        <v>9</v>
      </c>
      <c r="AZ1244">
        <f t="shared" si="78"/>
        <v>1</v>
      </c>
      <c r="BA1244">
        <f t="shared" si="79"/>
        <v>1</v>
      </c>
      <c r="BB1244">
        <f>SUM(ifood_data[[#This Row],[Recency Score]:[Monetary Score]])</f>
        <v>11</v>
      </c>
      <c r="BC1244">
        <f>(_xlfn.PERCENTRANK.INC(ifood_data[[#All],[RFM]],ifood_data[[#This Row],[RFM]],1))*10</f>
        <v>2</v>
      </c>
      <c r="BD1244" t="str">
        <f>VLOOKUP(ifood_data[[#This Row],[RFM Score]],'RFM Analysis'!$A$3:$B$14,2,FALSE)</f>
        <v>At Risk</v>
      </c>
      <c r="BE1244">
        <f>'Regression Models'!$B$101+'Regression Models'!$B$102*ifood_data[[#This Row],[Income]]+'Regression Models'!$B$103*ifood_data[[#This Row],[Age]]+'Regression Models'!$B$104*ifood_data[[#This Row],[Family]]</f>
        <v>343.54116947173077</v>
      </c>
      <c r="BF1244" t="str">
        <f>IF(ifood_data[[#This Row],[AcceptedCmpOverall]]=1,"Campaign Respondent","Non-respondent")</f>
        <v>Non-respondent</v>
      </c>
    </row>
    <row r="1245" spans="1:58" x14ac:dyDescent="0.35">
      <c r="A1245">
        <v>1581</v>
      </c>
      <c r="B1245">
        <v>44392</v>
      </c>
      <c r="C1245">
        <v>1</v>
      </c>
      <c r="D1245">
        <v>1</v>
      </c>
      <c r="E1245">
        <v>71</v>
      </c>
      <c r="F1245">
        <v>87</v>
      </c>
      <c r="G1245">
        <v>5</v>
      </c>
      <c r="H1245">
        <v>71</v>
      </c>
      <c r="I1245">
        <v>7</v>
      </c>
      <c r="J1245">
        <v>12</v>
      </c>
      <c r="K1245">
        <v>29</v>
      </c>
      <c r="L1245">
        <v>5</v>
      </c>
      <c r="M1245">
        <v>4</v>
      </c>
      <c r="N1245">
        <v>1</v>
      </c>
      <c r="O1245">
        <v>4</v>
      </c>
      <c r="P1245">
        <v>7</v>
      </c>
      <c r="Q1245">
        <v>0</v>
      </c>
      <c r="R1245">
        <v>0</v>
      </c>
      <c r="S1245">
        <v>0</v>
      </c>
      <c r="T1245">
        <v>0</v>
      </c>
      <c r="U1245">
        <v>0</v>
      </c>
      <c r="V1245">
        <f>IF(SUM(ifood_data[[#This Row],[AcceptedCmp1]:[AcceptedCmp5]])&gt;0,1,0)</f>
        <v>0</v>
      </c>
      <c r="W1245">
        <v>0</v>
      </c>
      <c r="X1245">
        <v>3</v>
      </c>
      <c r="Y1245">
        <v>11</v>
      </c>
      <c r="Z1245">
        <v>0</v>
      </c>
      <c r="AA1245">
        <v>46</v>
      </c>
      <c r="AB1245">
        <v>2456</v>
      </c>
      <c r="AC1245" s="28">
        <f>ifood_data[[#This Row],[Customer_Days]]/365</f>
        <v>6.7287671232876711</v>
      </c>
      <c r="AD1245">
        <v>0</v>
      </c>
      <c r="AE1245">
        <v>0</v>
      </c>
      <c r="AF1245">
        <v>0</v>
      </c>
      <c r="AG1245">
        <v>1</v>
      </c>
      <c r="AH1245">
        <v>0</v>
      </c>
      <c r="AI1245">
        <v>0</v>
      </c>
      <c r="AJ1245">
        <v>0</v>
      </c>
      <c r="AK1245">
        <v>1</v>
      </c>
      <c r="AL1245">
        <v>0</v>
      </c>
      <c r="AM1245">
        <v>0</v>
      </c>
      <c r="AN1245">
        <v>182</v>
      </c>
      <c r="AO1245">
        <v>153</v>
      </c>
      <c r="AP1245">
        <f>ifood_data[[#This Row],[MntTotal]]-ifood_data[[#This Row],[MntRegularProds]]</f>
        <v>29</v>
      </c>
      <c r="AQ1245">
        <v>0</v>
      </c>
      <c r="AR1245">
        <f>IF(SUM(ifood_data[[#This Row],[Kidhome]:[Teenhome]])&gt;0,1,0)</f>
        <v>1</v>
      </c>
      <c r="AS1245" t="str">
        <f>IF(SUM(ifood_data[[#This Row],[Kidhome]:[Teenhome]])&gt;0,"Has Family","No Family")</f>
        <v>Has Family</v>
      </c>
      <c r="AT1245" t="str">
        <f>IF(ifood_data[[#This Row],[marital_Married]]=1,"Married", (IF(ifood_data[[#This Row],[marital_Single]]=1,"Single",(IF(ifood_data[[#This Row],[marital_Divorced]]=1,"Divorced",(IF(ifood_data[[#This Row],[marital_Together]]=1,"Living Together",(IF(ifood_data[[#This Row],[marital_Widow]]=1,"Widow","Other")))))))))</f>
        <v>Living Together</v>
      </c>
      <c r="AU1245" t="str">
        <f>IF(ifood_data[[#This Row],[education_Basic]]=1,"High School",(IF(ifood_data[[#This Row],[education_Graduation]]=1,"Undergraduate Degree",(IF(SUM(AM1245,AL1245,AI1245)&gt;0,"Master's Degree or Higher","Other")))))</f>
        <v>Undergraduate Degree</v>
      </c>
      <c r="AV1245" t="str">
        <f>IF(ifood_data[[#All],[Income]]&gt;75000,"75K+",(IF(ifood_data[[#All],[Income]]&gt;50000,"50K-75K",(IF(ifood_data[[#All],[Income]]&gt;35000,"35K-50K","&lt;35K")))))</f>
        <v>35K-50K</v>
      </c>
      <c r="AW1245" t="str">
        <f>IF(ifood_data[[#All],[Age]]&gt;60,"60+",(IF(ifood_data[[#All],[Age]]&gt;50,"50-60",(IF(ifood_data[[#All],[Age]]&gt;40,"40-50",(IF(ifood_data[[#All],[Age]]&gt;30,"30-40","&lt;30")))))))</f>
        <v>40-50</v>
      </c>
      <c r="AX1245">
        <f t="shared" si="76"/>
        <v>21</v>
      </c>
      <c r="AY1245">
        <f t="shared" si="77"/>
        <v>3.0000000000000004</v>
      </c>
      <c r="AZ1245">
        <f t="shared" si="78"/>
        <v>5</v>
      </c>
      <c r="BA1245">
        <f t="shared" si="79"/>
        <v>4</v>
      </c>
      <c r="BB1245">
        <f>SUM(ifood_data[[#This Row],[Recency Score]:[Monetary Score]])</f>
        <v>12</v>
      </c>
      <c r="BC1245">
        <f>(_xlfn.PERCENTRANK.INC(ifood_data[[#All],[RFM]],ifood_data[[#This Row],[RFM]],1))*10</f>
        <v>3</v>
      </c>
      <c r="BD1245" t="str">
        <f>VLOOKUP(ifood_data[[#This Row],[RFM Score]],'RFM Analysis'!$A$3:$B$14,2,FALSE)</f>
        <v>At Risk</v>
      </c>
      <c r="BE1245">
        <f>'Regression Models'!$B$101+'Regression Models'!$B$102*ifood_data[[#This Row],[Income]]+'Regression Models'!$B$103*ifood_data[[#This Row],[Age]]+'Regression Models'!$B$104*ifood_data[[#This Row],[Family]]</f>
        <v>343.19311046734117</v>
      </c>
      <c r="BF1245" t="str">
        <f>IF(ifood_data[[#This Row],[AcceptedCmpOverall]]=1,"Campaign Respondent","Non-respondent")</f>
        <v>Non-respondent</v>
      </c>
    </row>
    <row r="1246" spans="1:58" x14ac:dyDescent="0.35">
      <c r="A1246">
        <v>1663</v>
      </c>
      <c r="B1246">
        <v>44635</v>
      </c>
      <c r="C1246">
        <v>1</v>
      </c>
      <c r="D1246">
        <v>1</v>
      </c>
      <c r="E1246">
        <v>25</v>
      </c>
      <c r="F1246">
        <v>56</v>
      </c>
      <c r="G1246">
        <v>0</v>
      </c>
      <c r="H1246">
        <v>9</v>
      </c>
      <c r="I1246">
        <v>0</v>
      </c>
      <c r="J1246">
        <v>0</v>
      </c>
      <c r="K1246">
        <v>3</v>
      </c>
      <c r="L1246">
        <v>2</v>
      </c>
      <c r="M1246">
        <v>2</v>
      </c>
      <c r="N1246">
        <v>0</v>
      </c>
      <c r="O1246">
        <v>3</v>
      </c>
      <c r="P1246">
        <v>7</v>
      </c>
      <c r="Q1246">
        <v>0</v>
      </c>
      <c r="R1246">
        <v>0</v>
      </c>
      <c r="S1246">
        <v>0</v>
      </c>
      <c r="T1246">
        <v>0</v>
      </c>
      <c r="U1246">
        <v>0</v>
      </c>
      <c r="V1246">
        <f>IF(SUM(ifood_data[[#This Row],[AcceptedCmp1]:[AcceptedCmp5]])&gt;0,1,0)</f>
        <v>0</v>
      </c>
      <c r="W1246">
        <v>0</v>
      </c>
      <c r="X1246">
        <v>3</v>
      </c>
      <c r="Y1246">
        <v>11</v>
      </c>
      <c r="Z1246">
        <v>0</v>
      </c>
      <c r="AA1246">
        <v>49</v>
      </c>
      <c r="AB1246">
        <v>2420</v>
      </c>
      <c r="AC1246" s="28">
        <f>ifood_data[[#This Row],[Customer_Days]]/365</f>
        <v>6.6301369863013697</v>
      </c>
      <c r="AD1246">
        <v>1</v>
      </c>
      <c r="AE1246">
        <v>0</v>
      </c>
      <c r="AF1246">
        <v>0</v>
      </c>
      <c r="AG1246">
        <v>0</v>
      </c>
      <c r="AH1246">
        <v>0</v>
      </c>
      <c r="AI1246">
        <v>0</v>
      </c>
      <c r="AJ1246">
        <v>0</v>
      </c>
      <c r="AK1246">
        <v>0</v>
      </c>
      <c r="AL1246">
        <v>1</v>
      </c>
      <c r="AM1246">
        <v>0</v>
      </c>
      <c r="AN1246">
        <v>65</v>
      </c>
      <c r="AO1246">
        <v>62</v>
      </c>
      <c r="AP1246">
        <f>ifood_data[[#This Row],[MntTotal]]-ifood_data[[#This Row],[MntRegularProds]]</f>
        <v>3</v>
      </c>
      <c r="AQ1246">
        <v>0</v>
      </c>
      <c r="AR1246">
        <f>IF(SUM(ifood_data[[#This Row],[Kidhome]:[Teenhome]])&gt;0,1,0)</f>
        <v>1</v>
      </c>
      <c r="AS1246" t="str">
        <f>IF(SUM(ifood_data[[#This Row],[Kidhome]:[Teenhome]])&gt;0,"Has Family","No Family")</f>
        <v>Has Family</v>
      </c>
      <c r="AT1246" t="str">
        <f>IF(ifood_data[[#This Row],[marital_Married]]=1,"Married", (IF(ifood_data[[#This Row],[marital_Single]]=1,"Single",(IF(ifood_data[[#This Row],[marital_Divorced]]=1,"Divorced",(IF(ifood_data[[#This Row],[marital_Together]]=1,"Living Together",(IF(ifood_data[[#This Row],[marital_Widow]]=1,"Widow","Other")))))))))</f>
        <v>Divorced</v>
      </c>
      <c r="AU1246" t="str">
        <f>IF(ifood_data[[#This Row],[education_Basic]]=1,"High School",(IF(ifood_data[[#This Row],[education_Graduation]]=1,"Undergraduate Degree",(IF(SUM(AM1246,AL1246,AI1246)&gt;0,"Master's Degree or Higher","Other")))))</f>
        <v>Master's Degree or Higher</v>
      </c>
      <c r="AV1246" t="str">
        <f>IF(ifood_data[[#All],[Income]]&gt;75000,"75K+",(IF(ifood_data[[#All],[Income]]&gt;50000,"50K-75K",(IF(ifood_data[[#All],[Income]]&gt;35000,"35K-50K","&lt;35K")))))</f>
        <v>35K-50K</v>
      </c>
      <c r="AW1246" t="str">
        <f>IF(ifood_data[[#All],[Age]]&gt;60,"60+",(IF(ifood_data[[#All],[Age]]&gt;50,"50-60",(IF(ifood_data[[#All],[Age]]&gt;40,"40-50",(IF(ifood_data[[#All],[Age]]&gt;30,"30-40","&lt;30")))))))</f>
        <v>40-50</v>
      </c>
      <c r="AX1246">
        <f t="shared" si="76"/>
        <v>14</v>
      </c>
      <c r="AY1246">
        <f t="shared" si="77"/>
        <v>8</v>
      </c>
      <c r="AZ1246">
        <f t="shared" si="78"/>
        <v>2</v>
      </c>
      <c r="BA1246">
        <f t="shared" si="79"/>
        <v>2</v>
      </c>
      <c r="BB1246">
        <f>SUM(ifood_data[[#This Row],[Recency Score]:[Monetary Score]])</f>
        <v>12</v>
      </c>
      <c r="BC1246">
        <f>(_xlfn.PERCENTRANK.INC(ifood_data[[#All],[RFM]],ifood_data[[#This Row],[RFM]],1))*10</f>
        <v>3</v>
      </c>
      <c r="BD1246" t="str">
        <f>VLOOKUP(ifood_data[[#This Row],[RFM Score]],'RFM Analysis'!$A$3:$B$14,2,FALSE)</f>
        <v>At Risk</v>
      </c>
      <c r="BE1246">
        <f>'Regression Models'!$B$101+'Regression Models'!$B$102*ifood_data[[#This Row],[Income]]+'Regression Models'!$B$103*ifood_data[[#This Row],[Age]]+'Regression Models'!$B$104*ifood_data[[#This Row],[Family]]</f>
        <v>342.63826388962582</v>
      </c>
      <c r="BF1246" t="str">
        <f>IF(ifood_data[[#This Row],[AcceptedCmpOverall]]=1,"Campaign Respondent","Non-respondent")</f>
        <v>Non-respondent</v>
      </c>
    </row>
    <row r="1247" spans="1:58" x14ac:dyDescent="0.35">
      <c r="A1247">
        <v>839</v>
      </c>
      <c r="B1247">
        <v>46231</v>
      </c>
      <c r="C1247">
        <v>2</v>
      </c>
      <c r="D1247">
        <v>1</v>
      </c>
      <c r="E1247">
        <v>87</v>
      </c>
      <c r="F1247">
        <v>189</v>
      </c>
      <c r="G1247">
        <v>2</v>
      </c>
      <c r="H1247">
        <v>55</v>
      </c>
      <c r="I1247">
        <v>0</v>
      </c>
      <c r="J1247">
        <v>5</v>
      </c>
      <c r="K1247">
        <v>12</v>
      </c>
      <c r="L1247">
        <v>4</v>
      </c>
      <c r="M1247">
        <v>6</v>
      </c>
      <c r="N1247">
        <v>1</v>
      </c>
      <c r="O1247">
        <v>4</v>
      </c>
      <c r="P1247">
        <v>9</v>
      </c>
      <c r="Q1247">
        <v>0</v>
      </c>
      <c r="R1247">
        <v>0</v>
      </c>
      <c r="S1247">
        <v>0</v>
      </c>
      <c r="T1247">
        <v>0</v>
      </c>
      <c r="U1247">
        <v>0</v>
      </c>
      <c r="V1247">
        <f>IF(SUM(ifood_data[[#This Row],[AcceptedCmp1]:[AcceptedCmp5]])&gt;0,1,0)</f>
        <v>0</v>
      </c>
      <c r="W1247">
        <v>0</v>
      </c>
      <c r="X1247">
        <v>3</v>
      </c>
      <c r="Y1247">
        <v>11</v>
      </c>
      <c r="Z1247">
        <v>0</v>
      </c>
      <c r="AA1247">
        <v>67</v>
      </c>
      <c r="AB1247">
        <v>2739</v>
      </c>
      <c r="AC1247" s="28">
        <f>ifood_data[[#This Row],[Customer_Days]]/365</f>
        <v>7.5041095890410956</v>
      </c>
      <c r="AD1247">
        <v>0</v>
      </c>
      <c r="AE1247">
        <v>0</v>
      </c>
      <c r="AF1247">
        <v>1</v>
      </c>
      <c r="AG1247">
        <v>0</v>
      </c>
      <c r="AH1247">
        <v>0</v>
      </c>
      <c r="AI1247">
        <v>0</v>
      </c>
      <c r="AJ1247">
        <v>0</v>
      </c>
      <c r="AK1247">
        <v>0</v>
      </c>
      <c r="AL1247">
        <v>0</v>
      </c>
      <c r="AM1247">
        <v>1</v>
      </c>
      <c r="AN1247">
        <v>251</v>
      </c>
      <c r="AO1247">
        <v>239</v>
      </c>
      <c r="AP1247">
        <f>ifood_data[[#This Row],[MntTotal]]-ifood_data[[#This Row],[MntRegularProds]]</f>
        <v>12</v>
      </c>
      <c r="AQ1247">
        <v>0</v>
      </c>
      <c r="AR1247">
        <f>IF(SUM(ifood_data[[#This Row],[Kidhome]:[Teenhome]])&gt;0,1,0)</f>
        <v>1</v>
      </c>
      <c r="AS1247" t="str">
        <f>IF(SUM(ifood_data[[#This Row],[Kidhome]:[Teenhome]])&gt;0,"Has Family","No Family")</f>
        <v>Has Family</v>
      </c>
      <c r="AT1247" t="str">
        <f>IF(ifood_data[[#This Row],[marital_Married]]=1,"Married", (IF(ifood_data[[#This Row],[marital_Single]]=1,"Single",(IF(ifood_data[[#This Row],[marital_Divorced]]=1,"Divorced",(IF(ifood_data[[#This Row],[marital_Together]]=1,"Living Together",(IF(ifood_data[[#This Row],[marital_Widow]]=1,"Widow","Other")))))))))</f>
        <v>Single</v>
      </c>
      <c r="AU1247" t="str">
        <f>IF(ifood_data[[#This Row],[education_Basic]]=1,"High School",(IF(ifood_data[[#This Row],[education_Graduation]]=1,"Undergraduate Degree",(IF(SUM(AM1247,AL1247,AI1247)&gt;0,"Master's Degree or Higher","Other")))))</f>
        <v>Master's Degree or Higher</v>
      </c>
      <c r="AV1247" t="str">
        <f>IF(ifood_data[[#All],[Income]]&gt;75000,"75K+",(IF(ifood_data[[#All],[Income]]&gt;50000,"50K-75K",(IF(ifood_data[[#All],[Income]]&gt;35000,"35K-50K","&lt;35K")))))</f>
        <v>35K-50K</v>
      </c>
      <c r="AW1247" t="str">
        <f>IF(ifood_data[[#All],[Age]]&gt;60,"60+",(IF(ifood_data[[#All],[Age]]&gt;50,"50-60",(IF(ifood_data[[#All],[Age]]&gt;40,"40-50",(IF(ifood_data[[#All],[Age]]&gt;30,"30-40","&lt;30")))))))</f>
        <v>60+</v>
      </c>
      <c r="AX1247">
        <f t="shared" si="76"/>
        <v>24</v>
      </c>
      <c r="AY1247">
        <f t="shared" si="77"/>
        <v>1.9999999999999996</v>
      </c>
      <c r="AZ1247">
        <f t="shared" si="78"/>
        <v>6</v>
      </c>
      <c r="BA1247">
        <f t="shared" si="79"/>
        <v>4</v>
      </c>
      <c r="BB1247">
        <f>SUM(ifood_data[[#This Row],[Recency Score]:[Monetary Score]])</f>
        <v>12</v>
      </c>
      <c r="BC1247">
        <f>(_xlfn.PERCENTRANK.INC(ifood_data[[#All],[RFM]],ifood_data[[#This Row],[RFM]],1))*10</f>
        <v>3</v>
      </c>
      <c r="BD1247" t="str">
        <f>VLOOKUP(ifood_data[[#This Row],[RFM Score]],'RFM Analysis'!$A$3:$B$14,2,FALSE)</f>
        <v>At Risk</v>
      </c>
      <c r="BE1247">
        <f>'Regression Models'!$B$101+'Regression Models'!$B$102*ifood_data[[#This Row],[Income]]+'Regression Models'!$B$103*ifood_data[[#This Row],[Age]]+'Regression Models'!$B$104*ifood_data[[#This Row],[Family]]</f>
        <v>342.12283442719149</v>
      </c>
      <c r="BF1247" t="str">
        <f>IF(ifood_data[[#This Row],[AcceptedCmpOverall]]=1,"Campaign Respondent","Non-respondent")</f>
        <v>Non-respondent</v>
      </c>
    </row>
    <row r="1248" spans="1:58" x14ac:dyDescent="0.35">
      <c r="A1248">
        <v>339</v>
      </c>
      <c r="B1248">
        <v>46681</v>
      </c>
      <c r="C1248">
        <v>0</v>
      </c>
      <c r="D1248">
        <v>2</v>
      </c>
      <c r="E1248">
        <v>52</v>
      </c>
      <c r="F1248">
        <v>269</v>
      </c>
      <c r="G1248">
        <v>15</v>
      </c>
      <c r="H1248">
        <v>69</v>
      </c>
      <c r="I1248">
        <v>15</v>
      </c>
      <c r="J1248">
        <v>19</v>
      </c>
      <c r="K1248">
        <v>38</v>
      </c>
      <c r="L1248">
        <v>2</v>
      </c>
      <c r="M1248">
        <v>4</v>
      </c>
      <c r="N1248">
        <v>6</v>
      </c>
      <c r="O1248">
        <v>4</v>
      </c>
      <c r="P1248">
        <v>5</v>
      </c>
      <c r="Q1248">
        <v>0</v>
      </c>
      <c r="R1248">
        <v>0</v>
      </c>
      <c r="S1248">
        <v>0</v>
      </c>
      <c r="T1248">
        <v>0</v>
      </c>
      <c r="U1248">
        <v>0</v>
      </c>
      <c r="V1248">
        <f>IF(SUM(ifood_data[[#This Row],[AcceptedCmp1]:[AcceptedCmp5]])&gt;0,1,0)</f>
        <v>0</v>
      </c>
      <c r="W1248">
        <v>0</v>
      </c>
      <c r="X1248">
        <v>3</v>
      </c>
      <c r="Y1248">
        <v>11</v>
      </c>
      <c r="Z1248">
        <v>0</v>
      </c>
      <c r="AA1248">
        <v>72</v>
      </c>
      <c r="AB1248">
        <v>2423</v>
      </c>
      <c r="AC1248" s="28">
        <f>ifood_data[[#This Row],[Customer_Days]]/365</f>
        <v>6.6383561643835618</v>
      </c>
      <c r="AD1248">
        <v>0</v>
      </c>
      <c r="AE1248">
        <v>0</v>
      </c>
      <c r="AF1248">
        <v>0</v>
      </c>
      <c r="AG1248">
        <v>1</v>
      </c>
      <c r="AH1248">
        <v>0</v>
      </c>
      <c r="AI1248">
        <v>0</v>
      </c>
      <c r="AJ1248">
        <v>0</v>
      </c>
      <c r="AK1248">
        <v>0</v>
      </c>
      <c r="AL1248">
        <v>0</v>
      </c>
      <c r="AM1248">
        <v>1</v>
      </c>
      <c r="AN1248">
        <v>387</v>
      </c>
      <c r="AO1248">
        <v>349</v>
      </c>
      <c r="AP1248">
        <f>ifood_data[[#This Row],[MntTotal]]-ifood_data[[#This Row],[MntRegularProds]]</f>
        <v>38</v>
      </c>
      <c r="AQ1248">
        <v>0</v>
      </c>
      <c r="AR1248">
        <f>IF(SUM(ifood_data[[#This Row],[Kidhome]:[Teenhome]])&gt;0,1,0)</f>
        <v>1</v>
      </c>
      <c r="AS1248" t="str">
        <f>IF(SUM(ifood_data[[#This Row],[Kidhome]:[Teenhome]])&gt;0,"Has Family","No Family")</f>
        <v>Has Family</v>
      </c>
      <c r="AT1248" t="str">
        <f>IF(ifood_data[[#This Row],[marital_Married]]=1,"Married", (IF(ifood_data[[#This Row],[marital_Single]]=1,"Single",(IF(ifood_data[[#This Row],[marital_Divorced]]=1,"Divorced",(IF(ifood_data[[#This Row],[marital_Together]]=1,"Living Together",(IF(ifood_data[[#This Row],[marital_Widow]]=1,"Widow","Other")))))))))</f>
        <v>Living Together</v>
      </c>
      <c r="AU1248" t="str">
        <f>IF(ifood_data[[#This Row],[education_Basic]]=1,"High School",(IF(ifood_data[[#This Row],[education_Graduation]]=1,"Undergraduate Degree",(IF(SUM(AM1248,AL1248,AI1248)&gt;0,"Master's Degree or Higher","Other")))))</f>
        <v>Master's Degree or Higher</v>
      </c>
      <c r="AV1248" t="str">
        <f>IF(ifood_data[[#All],[Income]]&gt;75000,"75K+",(IF(ifood_data[[#All],[Income]]&gt;50000,"50K-75K",(IF(ifood_data[[#All],[Income]]&gt;35000,"35K-50K","&lt;35K")))))</f>
        <v>35K-50K</v>
      </c>
      <c r="AW1248" t="str">
        <f>IF(ifood_data[[#All],[Age]]&gt;60,"60+",(IF(ifood_data[[#All],[Age]]&gt;50,"50-60",(IF(ifood_data[[#All],[Age]]&gt;40,"40-50",(IF(ifood_data[[#All],[Age]]&gt;30,"30-40","&lt;30")))))))</f>
        <v>60+</v>
      </c>
      <c r="AX1248">
        <f t="shared" si="76"/>
        <v>21</v>
      </c>
      <c r="AY1248">
        <f t="shared" si="77"/>
        <v>5</v>
      </c>
      <c r="AZ1248">
        <f t="shared" si="78"/>
        <v>5</v>
      </c>
      <c r="BA1248">
        <f t="shared" si="79"/>
        <v>5</v>
      </c>
      <c r="BB1248">
        <f>SUM(ifood_data[[#This Row],[Recency Score]:[Monetary Score]])</f>
        <v>15</v>
      </c>
      <c r="BC1248">
        <f>(_xlfn.PERCENTRANK.INC(ifood_data[[#All],[RFM]],ifood_data[[#This Row],[RFM]],1))*10</f>
        <v>4</v>
      </c>
      <c r="BD1248" t="str">
        <f>VLOOKUP(ifood_data[[#This Row],[RFM Score]],'RFM Analysis'!$A$3:$B$14,2,FALSE)</f>
        <v>At Risk</v>
      </c>
      <c r="BE1248">
        <f>'Regression Models'!$B$101+'Regression Models'!$B$102*ifood_data[[#This Row],[Income]]+'Regression Models'!$B$103*ifood_data[[#This Row],[Age]]+'Regression Models'!$B$104*ifood_data[[#This Row],[Family]]</f>
        <v>342.11558469747456</v>
      </c>
      <c r="BF1248" t="str">
        <f>IF(ifood_data[[#This Row],[AcceptedCmpOverall]]=1,"Campaign Respondent","Non-respondent")</f>
        <v>Non-respondent</v>
      </c>
    </row>
    <row r="1249" spans="1:58" x14ac:dyDescent="0.35">
      <c r="A1249">
        <v>1234</v>
      </c>
      <c r="B1249">
        <v>45143</v>
      </c>
      <c r="C1249">
        <v>0</v>
      </c>
      <c r="D1249">
        <v>1</v>
      </c>
      <c r="E1249">
        <v>74</v>
      </c>
      <c r="F1249">
        <v>202</v>
      </c>
      <c r="G1249">
        <v>5</v>
      </c>
      <c r="H1249">
        <v>74</v>
      </c>
      <c r="I1249">
        <v>11</v>
      </c>
      <c r="J1249">
        <v>5</v>
      </c>
      <c r="K1249">
        <v>14</v>
      </c>
      <c r="L1249">
        <v>3</v>
      </c>
      <c r="M1249">
        <v>6</v>
      </c>
      <c r="N1249">
        <v>1</v>
      </c>
      <c r="O1249">
        <v>5</v>
      </c>
      <c r="P1249">
        <v>7</v>
      </c>
      <c r="Q1249">
        <v>0</v>
      </c>
      <c r="R1249">
        <v>0</v>
      </c>
      <c r="S1249">
        <v>0</v>
      </c>
      <c r="T1249">
        <v>0</v>
      </c>
      <c r="U1249">
        <v>0</v>
      </c>
      <c r="V1249">
        <f>IF(SUM(ifood_data[[#This Row],[AcceptedCmp1]:[AcceptedCmp5]])&gt;0,1,0)</f>
        <v>0</v>
      </c>
      <c r="W1249">
        <v>0</v>
      </c>
      <c r="X1249">
        <v>3</v>
      </c>
      <c r="Y1249">
        <v>11</v>
      </c>
      <c r="Z1249">
        <v>0</v>
      </c>
      <c r="AA1249">
        <v>55</v>
      </c>
      <c r="AB1249">
        <v>2466</v>
      </c>
      <c r="AC1249" s="28">
        <f>ifood_data[[#This Row],[Customer_Days]]/365</f>
        <v>6.7561643835616438</v>
      </c>
      <c r="AD1249">
        <v>0</v>
      </c>
      <c r="AE1249">
        <v>0</v>
      </c>
      <c r="AF1249">
        <v>0</v>
      </c>
      <c r="AG1249">
        <v>1</v>
      </c>
      <c r="AH1249">
        <v>0</v>
      </c>
      <c r="AI1249">
        <v>0</v>
      </c>
      <c r="AJ1249">
        <v>0</v>
      </c>
      <c r="AK1249">
        <v>0</v>
      </c>
      <c r="AL1249">
        <v>1</v>
      </c>
      <c r="AM1249">
        <v>0</v>
      </c>
      <c r="AN1249">
        <v>297</v>
      </c>
      <c r="AO1249">
        <v>283</v>
      </c>
      <c r="AP1249">
        <f>ifood_data[[#This Row],[MntTotal]]-ifood_data[[#This Row],[MntRegularProds]]</f>
        <v>14</v>
      </c>
      <c r="AQ1249">
        <v>0</v>
      </c>
      <c r="AR1249">
        <f>IF(SUM(ifood_data[[#This Row],[Kidhome]:[Teenhome]])&gt;0,1,0)</f>
        <v>1</v>
      </c>
      <c r="AS1249" t="str">
        <f>IF(SUM(ifood_data[[#This Row],[Kidhome]:[Teenhome]])&gt;0,"Has Family","No Family")</f>
        <v>Has Family</v>
      </c>
      <c r="AT1249" t="str">
        <f>IF(ifood_data[[#This Row],[marital_Married]]=1,"Married", (IF(ifood_data[[#This Row],[marital_Single]]=1,"Single",(IF(ifood_data[[#This Row],[marital_Divorced]]=1,"Divorced",(IF(ifood_data[[#This Row],[marital_Together]]=1,"Living Together",(IF(ifood_data[[#This Row],[marital_Widow]]=1,"Widow","Other")))))))))</f>
        <v>Living Together</v>
      </c>
      <c r="AU1249" t="str">
        <f>IF(ifood_data[[#This Row],[education_Basic]]=1,"High School",(IF(ifood_data[[#This Row],[education_Graduation]]=1,"Undergraduate Degree",(IF(SUM(AM1249,AL1249,AI1249)&gt;0,"Master's Degree or Higher","Other")))))</f>
        <v>Master's Degree or Higher</v>
      </c>
      <c r="AV1249" t="str">
        <f>IF(ifood_data[[#All],[Income]]&gt;75000,"75K+",(IF(ifood_data[[#All],[Income]]&gt;50000,"50K-75K",(IF(ifood_data[[#All],[Income]]&gt;35000,"35K-50K","&lt;35K")))))</f>
        <v>35K-50K</v>
      </c>
      <c r="AW1249" t="str">
        <f>IF(ifood_data[[#All],[Age]]&gt;60,"60+",(IF(ifood_data[[#All],[Age]]&gt;50,"50-60",(IF(ifood_data[[#All],[Age]]&gt;40,"40-50",(IF(ifood_data[[#All],[Age]]&gt;30,"30-40","&lt;30")))))))</f>
        <v>50-60</v>
      </c>
      <c r="AX1249">
        <f t="shared" si="76"/>
        <v>22</v>
      </c>
      <c r="AY1249">
        <f t="shared" si="77"/>
        <v>3.0000000000000004</v>
      </c>
      <c r="AZ1249">
        <f t="shared" si="78"/>
        <v>5</v>
      </c>
      <c r="BA1249">
        <f t="shared" si="79"/>
        <v>4</v>
      </c>
      <c r="BB1249">
        <f>SUM(ifood_data[[#This Row],[Recency Score]:[Monetary Score]])</f>
        <v>12</v>
      </c>
      <c r="BC1249">
        <f>(_xlfn.PERCENTRANK.INC(ifood_data[[#All],[RFM]],ifood_data[[#This Row],[RFM]],1))*10</f>
        <v>3</v>
      </c>
      <c r="BD1249" t="str">
        <f>VLOOKUP(ifood_data[[#This Row],[RFM Score]],'RFM Analysis'!$A$3:$B$14,2,FALSE)</f>
        <v>At Risk</v>
      </c>
      <c r="BE1249">
        <f>'Regression Models'!$B$101+'Regression Models'!$B$102*ifood_data[[#This Row],[Income]]+'Regression Models'!$B$103*ifood_data[[#This Row],[Age]]+'Regression Models'!$B$104*ifood_data[[#This Row],[Family]]</f>
        <v>341.97712363336075</v>
      </c>
      <c r="BF1249" t="str">
        <f>IF(ifood_data[[#This Row],[AcceptedCmpOverall]]=1,"Campaign Respondent","Non-respondent")</f>
        <v>Non-respondent</v>
      </c>
    </row>
    <row r="1250" spans="1:58" x14ac:dyDescent="0.35">
      <c r="A1250">
        <v>1711</v>
      </c>
      <c r="B1250">
        <v>44503</v>
      </c>
      <c r="C1250">
        <v>1</v>
      </c>
      <c r="D1250">
        <v>1</v>
      </c>
      <c r="E1250">
        <v>83</v>
      </c>
      <c r="F1250">
        <v>31</v>
      </c>
      <c r="G1250">
        <v>1</v>
      </c>
      <c r="H1250">
        <v>8</v>
      </c>
      <c r="I1250">
        <v>0</v>
      </c>
      <c r="J1250">
        <v>0</v>
      </c>
      <c r="K1250">
        <v>8</v>
      </c>
      <c r="L1250">
        <v>2</v>
      </c>
      <c r="M1250">
        <v>2</v>
      </c>
      <c r="N1250">
        <v>0</v>
      </c>
      <c r="O1250">
        <v>3</v>
      </c>
      <c r="P1250">
        <v>6</v>
      </c>
      <c r="Q1250">
        <v>0</v>
      </c>
      <c r="R1250">
        <v>0</v>
      </c>
      <c r="S1250">
        <v>0</v>
      </c>
      <c r="T1250">
        <v>0</v>
      </c>
      <c r="U1250">
        <v>0</v>
      </c>
      <c r="V1250">
        <f>IF(SUM(ifood_data[[#This Row],[AcceptedCmp1]:[AcceptedCmp5]])&gt;0,1,0)</f>
        <v>0</v>
      </c>
      <c r="W1250">
        <v>0</v>
      </c>
      <c r="X1250">
        <v>3</v>
      </c>
      <c r="Y1250">
        <v>11</v>
      </c>
      <c r="Z1250">
        <v>0</v>
      </c>
      <c r="AA1250">
        <v>48</v>
      </c>
      <c r="AB1250">
        <v>2233</v>
      </c>
      <c r="AC1250" s="28">
        <f>ifood_data[[#This Row],[Customer_Days]]/365</f>
        <v>6.117808219178082</v>
      </c>
      <c r="AD1250">
        <v>0</v>
      </c>
      <c r="AE1250">
        <v>0</v>
      </c>
      <c r="AF1250">
        <v>1</v>
      </c>
      <c r="AG1250">
        <v>0</v>
      </c>
      <c r="AH1250">
        <v>0</v>
      </c>
      <c r="AI1250">
        <v>0</v>
      </c>
      <c r="AJ1250">
        <v>0</v>
      </c>
      <c r="AK1250">
        <v>1</v>
      </c>
      <c r="AL1250">
        <v>0</v>
      </c>
      <c r="AM1250">
        <v>0</v>
      </c>
      <c r="AN1250">
        <v>40</v>
      </c>
      <c r="AO1250">
        <v>32</v>
      </c>
      <c r="AP1250">
        <f>ifood_data[[#This Row],[MntTotal]]-ifood_data[[#This Row],[MntRegularProds]]</f>
        <v>8</v>
      </c>
      <c r="AQ1250">
        <v>0</v>
      </c>
      <c r="AR1250">
        <f>IF(SUM(ifood_data[[#This Row],[Kidhome]:[Teenhome]])&gt;0,1,0)</f>
        <v>1</v>
      </c>
      <c r="AS1250" t="str">
        <f>IF(SUM(ifood_data[[#This Row],[Kidhome]:[Teenhome]])&gt;0,"Has Family","No Family")</f>
        <v>Has Family</v>
      </c>
      <c r="AT1250" t="str">
        <f>IF(ifood_data[[#This Row],[marital_Married]]=1,"Married", (IF(ifood_data[[#This Row],[marital_Single]]=1,"Single",(IF(ifood_data[[#This Row],[marital_Divorced]]=1,"Divorced",(IF(ifood_data[[#This Row],[marital_Together]]=1,"Living Together",(IF(ifood_data[[#This Row],[marital_Widow]]=1,"Widow","Other")))))))))</f>
        <v>Single</v>
      </c>
      <c r="AU1250" t="str">
        <f>IF(ifood_data[[#This Row],[education_Basic]]=1,"High School",(IF(ifood_data[[#This Row],[education_Graduation]]=1,"Undergraduate Degree",(IF(SUM(AM1250,AL1250,AI1250)&gt;0,"Master's Degree or Higher","Other")))))</f>
        <v>Undergraduate Degree</v>
      </c>
      <c r="AV1250" t="str">
        <f>IF(ifood_data[[#All],[Income]]&gt;75000,"75K+",(IF(ifood_data[[#All],[Income]]&gt;50000,"50K-75K",(IF(ifood_data[[#All],[Income]]&gt;35000,"35K-50K","&lt;35K")))))</f>
        <v>35K-50K</v>
      </c>
      <c r="AW1250" t="str">
        <f>IF(ifood_data[[#All],[Age]]&gt;60,"60+",(IF(ifood_data[[#All],[Age]]&gt;50,"50-60",(IF(ifood_data[[#All],[Age]]&gt;40,"40-50",(IF(ifood_data[[#All],[Age]]&gt;30,"30-40","&lt;30")))))))</f>
        <v>40-50</v>
      </c>
      <c r="AX1250">
        <f t="shared" si="76"/>
        <v>13</v>
      </c>
      <c r="AY1250">
        <f t="shared" si="77"/>
        <v>1.9999999999999996</v>
      </c>
      <c r="AZ1250">
        <f t="shared" si="78"/>
        <v>1</v>
      </c>
      <c r="BA1250">
        <f t="shared" si="79"/>
        <v>1</v>
      </c>
      <c r="BB1250">
        <f>SUM(ifood_data[[#This Row],[Recency Score]:[Monetary Score]])</f>
        <v>3.9999999999999996</v>
      </c>
      <c r="BC1250">
        <f>(_xlfn.PERCENTRANK.INC(ifood_data[[#All],[RFM]],ifood_data[[#This Row],[RFM]],1))*10</f>
        <v>0</v>
      </c>
      <c r="BD1250" t="str">
        <f>VLOOKUP(ifood_data[[#This Row],[RFM Score]],'RFM Analysis'!$A$3:$B$14,2,FALSE)</f>
        <v>Lost</v>
      </c>
      <c r="BE1250">
        <f>'Regression Models'!$B$101+'Regression Models'!$B$102*ifood_data[[#This Row],[Income]]+'Regression Models'!$B$103*ifood_data[[#This Row],[Age]]+'Regression Models'!$B$104*ifood_data[[#This Row],[Family]]</f>
        <v>341.78338557352538</v>
      </c>
      <c r="BF1250" t="str">
        <f>IF(ifood_data[[#This Row],[AcceptedCmpOverall]]=1,"Campaign Respondent","Non-respondent")</f>
        <v>Non-respondent</v>
      </c>
    </row>
    <row r="1251" spans="1:58" x14ac:dyDescent="0.35">
      <c r="A1251">
        <v>871</v>
      </c>
      <c r="B1251">
        <v>46015</v>
      </c>
      <c r="C1251">
        <v>1</v>
      </c>
      <c r="D1251">
        <v>1</v>
      </c>
      <c r="E1251">
        <v>25</v>
      </c>
      <c r="F1251">
        <v>38</v>
      </c>
      <c r="G1251">
        <v>0</v>
      </c>
      <c r="H1251">
        <v>2</v>
      </c>
      <c r="I1251">
        <v>0</v>
      </c>
      <c r="J1251">
        <v>0</v>
      </c>
      <c r="K1251">
        <v>6</v>
      </c>
      <c r="L1251">
        <v>1</v>
      </c>
      <c r="M1251">
        <v>1</v>
      </c>
      <c r="N1251">
        <v>0</v>
      </c>
      <c r="O1251">
        <v>3</v>
      </c>
      <c r="P1251">
        <v>7</v>
      </c>
      <c r="Q1251">
        <v>0</v>
      </c>
      <c r="R1251">
        <v>1</v>
      </c>
      <c r="S1251">
        <v>1</v>
      </c>
      <c r="T1251">
        <v>0</v>
      </c>
      <c r="U1251">
        <v>0</v>
      </c>
      <c r="V1251">
        <f>IF(SUM(ifood_data[[#This Row],[AcceptedCmp1]:[AcceptedCmp5]])&gt;0,1,0)</f>
        <v>1</v>
      </c>
      <c r="W1251">
        <v>0</v>
      </c>
      <c r="X1251">
        <v>3</v>
      </c>
      <c r="Y1251">
        <v>11</v>
      </c>
      <c r="Z1251">
        <v>0</v>
      </c>
      <c r="AA1251">
        <v>65</v>
      </c>
      <c r="AB1251">
        <v>2236</v>
      </c>
      <c r="AC1251" s="28">
        <f>ifood_data[[#This Row],[Customer_Days]]/365</f>
        <v>6.1260273972602741</v>
      </c>
      <c r="AD1251">
        <v>0</v>
      </c>
      <c r="AE1251">
        <v>0</v>
      </c>
      <c r="AF1251">
        <v>0</v>
      </c>
      <c r="AG1251">
        <v>1</v>
      </c>
      <c r="AH1251">
        <v>0</v>
      </c>
      <c r="AI1251">
        <v>0</v>
      </c>
      <c r="AJ1251">
        <v>0</v>
      </c>
      <c r="AK1251">
        <v>0</v>
      </c>
      <c r="AL1251">
        <v>0</v>
      </c>
      <c r="AM1251">
        <v>1</v>
      </c>
      <c r="AN1251">
        <v>40</v>
      </c>
      <c r="AO1251">
        <v>34</v>
      </c>
      <c r="AP1251">
        <f>ifood_data[[#This Row],[MntTotal]]-ifood_data[[#This Row],[MntRegularProds]]</f>
        <v>6</v>
      </c>
      <c r="AQ1251">
        <v>2</v>
      </c>
      <c r="AR1251">
        <f>IF(SUM(ifood_data[[#This Row],[Kidhome]:[Teenhome]])&gt;0,1,0)</f>
        <v>1</v>
      </c>
      <c r="AS1251" t="str">
        <f>IF(SUM(ifood_data[[#This Row],[Kidhome]:[Teenhome]])&gt;0,"Has Family","No Family")</f>
        <v>Has Family</v>
      </c>
      <c r="AT1251" t="str">
        <f>IF(ifood_data[[#This Row],[marital_Married]]=1,"Married", (IF(ifood_data[[#This Row],[marital_Single]]=1,"Single",(IF(ifood_data[[#This Row],[marital_Divorced]]=1,"Divorced",(IF(ifood_data[[#This Row],[marital_Together]]=1,"Living Together",(IF(ifood_data[[#This Row],[marital_Widow]]=1,"Widow","Other")))))))))</f>
        <v>Living Together</v>
      </c>
      <c r="AU1251" t="str">
        <f>IF(ifood_data[[#This Row],[education_Basic]]=1,"High School",(IF(ifood_data[[#This Row],[education_Graduation]]=1,"Undergraduate Degree",(IF(SUM(AM1251,AL1251,AI1251)&gt;0,"Master's Degree or Higher","Other")))))</f>
        <v>Master's Degree or Higher</v>
      </c>
      <c r="AV1251" t="str">
        <f>IF(ifood_data[[#All],[Income]]&gt;75000,"75K+",(IF(ifood_data[[#All],[Income]]&gt;50000,"50K-75K",(IF(ifood_data[[#All],[Income]]&gt;35000,"35K-50K","&lt;35K")))))</f>
        <v>35K-50K</v>
      </c>
      <c r="AW1251" t="str">
        <f>IF(ifood_data[[#All],[Age]]&gt;60,"60+",(IF(ifood_data[[#All],[Age]]&gt;50,"50-60",(IF(ifood_data[[#All],[Age]]&gt;40,"40-50",(IF(ifood_data[[#All],[Age]]&gt;30,"30-40","&lt;30")))))))</f>
        <v>60+</v>
      </c>
      <c r="AX1251">
        <f t="shared" si="76"/>
        <v>12</v>
      </c>
      <c r="AY1251">
        <f t="shared" si="77"/>
        <v>8</v>
      </c>
      <c r="AZ1251">
        <f t="shared" si="78"/>
        <v>1</v>
      </c>
      <c r="BA1251">
        <f t="shared" si="79"/>
        <v>1</v>
      </c>
      <c r="BB1251">
        <f>SUM(ifood_data[[#This Row],[Recency Score]:[Monetary Score]])</f>
        <v>10</v>
      </c>
      <c r="BC1251">
        <f>(_xlfn.PERCENTRANK.INC(ifood_data[[#All],[RFM]],ifood_data[[#This Row],[RFM]],1))*10</f>
        <v>2</v>
      </c>
      <c r="BD1251" t="str">
        <f>VLOOKUP(ifood_data[[#This Row],[RFM Score]],'RFM Analysis'!$A$3:$B$14,2,FALSE)</f>
        <v>At Risk</v>
      </c>
      <c r="BE1251">
        <f>'Regression Models'!$B$101+'Regression Models'!$B$102*ifood_data[[#This Row],[Income]]+'Regression Models'!$B$103*ifood_data[[#This Row],[Age]]+'Regression Models'!$B$104*ifood_data[[#This Row],[Family]]</f>
        <v>341.39173866589783</v>
      </c>
      <c r="BF1251" t="str">
        <f>IF(ifood_data[[#This Row],[AcceptedCmpOverall]]=1,"Campaign Respondent","Non-respondent")</f>
        <v>Campaign Respondent</v>
      </c>
    </row>
    <row r="1252" spans="1:58" x14ac:dyDescent="0.35">
      <c r="A1252">
        <v>510</v>
      </c>
      <c r="B1252">
        <v>44931</v>
      </c>
      <c r="C1252">
        <v>0</v>
      </c>
      <c r="D1252">
        <v>1</v>
      </c>
      <c r="E1252">
        <v>0</v>
      </c>
      <c r="F1252">
        <v>78</v>
      </c>
      <c r="G1252">
        <v>0</v>
      </c>
      <c r="H1252">
        <v>11</v>
      </c>
      <c r="I1252">
        <v>0</v>
      </c>
      <c r="J1252">
        <v>0</v>
      </c>
      <c r="K1252">
        <v>7</v>
      </c>
      <c r="L1252">
        <v>1</v>
      </c>
      <c r="M1252">
        <v>2</v>
      </c>
      <c r="N1252">
        <v>1</v>
      </c>
      <c r="O1252">
        <v>3</v>
      </c>
      <c r="P1252">
        <v>5</v>
      </c>
      <c r="Q1252">
        <v>0</v>
      </c>
      <c r="R1252">
        <v>0</v>
      </c>
      <c r="S1252">
        <v>0</v>
      </c>
      <c r="T1252">
        <v>0</v>
      </c>
      <c r="U1252">
        <v>0</v>
      </c>
      <c r="V1252">
        <f>IF(SUM(ifood_data[[#This Row],[AcceptedCmp1]:[AcceptedCmp5]])&gt;0,1,0)</f>
        <v>0</v>
      </c>
      <c r="W1252">
        <v>0</v>
      </c>
      <c r="X1252">
        <v>3</v>
      </c>
      <c r="Y1252">
        <v>11</v>
      </c>
      <c r="Z1252">
        <v>0</v>
      </c>
      <c r="AA1252">
        <v>53</v>
      </c>
      <c r="AB1252">
        <v>2321</v>
      </c>
      <c r="AC1252" s="28">
        <f>ifood_data[[#This Row],[Customer_Days]]/365</f>
        <v>6.3589041095890408</v>
      </c>
      <c r="AD1252">
        <v>0</v>
      </c>
      <c r="AE1252">
        <v>0</v>
      </c>
      <c r="AF1252">
        <v>0</v>
      </c>
      <c r="AG1252">
        <v>1</v>
      </c>
      <c r="AH1252">
        <v>0</v>
      </c>
      <c r="AI1252">
        <v>0</v>
      </c>
      <c r="AJ1252">
        <v>0</v>
      </c>
      <c r="AK1252">
        <v>1</v>
      </c>
      <c r="AL1252">
        <v>0</v>
      </c>
      <c r="AM1252">
        <v>0</v>
      </c>
      <c r="AN1252">
        <v>89</v>
      </c>
      <c r="AO1252">
        <v>82</v>
      </c>
      <c r="AP1252">
        <f>ifood_data[[#This Row],[MntTotal]]-ifood_data[[#This Row],[MntRegularProds]]</f>
        <v>7</v>
      </c>
      <c r="AQ1252">
        <v>0</v>
      </c>
      <c r="AR1252">
        <f>IF(SUM(ifood_data[[#This Row],[Kidhome]:[Teenhome]])&gt;0,1,0)</f>
        <v>1</v>
      </c>
      <c r="AS1252" t="str">
        <f>IF(SUM(ifood_data[[#This Row],[Kidhome]:[Teenhome]])&gt;0,"Has Family","No Family")</f>
        <v>Has Family</v>
      </c>
      <c r="AT1252" t="str">
        <f>IF(ifood_data[[#This Row],[marital_Married]]=1,"Married", (IF(ifood_data[[#This Row],[marital_Single]]=1,"Single",(IF(ifood_data[[#This Row],[marital_Divorced]]=1,"Divorced",(IF(ifood_data[[#This Row],[marital_Together]]=1,"Living Together",(IF(ifood_data[[#This Row],[marital_Widow]]=1,"Widow","Other")))))))))</f>
        <v>Living Together</v>
      </c>
      <c r="AU1252" t="str">
        <f>IF(ifood_data[[#This Row],[education_Basic]]=1,"High School",(IF(ifood_data[[#This Row],[education_Graduation]]=1,"Undergraduate Degree",(IF(SUM(AM1252,AL1252,AI1252)&gt;0,"Master's Degree or Higher","Other")))))</f>
        <v>Undergraduate Degree</v>
      </c>
      <c r="AV1252" t="str">
        <f>IF(ifood_data[[#All],[Income]]&gt;75000,"75K+",(IF(ifood_data[[#All],[Income]]&gt;50000,"50K-75K",(IF(ifood_data[[#All],[Income]]&gt;35000,"35K-50K","&lt;35K")))))</f>
        <v>35K-50K</v>
      </c>
      <c r="AW1252" t="str">
        <f>IF(ifood_data[[#All],[Age]]&gt;60,"60+",(IF(ifood_data[[#All],[Age]]&gt;50,"50-60",(IF(ifood_data[[#All],[Age]]&gt;40,"40-50",(IF(ifood_data[[#All],[Age]]&gt;30,"30-40","&lt;30")))))))</f>
        <v>50-60</v>
      </c>
      <c r="AX1252">
        <f t="shared" si="76"/>
        <v>12</v>
      </c>
      <c r="AY1252">
        <f t="shared" si="77"/>
        <v>10</v>
      </c>
      <c r="AZ1252">
        <f t="shared" si="78"/>
        <v>1</v>
      </c>
      <c r="BA1252">
        <f t="shared" si="79"/>
        <v>3</v>
      </c>
      <c r="BB1252">
        <f>SUM(ifood_data[[#This Row],[Recency Score]:[Monetary Score]])</f>
        <v>14</v>
      </c>
      <c r="BC1252">
        <f>(_xlfn.PERCENTRANK.INC(ifood_data[[#All],[RFM]],ifood_data[[#This Row],[RFM]],1))*10</f>
        <v>4</v>
      </c>
      <c r="BD1252" t="str">
        <f>VLOOKUP(ifood_data[[#This Row],[RFM Score]],'RFM Analysis'!$A$3:$B$14,2,FALSE)</f>
        <v>At Risk</v>
      </c>
      <c r="BE1252">
        <f>'Regression Models'!$B$101+'Regression Models'!$B$102*ifood_data[[#This Row],[Income]]+'Regression Models'!$B$103*ifood_data[[#This Row],[Age]]+'Regression Models'!$B$104*ifood_data[[#This Row],[Family]]</f>
        <v>341.3275829446427</v>
      </c>
      <c r="BF1252" t="str">
        <f>IF(ifood_data[[#This Row],[AcceptedCmpOverall]]=1,"Campaign Respondent","Non-respondent")</f>
        <v>Non-respondent</v>
      </c>
    </row>
    <row r="1253" spans="1:58" x14ac:dyDescent="0.35">
      <c r="A1253">
        <v>1435</v>
      </c>
      <c r="B1253">
        <v>30983</v>
      </c>
      <c r="C1253">
        <v>0</v>
      </c>
      <c r="D1253">
        <v>0</v>
      </c>
      <c r="E1253">
        <v>50</v>
      </c>
      <c r="F1253">
        <v>51</v>
      </c>
      <c r="G1253">
        <v>4</v>
      </c>
      <c r="H1253">
        <v>50</v>
      </c>
      <c r="I1253">
        <v>12</v>
      </c>
      <c r="J1253">
        <v>1</v>
      </c>
      <c r="K1253">
        <v>49</v>
      </c>
      <c r="L1253">
        <v>1</v>
      </c>
      <c r="M1253">
        <v>4</v>
      </c>
      <c r="N1253">
        <v>0</v>
      </c>
      <c r="O1253">
        <v>3</v>
      </c>
      <c r="P1253">
        <v>8</v>
      </c>
      <c r="Q1253">
        <v>0</v>
      </c>
      <c r="R1253">
        <v>0</v>
      </c>
      <c r="S1253">
        <v>0</v>
      </c>
      <c r="T1253">
        <v>0</v>
      </c>
      <c r="U1253">
        <v>0</v>
      </c>
      <c r="V1253">
        <f>IF(SUM(ifood_data[[#This Row],[AcceptedCmp1]:[AcceptedCmp5]])&gt;0,1,0)</f>
        <v>0</v>
      </c>
      <c r="W1253">
        <v>0</v>
      </c>
      <c r="X1253">
        <v>3</v>
      </c>
      <c r="Y1253">
        <v>11</v>
      </c>
      <c r="Z1253">
        <v>1</v>
      </c>
      <c r="AA1253">
        <v>57</v>
      </c>
      <c r="AB1253">
        <v>2756</v>
      </c>
      <c r="AC1253" s="28">
        <f>ifood_data[[#This Row],[Customer_Days]]/365</f>
        <v>7.5506849315068489</v>
      </c>
      <c r="AD1253">
        <v>0</v>
      </c>
      <c r="AE1253">
        <v>0</v>
      </c>
      <c r="AF1253">
        <v>1</v>
      </c>
      <c r="AG1253">
        <v>0</v>
      </c>
      <c r="AH1253">
        <v>0</v>
      </c>
      <c r="AI1253">
        <v>0</v>
      </c>
      <c r="AJ1253">
        <v>0</v>
      </c>
      <c r="AK1253">
        <v>1</v>
      </c>
      <c r="AL1253">
        <v>0</v>
      </c>
      <c r="AM1253">
        <v>0</v>
      </c>
      <c r="AN1253">
        <v>118</v>
      </c>
      <c r="AO1253">
        <v>69</v>
      </c>
      <c r="AP1253">
        <f>ifood_data[[#This Row],[MntTotal]]-ifood_data[[#This Row],[MntRegularProds]]</f>
        <v>49</v>
      </c>
      <c r="AQ1253">
        <v>0</v>
      </c>
      <c r="AR1253">
        <f>IF(SUM(ifood_data[[#This Row],[Kidhome]:[Teenhome]])&gt;0,1,0)</f>
        <v>0</v>
      </c>
      <c r="AS1253" t="str">
        <f>IF(SUM(ifood_data[[#This Row],[Kidhome]:[Teenhome]])&gt;0,"Has Family","No Family")</f>
        <v>No Family</v>
      </c>
      <c r="AT1253" t="str">
        <f>IF(ifood_data[[#This Row],[marital_Married]]=1,"Married", (IF(ifood_data[[#This Row],[marital_Single]]=1,"Single",(IF(ifood_data[[#This Row],[marital_Divorced]]=1,"Divorced",(IF(ifood_data[[#This Row],[marital_Together]]=1,"Living Together",(IF(ifood_data[[#This Row],[marital_Widow]]=1,"Widow","Other")))))))))</f>
        <v>Single</v>
      </c>
      <c r="AU1253" t="str">
        <f>IF(ifood_data[[#This Row],[education_Basic]]=1,"High School",(IF(ifood_data[[#This Row],[education_Graduation]]=1,"Undergraduate Degree",(IF(SUM(AM1253,AL1253,AI1253)&gt;0,"Master's Degree or Higher","Other")))))</f>
        <v>Undergraduate Degree</v>
      </c>
      <c r="AV1253" t="str">
        <f>IF(ifood_data[[#All],[Income]]&gt;75000,"75K+",(IF(ifood_data[[#All],[Income]]&gt;50000,"50K-75K",(IF(ifood_data[[#All],[Income]]&gt;35000,"35K-50K","&lt;35K")))))</f>
        <v>&lt;35K</v>
      </c>
      <c r="AW1253" t="str">
        <f>IF(ifood_data[[#All],[Age]]&gt;60,"60+",(IF(ifood_data[[#All],[Age]]&gt;50,"50-60",(IF(ifood_data[[#All],[Age]]&gt;40,"40-50",(IF(ifood_data[[#All],[Age]]&gt;30,"30-40","&lt;30")))))))</f>
        <v>50-60</v>
      </c>
      <c r="AX1253">
        <f t="shared" si="76"/>
        <v>16</v>
      </c>
      <c r="AY1253">
        <f t="shared" si="77"/>
        <v>5</v>
      </c>
      <c r="AZ1253">
        <f t="shared" si="78"/>
        <v>3</v>
      </c>
      <c r="BA1253">
        <f t="shared" si="79"/>
        <v>3</v>
      </c>
      <c r="BB1253">
        <f>SUM(ifood_data[[#This Row],[Recency Score]:[Monetary Score]])</f>
        <v>11</v>
      </c>
      <c r="BC1253">
        <f>(_xlfn.PERCENTRANK.INC(ifood_data[[#All],[RFM]],ifood_data[[#This Row],[RFM]],1))*10</f>
        <v>2</v>
      </c>
      <c r="BD1253" t="str">
        <f>VLOOKUP(ifood_data[[#This Row],[RFM Score]],'RFM Analysis'!$A$3:$B$14,2,FALSE)</f>
        <v>At Risk</v>
      </c>
      <c r="BE1253">
        <f>'Regression Models'!$B$101+'Regression Models'!$B$102*ifood_data[[#This Row],[Income]]+'Regression Models'!$B$103*ifood_data[[#This Row],[Age]]+'Regression Models'!$B$104*ifood_data[[#This Row],[Family]]</f>
        <v>339.21291963097929</v>
      </c>
      <c r="BF1253" t="str">
        <f>IF(ifood_data[[#This Row],[AcceptedCmpOverall]]=1,"Campaign Respondent","Non-respondent")</f>
        <v>Non-respondent</v>
      </c>
    </row>
    <row r="1254" spans="1:58" x14ac:dyDescent="0.35">
      <c r="A1254">
        <v>2000</v>
      </c>
      <c r="B1254">
        <v>45146</v>
      </c>
      <c r="C1254">
        <v>1</v>
      </c>
      <c r="D1254">
        <v>1</v>
      </c>
      <c r="E1254">
        <v>28</v>
      </c>
      <c r="F1254">
        <v>33</v>
      </c>
      <c r="G1254">
        <v>0</v>
      </c>
      <c r="H1254">
        <v>5</v>
      </c>
      <c r="I1254">
        <v>0</v>
      </c>
      <c r="J1254">
        <v>0</v>
      </c>
      <c r="K1254">
        <v>15</v>
      </c>
      <c r="L1254">
        <v>2</v>
      </c>
      <c r="M1254">
        <v>1</v>
      </c>
      <c r="N1254">
        <v>1</v>
      </c>
      <c r="O1254">
        <v>2</v>
      </c>
      <c r="P1254">
        <v>4</v>
      </c>
      <c r="Q1254">
        <v>0</v>
      </c>
      <c r="R1254">
        <v>0</v>
      </c>
      <c r="S1254">
        <v>0</v>
      </c>
      <c r="T1254">
        <v>0</v>
      </c>
      <c r="U1254">
        <v>0</v>
      </c>
      <c r="V1254">
        <f>IF(SUM(ifood_data[[#This Row],[AcceptedCmp1]:[AcceptedCmp5]])&gt;0,1,0)</f>
        <v>0</v>
      </c>
      <c r="W1254">
        <v>0</v>
      </c>
      <c r="X1254">
        <v>3</v>
      </c>
      <c r="Y1254">
        <v>11</v>
      </c>
      <c r="Z1254">
        <v>0</v>
      </c>
      <c r="AA1254">
        <v>57</v>
      </c>
      <c r="AB1254">
        <v>2508</v>
      </c>
      <c r="AC1254" s="28">
        <f>ifood_data[[#This Row],[Customer_Days]]/365</f>
        <v>6.8712328767123285</v>
      </c>
      <c r="AD1254">
        <v>1</v>
      </c>
      <c r="AE1254">
        <v>0</v>
      </c>
      <c r="AF1254">
        <v>0</v>
      </c>
      <c r="AG1254">
        <v>0</v>
      </c>
      <c r="AH1254">
        <v>0</v>
      </c>
      <c r="AI1254">
        <v>0</v>
      </c>
      <c r="AJ1254">
        <v>0</v>
      </c>
      <c r="AK1254">
        <v>1</v>
      </c>
      <c r="AL1254">
        <v>0</v>
      </c>
      <c r="AM1254">
        <v>0</v>
      </c>
      <c r="AN1254">
        <v>38</v>
      </c>
      <c r="AO1254">
        <v>23</v>
      </c>
      <c r="AP1254">
        <f>ifood_data[[#This Row],[MntTotal]]-ifood_data[[#This Row],[MntRegularProds]]</f>
        <v>15</v>
      </c>
      <c r="AQ1254">
        <v>0</v>
      </c>
      <c r="AR1254">
        <f>IF(SUM(ifood_data[[#This Row],[Kidhome]:[Teenhome]])&gt;0,1,0)</f>
        <v>1</v>
      </c>
      <c r="AS1254" t="str">
        <f>IF(SUM(ifood_data[[#This Row],[Kidhome]:[Teenhome]])&gt;0,"Has Family","No Family")</f>
        <v>Has Family</v>
      </c>
      <c r="AT1254" t="str">
        <f>IF(ifood_data[[#This Row],[marital_Married]]=1,"Married", (IF(ifood_data[[#This Row],[marital_Single]]=1,"Single",(IF(ifood_data[[#This Row],[marital_Divorced]]=1,"Divorced",(IF(ifood_data[[#This Row],[marital_Together]]=1,"Living Together",(IF(ifood_data[[#This Row],[marital_Widow]]=1,"Widow","Other")))))))))</f>
        <v>Divorced</v>
      </c>
      <c r="AU1254" t="str">
        <f>IF(ifood_data[[#This Row],[education_Basic]]=1,"High School",(IF(ifood_data[[#This Row],[education_Graduation]]=1,"Undergraduate Degree",(IF(SUM(AM1254,AL1254,AI1254)&gt;0,"Master's Degree or Higher","Other")))))</f>
        <v>Undergraduate Degree</v>
      </c>
      <c r="AV1254" t="str">
        <f>IF(ifood_data[[#All],[Income]]&gt;75000,"75K+",(IF(ifood_data[[#All],[Income]]&gt;50000,"50K-75K",(IF(ifood_data[[#All],[Income]]&gt;35000,"35K-50K","&lt;35K")))))</f>
        <v>35K-50K</v>
      </c>
      <c r="AW1254" t="str">
        <f>IF(ifood_data[[#All],[Age]]&gt;60,"60+",(IF(ifood_data[[#All],[Age]]&gt;50,"50-60",(IF(ifood_data[[#All],[Age]]&gt;40,"40-50",(IF(ifood_data[[#All],[Age]]&gt;30,"30-40","&lt;30")))))))</f>
        <v>50-60</v>
      </c>
      <c r="AX1254">
        <f t="shared" si="76"/>
        <v>10</v>
      </c>
      <c r="AY1254">
        <f t="shared" si="77"/>
        <v>8</v>
      </c>
      <c r="AZ1254">
        <f t="shared" si="78"/>
        <v>0</v>
      </c>
      <c r="BA1254">
        <f t="shared" si="79"/>
        <v>1</v>
      </c>
      <c r="BB1254">
        <f>SUM(ifood_data[[#This Row],[Recency Score]:[Monetary Score]])</f>
        <v>9</v>
      </c>
      <c r="BC1254">
        <f>(_xlfn.PERCENTRANK.INC(ifood_data[[#All],[RFM]],ifood_data[[#This Row],[RFM]],1))*10</f>
        <v>1</v>
      </c>
      <c r="BD1254" t="str">
        <f>VLOOKUP(ifood_data[[#This Row],[RFM Score]],'RFM Analysis'!$A$3:$B$14,2,FALSE)</f>
        <v>At Risk</v>
      </c>
      <c r="BE1254">
        <f>'Regression Models'!$B$101+'Regression Models'!$B$102*ifood_data[[#This Row],[Income]]+'Regression Models'!$B$103*ifood_data[[#This Row],[Age]]+'Regression Models'!$B$104*ifood_data[[#This Row],[Family]]</f>
        <v>338.36541178000391</v>
      </c>
      <c r="BF1254" t="str">
        <f>IF(ifood_data[[#This Row],[AcceptedCmpOverall]]=1,"Campaign Respondent","Non-respondent")</f>
        <v>Non-respondent</v>
      </c>
    </row>
    <row r="1255" spans="1:58" x14ac:dyDescent="0.35">
      <c r="A1255">
        <v>815</v>
      </c>
      <c r="B1255">
        <v>44602</v>
      </c>
      <c r="C1255">
        <v>1</v>
      </c>
      <c r="D1255">
        <v>1</v>
      </c>
      <c r="E1255">
        <v>35</v>
      </c>
      <c r="F1255">
        <v>167</v>
      </c>
      <c r="G1255">
        <v>2</v>
      </c>
      <c r="H1255">
        <v>89</v>
      </c>
      <c r="I1255">
        <v>0</v>
      </c>
      <c r="J1255">
        <v>0</v>
      </c>
      <c r="K1255">
        <v>34</v>
      </c>
      <c r="L1255">
        <v>6</v>
      </c>
      <c r="M1255">
        <v>6</v>
      </c>
      <c r="N1255">
        <v>1</v>
      </c>
      <c r="O1255">
        <v>4</v>
      </c>
      <c r="P1255">
        <v>8</v>
      </c>
      <c r="Q1255">
        <v>0</v>
      </c>
      <c r="R1255">
        <v>0</v>
      </c>
      <c r="S1255">
        <v>0</v>
      </c>
      <c r="T1255">
        <v>0</v>
      </c>
      <c r="U1255">
        <v>0</v>
      </c>
      <c r="V1255">
        <f>IF(SUM(ifood_data[[#This Row],[AcceptedCmp1]:[AcceptedCmp5]])&gt;0,1,0)</f>
        <v>0</v>
      </c>
      <c r="W1255">
        <v>0</v>
      </c>
      <c r="X1255">
        <v>3</v>
      </c>
      <c r="Y1255">
        <v>11</v>
      </c>
      <c r="Z1255">
        <v>0</v>
      </c>
      <c r="AA1255">
        <v>51</v>
      </c>
      <c r="AB1255">
        <v>2293</v>
      </c>
      <c r="AC1255" s="28">
        <f>ifood_data[[#This Row],[Customer_Days]]/365</f>
        <v>6.2821917808219174</v>
      </c>
      <c r="AD1255">
        <v>0</v>
      </c>
      <c r="AE1255">
        <v>0</v>
      </c>
      <c r="AF1255">
        <v>0</v>
      </c>
      <c r="AG1255">
        <v>1</v>
      </c>
      <c r="AH1255">
        <v>0</v>
      </c>
      <c r="AI1255">
        <v>0</v>
      </c>
      <c r="AJ1255">
        <v>0</v>
      </c>
      <c r="AK1255">
        <v>0</v>
      </c>
      <c r="AL1255">
        <v>1</v>
      </c>
      <c r="AM1255">
        <v>0</v>
      </c>
      <c r="AN1255">
        <v>258</v>
      </c>
      <c r="AO1255">
        <v>224</v>
      </c>
      <c r="AP1255">
        <f>ifood_data[[#This Row],[MntTotal]]-ifood_data[[#This Row],[MntRegularProds]]</f>
        <v>34</v>
      </c>
      <c r="AQ1255">
        <v>0</v>
      </c>
      <c r="AR1255">
        <f>IF(SUM(ifood_data[[#This Row],[Kidhome]:[Teenhome]])&gt;0,1,0)</f>
        <v>1</v>
      </c>
      <c r="AS1255" t="str">
        <f>IF(SUM(ifood_data[[#This Row],[Kidhome]:[Teenhome]])&gt;0,"Has Family","No Family")</f>
        <v>Has Family</v>
      </c>
      <c r="AT1255" t="str">
        <f>IF(ifood_data[[#This Row],[marital_Married]]=1,"Married", (IF(ifood_data[[#This Row],[marital_Single]]=1,"Single",(IF(ifood_data[[#This Row],[marital_Divorced]]=1,"Divorced",(IF(ifood_data[[#This Row],[marital_Together]]=1,"Living Together",(IF(ifood_data[[#This Row],[marital_Widow]]=1,"Widow","Other")))))))))</f>
        <v>Living Together</v>
      </c>
      <c r="AU1255" t="str">
        <f>IF(ifood_data[[#This Row],[education_Basic]]=1,"High School",(IF(ifood_data[[#This Row],[education_Graduation]]=1,"Undergraduate Degree",(IF(SUM(AM1255,AL1255,AI1255)&gt;0,"Master's Degree or Higher","Other")))))</f>
        <v>Master's Degree or Higher</v>
      </c>
      <c r="AV1255" t="str">
        <f>IF(ifood_data[[#All],[Income]]&gt;75000,"75K+",(IF(ifood_data[[#All],[Income]]&gt;50000,"50K-75K",(IF(ifood_data[[#All],[Income]]&gt;35000,"35K-50K","&lt;35K")))))</f>
        <v>35K-50K</v>
      </c>
      <c r="AW1255" t="str">
        <f>IF(ifood_data[[#All],[Age]]&gt;60,"60+",(IF(ifood_data[[#All],[Age]]&gt;50,"50-60",(IF(ifood_data[[#All],[Age]]&gt;40,"40-50",(IF(ifood_data[[#All],[Age]]&gt;30,"30-40","&lt;30")))))))</f>
        <v>50-60</v>
      </c>
      <c r="AX1255">
        <f t="shared" si="76"/>
        <v>25</v>
      </c>
      <c r="AY1255">
        <f t="shared" si="77"/>
        <v>7</v>
      </c>
      <c r="AZ1255">
        <f t="shared" si="78"/>
        <v>7</v>
      </c>
      <c r="BA1255">
        <f t="shared" si="79"/>
        <v>4</v>
      </c>
      <c r="BB1255">
        <f>SUM(ifood_data[[#This Row],[Recency Score]:[Monetary Score]])</f>
        <v>18</v>
      </c>
      <c r="BC1255">
        <f>(_xlfn.PERCENTRANK.INC(ifood_data[[#All],[RFM]],ifood_data[[#This Row],[RFM]],1))*10</f>
        <v>6</v>
      </c>
      <c r="BD1255" t="str">
        <f>VLOOKUP(ifood_data[[#This Row],[RFM Score]],'RFM Analysis'!$A$3:$B$14,2,FALSE)</f>
        <v>Promising</v>
      </c>
      <c r="BE1255">
        <f>'Regression Models'!$B$101+'Regression Models'!$B$102*ifood_data[[#This Row],[Income]]+'Regression Models'!$B$103*ifood_data[[#This Row],[Age]]+'Regression Models'!$B$104*ifood_data[[#This Row],[Family]]</f>
        <v>338.29255638308859</v>
      </c>
      <c r="BF1255" t="str">
        <f>IF(ifood_data[[#This Row],[AcceptedCmpOverall]]=1,"Campaign Respondent","Non-respondent")</f>
        <v>Non-respondent</v>
      </c>
    </row>
    <row r="1256" spans="1:58" x14ac:dyDescent="0.35">
      <c r="A1256">
        <v>1159</v>
      </c>
      <c r="B1256">
        <v>44421</v>
      </c>
      <c r="C1256">
        <v>1</v>
      </c>
      <c r="D1256">
        <v>1</v>
      </c>
      <c r="E1256">
        <v>53</v>
      </c>
      <c r="F1256">
        <v>110</v>
      </c>
      <c r="G1256">
        <v>5</v>
      </c>
      <c r="H1256">
        <v>59</v>
      </c>
      <c r="I1256">
        <v>7</v>
      </c>
      <c r="J1256">
        <v>1</v>
      </c>
      <c r="K1256">
        <v>7</v>
      </c>
      <c r="L1256">
        <v>5</v>
      </c>
      <c r="M1256">
        <v>5</v>
      </c>
      <c r="N1256">
        <v>0</v>
      </c>
      <c r="O1256">
        <v>4</v>
      </c>
      <c r="P1256">
        <v>8</v>
      </c>
      <c r="Q1256">
        <v>0</v>
      </c>
      <c r="R1256">
        <v>0</v>
      </c>
      <c r="S1256">
        <v>0</v>
      </c>
      <c r="T1256">
        <v>0</v>
      </c>
      <c r="U1256">
        <v>0</v>
      </c>
      <c r="V1256">
        <f>IF(SUM(ifood_data[[#This Row],[AcceptedCmp1]:[AcceptedCmp5]])&gt;0,1,0)</f>
        <v>0</v>
      </c>
      <c r="W1256">
        <v>0</v>
      </c>
      <c r="X1256">
        <v>3</v>
      </c>
      <c r="Y1256">
        <v>11</v>
      </c>
      <c r="Z1256">
        <v>0</v>
      </c>
      <c r="AA1256">
        <v>49</v>
      </c>
      <c r="AB1256">
        <v>2658</v>
      </c>
      <c r="AC1256" s="28">
        <f>ifood_data[[#This Row],[Customer_Days]]/365</f>
        <v>7.2821917808219174</v>
      </c>
      <c r="AD1256">
        <v>1</v>
      </c>
      <c r="AE1256">
        <v>0</v>
      </c>
      <c r="AF1256">
        <v>0</v>
      </c>
      <c r="AG1256">
        <v>0</v>
      </c>
      <c r="AH1256">
        <v>0</v>
      </c>
      <c r="AI1256">
        <v>0</v>
      </c>
      <c r="AJ1256">
        <v>0</v>
      </c>
      <c r="AK1256">
        <v>1</v>
      </c>
      <c r="AL1256">
        <v>0</v>
      </c>
      <c r="AM1256">
        <v>0</v>
      </c>
      <c r="AN1256">
        <v>182</v>
      </c>
      <c r="AO1256">
        <v>175</v>
      </c>
      <c r="AP1256">
        <f>ifood_data[[#This Row],[MntTotal]]-ifood_data[[#This Row],[MntRegularProds]]</f>
        <v>7</v>
      </c>
      <c r="AQ1256">
        <v>0</v>
      </c>
      <c r="AR1256">
        <f>IF(SUM(ifood_data[[#This Row],[Kidhome]:[Teenhome]])&gt;0,1,0)</f>
        <v>1</v>
      </c>
      <c r="AS1256" t="str">
        <f>IF(SUM(ifood_data[[#This Row],[Kidhome]:[Teenhome]])&gt;0,"Has Family","No Family")</f>
        <v>Has Family</v>
      </c>
      <c r="AT1256" t="str">
        <f>IF(ifood_data[[#This Row],[marital_Married]]=1,"Married", (IF(ifood_data[[#This Row],[marital_Single]]=1,"Single",(IF(ifood_data[[#This Row],[marital_Divorced]]=1,"Divorced",(IF(ifood_data[[#This Row],[marital_Together]]=1,"Living Together",(IF(ifood_data[[#This Row],[marital_Widow]]=1,"Widow","Other")))))))))</f>
        <v>Divorced</v>
      </c>
      <c r="AU1256" t="str">
        <f>IF(ifood_data[[#This Row],[education_Basic]]=1,"High School",(IF(ifood_data[[#This Row],[education_Graduation]]=1,"Undergraduate Degree",(IF(SUM(AM1256,AL1256,AI1256)&gt;0,"Master's Degree or Higher","Other")))))</f>
        <v>Undergraduate Degree</v>
      </c>
      <c r="AV1256" t="str">
        <f>IF(ifood_data[[#All],[Income]]&gt;75000,"75K+",(IF(ifood_data[[#All],[Income]]&gt;50000,"50K-75K",(IF(ifood_data[[#All],[Income]]&gt;35000,"35K-50K","&lt;35K")))))</f>
        <v>35K-50K</v>
      </c>
      <c r="AW1256" t="str">
        <f>IF(ifood_data[[#All],[Age]]&gt;60,"60+",(IF(ifood_data[[#All],[Age]]&gt;50,"50-60",(IF(ifood_data[[#All],[Age]]&gt;40,"40-50",(IF(ifood_data[[#All],[Age]]&gt;30,"30-40","&lt;30")))))))</f>
        <v>40-50</v>
      </c>
      <c r="AX1256">
        <f t="shared" si="76"/>
        <v>22</v>
      </c>
      <c r="AY1256">
        <f t="shared" si="77"/>
        <v>5</v>
      </c>
      <c r="AZ1256">
        <f t="shared" si="78"/>
        <v>5</v>
      </c>
      <c r="BA1256">
        <f t="shared" si="79"/>
        <v>4</v>
      </c>
      <c r="BB1256">
        <f>SUM(ifood_data[[#This Row],[Recency Score]:[Monetary Score]])</f>
        <v>14</v>
      </c>
      <c r="BC1256">
        <f>(_xlfn.PERCENTRANK.INC(ifood_data[[#All],[RFM]],ifood_data[[#This Row],[RFM]],1))*10</f>
        <v>4</v>
      </c>
      <c r="BD1256" t="str">
        <f>VLOOKUP(ifood_data[[#This Row],[RFM Score]],'RFM Analysis'!$A$3:$B$14,2,FALSE)</f>
        <v>At Risk</v>
      </c>
      <c r="BE1256">
        <f>'Regression Models'!$B$101+'Regression Models'!$B$102*ifood_data[[#This Row],[Income]]+'Regression Models'!$B$103*ifood_data[[#This Row],[Age]]+'Regression Models'!$B$104*ifood_data[[#This Row],[Family]]</f>
        <v>338.27506750683142</v>
      </c>
      <c r="BF1256" t="str">
        <f>IF(ifood_data[[#This Row],[AcceptedCmpOverall]]=1,"Campaign Respondent","Non-respondent")</f>
        <v>Non-respondent</v>
      </c>
    </row>
    <row r="1257" spans="1:58" x14ac:dyDescent="0.35">
      <c r="A1257">
        <v>1312</v>
      </c>
      <c r="B1257">
        <v>44511</v>
      </c>
      <c r="C1257">
        <v>1</v>
      </c>
      <c r="D1257">
        <v>0</v>
      </c>
      <c r="E1257">
        <v>39</v>
      </c>
      <c r="F1257">
        <v>513</v>
      </c>
      <c r="G1257">
        <v>7</v>
      </c>
      <c r="H1257">
        <v>133</v>
      </c>
      <c r="I1257">
        <v>46</v>
      </c>
      <c r="J1257">
        <v>14</v>
      </c>
      <c r="K1257">
        <v>14</v>
      </c>
      <c r="L1257">
        <v>6</v>
      </c>
      <c r="M1257">
        <v>8</v>
      </c>
      <c r="N1257">
        <v>4</v>
      </c>
      <c r="O1257">
        <v>8</v>
      </c>
      <c r="P1257">
        <v>8</v>
      </c>
      <c r="Q1257">
        <v>0</v>
      </c>
      <c r="R1257">
        <v>0</v>
      </c>
      <c r="S1257">
        <v>0</v>
      </c>
      <c r="T1257">
        <v>0</v>
      </c>
      <c r="U1257">
        <v>0</v>
      </c>
      <c r="V1257">
        <f>IF(SUM(ifood_data[[#This Row],[AcceptedCmp1]:[AcceptedCmp5]])&gt;0,1,0)</f>
        <v>0</v>
      </c>
      <c r="W1257">
        <v>0</v>
      </c>
      <c r="X1257">
        <v>3</v>
      </c>
      <c r="Y1257">
        <v>11</v>
      </c>
      <c r="Z1257">
        <v>0</v>
      </c>
      <c r="AA1257">
        <v>50</v>
      </c>
      <c r="AB1257">
        <v>2784</v>
      </c>
      <c r="AC1257" s="28">
        <f>ifood_data[[#This Row],[Customer_Days]]/365</f>
        <v>7.6273972602739724</v>
      </c>
      <c r="AD1257">
        <v>0</v>
      </c>
      <c r="AE1257">
        <v>1</v>
      </c>
      <c r="AF1257">
        <v>0</v>
      </c>
      <c r="AG1257">
        <v>0</v>
      </c>
      <c r="AH1257">
        <v>0</v>
      </c>
      <c r="AI1257">
        <v>0</v>
      </c>
      <c r="AJ1257">
        <v>0</v>
      </c>
      <c r="AK1257">
        <v>0</v>
      </c>
      <c r="AL1257">
        <v>1</v>
      </c>
      <c r="AM1257">
        <v>0</v>
      </c>
      <c r="AN1257">
        <v>713</v>
      </c>
      <c r="AO1257">
        <v>699</v>
      </c>
      <c r="AP1257">
        <f>ifood_data[[#This Row],[MntTotal]]-ifood_data[[#This Row],[MntRegularProds]]</f>
        <v>14</v>
      </c>
      <c r="AQ1257">
        <v>0</v>
      </c>
      <c r="AR1257">
        <f>IF(SUM(ifood_data[[#This Row],[Kidhome]:[Teenhome]])&gt;0,1,0)</f>
        <v>1</v>
      </c>
      <c r="AS1257" t="str">
        <f>IF(SUM(ifood_data[[#This Row],[Kidhome]:[Teenhome]])&gt;0,"Has Family","No Family")</f>
        <v>Has Family</v>
      </c>
      <c r="AT1257" t="str">
        <f>IF(ifood_data[[#This Row],[marital_Married]]=1,"Married", (IF(ifood_data[[#This Row],[marital_Single]]=1,"Single",(IF(ifood_data[[#This Row],[marital_Divorced]]=1,"Divorced",(IF(ifood_data[[#This Row],[marital_Together]]=1,"Living Together",(IF(ifood_data[[#This Row],[marital_Widow]]=1,"Widow","Other")))))))))</f>
        <v>Married</v>
      </c>
      <c r="AU1257" t="str">
        <f>IF(ifood_data[[#This Row],[education_Basic]]=1,"High School",(IF(ifood_data[[#This Row],[education_Graduation]]=1,"Undergraduate Degree",(IF(SUM(AM1257,AL1257,AI1257)&gt;0,"Master's Degree or Higher","Other")))))</f>
        <v>Master's Degree or Higher</v>
      </c>
      <c r="AV1257" t="str">
        <f>IF(ifood_data[[#All],[Income]]&gt;75000,"75K+",(IF(ifood_data[[#All],[Income]]&gt;50000,"50K-75K",(IF(ifood_data[[#All],[Income]]&gt;35000,"35K-50K","&lt;35K")))))</f>
        <v>35K-50K</v>
      </c>
      <c r="AW1257" t="str">
        <f>IF(ifood_data[[#All],[Age]]&gt;60,"60+",(IF(ifood_data[[#All],[Age]]&gt;50,"50-60",(IF(ifood_data[[#All],[Age]]&gt;40,"40-50",(IF(ifood_data[[#All],[Age]]&gt;30,"30-40","&lt;30")))))))</f>
        <v>40-50</v>
      </c>
      <c r="AX1257">
        <f t="shared" si="76"/>
        <v>34</v>
      </c>
      <c r="AY1257">
        <f t="shared" si="77"/>
        <v>7</v>
      </c>
      <c r="AZ1257">
        <f t="shared" si="78"/>
        <v>9</v>
      </c>
      <c r="BA1257">
        <f t="shared" si="79"/>
        <v>6</v>
      </c>
      <c r="BB1257">
        <f>SUM(ifood_data[[#This Row],[Recency Score]:[Monetary Score]])</f>
        <v>22</v>
      </c>
      <c r="BC1257">
        <f>(_xlfn.PERCENTRANK.INC(ifood_data[[#All],[RFM]],ifood_data[[#This Row],[RFM]],1))*10</f>
        <v>8</v>
      </c>
      <c r="BD1257" t="str">
        <f>VLOOKUP(ifood_data[[#This Row],[RFM Score]],'RFM Analysis'!$A$3:$B$14,2,FALSE)</f>
        <v>Loyal Customer</v>
      </c>
      <c r="BE1257">
        <f>'Regression Models'!$B$101+'Regression Models'!$B$102*ifood_data[[#This Row],[Income]]+'Regression Models'!$B$103*ifood_data[[#This Row],[Age]]+'Regression Models'!$B$104*ifood_data[[#This Row],[Family]]</f>
        <v>338.27361756088806</v>
      </c>
      <c r="BF1257" t="str">
        <f>IF(ifood_data[[#This Row],[AcceptedCmpOverall]]=1,"Campaign Respondent","Non-respondent")</f>
        <v>Non-respondent</v>
      </c>
    </row>
    <row r="1258" spans="1:58" x14ac:dyDescent="0.35">
      <c r="A1258">
        <v>1975</v>
      </c>
      <c r="B1258">
        <v>44325</v>
      </c>
      <c r="C1258">
        <v>0</v>
      </c>
      <c r="D1258">
        <v>1</v>
      </c>
      <c r="E1258">
        <v>69</v>
      </c>
      <c r="F1258">
        <v>516</v>
      </c>
      <c r="G1258">
        <v>0</v>
      </c>
      <c r="H1258">
        <v>21</v>
      </c>
      <c r="I1258">
        <v>0</v>
      </c>
      <c r="J1258">
        <v>0</v>
      </c>
      <c r="K1258">
        <v>5</v>
      </c>
      <c r="L1258">
        <v>4</v>
      </c>
      <c r="M1258">
        <v>8</v>
      </c>
      <c r="N1258">
        <v>2</v>
      </c>
      <c r="O1258">
        <v>7</v>
      </c>
      <c r="P1258">
        <v>8</v>
      </c>
      <c r="Q1258">
        <v>0</v>
      </c>
      <c r="R1258">
        <v>0</v>
      </c>
      <c r="S1258">
        <v>0</v>
      </c>
      <c r="T1258">
        <v>1</v>
      </c>
      <c r="U1258">
        <v>0</v>
      </c>
      <c r="V1258">
        <f>IF(SUM(ifood_data[[#This Row],[AcceptedCmp1]:[AcceptedCmp5]])&gt;0,1,0)</f>
        <v>1</v>
      </c>
      <c r="W1258">
        <v>0</v>
      </c>
      <c r="X1258">
        <v>3</v>
      </c>
      <c r="Y1258">
        <v>11</v>
      </c>
      <c r="Z1258">
        <v>0</v>
      </c>
      <c r="AA1258">
        <v>48</v>
      </c>
      <c r="AB1258">
        <v>2638</v>
      </c>
      <c r="AC1258" s="28">
        <f>ifood_data[[#This Row],[Customer_Days]]/365</f>
        <v>7.2273972602739729</v>
      </c>
      <c r="AD1258">
        <v>0</v>
      </c>
      <c r="AE1258">
        <v>1</v>
      </c>
      <c r="AF1258">
        <v>0</v>
      </c>
      <c r="AG1258">
        <v>0</v>
      </c>
      <c r="AH1258">
        <v>0</v>
      </c>
      <c r="AI1258">
        <v>0</v>
      </c>
      <c r="AJ1258">
        <v>0</v>
      </c>
      <c r="AK1258">
        <v>0</v>
      </c>
      <c r="AL1258">
        <v>0</v>
      </c>
      <c r="AM1258">
        <v>1</v>
      </c>
      <c r="AN1258">
        <v>537</v>
      </c>
      <c r="AO1258">
        <v>532</v>
      </c>
      <c r="AP1258">
        <f>ifood_data[[#This Row],[MntTotal]]-ifood_data[[#This Row],[MntRegularProds]]</f>
        <v>5</v>
      </c>
      <c r="AQ1258">
        <v>1</v>
      </c>
      <c r="AR1258">
        <f>IF(SUM(ifood_data[[#This Row],[Kidhome]:[Teenhome]])&gt;0,1,0)</f>
        <v>1</v>
      </c>
      <c r="AS1258" t="str">
        <f>IF(SUM(ifood_data[[#This Row],[Kidhome]:[Teenhome]])&gt;0,"Has Family","No Family")</f>
        <v>Has Family</v>
      </c>
      <c r="AT1258" t="str">
        <f>IF(ifood_data[[#This Row],[marital_Married]]=1,"Married", (IF(ifood_data[[#This Row],[marital_Single]]=1,"Single",(IF(ifood_data[[#This Row],[marital_Divorced]]=1,"Divorced",(IF(ifood_data[[#This Row],[marital_Together]]=1,"Living Together",(IF(ifood_data[[#This Row],[marital_Widow]]=1,"Widow","Other")))))))))</f>
        <v>Married</v>
      </c>
      <c r="AU1258" t="str">
        <f>IF(ifood_data[[#This Row],[education_Basic]]=1,"High School",(IF(ifood_data[[#This Row],[education_Graduation]]=1,"Undergraduate Degree",(IF(SUM(AM1258,AL1258,AI1258)&gt;0,"Master's Degree or Higher","Other")))))</f>
        <v>Master's Degree or Higher</v>
      </c>
      <c r="AV1258" t="str">
        <f>IF(ifood_data[[#All],[Income]]&gt;75000,"75K+",(IF(ifood_data[[#All],[Income]]&gt;50000,"50K-75K",(IF(ifood_data[[#All],[Income]]&gt;35000,"35K-50K","&lt;35K")))))</f>
        <v>35K-50K</v>
      </c>
      <c r="AW1258" t="str">
        <f>IF(ifood_data[[#All],[Age]]&gt;60,"60+",(IF(ifood_data[[#All],[Age]]&gt;50,"50-60",(IF(ifood_data[[#All],[Age]]&gt;40,"40-50",(IF(ifood_data[[#All],[Age]]&gt;30,"30-40","&lt;30")))))))</f>
        <v>40-50</v>
      </c>
      <c r="AX1258">
        <f t="shared" si="76"/>
        <v>29</v>
      </c>
      <c r="AY1258">
        <f t="shared" si="77"/>
        <v>4</v>
      </c>
      <c r="AZ1258">
        <f t="shared" si="78"/>
        <v>8</v>
      </c>
      <c r="BA1258">
        <f t="shared" si="79"/>
        <v>5</v>
      </c>
      <c r="BB1258">
        <f>SUM(ifood_data[[#This Row],[Recency Score]:[Monetary Score]])</f>
        <v>17</v>
      </c>
      <c r="BC1258">
        <f>(_xlfn.PERCENTRANK.INC(ifood_data[[#All],[RFM]],ifood_data[[#This Row],[RFM]],1))*10</f>
        <v>6</v>
      </c>
      <c r="BD1258" t="str">
        <f>VLOOKUP(ifood_data[[#This Row],[RFM Score]],'RFM Analysis'!$A$3:$B$14,2,FALSE)</f>
        <v>Promising</v>
      </c>
      <c r="BE1258">
        <f>'Regression Models'!$B$101+'Regression Models'!$B$102*ifood_data[[#This Row],[Income]]+'Regression Models'!$B$103*ifood_data[[#This Row],[Age]]+'Regression Models'!$B$104*ifood_data[[#This Row],[Family]]</f>
        <v>338.15418484391137</v>
      </c>
      <c r="BF1258" t="str">
        <f>IF(ifood_data[[#This Row],[AcceptedCmpOverall]]=1,"Campaign Respondent","Non-respondent")</f>
        <v>Campaign Respondent</v>
      </c>
    </row>
    <row r="1259" spans="1:58" x14ac:dyDescent="0.35">
      <c r="A1259">
        <v>746</v>
      </c>
      <c r="B1259">
        <v>43783</v>
      </c>
      <c r="C1259">
        <v>1</v>
      </c>
      <c r="D1259">
        <v>0</v>
      </c>
      <c r="E1259">
        <v>22</v>
      </c>
      <c r="F1259">
        <v>327</v>
      </c>
      <c r="G1259">
        <v>9</v>
      </c>
      <c r="H1259">
        <v>125</v>
      </c>
      <c r="I1259">
        <v>25</v>
      </c>
      <c r="J1259">
        <v>4</v>
      </c>
      <c r="K1259">
        <v>139</v>
      </c>
      <c r="L1259">
        <v>6</v>
      </c>
      <c r="M1259">
        <v>7</v>
      </c>
      <c r="N1259">
        <v>1</v>
      </c>
      <c r="O1259">
        <v>8</v>
      </c>
      <c r="P1259">
        <v>7</v>
      </c>
      <c r="Q1259">
        <v>0</v>
      </c>
      <c r="R1259">
        <v>0</v>
      </c>
      <c r="S1259">
        <v>1</v>
      </c>
      <c r="T1259">
        <v>0</v>
      </c>
      <c r="U1259">
        <v>0</v>
      </c>
      <c r="V1259">
        <f>IF(SUM(ifood_data[[#This Row],[AcceptedCmp1]:[AcceptedCmp5]])&gt;0,1,0)</f>
        <v>1</v>
      </c>
      <c r="W1259">
        <v>0</v>
      </c>
      <c r="X1259">
        <v>3</v>
      </c>
      <c r="Y1259">
        <v>11</v>
      </c>
      <c r="Z1259">
        <v>0</v>
      </c>
      <c r="AA1259">
        <v>42</v>
      </c>
      <c r="AB1259">
        <v>2190</v>
      </c>
      <c r="AC1259" s="28">
        <f>ifood_data[[#This Row],[Customer_Days]]/365</f>
        <v>6</v>
      </c>
      <c r="AD1259">
        <v>0</v>
      </c>
      <c r="AE1259">
        <v>1</v>
      </c>
      <c r="AF1259">
        <v>0</v>
      </c>
      <c r="AG1259">
        <v>0</v>
      </c>
      <c r="AH1259">
        <v>0</v>
      </c>
      <c r="AI1259">
        <v>0</v>
      </c>
      <c r="AJ1259">
        <v>0</v>
      </c>
      <c r="AK1259">
        <v>0</v>
      </c>
      <c r="AL1259">
        <v>1</v>
      </c>
      <c r="AM1259">
        <v>0</v>
      </c>
      <c r="AN1259">
        <v>490</v>
      </c>
      <c r="AO1259">
        <v>351</v>
      </c>
      <c r="AP1259">
        <f>ifood_data[[#This Row],[MntTotal]]-ifood_data[[#This Row],[MntRegularProds]]</f>
        <v>139</v>
      </c>
      <c r="AQ1259">
        <v>1</v>
      </c>
      <c r="AR1259">
        <f>IF(SUM(ifood_data[[#This Row],[Kidhome]:[Teenhome]])&gt;0,1,0)</f>
        <v>1</v>
      </c>
      <c r="AS1259" t="str">
        <f>IF(SUM(ifood_data[[#This Row],[Kidhome]:[Teenhome]])&gt;0,"Has Family","No Family")</f>
        <v>Has Family</v>
      </c>
      <c r="AT1259" t="str">
        <f>IF(ifood_data[[#This Row],[marital_Married]]=1,"Married", (IF(ifood_data[[#This Row],[marital_Single]]=1,"Single",(IF(ifood_data[[#This Row],[marital_Divorced]]=1,"Divorced",(IF(ifood_data[[#This Row],[marital_Together]]=1,"Living Together",(IF(ifood_data[[#This Row],[marital_Widow]]=1,"Widow","Other")))))))))</f>
        <v>Married</v>
      </c>
      <c r="AU1259" t="str">
        <f>IF(ifood_data[[#This Row],[education_Basic]]=1,"High School",(IF(ifood_data[[#This Row],[education_Graduation]]=1,"Undergraduate Degree",(IF(SUM(AM1259,AL1259,AI1259)&gt;0,"Master's Degree or Higher","Other")))))</f>
        <v>Master's Degree or Higher</v>
      </c>
      <c r="AV1259" t="str">
        <f>IF(ifood_data[[#All],[Income]]&gt;75000,"75K+",(IF(ifood_data[[#All],[Income]]&gt;50000,"50K-75K",(IF(ifood_data[[#All],[Income]]&gt;35000,"35K-50K","&lt;35K")))))</f>
        <v>35K-50K</v>
      </c>
      <c r="AW1259" t="str">
        <f>IF(ifood_data[[#All],[Age]]&gt;60,"60+",(IF(ifood_data[[#All],[Age]]&gt;50,"50-60",(IF(ifood_data[[#All],[Age]]&gt;40,"40-50",(IF(ifood_data[[#All],[Age]]&gt;30,"30-40","&lt;30")))))))</f>
        <v>40-50</v>
      </c>
      <c r="AX1259">
        <f t="shared" si="76"/>
        <v>29</v>
      </c>
      <c r="AY1259">
        <f t="shared" si="77"/>
        <v>8</v>
      </c>
      <c r="AZ1259">
        <f t="shared" si="78"/>
        <v>8</v>
      </c>
      <c r="BA1259">
        <f t="shared" si="79"/>
        <v>5</v>
      </c>
      <c r="BB1259">
        <f>SUM(ifood_data[[#This Row],[Recency Score]:[Monetary Score]])</f>
        <v>21</v>
      </c>
      <c r="BC1259">
        <f>(_xlfn.PERCENTRANK.INC(ifood_data[[#All],[RFM]],ifood_data[[#This Row],[RFM]],1))*10</f>
        <v>8</v>
      </c>
      <c r="BD1259" t="str">
        <f>VLOOKUP(ifood_data[[#This Row],[RFM Score]],'RFM Analysis'!$A$3:$B$14,2,FALSE)</f>
        <v>Loyal Customer</v>
      </c>
      <c r="BE1259">
        <f>'Regression Models'!$B$101+'Regression Models'!$B$102*ifood_data[[#This Row],[Income]]+'Regression Models'!$B$103*ifood_data[[#This Row],[Age]]+'Regression Models'!$B$104*ifood_data[[#This Row],[Family]]</f>
        <v>338.12210698328386</v>
      </c>
      <c r="BF1259" t="str">
        <f>IF(ifood_data[[#This Row],[AcceptedCmpOverall]]=1,"Campaign Respondent","Non-respondent")</f>
        <v>Campaign Respondent</v>
      </c>
    </row>
    <row r="1260" spans="1:58" x14ac:dyDescent="0.35">
      <c r="A1260">
        <v>1925</v>
      </c>
      <c r="B1260">
        <v>43586</v>
      </c>
      <c r="C1260">
        <v>0</v>
      </c>
      <c r="D1260">
        <v>1</v>
      </c>
      <c r="E1260">
        <v>26</v>
      </c>
      <c r="F1260">
        <v>99</v>
      </c>
      <c r="G1260">
        <v>2</v>
      </c>
      <c r="H1260">
        <v>11</v>
      </c>
      <c r="I1260">
        <v>4</v>
      </c>
      <c r="J1260">
        <v>0</v>
      </c>
      <c r="K1260">
        <v>16</v>
      </c>
      <c r="L1260">
        <v>3</v>
      </c>
      <c r="M1260">
        <v>3</v>
      </c>
      <c r="N1260">
        <v>0</v>
      </c>
      <c r="O1260">
        <v>4</v>
      </c>
      <c r="P1260">
        <v>8</v>
      </c>
      <c r="Q1260">
        <v>0</v>
      </c>
      <c r="R1260">
        <v>0</v>
      </c>
      <c r="S1260">
        <v>0</v>
      </c>
      <c r="T1260">
        <v>0</v>
      </c>
      <c r="U1260">
        <v>0</v>
      </c>
      <c r="V1260">
        <f>IF(SUM(ifood_data[[#This Row],[AcceptedCmp1]:[AcceptedCmp5]])&gt;0,1,0)</f>
        <v>0</v>
      </c>
      <c r="W1260">
        <v>0</v>
      </c>
      <c r="X1260">
        <v>3</v>
      </c>
      <c r="Y1260">
        <v>11</v>
      </c>
      <c r="Z1260">
        <v>0</v>
      </c>
      <c r="AA1260">
        <v>40</v>
      </c>
      <c r="AB1260">
        <v>2827</v>
      </c>
      <c r="AC1260" s="28">
        <f>ifood_data[[#This Row],[Customer_Days]]/365</f>
        <v>7.7452054794520544</v>
      </c>
      <c r="AD1260">
        <v>0</v>
      </c>
      <c r="AE1260">
        <v>1</v>
      </c>
      <c r="AF1260">
        <v>0</v>
      </c>
      <c r="AG1260">
        <v>0</v>
      </c>
      <c r="AH1260">
        <v>0</v>
      </c>
      <c r="AI1260">
        <v>0</v>
      </c>
      <c r="AJ1260">
        <v>0</v>
      </c>
      <c r="AK1260">
        <v>1</v>
      </c>
      <c r="AL1260">
        <v>0</v>
      </c>
      <c r="AM1260">
        <v>0</v>
      </c>
      <c r="AN1260">
        <v>116</v>
      </c>
      <c r="AO1260">
        <v>100</v>
      </c>
      <c r="AP1260">
        <f>ifood_data[[#This Row],[MntTotal]]-ifood_data[[#This Row],[MntRegularProds]]</f>
        <v>16</v>
      </c>
      <c r="AQ1260">
        <v>0</v>
      </c>
      <c r="AR1260">
        <f>IF(SUM(ifood_data[[#This Row],[Kidhome]:[Teenhome]])&gt;0,1,0)</f>
        <v>1</v>
      </c>
      <c r="AS1260" t="str">
        <f>IF(SUM(ifood_data[[#This Row],[Kidhome]:[Teenhome]])&gt;0,"Has Family","No Family")</f>
        <v>Has Family</v>
      </c>
      <c r="AT1260" t="str">
        <f>IF(ifood_data[[#This Row],[marital_Married]]=1,"Married", (IF(ifood_data[[#This Row],[marital_Single]]=1,"Single",(IF(ifood_data[[#This Row],[marital_Divorced]]=1,"Divorced",(IF(ifood_data[[#This Row],[marital_Together]]=1,"Living Together",(IF(ifood_data[[#This Row],[marital_Widow]]=1,"Widow","Other")))))))))</f>
        <v>Married</v>
      </c>
      <c r="AU1260" t="str">
        <f>IF(ifood_data[[#This Row],[education_Basic]]=1,"High School",(IF(ifood_data[[#This Row],[education_Graduation]]=1,"Undergraduate Degree",(IF(SUM(AM1260,AL1260,AI1260)&gt;0,"Master's Degree or Higher","Other")))))</f>
        <v>Undergraduate Degree</v>
      </c>
      <c r="AV1260" t="str">
        <f>IF(ifood_data[[#All],[Income]]&gt;75000,"75K+",(IF(ifood_data[[#All],[Income]]&gt;50000,"50K-75K",(IF(ifood_data[[#All],[Income]]&gt;35000,"35K-50K","&lt;35K")))))</f>
        <v>35K-50K</v>
      </c>
      <c r="AW1260" t="str">
        <f>IF(ifood_data[[#All],[Age]]&gt;60,"60+",(IF(ifood_data[[#All],[Age]]&gt;50,"50-60",(IF(ifood_data[[#All],[Age]]&gt;40,"40-50",(IF(ifood_data[[#All],[Age]]&gt;30,"30-40","&lt;30")))))))</f>
        <v>30-40</v>
      </c>
      <c r="AX1260">
        <f t="shared" si="76"/>
        <v>18</v>
      </c>
      <c r="AY1260">
        <f t="shared" si="77"/>
        <v>8</v>
      </c>
      <c r="AZ1260">
        <f t="shared" si="78"/>
        <v>4</v>
      </c>
      <c r="BA1260">
        <f t="shared" si="79"/>
        <v>3</v>
      </c>
      <c r="BB1260">
        <f>SUM(ifood_data[[#This Row],[Recency Score]:[Monetary Score]])</f>
        <v>15</v>
      </c>
      <c r="BC1260">
        <f>(_xlfn.PERCENTRANK.INC(ifood_data[[#All],[RFM]],ifood_data[[#This Row],[RFM]],1))*10</f>
        <v>4</v>
      </c>
      <c r="BD1260" t="str">
        <f>VLOOKUP(ifood_data[[#This Row],[RFM Score]],'RFM Analysis'!$A$3:$B$14,2,FALSE)</f>
        <v>At Risk</v>
      </c>
      <c r="BE1260">
        <f>'Regression Models'!$B$101+'Regression Models'!$B$102*ifood_data[[#This Row],[Income]]+'Regression Models'!$B$103*ifood_data[[#This Row],[Age]]+'Regression Models'!$B$104*ifood_data[[#This Row],[Family]]</f>
        <v>337.77839781672435</v>
      </c>
      <c r="BF1260" t="str">
        <f>IF(ifood_data[[#This Row],[AcceptedCmpOverall]]=1,"Campaign Respondent","Non-respondent")</f>
        <v>Non-respondent</v>
      </c>
    </row>
    <row r="1261" spans="1:58" x14ac:dyDescent="0.35">
      <c r="A1261">
        <v>194</v>
      </c>
      <c r="B1261">
        <v>44794</v>
      </c>
      <c r="C1261">
        <v>0</v>
      </c>
      <c r="D1261">
        <v>1</v>
      </c>
      <c r="E1261">
        <v>99</v>
      </c>
      <c r="F1261">
        <v>54</v>
      </c>
      <c r="G1261">
        <v>0</v>
      </c>
      <c r="H1261">
        <v>7</v>
      </c>
      <c r="I1261">
        <v>0</v>
      </c>
      <c r="J1261">
        <v>0</v>
      </c>
      <c r="K1261">
        <v>4</v>
      </c>
      <c r="L1261">
        <v>1</v>
      </c>
      <c r="M1261">
        <v>2</v>
      </c>
      <c r="N1261">
        <v>0</v>
      </c>
      <c r="O1261">
        <v>3</v>
      </c>
      <c r="P1261">
        <v>6</v>
      </c>
      <c r="Q1261">
        <v>0</v>
      </c>
      <c r="R1261">
        <v>0</v>
      </c>
      <c r="S1261">
        <v>0</v>
      </c>
      <c r="T1261">
        <v>0</v>
      </c>
      <c r="U1261">
        <v>0</v>
      </c>
      <c r="V1261">
        <f>IF(SUM(ifood_data[[#This Row],[AcceptedCmp1]:[AcceptedCmp5]])&gt;0,1,0)</f>
        <v>0</v>
      </c>
      <c r="W1261">
        <v>0</v>
      </c>
      <c r="X1261">
        <v>3</v>
      </c>
      <c r="Y1261">
        <v>11</v>
      </c>
      <c r="Z1261">
        <v>0</v>
      </c>
      <c r="AA1261">
        <v>54</v>
      </c>
      <c r="AB1261">
        <v>2180</v>
      </c>
      <c r="AC1261" s="28">
        <f>ifood_data[[#This Row],[Customer_Days]]/365</f>
        <v>5.9726027397260273</v>
      </c>
      <c r="AD1261">
        <v>0</v>
      </c>
      <c r="AE1261">
        <v>1</v>
      </c>
      <c r="AF1261">
        <v>0</v>
      </c>
      <c r="AG1261">
        <v>0</v>
      </c>
      <c r="AH1261">
        <v>0</v>
      </c>
      <c r="AI1261">
        <v>0</v>
      </c>
      <c r="AJ1261">
        <v>0</v>
      </c>
      <c r="AK1261">
        <v>1</v>
      </c>
      <c r="AL1261">
        <v>0</v>
      </c>
      <c r="AM1261">
        <v>0</v>
      </c>
      <c r="AN1261">
        <v>61</v>
      </c>
      <c r="AO1261">
        <v>57</v>
      </c>
      <c r="AP1261">
        <f>ifood_data[[#This Row],[MntTotal]]-ifood_data[[#This Row],[MntRegularProds]]</f>
        <v>4</v>
      </c>
      <c r="AQ1261">
        <v>0</v>
      </c>
      <c r="AR1261">
        <f>IF(SUM(ifood_data[[#This Row],[Kidhome]:[Teenhome]])&gt;0,1,0)</f>
        <v>1</v>
      </c>
      <c r="AS1261" t="str">
        <f>IF(SUM(ifood_data[[#This Row],[Kidhome]:[Teenhome]])&gt;0,"Has Family","No Family")</f>
        <v>Has Family</v>
      </c>
      <c r="AT1261" t="str">
        <f>IF(ifood_data[[#This Row],[marital_Married]]=1,"Married", (IF(ifood_data[[#This Row],[marital_Single]]=1,"Single",(IF(ifood_data[[#This Row],[marital_Divorced]]=1,"Divorced",(IF(ifood_data[[#This Row],[marital_Together]]=1,"Living Together",(IF(ifood_data[[#This Row],[marital_Widow]]=1,"Widow","Other")))))))))</f>
        <v>Married</v>
      </c>
      <c r="AU1261" t="str">
        <f>IF(ifood_data[[#This Row],[education_Basic]]=1,"High School",(IF(ifood_data[[#This Row],[education_Graduation]]=1,"Undergraduate Degree",(IF(SUM(AM1261,AL1261,AI1261)&gt;0,"Master's Degree or Higher","Other")))))</f>
        <v>Undergraduate Degree</v>
      </c>
      <c r="AV1261" t="str">
        <f>IF(ifood_data[[#All],[Income]]&gt;75000,"75K+",(IF(ifood_data[[#All],[Income]]&gt;50000,"50K-75K",(IF(ifood_data[[#All],[Income]]&gt;35000,"35K-50K","&lt;35K")))))</f>
        <v>35K-50K</v>
      </c>
      <c r="AW1261" t="str">
        <f>IF(ifood_data[[#All],[Age]]&gt;60,"60+",(IF(ifood_data[[#All],[Age]]&gt;50,"50-60",(IF(ifood_data[[#All],[Age]]&gt;40,"40-50",(IF(ifood_data[[#All],[Age]]&gt;30,"30-40","&lt;30")))))))</f>
        <v>50-60</v>
      </c>
      <c r="AX1261">
        <f t="shared" si="76"/>
        <v>12</v>
      </c>
      <c r="AY1261">
        <f t="shared" si="77"/>
        <v>0.99999999999999978</v>
      </c>
      <c r="AZ1261">
        <f t="shared" si="78"/>
        <v>1</v>
      </c>
      <c r="BA1261">
        <f t="shared" si="79"/>
        <v>2</v>
      </c>
      <c r="BB1261">
        <f>SUM(ifood_data[[#This Row],[Recency Score]:[Monetary Score]])</f>
        <v>4</v>
      </c>
      <c r="BC1261">
        <f>(_xlfn.PERCENTRANK.INC(ifood_data[[#All],[RFM]],ifood_data[[#This Row],[RFM]],1))*10</f>
        <v>0</v>
      </c>
      <c r="BD1261" t="str">
        <f>VLOOKUP(ifood_data[[#This Row],[RFM Score]],'RFM Analysis'!$A$3:$B$14,2,FALSE)</f>
        <v>Lost</v>
      </c>
      <c r="BE1261">
        <f>'Regression Models'!$B$101+'Regression Models'!$B$102*ifood_data[[#This Row],[Income]]+'Regression Models'!$B$103*ifood_data[[#This Row],[Age]]+'Regression Models'!$B$104*ifood_data[[#This Row],[Family]]</f>
        <v>336.69788263003431</v>
      </c>
      <c r="BF1261" t="str">
        <f>IF(ifood_data[[#This Row],[AcceptedCmpOverall]]=1,"Campaign Respondent","Non-respondent")</f>
        <v>Non-respondent</v>
      </c>
    </row>
    <row r="1262" spans="1:58" x14ac:dyDescent="0.35">
      <c r="A1262">
        <v>901</v>
      </c>
      <c r="B1262">
        <v>44051</v>
      </c>
      <c r="C1262">
        <v>1</v>
      </c>
      <c r="D1262">
        <v>1</v>
      </c>
      <c r="E1262">
        <v>20</v>
      </c>
      <c r="F1262">
        <v>79</v>
      </c>
      <c r="G1262">
        <v>7</v>
      </c>
      <c r="H1262">
        <v>58</v>
      </c>
      <c r="I1262">
        <v>6</v>
      </c>
      <c r="J1262">
        <v>3</v>
      </c>
      <c r="K1262">
        <v>18</v>
      </c>
      <c r="L1262">
        <v>4</v>
      </c>
      <c r="M1262">
        <v>3</v>
      </c>
      <c r="N1262">
        <v>1</v>
      </c>
      <c r="O1262">
        <v>4</v>
      </c>
      <c r="P1262">
        <v>6</v>
      </c>
      <c r="Q1262">
        <v>0</v>
      </c>
      <c r="R1262">
        <v>0</v>
      </c>
      <c r="S1262">
        <v>0</v>
      </c>
      <c r="T1262">
        <v>0</v>
      </c>
      <c r="U1262">
        <v>0</v>
      </c>
      <c r="V1262">
        <f>IF(SUM(ifood_data[[#This Row],[AcceptedCmp1]:[AcceptedCmp5]])&gt;0,1,0)</f>
        <v>0</v>
      </c>
      <c r="W1262">
        <v>0</v>
      </c>
      <c r="X1262">
        <v>3</v>
      </c>
      <c r="Y1262">
        <v>11</v>
      </c>
      <c r="Z1262">
        <v>1</v>
      </c>
      <c r="AA1262">
        <v>47</v>
      </c>
      <c r="AB1262">
        <v>2675</v>
      </c>
      <c r="AC1262" s="28">
        <f>ifood_data[[#This Row],[Customer_Days]]/365</f>
        <v>7.3287671232876717</v>
      </c>
      <c r="AD1262">
        <v>1</v>
      </c>
      <c r="AE1262">
        <v>0</v>
      </c>
      <c r="AF1262">
        <v>0</v>
      </c>
      <c r="AG1262">
        <v>0</v>
      </c>
      <c r="AH1262">
        <v>0</v>
      </c>
      <c r="AI1262">
        <v>0</v>
      </c>
      <c r="AJ1262">
        <v>0</v>
      </c>
      <c r="AK1262">
        <v>0</v>
      </c>
      <c r="AL1262">
        <v>1</v>
      </c>
      <c r="AM1262">
        <v>0</v>
      </c>
      <c r="AN1262">
        <v>153</v>
      </c>
      <c r="AO1262">
        <v>135</v>
      </c>
      <c r="AP1262">
        <f>ifood_data[[#This Row],[MntTotal]]-ifood_data[[#This Row],[MntRegularProds]]</f>
        <v>18</v>
      </c>
      <c r="AQ1262">
        <v>0</v>
      </c>
      <c r="AR1262">
        <f>IF(SUM(ifood_data[[#This Row],[Kidhome]:[Teenhome]])&gt;0,1,0)</f>
        <v>1</v>
      </c>
      <c r="AS1262" t="str">
        <f>IF(SUM(ifood_data[[#This Row],[Kidhome]:[Teenhome]])&gt;0,"Has Family","No Family")</f>
        <v>Has Family</v>
      </c>
      <c r="AT1262" t="str">
        <f>IF(ifood_data[[#This Row],[marital_Married]]=1,"Married", (IF(ifood_data[[#This Row],[marital_Single]]=1,"Single",(IF(ifood_data[[#This Row],[marital_Divorced]]=1,"Divorced",(IF(ifood_data[[#This Row],[marital_Together]]=1,"Living Together",(IF(ifood_data[[#This Row],[marital_Widow]]=1,"Widow","Other")))))))))</f>
        <v>Divorced</v>
      </c>
      <c r="AU1262" t="str">
        <f>IF(ifood_data[[#This Row],[education_Basic]]=1,"High School",(IF(ifood_data[[#This Row],[education_Graduation]]=1,"Undergraduate Degree",(IF(SUM(AM1262,AL1262,AI1262)&gt;0,"Master's Degree or Higher","Other")))))</f>
        <v>Master's Degree or Higher</v>
      </c>
      <c r="AV1262" t="str">
        <f>IF(ifood_data[[#All],[Income]]&gt;75000,"75K+",(IF(ifood_data[[#All],[Income]]&gt;50000,"50K-75K",(IF(ifood_data[[#All],[Income]]&gt;35000,"35K-50K","&lt;35K")))))</f>
        <v>35K-50K</v>
      </c>
      <c r="AW1262" t="str">
        <f>IF(ifood_data[[#All],[Age]]&gt;60,"60+",(IF(ifood_data[[#All],[Age]]&gt;50,"50-60",(IF(ifood_data[[#All],[Age]]&gt;40,"40-50",(IF(ifood_data[[#All],[Age]]&gt;30,"30-40","&lt;30")))))))</f>
        <v>40-50</v>
      </c>
      <c r="AX1262">
        <f t="shared" si="76"/>
        <v>18</v>
      </c>
      <c r="AY1262">
        <f t="shared" si="77"/>
        <v>8</v>
      </c>
      <c r="AZ1262">
        <f t="shared" si="78"/>
        <v>4</v>
      </c>
      <c r="BA1262">
        <f t="shared" si="79"/>
        <v>3</v>
      </c>
      <c r="BB1262">
        <f>SUM(ifood_data[[#This Row],[Recency Score]:[Monetary Score]])</f>
        <v>15</v>
      </c>
      <c r="BC1262">
        <f>(_xlfn.PERCENTRANK.INC(ifood_data[[#All],[RFM]],ifood_data[[#This Row],[RFM]],1))*10</f>
        <v>4</v>
      </c>
      <c r="BD1262" t="str">
        <f>VLOOKUP(ifood_data[[#This Row],[RFM Score]],'RFM Analysis'!$A$3:$B$14,2,FALSE)</f>
        <v>At Risk</v>
      </c>
      <c r="BE1262">
        <f>'Regression Models'!$B$101+'Regression Models'!$B$102*ifood_data[[#This Row],[Income]]+'Regression Models'!$B$103*ifood_data[[#This Row],[Age]]+'Regression Models'!$B$104*ifood_data[[#This Row],[Family]]</f>
        <v>334.40410145137741</v>
      </c>
      <c r="BF1262" t="str">
        <f>IF(ifood_data[[#This Row],[AcceptedCmpOverall]]=1,"Campaign Respondent","Non-respondent")</f>
        <v>Non-respondent</v>
      </c>
    </row>
    <row r="1263" spans="1:58" x14ac:dyDescent="0.35">
      <c r="A1263">
        <v>1917</v>
      </c>
      <c r="B1263">
        <v>45736</v>
      </c>
      <c r="C1263">
        <v>0</v>
      </c>
      <c r="D1263">
        <v>1</v>
      </c>
      <c r="E1263">
        <v>92</v>
      </c>
      <c r="F1263">
        <v>188</v>
      </c>
      <c r="G1263">
        <v>3</v>
      </c>
      <c r="H1263">
        <v>180</v>
      </c>
      <c r="I1263">
        <v>20</v>
      </c>
      <c r="J1263">
        <v>3</v>
      </c>
      <c r="K1263">
        <v>43</v>
      </c>
      <c r="L1263">
        <v>5</v>
      </c>
      <c r="M1263">
        <v>7</v>
      </c>
      <c r="N1263">
        <v>1</v>
      </c>
      <c r="O1263">
        <v>6</v>
      </c>
      <c r="P1263">
        <v>7</v>
      </c>
      <c r="Q1263">
        <v>0</v>
      </c>
      <c r="R1263">
        <v>0</v>
      </c>
      <c r="S1263">
        <v>0</v>
      </c>
      <c r="T1263">
        <v>0</v>
      </c>
      <c r="U1263">
        <v>0</v>
      </c>
      <c r="V1263">
        <f>IF(SUM(ifood_data[[#This Row],[AcceptedCmp1]:[AcceptedCmp5]])&gt;0,1,0)</f>
        <v>0</v>
      </c>
      <c r="W1263">
        <v>0</v>
      </c>
      <c r="X1263">
        <v>3</v>
      </c>
      <c r="Y1263">
        <v>11</v>
      </c>
      <c r="Z1263">
        <v>0</v>
      </c>
      <c r="AA1263">
        <v>66</v>
      </c>
      <c r="AB1263">
        <v>2499</v>
      </c>
      <c r="AC1263" s="28">
        <f>ifood_data[[#This Row],[Customer_Days]]/365</f>
        <v>6.8465753424657532</v>
      </c>
      <c r="AD1263">
        <v>0</v>
      </c>
      <c r="AE1263">
        <v>1</v>
      </c>
      <c r="AF1263">
        <v>0</v>
      </c>
      <c r="AG1263">
        <v>0</v>
      </c>
      <c r="AH1263">
        <v>0</v>
      </c>
      <c r="AI1263">
        <v>0</v>
      </c>
      <c r="AJ1263">
        <v>0</v>
      </c>
      <c r="AK1263">
        <v>0</v>
      </c>
      <c r="AL1263">
        <v>1</v>
      </c>
      <c r="AM1263">
        <v>0</v>
      </c>
      <c r="AN1263">
        <v>394</v>
      </c>
      <c r="AO1263">
        <v>351</v>
      </c>
      <c r="AP1263">
        <f>ifood_data[[#This Row],[MntTotal]]-ifood_data[[#This Row],[MntRegularProds]]</f>
        <v>43</v>
      </c>
      <c r="AQ1263">
        <v>0</v>
      </c>
      <c r="AR1263">
        <f>IF(SUM(ifood_data[[#This Row],[Kidhome]:[Teenhome]])&gt;0,1,0)</f>
        <v>1</v>
      </c>
      <c r="AS1263" t="str">
        <f>IF(SUM(ifood_data[[#This Row],[Kidhome]:[Teenhome]])&gt;0,"Has Family","No Family")</f>
        <v>Has Family</v>
      </c>
      <c r="AT1263" t="str">
        <f>IF(ifood_data[[#This Row],[marital_Married]]=1,"Married", (IF(ifood_data[[#This Row],[marital_Single]]=1,"Single",(IF(ifood_data[[#This Row],[marital_Divorced]]=1,"Divorced",(IF(ifood_data[[#This Row],[marital_Together]]=1,"Living Together",(IF(ifood_data[[#This Row],[marital_Widow]]=1,"Widow","Other")))))))))</f>
        <v>Married</v>
      </c>
      <c r="AU1263" t="str">
        <f>IF(ifood_data[[#This Row],[education_Basic]]=1,"High School",(IF(ifood_data[[#This Row],[education_Graduation]]=1,"Undergraduate Degree",(IF(SUM(AM1263,AL1263,AI1263)&gt;0,"Master's Degree or Higher","Other")))))</f>
        <v>Master's Degree or Higher</v>
      </c>
      <c r="AV1263" t="str">
        <f>IF(ifood_data[[#All],[Income]]&gt;75000,"75K+",(IF(ifood_data[[#All],[Income]]&gt;50000,"50K-75K",(IF(ifood_data[[#All],[Income]]&gt;35000,"35K-50K","&lt;35K")))))</f>
        <v>35K-50K</v>
      </c>
      <c r="AW1263" t="str">
        <f>IF(ifood_data[[#All],[Age]]&gt;60,"60+",(IF(ifood_data[[#All],[Age]]&gt;50,"50-60",(IF(ifood_data[[#All],[Age]]&gt;40,"40-50",(IF(ifood_data[[#All],[Age]]&gt;30,"30-40","&lt;30")))))))</f>
        <v>60+</v>
      </c>
      <c r="AX1263">
        <f t="shared" si="76"/>
        <v>26</v>
      </c>
      <c r="AY1263">
        <f t="shared" si="77"/>
        <v>0.99999999999999978</v>
      </c>
      <c r="AZ1263">
        <f t="shared" si="78"/>
        <v>7</v>
      </c>
      <c r="BA1263">
        <f t="shared" si="79"/>
        <v>5</v>
      </c>
      <c r="BB1263">
        <f>SUM(ifood_data[[#This Row],[Recency Score]:[Monetary Score]])</f>
        <v>13</v>
      </c>
      <c r="BC1263">
        <f>(_xlfn.PERCENTRANK.INC(ifood_data[[#All],[RFM]],ifood_data[[#This Row],[RFM]],1))*10</f>
        <v>3</v>
      </c>
      <c r="BD1263" t="str">
        <f>VLOOKUP(ifood_data[[#This Row],[RFM Score]],'RFM Analysis'!$A$3:$B$14,2,FALSE)</f>
        <v>At Risk</v>
      </c>
      <c r="BE1263">
        <f>'Regression Models'!$B$101+'Regression Models'!$B$102*ifood_data[[#This Row],[Income]]+'Regression Models'!$B$103*ifood_data[[#This Row],[Age]]+'Regression Models'!$B$104*ifood_data[[#This Row],[Family]]</f>
        <v>333.86683327485582</v>
      </c>
      <c r="BF1263" t="str">
        <f>IF(ifood_data[[#This Row],[AcceptedCmpOverall]]=1,"Campaign Respondent","Non-respondent")</f>
        <v>Non-respondent</v>
      </c>
    </row>
    <row r="1264" spans="1:58" x14ac:dyDescent="0.35">
      <c r="A1264">
        <v>1225</v>
      </c>
      <c r="B1264">
        <v>44267</v>
      </c>
      <c r="C1264">
        <v>1</v>
      </c>
      <c r="D1264">
        <v>1</v>
      </c>
      <c r="E1264">
        <v>48</v>
      </c>
      <c r="F1264">
        <v>183</v>
      </c>
      <c r="G1264">
        <v>5</v>
      </c>
      <c r="H1264">
        <v>65</v>
      </c>
      <c r="I1264">
        <v>3</v>
      </c>
      <c r="J1264">
        <v>5</v>
      </c>
      <c r="K1264">
        <v>49</v>
      </c>
      <c r="L1264">
        <v>5</v>
      </c>
      <c r="M1264">
        <v>5</v>
      </c>
      <c r="N1264">
        <v>2</v>
      </c>
      <c r="O1264">
        <v>4</v>
      </c>
      <c r="P1264">
        <v>9</v>
      </c>
      <c r="Q1264">
        <v>0</v>
      </c>
      <c r="R1264">
        <v>0</v>
      </c>
      <c r="S1264">
        <v>0</v>
      </c>
      <c r="T1264">
        <v>0</v>
      </c>
      <c r="U1264">
        <v>0</v>
      </c>
      <c r="V1264">
        <f>IF(SUM(ifood_data[[#This Row],[AcceptedCmp1]:[AcceptedCmp5]])&gt;0,1,0)</f>
        <v>0</v>
      </c>
      <c r="W1264">
        <v>0</v>
      </c>
      <c r="X1264">
        <v>3</v>
      </c>
      <c r="Y1264">
        <v>11</v>
      </c>
      <c r="Z1264">
        <v>0</v>
      </c>
      <c r="AA1264">
        <v>50</v>
      </c>
      <c r="AB1264">
        <v>2648</v>
      </c>
      <c r="AC1264" s="28">
        <f>ifood_data[[#This Row],[Customer_Days]]/365</f>
        <v>7.2547945205479456</v>
      </c>
      <c r="AD1264">
        <v>1</v>
      </c>
      <c r="AE1264">
        <v>0</v>
      </c>
      <c r="AF1264">
        <v>0</v>
      </c>
      <c r="AG1264">
        <v>0</v>
      </c>
      <c r="AH1264">
        <v>0</v>
      </c>
      <c r="AI1264">
        <v>0</v>
      </c>
      <c r="AJ1264">
        <v>0</v>
      </c>
      <c r="AK1264">
        <v>1</v>
      </c>
      <c r="AL1264">
        <v>0</v>
      </c>
      <c r="AM1264">
        <v>0</v>
      </c>
      <c r="AN1264">
        <v>261</v>
      </c>
      <c r="AO1264">
        <v>212</v>
      </c>
      <c r="AP1264">
        <f>ifood_data[[#This Row],[MntTotal]]-ifood_data[[#This Row],[MntRegularProds]]</f>
        <v>49</v>
      </c>
      <c r="AQ1264">
        <v>0</v>
      </c>
      <c r="AR1264">
        <f>IF(SUM(ifood_data[[#This Row],[Kidhome]:[Teenhome]])&gt;0,1,0)</f>
        <v>1</v>
      </c>
      <c r="AS1264" t="str">
        <f>IF(SUM(ifood_data[[#This Row],[Kidhome]:[Teenhome]])&gt;0,"Has Family","No Family")</f>
        <v>Has Family</v>
      </c>
      <c r="AT1264" t="str">
        <f>IF(ifood_data[[#This Row],[marital_Married]]=1,"Married", (IF(ifood_data[[#This Row],[marital_Single]]=1,"Single",(IF(ifood_data[[#This Row],[marital_Divorced]]=1,"Divorced",(IF(ifood_data[[#This Row],[marital_Together]]=1,"Living Together",(IF(ifood_data[[#This Row],[marital_Widow]]=1,"Widow","Other")))))))))</f>
        <v>Divorced</v>
      </c>
      <c r="AU1264" t="str">
        <f>IF(ifood_data[[#This Row],[education_Basic]]=1,"High School",(IF(ifood_data[[#This Row],[education_Graduation]]=1,"Undergraduate Degree",(IF(SUM(AM1264,AL1264,AI1264)&gt;0,"Master's Degree or Higher","Other")))))</f>
        <v>Undergraduate Degree</v>
      </c>
      <c r="AV1264" t="str">
        <f>IF(ifood_data[[#All],[Income]]&gt;75000,"75K+",(IF(ifood_data[[#All],[Income]]&gt;50000,"50K-75K",(IF(ifood_data[[#All],[Income]]&gt;35000,"35K-50K","&lt;35K")))))</f>
        <v>35K-50K</v>
      </c>
      <c r="AW1264" t="str">
        <f>IF(ifood_data[[#All],[Age]]&gt;60,"60+",(IF(ifood_data[[#All],[Age]]&gt;50,"50-60",(IF(ifood_data[[#All],[Age]]&gt;40,"40-50",(IF(ifood_data[[#All],[Age]]&gt;30,"30-40","&lt;30")))))))</f>
        <v>40-50</v>
      </c>
      <c r="AX1264">
        <f t="shared" si="76"/>
        <v>25</v>
      </c>
      <c r="AY1264">
        <f t="shared" si="77"/>
        <v>6</v>
      </c>
      <c r="AZ1264">
        <f t="shared" si="78"/>
        <v>7</v>
      </c>
      <c r="BA1264">
        <f t="shared" si="79"/>
        <v>4</v>
      </c>
      <c r="BB1264">
        <f>SUM(ifood_data[[#This Row],[Recency Score]:[Monetary Score]])</f>
        <v>17</v>
      </c>
      <c r="BC1264">
        <f>(_xlfn.PERCENTRANK.INC(ifood_data[[#All],[RFM]],ifood_data[[#This Row],[RFM]],1))*10</f>
        <v>6</v>
      </c>
      <c r="BD1264" t="str">
        <f>VLOOKUP(ifood_data[[#This Row],[RFM Score]],'RFM Analysis'!$A$3:$B$14,2,FALSE)</f>
        <v>Promising</v>
      </c>
      <c r="BE1264">
        <f>'Regression Models'!$B$101+'Regression Models'!$B$102*ifood_data[[#This Row],[Income]]+'Regression Models'!$B$103*ifood_data[[#This Row],[Age]]+'Regression Models'!$B$104*ifood_data[[#This Row],[Family]]</f>
        <v>333.29875813377669</v>
      </c>
      <c r="BF1264" t="str">
        <f>IF(ifood_data[[#This Row],[AcceptedCmpOverall]]=1,"Campaign Respondent","Non-respondent")</f>
        <v>Non-respondent</v>
      </c>
    </row>
    <row r="1265" spans="1:58" x14ac:dyDescent="0.35">
      <c r="A1265">
        <v>198</v>
      </c>
      <c r="B1265">
        <v>44377</v>
      </c>
      <c r="C1265">
        <v>1</v>
      </c>
      <c r="D1265">
        <v>1</v>
      </c>
      <c r="E1265">
        <v>70</v>
      </c>
      <c r="F1265">
        <v>224</v>
      </c>
      <c r="G1265">
        <v>0</v>
      </c>
      <c r="H1265">
        <v>30</v>
      </c>
      <c r="I1265">
        <v>0</v>
      </c>
      <c r="J1265">
        <v>0</v>
      </c>
      <c r="K1265">
        <v>10</v>
      </c>
      <c r="L1265">
        <v>8</v>
      </c>
      <c r="M1265">
        <v>5</v>
      </c>
      <c r="N1265">
        <v>1</v>
      </c>
      <c r="O1265">
        <v>5</v>
      </c>
      <c r="P1265">
        <v>8</v>
      </c>
      <c r="Q1265">
        <v>0</v>
      </c>
      <c r="R1265">
        <v>0</v>
      </c>
      <c r="S1265">
        <v>0</v>
      </c>
      <c r="T1265">
        <v>0</v>
      </c>
      <c r="U1265">
        <v>0</v>
      </c>
      <c r="V1265">
        <f>IF(SUM(ifood_data[[#This Row],[AcceptedCmp1]:[AcceptedCmp5]])&gt;0,1,0)</f>
        <v>0</v>
      </c>
      <c r="W1265">
        <v>0</v>
      </c>
      <c r="X1265">
        <v>3</v>
      </c>
      <c r="Y1265">
        <v>11</v>
      </c>
      <c r="Z1265">
        <v>0</v>
      </c>
      <c r="AA1265">
        <v>52</v>
      </c>
      <c r="AB1265">
        <v>2791</v>
      </c>
      <c r="AC1265" s="28">
        <f>ifood_data[[#This Row],[Customer_Days]]/365</f>
        <v>7.646575342465753</v>
      </c>
      <c r="AD1265">
        <v>0</v>
      </c>
      <c r="AE1265">
        <v>1</v>
      </c>
      <c r="AF1265">
        <v>0</v>
      </c>
      <c r="AG1265">
        <v>0</v>
      </c>
      <c r="AH1265">
        <v>0</v>
      </c>
      <c r="AI1265">
        <v>0</v>
      </c>
      <c r="AJ1265">
        <v>0</v>
      </c>
      <c r="AK1265">
        <v>0</v>
      </c>
      <c r="AL1265">
        <v>0</v>
      </c>
      <c r="AM1265">
        <v>1</v>
      </c>
      <c r="AN1265">
        <v>254</v>
      </c>
      <c r="AO1265">
        <v>244</v>
      </c>
      <c r="AP1265">
        <f>ifood_data[[#This Row],[MntTotal]]-ifood_data[[#This Row],[MntRegularProds]]</f>
        <v>10</v>
      </c>
      <c r="AQ1265">
        <v>0</v>
      </c>
      <c r="AR1265">
        <f>IF(SUM(ifood_data[[#This Row],[Kidhome]:[Teenhome]])&gt;0,1,0)</f>
        <v>1</v>
      </c>
      <c r="AS1265" t="str">
        <f>IF(SUM(ifood_data[[#This Row],[Kidhome]:[Teenhome]])&gt;0,"Has Family","No Family")</f>
        <v>Has Family</v>
      </c>
      <c r="AT1265" t="str">
        <f>IF(ifood_data[[#This Row],[marital_Married]]=1,"Married", (IF(ifood_data[[#This Row],[marital_Single]]=1,"Single",(IF(ifood_data[[#This Row],[marital_Divorced]]=1,"Divorced",(IF(ifood_data[[#This Row],[marital_Together]]=1,"Living Together",(IF(ifood_data[[#This Row],[marital_Widow]]=1,"Widow","Other")))))))))</f>
        <v>Married</v>
      </c>
      <c r="AU1265" t="str">
        <f>IF(ifood_data[[#This Row],[education_Basic]]=1,"High School",(IF(ifood_data[[#This Row],[education_Graduation]]=1,"Undergraduate Degree",(IF(SUM(AM1265,AL1265,AI1265)&gt;0,"Master's Degree or Higher","Other")))))</f>
        <v>Master's Degree or Higher</v>
      </c>
      <c r="AV1265" t="str">
        <f>IF(ifood_data[[#All],[Income]]&gt;75000,"75K+",(IF(ifood_data[[#All],[Income]]&gt;50000,"50K-75K",(IF(ifood_data[[#All],[Income]]&gt;35000,"35K-50K","&lt;35K")))))</f>
        <v>35K-50K</v>
      </c>
      <c r="AW1265" t="str">
        <f>IF(ifood_data[[#All],[Age]]&gt;60,"60+",(IF(ifood_data[[#All],[Age]]&gt;50,"50-60",(IF(ifood_data[[#All],[Age]]&gt;40,"40-50",(IF(ifood_data[[#All],[Age]]&gt;30,"30-40","&lt;30")))))))</f>
        <v>50-60</v>
      </c>
      <c r="AX1265">
        <f t="shared" si="76"/>
        <v>27</v>
      </c>
      <c r="AY1265">
        <f t="shared" si="77"/>
        <v>3.0000000000000004</v>
      </c>
      <c r="AZ1265">
        <f t="shared" si="78"/>
        <v>7</v>
      </c>
      <c r="BA1265">
        <f t="shared" si="79"/>
        <v>4</v>
      </c>
      <c r="BB1265">
        <f>SUM(ifood_data[[#This Row],[Recency Score]:[Monetary Score]])</f>
        <v>14</v>
      </c>
      <c r="BC1265">
        <f>(_xlfn.PERCENTRANK.INC(ifood_data[[#All],[RFM]],ifood_data[[#This Row],[RFM]],1))*10</f>
        <v>4</v>
      </c>
      <c r="BD1265" t="str">
        <f>VLOOKUP(ifood_data[[#This Row],[RFM Score]],'RFM Analysis'!$A$3:$B$14,2,FALSE)</f>
        <v>At Risk</v>
      </c>
      <c r="BE1265">
        <f>'Regression Models'!$B$101+'Regression Models'!$B$102*ifood_data[[#This Row],[Income]]+'Regression Models'!$B$103*ifood_data[[#This Row],[Age]]+'Regression Models'!$B$104*ifood_data[[#This Row],[Family]]</f>
        <v>331.86864447181699</v>
      </c>
      <c r="BF1265" t="str">
        <f>IF(ifood_data[[#This Row],[AcceptedCmpOverall]]=1,"Campaign Respondent","Non-respondent")</f>
        <v>Non-respondent</v>
      </c>
    </row>
    <row r="1266" spans="1:58" x14ac:dyDescent="0.35">
      <c r="A1266">
        <v>992</v>
      </c>
      <c r="B1266">
        <v>44529</v>
      </c>
      <c r="C1266">
        <v>0</v>
      </c>
      <c r="D1266">
        <v>1</v>
      </c>
      <c r="E1266">
        <v>98</v>
      </c>
      <c r="F1266">
        <v>538</v>
      </c>
      <c r="G1266">
        <v>13</v>
      </c>
      <c r="H1266">
        <v>91</v>
      </c>
      <c r="I1266">
        <v>17</v>
      </c>
      <c r="J1266">
        <v>6</v>
      </c>
      <c r="K1266">
        <v>26</v>
      </c>
      <c r="L1266">
        <v>6</v>
      </c>
      <c r="M1266">
        <v>6</v>
      </c>
      <c r="N1266">
        <v>2</v>
      </c>
      <c r="O1266">
        <v>11</v>
      </c>
      <c r="P1266">
        <v>5</v>
      </c>
      <c r="Q1266">
        <v>0</v>
      </c>
      <c r="R1266">
        <v>0</v>
      </c>
      <c r="S1266">
        <v>0</v>
      </c>
      <c r="T1266">
        <v>1</v>
      </c>
      <c r="U1266">
        <v>0</v>
      </c>
      <c r="V1266">
        <f>IF(SUM(ifood_data[[#This Row],[AcceptedCmp1]:[AcceptedCmp5]])&gt;0,1,0)</f>
        <v>1</v>
      </c>
      <c r="W1266">
        <v>0</v>
      </c>
      <c r="X1266">
        <v>3</v>
      </c>
      <c r="Y1266">
        <v>11</v>
      </c>
      <c r="Z1266">
        <v>0</v>
      </c>
      <c r="AA1266">
        <v>54</v>
      </c>
      <c r="AB1266">
        <v>2518</v>
      </c>
      <c r="AC1266" s="28">
        <f>ifood_data[[#This Row],[Customer_Days]]/365</f>
        <v>6.8986301369863012</v>
      </c>
      <c r="AD1266">
        <v>0</v>
      </c>
      <c r="AE1266">
        <v>1</v>
      </c>
      <c r="AF1266">
        <v>0</v>
      </c>
      <c r="AG1266">
        <v>0</v>
      </c>
      <c r="AH1266">
        <v>0</v>
      </c>
      <c r="AI1266">
        <v>0</v>
      </c>
      <c r="AJ1266">
        <v>0</v>
      </c>
      <c r="AK1266">
        <v>1</v>
      </c>
      <c r="AL1266">
        <v>0</v>
      </c>
      <c r="AM1266">
        <v>0</v>
      </c>
      <c r="AN1266">
        <v>665</v>
      </c>
      <c r="AO1266">
        <v>639</v>
      </c>
      <c r="AP1266">
        <f>ifood_data[[#This Row],[MntTotal]]-ifood_data[[#This Row],[MntRegularProds]]</f>
        <v>26</v>
      </c>
      <c r="AQ1266">
        <v>1</v>
      </c>
      <c r="AR1266">
        <f>IF(SUM(ifood_data[[#This Row],[Kidhome]:[Teenhome]])&gt;0,1,0)</f>
        <v>1</v>
      </c>
      <c r="AS1266" t="str">
        <f>IF(SUM(ifood_data[[#This Row],[Kidhome]:[Teenhome]])&gt;0,"Has Family","No Family")</f>
        <v>Has Family</v>
      </c>
      <c r="AT1266" t="str">
        <f>IF(ifood_data[[#This Row],[marital_Married]]=1,"Married", (IF(ifood_data[[#This Row],[marital_Single]]=1,"Single",(IF(ifood_data[[#This Row],[marital_Divorced]]=1,"Divorced",(IF(ifood_data[[#This Row],[marital_Together]]=1,"Living Together",(IF(ifood_data[[#This Row],[marital_Widow]]=1,"Widow","Other")))))))))</f>
        <v>Married</v>
      </c>
      <c r="AU1266" t="str">
        <f>IF(ifood_data[[#This Row],[education_Basic]]=1,"High School",(IF(ifood_data[[#This Row],[education_Graduation]]=1,"Undergraduate Degree",(IF(SUM(AM1266,AL1266,AI1266)&gt;0,"Master's Degree or Higher","Other")))))</f>
        <v>Undergraduate Degree</v>
      </c>
      <c r="AV1266" t="str">
        <f>IF(ifood_data[[#All],[Income]]&gt;75000,"75K+",(IF(ifood_data[[#All],[Income]]&gt;50000,"50K-75K",(IF(ifood_data[[#All],[Income]]&gt;35000,"35K-50K","&lt;35K")))))</f>
        <v>35K-50K</v>
      </c>
      <c r="AW1266" t="str">
        <f>IF(ifood_data[[#All],[Age]]&gt;60,"60+",(IF(ifood_data[[#All],[Age]]&gt;50,"50-60",(IF(ifood_data[[#All],[Age]]&gt;40,"40-50",(IF(ifood_data[[#All],[Age]]&gt;30,"30-40","&lt;30")))))))</f>
        <v>50-60</v>
      </c>
      <c r="AX1266">
        <f t="shared" si="76"/>
        <v>30</v>
      </c>
      <c r="AY1266">
        <f t="shared" si="77"/>
        <v>0.99999999999999978</v>
      </c>
      <c r="AZ1266">
        <f t="shared" si="78"/>
        <v>8</v>
      </c>
      <c r="BA1266">
        <f t="shared" si="79"/>
        <v>6</v>
      </c>
      <c r="BB1266">
        <f>SUM(ifood_data[[#This Row],[Recency Score]:[Monetary Score]])</f>
        <v>15</v>
      </c>
      <c r="BC1266">
        <f>(_xlfn.PERCENTRANK.INC(ifood_data[[#All],[RFM]],ifood_data[[#This Row],[RFM]],1))*10</f>
        <v>4</v>
      </c>
      <c r="BD1266" t="str">
        <f>VLOOKUP(ifood_data[[#This Row],[RFM Score]],'RFM Analysis'!$A$3:$B$14,2,FALSE)</f>
        <v>At Risk</v>
      </c>
      <c r="BE1266">
        <f>'Regression Models'!$B$101+'Regression Models'!$B$102*ifood_data[[#This Row],[Income]]+'Regression Models'!$B$103*ifood_data[[#This Row],[Age]]+'Regression Models'!$B$104*ifood_data[[#This Row],[Family]]</f>
        <v>331.2948590719011</v>
      </c>
      <c r="BF1266" t="str">
        <f>IF(ifood_data[[#This Row],[AcceptedCmpOverall]]=1,"Campaign Respondent","Non-respondent")</f>
        <v>Campaign Respondent</v>
      </c>
    </row>
    <row r="1267" spans="1:58" x14ac:dyDescent="0.35">
      <c r="A1267">
        <v>247</v>
      </c>
      <c r="B1267">
        <v>44159</v>
      </c>
      <c r="C1267">
        <v>1</v>
      </c>
      <c r="D1267">
        <v>0</v>
      </c>
      <c r="E1267">
        <v>85</v>
      </c>
      <c r="F1267">
        <v>167</v>
      </c>
      <c r="G1267">
        <v>2</v>
      </c>
      <c r="H1267">
        <v>62</v>
      </c>
      <c r="I1267">
        <v>24</v>
      </c>
      <c r="J1267">
        <v>13</v>
      </c>
      <c r="K1267">
        <v>7</v>
      </c>
      <c r="L1267">
        <v>4</v>
      </c>
      <c r="M1267">
        <v>4</v>
      </c>
      <c r="N1267">
        <v>1</v>
      </c>
      <c r="O1267">
        <v>6</v>
      </c>
      <c r="P1267">
        <v>5</v>
      </c>
      <c r="Q1267">
        <v>0</v>
      </c>
      <c r="R1267">
        <v>0</v>
      </c>
      <c r="S1267">
        <v>0</v>
      </c>
      <c r="T1267">
        <v>0</v>
      </c>
      <c r="U1267">
        <v>0</v>
      </c>
      <c r="V1267">
        <f>IF(SUM(ifood_data[[#This Row],[AcceptedCmp1]:[AcceptedCmp5]])&gt;0,1,0)</f>
        <v>0</v>
      </c>
      <c r="W1267">
        <v>0</v>
      </c>
      <c r="X1267">
        <v>3</v>
      </c>
      <c r="Y1267">
        <v>11</v>
      </c>
      <c r="Z1267">
        <v>0</v>
      </c>
      <c r="AA1267">
        <v>50</v>
      </c>
      <c r="AB1267">
        <v>2171</v>
      </c>
      <c r="AC1267" s="28">
        <f>ifood_data[[#This Row],[Customer_Days]]/365</f>
        <v>5.9479452054794519</v>
      </c>
      <c r="AD1267">
        <v>0</v>
      </c>
      <c r="AE1267">
        <v>1</v>
      </c>
      <c r="AF1267">
        <v>0</v>
      </c>
      <c r="AG1267">
        <v>0</v>
      </c>
      <c r="AH1267">
        <v>0</v>
      </c>
      <c r="AI1267">
        <v>0</v>
      </c>
      <c r="AJ1267">
        <v>0</v>
      </c>
      <c r="AK1267">
        <v>0</v>
      </c>
      <c r="AL1267">
        <v>1</v>
      </c>
      <c r="AM1267">
        <v>0</v>
      </c>
      <c r="AN1267">
        <v>268</v>
      </c>
      <c r="AO1267">
        <v>261</v>
      </c>
      <c r="AP1267">
        <f>ifood_data[[#This Row],[MntTotal]]-ifood_data[[#This Row],[MntRegularProds]]</f>
        <v>7</v>
      </c>
      <c r="AQ1267">
        <v>0</v>
      </c>
      <c r="AR1267">
        <f>IF(SUM(ifood_data[[#This Row],[Kidhome]:[Teenhome]])&gt;0,1,0)</f>
        <v>1</v>
      </c>
      <c r="AS1267" t="str">
        <f>IF(SUM(ifood_data[[#This Row],[Kidhome]:[Teenhome]])&gt;0,"Has Family","No Family")</f>
        <v>Has Family</v>
      </c>
      <c r="AT1267" t="str">
        <f>IF(ifood_data[[#This Row],[marital_Married]]=1,"Married", (IF(ifood_data[[#This Row],[marital_Single]]=1,"Single",(IF(ifood_data[[#This Row],[marital_Divorced]]=1,"Divorced",(IF(ifood_data[[#This Row],[marital_Together]]=1,"Living Together",(IF(ifood_data[[#This Row],[marital_Widow]]=1,"Widow","Other")))))))))</f>
        <v>Married</v>
      </c>
      <c r="AU1267" t="str">
        <f>IF(ifood_data[[#This Row],[education_Basic]]=1,"High School",(IF(ifood_data[[#This Row],[education_Graduation]]=1,"Undergraduate Degree",(IF(SUM(AM1267,AL1267,AI1267)&gt;0,"Master's Degree or Higher","Other")))))</f>
        <v>Master's Degree or Higher</v>
      </c>
      <c r="AV1267" t="str">
        <f>IF(ifood_data[[#All],[Income]]&gt;75000,"75K+",(IF(ifood_data[[#All],[Income]]&gt;50000,"50K-75K",(IF(ifood_data[[#All],[Income]]&gt;35000,"35K-50K","&lt;35K")))))</f>
        <v>35K-50K</v>
      </c>
      <c r="AW1267" t="str">
        <f>IF(ifood_data[[#All],[Age]]&gt;60,"60+",(IF(ifood_data[[#All],[Age]]&gt;50,"50-60",(IF(ifood_data[[#All],[Age]]&gt;40,"40-50",(IF(ifood_data[[#All],[Age]]&gt;30,"30-40","&lt;30")))))))</f>
        <v>40-50</v>
      </c>
      <c r="AX1267">
        <f t="shared" si="76"/>
        <v>20</v>
      </c>
      <c r="AY1267">
        <f t="shared" si="77"/>
        <v>1.9999999999999996</v>
      </c>
      <c r="AZ1267">
        <f t="shared" si="78"/>
        <v>4</v>
      </c>
      <c r="BA1267">
        <f t="shared" si="79"/>
        <v>4</v>
      </c>
      <c r="BB1267">
        <f>SUM(ifood_data[[#This Row],[Recency Score]:[Monetary Score]])</f>
        <v>10</v>
      </c>
      <c r="BC1267">
        <f>(_xlfn.PERCENTRANK.INC(ifood_data[[#All],[RFM]],ifood_data[[#This Row],[RFM]],1))*10</f>
        <v>2</v>
      </c>
      <c r="BD1267" t="str">
        <f>VLOOKUP(ifood_data[[#This Row],[RFM Score]],'RFM Analysis'!$A$3:$B$14,2,FALSE)</f>
        <v>At Risk</v>
      </c>
      <c r="BE1267">
        <f>'Regression Models'!$B$101+'Regression Models'!$B$102*ifood_data[[#This Row],[Income]]+'Regression Models'!$B$103*ifood_data[[#This Row],[Age]]+'Regression Models'!$B$104*ifood_data[[#This Row],[Family]]</f>
        <v>331.09677117423564</v>
      </c>
      <c r="BF1267" t="str">
        <f>IF(ifood_data[[#This Row],[AcceptedCmpOverall]]=1,"Campaign Respondent","Non-respondent")</f>
        <v>Non-respondent</v>
      </c>
    </row>
    <row r="1268" spans="1:58" x14ac:dyDescent="0.35">
      <c r="A1268">
        <v>408</v>
      </c>
      <c r="B1268">
        <v>42387</v>
      </c>
      <c r="C1268">
        <v>1</v>
      </c>
      <c r="D1268">
        <v>0</v>
      </c>
      <c r="E1268">
        <v>42</v>
      </c>
      <c r="F1268">
        <v>235</v>
      </c>
      <c r="G1268">
        <v>0</v>
      </c>
      <c r="H1268">
        <v>235</v>
      </c>
      <c r="I1268">
        <v>19</v>
      </c>
      <c r="J1268">
        <v>4</v>
      </c>
      <c r="K1268">
        <v>191</v>
      </c>
      <c r="L1268">
        <v>5</v>
      </c>
      <c r="M1268">
        <v>8</v>
      </c>
      <c r="N1268">
        <v>1</v>
      </c>
      <c r="O1268">
        <v>7</v>
      </c>
      <c r="P1268">
        <v>8</v>
      </c>
      <c r="Q1268">
        <v>0</v>
      </c>
      <c r="R1268">
        <v>0</v>
      </c>
      <c r="S1268">
        <v>0</v>
      </c>
      <c r="T1268">
        <v>0</v>
      </c>
      <c r="U1268">
        <v>0</v>
      </c>
      <c r="V1268">
        <f>IF(SUM(ifood_data[[#This Row],[AcceptedCmp1]:[AcceptedCmp5]])&gt;0,1,0)</f>
        <v>0</v>
      </c>
      <c r="W1268">
        <v>0</v>
      </c>
      <c r="X1268">
        <v>3</v>
      </c>
      <c r="Y1268">
        <v>11</v>
      </c>
      <c r="Z1268">
        <v>0</v>
      </c>
      <c r="AA1268">
        <v>31</v>
      </c>
      <c r="AB1268">
        <v>2767</v>
      </c>
      <c r="AC1268" s="28">
        <f>ifood_data[[#This Row],[Customer_Days]]/365</f>
        <v>7.580821917808219</v>
      </c>
      <c r="AD1268">
        <v>0</v>
      </c>
      <c r="AE1268">
        <v>1</v>
      </c>
      <c r="AF1268">
        <v>0</v>
      </c>
      <c r="AG1268">
        <v>0</v>
      </c>
      <c r="AH1268">
        <v>0</v>
      </c>
      <c r="AI1268">
        <v>0</v>
      </c>
      <c r="AJ1268">
        <v>0</v>
      </c>
      <c r="AK1268">
        <v>1</v>
      </c>
      <c r="AL1268">
        <v>0</v>
      </c>
      <c r="AM1268">
        <v>0</v>
      </c>
      <c r="AN1268">
        <v>493</v>
      </c>
      <c r="AO1268">
        <v>302</v>
      </c>
      <c r="AP1268">
        <f>ifood_data[[#This Row],[MntTotal]]-ifood_data[[#This Row],[MntRegularProds]]</f>
        <v>191</v>
      </c>
      <c r="AQ1268">
        <v>0</v>
      </c>
      <c r="AR1268">
        <f>IF(SUM(ifood_data[[#This Row],[Kidhome]:[Teenhome]])&gt;0,1,0)</f>
        <v>1</v>
      </c>
      <c r="AS1268" t="str">
        <f>IF(SUM(ifood_data[[#This Row],[Kidhome]:[Teenhome]])&gt;0,"Has Family","No Family")</f>
        <v>Has Family</v>
      </c>
      <c r="AT1268" t="str">
        <f>IF(ifood_data[[#This Row],[marital_Married]]=1,"Married", (IF(ifood_data[[#This Row],[marital_Single]]=1,"Single",(IF(ifood_data[[#This Row],[marital_Divorced]]=1,"Divorced",(IF(ifood_data[[#This Row],[marital_Together]]=1,"Living Together",(IF(ifood_data[[#This Row],[marital_Widow]]=1,"Widow","Other")))))))))</f>
        <v>Married</v>
      </c>
      <c r="AU1268" t="str">
        <f>IF(ifood_data[[#This Row],[education_Basic]]=1,"High School",(IF(ifood_data[[#This Row],[education_Graduation]]=1,"Undergraduate Degree",(IF(SUM(AM1268,AL1268,AI1268)&gt;0,"Master's Degree or Higher","Other")))))</f>
        <v>Undergraduate Degree</v>
      </c>
      <c r="AV1268" t="str">
        <f>IF(ifood_data[[#All],[Income]]&gt;75000,"75K+",(IF(ifood_data[[#All],[Income]]&gt;50000,"50K-75K",(IF(ifood_data[[#All],[Income]]&gt;35000,"35K-50K","&lt;35K")))))</f>
        <v>35K-50K</v>
      </c>
      <c r="AW1268" t="str">
        <f>IF(ifood_data[[#All],[Age]]&gt;60,"60+",(IF(ifood_data[[#All],[Age]]&gt;50,"50-60",(IF(ifood_data[[#All],[Age]]&gt;40,"40-50",(IF(ifood_data[[#All],[Age]]&gt;30,"30-40","&lt;30")))))))</f>
        <v>30-40</v>
      </c>
      <c r="AX1268">
        <f t="shared" si="76"/>
        <v>29</v>
      </c>
      <c r="AY1268">
        <f t="shared" si="77"/>
        <v>6</v>
      </c>
      <c r="AZ1268">
        <f t="shared" si="78"/>
        <v>8</v>
      </c>
      <c r="BA1268">
        <f t="shared" si="79"/>
        <v>5</v>
      </c>
      <c r="BB1268">
        <f>SUM(ifood_data[[#This Row],[Recency Score]:[Monetary Score]])</f>
        <v>19</v>
      </c>
      <c r="BC1268">
        <f>(_xlfn.PERCENTRANK.INC(ifood_data[[#All],[RFM]],ifood_data[[#This Row],[RFM]],1))*10</f>
        <v>7</v>
      </c>
      <c r="BD1268" t="str">
        <f>VLOOKUP(ifood_data[[#This Row],[RFM Score]],'RFM Analysis'!$A$3:$B$14,2,FALSE)</f>
        <v>Loyal Customer</v>
      </c>
      <c r="BE1268">
        <f>'Regression Models'!$B$101+'Regression Models'!$B$102*ifood_data[[#This Row],[Income]]+'Regression Models'!$B$103*ifood_data[[#This Row],[Age]]+'Regression Models'!$B$104*ifood_data[[#This Row],[Family]]</f>
        <v>329.86021652223803</v>
      </c>
      <c r="BF1268" t="str">
        <f>IF(ifood_data[[#This Row],[AcceptedCmpOverall]]=1,"Campaign Respondent","Non-respondent")</f>
        <v>Non-respondent</v>
      </c>
    </row>
    <row r="1269" spans="1:58" x14ac:dyDescent="0.35">
      <c r="A1269">
        <v>680</v>
      </c>
      <c r="B1269">
        <v>45160</v>
      </c>
      <c r="C1269">
        <v>1</v>
      </c>
      <c r="D1269">
        <v>1</v>
      </c>
      <c r="E1269">
        <v>9</v>
      </c>
      <c r="F1269">
        <v>8</v>
      </c>
      <c r="G1269">
        <v>2</v>
      </c>
      <c r="H1269">
        <v>5</v>
      </c>
      <c r="I1269">
        <v>3</v>
      </c>
      <c r="J1269">
        <v>0</v>
      </c>
      <c r="K1269">
        <v>3</v>
      </c>
      <c r="L1269">
        <v>1</v>
      </c>
      <c r="M1269">
        <v>1</v>
      </c>
      <c r="N1269">
        <v>0</v>
      </c>
      <c r="O1269">
        <v>2</v>
      </c>
      <c r="P1269">
        <v>7</v>
      </c>
      <c r="Q1269">
        <v>0</v>
      </c>
      <c r="R1269">
        <v>0</v>
      </c>
      <c r="S1269">
        <v>0</v>
      </c>
      <c r="T1269">
        <v>0</v>
      </c>
      <c r="U1269">
        <v>0</v>
      </c>
      <c r="V1269">
        <f>IF(SUM(ifood_data[[#This Row],[AcceptedCmp1]:[AcceptedCmp5]])&gt;0,1,0)</f>
        <v>0</v>
      </c>
      <c r="W1269">
        <v>0</v>
      </c>
      <c r="X1269">
        <v>3</v>
      </c>
      <c r="Y1269">
        <v>11</v>
      </c>
      <c r="Z1269">
        <v>0</v>
      </c>
      <c r="AA1269">
        <v>62</v>
      </c>
      <c r="AB1269">
        <v>2251</v>
      </c>
      <c r="AC1269" s="28">
        <f>ifood_data[[#This Row],[Customer_Days]]/365</f>
        <v>6.1671232876712327</v>
      </c>
      <c r="AD1269">
        <v>0</v>
      </c>
      <c r="AE1269">
        <v>0</v>
      </c>
      <c r="AF1269">
        <v>1</v>
      </c>
      <c r="AG1269">
        <v>0</v>
      </c>
      <c r="AH1269">
        <v>0</v>
      </c>
      <c r="AI1269">
        <v>0</v>
      </c>
      <c r="AJ1269">
        <v>0</v>
      </c>
      <c r="AK1269">
        <v>1</v>
      </c>
      <c r="AL1269">
        <v>0</v>
      </c>
      <c r="AM1269">
        <v>0</v>
      </c>
      <c r="AN1269">
        <v>18</v>
      </c>
      <c r="AO1269">
        <v>15</v>
      </c>
      <c r="AP1269">
        <f>ifood_data[[#This Row],[MntTotal]]-ifood_data[[#This Row],[MntRegularProds]]</f>
        <v>3</v>
      </c>
      <c r="AQ1269">
        <v>0</v>
      </c>
      <c r="AR1269">
        <f>IF(SUM(ifood_data[[#This Row],[Kidhome]:[Teenhome]])&gt;0,1,0)</f>
        <v>1</v>
      </c>
      <c r="AS1269" t="str">
        <f>IF(SUM(ifood_data[[#This Row],[Kidhome]:[Teenhome]])&gt;0,"Has Family","No Family")</f>
        <v>Has Family</v>
      </c>
      <c r="AT1269" t="str">
        <f>IF(ifood_data[[#This Row],[marital_Married]]=1,"Married", (IF(ifood_data[[#This Row],[marital_Single]]=1,"Single",(IF(ifood_data[[#This Row],[marital_Divorced]]=1,"Divorced",(IF(ifood_data[[#This Row],[marital_Together]]=1,"Living Together",(IF(ifood_data[[#This Row],[marital_Widow]]=1,"Widow","Other")))))))))</f>
        <v>Single</v>
      </c>
      <c r="AU1269" t="str">
        <f>IF(ifood_data[[#This Row],[education_Basic]]=1,"High School",(IF(ifood_data[[#This Row],[education_Graduation]]=1,"Undergraduate Degree",(IF(SUM(AM1269,AL1269,AI1269)&gt;0,"Master's Degree or Higher","Other")))))</f>
        <v>Undergraduate Degree</v>
      </c>
      <c r="AV1269" t="str">
        <f>IF(ifood_data[[#All],[Income]]&gt;75000,"75K+",(IF(ifood_data[[#All],[Income]]&gt;50000,"50K-75K",(IF(ifood_data[[#All],[Income]]&gt;35000,"35K-50K","&lt;35K")))))</f>
        <v>35K-50K</v>
      </c>
      <c r="AW1269" t="str">
        <f>IF(ifood_data[[#All],[Age]]&gt;60,"60+",(IF(ifood_data[[#All],[Age]]&gt;50,"50-60",(IF(ifood_data[[#All],[Age]]&gt;40,"40-50",(IF(ifood_data[[#All],[Age]]&gt;30,"30-40","&lt;30")))))))</f>
        <v>60+</v>
      </c>
      <c r="AX1269">
        <f t="shared" si="76"/>
        <v>11</v>
      </c>
      <c r="AY1269">
        <f t="shared" si="77"/>
        <v>10</v>
      </c>
      <c r="AZ1269">
        <f t="shared" si="78"/>
        <v>0</v>
      </c>
      <c r="BA1269">
        <f t="shared" si="79"/>
        <v>0</v>
      </c>
      <c r="BB1269">
        <f>SUM(ifood_data[[#This Row],[Recency Score]:[Monetary Score]])</f>
        <v>10</v>
      </c>
      <c r="BC1269">
        <f>(_xlfn.PERCENTRANK.INC(ifood_data[[#All],[RFM]],ifood_data[[#This Row],[RFM]],1))*10</f>
        <v>2</v>
      </c>
      <c r="BD1269" t="str">
        <f>VLOOKUP(ifood_data[[#This Row],[RFM Score]],'RFM Analysis'!$A$3:$B$14,2,FALSE)</f>
        <v>At Risk</v>
      </c>
      <c r="BE1269">
        <f>'Regression Models'!$B$101+'Regression Models'!$B$102*ifood_data[[#This Row],[Income]]+'Regression Models'!$B$103*ifood_data[[#This Row],[Age]]+'Regression Models'!$B$104*ifood_data[[#This Row],[Family]]</f>
        <v>329.46865913954719</v>
      </c>
      <c r="BF1269" t="str">
        <f>IF(ifood_data[[#This Row],[AcceptedCmpOverall]]=1,"Campaign Respondent","Non-respondent")</f>
        <v>Non-respondent</v>
      </c>
    </row>
    <row r="1270" spans="1:58" x14ac:dyDescent="0.35">
      <c r="A1270">
        <v>1509</v>
      </c>
      <c r="B1270">
        <v>44078</v>
      </c>
      <c r="C1270">
        <v>1</v>
      </c>
      <c r="D1270">
        <v>1</v>
      </c>
      <c r="E1270">
        <v>17</v>
      </c>
      <c r="F1270">
        <v>24</v>
      </c>
      <c r="G1270">
        <v>1</v>
      </c>
      <c r="H1270">
        <v>10</v>
      </c>
      <c r="I1270">
        <v>2</v>
      </c>
      <c r="J1270">
        <v>0</v>
      </c>
      <c r="K1270">
        <v>4</v>
      </c>
      <c r="L1270">
        <v>2</v>
      </c>
      <c r="M1270">
        <v>2</v>
      </c>
      <c r="N1270">
        <v>0</v>
      </c>
      <c r="O1270">
        <v>3</v>
      </c>
      <c r="P1270">
        <v>5</v>
      </c>
      <c r="Q1270">
        <v>0</v>
      </c>
      <c r="R1270">
        <v>0</v>
      </c>
      <c r="S1270">
        <v>0</v>
      </c>
      <c r="T1270">
        <v>0</v>
      </c>
      <c r="U1270">
        <v>0</v>
      </c>
      <c r="V1270">
        <f>IF(SUM(ifood_data[[#This Row],[AcceptedCmp1]:[AcceptedCmp5]])&gt;0,1,0)</f>
        <v>0</v>
      </c>
      <c r="W1270">
        <v>0</v>
      </c>
      <c r="X1270">
        <v>3</v>
      </c>
      <c r="Y1270">
        <v>11</v>
      </c>
      <c r="Z1270">
        <v>0</v>
      </c>
      <c r="AA1270">
        <v>51</v>
      </c>
      <c r="AB1270">
        <v>2169</v>
      </c>
      <c r="AC1270" s="28">
        <f>ifood_data[[#This Row],[Customer_Days]]/365</f>
        <v>5.9424657534246572</v>
      </c>
      <c r="AD1270">
        <v>0</v>
      </c>
      <c r="AE1270">
        <v>1</v>
      </c>
      <c r="AF1270">
        <v>0</v>
      </c>
      <c r="AG1270">
        <v>0</v>
      </c>
      <c r="AH1270">
        <v>0</v>
      </c>
      <c r="AI1270">
        <v>0</v>
      </c>
      <c r="AJ1270">
        <v>0</v>
      </c>
      <c r="AK1270">
        <v>1</v>
      </c>
      <c r="AL1270">
        <v>0</v>
      </c>
      <c r="AM1270">
        <v>0</v>
      </c>
      <c r="AN1270">
        <v>37</v>
      </c>
      <c r="AO1270">
        <v>33</v>
      </c>
      <c r="AP1270">
        <f>ifood_data[[#This Row],[MntTotal]]-ifood_data[[#This Row],[MntRegularProds]]</f>
        <v>4</v>
      </c>
      <c r="AQ1270">
        <v>0</v>
      </c>
      <c r="AR1270">
        <f>IF(SUM(ifood_data[[#This Row],[Kidhome]:[Teenhome]])&gt;0,1,0)</f>
        <v>1</v>
      </c>
      <c r="AS1270" t="str">
        <f>IF(SUM(ifood_data[[#This Row],[Kidhome]:[Teenhome]])&gt;0,"Has Family","No Family")</f>
        <v>Has Family</v>
      </c>
      <c r="AT1270" t="str">
        <f>IF(ifood_data[[#This Row],[marital_Married]]=1,"Married", (IF(ifood_data[[#This Row],[marital_Single]]=1,"Single",(IF(ifood_data[[#This Row],[marital_Divorced]]=1,"Divorced",(IF(ifood_data[[#This Row],[marital_Together]]=1,"Living Together",(IF(ifood_data[[#This Row],[marital_Widow]]=1,"Widow","Other")))))))))</f>
        <v>Married</v>
      </c>
      <c r="AU1270" t="str">
        <f>IF(ifood_data[[#This Row],[education_Basic]]=1,"High School",(IF(ifood_data[[#This Row],[education_Graduation]]=1,"Undergraduate Degree",(IF(SUM(AM1270,AL1270,AI1270)&gt;0,"Master's Degree or Higher","Other")))))</f>
        <v>Undergraduate Degree</v>
      </c>
      <c r="AV1270" t="str">
        <f>IF(ifood_data[[#All],[Income]]&gt;75000,"75K+",(IF(ifood_data[[#All],[Income]]&gt;50000,"50K-75K",(IF(ifood_data[[#All],[Income]]&gt;35000,"35K-50K","&lt;35K")))))</f>
        <v>35K-50K</v>
      </c>
      <c r="AW1270" t="str">
        <f>IF(ifood_data[[#All],[Age]]&gt;60,"60+",(IF(ifood_data[[#All],[Age]]&gt;50,"50-60",(IF(ifood_data[[#All],[Age]]&gt;40,"40-50",(IF(ifood_data[[#All],[Age]]&gt;30,"30-40","&lt;30")))))))</f>
        <v>50-60</v>
      </c>
      <c r="AX1270">
        <f t="shared" si="76"/>
        <v>12</v>
      </c>
      <c r="AY1270">
        <f t="shared" si="77"/>
        <v>9</v>
      </c>
      <c r="AZ1270">
        <f t="shared" si="78"/>
        <v>1</v>
      </c>
      <c r="BA1270">
        <f t="shared" si="79"/>
        <v>1</v>
      </c>
      <c r="BB1270">
        <f>SUM(ifood_data[[#This Row],[Recency Score]:[Monetary Score]])</f>
        <v>11</v>
      </c>
      <c r="BC1270">
        <f>(_xlfn.PERCENTRANK.INC(ifood_data[[#All],[RFM]],ifood_data[[#This Row],[RFM]],1))*10</f>
        <v>2</v>
      </c>
      <c r="BD1270" t="str">
        <f>VLOOKUP(ifood_data[[#This Row],[RFM Score]],'RFM Analysis'!$A$3:$B$14,2,FALSE)</f>
        <v>At Risk</v>
      </c>
      <c r="BE1270">
        <f>'Regression Models'!$B$101+'Regression Models'!$B$102*ifood_data[[#This Row],[Income]]+'Regression Models'!$B$103*ifood_data[[#This Row],[Age]]+'Regression Models'!$B$104*ifood_data[[#This Row],[Family]]</f>
        <v>327.60884187568558</v>
      </c>
      <c r="BF1270" t="str">
        <f>IF(ifood_data[[#This Row],[AcceptedCmpOverall]]=1,"Campaign Respondent","Non-respondent")</f>
        <v>Non-respondent</v>
      </c>
    </row>
    <row r="1271" spans="1:58" x14ac:dyDescent="0.35">
      <c r="A1271">
        <v>516</v>
      </c>
      <c r="B1271">
        <v>42710</v>
      </c>
      <c r="C1271">
        <v>1</v>
      </c>
      <c r="D1271">
        <v>0</v>
      </c>
      <c r="E1271">
        <v>38</v>
      </c>
      <c r="F1271">
        <v>252</v>
      </c>
      <c r="G1271">
        <v>3</v>
      </c>
      <c r="H1271">
        <v>42</v>
      </c>
      <c r="I1271">
        <v>4</v>
      </c>
      <c r="J1271">
        <v>3</v>
      </c>
      <c r="K1271">
        <v>102</v>
      </c>
      <c r="L1271">
        <v>2</v>
      </c>
      <c r="M1271">
        <v>4</v>
      </c>
      <c r="N1271">
        <v>5</v>
      </c>
      <c r="O1271">
        <v>3</v>
      </c>
      <c r="P1271">
        <v>6</v>
      </c>
      <c r="Q1271">
        <v>0</v>
      </c>
      <c r="R1271">
        <v>0</v>
      </c>
      <c r="S1271">
        <v>0</v>
      </c>
      <c r="T1271">
        <v>0</v>
      </c>
      <c r="U1271">
        <v>0</v>
      </c>
      <c r="V1271">
        <f>IF(SUM(ifood_data[[#This Row],[AcceptedCmp1]:[AcceptedCmp5]])&gt;0,1,0)</f>
        <v>0</v>
      </c>
      <c r="W1271">
        <v>0</v>
      </c>
      <c r="X1271">
        <v>3</v>
      </c>
      <c r="Y1271">
        <v>11</v>
      </c>
      <c r="Z1271">
        <v>0</v>
      </c>
      <c r="AA1271">
        <v>36</v>
      </c>
      <c r="AB1271">
        <v>2737</v>
      </c>
      <c r="AC1271" s="28">
        <f>ifood_data[[#This Row],[Customer_Days]]/365</f>
        <v>7.4986301369863018</v>
      </c>
      <c r="AD1271">
        <v>0</v>
      </c>
      <c r="AE1271">
        <v>0</v>
      </c>
      <c r="AF1271">
        <v>1</v>
      </c>
      <c r="AG1271">
        <v>0</v>
      </c>
      <c r="AH1271">
        <v>0</v>
      </c>
      <c r="AI1271">
        <v>0</v>
      </c>
      <c r="AJ1271">
        <v>0</v>
      </c>
      <c r="AK1271">
        <v>0</v>
      </c>
      <c r="AL1271">
        <v>0</v>
      </c>
      <c r="AM1271">
        <v>1</v>
      </c>
      <c r="AN1271">
        <v>304</v>
      </c>
      <c r="AO1271">
        <v>202</v>
      </c>
      <c r="AP1271">
        <f>ifood_data[[#This Row],[MntTotal]]-ifood_data[[#This Row],[MntRegularProds]]</f>
        <v>102</v>
      </c>
      <c r="AQ1271">
        <v>0</v>
      </c>
      <c r="AR1271">
        <f>IF(SUM(ifood_data[[#This Row],[Kidhome]:[Teenhome]])&gt;0,1,0)</f>
        <v>1</v>
      </c>
      <c r="AS1271" t="str">
        <f>IF(SUM(ifood_data[[#This Row],[Kidhome]:[Teenhome]])&gt;0,"Has Family","No Family")</f>
        <v>Has Family</v>
      </c>
      <c r="AT1271" t="str">
        <f>IF(ifood_data[[#This Row],[marital_Married]]=1,"Married", (IF(ifood_data[[#This Row],[marital_Single]]=1,"Single",(IF(ifood_data[[#This Row],[marital_Divorced]]=1,"Divorced",(IF(ifood_data[[#This Row],[marital_Together]]=1,"Living Together",(IF(ifood_data[[#This Row],[marital_Widow]]=1,"Widow","Other")))))))))</f>
        <v>Single</v>
      </c>
      <c r="AU1271" t="str">
        <f>IF(ifood_data[[#This Row],[education_Basic]]=1,"High School",(IF(ifood_data[[#This Row],[education_Graduation]]=1,"Undergraduate Degree",(IF(SUM(AM1271,AL1271,AI1271)&gt;0,"Master's Degree or Higher","Other")))))</f>
        <v>Master's Degree or Higher</v>
      </c>
      <c r="AV1271" t="str">
        <f>IF(ifood_data[[#All],[Income]]&gt;75000,"75K+",(IF(ifood_data[[#All],[Income]]&gt;50000,"50K-75K",(IF(ifood_data[[#All],[Income]]&gt;35000,"35K-50K","&lt;35K")))))</f>
        <v>35K-50K</v>
      </c>
      <c r="AW1271" t="str">
        <f>IF(ifood_data[[#All],[Age]]&gt;60,"60+",(IF(ifood_data[[#All],[Age]]&gt;50,"50-60",(IF(ifood_data[[#All],[Age]]&gt;40,"40-50",(IF(ifood_data[[#All],[Age]]&gt;30,"30-40","&lt;30")))))))</f>
        <v>30-40</v>
      </c>
      <c r="AX1271">
        <f t="shared" si="76"/>
        <v>20</v>
      </c>
      <c r="AY1271">
        <f t="shared" si="77"/>
        <v>7</v>
      </c>
      <c r="AZ1271">
        <f t="shared" si="78"/>
        <v>4</v>
      </c>
      <c r="BA1271">
        <f t="shared" si="79"/>
        <v>4</v>
      </c>
      <c r="BB1271">
        <f>SUM(ifood_data[[#This Row],[Recency Score]:[Monetary Score]])</f>
        <v>15</v>
      </c>
      <c r="BC1271">
        <f>(_xlfn.PERCENTRANK.INC(ifood_data[[#All],[RFM]],ifood_data[[#This Row],[RFM]],1))*10</f>
        <v>4</v>
      </c>
      <c r="BD1271" t="str">
        <f>VLOOKUP(ifood_data[[#This Row],[RFM Score]],'RFM Analysis'!$A$3:$B$14,2,FALSE)</f>
        <v>At Risk</v>
      </c>
      <c r="BE1271">
        <f>'Regression Models'!$B$101+'Regression Models'!$B$102*ifood_data[[#This Row],[Income]]+'Regression Models'!$B$103*ifood_data[[#This Row],[Age]]+'Regression Models'!$B$104*ifood_data[[#This Row],[Family]]</f>
        <v>327.26359323824602</v>
      </c>
      <c r="BF1271" t="str">
        <f>IF(ifood_data[[#This Row],[AcceptedCmpOverall]]=1,"Campaign Respondent","Non-respondent")</f>
        <v>Non-respondent</v>
      </c>
    </row>
    <row r="1272" spans="1:58" x14ac:dyDescent="0.35">
      <c r="A1272">
        <v>1120</v>
      </c>
      <c r="B1272">
        <v>44393</v>
      </c>
      <c r="C1272">
        <v>1</v>
      </c>
      <c r="D1272">
        <v>1</v>
      </c>
      <c r="E1272">
        <v>86</v>
      </c>
      <c r="F1272">
        <v>24</v>
      </c>
      <c r="G1272">
        <v>2</v>
      </c>
      <c r="H1272">
        <v>20</v>
      </c>
      <c r="I1272">
        <v>2</v>
      </c>
      <c r="J1272">
        <v>2</v>
      </c>
      <c r="K1272">
        <v>10</v>
      </c>
      <c r="L1272">
        <v>2</v>
      </c>
      <c r="M1272">
        <v>1</v>
      </c>
      <c r="N1272">
        <v>0</v>
      </c>
      <c r="O1272">
        <v>4</v>
      </c>
      <c r="P1272">
        <v>4</v>
      </c>
      <c r="Q1272">
        <v>0</v>
      </c>
      <c r="R1272">
        <v>0</v>
      </c>
      <c r="S1272">
        <v>0</v>
      </c>
      <c r="T1272">
        <v>0</v>
      </c>
      <c r="U1272">
        <v>0</v>
      </c>
      <c r="V1272">
        <f>IF(SUM(ifood_data[[#This Row],[AcceptedCmp1]:[AcceptedCmp5]])&gt;0,1,0)</f>
        <v>0</v>
      </c>
      <c r="W1272">
        <v>0</v>
      </c>
      <c r="X1272">
        <v>3</v>
      </c>
      <c r="Y1272">
        <v>11</v>
      </c>
      <c r="Z1272">
        <v>0</v>
      </c>
      <c r="AA1272">
        <v>55</v>
      </c>
      <c r="AB1272">
        <v>2470</v>
      </c>
      <c r="AC1272" s="28">
        <f>ifood_data[[#This Row],[Customer_Days]]/365</f>
        <v>6.7671232876712333</v>
      </c>
      <c r="AD1272">
        <v>0</v>
      </c>
      <c r="AE1272">
        <v>1</v>
      </c>
      <c r="AF1272">
        <v>0</v>
      </c>
      <c r="AG1272">
        <v>0</v>
      </c>
      <c r="AH1272">
        <v>0</v>
      </c>
      <c r="AI1272">
        <v>0</v>
      </c>
      <c r="AJ1272">
        <v>0</v>
      </c>
      <c r="AK1272">
        <v>1</v>
      </c>
      <c r="AL1272">
        <v>0</v>
      </c>
      <c r="AM1272">
        <v>0</v>
      </c>
      <c r="AN1272">
        <v>50</v>
      </c>
      <c r="AO1272">
        <v>40</v>
      </c>
      <c r="AP1272">
        <f>ifood_data[[#This Row],[MntTotal]]-ifood_data[[#This Row],[MntRegularProds]]</f>
        <v>10</v>
      </c>
      <c r="AQ1272">
        <v>0</v>
      </c>
      <c r="AR1272">
        <f>IF(SUM(ifood_data[[#This Row],[Kidhome]:[Teenhome]])&gt;0,1,0)</f>
        <v>1</v>
      </c>
      <c r="AS1272" t="str">
        <f>IF(SUM(ifood_data[[#This Row],[Kidhome]:[Teenhome]])&gt;0,"Has Family","No Family")</f>
        <v>Has Family</v>
      </c>
      <c r="AT1272" t="str">
        <f>IF(ifood_data[[#This Row],[marital_Married]]=1,"Married", (IF(ifood_data[[#This Row],[marital_Single]]=1,"Single",(IF(ifood_data[[#This Row],[marital_Divorced]]=1,"Divorced",(IF(ifood_data[[#This Row],[marital_Together]]=1,"Living Together",(IF(ifood_data[[#This Row],[marital_Widow]]=1,"Widow","Other")))))))))</f>
        <v>Married</v>
      </c>
      <c r="AU1272" t="str">
        <f>IF(ifood_data[[#This Row],[education_Basic]]=1,"High School",(IF(ifood_data[[#This Row],[education_Graduation]]=1,"Undergraduate Degree",(IF(SUM(AM1272,AL1272,AI1272)&gt;0,"Master's Degree or Higher","Other")))))</f>
        <v>Undergraduate Degree</v>
      </c>
      <c r="AV1272" t="str">
        <f>IF(ifood_data[[#All],[Income]]&gt;75000,"75K+",(IF(ifood_data[[#All],[Income]]&gt;50000,"50K-75K",(IF(ifood_data[[#All],[Income]]&gt;35000,"35K-50K","&lt;35K")))))</f>
        <v>35K-50K</v>
      </c>
      <c r="AW1272" t="str">
        <f>IF(ifood_data[[#All],[Age]]&gt;60,"60+",(IF(ifood_data[[#All],[Age]]&gt;50,"50-60",(IF(ifood_data[[#All],[Age]]&gt;40,"40-50",(IF(ifood_data[[#All],[Age]]&gt;30,"30-40","&lt;30")))))))</f>
        <v>50-60</v>
      </c>
      <c r="AX1272">
        <f t="shared" si="76"/>
        <v>11</v>
      </c>
      <c r="AY1272">
        <f t="shared" si="77"/>
        <v>1.9999999999999996</v>
      </c>
      <c r="AZ1272">
        <f t="shared" si="78"/>
        <v>0</v>
      </c>
      <c r="BA1272">
        <f t="shared" si="79"/>
        <v>2</v>
      </c>
      <c r="BB1272">
        <f>SUM(ifood_data[[#This Row],[Recency Score]:[Monetary Score]])</f>
        <v>3.9999999999999996</v>
      </c>
      <c r="BC1272">
        <f>(_xlfn.PERCENTRANK.INC(ifood_data[[#All],[RFM]],ifood_data[[#This Row],[RFM]],1))*10</f>
        <v>0</v>
      </c>
      <c r="BD1272" t="str">
        <f>VLOOKUP(ifood_data[[#This Row],[RFM Score]],'RFM Analysis'!$A$3:$B$14,2,FALSE)</f>
        <v>Lost</v>
      </c>
      <c r="BE1272">
        <f>'Regression Models'!$B$101+'Regression Models'!$B$102*ifood_data[[#This Row],[Income]]+'Regression Models'!$B$103*ifood_data[[#This Row],[Age]]+'Regression Models'!$B$104*ifood_data[[#This Row],[Family]]</f>
        <v>326.68554752543662</v>
      </c>
      <c r="BF1272" t="str">
        <f>IF(ifood_data[[#This Row],[AcceptedCmpOverall]]=1,"Campaign Respondent","Non-respondent")</f>
        <v>Non-respondent</v>
      </c>
    </row>
    <row r="1273" spans="1:58" x14ac:dyDescent="0.35">
      <c r="A1273">
        <v>1096</v>
      </c>
      <c r="B1273">
        <v>44375</v>
      </c>
      <c r="C1273">
        <v>0</v>
      </c>
      <c r="D1273">
        <v>1</v>
      </c>
      <c r="E1273">
        <v>73</v>
      </c>
      <c r="F1273">
        <v>213</v>
      </c>
      <c r="G1273">
        <v>5</v>
      </c>
      <c r="H1273">
        <v>28</v>
      </c>
      <c r="I1273">
        <v>7</v>
      </c>
      <c r="J1273">
        <v>7</v>
      </c>
      <c r="K1273">
        <v>41</v>
      </c>
      <c r="L1273">
        <v>1</v>
      </c>
      <c r="M1273">
        <v>4</v>
      </c>
      <c r="N1273">
        <v>1</v>
      </c>
      <c r="O1273">
        <v>6</v>
      </c>
      <c r="P1273">
        <v>5</v>
      </c>
      <c r="Q1273">
        <v>0</v>
      </c>
      <c r="R1273">
        <v>0</v>
      </c>
      <c r="S1273">
        <v>0</v>
      </c>
      <c r="T1273">
        <v>0</v>
      </c>
      <c r="U1273">
        <v>0</v>
      </c>
      <c r="V1273">
        <f>IF(SUM(ifood_data[[#This Row],[AcceptedCmp1]:[AcceptedCmp5]])&gt;0,1,0)</f>
        <v>0</v>
      </c>
      <c r="W1273">
        <v>0</v>
      </c>
      <c r="X1273">
        <v>3</v>
      </c>
      <c r="Y1273">
        <v>11</v>
      </c>
      <c r="Z1273">
        <v>0</v>
      </c>
      <c r="AA1273">
        <v>55</v>
      </c>
      <c r="AB1273">
        <v>2257</v>
      </c>
      <c r="AC1273" s="28">
        <f>ifood_data[[#This Row],[Customer_Days]]/365</f>
        <v>6.183561643835616</v>
      </c>
      <c r="AD1273">
        <v>0</v>
      </c>
      <c r="AE1273">
        <v>1</v>
      </c>
      <c r="AF1273">
        <v>0</v>
      </c>
      <c r="AG1273">
        <v>0</v>
      </c>
      <c r="AH1273">
        <v>0</v>
      </c>
      <c r="AI1273">
        <v>0</v>
      </c>
      <c r="AJ1273">
        <v>0</v>
      </c>
      <c r="AK1273">
        <v>1</v>
      </c>
      <c r="AL1273">
        <v>0</v>
      </c>
      <c r="AM1273">
        <v>0</v>
      </c>
      <c r="AN1273">
        <v>260</v>
      </c>
      <c r="AO1273">
        <v>219</v>
      </c>
      <c r="AP1273">
        <f>ifood_data[[#This Row],[MntTotal]]-ifood_data[[#This Row],[MntRegularProds]]</f>
        <v>41</v>
      </c>
      <c r="AQ1273">
        <v>0</v>
      </c>
      <c r="AR1273">
        <f>IF(SUM(ifood_data[[#This Row],[Kidhome]:[Teenhome]])&gt;0,1,0)</f>
        <v>1</v>
      </c>
      <c r="AS1273" t="str">
        <f>IF(SUM(ifood_data[[#This Row],[Kidhome]:[Teenhome]])&gt;0,"Has Family","No Family")</f>
        <v>Has Family</v>
      </c>
      <c r="AT1273" t="str">
        <f>IF(ifood_data[[#This Row],[marital_Married]]=1,"Married", (IF(ifood_data[[#This Row],[marital_Single]]=1,"Single",(IF(ifood_data[[#This Row],[marital_Divorced]]=1,"Divorced",(IF(ifood_data[[#This Row],[marital_Together]]=1,"Living Together",(IF(ifood_data[[#This Row],[marital_Widow]]=1,"Widow","Other")))))))))</f>
        <v>Married</v>
      </c>
      <c r="AU1273" t="str">
        <f>IF(ifood_data[[#This Row],[education_Basic]]=1,"High School",(IF(ifood_data[[#This Row],[education_Graduation]]=1,"Undergraduate Degree",(IF(SUM(AM1273,AL1273,AI1273)&gt;0,"Master's Degree or Higher","Other")))))</f>
        <v>Undergraduate Degree</v>
      </c>
      <c r="AV1273" t="str">
        <f>IF(ifood_data[[#All],[Income]]&gt;75000,"75K+",(IF(ifood_data[[#All],[Income]]&gt;50000,"50K-75K",(IF(ifood_data[[#All],[Income]]&gt;35000,"35K-50K","&lt;35K")))))</f>
        <v>35K-50K</v>
      </c>
      <c r="AW1273" t="str">
        <f>IF(ifood_data[[#All],[Age]]&gt;60,"60+",(IF(ifood_data[[#All],[Age]]&gt;50,"50-60",(IF(ifood_data[[#All],[Age]]&gt;40,"40-50",(IF(ifood_data[[#All],[Age]]&gt;30,"30-40","&lt;30")))))))</f>
        <v>50-60</v>
      </c>
      <c r="AX1273">
        <f t="shared" si="76"/>
        <v>17</v>
      </c>
      <c r="AY1273">
        <f t="shared" si="77"/>
        <v>3.0000000000000004</v>
      </c>
      <c r="AZ1273">
        <f t="shared" si="78"/>
        <v>3</v>
      </c>
      <c r="BA1273">
        <f t="shared" si="79"/>
        <v>4</v>
      </c>
      <c r="BB1273">
        <f>SUM(ifood_data[[#This Row],[Recency Score]:[Monetary Score]])</f>
        <v>10</v>
      </c>
      <c r="BC1273">
        <f>(_xlfn.PERCENTRANK.INC(ifood_data[[#All],[RFM]],ifood_data[[#This Row],[RFM]],1))*10</f>
        <v>2</v>
      </c>
      <c r="BD1273" t="str">
        <f>VLOOKUP(ifood_data[[#This Row],[RFM Score]],'RFM Analysis'!$A$3:$B$14,2,FALSE)</f>
        <v>At Risk</v>
      </c>
      <c r="BE1273">
        <f>'Regression Models'!$B$101+'Regression Models'!$B$102*ifood_data[[#This Row],[Income]]+'Regression Models'!$B$103*ifood_data[[#This Row],[Age]]+'Regression Models'!$B$104*ifood_data[[#This Row],[Family]]</f>
        <v>326.31854969884648</v>
      </c>
      <c r="BF1273" t="str">
        <f>IF(ifood_data[[#This Row],[AcceptedCmpOverall]]=1,"Campaign Respondent","Non-respondent")</f>
        <v>Non-respondent</v>
      </c>
    </row>
    <row r="1274" spans="1:58" x14ac:dyDescent="0.35">
      <c r="A1274">
        <v>1672</v>
      </c>
      <c r="B1274">
        <v>44911</v>
      </c>
      <c r="C1274">
        <v>0</v>
      </c>
      <c r="D1274">
        <v>1</v>
      </c>
      <c r="E1274">
        <v>11</v>
      </c>
      <c r="F1274">
        <v>159</v>
      </c>
      <c r="G1274">
        <v>0</v>
      </c>
      <c r="H1274">
        <v>22</v>
      </c>
      <c r="I1274">
        <v>2</v>
      </c>
      <c r="J1274">
        <v>1</v>
      </c>
      <c r="K1274">
        <v>31</v>
      </c>
      <c r="L1274">
        <v>3</v>
      </c>
      <c r="M1274">
        <v>4</v>
      </c>
      <c r="N1274">
        <v>1</v>
      </c>
      <c r="O1274">
        <v>4</v>
      </c>
      <c r="P1274">
        <v>7</v>
      </c>
      <c r="Q1274">
        <v>0</v>
      </c>
      <c r="R1274">
        <v>0</v>
      </c>
      <c r="S1274">
        <v>0</v>
      </c>
      <c r="T1274">
        <v>0</v>
      </c>
      <c r="U1274">
        <v>0</v>
      </c>
      <c r="V1274">
        <f>IF(SUM(ifood_data[[#This Row],[AcceptedCmp1]:[AcceptedCmp5]])&gt;0,1,0)</f>
        <v>0</v>
      </c>
      <c r="W1274">
        <v>0</v>
      </c>
      <c r="X1274">
        <v>3</v>
      </c>
      <c r="Y1274">
        <v>11</v>
      </c>
      <c r="Z1274">
        <v>0</v>
      </c>
      <c r="AA1274">
        <v>61</v>
      </c>
      <c r="AB1274">
        <v>2630</v>
      </c>
      <c r="AC1274" s="28">
        <f>ifood_data[[#This Row],[Customer_Days]]/365</f>
        <v>7.2054794520547949</v>
      </c>
      <c r="AD1274">
        <v>0</v>
      </c>
      <c r="AE1274">
        <v>0</v>
      </c>
      <c r="AF1274">
        <v>0</v>
      </c>
      <c r="AG1274">
        <v>1</v>
      </c>
      <c r="AH1274">
        <v>0</v>
      </c>
      <c r="AI1274">
        <v>0</v>
      </c>
      <c r="AJ1274">
        <v>0</v>
      </c>
      <c r="AK1274">
        <v>1</v>
      </c>
      <c r="AL1274">
        <v>0</v>
      </c>
      <c r="AM1274">
        <v>0</v>
      </c>
      <c r="AN1274">
        <v>184</v>
      </c>
      <c r="AO1274">
        <v>153</v>
      </c>
      <c r="AP1274">
        <f>ifood_data[[#This Row],[MntTotal]]-ifood_data[[#This Row],[MntRegularProds]]</f>
        <v>31</v>
      </c>
      <c r="AQ1274">
        <v>0</v>
      </c>
      <c r="AR1274">
        <f>IF(SUM(ifood_data[[#This Row],[Kidhome]:[Teenhome]])&gt;0,1,0)</f>
        <v>1</v>
      </c>
      <c r="AS1274" t="str">
        <f>IF(SUM(ifood_data[[#This Row],[Kidhome]:[Teenhome]])&gt;0,"Has Family","No Family")</f>
        <v>Has Family</v>
      </c>
      <c r="AT1274" t="str">
        <f>IF(ifood_data[[#This Row],[marital_Married]]=1,"Married", (IF(ifood_data[[#This Row],[marital_Single]]=1,"Single",(IF(ifood_data[[#This Row],[marital_Divorced]]=1,"Divorced",(IF(ifood_data[[#This Row],[marital_Together]]=1,"Living Together",(IF(ifood_data[[#This Row],[marital_Widow]]=1,"Widow","Other")))))))))</f>
        <v>Living Together</v>
      </c>
      <c r="AU1274" t="str">
        <f>IF(ifood_data[[#This Row],[education_Basic]]=1,"High School",(IF(ifood_data[[#This Row],[education_Graduation]]=1,"Undergraduate Degree",(IF(SUM(AM1274,AL1274,AI1274)&gt;0,"Master's Degree or Higher","Other")))))</f>
        <v>Undergraduate Degree</v>
      </c>
      <c r="AV1274" t="str">
        <f>IF(ifood_data[[#All],[Income]]&gt;75000,"75K+",(IF(ifood_data[[#All],[Income]]&gt;50000,"50K-75K",(IF(ifood_data[[#All],[Income]]&gt;35000,"35K-50K","&lt;35K")))))</f>
        <v>35K-50K</v>
      </c>
      <c r="AW1274" t="str">
        <f>IF(ifood_data[[#All],[Age]]&gt;60,"60+",(IF(ifood_data[[#All],[Age]]&gt;50,"50-60",(IF(ifood_data[[#All],[Age]]&gt;40,"40-50",(IF(ifood_data[[#All],[Age]]&gt;30,"30-40","&lt;30")))))))</f>
        <v>60+</v>
      </c>
      <c r="AX1274">
        <f t="shared" si="76"/>
        <v>19</v>
      </c>
      <c r="AY1274">
        <f t="shared" si="77"/>
        <v>9</v>
      </c>
      <c r="AZ1274">
        <f t="shared" si="78"/>
        <v>4</v>
      </c>
      <c r="BA1274">
        <f t="shared" si="79"/>
        <v>4</v>
      </c>
      <c r="BB1274">
        <f>SUM(ifood_data[[#This Row],[Recency Score]:[Monetary Score]])</f>
        <v>17</v>
      </c>
      <c r="BC1274">
        <f>(_xlfn.PERCENTRANK.INC(ifood_data[[#All],[RFM]],ifood_data[[#This Row],[RFM]],1))*10</f>
        <v>6</v>
      </c>
      <c r="BD1274" t="str">
        <f>VLOOKUP(ifood_data[[#This Row],[RFM Score]],'RFM Analysis'!$A$3:$B$14,2,FALSE)</f>
        <v>Promising</v>
      </c>
      <c r="BE1274">
        <f>'Regression Models'!$B$101+'Regression Models'!$B$102*ifood_data[[#This Row],[Income]]+'Regression Models'!$B$103*ifood_data[[#This Row],[Age]]+'Regression Models'!$B$104*ifood_data[[#This Row],[Family]]</f>
        <v>326.22829495061058</v>
      </c>
      <c r="BF1274" t="str">
        <f>IF(ifood_data[[#This Row],[AcceptedCmpOverall]]=1,"Campaign Respondent","Non-respondent")</f>
        <v>Non-respondent</v>
      </c>
    </row>
    <row r="1275" spans="1:58" x14ac:dyDescent="0.35">
      <c r="A1275">
        <v>374</v>
      </c>
      <c r="B1275">
        <v>43824</v>
      </c>
      <c r="C1275">
        <v>1</v>
      </c>
      <c r="D1275">
        <v>1</v>
      </c>
      <c r="E1275">
        <v>18</v>
      </c>
      <c r="F1275">
        <v>96</v>
      </c>
      <c r="G1275">
        <v>1</v>
      </c>
      <c r="H1275">
        <v>42</v>
      </c>
      <c r="I1275">
        <v>12</v>
      </c>
      <c r="J1275">
        <v>3</v>
      </c>
      <c r="K1275">
        <v>32</v>
      </c>
      <c r="L1275">
        <v>4</v>
      </c>
      <c r="M1275">
        <v>3</v>
      </c>
      <c r="N1275">
        <v>1</v>
      </c>
      <c r="O1275">
        <v>4</v>
      </c>
      <c r="P1275">
        <v>8</v>
      </c>
      <c r="Q1275">
        <v>0</v>
      </c>
      <c r="R1275">
        <v>0</v>
      </c>
      <c r="S1275">
        <v>0</v>
      </c>
      <c r="T1275">
        <v>0</v>
      </c>
      <c r="U1275">
        <v>0</v>
      </c>
      <c r="V1275">
        <f>IF(SUM(ifood_data[[#This Row],[AcceptedCmp1]:[AcceptedCmp5]])&gt;0,1,0)</f>
        <v>0</v>
      </c>
      <c r="W1275">
        <v>0</v>
      </c>
      <c r="X1275">
        <v>3</v>
      </c>
      <c r="Y1275">
        <v>11</v>
      </c>
      <c r="Z1275">
        <v>0</v>
      </c>
      <c r="AA1275">
        <v>49</v>
      </c>
      <c r="AB1275">
        <v>2811</v>
      </c>
      <c r="AC1275" s="28">
        <f>ifood_data[[#This Row],[Customer_Days]]/365</f>
        <v>7.7013698630136984</v>
      </c>
      <c r="AD1275">
        <v>0</v>
      </c>
      <c r="AE1275">
        <v>1</v>
      </c>
      <c r="AF1275">
        <v>0</v>
      </c>
      <c r="AG1275">
        <v>0</v>
      </c>
      <c r="AH1275">
        <v>0</v>
      </c>
      <c r="AI1275">
        <v>0</v>
      </c>
      <c r="AJ1275">
        <v>0</v>
      </c>
      <c r="AK1275">
        <v>1</v>
      </c>
      <c r="AL1275">
        <v>0</v>
      </c>
      <c r="AM1275">
        <v>0</v>
      </c>
      <c r="AN1275">
        <v>154</v>
      </c>
      <c r="AO1275">
        <v>122</v>
      </c>
      <c r="AP1275">
        <f>ifood_data[[#This Row],[MntTotal]]-ifood_data[[#This Row],[MntRegularProds]]</f>
        <v>32</v>
      </c>
      <c r="AQ1275">
        <v>0</v>
      </c>
      <c r="AR1275">
        <f>IF(SUM(ifood_data[[#This Row],[Kidhome]:[Teenhome]])&gt;0,1,0)</f>
        <v>1</v>
      </c>
      <c r="AS1275" t="str">
        <f>IF(SUM(ifood_data[[#This Row],[Kidhome]:[Teenhome]])&gt;0,"Has Family","No Family")</f>
        <v>Has Family</v>
      </c>
      <c r="AT1275" t="str">
        <f>IF(ifood_data[[#This Row],[marital_Married]]=1,"Married", (IF(ifood_data[[#This Row],[marital_Single]]=1,"Single",(IF(ifood_data[[#This Row],[marital_Divorced]]=1,"Divorced",(IF(ifood_data[[#This Row],[marital_Together]]=1,"Living Together",(IF(ifood_data[[#This Row],[marital_Widow]]=1,"Widow","Other")))))))))</f>
        <v>Married</v>
      </c>
      <c r="AU1275" t="str">
        <f>IF(ifood_data[[#This Row],[education_Basic]]=1,"High School",(IF(ifood_data[[#This Row],[education_Graduation]]=1,"Undergraduate Degree",(IF(SUM(AM1275,AL1275,AI1275)&gt;0,"Master's Degree or Higher","Other")))))</f>
        <v>Undergraduate Degree</v>
      </c>
      <c r="AV1275" t="str">
        <f>IF(ifood_data[[#All],[Income]]&gt;75000,"75K+",(IF(ifood_data[[#All],[Income]]&gt;50000,"50K-75K",(IF(ifood_data[[#All],[Income]]&gt;35000,"35K-50K","&lt;35K")))))</f>
        <v>35K-50K</v>
      </c>
      <c r="AW1275" t="str">
        <f>IF(ifood_data[[#All],[Age]]&gt;60,"60+",(IF(ifood_data[[#All],[Age]]&gt;50,"50-60",(IF(ifood_data[[#All],[Age]]&gt;40,"40-50",(IF(ifood_data[[#All],[Age]]&gt;30,"30-40","&lt;30")))))))</f>
        <v>40-50</v>
      </c>
      <c r="AX1275">
        <f t="shared" si="76"/>
        <v>20</v>
      </c>
      <c r="AY1275">
        <f t="shared" si="77"/>
        <v>9</v>
      </c>
      <c r="AZ1275">
        <f t="shared" si="78"/>
        <v>4</v>
      </c>
      <c r="BA1275">
        <f t="shared" si="79"/>
        <v>3</v>
      </c>
      <c r="BB1275">
        <f>SUM(ifood_data[[#This Row],[Recency Score]:[Monetary Score]])</f>
        <v>16</v>
      </c>
      <c r="BC1275">
        <f>(_xlfn.PERCENTRANK.INC(ifood_data[[#All],[RFM]],ifood_data[[#This Row],[RFM]],1))*10</f>
        <v>5</v>
      </c>
      <c r="BD1275" t="str">
        <f>VLOOKUP(ifood_data[[#This Row],[RFM Score]],'RFM Analysis'!$A$3:$B$14,2,FALSE)</f>
        <v>Promising</v>
      </c>
      <c r="BE1275">
        <f>'Regression Models'!$B$101+'Regression Models'!$B$102*ifood_data[[#This Row],[Income]]+'Regression Models'!$B$103*ifood_data[[#This Row],[Age]]+'Regression Models'!$B$104*ifood_data[[#This Row],[Family]]</f>
        <v>326.10297292492373</v>
      </c>
      <c r="BF1275" t="str">
        <f>IF(ifood_data[[#This Row],[AcceptedCmpOverall]]=1,"Campaign Respondent","Non-respondent")</f>
        <v>Non-respondent</v>
      </c>
    </row>
    <row r="1276" spans="1:58" x14ac:dyDescent="0.35">
      <c r="A1276">
        <v>1262</v>
      </c>
      <c r="B1276">
        <v>43263</v>
      </c>
      <c r="C1276">
        <v>0</v>
      </c>
      <c r="D1276">
        <v>1</v>
      </c>
      <c r="E1276">
        <v>2</v>
      </c>
      <c r="F1276">
        <v>262</v>
      </c>
      <c r="G1276">
        <v>6</v>
      </c>
      <c r="H1276">
        <v>61</v>
      </c>
      <c r="I1276">
        <v>0</v>
      </c>
      <c r="J1276">
        <v>10</v>
      </c>
      <c r="K1276">
        <v>102</v>
      </c>
      <c r="L1276">
        <v>3</v>
      </c>
      <c r="M1276">
        <v>5</v>
      </c>
      <c r="N1276">
        <v>2</v>
      </c>
      <c r="O1276">
        <v>6</v>
      </c>
      <c r="P1276">
        <v>5</v>
      </c>
      <c r="Q1276">
        <v>0</v>
      </c>
      <c r="R1276">
        <v>0</v>
      </c>
      <c r="S1276">
        <v>0</v>
      </c>
      <c r="T1276">
        <v>0</v>
      </c>
      <c r="U1276">
        <v>0</v>
      </c>
      <c r="V1276">
        <f>IF(SUM(ifood_data[[#This Row],[AcceptedCmp1]:[AcceptedCmp5]])&gt;0,1,0)</f>
        <v>0</v>
      </c>
      <c r="W1276">
        <v>0</v>
      </c>
      <c r="X1276">
        <v>3</v>
      </c>
      <c r="Y1276">
        <v>11</v>
      </c>
      <c r="Z1276">
        <v>0</v>
      </c>
      <c r="AA1276">
        <v>43</v>
      </c>
      <c r="AB1276">
        <v>2744</v>
      </c>
      <c r="AC1276" s="28">
        <f>ifood_data[[#This Row],[Customer_Days]]/365</f>
        <v>7.5178082191780824</v>
      </c>
      <c r="AD1276">
        <v>0</v>
      </c>
      <c r="AE1276">
        <v>1</v>
      </c>
      <c r="AF1276">
        <v>0</v>
      </c>
      <c r="AG1276">
        <v>0</v>
      </c>
      <c r="AH1276">
        <v>0</v>
      </c>
      <c r="AI1276">
        <v>0</v>
      </c>
      <c r="AJ1276">
        <v>0</v>
      </c>
      <c r="AK1276">
        <v>0</v>
      </c>
      <c r="AL1276">
        <v>1</v>
      </c>
      <c r="AM1276">
        <v>0</v>
      </c>
      <c r="AN1276">
        <v>339</v>
      </c>
      <c r="AO1276">
        <v>237</v>
      </c>
      <c r="AP1276">
        <f>ifood_data[[#This Row],[MntTotal]]-ifood_data[[#This Row],[MntRegularProds]]</f>
        <v>102</v>
      </c>
      <c r="AQ1276">
        <v>0</v>
      </c>
      <c r="AR1276">
        <f>IF(SUM(ifood_data[[#This Row],[Kidhome]:[Teenhome]])&gt;0,1,0)</f>
        <v>1</v>
      </c>
      <c r="AS1276" t="str">
        <f>IF(SUM(ifood_data[[#This Row],[Kidhome]:[Teenhome]])&gt;0,"Has Family","No Family")</f>
        <v>Has Family</v>
      </c>
      <c r="AT1276" t="str">
        <f>IF(ifood_data[[#This Row],[marital_Married]]=1,"Married", (IF(ifood_data[[#This Row],[marital_Single]]=1,"Single",(IF(ifood_data[[#This Row],[marital_Divorced]]=1,"Divorced",(IF(ifood_data[[#This Row],[marital_Together]]=1,"Living Together",(IF(ifood_data[[#This Row],[marital_Widow]]=1,"Widow","Other")))))))))</f>
        <v>Married</v>
      </c>
      <c r="AU1276" t="str">
        <f>IF(ifood_data[[#This Row],[education_Basic]]=1,"High School",(IF(ifood_data[[#This Row],[education_Graduation]]=1,"Undergraduate Degree",(IF(SUM(AM1276,AL1276,AI1276)&gt;0,"Master's Degree or Higher","Other")))))</f>
        <v>Master's Degree or Higher</v>
      </c>
      <c r="AV1276" t="str">
        <f>IF(ifood_data[[#All],[Income]]&gt;75000,"75K+",(IF(ifood_data[[#All],[Income]]&gt;50000,"50K-75K",(IF(ifood_data[[#All],[Income]]&gt;35000,"35K-50K","&lt;35K")))))</f>
        <v>35K-50K</v>
      </c>
      <c r="AW1276" t="str">
        <f>IF(ifood_data[[#All],[Age]]&gt;60,"60+",(IF(ifood_data[[#All],[Age]]&gt;50,"50-60",(IF(ifood_data[[#All],[Age]]&gt;40,"40-50",(IF(ifood_data[[#All],[Age]]&gt;30,"30-40","&lt;30")))))))</f>
        <v>40-50</v>
      </c>
      <c r="AX1276">
        <f t="shared" si="76"/>
        <v>21</v>
      </c>
      <c r="AY1276">
        <f t="shared" si="77"/>
        <v>10</v>
      </c>
      <c r="AZ1276">
        <f t="shared" si="78"/>
        <v>5</v>
      </c>
      <c r="BA1276">
        <f t="shared" si="79"/>
        <v>4</v>
      </c>
      <c r="BB1276">
        <f>SUM(ifood_data[[#This Row],[Recency Score]:[Monetary Score]])</f>
        <v>19</v>
      </c>
      <c r="BC1276">
        <f>(_xlfn.PERCENTRANK.INC(ifood_data[[#All],[RFM]],ifood_data[[#This Row],[RFM]],1))*10</f>
        <v>7</v>
      </c>
      <c r="BD1276" t="str">
        <f>VLOOKUP(ifood_data[[#This Row],[RFM Score]],'RFM Analysis'!$A$3:$B$14,2,FALSE)</f>
        <v>Loyal Customer</v>
      </c>
      <c r="BE1276">
        <f>'Regression Models'!$B$101+'Regression Models'!$B$102*ifood_data[[#This Row],[Income]]+'Regression Models'!$B$103*ifood_data[[#This Row],[Age]]+'Regression Models'!$B$104*ifood_data[[#This Row],[Family]]</f>
        <v>325.68350846956218</v>
      </c>
      <c r="BF1276" t="str">
        <f>IF(ifood_data[[#This Row],[AcceptedCmpOverall]]=1,"Campaign Respondent","Non-respondent")</f>
        <v>Non-respondent</v>
      </c>
    </row>
    <row r="1277" spans="1:58" x14ac:dyDescent="0.35">
      <c r="A1277">
        <v>326</v>
      </c>
      <c r="B1277">
        <v>44300</v>
      </c>
      <c r="C1277">
        <v>1</v>
      </c>
      <c r="D1277">
        <v>1</v>
      </c>
      <c r="E1277">
        <v>65</v>
      </c>
      <c r="F1277">
        <v>30</v>
      </c>
      <c r="G1277">
        <v>0</v>
      </c>
      <c r="H1277">
        <v>9</v>
      </c>
      <c r="I1277">
        <v>0</v>
      </c>
      <c r="J1277">
        <v>0</v>
      </c>
      <c r="K1277">
        <v>3</v>
      </c>
      <c r="L1277">
        <v>2</v>
      </c>
      <c r="M1277">
        <v>1</v>
      </c>
      <c r="N1277">
        <v>0</v>
      </c>
      <c r="O1277">
        <v>3</v>
      </c>
      <c r="P1277">
        <v>6</v>
      </c>
      <c r="Q1277">
        <v>0</v>
      </c>
      <c r="R1277">
        <v>0</v>
      </c>
      <c r="S1277">
        <v>0</v>
      </c>
      <c r="T1277">
        <v>0</v>
      </c>
      <c r="U1277">
        <v>0</v>
      </c>
      <c r="V1277">
        <f>IF(SUM(ifood_data[[#This Row],[AcceptedCmp1]:[AcceptedCmp5]])&gt;0,1,0)</f>
        <v>0</v>
      </c>
      <c r="W1277">
        <v>0</v>
      </c>
      <c r="X1277">
        <v>3</v>
      </c>
      <c r="Y1277">
        <v>11</v>
      </c>
      <c r="Z1277">
        <v>0</v>
      </c>
      <c r="AA1277">
        <v>55</v>
      </c>
      <c r="AB1277">
        <v>2530</v>
      </c>
      <c r="AC1277" s="28">
        <f>ifood_data[[#This Row],[Customer_Days]]/365</f>
        <v>6.9315068493150687</v>
      </c>
      <c r="AD1277">
        <v>0</v>
      </c>
      <c r="AE1277">
        <v>1</v>
      </c>
      <c r="AF1277">
        <v>0</v>
      </c>
      <c r="AG1277">
        <v>0</v>
      </c>
      <c r="AH1277">
        <v>0</v>
      </c>
      <c r="AI1277">
        <v>0</v>
      </c>
      <c r="AJ1277">
        <v>0</v>
      </c>
      <c r="AK1277">
        <v>1</v>
      </c>
      <c r="AL1277">
        <v>0</v>
      </c>
      <c r="AM1277">
        <v>0</v>
      </c>
      <c r="AN1277">
        <v>39</v>
      </c>
      <c r="AO1277">
        <v>36</v>
      </c>
      <c r="AP1277">
        <f>ifood_data[[#This Row],[MntTotal]]-ifood_data[[#This Row],[MntRegularProds]]</f>
        <v>3</v>
      </c>
      <c r="AQ1277">
        <v>0</v>
      </c>
      <c r="AR1277">
        <f>IF(SUM(ifood_data[[#This Row],[Kidhome]:[Teenhome]])&gt;0,1,0)</f>
        <v>1</v>
      </c>
      <c r="AS1277" t="str">
        <f>IF(SUM(ifood_data[[#This Row],[Kidhome]:[Teenhome]])&gt;0,"Has Family","No Family")</f>
        <v>Has Family</v>
      </c>
      <c r="AT1277" t="str">
        <f>IF(ifood_data[[#This Row],[marital_Married]]=1,"Married", (IF(ifood_data[[#This Row],[marital_Single]]=1,"Single",(IF(ifood_data[[#This Row],[marital_Divorced]]=1,"Divorced",(IF(ifood_data[[#This Row],[marital_Together]]=1,"Living Together",(IF(ifood_data[[#This Row],[marital_Widow]]=1,"Widow","Other")))))))))</f>
        <v>Married</v>
      </c>
      <c r="AU1277" t="str">
        <f>IF(ifood_data[[#This Row],[education_Basic]]=1,"High School",(IF(ifood_data[[#This Row],[education_Graduation]]=1,"Undergraduate Degree",(IF(SUM(AM1277,AL1277,AI1277)&gt;0,"Master's Degree or Higher","Other")))))</f>
        <v>Undergraduate Degree</v>
      </c>
      <c r="AV1277" t="str">
        <f>IF(ifood_data[[#All],[Income]]&gt;75000,"75K+",(IF(ifood_data[[#All],[Income]]&gt;50000,"50K-75K",(IF(ifood_data[[#All],[Income]]&gt;35000,"35K-50K","&lt;35K")))))</f>
        <v>35K-50K</v>
      </c>
      <c r="AW1277" t="str">
        <f>IF(ifood_data[[#All],[Age]]&gt;60,"60+",(IF(ifood_data[[#All],[Age]]&gt;50,"50-60",(IF(ifood_data[[#All],[Age]]&gt;40,"40-50",(IF(ifood_data[[#All],[Age]]&gt;30,"30-40","&lt;30")))))))</f>
        <v>50-60</v>
      </c>
      <c r="AX1277">
        <f t="shared" si="76"/>
        <v>12</v>
      </c>
      <c r="AY1277">
        <f t="shared" si="77"/>
        <v>4</v>
      </c>
      <c r="AZ1277">
        <f t="shared" si="78"/>
        <v>1</v>
      </c>
      <c r="BA1277">
        <f t="shared" si="79"/>
        <v>1</v>
      </c>
      <c r="BB1277">
        <f>SUM(ifood_data[[#This Row],[Recency Score]:[Monetary Score]])</f>
        <v>6</v>
      </c>
      <c r="BC1277">
        <f>(_xlfn.PERCENTRANK.INC(ifood_data[[#All],[RFM]],ifood_data[[#This Row],[RFM]],1))*10</f>
        <v>0</v>
      </c>
      <c r="BD1277" t="str">
        <f>VLOOKUP(ifood_data[[#This Row],[RFM Score]],'RFM Analysis'!$A$3:$B$14,2,FALSE)</f>
        <v>Lost</v>
      </c>
      <c r="BE1277">
        <f>'Regression Models'!$B$101+'Regression Models'!$B$102*ifood_data[[#This Row],[Income]]+'Regression Models'!$B$103*ifood_data[[#This Row],[Age]]+'Regression Models'!$B$104*ifood_data[[#This Row],[Family]]</f>
        <v>324.789392088054</v>
      </c>
      <c r="BF1277" t="str">
        <f>IF(ifood_data[[#This Row],[AcceptedCmpOverall]]=1,"Campaign Respondent","Non-respondent")</f>
        <v>Non-respondent</v>
      </c>
    </row>
    <row r="1278" spans="1:58" x14ac:dyDescent="0.35">
      <c r="A1278">
        <v>280</v>
      </c>
      <c r="B1278">
        <v>42386</v>
      </c>
      <c r="C1278">
        <v>1</v>
      </c>
      <c r="D1278">
        <v>0</v>
      </c>
      <c r="E1278">
        <v>43</v>
      </c>
      <c r="F1278">
        <v>65</v>
      </c>
      <c r="G1278">
        <v>4</v>
      </c>
      <c r="H1278">
        <v>16</v>
      </c>
      <c r="I1278">
        <v>0</v>
      </c>
      <c r="J1278">
        <v>4</v>
      </c>
      <c r="K1278">
        <v>11</v>
      </c>
      <c r="L1278">
        <v>1</v>
      </c>
      <c r="M1278">
        <v>3</v>
      </c>
      <c r="N1278">
        <v>0</v>
      </c>
      <c r="O1278">
        <v>3</v>
      </c>
      <c r="P1278">
        <v>8</v>
      </c>
      <c r="Q1278">
        <v>0</v>
      </c>
      <c r="R1278">
        <v>0</v>
      </c>
      <c r="S1278">
        <v>0</v>
      </c>
      <c r="T1278">
        <v>0</v>
      </c>
      <c r="U1278">
        <v>0</v>
      </c>
      <c r="V1278">
        <f>IF(SUM(ifood_data[[#This Row],[AcceptedCmp1]:[AcceptedCmp5]])&gt;0,1,0)</f>
        <v>0</v>
      </c>
      <c r="W1278">
        <v>0</v>
      </c>
      <c r="X1278">
        <v>3</v>
      </c>
      <c r="Y1278">
        <v>11</v>
      </c>
      <c r="Z1278">
        <v>0</v>
      </c>
      <c r="AA1278">
        <v>34</v>
      </c>
      <c r="AB1278">
        <v>2691</v>
      </c>
      <c r="AC1278" s="28">
        <f>ifood_data[[#This Row],[Customer_Days]]/365</f>
        <v>7.3726027397260276</v>
      </c>
      <c r="AD1278">
        <v>0</v>
      </c>
      <c r="AE1278">
        <v>0</v>
      </c>
      <c r="AF1278">
        <v>0</v>
      </c>
      <c r="AG1278">
        <v>1</v>
      </c>
      <c r="AH1278">
        <v>0</v>
      </c>
      <c r="AI1278">
        <v>0</v>
      </c>
      <c r="AJ1278">
        <v>0</v>
      </c>
      <c r="AK1278">
        <v>0</v>
      </c>
      <c r="AL1278">
        <v>1</v>
      </c>
      <c r="AM1278">
        <v>0</v>
      </c>
      <c r="AN1278">
        <v>89</v>
      </c>
      <c r="AO1278">
        <v>78</v>
      </c>
      <c r="AP1278">
        <f>ifood_data[[#This Row],[MntTotal]]-ifood_data[[#This Row],[MntRegularProds]]</f>
        <v>11</v>
      </c>
      <c r="AQ1278">
        <v>0</v>
      </c>
      <c r="AR1278">
        <f>IF(SUM(ifood_data[[#This Row],[Kidhome]:[Teenhome]])&gt;0,1,0)</f>
        <v>1</v>
      </c>
      <c r="AS1278" t="str">
        <f>IF(SUM(ifood_data[[#This Row],[Kidhome]:[Teenhome]])&gt;0,"Has Family","No Family")</f>
        <v>Has Family</v>
      </c>
      <c r="AT1278" t="str">
        <f>IF(ifood_data[[#This Row],[marital_Married]]=1,"Married", (IF(ifood_data[[#This Row],[marital_Single]]=1,"Single",(IF(ifood_data[[#This Row],[marital_Divorced]]=1,"Divorced",(IF(ifood_data[[#This Row],[marital_Together]]=1,"Living Together",(IF(ifood_data[[#This Row],[marital_Widow]]=1,"Widow","Other")))))))))</f>
        <v>Living Together</v>
      </c>
      <c r="AU1278" t="str">
        <f>IF(ifood_data[[#This Row],[education_Basic]]=1,"High School",(IF(ifood_data[[#This Row],[education_Graduation]]=1,"Undergraduate Degree",(IF(SUM(AM1278,AL1278,AI1278)&gt;0,"Master's Degree or Higher","Other")))))</f>
        <v>Master's Degree or Higher</v>
      </c>
      <c r="AV1278" t="str">
        <f>IF(ifood_data[[#All],[Income]]&gt;75000,"75K+",(IF(ifood_data[[#All],[Income]]&gt;50000,"50K-75K",(IF(ifood_data[[#All],[Income]]&gt;35000,"35K-50K","&lt;35K")))))</f>
        <v>35K-50K</v>
      </c>
      <c r="AW1278" t="str">
        <f>IF(ifood_data[[#All],[Age]]&gt;60,"60+",(IF(ifood_data[[#All],[Age]]&gt;50,"50-60",(IF(ifood_data[[#All],[Age]]&gt;40,"40-50",(IF(ifood_data[[#All],[Age]]&gt;30,"30-40","&lt;30")))))))</f>
        <v>30-40</v>
      </c>
      <c r="AX1278">
        <f t="shared" si="76"/>
        <v>15</v>
      </c>
      <c r="AY1278">
        <f t="shared" si="77"/>
        <v>6</v>
      </c>
      <c r="AZ1278">
        <f t="shared" si="78"/>
        <v>2</v>
      </c>
      <c r="BA1278">
        <f t="shared" si="79"/>
        <v>3</v>
      </c>
      <c r="BB1278">
        <f>SUM(ifood_data[[#This Row],[Recency Score]:[Monetary Score]])</f>
        <v>11</v>
      </c>
      <c r="BC1278">
        <f>(_xlfn.PERCENTRANK.INC(ifood_data[[#All],[RFM]],ifood_data[[#This Row],[RFM]],1))*10</f>
        <v>2</v>
      </c>
      <c r="BD1278" t="str">
        <f>VLOOKUP(ifood_data[[#This Row],[RFM Score]],'RFM Analysis'!$A$3:$B$14,2,FALSE)</f>
        <v>At Risk</v>
      </c>
      <c r="BE1278">
        <f>'Regression Models'!$B$101+'Regression Models'!$B$102*ifood_data[[#This Row],[Income]]+'Regression Models'!$B$103*ifood_data[[#This Row],[Age]]+'Regression Models'!$B$104*ifood_data[[#This Row],[Family]]</f>
        <v>324.33051051741131</v>
      </c>
      <c r="BF1278" t="str">
        <f>IF(ifood_data[[#This Row],[AcceptedCmpOverall]]=1,"Campaign Respondent","Non-respondent")</f>
        <v>Non-respondent</v>
      </c>
    </row>
    <row r="1279" spans="1:58" x14ac:dyDescent="0.35">
      <c r="A1279">
        <v>381</v>
      </c>
      <c r="B1279">
        <v>30507</v>
      </c>
      <c r="C1279">
        <v>0</v>
      </c>
      <c r="D1279">
        <v>0</v>
      </c>
      <c r="E1279">
        <v>29</v>
      </c>
      <c r="F1279">
        <v>65</v>
      </c>
      <c r="G1279">
        <v>36</v>
      </c>
      <c r="H1279">
        <v>74</v>
      </c>
      <c r="I1279">
        <v>38</v>
      </c>
      <c r="J1279">
        <v>20</v>
      </c>
      <c r="K1279">
        <v>110</v>
      </c>
      <c r="L1279">
        <v>1</v>
      </c>
      <c r="M1279">
        <v>5</v>
      </c>
      <c r="N1279">
        <v>1</v>
      </c>
      <c r="O1279">
        <v>4</v>
      </c>
      <c r="P1279">
        <v>7</v>
      </c>
      <c r="Q1279">
        <v>0</v>
      </c>
      <c r="R1279">
        <v>0</v>
      </c>
      <c r="S1279">
        <v>0</v>
      </c>
      <c r="T1279">
        <v>0</v>
      </c>
      <c r="U1279">
        <v>0</v>
      </c>
      <c r="V1279">
        <f>IF(SUM(ifood_data[[#This Row],[AcceptedCmp1]:[AcceptedCmp5]])&gt;0,1,0)</f>
        <v>0</v>
      </c>
      <c r="W1279">
        <v>0</v>
      </c>
      <c r="X1279">
        <v>3</v>
      </c>
      <c r="Y1279">
        <v>11</v>
      </c>
      <c r="Z1279">
        <v>0</v>
      </c>
      <c r="AA1279">
        <v>60</v>
      </c>
      <c r="AB1279">
        <v>2634</v>
      </c>
      <c r="AC1279" s="28">
        <f>ifood_data[[#This Row],[Customer_Days]]/365</f>
        <v>7.2164383561643834</v>
      </c>
      <c r="AD1279">
        <v>0</v>
      </c>
      <c r="AE1279">
        <v>0</v>
      </c>
      <c r="AF1279">
        <v>0</v>
      </c>
      <c r="AG1279">
        <v>1</v>
      </c>
      <c r="AH1279">
        <v>0</v>
      </c>
      <c r="AI1279">
        <v>0</v>
      </c>
      <c r="AJ1279">
        <v>0</v>
      </c>
      <c r="AK1279">
        <v>1</v>
      </c>
      <c r="AL1279">
        <v>0</v>
      </c>
      <c r="AM1279">
        <v>0</v>
      </c>
      <c r="AN1279">
        <v>233</v>
      </c>
      <c r="AO1279">
        <v>123</v>
      </c>
      <c r="AP1279">
        <f>ifood_data[[#This Row],[MntTotal]]-ifood_data[[#This Row],[MntRegularProds]]</f>
        <v>110</v>
      </c>
      <c r="AQ1279">
        <v>0</v>
      </c>
      <c r="AR1279">
        <f>IF(SUM(ifood_data[[#This Row],[Kidhome]:[Teenhome]])&gt;0,1,0)</f>
        <v>0</v>
      </c>
      <c r="AS1279" t="str">
        <f>IF(SUM(ifood_data[[#This Row],[Kidhome]:[Teenhome]])&gt;0,"Has Family","No Family")</f>
        <v>No Family</v>
      </c>
      <c r="AT1279" t="str">
        <f>IF(ifood_data[[#This Row],[marital_Married]]=1,"Married", (IF(ifood_data[[#This Row],[marital_Single]]=1,"Single",(IF(ifood_data[[#This Row],[marital_Divorced]]=1,"Divorced",(IF(ifood_data[[#This Row],[marital_Together]]=1,"Living Together",(IF(ifood_data[[#This Row],[marital_Widow]]=1,"Widow","Other")))))))))</f>
        <v>Living Together</v>
      </c>
      <c r="AU1279" t="str">
        <f>IF(ifood_data[[#This Row],[education_Basic]]=1,"High School",(IF(ifood_data[[#This Row],[education_Graduation]]=1,"Undergraduate Degree",(IF(SUM(AM1279,AL1279,AI1279)&gt;0,"Master's Degree or Higher","Other")))))</f>
        <v>Undergraduate Degree</v>
      </c>
      <c r="AV1279" t="str">
        <f>IF(ifood_data[[#All],[Income]]&gt;75000,"75K+",(IF(ifood_data[[#All],[Income]]&gt;50000,"50K-75K",(IF(ifood_data[[#All],[Income]]&gt;35000,"35K-50K","&lt;35K")))))</f>
        <v>&lt;35K</v>
      </c>
      <c r="AW1279" t="str">
        <f>IF(ifood_data[[#All],[Age]]&gt;60,"60+",(IF(ifood_data[[#All],[Age]]&gt;50,"50-60",(IF(ifood_data[[#All],[Age]]&gt;40,"40-50",(IF(ifood_data[[#All],[Age]]&gt;30,"30-40","&lt;30")))))))</f>
        <v>50-60</v>
      </c>
      <c r="AX1279">
        <f t="shared" si="76"/>
        <v>18</v>
      </c>
      <c r="AY1279">
        <f t="shared" si="77"/>
        <v>8</v>
      </c>
      <c r="AZ1279">
        <f t="shared" si="78"/>
        <v>4</v>
      </c>
      <c r="BA1279">
        <f t="shared" si="79"/>
        <v>4</v>
      </c>
      <c r="BB1279">
        <f>SUM(ifood_data[[#This Row],[Recency Score]:[Monetary Score]])</f>
        <v>16</v>
      </c>
      <c r="BC1279">
        <f>(_xlfn.PERCENTRANK.INC(ifood_data[[#All],[RFM]],ifood_data[[#This Row],[RFM]],1))*10</f>
        <v>5</v>
      </c>
      <c r="BD1279" t="str">
        <f>VLOOKUP(ifood_data[[#This Row],[RFM Score]],'RFM Analysis'!$A$3:$B$14,2,FALSE)</f>
        <v>Promising</v>
      </c>
      <c r="BE1279">
        <f>'Regression Models'!$B$101+'Regression Models'!$B$102*ifood_data[[#This Row],[Income]]+'Regression Models'!$B$103*ifood_data[[#This Row],[Age]]+'Regression Models'!$B$104*ifood_data[[#This Row],[Family]]</f>
        <v>323.99854875780068</v>
      </c>
      <c r="BF1279" t="str">
        <f>IF(ifood_data[[#This Row],[AcceptedCmpOverall]]=1,"Campaign Respondent","Non-respondent")</f>
        <v>Non-respondent</v>
      </c>
    </row>
    <row r="1280" spans="1:58" x14ac:dyDescent="0.35">
      <c r="A1280">
        <v>1628</v>
      </c>
      <c r="B1280">
        <v>28973</v>
      </c>
      <c r="C1280">
        <v>0</v>
      </c>
      <c r="D1280">
        <v>0</v>
      </c>
      <c r="E1280">
        <v>59</v>
      </c>
      <c r="F1280">
        <v>206</v>
      </c>
      <c r="G1280">
        <v>0</v>
      </c>
      <c r="H1280">
        <v>46</v>
      </c>
      <c r="I1280">
        <v>3</v>
      </c>
      <c r="J1280">
        <v>2</v>
      </c>
      <c r="K1280">
        <v>12</v>
      </c>
      <c r="L1280">
        <v>2</v>
      </c>
      <c r="M1280">
        <v>5</v>
      </c>
      <c r="N1280">
        <v>1</v>
      </c>
      <c r="O1280">
        <v>5</v>
      </c>
      <c r="P1280">
        <v>8</v>
      </c>
      <c r="Q1280">
        <v>0</v>
      </c>
      <c r="R1280">
        <v>0</v>
      </c>
      <c r="S1280">
        <v>0</v>
      </c>
      <c r="T1280">
        <v>0</v>
      </c>
      <c r="U1280">
        <v>0</v>
      </c>
      <c r="V1280">
        <f>IF(SUM(ifood_data[[#This Row],[AcceptedCmp1]:[AcceptedCmp5]])&gt;0,1,0)</f>
        <v>0</v>
      </c>
      <c r="W1280">
        <v>0</v>
      </c>
      <c r="X1280">
        <v>3</v>
      </c>
      <c r="Y1280">
        <v>11</v>
      </c>
      <c r="Z1280">
        <v>0</v>
      </c>
      <c r="AA1280">
        <v>43</v>
      </c>
      <c r="AB1280">
        <v>2783</v>
      </c>
      <c r="AC1280" s="28">
        <f>ifood_data[[#This Row],[Customer_Days]]/365</f>
        <v>7.624657534246575</v>
      </c>
      <c r="AD1280">
        <v>0</v>
      </c>
      <c r="AE1280">
        <v>1</v>
      </c>
      <c r="AF1280">
        <v>0</v>
      </c>
      <c r="AG1280">
        <v>0</v>
      </c>
      <c r="AH1280">
        <v>0</v>
      </c>
      <c r="AI1280">
        <v>0</v>
      </c>
      <c r="AJ1280">
        <v>0</v>
      </c>
      <c r="AK1280">
        <v>0</v>
      </c>
      <c r="AL1280">
        <v>0</v>
      </c>
      <c r="AM1280">
        <v>1</v>
      </c>
      <c r="AN1280">
        <v>257</v>
      </c>
      <c r="AO1280">
        <v>245</v>
      </c>
      <c r="AP1280">
        <f>ifood_data[[#This Row],[MntTotal]]-ifood_data[[#This Row],[MntRegularProds]]</f>
        <v>12</v>
      </c>
      <c r="AQ1280">
        <v>0</v>
      </c>
      <c r="AR1280">
        <f>IF(SUM(ifood_data[[#This Row],[Kidhome]:[Teenhome]])&gt;0,1,0)</f>
        <v>0</v>
      </c>
      <c r="AS1280" t="str">
        <f>IF(SUM(ifood_data[[#This Row],[Kidhome]:[Teenhome]])&gt;0,"Has Family","No Family")</f>
        <v>No Family</v>
      </c>
      <c r="AT1280" t="str">
        <f>IF(ifood_data[[#This Row],[marital_Married]]=1,"Married", (IF(ifood_data[[#This Row],[marital_Single]]=1,"Single",(IF(ifood_data[[#This Row],[marital_Divorced]]=1,"Divorced",(IF(ifood_data[[#This Row],[marital_Together]]=1,"Living Together",(IF(ifood_data[[#This Row],[marital_Widow]]=1,"Widow","Other")))))))))</f>
        <v>Married</v>
      </c>
      <c r="AU1280" t="str">
        <f>IF(ifood_data[[#This Row],[education_Basic]]=1,"High School",(IF(ifood_data[[#This Row],[education_Graduation]]=1,"Undergraduate Degree",(IF(SUM(AM1280,AL1280,AI1280)&gt;0,"Master's Degree or Higher","Other")))))</f>
        <v>Master's Degree or Higher</v>
      </c>
      <c r="AV1280" t="str">
        <f>IF(ifood_data[[#All],[Income]]&gt;75000,"75K+",(IF(ifood_data[[#All],[Income]]&gt;50000,"50K-75K",(IF(ifood_data[[#All],[Income]]&gt;35000,"35K-50K","&lt;35K")))))</f>
        <v>&lt;35K</v>
      </c>
      <c r="AW1280" t="str">
        <f>IF(ifood_data[[#All],[Age]]&gt;60,"60+",(IF(ifood_data[[#All],[Age]]&gt;50,"50-60",(IF(ifood_data[[#All],[Age]]&gt;40,"40-50",(IF(ifood_data[[#All],[Age]]&gt;30,"30-40","&lt;30")))))))</f>
        <v>40-50</v>
      </c>
      <c r="AX1280">
        <f t="shared" si="76"/>
        <v>21</v>
      </c>
      <c r="AY1280">
        <f t="shared" si="77"/>
        <v>4</v>
      </c>
      <c r="AZ1280">
        <f t="shared" si="78"/>
        <v>5</v>
      </c>
      <c r="BA1280">
        <f t="shared" si="79"/>
        <v>4</v>
      </c>
      <c r="BB1280">
        <f>SUM(ifood_data[[#This Row],[Recency Score]:[Monetary Score]])</f>
        <v>13</v>
      </c>
      <c r="BC1280">
        <f>(_xlfn.PERCENTRANK.INC(ifood_data[[#All],[RFM]],ifood_data[[#This Row],[RFM]],1))*10</f>
        <v>3</v>
      </c>
      <c r="BD1280" t="str">
        <f>VLOOKUP(ifood_data[[#This Row],[RFM Score]],'RFM Analysis'!$A$3:$B$14,2,FALSE)</f>
        <v>At Risk</v>
      </c>
      <c r="BE1280">
        <f>'Regression Models'!$B$101+'Regression Models'!$B$102*ifood_data[[#This Row],[Income]]+'Regression Models'!$B$103*ifood_data[[#This Row],[Age]]+'Regression Models'!$B$104*ifood_data[[#This Row],[Family]]</f>
        <v>323.94164276626236</v>
      </c>
      <c r="BF1280" t="str">
        <f>IF(ifood_data[[#This Row],[AcceptedCmpOverall]]=1,"Campaign Respondent","Non-respondent")</f>
        <v>Non-respondent</v>
      </c>
    </row>
    <row r="1281" spans="1:58" x14ac:dyDescent="0.35">
      <c r="A1281">
        <v>1217</v>
      </c>
      <c r="B1281">
        <v>42997</v>
      </c>
      <c r="C1281">
        <v>1</v>
      </c>
      <c r="D1281">
        <v>1</v>
      </c>
      <c r="E1281">
        <v>91</v>
      </c>
      <c r="F1281">
        <v>4</v>
      </c>
      <c r="G1281">
        <v>0</v>
      </c>
      <c r="H1281">
        <v>5</v>
      </c>
      <c r="I1281">
        <v>0</v>
      </c>
      <c r="J1281">
        <v>1</v>
      </c>
      <c r="K1281">
        <v>5</v>
      </c>
      <c r="L1281">
        <v>1</v>
      </c>
      <c r="M1281">
        <v>1</v>
      </c>
      <c r="N1281">
        <v>0</v>
      </c>
      <c r="O1281">
        <v>2</v>
      </c>
      <c r="P1281">
        <v>7</v>
      </c>
      <c r="Q1281">
        <v>0</v>
      </c>
      <c r="R1281">
        <v>0</v>
      </c>
      <c r="S1281">
        <v>0</v>
      </c>
      <c r="T1281">
        <v>0</v>
      </c>
      <c r="U1281">
        <v>0</v>
      </c>
      <c r="V1281">
        <f>IF(SUM(ifood_data[[#This Row],[AcceptedCmp1]:[AcceptedCmp5]])&gt;0,1,0)</f>
        <v>0</v>
      </c>
      <c r="W1281">
        <v>0</v>
      </c>
      <c r="X1281">
        <v>3</v>
      </c>
      <c r="Y1281">
        <v>11</v>
      </c>
      <c r="Z1281">
        <v>0</v>
      </c>
      <c r="AA1281">
        <v>43</v>
      </c>
      <c r="AB1281">
        <v>2363</v>
      </c>
      <c r="AC1281" s="28">
        <f>ifood_data[[#This Row],[Customer_Days]]/365</f>
        <v>6.4739726027397264</v>
      </c>
      <c r="AD1281">
        <v>0</v>
      </c>
      <c r="AE1281">
        <v>0</v>
      </c>
      <c r="AF1281">
        <v>1</v>
      </c>
      <c r="AG1281">
        <v>0</v>
      </c>
      <c r="AH1281">
        <v>0</v>
      </c>
      <c r="AI1281">
        <v>0</v>
      </c>
      <c r="AJ1281">
        <v>0</v>
      </c>
      <c r="AK1281">
        <v>0</v>
      </c>
      <c r="AL1281">
        <v>0</v>
      </c>
      <c r="AM1281">
        <v>1</v>
      </c>
      <c r="AN1281">
        <v>10</v>
      </c>
      <c r="AO1281">
        <v>5</v>
      </c>
      <c r="AP1281">
        <f>ifood_data[[#This Row],[MntTotal]]-ifood_data[[#This Row],[MntRegularProds]]</f>
        <v>5</v>
      </c>
      <c r="AQ1281">
        <v>0</v>
      </c>
      <c r="AR1281">
        <f>IF(SUM(ifood_data[[#This Row],[Kidhome]:[Teenhome]])&gt;0,1,0)</f>
        <v>1</v>
      </c>
      <c r="AS1281" t="str">
        <f>IF(SUM(ifood_data[[#This Row],[Kidhome]:[Teenhome]])&gt;0,"Has Family","No Family")</f>
        <v>Has Family</v>
      </c>
      <c r="AT1281" t="str">
        <f>IF(ifood_data[[#This Row],[marital_Married]]=1,"Married", (IF(ifood_data[[#This Row],[marital_Single]]=1,"Single",(IF(ifood_data[[#This Row],[marital_Divorced]]=1,"Divorced",(IF(ifood_data[[#This Row],[marital_Together]]=1,"Living Together",(IF(ifood_data[[#This Row],[marital_Widow]]=1,"Widow","Other")))))))))</f>
        <v>Single</v>
      </c>
      <c r="AU1281" t="str">
        <f>IF(ifood_data[[#This Row],[education_Basic]]=1,"High School",(IF(ifood_data[[#This Row],[education_Graduation]]=1,"Undergraduate Degree",(IF(SUM(AM1281,AL1281,AI1281)&gt;0,"Master's Degree or Higher","Other")))))</f>
        <v>Master's Degree or Higher</v>
      </c>
      <c r="AV1281" t="str">
        <f>IF(ifood_data[[#All],[Income]]&gt;75000,"75K+",(IF(ifood_data[[#All],[Income]]&gt;50000,"50K-75K",(IF(ifood_data[[#All],[Income]]&gt;35000,"35K-50K","&lt;35K")))))</f>
        <v>35K-50K</v>
      </c>
      <c r="AW1281" t="str">
        <f>IF(ifood_data[[#All],[Age]]&gt;60,"60+",(IF(ifood_data[[#All],[Age]]&gt;50,"50-60",(IF(ifood_data[[#All],[Age]]&gt;40,"40-50",(IF(ifood_data[[#All],[Age]]&gt;30,"30-40","&lt;30")))))))</f>
        <v>40-50</v>
      </c>
      <c r="AX1281">
        <f t="shared" si="76"/>
        <v>11</v>
      </c>
      <c r="AY1281">
        <f t="shared" si="77"/>
        <v>0.99999999999999978</v>
      </c>
      <c r="AZ1281">
        <f t="shared" si="78"/>
        <v>0</v>
      </c>
      <c r="BA1281">
        <f t="shared" si="79"/>
        <v>0</v>
      </c>
      <c r="BB1281">
        <f>SUM(ifood_data[[#This Row],[Recency Score]:[Monetary Score]])</f>
        <v>0.99999999999999978</v>
      </c>
      <c r="BC1281">
        <f>(_xlfn.PERCENTRANK.INC(ifood_data[[#All],[RFM]],ifood_data[[#This Row],[RFM]],1))*10</f>
        <v>0</v>
      </c>
      <c r="BD1281" t="str">
        <f>VLOOKUP(ifood_data[[#This Row],[RFM Score]],'RFM Analysis'!$A$3:$B$14,2,FALSE)</f>
        <v>Lost</v>
      </c>
      <c r="BE1281">
        <f>'Regression Models'!$B$101+'Regression Models'!$B$102*ifood_data[[#This Row],[Income]]+'Regression Models'!$B$103*ifood_data[[#This Row],[Age]]+'Regression Models'!$B$104*ifood_data[[#This Row],[Family]]</f>
        <v>320.26009614328507</v>
      </c>
      <c r="BF1281" t="str">
        <f>IF(ifood_data[[#This Row],[AcceptedCmpOverall]]=1,"Campaign Respondent","Non-respondent")</f>
        <v>Non-respondent</v>
      </c>
    </row>
    <row r="1282" spans="1:58" x14ac:dyDescent="0.35">
      <c r="A1282">
        <v>364</v>
      </c>
      <c r="B1282">
        <v>43795</v>
      </c>
      <c r="C1282">
        <v>0</v>
      </c>
      <c r="D1282">
        <v>1</v>
      </c>
      <c r="E1282">
        <v>11</v>
      </c>
      <c r="F1282">
        <v>314</v>
      </c>
      <c r="G1282">
        <v>11</v>
      </c>
      <c r="H1282">
        <v>53</v>
      </c>
      <c r="I1282">
        <v>4</v>
      </c>
      <c r="J1282">
        <v>3</v>
      </c>
      <c r="K1282">
        <v>107</v>
      </c>
      <c r="L1282">
        <v>3</v>
      </c>
      <c r="M1282">
        <v>7</v>
      </c>
      <c r="N1282">
        <v>3</v>
      </c>
      <c r="O1282">
        <v>4</v>
      </c>
      <c r="P1282">
        <v>7</v>
      </c>
      <c r="Q1282">
        <v>0</v>
      </c>
      <c r="R1282">
        <v>0</v>
      </c>
      <c r="S1282">
        <v>0</v>
      </c>
      <c r="T1282">
        <v>1</v>
      </c>
      <c r="U1282">
        <v>0</v>
      </c>
      <c r="V1282">
        <f>IF(SUM(ifood_data[[#This Row],[AcceptedCmp1]:[AcceptedCmp5]])&gt;0,1,0)</f>
        <v>1</v>
      </c>
      <c r="W1282">
        <v>0</v>
      </c>
      <c r="X1282">
        <v>3</v>
      </c>
      <c r="Y1282">
        <v>11</v>
      </c>
      <c r="Z1282">
        <v>1</v>
      </c>
      <c r="AA1282">
        <v>52</v>
      </c>
      <c r="AB1282">
        <v>2415</v>
      </c>
      <c r="AC1282" s="28">
        <f>ifood_data[[#This Row],[Customer_Days]]/365</f>
        <v>6.6164383561643838</v>
      </c>
      <c r="AD1282">
        <v>0</v>
      </c>
      <c r="AE1282">
        <v>0</v>
      </c>
      <c r="AF1282">
        <v>0</v>
      </c>
      <c r="AG1282">
        <v>1</v>
      </c>
      <c r="AH1282">
        <v>0</v>
      </c>
      <c r="AI1282">
        <v>0</v>
      </c>
      <c r="AJ1282">
        <v>0</v>
      </c>
      <c r="AK1282">
        <v>0</v>
      </c>
      <c r="AL1282">
        <v>1</v>
      </c>
      <c r="AM1282">
        <v>0</v>
      </c>
      <c r="AN1282">
        <v>385</v>
      </c>
      <c r="AO1282">
        <v>278</v>
      </c>
      <c r="AP1282">
        <f>ifood_data[[#This Row],[MntTotal]]-ifood_data[[#This Row],[MntRegularProds]]</f>
        <v>107</v>
      </c>
      <c r="AQ1282">
        <v>1</v>
      </c>
      <c r="AR1282">
        <f>IF(SUM(ifood_data[[#This Row],[Kidhome]:[Teenhome]])&gt;0,1,0)</f>
        <v>1</v>
      </c>
      <c r="AS1282" t="str">
        <f>IF(SUM(ifood_data[[#This Row],[Kidhome]:[Teenhome]])&gt;0,"Has Family","No Family")</f>
        <v>Has Family</v>
      </c>
      <c r="AT1282" t="str">
        <f>IF(ifood_data[[#This Row],[marital_Married]]=1,"Married", (IF(ifood_data[[#This Row],[marital_Single]]=1,"Single",(IF(ifood_data[[#This Row],[marital_Divorced]]=1,"Divorced",(IF(ifood_data[[#This Row],[marital_Together]]=1,"Living Together",(IF(ifood_data[[#This Row],[marital_Widow]]=1,"Widow","Other")))))))))</f>
        <v>Living Together</v>
      </c>
      <c r="AU1282" t="str">
        <f>IF(ifood_data[[#This Row],[education_Basic]]=1,"High School",(IF(ifood_data[[#This Row],[education_Graduation]]=1,"Undergraduate Degree",(IF(SUM(AM1282,AL1282,AI1282)&gt;0,"Master's Degree or Higher","Other")))))</f>
        <v>Master's Degree or Higher</v>
      </c>
      <c r="AV1282" t="str">
        <f>IF(ifood_data[[#All],[Income]]&gt;75000,"75K+",(IF(ifood_data[[#All],[Income]]&gt;50000,"50K-75K",(IF(ifood_data[[#All],[Income]]&gt;35000,"35K-50K","&lt;35K")))))</f>
        <v>35K-50K</v>
      </c>
      <c r="AW1282" t="str">
        <f>IF(ifood_data[[#All],[Age]]&gt;60,"60+",(IF(ifood_data[[#All],[Age]]&gt;50,"50-60",(IF(ifood_data[[#All],[Age]]&gt;40,"40-50",(IF(ifood_data[[#All],[Age]]&gt;30,"30-40","&lt;30")))))))</f>
        <v>50-60</v>
      </c>
      <c r="AX1282">
        <f t="shared" ref="AX1282:AX1345" si="80">SUM(L1282:P1282)</f>
        <v>24</v>
      </c>
      <c r="AY1282">
        <f t="shared" ref="AY1282:AY1345" si="81">(1-_xlfn.PERCENTRANK.INC($E$2:$E$2022,E1282,1))*10</f>
        <v>9</v>
      </c>
      <c r="AZ1282">
        <f t="shared" ref="AZ1282:AZ1345" si="82">_xlfn.PERCENTRANK.INC($AX$2:$AX$2022,AX1282,1)*10</f>
        <v>6</v>
      </c>
      <c r="BA1282">
        <f t="shared" ref="BA1282:BA1345" si="83">_xlfn.PERCENTRANK.INC($AN$2:$AN$2022,AN1282,1)*10</f>
        <v>5</v>
      </c>
      <c r="BB1282">
        <f>SUM(ifood_data[[#This Row],[Recency Score]:[Monetary Score]])</f>
        <v>20</v>
      </c>
      <c r="BC1282">
        <f>(_xlfn.PERCENTRANK.INC(ifood_data[[#All],[RFM]],ifood_data[[#This Row],[RFM]],1))*10</f>
        <v>7</v>
      </c>
      <c r="BD1282" t="str">
        <f>VLOOKUP(ifood_data[[#This Row],[RFM Score]],'RFM Analysis'!$A$3:$B$14,2,FALSE)</f>
        <v>Loyal Customer</v>
      </c>
      <c r="BE1282">
        <f>'Regression Models'!$B$101+'Regression Models'!$B$102*ifood_data[[#This Row],[Income]]+'Regression Models'!$B$103*ifood_data[[#This Row],[Age]]+'Regression Models'!$B$104*ifood_data[[#This Row],[Family]]</f>
        <v>320.00238141206785</v>
      </c>
      <c r="BF1282" t="str">
        <f>IF(ifood_data[[#This Row],[AcceptedCmpOverall]]=1,"Campaign Respondent","Non-respondent")</f>
        <v>Campaign Respondent</v>
      </c>
    </row>
    <row r="1283" spans="1:58" x14ac:dyDescent="0.35">
      <c r="A1283">
        <v>1480</v>
      </c>
      <c r="B1283">
        <v>44512</v>
      </c>
      <c r="C1283">
        <v>1</v>
      </c>
      <c r="D1283">
        <v>1</v>
      </c>
      <c r="E1283">
        <v>57</v>
      </c>
      <c r="F1283">
        <v>23</v>
      </c>
      <c r="G1283">
        <v>1</v>
      </c>
      <c r="H1283">
        <v>6</v>
      </c>
      <c r="I1283">
        <v>0</v>
      </c>
      <c r="J1283">
        <v>0</v>
      </c>
      <c r="K1283">
        <v>2</v>
      </c>
      <c r="L1283">
        <v>2</v>
      </c>
      <c r="M1283">
        <v>1</v>
      </c>
      <c r="N1283">
        <v>0</v>
      </c>
      <c r="O1283">
        <v>3</v>
      </c>
      <c r="P1283">
        <v>4</v>
      </c>
      <c r="Q1283">
        <v>0</v>
      </c>
      <c r="R1283">
        <v>0</v>
      </c>
      <c r="S1283">
        <v>0</v>
      </c>
      <c r="T1283">
        <v>0</v>
      </c>
      <c r="U1283">
        <v>0</v>
      </c>
      <c r="V1283">
        <f>IF(SUM(ifood_data[[#This Row],[AcceptedCmp1]:[AcceptedCmp5]])&gt;0,1,0)</f>
        <v>0</v>
      </c>
      <c r="W1283">
        <v>0</v>
      </c>
      <c r="X1283">
        <v>3</v>
      </c>
      <c r="Y1283">
        <v>11</v>
      </c>
      <c r="Z1283">
        <v>0</v>
      </c>
      <c r="AA1283">
        <v>60</v>
      </c>
      <c r="AB1283">
        <v>2462</v>
      </c>
      <c r="AC1283" s="28">
        <f>ifood_data[[#This Row],[Customer_Days]]/365</f>
        <v>6.7452054794520544</v>
      </c>
      <c r="AD1283">
        <v>0</v>
      </c>
      <c r="AE1283">
        <v>0</v>
      </c>
      <c r="AF1283">
        <v>0</v>
      </c>
      <c r="AG1283">
        <v>1</v>
      </c>
      <c r="AH1283">
        <v>0</v>
      </c>
      <c r="AI1283">
        <v>0</v>
      </c>
      <c r="AJ1283">
        <v>0</v>
      </c>
      <c r="AK1283">
        <v>1</v>
      </c>
      <c r="AL1283">
        <v>0</v>
      </c>
      <c r="AM1283">
        <v>0</v>
      </c>
      <c r="AN1283">
        <v>30</v>
      </c>
      <c r="AO1283">
        <v>28</v>
      </c>
      <c r="AP1283">
        <f>ifood_data[[#This Row],[MntTotal]]-ifood_data[[#This Row],[MntRegularProds]]</f>
        <v>2</v>
      </c>
      <c r="AQ1283">
        <v>0</v>
      </c>
      <c r="AR1283">
        <f>IF(SUM(ifood_data[[#This Row],[Kidhome]:[Teenhome]])&gt;0,1,0)</f>
        <v>1</v>
      </c>
      <c r="AS1283" t="str">
        <f>IF(SUM(ifood_data[[#This Row],[Kidhome]:[Teenhome]])&gt;0,"Has Family","No Family")</f>
        <v>Has Family</v>
      </c>
      <c r="AT1283" t="str">
        <f>IF(ifood_data[[#This Row],[marital_Married]]=1,"Married", (IF(ifood_data[[#This Row],[marital_Single]]=1,"Single",(IF(ifood_data[[#This Row],[marital_Divorced]]=1,"Divorced",(IF(ifood_data[[#This Row],[marital_Together]]=1,"Living Together",(IF(ifood_data[[#This Row],[marital_Widow]]=1,"Widow","Other")))))))))</f>
        <v>Living Together</v>
      </c>
      <c r="AU1283" t="str">
        <f>IF(ifood_data[[#This Row],[education_Basic]]=1,"High School",(IF(ifood_data[[#This Row],[education_Graduation]]=1,"Undergraduate Degree",(IF(SUM(AM1283,AL1283,AI1283)&gt;0,"Master's Degree or Higher","Other")))))</f>
        <v>Undergraduate Degree</v>
      </c>
      <c r="AV1283" t="str">
        <f>IF(ifood_data[[#All],[Income]]&gt;75000,"75K+",(IF(ifood_data[[#All],[Income]]&gt;50000,"50K-75K",(IF(ifood_data[[#All],[Income]]&gt;35000,"35K-50K","&lt;35K")))))</f>
        <v>35K-50K</v>
      </c>
      <c r="AW1283" t="str">
        <f>IF(ifood_data[[#All],[Age]]&gt;60,"60+",(IF(ifood_data[[#All],[Age]]&gt;50,"50-60",(IF(ifood_data[[#All],[Age]]&gt;40,"40-50",(IF(ifood_data[[#All],[Age]]&gt;30,"30-40","&lt;30")))))))</f>
        <v>50-60</v>
      </c>
      <c r="AX1283">
        <f t="shared" si="80"/>
        <v>10</v>
      </c>
      <c r="AY1283">
        <f t="shared" si="81"/>
        <v>5</v>
      </c>
      <c r="AZ1283">
        <f t="shared" si="82"/>
        <v>0</v>
      </c>
      <c r="BA1283">
        <f t="shared" si="83"/>
        <v>1</v>
      </c>
      <c r="BB1283">
        <f>SUM(ifood_data[[#This Row],[Recency Score]:[Monetary Score]])</f>
        <v>6</v>
      </c>
      <c r="BC1283">
        <f>(_xlfn.PERCENTRANK.INC(ifood_data[[#All],[RFM]],ifood_data[[#This Row],[RFM]],1))*10</f>
        <v>0</v>
      </c>
      <c r="BD1283" t="str">
        <f>VLOOKUP(ifood_data[[#This Row],[RFM Score]],'RFM Analysis'!$A$3:$B$14,2,FALSE)</f>
        <v>Lost</v>
      </c>
      <c r="BE1283">
        <f>'Regression Models'!$B$101+'Regression Models'!$B$102*ifood_data[[#This Row],[Income]]+'Regression Models'!$B$103*ifood_data[[#This Row],[Age]]+'Regression Models'!$B$104*ifood_data[[#This Row],[Family]]</f>
        <v>319.92961554008923</v>
      </c>
      <c r="BF1283" t="str">
        <f>IF(ifood_data[[#This Row],[AcceptedCmpOverall]]=1,"Campaign Respondent","Non-respondent")</f>
        <v>Non-respondent</v>
      </c>
    </row>
    <row r="1284" spans="1:58" x14ac:dyDescent="0.35">
      <c r="A1284">
        <v>1193</v>
      </c>
      <c r="B1284">
        <v>45579</v>
      </c>
      <c r="C1284">
        <v>0</v>
      </c>
      <c r="D1284">
        <v>1</v>
      </c>
      <c r="E1284">
        <v>10</v>
      </c>
      <c r="F1284">
        <v>145</v>
      </c>
      <c r="G1284">
        <v>1</v>
      </c>
      <c r="H1284">
        <v>33</v>
      </c>
      <c r="I1284">
        <v>2</v>
      </c>
      <c r="J1284">
        <v>1</v>
      </c>
      <c r="K1284">
        <v>1</v>
      </c>
      <c r="L1284">
        <v>1</v>
      </c>
      <c r="M1284">
        <v>4</v>
      </c>
      <c r="N1284">
        <v>1</v>
      </c>
      <c r="O1284">
        <v>4</v>
      </c>
      <c r="P1284">
        <v>6</v>
      </c>
      <c r="Q1284">
        <v>0</v>
      </c>
      <c r="R1284">
        <v>0</v>
      </c>
      <c r="S1284">
        <v>0</v>
      </c>
      <c r="T1284">
        <v>0</v>
      </c>
      <c r="U1284">
        <v>0</v>
      </c>
      <c r="V1284">
        <f>IF(SUM(ifood_data[[#This Row],[AcceptedCmp1]:[AcceptedCmp5]])&gt;0,1,0)</f>
        <v>0</v>
      </c>
      <c r="W1284">
        <v>0</v>
      </c>
      <c r="X1284">
        <v>3</v>
      </c>
      <c r="Y1284">
        <v>11</v>
      </c>
      <c r="Z1284">
        <v>0</v>
      </c>
      <c r="AA1284">
        <v>72</v>
      </c>
      <c r="AB1284">
        <v>2472</v>
      </c>
      <c r="AC1284" s="28">
        <f>ifood_data[[#This Row],[Customer_Days]]/365</f>
        <v>6.7726027397260271</v>
      </c>
      <c r="AD1284">
        <v>0</v>
      </c>
      <c r="AE1284">
        <v>1</v>
      </c>
      <c r="AF1284">
        <v>0</v>
      </c>
      <c r="AG1284">
        <v>0</v>
      </c>
      <c r="AH1284">
        <v>0</v>
      </c>
      <c r="AI1284">
        <v>0</v>
      </c>
      <c r="AJ1284">
        <v>0</v>
      </c>
      <c r="AK1284">
        <v>0</v>
      </c>
      <c r="AL1284">
        <v>0</v>
      </c>
      <c r="AM1284">
        <v>1</v>
      </c>
      <c r="AN1284">
        <v>182</v>
      </c>
      <c r="AO1284">
        <v>181</v>
      </c>
      <c r="AP1284">
        <f>ifood_data[[#This Row],[MntTotal]]-ifood_data[[#This Row],[MntRegularProds]]</f>
        <v>1</v>
      </c>
      <c r="AQ1284">
        <v>0</v>
      </c>
      <c r="AR1284">
        <f>IF(SUM(ifood_data[[#This Row],[Kidhome]:[Teenhome]])&gt;0,1,0)</f>
        <v>1</v>
      </c>
      <c r="AS1284" t="str">
        <f>IF(SUM(ifood_data[[#This Row],[Kidhome]:[Teenhome]])&gt;0,"Has Family","No Family")</f>
        <v>Has Family</v>
      </c>
      <c r="AT1284" t="str">
        <f>IF(ifood_data[[#This Row],[marital_Married]]=1,"Married", (IF(ifood_data[[#This Row],[marital_Single]]=1,"Single",(IF(ifood_data[[#This Row],[marital_Divorced]]=1,"Divorced",(IF(ifood_data[[#This Row],[marital_Together]]=1,"Living Together",(IF(ifood_data[[#This Row],[marital_Widow]]=1,"Widow","Other")))))))))</f>
        <v>Married</v>
      </c>
      <c r="AU1284" t="str">
        <f>IF(ifood_data[[#This Row],[education_Basic]]=1,"High School",(IF(ifood_data[[#This Row],[education_Graduation]]=1,"Undergraduate Degree",(IF(SUM(AM1284,AL1284,AI1284)&gt;0,"Master's Degree or Higher","Other")))))</f>
        <v>Master's Degree or Higher</v>
      </c>
      <c r="AV1284" t="str">
        <f>IF(ifood_data[[#All],[Income]]&gt;75000,"75K+",(IF(ifood_data[[#All],[Income]]&gt;50000,"50K-75K",(IF(ifood_data[[#All],[Income]]&gt;35000,"35K-50K","&lt;35K")))))</f>
        <v>35K-50K</v>
      </c>
      <c r="AW1284" t="str">
        <f>IF(ifood_data[[#All],[Age]]&gt;60,"60+",(IF(ifood_data[[#All],[Age]]&gt;50,"50-60",(IF(ifood_data[[#All],[Age]]&gt;40,"40-50",(IF(ifood_data[[#All],[Age]]&gt;30,"30-40","&lt;30")))))))</f>
        <v>60+</v>
      </c>
      <c r="AX1284">
        <f t="shared" si="80"/>
        <v>16</v>
      </c>
      <c r="AY1284">
        <f t="shared" si="81"/>
        <v>9</v>
      </c>
      <c r="AZ1284">
        <f t="shared" si="82"/>
        <v>3</v>
      </c>
      <c r="BA1284">
        <f t="shared" si="83"/>
        <v>4</v>
      </c>
      <c r="BB1284">
        <f>SUM(ifood_data[[#This Row],[Recency Score]:[Monetary Score]])</f>
        <v>16</v>
      </c>
      <c r="BC1284">
        <f>(_xlfn.PERCENTRANK.INC(ifood_data[[#All],[RFM]],ifood_data[[#This Row],[RFM]],1))*10</f>
        <v>5</v>
      </c>
      <c r="BD1284" t="str">
        <f>VLOOKUP(ifood_data[[#This Row],[RFM Score]],'RFM Analysis'!$A$3:$B$14,2,FALSE)</f>
        <v>Promising</v>
      </c>
      <c r="BE1284">
        <f>'Regression Models'!$B$101+'Regression Models'!$B$102*ifood_data[[#This Row],[Income]]+'Regression Models'!$B$103*ifood_data[[#This Row],[Age]]+'Regression Models'!$B$104*ifood_data[[#This Row],[Family]]</f>
        <v>319.64716220289802</v>
      </c>
      <c r="BF1284" t="str">
        <f>IF(ifood_data[[#This Row],[AcceptedCmpOverall]]=1,"Campaign Respondent","Non-respondent")</f>
        <v>Non-respondent</v>
      </c>
    </row>
    <row r="1285" spans="1:58" x14ac:dyDescent="0.35">
      <c r="A1285">
        <v>1128</v>
      </c>
      <c r="B1285">
        <v>43641</v>
      </c>
      <c r="C1285">
        <v>1</v>
      </c>
      <c r="D1285">
        <v>1</v>
      </c>
      <c r="E1285">
        <v>50</v>
      </c>
      <c r="F1285">
        <v>57</v>
      </c>
      <c r="G1285">
        <v>2</v>
      </c>
      <c r="H1285">
        <v>51</v>
      </c>
      <c r="I1285">
        <v>4</v>
      </c>
      <c r="J1285">
        <v>2</v>
      </c>
      <c r="K1285">
        <v>23</v>
      </c>
      <c r="L1285">
        <v>3</v>
      </c>
      <c r="M1285">
        <v>2</v>
      </c>
      <c r="N1285">
        <v>1</v>
      </c>
      <c r="O1285">
        <v>4</v>
      </c>
      <c r="P1285">
        <v>6</v>
      </c>
      <c r="Q1285">
        <v>0</v>
      </c>
      <c r="R1285">
        <v>0</v>
      </c>
      <c r="S1285">
        <v>0</v>
      </c>
      <c r="T1285">
        <v>0</v>
      </c>
      <c r="U1285">
        <v>0</v>
      </c>
      <c r="V1285">
        <f>IF(SUM(ifood_data[[#This Row],[AcceptedCmp1]:[AcceptedCmp5]])&gt;0,1,0)</f>
        <v>0</v>
      </c>
      <c r="W1285">
        <v>0</v>
      </c>
      <c r="X1285">
        <v>3</v>
      </c>
      <c r="Y1285">
        <v>11</v>
      </c>
      <c r="Z1285">
        <v>0</v>
      </c>
      <c r="AA1285">
        <v>51</v>
      </c>
      <c r="AB1285">
        <v>2592</v>
      </c>
      <c r="AC1285" s="28">
        <f>ifood_data[[#This Row],[Customer_Days]]/365</f>
        <v>7.1013698630136988</v>
      </c>
      <c r="AD1285">
        <v>0</v>
      </c>
      <c r="AE1285">
        <v>1</v>
      </c>
      <c r="AF1285">
        <v>0</v>
      </c>
      <c r="AG1285">
        <v>0</v>
      </c>
      <c r="AH1285">
        <v>0</v>
      </c>
      <c r="AI1285">
        <v>0</v>
      </c>
      <c r="AJ1285">
        <v>0</v>
      </c>
      <c r="AK1285">
        <v>0</v>
      </c>
      <c r="AL1285">
        <v>1</v>
      </c>
      <c r="AM1285">
        <v>0</v>
      </c>
      <c r="AN1285">
        <v>116</v>
      </c>
      <c r="AO1285">
        <v>93</v>
      </c>
      <c r="AP1285">
        <f>ifood_data[[#This Row],[MntTotal]]-ifood_data[[#This Row],[MntRegularProds]]</f>
        <v>23</v>
      </c>
      <c r="AQ1285">
        <v>0</v>
      </c>
      <c r="AR1285">
        <f>IF(SUM(ifood_data[[#This Row],[Kidhome]:[Teenhome]])&gt;0,1,0)</f>
        <v>1</v>
      </c>
      <c r="AS1285" t="str">
        <f>IF(SUM(ifood_data[[#This Row],[Kidhome]:[Teenhome]])&gt;0,"Has Family","No Family")</f>
        <v>Has Family</v>
      </c>
      <c r="AT1285" t="str">
        <f>IF(ifood_data[[#This Row],[marital_Married]]=1,"Married", (IF(ifood_data[[#This Row],[marital_Single]]=1,"Single",(IF(ifood_data[[#This Row],[marital_Divorced]]=1,"Divorced",(IF(ifood_data[[#This Row],[marital_Together]]=1,"Living Together",(IF(ifood_data[[#This Row],[marital_Widow]]=1,"Widow","Other")))))))))</f>
        <v>Married</v>
      </c>
      <c r="AU1285" t="str">
        <f>IF(ifood_data[[#This Row],[education_Basic]]=1,"High School",(IF(ifood_data[[#This Row],[education_Graduation]]=1,"Undergraduate Degree",(IF(SUM(AM1285,AL1285,AI1285)&gt;0,"Master's Degree or Higher","Other")))))</f>
        <v>Master's Degree or Higher</v>
      </c>
      <c r="AV1285" t="str">
        <f>IF(ifood_data[[#All],[Income]]&gt;75000,"75K+",(IF(ifood_data[[#All],[Income]]&gt;50000,"50K-75K",(IF(ifood_data[[#All],[Income]]&gt;35000,"35K-50K","&lt;35K")))))</f>
        <v>35K-50K</v>
      </c>
      <c r="AW1285" t="str">
        <f>IF(ifood_data[[#All],[Age]]&gt;60,"60+",(IF(ifood_data[[#All],[Age]]&gt;50,"50-60",(IF(ifood_data[[#All],[Age]]&gt;40,"40-50",(IF(ifood_data[[#All],[Age]]&gt;30,"30-40","&lt;30")))))))</f>
        <v>50-60</v>
      </c>
      <c r="AX1285">
        <f t="shared" si="80"/>
        <v>16</v>
      </c>
      <c r="AY1285">
        <f t="shared" si="81"/>
        <v>5</v>
      </c>
      <c r="AZ1285">
        <f t="shared" si="82"/>
        <v>3</v>
      </c>
      <c r="BA1285">
        <f t="shared" si="83"/>
        <v>3</v>
      </c>
      <c r="BB1285">
        <f>SUM(ifood_data[[#This Row],[Recency Score]:[Monetary Score]])</f>
        <v>11</v>
      </c>
      <c r="BC1285">
        <f>(_xlfn.PERCENTRANK.INC(ifood_data[[#All],[RFM]],ifood_data[[#This Row],[RFM]],1))*10</f>
        <v>2</v>
      </c>
      <c r="BD1285" t="str">
        <f>VLOOKUP(ifood_data[[#This Row],[RFM Score]],'RFM Analysis'!$A$3:$B$14,2,FALSE)</f>
        <v>At Risk</v>
      </c>
      <c r="BE1285">
        <f>'Regression Models'!$B$101+'Regression Models'!$B$102*ifood_data[[#This Row],[Income]]+'Regression Models'!$B$103*ifood_data[[#This Row],[Age]]+'Regression Models'!$B$104*ifood_data[[#This Row],[Family]]</f>
        <v>318.69895019680177</v>
      </c>
      <c r="BF1285" t="str">
        <f>IF(ifood_data[[#This Row],[AcceptedCmpOverall]]=1,"Campaign Respondent","Non-respondent")</f>
        <v>Non-respondent</v>
      </c>
    </row>
    <row r="1286" spans="1:58" x14ac:dyDescent="0.35">
      <c r="A1286">
        <v>515</v>
      </c>
      <c r="B1286">
        <v>43638</v>
      </c>
      <c r="C1286">
        <v>0</v>
      </c>
      <c r="D1286">
        <v>1</v>
      </c>
      <c r="E1286">
        <v>37</v>
      </c>
      <c r="F1286">
        <v>63</v>
      </c>
      <c r="G1286">
        <v>10</v>
      </c>
      <c r="H1286">
        <v>83</v>
      </c>
      <c r="I1286">
        <v>7</v>
      </c>
      <c r="J1286">
        <v>19</v>
      </c>
      <c r="K1286">
        <v>19</v>
      </c>
      <c r="L1286">
        <v>2</v>
      </c>
      <c r="M1286">
        <v>4</v>
      </c>
      <c r="N1286">
        <v>1</v>
      </c>
      <c r="O1286">
        <v>4</v>
      </c>
      <c r="P1286">
        <v>7</v>
      </c>
      <c r="Q1286">
        <v>0</v>
      </c>
      <c r="R1286">
        <v>0</v>
      </c>
      <c r="S1286">
        <v>0</v>
      </c>
      <c r="T1286">
        <v>0</v>
      </c>
      <c r="U1286">
        <v>0</v>
      </c>
      <c r="V1286">
        <f>IF(SUM(ifood_data[[#This Row],[AcceptedCmp1]:[AcceptedCmp5]])&gt;0,1,0)</f>
        <v>0</v>
      </c>
      <c r="W1286">
        <v>0</v>
      </c>
      <c r="X1286">
        <v>3</v>
      </c>
      <c r="Y1286">
        <v>11</v>
      </c>
      <c r="Z1286">
        <v>0</v>
      </c>
      <c r="AA1286">
        <v>51</v>
      </c>
      <c r="AB1286">
        <v>2851</v>
      </c>
      <c r="AC1286" s="28">
        <f>ifood_data[[#This Row],[Customer_Days]]/365</f>
        <v>7.8109589041095893</v>
      </c>
      <c r="AD1286">
        <v>0</v>
      </c>
      <c r="AE1286">
        <v>0</v>
      </c>
      <c r="AF1286">
        <v>0</v>
      </c>
      <c r="AG1286">
        <v>0</v>
      </c>
      <c r="AH1286">
        <v>1</v>
      </c>
      <c r="AI1286">
        <v>0</v>
      </c>
      <c r="AJ1286">
        <v>0</v>
      </c>
      <c r="AK1286">
        <v>1</v>
      </c>
      <c r="AL1286">
        <v>0</v>
      </c>
      <c r="AM1286">
        <v>0</v>
      </c>
      <c r="AN1286">
        <v>182</v>
      </c>
      <c r="AO1286">
        <v>163</v>
      </c>
      <c r="AP1286">
        <f>ifood_data[[#This Row],[MntTotal]]-ifood_data[[#This Row],[MntRegularProds]]</f>
        <v>19</v>
      </c>
      <c r="AQ1286">
        <v>0</v>
      </c>
      <c r="AR1286">
        <f>IF(SUM(ifood_data[[#This Row],[Kidhome]:[Teenhome]])&gt;0,1,0)</f>
        <v>1</v>
      </c>
      <c r="AS1286" t="str">
        <f>IF(SUM(ifood_data[[#This Row],[Kidhome]:[Teenhome]])&gt;0,"Has Family","No Family")</f>
        <v>Has Family</v>
      </c>
      <c r="AT1286" t="str">
        <f>IF(ifood_data[[#This Row],[marital_Married]]=1,"Married", (IF(ifood_data[[#This Row],[marital_Single]]=1,"Single",(IF(ifood_data[[#This Row],[marital_Divorced]]=1,"Divorced",(IF(ifood_data[[#This Row],[marital_Together]]=1,"Living Together",(IF(ifood_data[[#This Row],[marital_Widow]]=1,"Widow","Other")))))))))</f>
        <v>Widow</v>
      </c>
      <c r="AU1286" t="str">
        <f>IF(ifood_data[[#This Row],[education_Basic]]=1,"High School",(IF(ifood_data[[#This Row],[education_Graduation]]=1,"Undergraduate Degree",(IF(SUM(AM1286,AL1286,AI1286)&gt;0,"Master's Degree or Higher","Other")))))</f>
        <v>Undergraduate Degree</v>
      </c>
      <c r="AV1286" t="str">
        <f>IF(ifood_data[[#All],[Income]]&gt;75000,"75K+",(IF(ifood_data[[#All],[Income]]&gt;50000,"50K-75K",(IF(ifood_data[[#All],[Income]]&gt;35000,"35K-50K","&lt;35K")))))</f>
        <v>35K-50K</v>
      </c>
      <c r="AW1286" t="str">
        <f>IF(ifood_data[[#All],[Age]]&gt;60,"60+",(IF(ifood_data[[#All],[Age]]&gt;50,"50-60",(IF(ifood_data[[#All],[Age]]&gt;40,"40-50",(IF(ifood_data[[#All],[Age]]&gt;30,"30-40","&lt;30")))))))</f>
        <v>50-60</v>
      </c>
      <c r="AX1286">
        <f t="shared" si="80"/>
        <v>18</v>
      </c>
      <c r="AY1286">
        <f t="shared" si="81"/>
        <v>7</v>
      </c>
      <c r="AZ1286">
        <f t="shared" si="82"/>
        <v>4</v>
      </c>
      <c r="BA1286">
        <f t="shared" si="83"/>
        <v>4</v>
      </c>
      <c r="BB1286">
        <f>SUM(ifood_data[[#This Row],[Recency Score]:[Monetary Score]])</f>
        <v>15</v>
      </c>
      <c r="BC1286">
        <f>(_xlfn.PERCENTRANK.INC(ifood_data[[#All],[RFM]],ifood_data[[#This Row],[RFM]],1))*10</f>
        <v>4</v>
      </c>
      <c r="BD1286" t="str">
        <f>VLOOKUP(ifood_data[[#This Row],[RFM Score]],'RFM Analysis'!$A$3:$B$14,2,FALSE)</f>
        <v>At Risk</v>
      </c>
      <c r="BE1286">
        <f>'Regression Models'!$B$101+'Regression Models'!$B$102*ifood_data[[#This Row],[Income]]+'Regression Models'!$B$103*ifood_data[[#This Row],[Age]]+'Regression Models'!$B$104*ifood_data[[#This Row],[Family]]</f>
        <v>318.63778389237007</v>
      </c>
      <c r="BF1286" t="str">
        <f>IF(ifood_data[[#This Row],[AcceptedCmpOverall]]=1,"Campaign Respondent","Non-respondent")</f>
        <v>Non-respondent</v>
      </c>
    </row>
    <row r="1287" spans="1:58" x14ac:dyDescent="0.35">
      <c r="A1287">
        <v>458</v>
      </c>
      <c r="B1287">
        <v>43057</v>
      </c>
      <c r="C1287">
        <v>0</v>
      </c>
      <c r="D1287">
        <v>1</v>
      </c>
      <c r="E1287">
        <v>30</v>
      </c>
      <c r="F1287">
        <v>213</v>
      </c>
      <c r="G1287">
        <v>2</v>
      </c>
      <c r="H1287">
        <v>44</v>
      </c>
      <c r="I1287">
        <v>0</v>
      </c>
      <c r="J1287">
        <v>2</v>
      </c>
      <c r="K1287">
        <v>5</v>
      </c>
      <c r="L1287">
        <v>4</v>
      </c>
      <c r="M1287">
        <v>4</v>
      </c>
      <c r="N1287">
        <v>2</v>
      </c>
      <c r="O1287">
        <v>5</v>
      </c>
      <c r="P1287">
        <v>5</v>
      </c>
      <c r="Q1287">
        <v>0</v>
      </c>
      <c r="R1287">
        <v>0</v>
      </c>
      <c r="S1287">
        <v>0</v>
      </c>
      <c r="T1287">
        <v>0</v>
      </c>
      <c r="U1287">
        <v>0</v>
      </c>
      <c r="V1287">
        <f>IF(SUM(ifood_data[[#This Row],[AcceptedCmp1]:[AcceptedCmp5]])&gt;0,1,0)</f>
        <v>0</v>
      </c>
      <c r="W1287">
        <v>0</v>
      </c>
      <c r="X1287">
        <v>3</v>
      </c>
      <c r="Y1287">
        <v>11</v>
      </c>
      <c r="Z1287">
        <v>0</v>
      </c>
      <c r="AA1287">
        <v>45</v>
      </c>
      <c r="AB1287">
        <v>2401</v>
      </c>
      <c r="AC1287" s="28">
        <f>ifood_data[[#This Row],[Customer_Days]]/365</f>
        <v>6.5780821917808217</v>
      </c>
      <c r="AD1287">
        <v>0</v>
      </c>
      <c r="AE1287">
        <v>1</v>
      </c>
      <c r="AF1287">
        <v>0</v>
      </c>
      <c r="AG1287">
        <v>0</v>
      </c>
      <c r="AH1287">
        <v>0</v>
      </c>
      <c r="AI1287">
        <v>0</v>
      </c>
      <c r="AJ1287">
        <v>0</v>
      </c>
      <c r="AK1287">
        <v>1</v>
      </c>
      <c r="AL1287">
        <v>0</v>
      </c>
      <c r="AM1287">
        <v>0</v>
      </c>
      <c r="AN1287">
        <v>261</v>
      </c>
      <c r="AO1287">
        <v>256</v>
      </c>
      <c r="AP1287">
        <f>ifood_data[[#This Row],[MntTotal]]-ifood_data[[#This Row],[MntRegularProds]]</f>
        <v>5</v>
      </c>
      <c r="AQ1287">
        <v>0</v>
      </c>
      <c r="AR1287">
        <f>IF(SUM(ifood_data[[#This Row],[Kidhome]:[Teenhome]])&gt;0,1,0)</f>
        <v>1</v>
      </c>
      <c r="AS1287" t="str">
        <f>IF(SUM(ifood_data[[#This Row],[Kidhome]:[Teenhome]])&gt;0,"Has Family","No Family")</f>
        <v>Has Family</v>
      </c>
      <c r="AT1287" t="str">
        <f>IF(ifood_data[[#This Row],[marital_Married]]=1,"Married", (IF(ifood_data[[#This Row],[marital_Single]]=1,"Single",(IF(ifood_data[[#This Row],[marital_Divorced]]=1,"Divorced",(IF(ifood_data[[#This Row],[marital_Together]]=1,"Living Together",(IF(ifood_data[[#This Row],[marital_Widow]]=1,"Widow","Other")))))))))</f>
        <v>Married</v>
      </c>
      <c r="AU1287" t="str">
        <f>IF(ifood_data[[#This Row],[education_Basic]]=1,"High School",(IF(ifood_data[[#This Row],[education_Graduation]]=1,"Undergraduate Degree",(IF(SUM(AM1287,AL1287,AI1287)&gt;0,"Master's Degree or Higher","Other")))))</f>
        <v>Undergraduate Degree</v>
      </c>
      <c r="AV1287" t="str">
        <f>IF(ifood_data[[#All],[Income]]&gt;75000,"75K+",(IF(ifood_data[[#All],[Income]]&gt;50000,"50K-75K",(IF(ifood_data[[#All],[Income]]&gt;35000,"35K-50K","&lt;35K")))))</f>
        <v>35K-50K</v>
      </c>
      <c r="AW1287" t="str">
        <f>IF(ifood_data[[#All],[Age]]&gt;60,"60+",(IF(ifood_data[[#All],[Age]]&gt;50,"50-60",(IF(ifood_data[[#All],[Age]]&gt;40,"40-50",(IF(ifood_data[[#All],[Age]]&gt;30,"30-40","&lt;30")))))))</f>
        <v>40-50</v>
      </c>
      <c r="AX1287">
        <f t="shared" si="80"/>
        <v>20</v>
      </c>
      <c r="AY1287">
        <f t="shared" si="81"/>
        <v>7</v>
      </c>
      <c r="AZ1287">
        <f t="shared" si="82"/>
        <v>4</v>
      </c>
      <c r="BA1287">
        <f t="shared" si="83"/>
        <v>4</v>
      </c>
      <c r="BB1287">
        <f>SUM(ifood_data[[#This Row],[Recency Score]:[Monetary Score]])</f>
        <v>15</v>
      </c>
      <c r="BC1287">
        <f>(_xlfn.PERCENTRANK.INC(ifood_data[[#All],[RFM]],ifood_data[[#This Row],[RFM]],1))*10</f>
        <v>4</v>
      </c>
      <c r="BD1287" t="str">
        <f>VLOOKUP(ifood_data[[#This Row],[RFM Score]],'RFM Analysis'!$A$3:$B$14,2,FALSE)</f>
        <v>At Risk</v>
      </c>
      <c r="BE1287">
        <f>'Regression Models'!$B$101+'Regression Models'!$B$102*ifood_data[[#This Row],[Income]]+'Regression Models'!$B$103*ifood_data[[#This Row],[Age]]+'Regression Models'!$B$104*ifood_data[[#This Row],[Family]]</f>
        <v>317.81054407413046</v>
      </c>
      <c r="BF1287" t="str">
        <f>IF(ifood_data[[#This Row],[AcceptedCmpOverall]]=1,"Campaign Respondent","Non-respondent")</f>
        <v>Non-respondent</v>
      </c>
    </row>
    <row r="1288" spans="1:58" x14ac:dyDescent="0.35">
      <c r="A1288">
        <v>133</v>
      </c>
      <c r="B1288">
        <v>41883</v>
      </c>
      <c r="C1288">
        <v>1</v>
      </c>
      <c r="D1288">
        <v>0</v>
      </c>
      <c r="E1288">
        <v>13</v>
      </c>
      <c r="F1288">
        <v>32</v>
      </c>
      <c r="G1288">
        <v>34</v>
      </c>
      <c r="H1288">
        <v>41</v>
      </c>
      <c r="I1288">
        <v>73</v>
      </c>
      <c r="J1288">
        <v>16</v>
      </c>
      <c r="K1288">
        <v>116</v>
      </c>
      <c r="L1288">
        <v>3</v>
      </c>
      <c r="M1288">
        <v>4</v>
      </c>
      <c r="N1288">
        <v>2</v>
      </c>
      <c r="O1288">
        <v>3</v>
      </c>
      <c r="P1288">
        <v>7</v>
      </c>
      <c r="Q1288">
        <v>0</v>
      </c>
      <c r="R1288">
        <v>0</v>
      </c>
      <c r="S1288">
        <v>0</v>
      </c>
      <c r="T1288">
        <v>0</v>
      </c>
      <c r="U1288">
        <v>0</v>
      </c>
      <c r="V1288">
        <f>IF(SUM(ifood_data[[#This Row],[AcceptedCmp1]:[AcceptedCmp5]])&gt;0,1,0)</f>
        <v>0</v>
      </c>
      <c r="W1288">
        <v>0</v>
      </c>
      <c r="X1288">
        <v>3</v>
      </c>
      <c r="Y1288">
        <v>11</v>
      </c>
      <c r="Z1288">
        <v>0</v>
      </c>
      <c r="AA1288">
        <v>32</v>
      </c>
      <c r="AB1288">
        <v>2626</v>
      </c>
      <c r="AC1288" s="28">
        <f>ifood_data[[#This Row],[Customer_Days]]/365</f>
        <v>7.1945205479452055</v>
      </c>
      <c r="AD1288">
        <v>0</v>
      </c>
      <c r="AE1288">
        <v>0</v>
      </c>
      <c r="AF1288">
        <v>0</v>
      </c>
      <c r="AG1288">
        <v>1</v>
      </c>
      <c r="AH1288">
        <v>0</v>
      </c>
      <c r="AI1288">
        <v>0</v>
      </c>
      <c r="AJ1288">
        <v>0</v>
      </c>
      <c r="AK1288">
        <v>1</v>
      </c>
      <c r="AL1288">
        <v>0</v>
      </c>
      <c r="AM1288">
        <v>0</v>
      </c>
      <c r="AN1288">
        <v>196</v>
      </c>
      <c r="AO1288">
        <v>80</v>
      </c>
      <c r="AP1288">
        <f>ifood_data[[#This Row],[MntTotal]]-ifood_data[[#This Row],[MntRegularProds]]</f>
        <v>116</v>
      </c>
      <c r="AQ1288">
        <v>0</v>
      </c>
      <c r="AR1288">
        <f>IF(SUM(ifood_data[[#This Row],[Kidhome]:[Teenhome]])&gt;0,1,0)</f>
        <v>1</v>
      </c>
      <c r="AS1288" t="str">
        <f>IF(SUM(ifood_data[[#This Row],[Kidhome]:[Teenhome]])&gt;0,"Has Family","No Family")</f>
        <v>Has Family</v>
      </c>
      <c r="AT1288" t="str">
        <f>IF(ifood_data[[#This Row],[marital_Married]]=1,"Married", (IF(ifood_data[[#This Row],[marital_Single]]=1,"Single",(IF(ifood_data[[#This Row],[marital_Divorced]]=1,"Divorced",(IF(ifood_data[[#This Row],[marital_Together]]=1,"Living Together",(IF(ifood_data[[#This Row],[marital_Widow]]=1,"Widow","Other")))))))))</f>
        <v>Living Together</v>
      </c>
      <c r="AU1288" t="str">
        <f>IF(ifood_data[[#This Row],[education_Basic]]=1,"High School",(IF(ifood_data[[#This Row],[education_Graduation]]=1,"Undergraduate Degree",(IF(SUM(AM1288,AL1288,AI1288)&gt;0,"Master's Degree or Higher","Other")))))</f>
        <v>Undergraduate Degree</v>
      </c>
      <c r="AV1288" t="str">
        <f>IF(ifood_data[[#All],[Income]]&gt;75000,"75K+",(IF(ifood_data[[#All],[Income]]&gt;50000,"50K-75K",(IF(ifood_data[[#All],[Income]]&gt;35000,"35K-50K","&lt;35K")))))</f>
        <v>35K-50K</v>
      </c>
      <c r="AW1288" t="str">
        <f>IF(ifood_data[[#All],[Age]]&gt;60,"60+",(IF(ifood_data[[#All],[Age]]&gt;50,"50-60",(IF(ifood_data[[#All],[Age]]&gt;40,"40-50",(IF(ifood_data[[#All],[Age]]&gt;30,"30-40","&lt;30")))))))</f>
        <v>30-40</v>
      </c>
      <c r="AX1288">
        <f t="shared" si="80"/>
        <v>19</v>
      </c>
      <c r="AY1288">
        <f t="shared" si="81"/>
        <v>9</v>
      </c>
      <c r="AZ1288">
        <f t="shared" si="82"/>
        <v>4</v>
      </c>
      <c r="BA1288">
        <f t="shared" si="83"/>
        <v>4</v>
      </c>
      <c r="BB1288">
        <f>SUM(ifood_data[[#This Row],[Recency Score]:[Monetary Score]])</f>
        <v>17</v>
      </c>
      <c r="BC1288">
        <f>(_xlfn.PERCENTRANK.INC(ifood_data[[#All],[RFM]],ifood_data[[#This Row],[RFM]],1))*10</f>
        <v>6</v>
      </c>
      <c r="BD1288" t="str">
        <f>VLOOKUP(ifood_data[[#This Row],[RFM Score]],'RFM Analysis'!$A$3:$B$14,2,FALSE)</f>
        <v>Promising</v>
      </c>
      <c r="BE1288">
        <f>'Regression Models'!$B$101+'Regression Models'!$B$102*ifood_data[[#This Row],[Income]]+'Regression Models'!$B$103*ifood_data[[#This Row],[Age]]+'Regression Models'!$B$104*ifood_data[[#This Row],[Family]]</f>
        <v>317.74783829881869</v>
      </c>
      <c r="BF1288" t="str">
        <f>IF(ifood_data[[#This Row],[AcceptedCmpOverall]]=1,"Campaign Respondent","Non-respondent")</f>
        <v>Non-respondent</v>
      </c>
    </row>
    <row r="1289" spans="1:58" x14ac:dyDescent="0.35">
      <c r="A1289">
        <v>433</v>
      </c>
      <c r="B1289">
        <v>42207</v>
      </c>
      <c r="C1289">
        <v>1</v>
      </c>
      <c r="D1289">
        <v>0</v>
      </c>
      <c r="E1289">
        <v>71</v>
      </c>
      <c r="F1289">
        <v>116</v>
      </c>
      <c r="G1289">
        <v>11</v>
      </c>
      <c r="H1289">
        <v>72</v>
      </c>
      <c r="I1289">
        <v>3</v>
      </c>
      <c r="J1289">
        <v>17</v>
      </c>
      <c r="K1289">
        <v>46</v>
      </c>
      <c r="L1289">
        <v>4</v>
      </c>
      <c r="M1289">
        <v>4</v>
      </c>
      <c r="N1289">
        <v>1</v>
      </c>
      <c r="O1289">
        <v>5</v>
      </c>
      <c r="P1289">
        <v>6</v>
      </c>
      <c r="Q1289">
        <v>0</v>
      </c>
      <c r="R1289">
        <v>0</v>
      </c>
      <c r="S1289">
        <v>1</v>
      </c>
      <c r="T1289">
        <v>0</v>
      </c>
      <c r="U1289">
        <v>0</v>
      </c>
      <c r="V1289">
        <f>IF(SUM(ifood_data[[#This Row],[AcceptedCmp1]:[AcceptedCmp5]])&gt;0,1,0)</f>
        <v>1</v>
      </c>
      <c r="W1289">
        <v>0</v>
      </c>
      <c r="X1289">
        <v>3</v>
      </c>
      <c r="Y1289">
        <v>11</v>
      </c>
      <c r="Z1289">
        <v>1</v>
      </c>
      <c r="AA1289">
        <v>36</v>
      </c>
      <c r="AB1289">
        <v>2613</v>
      </c>
      <c r="AC1289" s="28">
        <f>ifood_data[[#This Row],[Customer_Days]]/365</f>
        <v>7.1589041095890407</v>
      </c>
      <c r="AD1289">
        <v>0</v>
      </c>
      <c r="AE1289">
        <v>1</v>
      </c>
      <c r="AF1289">
        <v>0</v>
      </c>
      <c r="AG1289">
        <v>0</v>
      </c>
      <c r="AH1289">
        <v>0</v>
      </c>
      <c r="AI1289">
        <v>0</v>
      </c>
      <c r="AJ1289">
        <v>0</v>
      </c>
      <c r="AK1289">
        <v>0</v>
      </c>
      <c r="AL1289">
        <v>1</v>
      </c>
      <c r="AM1289">
        <v>0</v>
      </c>
      <c r="AN1289">
        <v>219</v>
      </c>
      <c r="AO1289">
        <v>173</v>
      </c>
      <c r="AP1289">
        <f>ifood_data[[#This Row],[MntTotal]]-ifood_data[[#This Row],[MntRegularProds]]</f>
        <v>46</v>
      </c>
      <c r="AQ1289">
        <v>1</v>
      </c>
      <c r="AR1289">
        <f>IF(SUM(ifood_data[[#This Row],[Kidhome]:[Teenhome]])&gt;0,1,0)</f>
        <v>1</v>
      </c>
      <c r="AS1289" t="str">
        <f>IF(SUM(ifood_data[[#This Row],[Kidhome]:[Teenhome]])&gt;0,"Has Family","No Family")</f>
        <v>Has Family</v>
      </c>
      <c r="AT1289" t="str">
        <f>IF(ifood_data[[#This Row],[marital_Married]]=1,"Married", (IF(ifood_data[[#This Row],[marital_Single]]=1,"Single",(IF(ifood_data[[#This Row],[marital_Divorced]]=1,"Divorced",(IF(ifood_data[[#This Row],[marital_Together]]=1,"Living Together",(IF(ifood_data[[#This Row],[marital_Widow]]=1,"Widow","Other")))))))))</f>
        <v>Married</v>
      </c>
      <c r="AU1289" t="str">
        <f>IF(ifood_data[[#This Row],[education_Basic]]=1,"High School",(IF(ifood_data[[#This Row],[education_Graduation]]=1,"Undergraduate Degree",(IF(SUM(AM1289,AL1289,AI1289)&gt;0,"Master's Degree or Higher","Other")))))</f>
        <v>Master's Degree or Higher</v>
      </c>
      <c r="AV1289" t="str">
        <f>IF(ifood_data[[#All],[Income]]&gt;75000,"75K+",(IF(ifood_data[[#All],[Income]]&gt;50000,"50K-75K",(IF(ifood_data[[#All],[Income]]&gt;35000,"35K-50K","&lt;35K")))))</f>
        <v>35K-50K</v>
      </c>
      <c r="AW1289" t="str">
        <f>IF(ifood_data[[#All],[Age]]&gt;60,"60+",(IF(ifood_data[[#All],[Age]]&gt;50,"50-60",(IF(ifood_data[[#All],[Age]]&gt;40,"40-50",(IF(ifood_data[[#All],[Age]]&gt;30,"30-40","&lt;30")))))))</f>
        <v>30-40</v>
      </c>
      <c r="AX1289">
        <f t="shared" si="80"/>
        <v>20</v>
      </c>
      <c r="AY1289">
        <f t="shared" si="81"/>
        <v>3.0000000000000004</v>
      </c>
      <c r="AZ1289">
        <f t="shared" si="82"/>
        <v>4</v>
      </c>
      <c r="BA1289">
        <f t="shared" si="83"/>
        <v>4</v>
      </c>
      <c r="BB1289">
        <f>SUM(ifood_data[[#This Row],[Recency Score]:[Monetary Score]])</f>
        <v>11</v>
      </c>
      <c r="BC1289">
        <f>(_xlfn.PERCENTRANK.INC(ifood_data[[#All],[RFM]],ifood_data[[#This Row],[RFM]],1))*10</f>
        <v>2</v>
      </c>
      <c r="BD1289" t="str">
        <f>VLOOKUP(ifood_data[[#This Row],[RFM Score]],'RFM Analysis'!$A$3:$B$14,2,FALSE)</f>
        <v>At Risk</v>
      </c>
      <c r="BE1289">
        <f>'Regression Models'!$B$101+'Regression Models'!$B$102*ifood_data[[#This Row],[Income]]+'Regression Models'!$B$103*ifood_data[[#This Row],[Age]]+'Regression Models'!$B$104*ifood_data[[#This Row],[Family]]</f>
        <v>317.00804286186485</v>
      </c>
      <c r="BF1289" t="str">
        <f>IF(ifood_data[[#This Row],[AcceptedCmpOverall]]=1,"Campaign Respondent","Non-respondent")</f>
        <v>Campaign Respondent</v>
      </c>
    </row>
    <row r="1290" spans="1:58" x14ac:dyDescent="0.35">
      <c r="A1290">
        <v>1330</v>
      </c>
      <c r="B1290">
        <v>43269</v>
      </c>
      <c r="C1290">
        <v>1</v>
      </c>
      <c r="D1290">
        <v>0</v>
      </c>
      <c r="E1290">
        <v>61</v>
      </c>
      <c r="F1290">
        <v>10</v>
      </c>
      <c r="G1290">
        <v>1</v>
      </c>
      <c r="H1290">
        <v>7</v>
      </c>
      <c r="I1290">
        <v>0</v>
      </c>
      <c r="J1290">
        <v>0</v>
      </c>
      <c r="K1290">
        <v>1</v>
      </c>
      <c r="L1290">
        <v>1</v>
      </c>
      <c r="M1290">
        <v>1</v>
      </c>
      <c r="N1290">
        <v>0</v>
      </c>
      <c r="O1290">
        <v>2</v>
      </c>
      <c r="P1290">
        <v>8</v>
      </c>
      <c r="Q1290">
        <v>0</v>
      </c>
      <c r="R1290">
        <v>0</v>
      </c>
      <c r="S1290">
        <v>0</v>
      </c>
      <c r="T1290">
        <v>0</v>
      </c>
      <c r="U1290">
        <v>0</v>
      </c>
      <c r="V1290">
        <f>IF(SUM(ifood_data[[#This Row],[AcceptedCmp1]:[AcceptedCmp5]])&gt;0,1,0)</f>
        <v>0</v>
      </c>
      <c r="W1290">
        <v>0</v>
      </c>
      <c r="X1290">
        <v>3</v>
      </c>
      <c r="Y1290">
        <v>11</v>
      </c>
      <c r="Z1290">
        <v>0</v>
      </c>
      <c r="AA1290">
        <v>48</v>
      </c>
      <c r="AB1290">
        <v>2445</v>
      </c>
      <c r="AC1290" s="28">
        <f>ifood_data[[#This Row],[Customer_Days]]/365</f>
        <v>6.6986301369863011</v>
      </c>
      <c r="AD1290">
        <v>0</v>
      </c>
      <c r="AE1290">
        <v>1</v>
      </c>
      <c r="AF1290">
        <v>0</v>
      </c>
      <c r="AG1290">
        <v>0</v>
      </c>
      <c r="AH1290">
        <v>0</v>
      </c>
      <c r="AI1290">
        <v>0</v>
      </c>
      <c r="AJ1290">
        <v>0</v>
      </c>
      <c r="AK1290">
        <v>0</v>
      </c>
      <c r="AL1290">
        <v>0</v>
      </c>
      <c r="AM1290">
        <v>1</v>
      </c>
      <c r="AN1290">
        <v>18</v>
      </c>
      <c r="AO1290">
        <v>17</v>
      </c>
      <c r="AP1290">
        <f>ifood_data[[#This Row],[MntTotal]]-ifood_data[[#This Row],[MntRegularProds]]</f>
        <v>1</v>
      </c>
      <c r="AQ1290">
        <v>0</v>
      </c>
      <c r="AR1290">
        <f>IF(SUM(ifood_data[[#This Row],[Kidhome]:[Teenhome]])&gt;0,1,0)</f>
        <v>1</v>
      </c>
      <c r="AS1290" t="str">
        <f>IF(SUM(ifood_data[[#This Row],[Kidhome]:[Teenhome]])&gt;0,"Has Family","No Family")</f>
        <v>Has Family</v>
      </c>
      <c r="AT1290" t="str">
        <f>IF(ifood_data[[#This Row],[marital_Married]]=1,"Married", (IF(ifood_data[[#This Row],[marital_Single]]=1,"Single",(IF(ifood_data[[#This Row],[marital_Divorced]]=1,"Divorced",(IF(ifood_data[[#This Row],[marital_Together]]=1,"Living Together",(IF(ifood_data[[#This Row],[marital_Widow]]=1,"Widow","Other")))))))))</f>
        <v>Married</v>
      </c>
      <c r="AU1290" t="str">
        <f>IF(ifood_data[[#This Row],[education_Basic]]=1,"High School",(IF(ifood_data[[#This Row],[education_Graduation]]=1,"Undergraduate Degree",(IF(SUM(AM1290,AL1290,AI1290)&gt;0,"Master's Degree or Higher","Other")))))</f>
        <v>Master's Degree or Higher</v>
      </c>
      <c r="AV1290" t="str">
        <f>IF(ifood_data[[#All],[Income]]&gt;75000,"75K+",(IF(ifood_data[[#All],[Income]]&gt;50000,"50K-75K",(IF(ifood_data[[#All],[Income]]&gt;35000,"35K-50K","&lt;35K")))))</f>
        <v>35K-50K</v>
      </c>
      <c r="AW1290" t="str">
        <f>IF(ifood_data[[#All],[Age]]&gt;60,"60+",(IF(ifood_data[[#All],[Age]]&gt;50,"50-60",(IF(ifood_data[[#All],[Age]]&gt;40,"40-50",(IF(ifood_data[[#All],[Age]]&gt;30,"30-40","&lt;30")))))))</f>
        <v>40-50</v>
      </c>
      <c r="AX1290">
        <f t="shared" si="80"/>
        <v>12</v>
      </c>
      <c r="AY1290">
        <f t="shared" si="81"/>
        <v>4</v>
      </c>
      <c r="AZ1290">
        <f t="shared" si="82"/>
        <v>1</v>
      </c>
      <c r="BA1290">
        <f t="shared" si="83"/>
        <v>0</v>
      </c>
      <c r="BB1290">
        <f>SUM(ifood_data[[#This Row],[Recency Score]:[Monetary Score]])</f>
        <v>5</v>
      </c>
      <c r="BC1290">
        <f>(_xlfn.PERCENTRANK.INC(ifood_data[[#All],[RFM]],ifood_data[[#This Row],[RFM]],1))*10</f>
        <v>0</v>
      </c>
      <c r="BD1290" t="str">
        <f>VLOOKUP(ifood_data[[#This Row],[RFM Score]],'RFM Analysis'!$A$3:$B$14,2,FALSE)</f>
        <v>Lost</v>
      </c>
      <c r="BE1290">
        <f>'Regression Models'!$B$101+'Regression Models'!$B$102*ifood_data[[#This Row],[Income]]+'Regression Models'!$B$103*ifood_data[[#This Row],[Age]]+'Regression Models'!$B$104*ifood_data[[#This Row],[Family]]</f>
        <v>316.62364568395412</v>
      </c>
      <c r="BF1290" t="str">
        <f>IF(ifood_data[[#This Row],[AcceptedCmpOverall]]=1,"Campaign Respondent","Non-respondent")</f>
        <v>Non-respondent</v>
      </c>
    </row>
    <row r="1291" spans="1:58" x14ac:dyDescent="0.35">
      <c r="A1291">
        <v>1070</v>
      </c>
      <c r="B1291">
        <v>42693</v>
      </c>
      <c r="C1291">
        <v>1</v>
      </c>
      <c r="D1291">
        <v>0</v>
      </c>
      <c r="E1291">
        <v>29</v>
      </c>
      <c r="F1291">
        <v>8</v>
      </c>
      <c r="G1291">
        <v>4</v>
      </c>
      <c r="H1291">
        <v>20</v>
      </c>
      <c r="I1291">
        <v>6</v>
      </c>
      <c r="J1291">
        <v>3</v>
      </c>
      <c r="K1291">
        <v>16</v>
      </c>
      <c r="L1291">
        <v>1</v>
      </c>
      <c r="M1291">
        <v>1</v>
      </c>
      <c r="N1291">
        <v>0</v>
      </c>
      <c r="O1291">
        <v>3</v>
      </c>
      <c r="P1291">
        <v>5</v>
      </c>
      <c r="Q1291">
        <v>0</v>
      </c>
      <c r="R1291">
        <v>0</v>
      </c>
      <c r="S1291">
        <v>0</v>
      </c>
      <c r="T1291">
        <v>0</v>
      </c>
      <c r="U1291">
        <v>0</v>
      </c>
      <c r="V1291">
        <f>IF(SUM(ifood_data[[#This Row],[AcceptedCmp1]:[AcceptedCmp5]])&gt;0,1,0)</f>
        <v>0</v>
      </c>
      <c r="W1291">
        <v>0</v>
      </c>
      <c r="X1291">
        <v>3</v>
      </c>
      <c r="Y1291">
        <v>11</v>
      </c>
      <c r="Z1291">
        <v>0</v>
      </c>
      <c r="AA1291">
        <v>42</v>
      </c>
      <c r="AB1291">
        <v>2181</v>
      </c>
      <c r="AC1291" s="28">
        <f>ifood_data[[#This Row],[Customer_Days]]/365</f>
        <v>5.9753424657534246</v>
      </c>
      <c r="AD1291">
        <v>0</v>
      </c>
      <c r="AE1291">
        <v>1</v>
      </c>
      <c r="AF1291">
        <v>0</v>
      </c>
      <c r="AG1291">
        <v>0</v>
      </c>
      <c r="AH1291">
        <v>0</v>
      </c>
      <c r="AI1291">
        <v>0</v>
      </c>
      <c r="AJ1291">
        <v>0</v>
      </c>
      <c r="AK1291">
        <v>1</v>
      </c>
      <c r="AL1291">
        <v>0</v>
      </c>
      <c r="AM1291">
        <v>0</v>
      </c>
      <c r="AN1291">
        <v>41</v>
      </c>
      <c r="AO1291">
        <v>25</v>
      </c>
      <c r="AP1291">
        <f>ifood_data[[#This Row],[MntTotal]]-ifood_data[[#This Row],[MntRegularProds]]</f>
        <v>16</v>
      </c>
      <c r="AQ1291">
        <v>0</v>
      </c>
      <c r="AR1291">
        <f>IF(SUM(ifood_data[[#This Row],[Kidhome]:[Teenhome]])&gt;0,1,0)</f>
        <v>1</v>
      </c>
      <c r="AS1291" t="str">
        <f>IF(SUM(ifood_data[[#This Row],[Kidhome]:[Teenhome]])&gt;0,"Has Family","No Family")</f>
        <v>Has Family</v>
      </c>
      <c r="AT1291" t="str">
        <f>IF(ifood_data[[#This Row],[marital_Married]]=1,"Married", (IF(ifood_data[[#This Row],[marital_Single]]=1,"Single",(IF(ifood_data[[#This Row],[marital_Divorced]]=1,"Divorced",(IF(ifood_data[[#This Row],[marital_Together]]=1,"Living Together",(IF(ifood_data[[#This Row],[marital_Widow]]=1,"Widow","Other")))))))))</f>
        <v>Married</v>
      </c>
      <c r="AU1291" t="str">
        <f>IF(ifood_data[[#This Row],[education_Basic]]=1,"High School",(IF(ifood_data[[#This Row],[education_Graduation]]=1,"Undergraduate Degree",(IF(SUM(AM1291,AL1291,AI1291)&gt;0,"Master's Degree or Higher","Other")))))</f>
        <v>Undergraduate Degree</v>
      </c>
      <c r="AV1291" t="str">
        <f>IF(ifood_data[[#All],[Income]]&gt;75000,"75K+",(IF(ifood_data[[#All],[Income]]&gt;50000,"50K-75K",(IF(ifood_data[[#All],[Income]]&gt;35000,"35K-50K","&lt;35K")))))</f>
        <v>35K-50K</v>
      </c>
      <c r="AW1291" t="str">
        <f>IF(ifood_data[[#All],[Age]]&gt;60,"60+",(IF(ifood_data[[#All],[Age]]&gt;50,"50-60",(IF(ifood_data[[#All],[Age]]&gt;40,"40-50",(IF(ifood_data[[#All],[Age]]&gt;30,"30-40","&lt;30")))))))</f>
        <v>40-50</v>
      </c>
      <c r="AX1291">
        <f t="shared" si="80"/>
        <v>10</v>
      </c>
      <c r="AY1291">
        <f t="shared" si="81"/>
        <v>8</v>
      </c>
      <c r="AZ1291">
        <f t="shared" si="82"/>
        <v>0</v>
      </c>
      <c r="BA1291">
        <f t="shared" si="83"/>
        <v>1</v>
      </c>
      <c r="BB1291">
        <f>SUM(ifood_data[[#This Row],[Recency Score]:[Monetary Score]])</f>
        <v>9</v>
      </c>
      <c r="BC1291">
        <f>(_xlfn.PERCENTRANK.INC(ifood_data[[#All],[RFM]],ifood_data[[#This Row],[RFM]],1))*10</f>
        <v>1</v>
      </c>
      <c r="BD1291" t="str">
        <f>VLOOKUP(ifood_data[[#This Row],[RFM Score]],'RFM Analysis'!$A$3:$B$14,2,FALSE)</f>
        <v>At Risk</v>
      </c>
      <c r="BE1291">
        <f>'Regression Models'!$B$101+'Regression Models'!$B$102*ifood_data[[#This Row],[Income]]+'Regression Models'!$B$103*ifood_data[[#This Row],[Age]]+'Regression Models'!$B$104*ifood_data[[#This Row],[Family]]</f>
        <v>315.89834970643403</v>
      </c>
      <c r="BF1291" t="str">
        <f>IF(ifood_data[[#This Row],[AcceptedCmpOverall]]=1,"Campaign Respondent","Non-respondent")</f>
        <v>Non-respondent</v>
      </c>
    </row>
    <row r="1292" spans="1:58" x14ac:dyDescent="0.35">
      <c r="A1292">
        <v>1355</v>
      </c>
      <c r="B1292">
        <v>43300</v>
      </c>
      <c r="C1292">
        <v>0</v>
      </c>
      <c r="D1292">
        <v>1</v>
      </c>
      <c r="E1292">
        <v>87</v>
      </c>
      <c r="F1292">
        <v>91</v>
      </c>
      <c r="G1292">
        <v>3</v>
      </c>
      <c r="H1292">
        <v>52</v>
      </c>
      <c r="I1292">
        <v>2</v>
      </c>
      <c r="J1292">
        <v>1</v>
      </c>
      <c r="K1292">
        <v>31</v>
      </c>
      <c r="L1292">
        <v>3</v>
      </c>
      <c r="M1292">
        <v>4</v>
      </c>
      <c r="N1292">
        <v>0</v>
      </c>
      <c r="O1292">
        <v>4</v>
      </c>
      <c r="P1292">
        <v>8</v>
      </c>
      <c r="Q1292">
        <v>0</v>
      </c>
      <c r="R1292">
        <v>0</v>
      </c>
      <c r="S1292">
        <v>0</v>
      </c>
      <c r="T1292">
        <v>0</v>
      </c>
      <c r="U1292">
        <v>0</v>
      </c>
      <c r="V1292">
        <f>IF(SUM(ifood_data[[#This Row],[AcceptedCmp1]:[AcceptedCmp5]])&gt;0,1,0)</f>
        <v>0</v>
      </c>
      <c r="W1292">
        <v>0</v>
      </c>
      <c r="X1292">
        <v>3</v>
      </c>
      <c r="Y1292">
        <v>11</v>
      </c>
      <c r="Z1292">
        <v>1</v>
      </c>
      <c r="AA1292">
        <v>49</v>
      </c>
      <c r="AB1292">
        <v>2783</v>
      </c>
      <c r="AC1292" s="28">
        <f>ifood_data[[#This Row],[Customer_Days]]/365</f>
        <v>7.624657534246575</v>
      </c>
      <c r="AD1292">
        <v>1</v>
      </c>
      <c r="AE1292">
        <v>0</v>
      </c>
      <c r="AF1292">
        <v>0</v>
      </c>
      <c r="AG1292">
        <v>0</v>
      </c>
      <c r="AH1292">
        <v>0</v>
      </c>
      <c r="AI1292">
        <v>0</v>
      </c>
      <c r="AJ1292">
        <v>0</v>
      </c>
      <c r="AK1292">
        <v>1</v>
      </c>
      <c r="AL1292">
        <v>0</v>
      </c>
      <c r="AM1292">
        <v>0</v>
      </c>
      <c r="AN1292">
        <v>149</v>
      </c>
      <c r="AO1292">
        <v>118</v>
      </c>
      <c r="AP1292">
        <f>ifood_data[[#This Row],[MntTotal]]-ifood_data[[#This Row],[MntRegularProds]]</f>
        <v>31</v>
      </c>
      <c r="AQ1292">
        <v>0</v>
      </c>
      <c r="AR1292">
        <f>IF(SUM(ifood_data[[#This Row],[Kidhome]:[Teenhome]])&gt;0,1,0)</f>
        <v>1</v>
      </c>
      <c r="AS1292" t="str">
        <f>IF(SUM(ifood_data[[#This Row],[Kidhome]:[Teenhome]])&gt;0,"Has Family","No Family")</f>
        <v>Has Family</v>
      </c>
      <c r="AT1292" t="str">
        <f>IF(ifood_data[[#This Row],[marital_Married]]=1,"Married", (IF(ifood_data[[#This Row],[marital_Single]]=1,"Single",(IF(ifood_data[[#This Row],[marital_Divorced]]=1,"Divorced",(IF(ifood_data[[#This Row],[marital_Together]]=1,"Living Together",(IF(ifood_data[[#This Row],[marital_Widow]]=1,"Widow","Other")))))))))</f>
        <v>Divorced</v>
      </c>
      <c r="AU1292" t="str">
        <f>IF(ifood_data[[#This Row],[education_Basic]]=1,"High School",(IF(ifood_data[[#This Row],[education_Graduation]]=1,"Undergraduate Degree",(IF(SUM(AM1292,AL1292,AI1292)&gt;0,"Master's Degree or Higher","Other")))))</f>
        <v>Undergraduate Degree</v>
      </c>
      <c r="AV1292" t="str">
        <f>IF(ifood_data[[#All],[Income]]&gt;75000,"75K+",(IF(ifood_data[[#All],[Income]]&gt;50000,"50K-75K",(IF(ifood_data[[#All],[Income]]&gt;35000,"35K-50K","&lt;35K")))))</f>
        <v>35K-50K</v>
      </c>
      <c r="AW1292" t="str">
        <f>IF(ifood_data[[#All],[Age]]&gt;60,"60+",(IF(ifood_data[[#All],[Age]]&gt;50,"50-60",(IF(ifood_data[[#All],[Age]]&gt;40,"40-50",(IF(ifood_data[[#All],[Age]]&gt;30,"30-40","&lt;30")))))))</f>
        <v>40-50</v>
      </c>
      <c r="AX1292">
        <f t="shared" si="80"/>
        <v>19</v>
      </c>
      <c r="AY1292">
        <f t="shared" si="81"/>
        <v>1.9999999999999996</v>
      </c>
      <c r="AZ1292">
        <f t="shared" si="82"/>
        <v>4</v>
      </c>
      <c r="BA1292">
        <f t="shared" si="83"/>
        <v>3</v>
      </c>
      <c r="BB1292">
        <f>SUM(ifood_data[[#This Row],[Recency Score]:[Monetary Score]])</f>
        <v>9</v>
      </c>
      <c r="BC1292">
        <f>(_xlfn.PERCENTRANK.INC(ifood_data[[#All],[RFM]],ifood_data[[#This Row],[RFM]],1))*10</f>
        <v>1</v>
      </c>
      <c r="BD1292" t="str">
        <f>VLOOKUP(ifood_data[[#This Row],[RFM Score]],'RFM Analysis'!$A$3:$B$14,2,FALSE)</f>
        <v>At Risk</v>
      </c>
      <c r="BE1292">
        <f>'Regression Models'!$B$101+'Regression Models'!$B$102*ifood_data[[#This Row],[Income]]+'Regression Models'!$B$103*ifood_data[[#This Row],[Age]]+'Regression Models'!$B$104*ifood_data[[#This Row],[Family]]</f>
        <v>315.41925841752072</v>
      </c>
      <c r="BF1292" t="str">
        <f>IF(ifood_data[[#This Row],[AcceptedCmpOverall]]=1,"Campaign Respondent","Non-respondent")</f>
        <v>Non-respondent</v>
      </c>
    </row>
    <row r="1293" spans="1:58" x14ac:dyDescent="0.35">
      <c r="A1293">
        <v>827</v>
      </c>
      <c r="B1293">
        <v>42395</v>
      </c>
      <c r="C1293">
        <v>1</v>
      </c>
      <c r="D1293">
        <v>1</v>
      </c>
      <c r="E1293">
        <v>35</v>
      </c>
      <c r="F1293">
        <v>48</v>
      </c>
      <c r="G1293">
        <v>13</v>
      </c>
      <c r="H1293">
        <v>57</v>
      </c>
      <c r="I1293">
        <v>24</v>
      </c>
      <c r="J1293">
        <v>15</v>
      </c>
      <c r="K1293">
        <v>25</v>
      </c>
      <c r="L1293">
        <v>4</v>
      </c>
      <c r="M1293">
        <v>3</v>
      </c>
      <c r="N1293">
        <v>1</v>
      </c>
      <c r="O1293">
        <v>4</v>
      </c>
      <c r="P1293">
        <v>7</v>
      </c>
      <c r="Q1293">
        <v>0</v>
      </c>
      <c r="R1293">
        <v>0</v>
      </c>
      <c r="S1293">
        <v>0</v>
      </c>
      <c r="T1293">
        <v>0</v>
      </c>
      <c r="U1293">
        <v>0</v>
      </c>
      <c r="V1293">
        <f>IF(SUM(ifood_data[[#This Row],[AcceptedCmp1]:[AcceptedCmp5]])&gt;0,1,0)</f>
        <v>0</v>
      </c>
      <c r="W1293">
        <v>0</v>
      </c>
      <c r="X1293">
        <v>3</v>
      </c>
      <c r="Y1293">
        <v>11</v>
      </c>
      <c r="Z1293">
        <v>0</v>
      </c>
      <c r="AA1293">
        <v>39</v>
      </c>
      <c r="AB1293">
        <v>2245</v>
      </c>
      <c r="AC1293" s="28">
        <f>ifood_data[[#This Row],[Customer_Days]]/365</f>
        <v>6.1506849315068495</v>
      </c>
      <c r="AD1293">
        <v>0</v>
      </c>
      <c r="AE1293">
        <v>0</v>
      </c>
      <c r="AF1293">
        <v>1</v>
      </c>
      <c r="AG1293">
        <v>0</v>
      </c>
      <c r="AH1293">
        <v>0</v>
      </c>
      <c r="AI1293">
        <v>1</v>
      </c>
      <c r="AJ1293">
        <v>0</v>
      </c>
      <c r="AK1293">
        <v>0</v>
      </c>
      <c r="AL1293">
        <v>0</v>
      </c>
      <c r="AM1293">
        <v>0</v>
      </c>
      <c r="AN1293">
        <v>157</v>
      </c>
      <c r="AO1293">
        <v>132</v>
      </c>
      <c r="AP1293">
        <f>ifood_data[[#This Row],[MntTotal]]-ifood_data[[#This Row],[MntRegularProds]]</f>
        <v>25</v>
      </c>
      <c r="AQ1293">
        <v>0</v>
      </c>
      <c r="AR1293">
        <f>IF(SUM(ifood_data[[#This Row],[Kidhome]:[Teenhome]])&gt;0,1,0)</f>
        <v>1</v>
      </c>
      <c r="AS1293" t="str">
        <f>IF(SUM(ifood_data[[#This Row],[Kidhome]:[Teenhome]])&gt;0,"Has Family","No Family")</f>
        <v>Has Family</v>
      </c>
      <c r="AT1293" t="str">
        <f>IF(ifood_data[[#This Row],[marital_Married]]=1,"Married", (IF(ifood_data[[#This Row],[marital_Single]]=1,"Single",(IF(ifood_data[[#This Row],[marital_Divorced]]=1,"Divorced",(IF(ifood_data[[#This Row],[marital_Together]]=1,"Living Together",(IF(ifood_data[[#This Row],[marital_Widow]]=1,"Widow","Other")))))))))</f>
        <v>Single</v>
      </c>
      <c r="AU1293" t="str">
        <f>IF(ifood_data[[#This Row],[education_Basic]]=1,"High School",(IF(ifood_data[[#This Row],[education_Graduation]]=1,"Undergraduate Degree",(IF(SUM(AM1293,AL1293,AI1293)&gt;0,"Master's Degree or Higher","Other")))))</f>
        <v>Master's Degree or Higher</v>
      </c>
      <c r="AV1293" t="str">
        <f>IF(ifood_data[[#All],[Income]]&gt;75000,"75K+",(IF(ifood_data[[#All],[Income]]&gt;50000,"50K-75K",(IF(ifood_data[[#All],[Income]]&gt;35000,"35K-50K","&lt;35K")))))</f>
        <v>35K-50K</v>
      </c>
      <c r="AW1293" t="str">
        <f>IF(ifood_data[[#All],[Age]]&gt;60,"60+",(IF(ifood_data[[#All],[Age]]&gt;50,"50-60",(IF(ifood_data[[#All],[Age]]&gt;40,"40-50",(IF(ifood_data[[#All],[Age]]&gt;30,"30-40","&lt;30")))))))</f>
        <v>30-40</v>
      </c>
      <c r="AX1293">
        <f t="shared" si="80"/>
        <v>19</v>
      </c>
      <c r="AY1293">
        <f t="shared" si="81"/>
        <v>7</v>
      </c>
      <c r="AZ1293">
        <f t="shared" si="82"/>
        <v>4</v>
      </c>
      <c r="BA1293">
        <f t="shared" si="83"/>
        <v>3</v>
      </c>
      <c r="BB1293">
        <f>SUM(ifood_data[[#This Row],[Recency Score]:[Monetary Score]])</f>
        <v>14</v>
      </c>
      <c r="BC1293">
        <f>(_xlfn.PERCENTRANK.INC(ifood_data[[#All],[RFM]],ifood_data[[#This Row],[RFM]],1))*10</f>
        <v>4</v>
      </c>
      <c r="BD1293" t="str">
        <f>VLOOKUP(ifood_data[[#This Row],[RFM Score]],'RFM Analysis'!$A$3:$B$14,2,FALSE)</f>
        <v>At Risk</v>
      </c>
      <c r="BE1293">
        <f>'Regression Models'!$B$101+'Regression Models'!$B$102*ifood_data[[#This Row],[Income]]+'Regression Models'!$B$103*ifood_data[[#This Row],[Age]]+'Regression Models'!$B$104*ifood_data[[#This Row],[Family]]</f>
        <v>315.33181403623496</v>
      </c>
      <c r="BF1293" t="str">
        <f>IF(ifood_data[[#This Row],[AcceptedCmpOverall]]=1,"Campaign Respondent","Non-respondent")</f>
        <v>Non-respondent</v>
      </c>
    </row>
    <row r="1294" spans="1:58" x14ac:dyDescent="0.35">
      <c r="A1294">
        <v>1916</v>
      </c>
      <c r="B1294">
        <v>43018</v>
      </c>
      <c r="C1294">
        <v>0</v>
      </c>
      <c r="D1294">
        <v>1</v>
      </c>
      <c r="E1294">
        <v>46</v>
      </c>
      <c r="F1294">
        <v>35</v>
      </c>
      <c r="G1294">
        <v>4</v>
      </c>
      <c r="H1294">
        <v>17</v>
      </c>
      <c r="I1294">
        <v>7</v>
      </c>
      <c r="J1294">
        <v>6</v>
      </c>
      <c r="K1294">
        <v>64</v>
      </c>
      <c r="L1294">
        <v>1</v>
      </c>
      <c r="M1294">
        <v>2</v>
      </c>
      <c r="N1294">
        <v>2</v>
      </c>
      <c r="O1294">
        <v>2</v>
      </c>
      <c r="P1294">
        <v>5</v>
      </c>
      <c r="Q1294">
        <v>0</v>
      </c>
      <c r="R1294">
        <v>0</v>
      </c>
      <c r="S1294">
        <v>0</v>
      </c>
      <c r="T1294">
        <v>0</v>
      </c>
      <c r="U1294">
        <v>0</v>
      </c>
      <c r="V1294">
        <f>IF(SUM(ifood_data[[#This Row],[AcceptedCmp1]:[AcceptedCmp5]])&gt;0,1,0)</f>
        <v>0</v>
      </c>
      <c r="W1294">
        <v>0</v>
      </c>
      <c r="X1294">
        <v>3</v>
      </c>
      <c r="Y1294">
        <v>11</v>
      </c>
      <c r="Z1294">
        <v>0</v>
      </c>
      <c r="AA1294">
        <v>46</v>
      </c>
      <c r="AB1294">
        <v>2399</v>
      </c>
      <c r="AC1294" s="28">
        <f>ifood_data[[#This Row],[Customer_Days]]/365</f>
        <v>6.5726027397260278</v>
      </c>
      <c r="AD1294">
        <v>0</v>
      </c>
      <c r="AE1294">
        <v>0</v>
      </c>
      <c r="AF1294">
        <v>0</v>
      </c>
      <c r="AG1294">
        <v>1</v>
      </c>
      <c r="AH1294">
        <v>0</v>
      </c>
      <c r="AI1294">
        <v>0</v>
      </c>
      <c r="AJ1294">
        <v>0</v>
      </c>
      <c r="AK1294">
        <v>0</v>
      </c>
      <c r="AL1294">
        <v>1</v>
      </c>
      <c r="AM1294">
        <v>0</v>
      </c>
      <c r="AN1294">
        <v>69</v>
      </c>
      <c r="AO1294">
        <v>5</v>
      </c>
      <c r="AP1294">
        <f>ifood_data[[#This Row],[MntTotal]]-ifood_data[[#This Row],[MntRegularProds]]</f>
        <v>64</v>
      </c>
      <c r="AQ1294">
        <v>0</v>
      </c>
      <c r="AR1294">
        <f>IF(SUM(ifood_data[[#This Row],[Kidhome]:[Teenhome]])&gt;0,1,0)</f>
        <v>1</v>
      </c>
      <c r="AS1294" t="str">
        <f>IF(SUM(ifood_data[[#This Row],[Kidhome]:[Teenhome]])&gt;0,"Has Family","No Family")</f>
        <v>Has Family</v>
      </c>
      <c r="AT1294" t="str">
        <f>IF(ifood_data[[#This Row],[marital_Married]]=1,"Married", (IF(ifood_data[[#This Row],[marital_Single]]=1,"Single",(IF(ifood_data[[#This Row],[marital_Divorced]]=1,"Divorced",(IF(ifood_data[[#This Row],[marital_Together]]=1,"Living Together",(IF(ifood_data[[#This Row],[marital_Widow]]=1,"Widow","Other")))))))))</f>
        <v>Living Together</v>
      </c>
      <c r="AU1294" t="str">
        <f>IF(ifood_data[[#This Row],[education_Basic]]=1,"High School",(IF(ifood_data[[#This Row],[education_Graduation]]=1,"Undergraduate Degree",(IF(SUM(AM1294,AL1294,AI1294)&gt;0,"Master's Degree or Higher","Other")))))</f>
        <v>Master's Degree or Higher</v>
      </c>
      <c r="AV1294" t="str">
        <f>IF(ifood_data[[#All],[Income]]&gt;75000,"75K+",(IF(ifood_data[[#All],[Income]]&gt;50000,"50K-75K",(IF(ifood_data[[#All],[Income]]&gt;35000,"35K-50K","&lt;35K")))))</f>
        <v>35K-50K</v>
      </c>
      <c r="AW1294" t="str">
        <f>IF(ifood_data[[#All],[Age]]&gt;60,"60+",(IF(ifood_data[[#All],[Age]]&gt;50,"50-60",(IF(ifood_data[[#All],[Age]]&gt;40,"40-50",(IF(ifood_data[[#All],[Age]]&gt;30,"30-40","&lt;30")))))))</f>
        <v>40-50</v>
      </c>
      <c r="AX1294">
        <f t="shared" si="80"/>
        <v>12</v>
      </c>
      <c r="AY1294">
        <f t="shared" si="81"/>
        <v>6</v>
      </c>
      <c r="AZ1294">
        <f t="shared" si="82"/>
        <v>1</v>
      </c>
      <c r="BA1294">
        <f t="shared" si="83"/>
        <v>2</v>
      </c>
      <c r="BB1294">
        <f>SUM(ifood_data[[#This Row],[Recency Score]:[Monetary Score]])</f>
        <v>9</v>
      </c>
      <c r="BC1294">
        <f>(_xlfn.PERCENTRANK.INC(ifood_data[[#All],[RFM]],ifood_data[[#This Row],[RFM]],1))*10</f>
        <v>1</v>
      </c>
      <c r="BD1294" t="str">
        <f>VLOOKUP(ifood_data[[#This Row],[RFM Score]],'RFM Analysis'!$A$3:$B$14,2,FALSE)</f>
        <v>At Risk</v>
      </c>
      <c r="BE1294">
        <f>'Regression Models'!$B$101+'Regression Models'!$B$102*ifood_data[[#This Row],[Income]]+'Regression Models'!$B$103*ifood_data[[#This Row],[Age]]+'Regression Models'!$B$104*ifood_data[[#This Row],[Family]]</f>
        <v>315.17894303762409</v>
      </c>
      <c r="BF1294" t="str">
        <f>IF(ifood_data[[#This Row],[AcceptedCmpOverall]]=1,"Campaign Respondent","Non-respondent")</f>
        <v>Non-respondent</v>
      </c>
    </row>
    <row r="1295" spans="1:58" x14ac:dyDescent="0.35">
      <c r="A1295">
        <v>1216</v>
      </c>
      <c r="B1295">
        <v>43050</v>
      </c>
      <c r="C1295">
        <v>1</v>
      </c>
      <c r="D1295">
        <v>0</v>
      </c>
      <c r="E1295">
        <v>10</v>
      </c>
      <c r="F1295">
        <v>30</v>
      </c>
      <c r="G1295">
        <v>5</v>
      </c>
      <c r="H1295">
        <v>24</v>
      </c>
      <c r="I1295">
        <v>6</v>
      </c>
      <c r="J1295">
        <v>3</v>
      </c>
      <c r="K1295">
        <v>8</v>
      </c>
      <c r="L1295">
        <v>2</v>
      </c>
      <c r="M1295">
        <v>2</v>
      </c>
      <c r="N1295">
        <v>0</v>
      </c>
      <c r="O1295">
        <v>4</v>
      </c>
      <c r="P1295">
        <v>5</v>
      </c>
      <c r="Q1295">
        <v>0</v>
      </c>
      <c r="R1295">
        <v>0</v>
      </c>
      <c r="S1295">
        <v>0</v>
      </c>
      <c r="T1295">
        <v>0</v>
      </c>
      <c r="U1295">
        <v>0</v>
      </c>
      <c r="V1295">
        <f>IF(SUM(ifood_data[[#This Row],[AcceptedCmp1]:[AcceptedCmp5]])&gt;0,1,0)</f>
        <v>0</v>
      </c>
      <c r="W1295">
        <v>0</v>
      </c>
      <c r="X1295">
        <v>3</v>
      </c>
      <c r="Y1295">
        <v>11</v>
      </c>
      <c r="Z1295">
        <v>0</v>
      </c>
      <c r="AA1295">
        <v>47</v>
      </c>
      <c r="AB1295">
        <v>2262</v>
      </c>
      <c r="AC1295" s="28">
        <f>ifood_data[[#This Row],[Customer_Days]]/365</f>
        <v>6.1972602739726028</v>
      </c>
      <c r="AD1295">
        <v>0</v>
      </c>
      <c r="AE1295">
        <v>1</v>
      </c>
      <c r="AF1295">
        <v>0</v>
      </c>
      <c r="AG1295">
        <v>0</v>
      </c>
      <c r="AH1295">
        <v>0</v>
      </c>
      <c r="AI1295">
        <v>1</v>
      </c>
      <c r="AJ1295">
        <v>0</v>
      </c>
      <c r="AK1295">
        <v>0</v>
      </c>
      <c r="AL1295">
        <v>0</v>
      </c>
      <c r="AM1295">
        <v>0</v>
      </c>
      <c r="AN1295">
        <v>68</v>
      </c>
      <c r="AO1295">
        <v>60</v>
      </c>
      <c r="AP1295">
        <f>ifood_data[[#This Row],[MntTotal]]-ifood_data[[#This Row],[MntRegularProds]]</f>
        <v>8</v>
      </c>
      <c r="AQ1295">
        <v>0</v>
      </c>
      <c r="AR1295">
        <f>IF(SUM(ifood_data[[#This Row],[Kidhome]:[Teenhome]])&gt;0,1,0)</f>
        <v>1</v>
      </c>
      <c r="AS1295" t="str">
        <f>IF(SUM(ifood_data[[#This Row],[Kidhome]:[Teenhome]])&gt;0,"Has Family","No Family")</f>
        <v>Has Family</v>
      </c>
      <c r="AT1295" t="str">
        <f>IF(ifood_data[[#This Row],[marital_Married]]=1,"Married", (IF(ifood_data[[#This Row],[marital_Single]]=1,"Single",(IF(ifood_data[[#This Row],[marital_Divorced]]=1,"Divorced",(IF(ifood_data[[#This Row],[marital_Together]]=1,"Living Together",(IF(ifood_data[[#This Row],[marital_Widow]]=1,"Widow","Other")))))))))</f>
        <v>Married</v>
      </c>
      <c r="AU1295" t="str">
        <f>IF(ifood_data[[#This Row],[education_Basic]]=1,"High School",(IF(ifood_data[[#This Row],[education_Graduation]]=1,"Undergraduate Degree",(IF(SUM(AM1295,AL1295,AI1295)&gt;0,"Master's Degree or Higher","Other")))))</f>
        <v>Master's Degree or Higher</v>
      </c>
      <c r="AV1295" t="str">
        <f>IF(ifood_data[[#All],[Income]]&gt;75000,"75K+",(IF(ifood_data[[#All],[Income]]&gt;50000,"50K-75K",(IF(ifood_data[[#All],[Income]]&gt;35000,"35K-50K","&lt;35K")))))</f>
        <v>35K-50K</v>
      </c>
      <c r="AW1295" t="str">
        <f>IF(ifood_data[[#All],[Age]]&gt;60,"60+",(IF(ifood_data[[#All],[Age]]&gt;50,"50-60",(IF(ifood_data[[#All],[Age]]&gt;40,"40-50",(IF(ifood_data[[#All],[Age]]&gt;30,"30-40","&lt;30")))))))</f>
        <v>40-50</v>
      </c>
      <c r="AX1295">
        <f t="shared" si="80"/>
        <v>13</v>
      </c>
      <c r="AY1295">
        <f t="shared" si="81"/>
        <v>9</v>
      </c>
      <c r="AZ1295">
        <f t="shared" si="82"/>
        <v>1</v>
      </c>
      <c r="BA1295">
        <f t="shared" si="83"/>
        <v>2</v>
      </c>
      <c r="BB1295">
        <f>SUM(ifood_data[[#This Row],[Recency Score]:[Monetary Score]])</f>
        <v>12</v>
      </c>
      <c r="BC1295">
        <f>(_xlfn.PERCENTRANK.INC(ifood_data[[#All],[RFM]],ifood_data[[#This Row],[RFM]],1))*10</f>
        <v>3</v>
      </c>
      <c r="BD1295" t="str">
        <f>VLOOKUP(ifood_data[[#This Row],[RFM Score]],'RFM Analysis'!$A$3:$B$14,2,FALSE)</f>
        <v>At Risk</v>
      </c>
      <c r="BE1295">
        <f>'Regression Models'!$B$101+'Regression Models'!$B$102*ifood_data[[#This Row],[Income]]+'Regression Models'!$B$103*ifood_data[[#This Row],[Age]]+'Regression Models'!$B$104*ifood_data[[#This Row],[Family]]</f>
        <v>313.9949445393346</v>
      </c>
      <c r="BF1295" t="str">
        <f>IF(ifood_data[[#This Row],[AcceptedCmpOverall]]=1,"Campaign Respondent","Non-respondent")</f>
        <v>Non-respondent</v>
      </c>
    </row>
    <row r="1296" spans="1:58" x14ac:dyDescent="0.35">
      <c r="A1296">
        <v>1879</v>
      </c>
      <c r="B1296">
        <v>42554</v>
      </c>
      <c r="C1296">
        <v>1</v>
      </c>
      <c r="D1296">
        <v>1</v>
      </c>
      <c r="E1296">
        <v>93</v>
      </c>
      <c r="F1296">
        <v>29</v>
      </c>
      <c r="G1296">
        <v>1</v>
      </c>
      <c r="H1296">
        <v>11</v>
      </c>
      <c r="I1296">
        <v>0</v>
      </c>
      <c r="J1296">
        <v>0</v>
      </c>
      <c r="K1296">
        <v>0</v>
      </c>
      <c r="L1296">
        <v>2</v>
      </c>
      <c r="M1296">
        <v>2</v>
      </c>
      <c r="N1296">
        <v>0</v>
      </c>
      <c r="O1296">
        <v>3</v>
      </c>
      <c r="P1296">
        <v>4</v>
      </c>
      <c r="Q1296">
        <v>0</v>
      </c>
      <c r="R1296">
        <v>0</v>
      </c>
      <c r="S1296">
        <v>0</v>
      </c>
      <c r="T1296">
        <v>0</v>
      </c>
      <c r="U1296">
        <v>0</v>
      </c>
      <c r="V1296">
        <f>IF(SUM(ifood_data[[#This Row],[AcceptedCmp1]:[AcceptedCmp5]])&gt;0,1,0)</f>
        <v>0</v>
      </c>
      <c r="W1296">
        <v>0</v>
      </c>
      <c r="X1296">
        <v>3</v>
      </c>
      <c r="Y1296">
        <v>11</v>
      </c>
      <c r="Z1296">
        <v>0</v>
      </c>
      <c r="AA1296">
        <v>42</v>
      </c>
      <c r="AB1296">
        <v>2692</v>
      </c>
      <c r="AC1296" s="28">
        <f>ifood_data[[#This Row],[Customer_Days]]/365</f>
        <v>7.375342465753425</v>
      </c>
      <c r="AD1296">
        <v>0</v>
      </c>
      <c r="AE1296">
        <v>0</v>
      </c>
      <c r="AF1296">
        <v>0</v>
      </c>
      <c r="AG1296">
        <v>1</v>
      </c>
      <c r="AH1296">
        <v>0</v>
      </c>
      <c r="AI1296">
        <v>0</v>
      </c>
      <c r="AJ1296">
        <v>0</v>
      </c>
      <c r="AK1296">
        <v>1</v>
      </c>
      <c r="AL1296">
        <v>0</v>
      </c>
      <c r="AM1296">
        <v>0</v>
      </c>
      <c r="AN1296">
        <v>41</v>
      </c>
      <c r="AO1296">
        <v>41</v>
      </c>
      <c r="AP1296">
        <f>ifood_data[[#This Row],[MntTotal]]-ifood_data[[#This Row],[MntRegularProds]]</f>
        <v>0</v>
      </c>
      <c r="AQ1296">
        <v>0</v>
      </c>
      <c r="AR1296">
        <f>IF(SUM(ifood_data[[#This Row],[Kidhome]:[Teenhome]])&gt;0,1,0)</f>
        <v>1</v>
      </c>
      <c r="AS1296" t="str">
        <f>IF(SUM(ifood_data[[#This Row],[Kidhome]:[Teenhome]])&gt;0,"Has Family","No Family")</f>
        <v>Has Family</v>
      </c>
      <c r="AT1296" t="str">
        <f>IF(ifood_data[[#This Row],[marital_Married]]=1,"Married", (IF(ifood_data[[#This Row],[marital_Single]]=1,"Single",(IF(ifood_data[[#This Row],[marital_Divorced]]=1,"Divorced",(IF(ifood_data[[#This Row],[marital_Together]]=1,"Living Together",(IF(ifood_data[[#This Row],[marital_Widow]]=1,"Widow","Other")))))))))</f>
        <v>Living Together</v>
      </c>
      <c r="AU1296" t="str">
        <f>IF(ifood_data[[#This Row],[education_Basic]]=1,"High School",(IF(ifood_data[[#This Row],[education_Graduation]]=1,"Undergraduate Degree",(IF(SUM(AM1296,AL1296,AI1296)&gt;0,"Master's Degree or Higher","Other")))))</f>
        <v>Undergraduate Degree</v>
      </c>
      <c r="AV1296" t="str">
        <f>IF(ifood_data[[#All],[Income]]&gt;75000,"75K+",(IF(ifood_data[[#All],[Income]]&gt;50000,"50K-75K",(IF(ifood_data[[#All],[Income]]&gt;35000,"35K-50K","&lt;35K")))))</f>
        <v>35K-50K</v>
      </c>
      <c r="AW1296" t="str">
        <f>IF(ifood_data[[#All],[Age]]&gt;60,"60+",(IF(ifood_data[[#All],[Age]]&gt;50,"50-60",(IF(ifood_data[[#All],[Age]]&gt;40,"40-50",(IF(ifood_data[[#All],[Age]]&gt;30,"30-40","&lt;30")))))))</f>
        <v>40-50</v>
      </c>
      <c r="AX1296">
        <f t="shared" si="80"/>
        <v>11</v>
      </c>
      <c r="AY1296">
        <f t="shared" si="81"/>
        <v>0.99999999999999978</v>
      </c>
      <c r="AZ1296">
        <f t="shared" si="82"/>
        <v>0</v>
      </c>
      <c r="BA1296">
        <f t="shared" si="83"/>
        <v>1</v>
      </c>
      <c r="BB1296">
        <f>SUM(ifood_data[[#This Row],[Recency Score]:[Monetary Score]])</f>
        <v>1.9999999999999998</v>
      </c>
      <c r="BC1296">
        <f>(_xlfn.PERCENTRANK.INC(ifood_data[[#All],[RFM]],ifood_data[[#This Row],[RFM]],1))*10</f>
        <v>0</v>
      </c>
      <c r="BD1296" t="str">
        <f>VLOOKUP(ifood_data[[#This Row],[RFM Score]],'RFM Analysis'!$A$3:$B$14,2,FALSE)</f>
        <v>Lost</v>
      </c>
      <c r="BE1296">
        <f>'Regression Models'!$B$101+'Regression Models'!$B$102*ifood_data[[#This Row],[Income]]+'Regression Models'!$B$103*ifood_data[[#This Row],[Age]]+'Regression Models'!$B$104*ifood_data[[#This Row],[Family]]</f>
        <v>313.06431093443211</v>
      </c>
      <c r="BF1296" t="str">
        <f>IF(ifood_data[[#This Row],[AcceptedCmpOverall]]=1,"Campaign Respondent","Non-respondent")</f>
        <v>Non-respondent</v>
      </c>
    </row>
    <row r="1297" spans="1:58" x14ac:dyDescent="0.35">
      <c r="A1297">
        <v>1532</v>
      </c>
      <c r="B1297">
        <v>43602</v>
      </c>
      <c r="C1297">
        <v>1</v>
      </c>
      <c r="D1297">
        <v>1</v>
      </c>
      <c r="E1297">
        <v>45</v>
      </c>
      <c r="F1297">
        <v>19</v>
      </c>
      <c r="G1297">
        <v>5</v>
      </c>
      <c r="H1297">
        <v>12</v>
      </c>
      <c r="I1297">
        <v>10</v>
      </c>
      <c r="J1297">
        <v>3</v>
      </c>
      <c r="K1297">
        <v>19</v>
      </c>
      <c r="L1297">
        <v>3</v>
      </c>
      <c r="M1297">
        <v>3</v>
      </c>
      <c r="N1297">
        <v>1</v>
      </c>
      <c r="O1297">
        <v>2</v>
      </c>
      <c r="P1297">
        <v>6</v>
      </c>
      <c r="Q1297">
        <v>0</v>
      </c>
      <c r="R1297">
        <v>0</v>
      </c>
      <c r="S1297">
        <v>0</v>
      </c>
      <c r="T1297">
        <v>0</v>
      </c>
      <c r="U1297">
        <v>0</v>
      </c>
      <c r="V1297">
        <f>IF(SUM(ifood_data[[#This Row],[AcceptedCmp1]:[AcceptedCmp5]])&gt;0,1,0)</f>
        <v>0</v>
      </c>
      <c r="W1297">
        <v>0</v>
      </c>
      <c r="X1297">
        <v>3</v>
      </c>
      <c r="Y1297">
        <v>11</v>
      </c>
      <c r="Z1297">
        <v>0</v>
      </c>
      <c r="AA1297">
        <v>54</v>
      </c>
      <c r="AB1297">
        <v>2329</v>
      </c>
      <c r="AC1297" s="28">
        <f>ifood_data[[#This Row],[Customer_Days]]/365</f>
        <v>6.3808219178082188</v>
      </c>
      <c r="AD1297">
        <v>0</v>
      </c>
      <c r="AE1297">
        <v>0</v>
      </c>
      <c r="AF1297">
        <v>1</v>
      </c>
      <c r="AG1297">
        <v>0</v>
      </c>
      <c r="AH1297">
        <v>0</v>
      </c>
      <c r="AI1297">
        <v>0</v>
      </c>
      <c r="AJ1297">
        <v>0</v>
      </c>
      <c r="AK1297">
        <v>1</v>
      </c>
      <c r="AL1297">
        <v>0</v>
      </c>
      <c r="AM1297">
        <v>0</v>
      </c>
      <c r="AN1297">
        <v>49</v>
      </c>
      <c r="AO1297">
        <v>30</v>
      </c>
      <c r="AP1297">
        <f>ifood_data[[#This Row],[MntTotal]]-ifood_data[[#This Row],[MntRegularProds]]</f>
        <v>19</v>
      </c>
      <c r="AQ1297">
        <v>0</v>
      </c>
      <c r="AR1297">
        <f>IF(SUM(ifood_data[[#This Row],[Kidhome]:[Teenhome]])&gt;0,1,0)</f>
        <v>1</v>
      </c>
      <c r="AS1297" t="str">
        <f>IF(SUM(ifood_data[[#This Row],[Kidhome]:[Teenhome]])&gt;0,"Has Family","No Family")</f>
        <v>Has Family</v>
      </c>
      <c r="AT1297" t="str">
        <f>IF(ifood_data[[#This Row],[marital_Married]]=1,"Married", (IF(ifood_data[[#This Row],[marital_Single]]=1,"Single",(IF(ifood_data[[#This Row],[marital_Divorced]]=1,"Divorced",(IF(ifood_data[[#This Row],[marital_Together]]=1,"Living Together",(IF(ifood_data[[#This Row],[marital_Widow]]=1,"Widow","Other")))))))))</f>
        <v>Single</v>
      </c>
      <c r="AU1297" t="str">
        <f>IF(ifood_data[[#This Row],[education_Basic]]=1,"High School",(IF(ifood_data[[#This Row],[education_Graduation]]=1,"Undergraduate Degree",(IF(SUM(AM1297,AL1297,AI1297)&gt;0,"Master's Degree or Higher","Other")))))</f>
        <v>Undergraduate Degree</v>
      </c>
      <c r="AV1297" t="str">
        <f>IF(ifood_data[[#All],[Income]]&gt;75000,"75K+",(IF(ifood_data[[#All],[Income]]&gt;50000,"50K-75K",(IF(ifood_data[[#All],[Income]]&gt;35000,"35K-50K","&lt;35K")))))</f>
        <v>35K-50K</v>
      </c>
      <c r="AW1297" t="str">
        <f>IF(ifood_data[[#All],[Age]]&gt;60,"60+",(IF(ifood_data[[#All],[Age]]&gt;50,"50-60",(IF(ifood_data[[#All],[Age]]&gt;40,"40-50",(IF(ifood_data[[#All],[Age]]&gt;30,"30-40","&lt;30")))))))</f>
        <v>50-60</v>
      </c>
      <c r="AX1297">
        <f t="shared" si="80"/>
        <v>15</v>
      </c>
      <c r="AY1297">
        <f t="shared" si="81"/>
        <v>6</v>
      </c>
      <c r="AZ1297">
        <f t="shared" si="82"/>
        <v>2</v>
      </c>
      <c r="BA1297">
        <f t="shared" si="83"/>
        <v>2</v>
      </c>
      <c r="BB1297">
        <f>SUM(ifood_data[[#This Row],[Recency Score]:[Monetary Score]])</f>
        <v>10</v>
      </c>
      <c r="BC1297">
        <f>(_xlfn.PERCENTRANK.INC(ifood_data[[#All],[RFM]],ifood_data[[#This Row],[RFM]],1))*10</f>
        <v>2</v>
      </c>
      <c r="BD1297" t="str">
        <f>VLOOKUP(ifood_data[[#This Row],[RFM Score]],'RFM Analysis'!$A$3:$B$14,2,FALSE)</f>
        <v>At Risk</v>
      </c>
      <c r="BE1297">
        <f>'Regression Models'!$B$101+'Regression Models'!$B$102*ifood_data[[#This Row],[Income]]+'Regression Models'!$B$103*ifood_data[[#This Row],[Age]]+'Regression Models'!$B$104*ifood_data[[#This Row],[Family]]</f>
        <v>312.39447100250686</v>
      </c>
      <c r="BF1297" t="str">
        <f>IF(ifood_data[[#This Row],[AcceptedCmpOverall]]=1,"Campaign Respondent","Non-respondent")</f>
        <v>Non-respondent</v>
      </c>
    </row>
    <row r="1298" spans="1:58" x14ac:dyDescent="0.35">
      <c r="A1298">
        <v>978</v>
      </c>
      <c r="B1298">
        <v>28071</v>
      </c>
      <c r="C1298">
        <v>0</v>
      </c>
      <c r="D1298">
        <v>0</v>
      </c>
      <c r="E1298">
        <v>65</v>
      </c>
      <c r="F1298">
        <v>39</v>
      </c>
      <c r="G1298">
        <v>33</v>
      </c>
      <c r="H1298">
        <v>130</v>
      </c>
      <c r="I1298">
        <v>41</v>
      </c>
      <c r="J1298">
        <v>26</v>
      </c>
      <c r="K1298">
        <v>44</v>
      </c>
      <c r="L1298">
        <v>2</v>
      </c>
      <c r="M1298">
        <v>5</v>
      </c>
      <c r="N1298">
        <v>1</v>
      </c>
      <c r="O1298">
        <v>5</v>
      </c>
      <c r="P1298">
        <v>8</v>
      </c>
      <c r="Q1298">
        <v>0</v>
      </c>
      <c r="R1298">
        <v>0</v>
      </c>
      <c r="S1298">
        <v>0</v>
      </c>
      <c r="T1298">
        <v>0</v>
      </c>
      <c r="U1298">
        <v>0</v>
      </c>
      <c r="V1298">
        <f>IF(SUM(ifood_data[[#This Row],[AcceptedCmp1]:[AcceptedCmp5]])&gt;0,1,0)</f>
        <v>0</v>
      </c>
      <c r="W1298">
        <v>0</v>
      </c>
      <c r="X1298">
        <v>3</v>
      </c>
      <c r="Y1298">
        <v>11</v>
      </c>
      <c r="Z1298">
        <v>0</v>
      </c>
      <c r="AA1298">
        <v>40</v>
      </c>
      <c r="AB1298">
        <v>2828</v>
      </c>
      <c r="AC1298" s="28">
        <f>ifood_data[[#This Row],[Customer_Days]]/365</f>
        <v>7.7479452054794518</v>
      </c>
      <c r="AD1298">
        <v>0</v>
      </c>
      <c r="AE1298">
        <v>0</v>
      </c>
      <c r="AF1298">
        <v>1</v>
      </c>
      <c r="AG1298">
        <v>0</v>
      </c>
      <c r="AH1298">
        <v>0</v>
      </c>
      <c r="AI1298">
        <v>0</v>
      </c>
      <c r="AJ1298">
        <v>0</v>
      </c>
      <c r="AK1298">
        <v>1</v>
      </c>
      <c r="AL1298">
        <v>0</v>
      </c>
      <c r="AM1298">
        <v>0</v>
      </c>
      <c r="AN1298">
        <v>269</v>
      </c>
      <c r="AO1298">
        <v>225</v>
      </c>
      <c r="AP1298">
        <f>ifood_data[[#This Row],[MntTotal]]-ifood_data[[#This Row],[MntRegularProds]]</f>
        <v>44</v>
      </c>
      <c r="AQ1298">
        <v>0</v>
      </c>
      <c r="AR1298">
        <f>IF(SUM(ifood_data[[#This Row],[Kidhome]:[Teenhome]])&gt;0,1,0)</f>
        <v>0</v>
      </c>
      <c r="AS1298" t="str">
        <f>IF(SUM(ifood_data[[#This Row],[Kidhome]:[Teenhome]])&gt;0,"Has Family","No Family")</f>
        <v>No Family</v>
      </c>
      <c r="AT1298" t="str">
        <f>IF(ifood_data[[#This Row],[marital_Married]]=1,"Married", (IF(ifood_data[[#This Row],[marital_Single]]=1,"Single",(IF(ifood_data[[#This Row],[marital_Divorced]]=1,"Divorced",(IF(ifood_data[[#This Row],[marital_Together]]=1,"Living Together",(IF(ifood_data[[#This Row],[marital_Widow]]=1,"Widow","Other")))))))))</f>
        <v>Single</v>
      </c>
      <c r="AU1298" t="str">
        <f>IF(ifood_data[[#This Row],[education_Basic]]=1,"High School",(IF(ifood_data[[#This Row],[education_Graduation]]=1,"Undergraduate Degree",(IF(SUM(AM1298,AL1298,AI1298)&gt;0,"Master's Degree or Higher","Other")))))</f>
        <v>Undergraduate Degree</v>
      </c>
      <c r="AV1298" t="str">
        <f>IF(ifood_data[[#All],[Income]]&gt;75000,"75K+",(IF(ifood_data[[#All],[Income]]&gt;50000,"50K-75K",(IF(ifood_data[[#All],[Income]]&gt;35000,"35K-50K","&lt;35K")))))</f>
        <v>&lt;35K</v>
      </c>
      <c r="AW1298" t="str">
        <f>IF(ifood_data[[#All],[Age]]&gt;60,"60+",(IF(ifood_data[[#All],[Age]]&gt;50,"50-60",(IF(ifood_data[[#All],[Age]]&gt;40,"40-50",(IF(ifood_data[[#All],[Age]]&gt;30,"30-40","&lt;30")))))))</f>
        <v>30-40</v>
      </c>
      <c r="AX1298">
        <f t="shared" si="80"/>
        <v>21</v>
      </c>
      <c r="AY1298">
        <f t="shared" si="81"/>
        <v>4</v>
      </c>
      <c r="AZ1298">
        <f t="shared" si="82"/>
        <v>5</v>
      </c>
      <c r="BA1298">
        <f t="shared" si="83"/>
        <v>4</v>
      </c>
      <c r="BB1298">
        <f>SUM(ifood_data[[#This Row],[Recency Score]:[Monetary Score]])</f>
        <v>13</v>
      </c>
      <c r="BC1298">
        <f>(_xlfn.PERCENTRANK.INC(ifood_data[[#All],[RFM]],ifood_data[[#This Row],[RFM]],1))*10</f>
        <v>3</v>
      </c>
      <c r="BD1298" t="str">
        <f>VLOOKUP(ifood_data[[#This Row],[RFM Score]],'RFM Analysis'!$A$3:$B$14,2,FALSE)</f>
        <v>At Risk</v>
      </c>
      <c r="BE1298">
        <f>'Regression Models'!$B$101+'Regression Models'!$B$102*ifood_data[[#This Row],[Income]]+'Regression Models'!$B$103*ifood_data[[#This Row],[Age]]+'Regression Models'!$B$104*ifood_data[[#This Row],[Family]]</f>
        <v>311.0602911371484</v>
      </c>
      <c r="BF1298" t="str">
        <f>IF(ifood_data[[#This Row],[AcceptedCmpOverall]]=1,"Campaign Respondent","Non-respondent")</f>
        <v>Non-respondent</v>
      </c>
    </row>
    <row r="1299" spans="1:58" x14ac:dyDescent="0.35">
      <c r="A1299">
        <v>1728</v>
      </c>
      <c r="B1299">
        <v>42081</v>
      </c>
      <c r="C1299">
        <v>1</v>
      </c>
      <c r="D1299">
        <v>0</v>
      </c>
      <c r="E1299">
        <v>86</v>
      </c>
      <c r="F1299">
        <v>175</v>
      </c>
      <c r="G1299">
        <v>10</v>
      </c>
      <c r="H1299">
        <v>110</v>
      </c>
      <c r="I1299">
        <v>54</v>
      </c>
      <c r="J1299">
        <v>6</v>
      </c>
      <c r="K1299">
        <v>27</v>
      </c>
      <c r="L1299">
        <v>2</v>
      </c>
      <c r="M1299">
        <v>6</v>
      </c>
      <c r="N1299">
        <v>3</v>
      </c>
      <c r="O1299">
        <v>4</v>
      </c>
      <c r="P1299">
        <v>6</v>
      </c>
      <c r="Q1299">
        <v>0</v>
      </c>
      <c r="R1299">
        <v>0</v>
      </c>
      <c r="S1299">
        <v>1</v>
      </c>
      <c r="T1299">
        <v>0</v>
      </c>
      <c r="U1299">
        <v>0</v>
      </c>
      <c r="V1299">
        <f>IF(SUM(ifood_data[[#This Row],[AcceptedCmp1]:[AcceptedCmp5]])&gt;0,1,0)</f>
        <v>1</v>
      </c>
      <c r="W1299">
        <v>0</v>
      </c>
      <c r="X1299">
        <v>3</v>
      </c>
      <c r="Y1299">
        <v>11</v>
      </c>
      <c r="Z1299">
        <v>0</v>
      </c>
      <c r="AA1299">
        <v>38</v>
      </c>
      <c r="AB1299">
        <v>2647</v>
      </c>
      <c r="AC1299" s="28">
        <f>ifood_data[[#This Row],[Customer_Days]]/365</f>
        <v>7.2520547945205482</v>
      </c>
      <c r="AD1299">
        <v>0</v>
      </c>
      <c r="AE1299">
        <v>1</v>
      </c>
      <c r="AF1299">
        <v>0</v>
      </c>
      <c r="AG1299">
        <v>0</v>
      </c>
      <c r="AH1299">
        <v>0</v>
      </c>
      <c r="AI1299">
        <v>0</v>
      </c>
      <c r="AJ1299">
        <v>0</v>
      </c>
      <c r="AK1299">
        <v>1</v>
      </c>
      <c r="AL1299">
        <v>0</v>
      </c>
      <c r="AM1299">
        <v>0</v>
      </c>
      <c r="AN1299">
        <v>355</v>
      </c>
      <c r="AO1299">
        <v>328</v>
      </c>
      <c r="AP1299">
        <f>ifood_data[[#This Row],[MntTotal]]-ifood_data[[#This Row],[MntRegularProds]]</f>
        <v>27</v>
      </c>
      <c r="AQ1299">
        <v>1</v>
      </c>
      <c r="AR1299">
        <f>IF(SUM(ifood_data[[#This Row],[Kidhome]:[Teenhome]])&gt;0,1,0)</f>
        <v>1</v>
      </c>
      <c r="AS1299" t="str">
        <f>IF(SUM(ifood_data[[#This Row],[Kidhome]:[Teenhome]])&gt;0,"Has Family","No Family")</f>
        <v>Has Family</v>
      </c>
      <c r="AT1299" t="str">
        <f>IF(ifood_data[[#This Row],[marital_Married]]=1,"Married", (IF(ifood_data[[#This Row],[marital_Single]]=1,"Single",(IF(ifood_data[[#This Row],[marital_Divorced]]=1,"Divorced",(IF(ifood_data[[#This Row],[marital_Together]]=1,"Living Together",(IF(ifood_data[[#This Row],[marital_Widow]]=1,"Widow","Other")))))))))</f>
        <v>Married</v>
      </c>
      <c r="AU1299" t="str">
        <f>IF(ifood_data[[#This Row],[education_Basic]]=1,"High School",(IF(ifood_data[[#This Row],[education_Graduation]]=1,"Undergraduate Degree",(IF(SUM(AM1299,AL1299,AI1299)&gt;0,"Master's Degree or Higher","Other")))))</f>
        <v>Undergraduate Degree</v>
      </c>
      <c r="AV1299" t="str">
        <f>IF(ifood_data[[#All],[Income]]&gt;75000,"75K+",(IF(ifood_data[[#All],[Income]]&gt;50000,"50K-75K",(IF(ifood_data[[#All],[Income]]&gt;35000,"35K-50K","&lt;35K")))))</f>
        <v>35K-50K</v>
      </c>
      <c r="AW1299" t="str">
        <f>IF(ifood_data[[#All],[Age]]&gt;60,"60+",(IF(ifood_data[[#All],[Age]]&gt;50,"50-60",(IF(ifood_data[[#All],[Age]]&gt;40,"40-50",(IF(ifood_data[[#All],[Age]]&gt;30,"30-40","&lt;30")))))))</f>
        <v>30-40</v>
      </c>
      <c r="AX1299">
        <f t="shared" si="80"/>
        <v>21</v>
      </c>
      <c r="AY1299">
        <f t="shared" si="81"/>
        <v>1.9999999999999996</v>
      </c>
      <c r="AZ1299">
        <f t="shared" si="82"/>
        <v>5</v>
      </c>
      <c r="BA1299">
        <f t="shared" si="83"/>
        <v>5</v>
      </c>
      <c r="BB1299">
        <f>SUM(ifood_data[[#This Row],[Recency Score]:[Monetary Score]])</f>
        <v>12</v>
      </c>
      <c r="BC1299">
        <f>(_xlfn.PERCENTRANK.INC(ifood_data[[#All],[RFM]],ifood_data[[#This Row],[RFM]],1))*10</f>
        <v>3</v>
      </c>
      <c r="BD1299" t="str">
        <f>VLOOKUP(ifood_data[[#This Row],[RFM Score]],'RFM Analysis'!$A$3:$B$14,2,FALSE)</f>
        <v>At Risk</v>
      </c>
      <c r="BE1299">
        <f>'Regression Models'!$B$101+'Regression Models'!$B$102*ifood_data[[#This Row],[Income]]+'Regression Models'!$B$103*ifood_data[[#This Row],[Age]]+'Regression Models'!$B$104*ifood_data[[#This Row],[Family]]</f>
        <v>310.76617991794501</v>
      </c>
      <c r="BF1299" t="str">
        <f>IF(ifood_data[[#This Row],[AcceptedCmpOverall]]=1,"Campaign Respondent","Non-respondent")</f>
        <v>Campaign Respondent</v>
      </c>
    </row>
    <row r="1300" spans="1:58" x14ac:dyDescent="0.35">
      <c r="A1300">
        <v>1082</v>
      </c>
      <c r="B1300">
        <v>42162</v>
      </c>
      <c r="C1300">
        <v>1</v>
      </c>
      <c r="D1300">
        <v>0</v>
      </c>
      <c r="E1300">
        <v>31</v>
      </c>
      <c r="F1300">
        <v>46</v>
      </c>
      <c r="G1300">
        <v>7</v>
      </c>
      <c r="H1300">
        <v>59</v>
      </c>
      <c r="I1300">
        <v>2</v>
      </c>
      <c r="J1300">
        <v>4</v>
      </c>
      <c r="K1300">
        <v>27</v>
      </c>
      <c r="L1300">
        <v>2</v>
      </c>
      <c r="M1300">
        <v>3</v>
      </c>
      <c r="N1300">
        <v>1</v>
      </c>
      <c r="O1300">
        <v>3</v>
      </c>
      <c r="P1300">
        <v>6</v>
      </c>
      <c r="Q1300">
        <v>0</v>
      </c>
      <c r="R1300">
        <v>0</v>
      </c>
      <c r="S1300">
        <v>1</v>
      </c>
      <c r="T1300">
        <v>0</v>
      </c>
      <c r="U1300">
        <v>0</v>
      </c>
      <c r="V1300">
        <f>IF(SUM(ifood_data[[#This Row],[AcceptedCmp1]:[AcceptedCmp5]])&gt;0,1,0)</f>
        <v>1</v>
      </c>
      <c r="W1300">
        <v>0</v>
      </c>
      <c r="X1300">
        <v>3</v>
      </c>
      <c r="Y1300">
        <v>11</v>
      </c>
      <c r="Z1300">
        <v>1</v>
      </c>
      <c r="AA1300">
        <v>39</v>
      </c>
      <c r="AB1300">
        <v>2381</v>
      </c>
      <c r="AC1300" s="28">
        <f>ifood_data[[#This Row],[Customer_Days]]/365</f>
        <v>6.5232876712328771</v>
      </c>
      <c r="AD1300">
        <v>0</v>
      </c>
      <c r="AE1300">
        <v>0</v>
      </c>
      <c r="AF1300">
        <v>0</v>
      </c>
      <c r="AG1300">
        <v>1</v>
      </c>
      <c r="AH1300">
        <v>0</v>
      </c>
      <c r="AI1300">
        <v>0</v>
      </c>
      <c r="AJ1300">
        <v>0</v>
      </c>
      <c r="AK1300">
        <v>1</v>
      </c>
      <c r="AL1300">
        <v>0</v>
      </c>
      <c r="AM1300">
        <v>0</v>
      </c>
      <c r="AN1300">
        <v>118</v>
      </c>
      <c r="AO1300">
        <v>91</v>
      </c>
      <c r="AP1300">
        <f>ifood_data[[#This Row],[MntTotal]]-ifood_data[[#This Row],[MntRegularProds]]</f>
        <v>27</v>
      </c>
      <c r="AQ1300">
        <v>1</v>
      </c>
      <c r="AR1300">
        <f>IF(SUM(ifood_data[[#This Row],[Kidhome]:[Teenhome]])&gt;0,1,0)</f>
        <v>1</v>
      </c>
      <c r="AS1300" t="str">
        <f>IF(SUM(ifood_data[[#This Row],[Kidhome]:[Teenhome]])&gt;0,"Has Family","No Family")</f>
        <v>Has Family</v>
      </c>
      <c r="AT1300" t="str">
        <f>IF(ifood_data[[#This Row],[marital_Married]]=1,"Married", (IF(ifood_data[[#This Row],[marital_Single]]=1,"Single",(IF(ifood_data[[#This Row],[marital_Divorced]]=1,"Divorced",(IF(ifood_data[[#This Row],[marital_Together]]=1,"Living Together",(IF(ifood_data[[#This Row],[marital_Widow]]=1,"Widow","Other")))))))))</f>
        <v>Living Together</v>
      </c>
      <c r="AU1300" t="str">
        <f>IF(ifood_data[[#This Row],[education_Basic]]=1,"High School",(IF(ifood_data[[#This Row],[education_Graduation]]=1,"Undergraduate Degree",(IF(SUM(AM1300,AL1300,AI1300)&gt;0,"Master's Degree or Higher","Other")))))</f>
        <v>Undergraduate Degree</v>
      </c>
      <c r="AV1300" t="str">
        <f>IF(ifood_data[[#All],[Income]]&gt;75000,"75K+",(IF(ifood_data[[#All],[Income]]&gt;50000,"50K-75K",(IF(ifood_data[[#All],[Income]]&gt;35000,"35K-50K","&lt;35K")))))</f>
        <v>35K-50K</v>
      </c>
      <c r="AW1300" t="str">
        <f>IF(ifood_data[[#All],[Age]]&gt;60,"60+",(IF(ifood_data[[#All],[Age]]&gt;50,"50-60",(IF(ifood_data[[#All],[Age]]&gt;40,"40-50",(IF(ifood_data[[#All],[Age]]&gt;30,"30-40","&lt;30")))))))</f>
        <v>30-40</v>
      </c>
      <c r="AX1300">
        <f t="shared" si="80"/>
        <v>15</v>
      </c>
      <c r="AY1300">
        <f t="shared" si="81"/>
        <v>7</v>
      </c>
      <c r="AZ1300">
        <f t="shared" si="82"/>
        <v>2</v>
      </c>
      <c r="BA1300">
        <f t="shared" si="83"/>
        <v>3</v>
      </c>
      <c r="BB1300">
        <f>SUM(ifood_data[[#This Row],[Recency Score]:[Monetary Score]])</f>
        <v>12</v>
      </c>
      <c r="BC1300">
        <f>(_xlfn.PERCENTRANK.INC(ifood_data[[#All],[RFM]],ifood_data[[#This Row],[RFM]],1))*10</f>
        <v>3</v>
      </c>
      <c r="BD1300" t="str">
        <f>VLOOKUP(ifood_data[[#This Row],[RFM Score]],'RFM Analysis'!$A$3:$B$14,2,FALSE)</f>
        <v>At Risk</v>
      </c>
      <c r="BE1300">
        <f>'Regression Models'!$B$101+'Regression Models'!$B$102*ifood_data[[#This Row],[Income]]+'Regression Models'!$B$103*ifood_data[[#This Row],[Age]]+'Regression Models'!$B$104*ifood_data[[#This Row],[Family]]</f>
        <v>310.58123105870652</v>
      </c>
      <c r="BF1300" t="str">
        <f>IF(ifood_data[[#This Row],[AcceptedCmpOverall]]=1,"Campaign Respondent","Non-respondent")</f>
        <v>Campaign Respondent</v>
      </c>
    </row>
    <row r="1301" spans="1:58" x14ac:dyDescent="0.35">
      <c r="A1301">
        <v>153</v>
      </c>
      <c r="B1301">
        <v>43482</v>
      </c>
      <c r="C1301">
        <v>2</v>
      </c>
      <c r="D1301">
        <v>1</v>
      </c>
      <c r="E1301">
        <v>83</v>
      </c>
      <c r="F1301">
        <v>18</v>
      </c>
      <c r="G1301">
        <v>1</v>
      </c>
      <c r="H1301">
        <v>32</v>
      </c>
      <c r="I1301">
        <v>6</v>
      </c>
      <c r="J1301">
        <v>3</v>
      </c>
      <c r="K1301">
        <v>28</v>
      </c>
      <c r="L1301">
        <v>3</v>
      </c>
      <c r="M1301">
        <v>2</v>
      </c>
      <c r="N1301">
        <v>0</v>
      </c>
      <c r="O1301">
        <v>4</v>
      </c>
      <c r="P1301">
        <v>6</v>
      </c>
      <c r="Q1301">
        <v>0</v>
      </c>
      <c r="R1301">
        <v>0</v>
      </c>
      <c r="S1301">
        <v>0</v>
      </c>
      <c r="T1301">
        <v>0</v>
      </c>
      <c r="U1301">
        <v>0</v>
      </c>
      <c r="V1301">
        <f>IF(SUM(ifood_data[[#This Row],[AcceptedCmp1]:[AcceptedCmp5]])&gt;0,1,0)</f>
        <v>0</v>
      </c>
      <c r="W1301">
        <v>0</v>
      </c>
      <c r="X1301">
        <v>3</v>
      </c>
      <c r="Y1301">
        <v>11</v>
      </c>
      <c r="Z1301">
        <v>0</v>
      </c>
      <c r="AA1301">
        <v>54</v>
      </c>
      <c r="AB1301">
        <v>2387</v>
      </c>
      <c r="AC1301" s="28">
        <f>ifood_data[[#This Row],[Customer_Days]]/365</f>
        <v>6.5397260273972604</v>
      </c>
      <c r="AD1301">
        <v>0</v>
      </c>
      <c r="AE1301">
        <v>0</v>
      </c>
      <c r="AF1301">
        <v>0</v>
      </c>
      <c r="AG1301">
        <v>1</v>
      </c>
      <c r="AH1301">
        <v>0</v>
      </c>
      <c r="AI1301">
        <v>0</v>
      </c>
      <c r="AJ1301">
        <v>0</v>
      </c>
      <c r="AK1301">
        <v>1</v>
      </c>
      <c r="AL1301">
        <v>0</v>
      </c>
      <c r="AM1301">
        <v>0</v>
      </c>
      <c r="AN1301">
        <v>60</v>
      </c>
      <c r="AO1301">
        <v>32</v>
      </c>
      <c r="AP1301">
        <f>ifood_data[[#This Row],[MntTotal]]-ifood_data[[#This Row],[MntRegularProds]]</f>
        <v>28</v>
      </c>
      <c r="AQ1301">
        <v>0</v>
      </c>
      <c r="AR1301">
        <f>IF(SUM(ifood_data[[#This Row],[Kidhome]:[Teenhome]])&gt;0,1,0)</f>
        <v>1</v>
      </c>
      <c r="AS1301" t="str">
        <f>IF(SUM(ifood_data[[#This Row],[Kidhome]:[Teenhome]])&gt;0,"Has Family","No Family")</f>
        <v>Has Family</v>
      </c>
      <c r="AT1301" t="str">
        <f>IF(ifood_data[[#This Row],[marital_Married]]=1,"Married", (IF(ifood_data[[#This Row],[marital_Single]]=1,"Single",(IF(ifood_data[[#This Row],[marital_Divorced]]=1,"Divorced",(IF(ifood_data[[#This Row],[marital_Together]]=1,"Living Together",(IF(ifood_data[[#This Row],[marital_Widow]]=1,"Widow","Other")))))))))</f>
        <v>Living Together</v>
      </c>
      <c r="AU1301" t="str">
        <f>IF(ifood_data[[#This Row],[education_Basic]]=1,"High School",(IF(ifood_data[[#This Row],[education_Graduation]]=1,"Undergraduate Degree",(IF(SUM(AM1301,AL1301,AI1301)&gt;0,"Master's Degree or Higher","Other")))))</f>
        <v>Undergraduate Degree</v>
      </c>
      <c r="AV1301" t="str">
        <f>IF(ifood_data[[#All],[Income]]&gt;75000,"75K+",(IF(ifood_data[[#All],[Income]]&gt;50000,"50K-75K",(IF(ifood_data[[#All],[Income]]&gt;35000,"35K-50K","&lt;35K")))))</f>
        <v>35K-50K</v>
      </c>
      <c r="AW1301" t="str">
        <f>IF(ifood_data[[#All],[Age]]&gt;60,"60+",(IF(ifood_data[[#All],[Age]]&gt;50,"50-60",(IF(ifood_data[[#All],[Age]]&gt;40,"40-50",(IF(ifood_data[[#All],[Age]]&gt;30,"30-40","&lt;30")))))))</f>
        <v>50-60</v>
      </c>
      <c r="AX1301">
        <f t="shared" si="80"/>
        <v>15</v>
      </c>
      <c r="AY1301">
        <f t="shared" si="81"/>
        <v>1.9999999999999996</v>
      </c>
      <c r="AZ1301">
        <f t="shared" si="82"/>
        <v>2</v>
      </c>
      <c r="BA1301">
        <f t="shared" si="83"/>
        <v>2</v>
      </c>
      <c r="BB1301">
        <f>SUM(ifood_data[[#This Row],[Recency Score]:[Monetary Score]])</f>
        <v>6</v>
      </c>
      <c r="BC1301">
        <f>(_xlfn.PERCENTRANK.INC(ifood_data[[#All],[RFM]],ifood_data[[#This Row],[RFM]],1))*10</f>
        <v>0</v>
      </c>
      <c r="BD1301" t="str">
        <f>VLOOKUP(ifood_data[[#This Row],[RFM Score]],'RFM Analysis'!$A$3:$B$14,2,FALSE)</f>
        <v>Lost</v>
      </c>
      <c r="BE1301">
        <f>'Regression Models'!$B$101+'Regression Models'!$B$102*ifood_data[[#This Row],[Income]]+'Regression Models'!$B$103*ifood_data[[#This Row],[Age]]+'Regression Models'!$B$104*ifood_data[[#This Row],[Family]]</f>
        <v>309.94781882523898</v>
      </c>
      <c r="BF1301" t="str">
        <f>IF(ifood_data[[#This Row],[AcceptedCmpOverall]]=1,"Campaign Respondent","Non-respondent")</f>
        <v>Non-respondent</v>
      </c>
    </row>
    <row r="1302" spans="1:58" x14ac:dyDescent="0.35">
      <c r="A1302">
        <v>204</v>
      </c>
      <c r="B1302">
        <v>44551</v>
      </c>
      <c r="C1302">
        <v>0</v>
      </c>
      <c r="D1302">
        <v>1</v>
      </c>
      <c r="E1302">
        <v>24</v>
      </c>
      <c r="F1302">
        <v>182</v>
      </c>
      <c r="G1302">
        <v>4</v>
      </c>
      <c r="H1302">
        <v>33</v>
      </c>
      <c r="I1302">
        <v>0</v>
      </c>
      <c r="J1302">
        <v>0</v>
      </c>
      <c r="K1302">
        <v>66</v>
      </c>
      <c r="L1302">
        <v>2</v>
      </c>
      <c r="M1302">
        <v>4</v>
      </c>
      <c r="N1302">
        <v>1</v>
      </c>
      <c r="O1302">
        <v>5</v>
      </c>
      <c r="P1302">
        <v>7</v>
      </c>
      <c r="Q1302">
        <v>0</v>
      </c>
      <c r="R1302">
        <v>0</v>
      </c>
      <c r="S1302">
        <v>0</v>
      </c>
      <c r="T1302">
        <v>0</v>
      </c>
      <c r="U1302">
        <v>0</v>
      </c>
      <c r="V1302">
        <f>IF(SUM(ifood_data[[#This Row],[AcceptedCmp1]:[AcceptedCmp5]])&gt;0,1,0)</f>
        <v>0</v>
      </c>
      <c r="W1302">
        <v>0</v>
      </c>
      <c r="X1302">
        <v>3</v>
      </c>
      <c r="Y1302">
        <v>11</v>
      </c>
      <c r="Z1302">
        <v>0</v>
      </c>
      <c r="AA1302">
        <v>66</v>
      </c>
      <c r="AB1302">
        <v>2461</v>
      </c>
      <c r="AC1302" s="28">
        <f>ifood_data[[#This Row],[Customer_Days]]/365</f>
        <v>6.7424657534246579</v>
      </c>
      <c r="AD1302">
        <v>0</v>
      </c>
      <c r="AE1302">
        <v>0</v>
      </c>
      <c r="AF1302">
        <v>0</v>
      </c>
      <c r="AG1302">
        <v>0</v>
      </c>
      <c r="AH1302">
        <v>1</v>
      </c>
      <c r="AI1302">
        <v>0</v>
      </c>
      <c r="AJ1302">
        <v>0</v>
      </c>
      <c r="AK1302">
        <v>0</v>
      </c>
      <c r="AL1302">
        <v>1</v>
      </c>
      <c r="AM1302">
        <v>0</v>
      </c>
      <c r="AN1302">
        <v>219</v>
      </c>
      <c r="AO1302">
        <v>153</v>
      </c>
      <c r="AP1302">
        <f>ifood_data[[#This Row],[MntTotal]]-ifood_data[[#This Row],[MntRegularProds]]</f>
        <v>66</v>
      </c>
      <c r="AQ1302">
        <v>0</v>
      </c>
      <c r="AR1302">
        <f>IF(SUM(ifood_data[[#This Row],[Kidhome]:[Teenhome]])&gt;0,1,0)</f>
        <v>1</v>
      </c>
      <c r="AS1302" t="str">
        <f>IF(SUM(ifood_data[[#This Row],[Kidhome]:[Teenhome]])&gt;0,"Has Family","No Family")</f>
        <v>Has Family</v>
      </c>
      <c r="AT1302" t="str">
        <f>IF(ifood_data[[#This Row],[marital_Married]]=1,"Married", (IF(ifood_data[[#This Row],[marital_Single]]=1,"Single",(IF(ifood_data[[#This Row],[marital_Divorced]]=1,"Divorced",(IF(ifood_data[[#This Row],[marital_Together]]=1,"Living Together",(IF(ifood_data[[#This Row],[marital_Widow]]=1,"Widow","Other")))))))))</f>
        <v>Widow</v>
      </c>
      <c r="AU1302" t="str">
        <f>IF(ifood_data[[#This Row],[education_Basic]]=1,"High School",(IF(ifood_data[[#This Row],[education_Graduation]]=1,"Undergraduate Degree",(IF(SUM(AM1302,AL1302,AI1302)&gt;0,"Master's Degree or Higher","Other")))))</f>
        <v>Master's Degree or Higher</v>
      </c>
      <c r="AV1302" t="str">
        <f>IF(ifood_data[[#All],[Income]]&gt;75000,"75K+",(IF(ifood_data[[#All],[Income]]&gt;50000,"50K-75K",(IF(ifood_data[[#All],[Income]]&gt;35000,"35K-50K","&lt;35K")))))</f>
        <v>35K-50K</v>
      </c>
      <c r="AW1302" t="str">
        <f>IF(ifood_data[[#All],[Age]]&gt;60,"60+",(IF(ifood_data[[#All],[Age]]&gt;50,"50-60",(IF(ifood_data[[#All],[Age]]&gt;40,"40-50",(IF(ifood_data[[#All],[Age]]&gt;30,"30-40","&lt;30")))))))</f>
        <v>60+</v>
      </c>
      <c r="AX1302">
        <f t="shared" si="80"/>
        <v>19</v>
      </c>
      <c r="AY1302">
        <f t="shared" si="81"/>
        <v>8</v>
      </c>
      <c r="AZ1302">
        <f t="shared" si="82"/>
        <v>4</v>
      </c>
      <c r="BA1302">
        <f t="shared" si="83"/>
        <v>4</v>
      </c>
      <c r="BB1302">
        <f>SUM(ifood_data[[#This Row],[Recency Score]:[Monetary Score]])</f>
        <v>16</v>
      </c>
      <c r="BC1302">
        <f>(_xlfn.PERCENTRANK.INC(ifood_data[[#All],[RFM]],ifood_data[[#This Row],[RFM]],1))*10</f>
        <v>5</v>
      </c>
      <c r="BD1302" t="str">
        <f>VLOOKUP(ifood_data[[#This Row],[RFM Score]],'RFM Analysis'!$A$3:$B$14,2,FALSE)</f>
        <v>Promising</v>
      </c>
      <c r="BE1302">
        <f>'Regression Models'!$B$101+'Regression Models'!$B$102*ifood_data[[#This Row],[Income]]+'Regression Models'!$B$103*ifood_data[[#This Row],[Age]]+'Regression Models'!$B$104*ifood_data[[#This Row],[Family]]</f>
        <v>309.70614302433557</v>
      </c>
      <c r="BF1302" t="str">
        <f>IF(ifood_data[[#This Row],[AcceptedCmpOverall]]=1,"Campaign Respondent","Non-respondent")</f>
        <v>Non-respondent</v>
      </c>
    </row>
    <row r="1303" spans="1:58" x14ac:dyDescent="0.35">
      <c r="A1303">
        <v>820</v>
      </c>
      <c r="B1303">
        <v>43456</v>
      </c>
      <c r="C1303">
        <v>0</v>
      </c>
      <c r="D1303">
        <v>1</v>
      </c>
      <c r="E1303">
        <v>0</v>
      </c>
      <c r="F1303">
        <v>275</v>
      </c>
      <c r="G1303">
        <v>11</v>
      </c>
      <c r="H1303">
        <v>68</v>
      </c>
      <c r="I1303">
        <v>25</v>
      </c>
      <c r="J1303">
        <v>7</v>
      </c>
      <c r="K1303">
        <v>7</v>
      </c>
      <c r="L1303">
        <v>3</v>
      </c>
      <c r="M1303">
        <v>5</v>
      </c>
      <c r="N1303">
        <v>1</v>
      </c>
      <c r="O1303">
        <v>8</v>
      </c>
      <c r="P1303">
        <v>5</v>
      </c>
      <c r="Q1303">
        <v>0</v>
      </c>
      <c r="R1303">
        <v>0</v>
      </c>
      <c r="S1303">
        <v>0</v>
      </c>
      <c r="T1303">
        <v>0</v>
      </c>
      <c r="U1303">
        <v>0</v>
      </c>
      <c r="V1303">
        <f>IF(SUM(ifood_data[[#This Row],[AcceptedCmp1]:[AcceptedCmp5]])&gt;0,1,0)</f>
        <v>0</v>
      </c>
      <c r="W1303">
        <v>0</v>
      </c>
      <c r="X1303">
        <v>3</v>
      </c>
      <c r="Y1303">
        <v>11</v>
      </c>
      <c r="Z1303">
        <v>0</v>
      </c>
      <c r="AA1303">
        <v>54</v>
      </c>
      <c r="AB1303">
        <v>2619</v>
      </c>
      <c r="AC1303" s="28">
        <f>ifood_data[[#This Row],[Customer_Days]]/365</f>
        <v>7.1753424657534248</v>
      </c>
      <c r="AD1303">
        <v>0</v>
      </c>
      <c r="AE1303">
        <v>0</v>
      </c>
      <c r="AF1303">
        <v>1</v>
      </c>
      <c r="AG1303">
        <v>0</v>
      </c>
      <c r="AH1303">
        <v>0</v>
      </c>
      <c r="AI1303">
        <v>0</v>
      </c>
      <c r="AJ1303">
        <v>0</v>
      </c>
      <c r="AK1303">
        <v>0</v>
      </c>
      <c r="AL1303">
        <v>1</v>
      </c>
      <c r="AM1303">
        <v>0</v>
      </c>
      <c r="AN1303">
        <v>386</v>
      </c>
      <c r="AO1303">
        <v>379</v>
      </c>
      <c r="AP1303">
        <f>ifood_data[[#This Row],[MntTotal]]-ifood_data[[#This Row],[MntRegularProds]]</f>
        <v>7</v>
      </c>
      <c r="AQ1303">
        <v>0</v>
      </c>
      <c r="AR1303">
        <f>IF(SUM(ifood_data[[#This Row],[Kidhome]:[Teenhome]])&gt;0,1,0)</f>
        <v>1</v>
      </c>
      <c r="AS1303" t="str">
        <f>IF(SUM(ifood_data[[#This Row],[Kidhome]:[Teenhome]])&gt;0,"Has Family","No Family")</f>
        <v>Has Family</v>
      </c>
      <c r="AT1303" t="str">
        <f>IF(ifood_data[[#This Row],[marital_Married]]=1,"Married", (IF(ifood_data[[#This Row],[marital_Single]]=1,"Single",(IF(ifood_data[[#This Row],[marital_Divorced]]=1,"Divorced",(IF(ifood_data[[#This Row],[marital_Together]]=1,"Living Together",(IF(ifood_data[[#This Row],[marital_Widow]]=1,"Widow","Other")))))))))</f>
        <v>Single</v>
      </c>
      <c r="AU1303" t="str">
        <f>IF(ifood_data[[#This Row],[education_Basic]]=1,"High School",(IF(ifood_data[[#This Row],[education_Graduation]]=1,"Undergraduate Degree",(IF(SUM(AM1303,AL1303,AI1303)&gt;0,"Master's Degree or Higher","Other")))))</f>
        <v>Master's Degree or Higher</v>
      </c>
      <c r="AV1303" t="str">
        <f>IF(ifood_data[[#All],[Income]]&gt;75000,"75K+",(IF(ifood_data[[#All],[Income]]&gt;50000,"50K-75K",(IF(ifood_data[[#All],[Income]]&gt;35000,"35K-50K","&lt;35K")))))</f>
        <v>35K-50K</v>
      </c>
      <c r="AW1303" t="str">
        <f>IF(ifood_data[[#All],[Age]]&gt;60,"60+",(IF(ifood_data[[#All],[Age]]&gt;50,"50-60",(IF(ifood_data[[#All],[Age]]&gt;40,"40-50",(IF(ifood_data[[#All],[Age]]&gt;30,"30-40","&lt;30")))))))</f>
        <v>50-60</v>
      </c>
      <c r="AX1303">
        <f t="shared" si="80"/>
        <v>22</v>
      </c>
      <c r="AY1303">
        <f t="shared" si="81"/>
        <v>10</v>
      </c>
      <c r="AZ1303">
        <f t="shared" si="82"/>
        <v>5</v>
      </c>
      <c r="BA1303">
        <f t="shared" si="83"/>
        <v>5</v>
      </c>
      <c r="BB1303">
        <f>SUM(ifood_data[[#This Row],[Recency Score]:[Monetary Score]])</f>
        <v>20</v>
      </c>
      <c r="BC1303">
        <f>(_xlfn.PERCENTRANK.INC(ifood_data[[#All],[RFM]],ifood_data[[#This Row],[RFM]],1))*10</f>
        <v>7</v>
      </c>
      <c r="BD1303" t="str">
        <f>VLOOKUP(ifood_data[[#This Row],[RFM Score]],'RFM Analysis'!$A$3:$B$14,2,FALSE)</f>
        <v>Loyal Customer</v>
      </c>
      <c r="BE1303">
        <f>'Regression Models'!$B$101+'Regression Models'!$B$102*ifood_data[[#This Row],[Income]]+'Regression Models'!$B$103*ifood_data[[#This Row],[Age]]+'Regression Models'!$B$104*ifood_data[[#This Row],[Family]]</f>
        <v>309.41771085349762</v>
      </c>
      <c r="BF1303" t="str">
        <f>IF(ifood_data[[#This Row],[AcceptedCmpOverall]]=1,"Campaign Respondent","Non-respondent")</f>
        <v>Non-respondent</v>
      </c>
    </row>
    <row r="1304" spans="1:58" x14ac:dyDescent="0.35">
      <c r="A1304">
        <v>692</v>
      </c>
      <c r="B1304">
        <v>45072</v>
      </c>
      <c r="C1304">
        <v>1</v>
      </c>
      <c r="D1304">
        <v>2</v>
      </c>
      <c r="E1304">
        <v>74</v>
      </c>
      <c r="F1304">
        <v>144</v>
      </c>
      <c r="G1304">
        <v>2</v>
      </c>
      <c r="H1304">
        <v>99</v>
      </c>
      <c r="I1304">
        <v>7</v>
      </c>
      <c r="J1304">
        <v>2</v>
      </c>
      <c r="K1304">
        <v>30</v>
      </c>
      <c r="L1304">
        <v>5</v>
      </c>
      <c r="M1304">
        <v>6</v>
      </c>
      <c r="N1304">
        <v>1</v>
      </c>
      <c r="O1304">
        <v>4</v>
      </c>
      <c r="P1304">
        <v>8</v>
      </c>
      <c r="Q1304">
        <v>0</v>
      </c>
      <c r="R1304">
        <v>0</v>
      </c>
      <c r="S1304">
        <v>0</v>
      </c>
      <c r="T1304">
        <v>0</v>
      </c>
      <c r="U1304">
        <v>0</v>
      </c>
      <c r="V1304">
        <f>IF(SUM(ifood_data[[#This Row],[AcceptedCmp1]:[AcceptedCmp5]])&gt;0,1,0)</f>
        <v>0</v>
      </c>
      <c r="W1304">
        <v>0</v>
      </c>
      <c r="X1304">
        <v>3</v>
      </c>
      <c r="Y1304">
        <v>11</v>
      </c>
      <c r="Z1304">
        <v>0</v>
      </c>
      <c r="AA1304">
        <v>72</v>
      </c>
      <c r="AB1304">
        <v>2415</v>
      </c>
      <c r="AC1304" s="28">
        <f>ifood_data[[#This Row],[Customer_Days]]/365</f>
        <v>6.6164383561643838</v>
      </c>
      <c r="AD1304">
        <v>1</v>
      </c>
      <c r="AE1304">
        <v>0</v>
      </c>
      <c r="AF1304">
        <v>0</v>
      </c>
      <c r="AG1304">
        <v>0</v>
      </c>
      <c r="AH1304">
        <v>0</v>
      </c>
      <c r="AI1304">
        <v>0</v>
      </c>
      <c r="AJ1304">
        <v>0</v>
      </c>
      <c r="AK1304">
        <v>0</v>
      </c>
      <c r="AL1304">
        <v>0</v>
      </c>
      <c r="AM1304">
        <v>1</v>
      </c>
      <c r="AN1304">
        <v>254</v>
      </c>
      <c r="AO1304">
        <v>224</v>
      </c>
      <c r="AP1304">
        <f>ifood_data[[#This Row],[MntTotal]]-ifood_data[[#This Row],[MntRegularProds]]</f>
        <v>30</v>
      </c>
      <c r="AQ1304">
        <v>0</v>
      </c>
      <c r="AR1304">
        <f>IF(SUM(ifood_data[[#This Row],[Kidhome]:[Teenhome]])&gt;0,1,0)</f>
        <v>1</v>
      </c>
      <c r="AS1304" t="str">
        <f>IF(SUM(ifood_data[[#This Row],[Kidhome]:[Teenhome]])&gt;0,"Has Family","No Family")</f>
        <v>Has Family</v>
      </c>
      <c r="AT1304" t="str">
        <f>IF(ifood_data[[#This Row],[marital_Married]]=1,"Married", (IF(ifood_data[[#This Row],[marital_Single]]=1,"Single",(IF(ifood_data[[#This Row],[marital_Divorced]]=1,"Divorced",(IF(ifood_data[[#This Row],[marital_Together]]=1,"Living Together",(IF(ifood_data[[#This Row],[marital_Widow]]=1,"Widow","Other")))))))))</f>
        <v>Divorced</v>
      </c>
      <c r="AU1304" t="str">
        <f>IF(ifood_data[[#This Row],[education_Basic]]=1,"High School",(IF(ifood_data[[#This Row],[education_Graduation]]=1,"Undergraduate Degree",(IF(SUM(AM1304,AL1304,AI1304)&gt;0,"Master's Degree or Higher","Other")))))</f>
        <v>Master's Degree or Higher</v>
      </c>
      <c r="AV1304" t="str">
        <f>IF(ifood_data[[#All],[Income]]&gt;75000,"75K+",(IF(ifood_data[[#All],[Income]]&gt;50000,"50K-75K",(IF(ifood_data[[#All],[Income]]&gt;35000,"35K-50K","&lt;35K")))))</f>
        <v>35K-50K</v>
      </c>
      <c r="AW1304" t="str">
        <f>IF(ifood_data[[#All],[Age]]&gt;60,"60+",(IF(ifood_data[[#All],[Age]]&gt;50,"50-60",(IF(ifood_data[[#All],[Age]]&gt;40,"40-50",(IF(ifood_data[[#All],[Age]]&gt;30,"30-40","&lt;30")))))))</f>
        <v>60+</v>
      </c>
      <c r="AX1304">
        <f t="shared" si="80"/>
        <v>24</v>
      </c>
      <c r="AY1304">
        <f t="shared" si="81"/>
        <v>3.0000000000000004</v>
      </c>
      <c r="AZ1304">
        <f t="shared" si="82"/>
        <v>6</v>
      </c>
      <c r="BA1304">
        <f t="shared" si="83"/>
        <v>4</v>
      </c>
      <c r="BB1304">
        <f>SUM(ifood_data[[#This Row],[Recency Score]:[Monetary Score]])</f>
        <v>13</v>
      </c>
      <c r="BC1304">
        <f>(_xlfn.PERCENTRANK.INC(ifood_data[[#All],[RFM]],ifood_data[[#This Row],[RFM]],1))*10</f>
        <v>3</v>
      </c>
      <c r="BD1304" t="str">
        <f>VLOOKUP(ifood_data[[#This Row],[RFM Score]],'RFM Analysis'!$A$3:$B$14,2,FALSE)</f>
        <v>At Risk</v>
      </c>
      <c r="BE1304">
        <f>'Regression Models'!$B$101+'Regression Models'!$B$102*ifood_data[[#This Row],[Income]]+'Regression Models'!$B$103*ifood_data[[#This Row],[Age]]+'Regression Models'!$B$104*ifood_data[[#This Row],[Family]]</f>
        <v>309.31005675394135</v>
      </c>
      <c r="BF1304" t="str">
        <f>IF(ifood_data[[#This Row],[AcceptedCmpOverall]]=1,"Campaign Respondent","Non-respondent")</f>
        <v>Non-respondent</v>
      </c>
    </row>
    <row r="1305" spans="1:58" x14ac:dyDescent="0.35">
      <c r="A1305">
        <v>1318</v>
      </c>
      <c r="B1305">
        <v>43142</v>
      </c>
      <c r="C1305">
        <v>1</v>
      </c>
      <c r="D1305">
        <v>1</v>
      </c>
      <c r="E1305">
        <v>84</v>
      </c>
      <c r="F1305">
        <v>5</v>
      </c>
      <c r="G1305">
        <v>1</v>
      </c>
      <c r="H1305">
        <v>7</v>
      </c>
      <c r="I1305">
        <v>2</v>
      </c>
      <c r="J1305">
        <v>1</v>
      </c>
      <c r="K1305">
        <v>4</v>
      </c>
      <c r="L1305">
        <v>1</v>
      </c>
      <c r="M1305">
        <v>1</v>
      </c>
      <c r="N1305">
        <v>0</v>
      </c>
      <c r="O1305">
        <v>2</v>
      </c>
      <c r="P1305">
        <v>7</v>
      </c>
      <c r="Q1305">
        <v>0</v>
      </c>
      <c r="R1305">
        <v>0</v>
      </c>
      <c r="S1305">
        <v>0</v>
      </c>
      <c r="T1305">
        <v>0</v>
      </c>
      <c r="U1305">
        <v>0</v>
      </c>
      <c r="V1305">
        <f>IF(SUM(ifood_data[[#This Row],[AcceptedCmp1]:[AcceptedCmp5]])&gt;0,1,0)</f>
        <v>0</v>
      </c>
      <c r="W1305">
        <v>0</v>
      </c>
      <c r="X1305">
        <v>3</v>
      </c>
      <c r="Y1305">
        <v>11</v>
      </c>
      <c r="Z1305">
        <v>0</v>
      </c>
      <c r="AA1305">
        <v>51</v>
      </c>
      <c r="AB1305">
        <v>2290</v>
      </c>
      <c r="AC1305" s="28">
        <f>ifood_data[[#This Row],[Customer_Days]]/365</f>
        <v>6.2739726027397262</v>
      </c>
      <c r="AD1305">
        <v>0</v>
      </c>
      <c r="AE1305">
        <v>1</v>
      </c>
      <c r="AF1305">
        <v>0</v>
      </c>
      <c r="AG1305">
        <v>0</v>
      </c>
      <c r="AH1305">
        <v>0</v>
      </c>
      <c r="AI1305">
        <v>0</v>
      </c>
      <c r="AJ1305">
        <v>0</v>
      </c>
      <c r="AK1305">
        <v>0</v>
      </c>
      <c r="AL1305">
        <v>1</v>
      </c>
      <c r="AM1305">
        <v>0</v>
      </c>
      <c r="AN1305">
        <v>16</v>
      </c>
      <c r="AO1305">
        <v>12</v>
      </c>
      <c r="AP1305">
        <f>ifood_data[[#This Row],[MntTotal]]-ifood_data[[#This Row],[MntRegularProds]]</f>
        <v>4</v>
      </c>
      <c r="AQ1305">
        <v>0</v>
      </c>
      <c r="AR1305">
        <f>IF(SUM(ifood_data[[#This Row],[Kidhome]:[Teenhome]])&gt;0,1,0)</f>
        <v>1</v>
      </c>
      <c r="AS1305" t="str">
        <f>IF(SUM(ifood_data[[#This Row],[Kidhome]:[Teenhome]])&gt;0,"Has Family","No Family")</f>
        <v>Has Family</v>
      </c>
      <c r="AT1305" t="str">
        <f>IF(ifood_data[[#This Row],[marital_Married]]=1,"Married", (IF(ifood_data[[#This Row],[marital_Single]]=1,"Single",(IF(ifood_data[[#This Row],[marital_Divorced]]=1,"Divorced",(IF(ifood_data[[#This Row],[marital_Together]]=1,"Living Together",(IF(ifood_data[[#This Row],[marital_Widow]]=1,"Widow","Other")))))))))</f>
        <v>Married</v>
      </c>
      <c r="AU1305" t="str">
        <f>IF(ifood_data[[#This Row],[education_Basic]]=1,"High School",(IF(ifood_data[[#This Row],[education_Graduation]]=1,"Undergraduate Degree",(IF(SUM(AM1305,AL1305,AI1305)&gt;0,"Master's Degree or Higher","Other")))))</f>
        <v>Master's Degree or Higher</v>
      </c>
      <c r="AV1305" t="str">
        <f>IF(ifood_data[[#All],[Income]]&gt;75000,"75K+",(IF(ifood_data[[#All],[Income]]&gt;50000,"50K-75K",(IF(ifood_data[[#All],[Income]]&gt;35000,"35K-50K","&lt;35K")))))</f>
        <v>35K-50K</v>
      </c>
      <c r="AW1305" t="str">
        <f>IF(ifood_data[[#All],[Age]]&gt;60,"60+",(IF(ifood_data[[#All],[Age]]&gt;50,"50-60",(IF(ifood_data[[#All],[Age]]&gt;40,"40-50",(IF(ifood_data[[#All],[Age]]&gt;30,"30-40","&lt;30")))))))</f>
        <v>50-60</v>
      </c>
      <c r="AX1305">
        <f t="shared" si="80"/>
        <v>11</v>
      </c>
      <c r="AY1305">
        <f t="shared" si="81"/>
        <v>1.9999999999999996</v>
      </c>
      <c r="AZ1305">
        <f t="shared" si="82"/>
        <v>0</v>
      </c>
      <c r="BA1305">
        <f t="shared" si="83"/>
        <v>0</v>
      </c>
      <c r="BB1305">
        <f>SUM(ifood_data[[#This Row],[Recency Score]:[Monetary Score]])</f>
        <v>1.9999999999999996</v>
      </c>
      <c r="BC1305">
        <f>(_xlfn.PERCENTRANK.INC(ifood_data[[#All],[RFM]],ifood_data[[#This Row],[RFM]],1))*10</f>
        <v>0</v>
      </c>
      <c r="BD1305" t="str">
        <f>VLOOKUP(ifood_data[[#This Row],[RFM Score]],'RFM Analysis'!$A$3:$B$14,2,FALSE)</f>
        <v>Lost</v>
      </c>
      <c r="BE1305">
        <f>'Regression Models'!$B$101+'Regression Models'!$B$102*ifood_data[[#This Row],[Income]]+'Regression Models'!$B$103*ifood_data[[#This Row],[Age]]+'Regression Models'!$B$104*ifood_data[[#This Row],[Family]]</f>
        <v>308.52495489299622</v>
      </c>
      <c r="BF1305" t="str">
        <f>IF(ifood_data[[#This Row],[AcceptedCmpOverall]]=1,"Campaign Respondent","Non-respondent")</f>
        <v>Non-respondent</v>
      </c>
    </row>
    <row r="1306" spans="1:58" x14ac:dyDescent="0.35">
      <c r="A1306">
        <v>1866</v>
      </c>
      <c r="B1306">
        <v>43020</v>
      </c>
      <c r="C1306">
        <v>1</v>
      </c>
      <c r="D1306">
        <v>0</v>
      </c>
      <c r="E1306">
        <v>79</v>
      </c>
      <c r="F1306">
        <v>45</v>
      </c>
      <c r="G1306">
        <v>7</v>
      </c>
      <c r="H1306">
        <v>99</v>
      </c>
      <c r="I1306">
        <v>4</v>
      </c>
      <c r="J1306">
        <v>25</v>
      </c>
      <c r="K1306">
        <v>43</v>
      </c>
      <c r="L1306">
        <v>3</v>
      </c>
      <c r="M1306">
        <v>4</v>
      </c>
      <c r="N1306">
        <v>1</v>
      </c>
      <c r="O1306">
        <v>4</v>
      </c>
      <c r="P1306">
        <v>6</v>
      </c>
      <c r="Q1306">
        <v>0</v>
      </c>
      <c r="R1306">
        <v>0</v>
      </c>
      <c r="S1306">
        <v>0</v>
      </c>
      <c r="T1306">
        <v>0</v>
      </c>
      <c r="U1306">
        <v>0</v>
      </c>
      <c r="V1306">
        <f>IF(SUM(ifood_data[[#This Row],[AcceptedCmp1]:[AcceptedCmp5]])&gt;0,1,0)</f>
        <v>0</v>
      </c>
      <c r="W1306">
        <v>0</v>
      </c>
      <c r="X1306">
        <v>3</v>
      </c>
      <c r="Y1306">
        <v>11</v>
      </c>
      <c r="Z1306">
        <v>0</v>
      </c>
      <c r="AA1306">
        <v>50</v>
      </c>
      <c r="AB1306">
        <v>2370</v>
      </c>
      <c r="AC1306" s="28">
        <f>ifood_data[[#This Row],[Customer_Days]]/365</f>
        <v>6.493150684931507</v>
      </c>
      <c r="AD1306">
        <v>0</v>
      </c>
      <c r="AE1306">
        <v>0</v>
      </c>
      <c r="AF1306">
        <v>1</v>
      </c>
      <c r="AG1306">
        <v>0</v>
      </c>
      <c r="AH1306">
        <v>0</v>
      </c>
      <c r="AI1306">
        <v>0</v>
      </c>
      <c r="AJ1306">
        <v>0</v>
      </c>
      <c r="AK1306">
        <v>1</v>
      </c>
      <c r="AL1306">
        <v>0</v>
      </c>
      <c r="AM1306">
        <v>0</v>
      </c>
      <c r="AN1306">
        <v>180</v>
      </c>
      <c r="AO1306">
        <v>137</v>
      </c>
      <c r="AP1306">
        <f>ifood_data[[#This Row],[MntTotal]]-ifood_data[[#This Row],[MntRegularProds]]</f>
        <v>43</v>
      </c>
      <c r="AQ1306">
        <v>0</v>
      </c>
      <c r="AR1306">
        <f>IF(SUM(ifood_data[[#This Row],[Kidhome]:[Teenhome]])&gt;0,1,0)</f>
        <v>1</v>
      </c>
      <c r="AS1306" t="str">
        <f>IF(SUM(ifood_data[[#This Row],[Kidhome]:[Teenhome]])&gt;0,"Has Family","No Family")</f>
        <v>Has Family</v>
      </c>
      <c r="AT1306" t="str">
        <f>IF(ifood_data[[#This Row],[marital_Married]]=1,"Married", (IF(ifood_data[[#This Row],[marital_Single]]=1,"Single",(IF(ifood_data[[#This Row],[marital_Divorced]]=1,"Divorced",(IF(ifood_data[[#This Row],[marital_Together]]=1,"Living Together",(IF(ifood_data[[#This Row],[marital_Widow]]=1,"Widow","Other")))))))))</f>
        <v>Single</v>
      </c>
      <c r="AU1306" t="str">
        <f>IF(ifood_data[[#This Row],[education_Basic]]=1,"High School",(IF(ifood_data[[#This Row],[education_Graduation]]=1,"Undergraduate Degree",(IF(SUM(AM1306,AL1306,AI1306)&gt;0,"Master's Degree or Higher","Other")))))</f>
        <v>Undergraduate Degree</v>
      </c>
      <c r="AV1306" t="str">
        <f>IF(ifood_data[[#All],[Income]]&gt;75000,"75K+",(IF(ifood_data[[#All],[Income]]&gt;50000,"50K-75K",(IF(ifood_data[[#All],[Income]]&gt;35000,"35K-50K","&lt;35K")))))</f>
        <v>35K-50K</v>
      </c>
      <c r="AW1306" t="str">
        <f>IF(ifood_data[[#All],[Age]]&gt;60,"60+",(IF(ifood_data[[#All],[Age]]&gt;50,"50-60",(IF(ifood_data[[#All],[Age]]&gt;40,"40-50",(IF(ifood_data[[#All],[Age]]&gt;30,"30-40","&lt;30")))))))</f>
        <v>40-50</v>
      </c>
      <c r="AX1306">
        <f t="shared" si="80"/>
        <v>18</v>
      </c>
      <c r="AY1306">
        <f t="shared" si="81"/>
        <v>3.0000000000000004</v>
      </c>
      <c r="AZ1306">
        <f t="shared" si="82"/>
        <v>4</v>
      </c>
      <c r="BA1306">
        <f t="shared" si="83"/>
        <v>3</v>
      </c>
      <c r="BB1306">
        <f>SUM(ifood_data[[#This Row],[Recency Score]:[Monetary Score]])</f>
        <v>10</v>
      </c>
      <c r="BC1306">
        <f>(_xlfn.PERCENTRANK.INC(ifood_data[[#All],[RFM]],ifood_data[[#This Row],[RFM]],1))*10</f>
        <v>2</v>
      </c>
      <c r="BD1306" t="str">
        <f>VLOOKUP(ifood_data[[#This Row],[RFM Score]],'RFM Analysis'!$A$3:$B$14,2,FALSE)</f>
        <v>At Risk</v>
      </c>
      <c r="BE1306">
        <f>'Regression Models'!$B$101+'Regression Models'!$B$102*ifood_data[[#This Row],[Income]]+'Regression Models'!$B$103*ifood_data[[#This Row],[Age]]+'Regression Models'!$B$104*ifood_data[[#This Row],[Family]]</f>
        <v>307.87396425833481</v>
      </c>
      <c r="BF1306" t="str">
        <f>IF(ifood_data[[#This Row],[AcceptedCmpOverall]]=1,"Campaign Respondent","Non-respondent")</f>
        <v>Non-respondent</v>
      </c>
    </row>
    <row r="1307" spans="1:58" x14ac:dyDescent="0.35">
      <c r="A1307">
        <v>1632</v>
      </c>
      <c r="B1307">
        <v>42473</v>
      </c>
      <c r="C1307">
        <v>1</v>
      </c>
      <c r="D1307">
        <v>1</v>
      </c>
      <c r="E1307">
        <v>72</v>
      </c>
      <c r="F1307">
        <v>93</v>
      </c>
      <c r="G1307">
        <v>1</v>
      </c>
      <c r="H1307">
        <v>21</v>
      </c>
      <c r="I1307">
        <v>0</v>
      </c>
      <c r="J1307">
        <v>4</v>
      </c>
      <c r="K1307">
        <v>25</v>
      </c>
      <c r="L1307">
        <v>3</v>
      </c>
      <c r="M1307">
        <v>2</v>
      </c>
      <c r="N1307">
        <v>1</v>
      </c>
      <c r="O1307">
        <v>4</v>
      </c>
      <c r="P1307">
        <v>5</v>
      </c>
      <c r="Q1307">
        <v>0</v>
      </c>
      <c r="R1307">
        <v>0</v>
      </c>
      <c r="S1307">
        <v>0</v>
      </c>
      <c r="T1307">
        <v>0</v>
      </c>
      <c r="U1307">
        <v>0</v>
      </c>
      <c r="V1307">
        <f>IF(SUM(ifood_data[[#This Row],[AcceptedCmp1]:[AcceptedCmp5]])&gt;0,1,0)</f>
        <v>0</v>
      </c>
      <c r="W1307">
        <v>0</v>
      </c>
      <c r="X1307">
        <v>3</v>
      </c>
      <c r="Y1307">
        <v>11</v>
      </c>
      <c r="Z1307">
        <v>0</v>
      </c>
      <c r="AA1307">
        <v>44</v>
      </c>
      <c r="AB1307">
        <v>2291</v>
      </c>
      <c r="AC1307" s="28">
        <f>ifood_data[[#This Row],[Customer_Days]]/365</f>
        <v>6.2767123287671236</v>
      </c>
      <c r="AD1307">
        <v>0</v>
      </c>
      <c r="AE1307">
        <v>0</v>
      </c>
      <c r="AF1307">
        <v>1</v>
      </c>
      <c r="AG1307">
        <v>0</v>
      </c>
      <c r="AH1307">
        <v>0</v>
      </c>
      <c r="AI1307">
        <v>0</v>
      </c>
      <c r="AJ1307">
        <v>0</v>
      </c>
      <c r="AK1307">
        <v>0</v>
      </c>
      <c r="AL1307">
        <v>0</v>
      </c>
      <c r="AM1307">
        <v>1</v>
      </c>
      <c r="AN1307">
        <v>119</v>
      </c>
      <c r="AO1307">
        <v>94</v>
      </c>
      <c r="AP1307">
        <f>ifood_data[[#This Row],[MntTotal]]-ifood_data[[#This Row],[MntRegularProds]]</f>
        <v>25</v>
      </c>
      <c r="AQ1307">
        <v>0</v>
      </c>
      <c r="AR1307">
        <f>IF(SUM(ifood_data[[#This Row],[Kidhome]:[Teenhome]])&gt;0,1,0)</f>
        <v>1</v>
      </c>
      <c r="AS1307" t="str">
        <f>IF(SUM(ifood_data[[#This Row],[Kidhome]:[Teenhome]])&gt;0,"Has Family","No Family")</f>
        <v>Has Family</v>
      </c>
      <c r="AT1307" t="str">
        <f>IF(ifood_data[[#This Row],[marital_Married]]=1,"Married", (IF(ifood_data[[#This Row],[marital_Single]]=1,"Single",(IF(ifood_data[[#This Row],[marital_Divorced]]=1,"Divorced",(IF(ifood_data[[#This Row],[marital_Together]]=1,"Living Together",(IF(ifood_data[[#This Row],[marital_Widow]]=1,"Widow","Other")))))))))</f>
        <v>Single</v>
      </c>
      <c r="AU1307" t="str">
        <f>IF(ifood_data[[#This Row],[education_Basic]]=1,"High School",(IF(ifood_data[[#This Row],[education_Graduation]]=1,"Undergraduate Degree",(IF(SUM(AM1307,AL1307,AI1307)&gt;0,"Master's Degree or Higher","Other")))))</f>
        <v>Master's Degree or Higher</v>
      </c>
      <c r="AV1307" t="str">
        <f>IF(ifood_data[[#All],[Income]]&gt;75000,"75K+",(IF(ifood_data[[#All],[Income]]&gt;50000,"50K-75K",(IF(ifood_data[[#All],[Income]]&gt;35000,"35K-50K","&lt;35K")))))</f>
        <v>35K-50K</v>
      </c>
      <c r="AW1307" t="str">
        <f>IF(ifood_data[[#All],[Age]]&gt;60,"60+",(IF(ifood_data[[#All],[Age]]&gt;50,"50-60",(IF(ifood_data[[#All],[Age]]&gt;40,"40-50",(IF(ifood_data[[#All],[Age]]&gt;30,"30-40","&lt;30")))))))</f>
        <v>40-50</v>
      </c>
      <c r="AX1307">
        <f t="shared" si="80"/>
        <v>15</v>
      </c>
      <c r="AY1307">
        <f t="shared" si="81"/>
        <v>3.0000000000000004</v>
      </c>
      <c r="AZ1307">
        <f t="shared" si="82"/>
        <v>2</v>
      </c>
      <c r="BA1307">
        <f t="shared" si="83"/>
        <v>3</v>
      </c>
      <c r="BB1307">
        <f>SUM(ifood_data[[#This Row],[Recency Score]:[Monetary Score]])</f>
        <v>8</v>
      </c>
      <c r="BC1307">
        <f>(_xlfn.PERCENTRANK.INC(ifood_data[[#All],[RFM]],ifood_data[[#This Row],[RFM]],1))*10</f>
        <v>1</v>
      </c>
      <c r="BD1307" t="str">
        <f>VLOOKUP(ifood_data[[#This Row],[RFM Score]],'RFM Analysis'!$A$3:$B$14,2,FALSE)</f>
        <v>At Risk</v>
      </c>
      <c r="BE1307">
        <f>'Regression Models'!$B$101+'Regression Models'!$B$102*ifood_data[[#This Row],[Income]]+'Regression Models'!$B$103*ifood_data[[#This Row],[Age]]+'Regression Models'!$B$104*ifood_data[[#This Row],[Family]]</f>
        <v>307.73994255698778</v>
      </c>
      <c r="BF1307" t="str">
        <f>IF(ifood_data[[#This Row],[AcceptedCmpOverall]]=1,"Campaign Respondent","Non-respondent")</f>
        <v>Non-respondent</v>
      </c>
    </row>
    <row r="1308" spans="1:58" x14ac:dyDescent="0.35">
      <c r="A1308">
        <v>939</v>
      </c>
      <c r="B1308">
        <v>42021</v>
      </c>
      <c r="C1308">
        <v>1</v>
      </c>
      <c r="D1308">
        <v>0</v>
      </c>
      <c r="E1308">
        <v>34</v>
      </c>
      <c r="F1308">
        <v>393</v>
      </c>
      <c r="G1308">
        <v>5</v>
      </c>
      <c r="H1308">
        <v>136</v>
      </c>
      <c r="I1308">
        <v>7</v>
      </c>
      <c r="J1308">
        <v>5</v>
      </c>
      <c r="K1308">
        <v>27</v>
      </c>
      <c r="L1308">
        <v>5</v>
      </c>
      <c r="M1308">
        <v>10</v>
      </c>
      <c r="N1308">
        <v>1</v>
      </c>
      <c r="O1308">
        <v>6</v>
      </c>
      <c r="P1308">
        <v>9</v>
      </c>
      <c r="Q1308">
        <v>0</v>
      </c>
      <c r="R1308">
        <v>0</v>
      </c>
      <c r="S1308">
        <v>1</v>
      </c>
      <c r="T1308">
        <v>0</v>
      </c>
      <c r="U1308">
        <v>0</v>
      </c>
      <c r="V1308">
        <f>IF(SUM(ifood_data[[#This Row],[AcceptedCmp1]:[AcceptedCmp5]])&gt;0,1,0)</f>
        <v>1</v>
      </c>
      <c r="W1308">
        <v>0</v>
      </c>
      <c r="X1308">
        <v>3</v>
      </c>
      <c r="Y1308">
        <v>11</v>
      </c>
      <c r="Z1308">
        <v>0</v>
      </c>
      <c r="AA1308">
        <v>39</v>
      </c>
      <c r="AB1308">
        <v>2826</v>
      </c>
      <c r="AC1308" s="28">
        <f>ifood_data[[#This Row],[Customer_Days]]/365</f>
        <v>7.7424657534246579</v>
      </c>
      <c r="AD1308">
        <v>0</v>
      </c>
      <c r="AE1308">
        <v>0</v>
      </c>
      <c r="AF1308">
        <v>0</v>
      </c>
      <c r="AG1308">
        <v>1</v>
      </c>
      <c r="AH1308">
        <v>0</v>
      </c>
      <c r="AI1308">
        <v>0</v>
      </c>
      <c r="AJ1308">
        <v>0</v>
      </c>
      <c r="AK1308">
        <v>0</v>
      </c>
      <c r="AL1308">
        <v>1</v>
      </c>
      <c r="AM1308">
        <v>0</v>
      </c>
      <c r="AN1308">
        <v>546</v>
      </c>
      <c r="AO1308">
        <v>519</v>
      </c>
      <c r="AP1308">
        <f>ifood_data[[#This Row],[MntTotal]]-ifood_data[[#This Row],[MntRegularProds]]</f>
        <v>27</v>
      </c>
      <c r="AQ1308">
        <v>1</v>
      </c>
      <c r="AR1308">
        <f>IF(SUM(ifood_data[[#This Row],[Kidhome]:[Teenhome]])&gt;0,1,0)</f>
        <v>1</v>
      </c>
      <c r="AS1308" t="str">
        <f>IF(SUM(ifood_data[[#This Row],[Kidhome]:[Teenhome]])&gt;0,"Has Family","No Family")</f>
        <v>Has Family</v>
      </c>
      <c r="AT1308" t="str">
        <f>IF(ifood_data[[#This Row],[marital_Married]]=1,"Married", (IF(ifood_data[[#This Row],[marital_Single]]=1,"Single",(IF(ifood_data[[#This Row],[marital_Divorced]]=1,"Divorced",(IF(ifood_data[[#This Row],[marital_Together]]=1,"Living Together",(IF(ifood_data[[#This Row],[marital_Widow]]=1,"Widow","Other")))))))))</f>
        <v>Living Together</v>
      </c>
      <c r="AU1308" t="str">
        <f>IF(ifood_data[[#This Row],[education_Basic]]=1,"High School",(IF(ifood_data[[#This Row],[education_Graduation]]=1,"Undergraduate Degree",(IF(SUM(AM1308,AL1308,AI1308)&gt;0,"Master's Degree or Higher","Other")))))</f>
        <v>Master's Degree or Higher</v>
      </c>
      <c r="AV1308" t="str">
        <f>IF(ifood_data[[#All],[Income]]&gt;75000,"75K+",(IF(ifood_data[[#All],[Income]]&gt;50000,"50K-75K",(IF(ifood_data[[#All],[Income]]&gt;35000,"35K-50K","&lt;35K")))))</f>
        <v>35K-50K</v>
      </c>
      <c r="AW1308" t="str">
        <f>IF(ifood_data[[#All],[Age]]&gt;60,"60+",(IF(ifood_data[[#All],[Age]]&gt;50,"50-60",(IF(ifood_data[[#All],[Age]]&gt;40,"40-50",(IF(ifood_data[[#All],[Age]]&gt;30,"30-40","&lt;30")))))))</f>
        <v>30-40</v>
      </c>
      <c r="AX1308">
        <f t="shared" si="80"/>
        <v>31</v>
      </c>
      <c r="AY1308">
        <f t="shared" si="81"/>
        <v>7</v>
      </c>
      <c r="AZ1308">
        <f t="shared" si="82"/>
        <v>9</v>
      </c>
      <c r="BA1308">
        <f t="shared" si="83"/>
        <v>5</v>
      </c>
      <c r="BB1308">
        <f>SUM(ifood_data[[#This Row],[Recency Score]:[Monetary Score]])</f>
        <v>21</v>
      </c>
      <c r="BC1308">
        <f>(_xlfn.PERCENTRANK.INC(ifood_data[[#All],[RFM]],ifood_data[[#This Row],[RFM]],1))*10</f>
        <v>8</v>
      </c>
      <c r="BD1308" t="str">
        <f>VLOOKUP(ifood_data[[#This Row],[RFM Score]],'RFM Analysis'!$A$3:$B$14,2,FALSE)</f>
        <v>Loyal Customer</v>
      </c>
      <c r="BE1308">
        <f>'Regression Models'!$B$101+'Regression Models'!$B$102*ifood_data[[#This Row],[Income]]+'Regression Models'!$B$103*ifood_data[[#This Row],[Age]]+'Regression Models'!$B$104*ifood_data[[#This Row],[Family]]</f>
        <v>307.7064147504168</v>
      </c>
      <c r="BF1308" t="str">
        <f>IF(ifood_data[[#This Row],[AcceptedCmpOverall]]=1,"Campaign Respondent","Non-respondent")</f>
        <v>Campaign Respondent</v>
      </c>
    </row>
    <row r="1309" spans="1:58" x14ac:dyDescent="0.35">
      <c r="A1309">
        <v>1725</v>
      </c>
      <c r="B1309">
        <v>44155</v>
      </c>
      <c r="C1309">
        <v>1</v>
      </c>
      <c r="D1309">
        <v>1</v>
      </c>
      <c r="E1309">
        <v>24</v>
      </c>
      <c r="F1309">
        <v>22</v>
      </c>
      <c r="G1309">
        <v>1</v>
      </c>
      <c r="H1309">
        <v>9</v>
      </c>
      <c r="I1309">
        <v>0</v>
      </c>
      <c r="J1309">
        <v>0</v>
      </c>
      <c r="K1309">
        <v>14</v>
      </c>
      <c r="L1309">
        <v>1</v>
      </c>
      <c r="M1309">
        <v>1</v>
      </c>
      <c r="N1309">
        <v>1</v>
      </c>
      <c r="O1309">
        <v>2</v>
      </c>
      <c r="P1309">
        <v>4</v>
      </c>
      <c r="Q1309">
        <v>0</v>
      </c>
      <c r="R1309">
        <v>0</v>
      </c>
      <c r="S1309">
        <v>0</v>
      </c>
      <c r="T1309">
        <v>0</v>
      </c>
      <c r="U1309">
        <v>0</v>
      </c>
      <c r="V1309">
        <f>IF(SUM(ifood_data[[#This Row],[AcceptedCmp1]:[AcceptedCmp5]])&gt;0,1,0)</f>
        <v>0</v>
      </c>
      <c r="W1309">
        <v>0</v>
      </c>
      <c r="X1309">
        <v>3</v>
      </c>
      <c r="Y1309">
        <v>11</v>
      </c>
      <c r="Z1309">
        <v>0</v>
      </c>
      <c r="AA1309">
        <v>63</v>
      </c>
      <c r="AB1309">
        <v>2320</v>
      </c>
      <c r="AC1309" s="28">
        <f>ifood_data[[#This Row],[Customer_Days]]/365</f>
        <v>6.3561643835616435</v>
      </c>
      <c r="AD1309">
        <v>0</v>
      </c>
      <c r="AE1309">
        <v>1</v>
      </c>
      <c r="AF1309">
        <v>0</v>
      </c>
      <c r="AG1309">
        <v>0</v>
      </c>
      <c r="AH1309">
        <v>0</v>
      </c>
      <c r="AI1309">
        <v>0</v>
      </c>
      <c r="AJ1309">
        <v>0</v>
      </c>
      <c r="AK1309">
        <v>0</v>
      </c>
      <c r="AL1309">
        <v>0</v>
      </c>
      <c r="AM1309">
        <v>1</v>
      </c>
      <c r="AN1309">
        <v>32</v>
      </c>
      <c r="AO1309">
        <v>18</v>
      </c>
      <c r="AP1309">
        <f>ifood_data[[#This Row],[MntTotal]]-ifood_data[[#This Row],[MntRegularProds]]</f>
        <v>14</v>
      </c>
      <c r="AQ1309">
        <v>0</v>
      </c>
      <c r="AR1309">
        <f>IF(SUM(ifood_data[[#This Row],[Kidhome]:[Teenhome]])&gt;0,1,0)</f>
        <v>1</v>
      </c>
      <c r="AS1309" t="str">
        <f>IF(SUM(ifood_data[[#This Row],[Kidhome]:[Teenhome]])&gt;0,"Has Family","No Family")</f>
        <v>Has Family</v>
      </c>
      <c r="AT1309" t="str">
        <f>IF(ifood_data[[#This Row],[marital_Married]]=1,"Married", (IF(ifood_data[[#This Row],[marital_Single]]=1,"Single",(IF(ifood_data[[#This Row],[marital_Divorced]]=1,"Divorced",(IF(ifood_data[[#This Row],[marital_Together]]=1,"Living Together",(IF(ifood_data[[#This Row],[marital_Widow]]=1,"Widow","Other")))))))))</f>
        <v>Married</v>
      </c>
      <c r="AU1309" t="str">
        <f>IF(ifood_data[[#This Row],[education_Basic]]=1,"High School",(IF(ifood_data[[#This Row],[education_Graduation]]=1,"Undergraduate Degree",(IF(SUM(AM1309,AL1309,AI1309)&gt;0,"Master's Degree or Higher","Other")))))</f>
        <v>Master's Degree or Higher</v>
      </c>
      <c r="AV1309" t="str">
        <f>IF(ifood_data[[#All],[Income]]&gt;75000,"75K+",(IF(ifood_data[[#All],[Income]]&gt;50000,"50K-75K",(IF(ifood_data[[#All],[Income]]&gt;35000,"35K-50K","&lt;35K")))))</f>
        <v>35K-50K</v>
      </c>
      <c r="AW1309" t="str">
        <f>IF(ifood_data[[#All],[Age]]&gt;60,"60+",(IF(ifood_data[[#All],[Age]]&gt;50,"50-60",(IF(ifood_data[[#All],[Age]]&gt;40,"40-50",(IF(ifood_data[[#All],[Age]]&gt;30,"30-40","&lt;30")))))))</f>
        <v>60+</v>
      </c>
      <c r="AX1309">
        <f t="shared" si="80"/>
        <v>9</v>
      </c>
      <c r="AY1309">
        <f t="shared" si="81"/>
        <v>8</v>
      </c>
      <c r="AZ1309">
        <f t="shared" si="82"/>
        <v>0</v>
      </c>
      <c r="BA1309">
        <f t="shared" si="83"/>
        <v>1</v>
      </c>
      <c r="BB1309">
        <f>SUM(ifood_data[[#This Row],[Recency Score]:[Monetary Score]])</f>
        <v>9</v>
      </c>
      <c r="BC1309">
        <f>(_xlfn.PERCENTRANK.INC(ifood_data[[#All],[RFM]],ifood_data[[#This Row],[RFM]],1))*10</f>
        <v>1</v>
      </c>
      <c r="BD1309" t="str">
        <f>VLOOKUP(ifood_data[[#This Row],[RFM Score]],'RFM Analysis'!$A$3:$B$14,2,FALSE)</f>
        <v>At Risk</v>
      </c>
      <c r="BE1309">
        <f>'Regression Models'!$B$101+'Regression Models'!$B$102*ifood_data[[#This Row],[Income]]+'Regression Models'!$B$103*ifood_data[[#This Row],[Age]]+'Regression Models'!$B$104*ifood_data[[#This Row],[Family]]</f>
        <v>307.14150807603448</v>
      </c>
      <c r="BF1309" t="str">
        <f>IF(ifood_data[[#This Row],[AcceptedCmpOverall]]=1,"Campaign Respondent","Non-respondent")</f>
        <v>Non-respondent</v>
      </c>
    </row>
    <row r="1310" spans="1:58" x14ac:dyDescent="0.35">
      <c r="A1310">
        <v>1649</v>
      </c>
      <c r="B1310">
        <v>44689</v>
      </c>
      <c r="C1310">
        <v>1</v>
      </c>
      <c r="D1310">
        <v>1</v>
      </c>
      <c r="E1310">
        <v>82</v>
      </c>
      <c r="F1310">
        <v>18</v>
      </c>
      <c r="G1310">
        <v>0</v>
      </c>
      <c r="H1310">
        <v>5</v>
      </c>
      <c r="I1310">
        <v>0</v>
      </c>
      <c r="J1310">
        <v>0</v>
      </c>
      <c r="K1310">
        <v>11</v>
      </c>
      <c r="L1310">
        <v>2</v>
      </c>
      <c r="M1310">
        <v>1</v>
      </c>
      <c r="N1310">
        <v>1</v>
      </c>
      <c r="O1310">
        <v>2</v>
      </c>
      <c r="P1310">
        <v>7</v>
      </c>
      <c r="Q1310">
        <v>0</v>
      </c>
      <c r="R1310">
        <v>0</v>
      </c>
      <c r="S1310">
        <v>1</v>
      </c>
      <c r="T1310">
        <v>0</v>
      </c>
      <c r="U1310">
        <v>0</v>
      </c>
      <c r="V1310">
        <f>IF(SUM(ifood_data[[#This Row],[AcceptedCmp1]:[AcceptedCmp5]])&gt;0,1,0)</f>
        <v>1</v>
      </c>
      <c r="W1310">
        <v>0</v>
      </c>
      <c r="X1310">
        <v>3</v>
      </c>
      <c r="Y1310">
        <v>11</v>
      </c>
      <c r="Z1310">
        <v>0</v>
      </c>
      <c r="AA1310">
        <v>69</v>
      </c>
      <c r="AB1310">
        <v>2329</v>
      </c>
      <c r="AC1310" s="28">
        <f>ifood_data[[#This Row],[Customer_Days]]/365</f>
        <v>6.3808219178082188</v>
      </c>
      <c r="AD1310">
        <v>0</v>
      </c>
      <c r="AE1310">
        <v>1</v>
      </c>
      <c r="AF1310">
        <v>0</v>
      </c>
      <c r="AG1310">
        <v>0</v>
      </c>
      <c r="AH1310">
        <v>0</v>
      </c>
      <c r="AI1310">
        <v>0</v>
      </c>
      <c r="AJ1310">
        <v>0</v>
      </c>
      <c r="AK1310">
        <v>1</v>
      </c>
      <c r="AL1310">
        <v>0</v>
      </c>
      <c r="AM1310">
        <v>0</v>
      </c>
      <c r="AN1310">
        <v>23</v>
      </c>
      <c r="AO1310">
        <v>12</v>
      </c>
      <c r="AP1310">
        <f>ifood_data[[#This Row],[MntTotal]]-ifood_data[[#This Row],[MntRegularProds]]</f>
        <v>11</v>
      </c>
      <c r="AQ1310">
        <v>1</v>
      </c>
      <c r="AR1310">
        <f>IF(SUM(ifood_data[[#This Row],[Kidhome]:[Teenhome]])&gt;0,1,0)</f>
        <v>1</v>
      </c>
      <c r="AS1310" t="str">
        <f>IF(SUM(ifood_data[[#This Row],[Kidhome]:[Teenhome]])&gt;0,"Has Family","No Family")</f>
        <v>Has Family</v>
      </c>
      <c r="AT1310" t="str">
        <f>IF(ifood_data[[#This Row],[marital_Married]]=1,"Married", (IF(ifood_data[[#This Row],[marital_Single]]=1,"Single",(IF(ifood_data[[#This Row],[marital_Divorced]]=1,"Divorced",(IF(ifood_data[[#This Row],[marital_Together]]=1,"Living Together",(IF(ifood_data[[#This Row],[marital_Widow]]=1,"Widow","Other")))))))))</f>
        <v>Married</v>
      </c>
      <c r="AU1310" t="str">
        <f>IF(ifood_data[[#This Row],[education_Basic]]=1,"High School",(IF(ifood_data[[#This Row],[education_Graduation]]=1,"Undergraduate Degree",(IF(SUM(AM1310,AL1310,AI1310)&gt;0,"Master's Degree or Higher","Other")))))</f>
        <v>Undergraduate Degree</v>
      </c>
      <c r="AV1310" t="str">
        <f>IF(ifood_data[[#All],[Income]]&gt;75000,"75K+",(IF(ifood_data[[#All],[Income]]&gt;50000,"50K-75K",(IF(ifood_data[[#All],[Income]]&gt;35000,"35K-50K","&lt;35K")))))</f>
        <v>35K-50K</v>
      </c>
      <c r="AW1310" t="str">
        <f>IF(ifood_data[[#All],[Age]]&gt;60,"60+",(IF(ifood_data[[#All],[Age]]&gt;50,"50-60",(IF(ifood_data[[#All],[Age]]&gt;40,"40-50",(IF(ifood_data[[#All],[Age]]&gt;30,"30-40","&lt;30")))))))</f>
        <v>60+</v>
      </c>
      <c r="AX1310">
        <f t="shared" si="80"/>
        <v>13</v>
      </c>
      <c r="AY1310">
        <f t="shared" si="81"/>
        <v>1.9999999999999996</v>
      </c>
      <c r="AZ1310">
        <f t="shared" si="82"/>
        <v>1</v>
      </c>
      <c r="BA1310">
        <f t="shared" si="83"/>
        <v>0</v>
      </c>
      <c r="BB1310">
        <f>SUM(ifood_data[[#This Row],[Recency Score]:[Monetary Score]])</f>
        <v>2.9999999999999996</v>
      </c>
      <c r="BC1310">
        <f>(_xlfn.PERCENTRANK.INC(ifood_data[[#All],[RFM]],ifood_data[[#This Row],[RFM]],1))*10</f>
        <v>0</v>
      </c>
      <c r="BD1310" t="str">
        <f>VLOOKUP(ifood_data[[#This Row],[RFM Score]],'RFM Analysis'!$A$3:$B$14,2,FALSE)</f>
        <v>Lost</v>
      </c>
      <c r="BE1310">
        <f>'Regression Models'!$B$101+'Regression Models'!$B$102*ifood_data[[#This Row],[Income]]+'Regression Models'!$B$103*ifood_data[[#This Row],[Age]]+'Regression Models'!$B$104*ifood_data[[#This Row],[Family]]</f>
        <v>307.01047579151088</v>
      </c>
      <c r="BF1310" t="str">
        <f>IF(ifood_data[[#This Row],[AcceptedCmpOverall]]=1,"Campaign Respondent","Non-respondent")</f>
        <v>Campaign Respondent</v>
      </c>
    </row>
    <row r="1311" spans="1:58" x14ac:dyDescent="0.35">
      <c r="A1311">
        <v>1964</v>
      </c>
      <c r="B1311">
        <v>41967</v>
      </c>
      <c r="C1311">
        <v>1</v>
      </c>
      <c r="D1311">
        <v>1</v>
      </c>
      <c r="E1311">
        <v>66</v>
      </c>
      <c r="F1311">
        <v>23</v>
      </c>
      <c r="G1311">
        <v>4</v>
      </c>
      <c r="H1311">
        <v>10</v>
      </c>
      <c r="I1311">
        <v>0</v>
      </c>
      <c r="J1311">
        <v>2</v>
      </c>
      <c r="K1311">
        <v>15</v>
      </c>
      <c r="L1311">
        <v>1</v>
      </c>
      <c r="M1311">
        <v>1</v>
      </c>
      <c r="N1311">
        <v>0</v>
      </c>
      <c r="O1311">
        <v>3</v>
      </c>
      <c r="P1311">
        <v>4</v>
      </c>
      <c r="Q1311">
        <v>0</v>
      </c>
      <c r="R1311">
        <v>0</v>
      </c>
      <c r="S1311">
        <v>0</v>
      </c>
      <c r="T1311">
        <v>0</v>
      </c>
      <c r="U1311">
        <v>0</v>
      </c>
      <c r="V1311">
        <f>IF(SUM(ifood_data[[#This Row],[AcceptedCmp1]:[AcceptedCmp5]])&gt;0,1,0)</f>
        <v>0</v>
      </c>
      <c r="W1311">
        <v>0</v>
      </c>
      <c r="X1311">
        <v>3</v>
      </c>
      <c r="Y1311">
        <v>11</v>
      </c>
      <c r="Z1311">
        <v>0</v>
      </c>
      <c r="AA1311">
        <v>39</v>
      </c>
      <c r="AB1311">
        <v>2377</v>
      </c>
      <c r="AC1311" s="28">
        <f>ifood_data[[#This Row],[Customer_Days]]/365</f>
        <v>6.5123287671232877</v>
      </c>
      <c r="AD1311">
        <v>0</v>
      </c>
      <c r="AE1311">
        <v>0</v>
      </c>
      <c r="AF1311">
        <v>1</v>
      </c>
      <c r="AG1311">
        <v>0</v>
      </c>
      <c r="AH1311">
        <v>0</v>
      </c>
      <c r="AI1311">
        <v>0</v>
      </c>
      <c r="AJ1311">
        <v>0</v>
      </c>
      <c r="AK1311">
        <v>1</v>
      </c>
      <c r="AL1311">
        <v>0</v>
      </c>
      <c r="AM1311">
        <v>0</v>
      </c>
      <c r="AN1311">
        <v>39</v>
      </c>
      <c r="AO1311">
        <v>24</v>
      </c>
      <c r="AP1311">
        <f>ifood_data[[#This Row],[MntTotal]]-ifood_data[[#This Row],[MntRegularProds]]</f>
        <v>15</v>
      </c>
      <c r="AQ1311">
        <v>0</v>
      </c>
      <c r="AR1311">
        <f>IF(SUM(ifood_data[[#This Row],[Kidhome]:[Teenhome]])&gt;0,1,0)</f>
        <v>1</v>
      </c>
      <c r="AS1311" t="str">
        <f>IF(SUM(ifood_data[[#This Row],[Kidhome]:[Teenhome]])&gt;0,"Has Family","No Family")</f>
        <v>Has Family</v>
      </c>
      <c r="AT1311" t="str">
        <f>IF(ifood_data[[#This Row],[marital_Married]]=1,"Married", (IF(ifood_data[[#This Row],[marital_Single]]=1,"Single",(IF(ifood_data[[#This Row],[marital_Divorced]]=1,"Divorced",(IF(ifood_data[[#This Row],[marital_Together]]=1,"Living Together",(IF(ifood_data[[#This Row],[marital_Widow]]=1,"Widow","Other")))))))))</f>
        <v>Single</v>
      </c>
      <c r="AU1311" t="str">
        <f>IF(ifood_data[[#This Row],[education_Basic]]=1,"High School",(IF(ifood_data[[#This Row],[education_Graduation]]=1,"Undergraduate Degree",(IF(SUM(AM1311,AL1311,AI1311)&gt;0,"Master's Degree or Higher","Other")))))</f>
        <v>Undergraduate Degree</v>
      </c>
      <c r="AV1311" t="str">
        <f>IF(ifood_data[[#All],[Income]]&gt;75000,"75K+",(IF(ifood_data[[#All],[Income]]&gt;50000,"50K-75K",(IF(ifood_data[[#All],[Income]]&gt;35000,"35K-50K","&lt;35K")))))</f>
        <v>35K-50K</v>
      </c>
      <c r="AW1311" t="str">
        <f>IF(ifood_data[[#All],[Age]]&gt;60,"60+",(IF(ifood_data[[#All],[Age]]&gt;50,"50-60",(IF(ifood_data[[#All],[Age]]&gt;40,"40-50",(IF(ifood_data[[#All],[Age]]&gt;30,"30-40","&lt;30")))))))</f>
        <v>30-40</v>
      </c>
      <c r="AX1311">
        <f t="shared" si="80"/>
        <v>9</v>
      </c>
      <c r="AY1311">
        <f t="shared" si="81"/>
        <v>4</v>
      </c>
      <c r="AZ1311">
        <f t="shared" si="82"/>
        <v>0</v>
      </c>
      <c r="BA1311">
        <f t="shared" si="83"/>
        <v>1</v>
      </c>
      <c r="BB1311">
        <f>SUM(ifood_data[[#This Row],[Recency Score]:[Monetary Score]])</f>
        <v>5</v>
      </c>
      <c r="BC1311">
        <f>(_xlfn.PERCENTRANK.INC(ifood_data[[#All],[RFM]],ifood_data[[#This Row],[RFM]],1))*10</f>
        <v>0</v>
      </c>
      <c r="BD1311" t="str">
        <f>VLOOKUP(ifood_data[[#This Row],[RFM Score]],'RFM Analysis'!$A$3:$B$14,2,FALSE)</f>
        <v>Lost</v>
      </c>
      <c r="BE1311">
        <f>'Regression Models'!$B$101+'Regression Models'!$B$102*ifood_data[[#This Row],[Income]]+'Regression Models'!$B$103*ifood_data[[#This Row],[Age]]+'Regression Models'!$B$104*ifood_data[[#This Row],[Family]]</f>
        <v>306.60542127064627</v>
      </c>
      <c r="BF1311" t="str">
        <f>IF(ifood_data[[#This Row],[AcceptedCmpOverall]]=1,"Campaign Respondent","Non-respondent")</f>
        <v>Non-respondent</v>
      </c>
    </row>
    <row r="1312" spans="1:58" x14ac:dyDescent="0.35">
      <c r="A1312">
        <v>830</v>
      </c>
      <c r="B1312">
        <v>42835</v>
      </c>
      <c r="C1312">
        <v>1</v>
      </c>
      <c r="D1312">
        <v>1</v>
      </c>
      <c r="E1312">
        <v>64</v>
      </c>
      <c r="F1312">
        <v>379</v>
      </c>
      <c r="G1312">
        <v>4</v>
      </c>
      <c r="H1312">
        <v>93</v>
      </c>
      <c r="I1312">
        <v>12</v>
      </c>
      <c r="J1312">
        <v>9</v>
      </c>
      <c r="K1312">
        <v>98</v>
      </c>
      <c r="L1312">
        <v>7</v>
      </c>
      <c r="M1312">
        <v>6</v>
      </c>
      <c r="N1312">
        <v>6</v>
      </c>
      <c r="O1312">
        <v>4</v>
      </c>
      <c r="P1312">
        <v>6</v>
      </c>
      <c r="Q1312">
        <v>0</v>
      </c>
      <c r="R1312">
        <v>0</v>
      </c>
      <c r="S1312">
        <v>0</v>
      </c>
      <c r="T1312">
        <v>0</v>
      </c>
      <c r="U1312">
        <v>0</v>
      </c>
      <c r="V1312">
        <f>IF(SUM(ifood_data[[#This Row],[AcceptedCmp1]:[AcceptedCmp5]])&gt;0,1,0)</f>
        <v>0</v>
      </c>
      <c r="W1312">
        <v>0</v>
      </c>
      <c r="X1312">
        <v>3</v>
      </c>
      <c r="Y1312">
        <v>11</v>
      </c>
      <c r="Z1312">
        <v>0</v>
      </c>
      <c r="AA1312">
        <v>49</v>
      </c>
      <c r="AB1312">
        <v>2523</v>
      </c>
      <c r="AC1312" s="28">
        <f>ifood_data[[#This Row],[Customer_Days]]/365</f>
        <v>6.912328767123288</v>
      </c>
      <c r="AD1312">
        <v>1</v>
      </c>
      <c r="AE1312">
        <v>0</v>
      </c>
      <c r="AF1312">
        <v>0</v>
      </c>
      <c r="AG1312">
        <v>0</v>
      </c>
      <c r="AH1312">
        <v>0</v>
      </c>
      <c r="AI1312">
        <v>0</v>
      </c>
      <c r="AJ1312">
        <v>0</v>
      </c>
      <c r="AK1312">
        <v>0</v>
      </c>
      <c r="AL1312">
        <v>1</v>
      </c>
      <c r="AM1312">
        <v>0</v>
      </c>
      <c r="AN1312">
        <v>497</v>
      </c>
      <c r="AO1312">
        <v>399</v>
      </c>
      <c r="AP1312">
        <f>ifood_data[[#This Row],[MntTotal]]-ifood_data[[#This Row],[MntRegularProds]]</f>
        <v>98</v>
      </c>
      <c r="AQ1312">
        <v>0</v>
      </c>
      <c r="AR1312">
        <f>IF(SUM(ifood_data[[#This Row],[Kidhome]:[Teenhome]])&gt;0,1,0)</f>
        <v>1</v>
      </c>
      <c r="AS1312" t="str">
        <f>IF(SUM(ifood_data[[#This Row],[Kidhome]:[Teenhome]])&gt;0,"Has Family","No Family")</f>
        <v>Has Family</v>
      </c>
      <c r="AT1312" t="str">
        <f>IF(ifood_data[[#This Row],[marital_Married]]=1,"Married", (IF(ifood_data[[#This Row],[marital_Single]]=1,"Single",(IF(ifood_data[[#This Row],[marital_Divorced]]=1,"Divorced",(IF(ifood_data[[#This Row],[marital_Together]]=1,"Living Together",(IF(ifood_data[[#This Row],[marital_Widow]]=1,"Widow","Other")))))))))</f>
        <v>Divorced</v>
      </c>
      <c r="AU1312" t="str">
        <f>IF(ifood_data[[#This Row],[education_Basic]]=1,"High School",(IF(ifood_data[[#This Row],[education_Graduation]]=1,"Undergraduate Degree",(IF(SUM(AM1312,AL1312,AI1312)&gt;0,"Master's Degree or Higher","Other")))))</f>
        <v>Master's Degree or Higher</v>
      </c>
      <c r="AV1312" t="str">
        <f>IF(ifood_data[[#All],[Income]]&gt;75000,"75K+",(IF(ifood_data[[#All],[Income]]&gt;50000,"50K-75K",(IF(ifood_data[[#All],[Income]]&gt;35000,"35K-50K","&lt;35K")))))</f>
        <v>35K-50K</v>
      </c>
      <c r="AW1312" t="str">
        <f>IF(ifood_data[[#All],[Age]]&gt;60,"60+",(IF(ifood_data[[#All],[Age]]&gt;50,"50-60",(IF(ifood_data[[#All],[Age]]&gt;40,"40-50",(IF(ifood_data[[#All],[Age]]&gt;30,"30-40","&lt;30")))))))</f>
        <v>40-50</v>
      </c>
      <c r="AX1312">
        <f t="shared" si="80"/>
        <v>29</v>
      </c>
      <c r="AY1312">
        <f t="shared" si="81"/>
        <v>4</v>
      </c>
      <c r="AZ1312">
        <f t="shared" si="82"/>
        <v>8</v>
      </c>
      <c r="BA1312">
        <f t="shared" si="83"/>
        <v>5</v>
      </c>
      <c r="BB1312">
        <f>SUM(ifood_data[[#This Row],[Recency Score]:[Monetary Score]])</f>
        <v>17</v>
      </c>
      <c r="BC1312">
        <f>(_xlfn.PERCENTRANK.INC(ifood_data[[#All],[RFM]],ifood_data[[#This Row],[RFM]],1))*10</f>
        <v>6</v>
      </c>
      <c r="BD1312" t="str">
        <f>VLOOKUP(ifood_data[[#This Row],[RFM Score]],'RFM Analysis'!$A$3:$B$14,2,FALSE)</f>
        <v>Promising</v>
      </c>
      <c r="BE1312">
        <f>'Regression Models'!$B$101+'Regression Models'!$B$102*ifood_data[[#This Row],[Income]]+'Regression Models'!$B$103*ifood_data[[#This Row],[Age]]+'Regression Models'!$B$104*ifood_data[[#This Row],[Family]]</f>
        <v>305.93848123060775</v>
      </c>
      <c r="BF1312" t="str">
        <f>IF(ifood_data[[#This Row],[AcceptedCmpOverall]]=1,"Campaign Respondent","Non-respondent")</f>
        <v>Non-respondent</v>
      </c>
    </row>
    <row r="1313" spans="1:58" x14ac:dyDescent="0.35">
      <c r="A1313">
        <v>998</v>
      </c>
      <c r="B1313">
        <v>42557</v>
      </c>
      <c r="C1313">
        <v>0</v>
      </c>
      <c r="D1313">
        <v>1</v>
      </c>
      <c r="E1313">
        <v>98</v>
      </c>
      <c r="F1313">
        <v>192</v>
      </c>
      <c r="G1313">
        <v>5</v>
      </c>
      <c r="H1313">
        <v>53</v>
      </c>
      <c r="I1313">
        <v>0</v>
      </c>
      <c r="J1313">
        <v>5</v>
      </c>
      <c r="K1313">
        <v>15</v>
      </c>
      <c r="L1313">
        <v>4</v>
      </c>
      <c r="M1313">
        <v>6</v>
      </c>
      <c r="N1313">
        <v>1</v>
      </c>
      <c r="O1313">
        <v>4</v>
      </c>
      <c r="P1313">
        <v>8</v>
      </c>
      <c r="Q1313">
        <v>0</v>
      </c>
      <c r="R1313">
        <v>0</v>
      </c>
      <c r="S1313">
        <v>0</v>
      </c>
      <c r="T1313">
        <v>0</v>
      </c>
      <c r="U1313">
        <v>0</v>
      </c>
      <c r="V1313">
        <f>IF(SUM(ifood_data[[#This Row],[AcceptedCmp1]:[AcceptedCmp5]])&gt;0,1,0)</f>
        <v>0</v>
      </c>
      <c r="W1313">
        <v>0</v>
      </c>
      <c r="X1313">
        <v>3</v>
      </c>
      <c r="Y1313">
        <v>11</v>
      </c>
      <c r="Z1313">
        <v>0</v>
      </c>
      <c r="AA1313">
        <v>46</v>
      </c>
      <c r="AB1313">
        <v>2828</v>
      </c>
      <c r="AC1313" s="28">
        <f>ifood_data[[#This Row],[Customer_Days]]/365</f>
        <v>7.7479452054794518</v>
      </c>
      <c r="AD1313">
        <v>0</v>
      </c>
      <c r="AE1313">
        <v>1</v>
      </c>
      <c r="AF1313">
        <v>0</v>
      </c>
      <c r="AG1313">
        <v>0</v>
      </c>
      <c r="AH1313">
        <v>0</v>
      </c>
      <c r="AI1313">
        <v>0</v>
      </c>
      <c r="AJ1313">
        <v>0</v>
      </c>
      <c r="AK1313">
        <v>1</v>
      </c>
      <c r="AL1313">
        <v>0</v>
      </c>
      <c r="AM1313">
        <v>0</v>
      </c>
      <c r="AN1313">
        <v>255</v>
      </c>
      <c r="AO1313">
        <v>240</v>
      </c>
      <c r="AP1313">
        <f>ifood_data[[#This Row],[MntTotal]]-ifood_data[[#This Row],[MntRegularProds]]</f>
        <v>15</v>
      </c>
      <c r="AQ1313">
        <v>0</v>
      </c>
      <c r="AR1313">
        <f>IF(SUM(ifood_data[[#This Row],[Kidhome]:[Teenhome]])&gt;0,1,0)</f>
        <v>1</v>
      </c>
      <c r="AS1313" t="str">
        <f>IF(SUM(ifood_data[[#This Row],[Kidhome]:[Teenhome]])&gt;0,"Has Family","No Family")</f>
        <v>Has Family</v>
      </c>
      <c r="AT1313" t="str">
        <f>IF(ifood_data[[#This Row],[marital_Married]]=1,"Married", (IF(ifood_data[[#This Row],[marital_Single]]=1,"Single",(IF(ifood_data[[#This Row],[marital_Divorced]]=1,"Divorced",(IF(ifood_data[[#This Row],[marital_Together]]=1,"Living Together",(IF(ifood_data[[#This Row],[marital_Widow]]=1,"Widow","Other")))))))))</f>
        <v>Married</v>
      </c>
      <c r="AU1313" t="str">
        <f>IF(ifood_data[[#This Row],[education_Basic]]=1,"High School",(IF(ifood_data[[#This Row],[education_Graduation]]=1,"Undergraduate Degree",(IF(SUM(AM1313,AL1313,AI1313)&gt;0,"Master's Degree or Higher","Other")))))</f>
        <v>Undergraduate Degree</v>
      </c>
      <c r="AV1313" t="str">
        <f>IF(ifood_data[[#All],[Income]]&gt;75000,"75K+",(IF(ifood_data[[#All],[Income]]&gt;50000,"50K-75K",(IF(ifood_data[[#All],[Income]]&gt;35000,"35K-50K","&lt;35K")))))</f>
        <v>35K-50K</v>
      </c>
      <c r="AW1313" t="str">
        <f>IF(ifood_data[[#All],[Age]]&gt;60,"60+",(IF(ifood_data[[#All],[Age]]&gt;50,"50-60",(IF(ifood_data[[#All],[Age]]&gt;40,"40-50",(IF(ifood_data[[#All],[Age]]&gt;30,"30-40","&lt;30")))))))</f>
        <v>40-50</v>
      </c>
      <c r="AX1313">
        <f t="shared" si="80"/>
        <v>23</v>
      </c>
      <c r="AY1313">
        <f t="shared" si="81"/>
        <v>0.99999999999999978</v>
      </c>
      <c r="AZ1313">
        <f t="shared" si="82"/>
        <v>6</v>
      </c>
      <c r="BA1313">
        <f t="shared" si="83"/>
        <v>4</v>
      </c>
      <c r="BB1313">
        <f>SUM(ifood_data[[#This Row],[Recency Score]:[Monetary Score]])</f>
        <v>11</v>
      </c>
      <c r="BC1313">
        <f>(_xlfn.PERCENTRANK.INC(ifood_data[[#All],[RFM]],ifood_data[[#This Row],[RFM]],1))*10</f>
        <v>2</v>
      </c>
      <c r="BD1313" t="str">
        <f>VLOOKUP(ifood_data[[#This Row],[RFM Score]],'RFM Analysis'!$A$3:$B$14,2,FALSE)</f>
        <v>At Risk</v>
      </c>
      <c r="BE1313">
        <f>'Regression Models'!$B$101+'Regression Models'!$B$102*ifood_data[[#This Row],[Income]]+'Regression Models'!$B$103*ifood_data[[#This Row],[Age]]+'Regression Models'!$B$104*ifood_data[[#This Row],[Family]]</f>
        <v>305.77972092328673</v>
      </c>
      <c r="BF1313" t="str">
        <f>IF(ifood_data[[#This Row],[AcceptedCmpOverall]]=1,"Campaign Respondent","Non-respondent")</f>
        <v>Non-respondent</v>
      </c>
    </row>
    <row r="1314" spans="1:58" x14ac:dyDescent="0.35">
      <c r="A1314">
        <v>902</v>
      </c>
      <c r="B1314">
        <v>42767</v>
      </c>
      <c r="C1314">
        <v>2</v>
      </c>
      <c r="D1314">
        <v>0</v>
      </c>
      <c r="E1314">
        <v>53</v>
      </c>
      <c r="F1314">
        <v>20</v>
      </c>
      <c r="G1314">
        <v>6</v>
      </c>
      <c r="H1314">
        <v>43</v>
      </c>
      <c r="I1314">
        <v>19</v>
      </c>
      <c r="J1314">
        <v>5</v>
      </c>
      <c r="K1314">
        <v>38</v>
      </c>
      <c r="L1314">
        <v>1</v>
      </c>
      <c r="M1314">
        <v>3</v>
      </c>
      <c r="N1314">
        <v>1</v>
      </c>
      <c r="O1314">
        <v>2</v>
      </c>
      <c r="P1314">
        <v>8</v>
      </c>
      <c r="Q1314">
        <v>0</v>
      </c>
      <c r="R1314">
        <v>0</v>
      </c>
      <c r="S1314">
        <v>0</v>
      </c>
      <c r="T1314">
        <v>0</v>
      </c>
      <c r="U1314">
        <v>0</v>
      </c>
      <c r="V1314">
        <f>IF(SUM(ifood_data[[#This Row],[AcceptedCmp1]:[AcceptedCmp5]])&gt;0,1,0)</f>
        <v>0</v>
      </c>
      <c r="W1314">
        <v>0</v>
      </c>
      <c r="X1314">
        <v>3</v>
      </c>
      <c r="Y1314">
        <v>11</v>
      </c>
      <c r="Z1314">
        <v>0</v>
      </c>
      <c r="AA1314">
        <v>49</v>
      </c>
      <c r="AB1314">
        <v>2573</v>
      </c>
      <c r="AC1314" s="28">
        <f>ifood_data[[#This Row],[Customer_Days]]/365</f>
        <v>7.0493150684931507</v>
      </c>
      <c r="AD1314">
        <v>0</v>
      </c>
      <c r="AE1314">
        <v>0</v>
      </c>
      <c r="AF1314">
        <v>1</v>
      </c>
      <c r="AG1314">
        <v>0</v>
      </c>
      <c r="AH1314">
        <v>0</v>
      </c>
      <c r="AI1314">
        <v>0</v>
      </c>
      <c r="AJ1314">
        <v>0</v>
      </c>
      <c r="AK1314">
        <v>0</v>
      </c>
      <c r="AL1314">
        <v>0</v>
      </c>
      <c r="AM1314">
        <v>1</v>
      </c>
      <c r="AN1314">
        <v>93</v>
      </c>
      <c r="AO1314">
        <v>55</v>
      </c>
      <c r="AP1314">
        <f>ifood_data[[#This Row],[MntTotal]]-ifood_data[[#This Row],[MntRegularProds]]</f>
        <v>38</v>
      </c>
      <c r="AQ1314">
        <v>0</v>
      </c>
      <c r="AR1314">
        <f>IF(SUM(ifood_data[[#This Row],[Kidhome]:[Teenhome]])&gt;0,1,0)</f>
        <v>1</v>
      </c>
      <c r="AS1314" t="str">
        <f>IF(SUM(ifood_data[[#This Row],[Kidhome]:[Teenhome]])&gt;0,"Has Family","No Family")</f>
        <v>Has Family</v>
      </c>
      <c r="AT1314" t="str">
        <f>IF(ifood_data[[#This Row],[marital_Married]]=1,"Married", (IF(ifood_data[[#This Row],[marital_Single]]=1,"Single",(IF(ifood_data[[#This Row],[marital_Divorced]]=1,"Divorced",(IF(ifood_data[[#This Row],[marital_Together]]=1,"Living Together",(IF(ifood_data[[#This Row],[marital_Widow]]=1,"Widow","Other")))))))))</f>
        <v>Single</v>
      </c>
      <c r="AU1314" t="str">
        <f>IF(ifood_data[[#This Row],[education_Basic]]=1,"High School",(IF(ifood_data[[#This Row],[education_Graduation]]=1,"Undergraduate Degree",(IF(SUM(AM1314,AL1314,AI1314)&gt;0,"Master's Degree or Higher","Other")))))</f>
        <v>Master's Degree or Higher</v>
      </c>
      <c r="AV1314" t="str">
        <f>IF(ifood_data[[#All],[Income]]&gt;75000,"75K+",(IF(ifood_data[[#All],[Income]]&gt;50000,"50K-75K",(IF(ifood_data[[#All],[Income]]&gt;35000,"35K-50K","&lt;35K")))))</f>
        <v>35K-50K</v>
      </c>
      <c r="AW1314" t="str">
        <f>IF(ifood_data[[#All],[Age]]&gt;60,"60+",(IF(ifood_data[[#All],[Age]]&gt;50,"50-60",(IF(ifood_data[[#All],[Age]]&gt;40,"40-50",(IF(ifood_data[[#All],[Age]]&gt;30,"30-40","&lt;30")))))))</f>
        <v>40-50</v>
      </c>
      <c r="AX1314">
        <f t="shared" si="80"/>
        <v>15</v>
      </c>
      <c r="AY1314">
        <f t="shared" si="81"/>
        <v>5</v>
      </c>
      <c r="AZ1314">
        <f t="shared" si="82"/>
        <v>2</v>
      </c>
      <c r="BA1314">
        <f t="shared" si="83"/>
        <v>3</v>
      </c>
      <c r="BB1314">
        <f>SUM(ifood_data[[#This Row],[Recency Score]:[Monetary Score]])</f>
        <v>10</v>
      </c>
      <c r="BC1314">
        <f>(_xlfn.PERCENTRANK.INC(ifood_data[[#All],[RFM]],ifood_data[[#This Row],[RFM]],1))*10</f>
        <v>2</v>
      </c>
      <c r="BD1314" t="str">
        <f>VLOOKUP(ifood_data[[#This Row],[RFM Score]],'RFM Analysis'!$A$3:$B$14,2,FALSE)</f>
        <v>At Risk</v>
      </c>
      <c r="BE1314">
        <f>'Regression Models'!$B$101+'Regression Models'!$B$102*ifood_data[[#This Row],[Income]]+'Regression Models'!$B$103*ifood_data[[#This Row],[Age]]+'Regression Models'!$B$104*ifood_data[[#This Row],[Family]]</f>
        <v>304.5520449968227</v>
      </c>
      <c r="BF1314" t="str">
        <f>IF(ifood_data[[#This Row],[AcceptedCmpOverall]]=1,"Campaign Respondent","Non-respondent")</f>
        <v>Non-respondent</v>
      </c>
    </row>
    <row r="1315" spans="1:58" x14ac:dyDescent="0.35">
      <c r="A1315">
        <v>1533</v>
      </c>
      <c r="B1315">
        <v>41473</v>
      </c>
      <c r="C1315">
        <v>1</v>
      </c>
      <c r="D1315">
        <v>0</v>
      </c>
      <c r="E1315">
        <v>80</v>
      </c>
      <c r="F1315">
        <v>21</v>
      </c>
      <c r="G1315">
        <v>8</v>
      </c>
      <c r="H1315">
        <v>20</v>
      </c>
      <c r="I1315">
        <v>15</v>
      </c>
      <c r="J1315">
        <v>3</v>
      </c>
      <c r="K1315">
        <v>9</v>
      </c>
      <c r="L1315">
        <v>1</v>
      </c>
      <c r="M1315">
        <v>2</v>
      </c>
      <c r="N1315">
        <v>0</v>
      </c>
      <c r="O1315">
        <v>3</v>
      </c>
      <c r="P1315">
        <v>7</v>
      </c>
      <c r="Q1315">
        <v>0</v>
      </c>
      <c r="R1315">
        <v>0</v>
      </c>
      <c r="S1315">
        <v>0</v>
      </c>
      <c r="T1315">
        <v>0</v>
      </c>
      <c r="U1315">
        <v>0</v>
      </c>
      <c r="V1315">
        <f>IF(SUM(ifood_data[[#This Row],[AcceptedCmp1]:[AcceptedCmp5]])&gt;0,1,0)</f>
        <v>0</v>
      </c>
      <c r="W1315">
        <v>0</v>
      </c>
      <c r="X1315">
        <v>3</v>
      </c>
      <c r="Y1315">
        <v>11</v>
      </c>
      <c r="Z1315">
        <v>0</v>
      </c>
      <c r="AA1315">
        <v>35</v>
      </c>
      <c r="AB1315">
        <v>2534</v>
      </c>
      <c r="AC1315" s="28">
        <f>ifood_data[[#This Row],[Customer_Days]]/365</f>
        <v>6.9424657534246572</v>
      </c>
      <c r="AD1315">
        <v>0</v>
      </c>
      <c r="AE1315">
        <v>0</v>
      </c>
      <c r="AF1315">
        <v>1</v>
      </c>
      <c r="AG1315">
        <v>0</v>
      </c>
      <c r="AH1315">
        <v>0</v>
      </c>
      <c r="AI1315">
        <v>1</v>
      </c>
      <c r="AJ1315">
        <v>0</v>
      </c>
      <c r="AK1315">
        <v>0</v>
      </c>
      <c r="AL1315">
        <v>0</v>
      </c>
      <c r="AM1315">
        <v>0</v>
      </c>
      <c r="AN1315">
        <v>67</v>
      </c>
      <c r="AO1315">
        <v>58</v>
      </c>
      <c r="AP1315">
        <f>ifood_data[[#This Row],[MntTotal]]-ifood_data[[#This Row],[MntRegularProds]]</f>
        <v>9</v>
      </c>
      <c r="AQ1315">
        <v>0</v>
      </c>
      <c r="AR1315">
        <f>IF(SUM(ifood_data[[#This Row],[Kidhome]:[Teenhome]])&gt;0,1,0)</f>
        <v>1</v>
      </c>
      <c r="AS1315" t="str">
        <f>IF(SUM(ifood_data[[#This Row],[Kidhome]:[Teenhome]])&gt;0,"Has Family","No Family")</f>
        <v>Has Family</v>
      </c>
      <c r="AT1315" t="str">
        <f>IF(ifood_data[[#This Row],[marital_Married]]=1,"Married", (IF(ifood_data[[#This Row],[marital_Single]]=1,"Single",(IF(ifood_data[[#This Row],[marital_Divorced]]=1,"Divorced",(IF(ifood_data[[#This Row],[marital_Together]]=1,"Living Together",(IF(ifood_data[[#This Row],[marital_Widow]]=1,"Widow","Other")))))))))</f>
        <v>Single</v>
      </c>
      <c r="AU1315" t="str">
        <f>IF(ifood_data[[#This Row],[education_Basic]]=1,"High School",(IF(ifood_data[[#This Row],[education_Graduation]]=1,"Undergraduate Degree",(IF(SUM(AM1315,AL1315,AI1315)&gt;0,"Master's Degree or Higher","Other")))))</f>
        <v>Master's Degree or Higher</v>
      </c>
      <c r="AV1315" t="str">
        <f>IF(ifood_data[[#All],[Income]]&gt;75000,"75K+",(IF(ifood_data[[#All],[Income]]&gt;50000,"50K-75K",(IF(ifood_data[[#All],[Income]]&gt;35000,"35K-50K","&lt;35K")))))</f>
        <v>35K-50K</v>
      </c>
      <c r="AW1315" t="str">
        <f>IF(ifood_data[[#All],[Age]]&gt;60,"60+",(IF(ifood_data[[#All],[Age]]&gt;50,"50-60",(IF(ifood_data[[#All],[Age]]&gt;40,"40-50",(IF(ifood_data[[#All],[Age]]&gt;30,"30-40","&lt;30")))))))</f>
        <v>30-40</v>
      </c>
      <c r="AX1315">
        <f t="shared" si="80"/>
        <v>13</v>
      </c>
      <c r="AY1315">
        <f t="shared" si="81"/>
        <v>1.9999999999999996</v>
      </c>
      <c r="AZ1315">
        <f t="shared" si="82"/>
        <v>1</v>
      </c>
      <c r="BA1315">
        <f t="shared" si="83"/>
        <v>2</v>
      </c>
      <c r="BB1315">
        <f>SUM(ifood_data[[#This Row],[Recency Score]:[Monetary Score]])</f>
        <v>5</v>
      </c>
      <c r="BC1315">
        <f>(_xlfn.PERCENTRANK.INC(ifood_data[[#All],[RFM]],ifood_data[[#This Row],[RFM]],1))*10</f>
        <v>0</v>
      </c>
      <c r="BD1315" t="str">
        <f>VLOOKUP(ifood_data[[#This Row],[RFM Score]],'RFM Analysis'!$A$3:$B$14,2,FALSE)</f>
        <v>Lost</v>
      </c>
      <c r="BE1315">
        <f>'Regression Models'!$B$101+'Regression Models'!$B$102*ifood_data[[#This Row],[Income]]+'Regression Models'!$B$103*ifood_data[[#This Row],[Age]]+'Regression Models'!$B$104*ifood_data[[#This Row],[Family]]</f>
        <v>303.87912612313733</v>
      </c>
      <c r="BF1315" t="str">
        <f>IF(ifood_data[[#This Row],[AcceptedCmpOverall]]=1,"Campaign Respondent","Non-respondent")</f>
        <v>Non-respondent</v>
      </c>
    </row>
    <row r="1316" spans="1:58" x14ac:dyDescent="0.35">
      <c r="A1316">
        <v>422</v>
      </c>
      <c r="B1316">
        <v>42618</v>
      </c>
      <c r="C1316">
        <v>1</v>
      </c>
      <c r="D1316">
        <v>0</v>
      </c>
      <c r="E1316">
        <v>92</v>
      </c>
      <c r="F1316">
        <v>76</v>
      </c>
      <c r="G1316">
        <v>14</v>
      </c>
      <c r="H1316">
        <v>74</v>
      </c>
      <c r="I1316">
        <v>13</v>
      </c>
      <c r="J1316">
        <v>5</v>
      </c>
      <c r="K1316">
        <v>10</v>
      </c>
      <c r="L1316">
        <v>2</v>
      </c>
      <c r="M1316">
        <v>5</v>
      </c>
      <c r="N1316">
        <v>0</v>
      </c>
      <c r="O1316">
        <v>4</v>
      </c>
      <c r="P1316">
        <v>8</v>
      </c>
      <c r="Q1316">
        <v>0</v>
      </c>
      <c r="R1316">
        <v>0</v>
      </c>
      <c r="S1316">
        <v>0</v>
      </c>
      <c r="T1316">
        <v>0</v>
      </c>
      <c r="U1316">
        <v>0</v>
      </c>
      <c r="V1316">
        <f>IF(SUM(ifood_data[[#This Row],[AcceptedCmp1]:[AcceptedCmp5]])&gt;0,1,0)</f>
        <v>0</v>
      </c>
      <c r="W1316">
        <v>0</v>
      </c>
      <c r="X1316">
        <v>3</v>
      </c>
      <c r="Y1316">
        <v>11</v>
      </c>
      <c r="Z1316">
        <v>0</v>
      </c>
      <c r="AA1316">
        <v>48</v>
      </c>
      <c r="AB1316">
        <v>2422</v>
      </c>
      <c r="AC1316" s="28">
        <f>ifood_data[[#This Row],[Customer_Days]]/365</f>
        <v>6.6356164383561644</v>
      </c>
      <c r="AD1316">
        <v>1</v>
      </c>
      <c r="AE1316">
        <v>0</v>
      </c>
      <c r="AF1316">
        <v>0</v>
      </c>
      <c r="AG1316">
        <v>0</v>
      </c>
      <c r="AH1316">
        <v>0</v>
      </c>
      <c r="AI1316">
        <v>0</v>
      </c>
      <c r="AJ1316">
        <v>0</v>
      </c>
      <c r="AK1316">
        <v>0</v>
      </c>
      <c r="AL1316">
        <v>1</v>
      </c>
      <c r="AM1316">
        <v>0</v>
      </c>
      <c r="AN1316">
        <v>182</v>
      </c>
      <c r="AO1316">
        <v>172</v>
      </c>
      <c r="AP1316">
        <f>ifood_data[[#This Row],[MntTotal]]-ifood_data[[#This Row],[MntRegularProds]]</f>
        <v>10</v>
      </c>
      <c r="AQ1316">
        <v>0</v>
      </c>
      <c r="AR1316">
        <f>IF(SUM(ifood_data[[#This Row],[Kidhome]:[Teenhome]])&gt;0,1,0)</f>
        <v>1</v>
      </c>
      <c r="AS1316" t="str">
        <f>IF(SUM(ifood_data[[#This Row],[Kidhome]:[Teenhome]])&gt;0,"Has Family","No Family")</f>
        <v>Has Family</v>
      </c>
      <c r="AT1316" t="str">
        <f>IF(ifood_data[[#This Row],[marital_Married]]=1,"Married", (IF(ifood_data[[#This Row],[marital_Single]]=1,"Single",(IF(ifood_data[[#This Row],[marital_Divorced]]=1,"Divorced",(IF(ifood_data[[#This Row],[marital_Together]]=1,"Living Together",(IF(ifood_data[[#This Row],[marital_Widow]]=1,"Widow","Other")))))))))</f>
        <v>Divorced</v>
      </c>
      <c r="AU1316" t="str">
        <f>IF(ifood_data[[#This Row],[education_Basic]]=1,"High School",(IF(ifood_data[[#This Row],[education_Graduation]]=1,"Undergraduate Degree",(IF(SUM(AM1316,AL1316,AI1316)&gt;0,"Master's Degree or Higher","Other")))))</f>
        <v>Master's Degree or Higher</v>
      </c>
      <c r="AV1316" t="str">
        <f>IF(ifood_data[[#All],[Income]]&gt;75000,"75K+",(IF(ifood_data[[#All],[Income]]&gt;50000,"50K-75K",(IF(ifood_data[[#All],[Income]]&gt;35000,"35K-50K","&lt;35K")))))</f>
        <v>35K-50K</v>
      </c>
      <c r="AW1316" t="str">
        <f>IF(ifood_data[[#All],[Age]]&gt;60,"60+",(IF(ifood_data[[#All],[Age]]&gt;50,"50-60",(IF(ifood_data[[#All],[Age]]&gt;40,"40-50",(IF(ifood_data[[#All],[Age]]&gt;30,"30-40","&lt;30")))))))</f>
        <v>40-50</v>
      </c>
      <c r="AX1316">
        <f t="shared" si="80"/>
        <v>19</v>
      </c>
      <c r="AY1316">
        <f t="shared" si="81"/>
        <v>0.99999999999999978</v>
      </c>
      <c r="AZ1316">
        <f t="shared" si="82"/>
        <v>4</v>
      </c>
      <c r="BA1316">
        <f t="shared" si="83"/>
        <v>4</v>
      </c>
      <c r="BB1316">
        <f>SUM(ifood_data[[#This Row],[Recency Score]:[Monetary Score]])</f>
        <v>9</v>
      </c>
      <c r="BC1316">
        <f>(_xlfn.PERCENTRANK.INC(ifood_data[[#All],[RFM]],ifood_data[[#This Row],[RFM]],1))*10</f>
        <v>1</v>
      </c>
      <c r="BD1316" t="str">
        <f>VLOOKUP(ifood_data[[#This Row],[RFM Score]],'RFM Analysis'!$A$3:$B$14,2,FALSE)</f>
        <v>At Risk</v>
      </c>
      <c r="BE1316">
        <f>'Regression Models'!$B$101+'Regression Models'!$B$102*ifood_data[[#This Row],[Income]]+'Regression Models'!$B$103*ifood_data[[#This Row],[Age]]+'Regression Models'!$B$104*ifood_data[[#This Row],[Family]]</f>
        <v>303.35055762227603</v>
      </c>
      <c r="BF1316" t="str">
        <f>IF(ifood_data[[#This Row],[AcceptedCmpOverall]]=1,"Campaign Respondent","Non-respondent")</f>
        <v>Non-respondent</v>
      </c>
    </row>
    <row r="1317" spans="1:58" x14ac:dyDescent="0.35">
      <c r="A1317">
        <v>16</v>
      </c>
      <c r="B1317">
        <v>41850</v>
      </c>
      <c r="C1317">
        <v>1</v>
      </c>
      <c r="D1317">
        <v>1</v>
      </c>
      <c r="E1317">
        <v>51</v>
      </c>
      <c r="F1317">
        <v>53</v>
      </c>
      <c r="G1317">
        <v>5</v>
      </c>
      <c r="H1317">
        <v>19</v>
      </c>
      <c r="I1317">
        <v>2</v>
      </c>
      <c r="J1317">
        <v>13</v>
      </c>
      <c r="K1317">
        <v>4</v>
      </c>
      <c r="L1317">
        <v>3</v>
      </c>
      <c r="M1317">
        <v>3</v>
      </c>
      <c r="N1317">
        <v>0</v>
      </c>
      <c r="O1317">
        <v>3</v>
      </c>
      <c r="P1317">
        <v>8</v>
      </c>
      <c r="Q1317">
        <v>0</v>
      </c>
      <c r="R1317">
        <v>0</v>
      </c>
      <c r="S1317">
        <v>0</v>
      </c>
      <c r="T1317">
        <v>0</v>
      </c>
      <c r="U1317">
        <v>0</v>
      </c>
      <c r="V1317">
        <f>IF(SUM(ifood_data[[#This Row],[AcceptedCmp1]:[AcceptedCmp5]])&gt;0,1,0)</f>
        <v>0</v>
      </c>
      <c r="W1317">
        <v>0</v>
      </c>
      <c r="X1317">
        <v>3</v>
      </c>
      <c r="Y1317">
        <v>11</v>
      </c>
      <c r="Z1317">
        <v>0</v>
      </c>
      <c r="AA1317">
        <v>40</v>
      </c>
      <c r="AB1317">
        <v>2711</v>
      </c>
      <c r="AC1317" s="28">
        <f>ifood_data[[#This Row],[Customer_Days]]/365</f>
        <v>7.4273972602739722</v>
      </c>
      <c r="AD1317">
        <v>0</v>
      </c>
      <c r="AE1317">
        <v>1</v>
      </c>
      <c r="AF1317">
        <v>0</v>
      </c>
      <c r="AG1317">
        <v>0</v>
      </c>
      <c r="AH1317">
        <v>0</v>
      </c>
      <c r="AI1317">
        <v>0</v>
      </c>
      <c r="AJ1317">
        <v>0</v>
      </c>
      <c r="AK1317">
        <v>1</v>
      </c>
      <c r="AL1317">
        <v>0</v>
      </c>
      <c r="AM1317">
        <v>0</v>
      </c>
      <c r="AN1317">
        <v>92</v>
      </c>
      <c r="AO1317">
        <v>88</v>
      </c>
      <c r="AP1317">
        <f>ifood_data[[#This Row],[MntTotal]]-ifood_data[[#This Row],[MntRegularProds]]</f>
        <v>4</v>
      </c>
      <c r="AQ1317">
        <v>0</v>
      </c>
      <c r="AR1317">
        <f>IF(SUM(ifood_data[[#This Row],[Kidhome]:[Teenhome]])&gt;0,1,0)</f>
        <v>1</v>
      </c>
      <c r="AS1317" t="str">
        <f>IF(SUM(ifood_data[[#This Row],[Kidhome]:[Teenhome]])&gt;0,"Has Family","No Family")</f>
        <v>Has Family</v>
      </c>
      <c r="AT1317" t="str">
        <f>IF(ifood_data[[#This Row],[marital_Married]]=1,"Married", (IF(ifood_data[[#This Row],[marital_Single]]=1,"Single",(IF(ifood_data[[#This Row],[marital_Divorced]]=1,"Divorced",(IF(ifood_data[[#This Row],[marital_Together]]=1,"Living Together",(IF(ifood_data[[#This Row],[marital_Widow]]=1,"Widow","Other")))))))))</f>
        <v>Married</v>
      </c>
      <c r="AU1317" t="str">
        <f>IF(ifood_data[[#This Row],[education_Basic]]=1,"High School",(IF(ifood_data[[#This Row],[education_Graduation]]=1,"Undergraduate Degree",(IF(SUM(AM1317,AL1317,AI1317)&gt;0,"Master's Degree or Higher","Other")))))</f>
        <v>Undergraduate Degree</v>
      </c>
      <c r="AV1317" t="str">
        <f>IF(ifood_data[[#All],[Income]]&gt;75000,"75K+",(IF(ifood_data[[#All],[Income]]&gt;50000,"50K-75K",(IF(ifood_data[[#All],[Income]]&gt;35000,"35K-50K","&lt;35K")))))</f>
        <v>35K-50K</v>
      </c>
      <c r="AW1317" t="str">
        <f>IF(ifood_data[[#All],[Age]]&gt;60,"60+",(IF(ifood_data[[#All],[Age]]&gt;50,"50-60",(IF(ifood_data[[#All],[Age]]&gt;40,"40-50",(IF(ifood_data[[#All],[Age]]&gt;30,"30-40","&lt;30")))))))</f>
        <v>30-40</v>
      </c>
      <c r="AX1317">
        <f t="shared" si="80"/>
        <v>17</v>
      </c>
      <c r="AY1317">
        <f t="shared" si="81"/>
        <v>5</v>
      </c>
      <c r="AZ1317">
        <f t="shared" si="82"/>
        <v>3</v>
      </c>
      <c r="BA1317">
        <f t="shared" si="83"/>
        <v>3</v>
      </c>
      <c r="BB1317">
        <f>SUM(ifood_data[[#This Row],[Recency Score]:[Monetary Score]])</f>
        <v>11</v>
      </c>
      <c r="BC1317">
        <f>(_xlfn.PERCENTRANK.INC(ifood_data[[#All],[RFM]],ifood_data[[#This Row],[RFM]],1))*10</f>
        <v>2</v>
      </c>
      <c r="BD1317" t="str">
        <f>VLOOKUP(ifood_data[[#This Row],[RFM Score]],'RFM Analysis'!$A$3:$B$14,2,FALSE)</f>
        <v>At Risk</v>
      </c>
      <c r="BE1317">
        <f>'Regression Models'!$B$101+'Regression Models'!$B$102*ifood_data[[#This Row],[Income]]+'Regression Models'!$B$103*ifood_data[[#This Row],[Age]]+'Regression Models'!$B$104*ifood_data[[#This Row],[Family]]</f>
        <v>302.38349631891583</v>
      </c>
      <c r="BF1317" t="str">
        <f>IF(ifood_data[[#This Row],[AcceptedCmpOverall]]=1,"Campaign Respondent","Non-respondent")</f>
        <v>Non-respondent</v>
      </c>
    </row>
    <row r="1318" spans="1:58" x14ac:dyDescent="0.35">
      <c r="A1318">
        <v>380</v>
      </c>
      <c r="B1318">
        <v>42373</v>
      </c>
      <c r="C1318">
        <v>1</v>
      </c>
      <c r="D1318">
        <v>1</v>
      </c>
      <c r="E1318">
        <v>83</v>
      </c>
      <c r="F1318">
        <v>67</v>
      </c>
      <c r="G1318">
        <v>5</v>
      </c>
      <c r="H1318">
        <v>61</v>
      </c>
      <c r="I1318">
        <v>3</v>
      </c>
      <c r="J1318">
        <v>8</v>
      </c>
      <c r="K1318">
        <v>19</v>
      </c>
      <c r="L1318">
        <v>5</v>
      </c>
      <c r="M1318">
        <v>2</v>
      </c>
      <c r="N1318">
        <v>1</v>
      </c>
      <c r="O1318">
        <v>5</v>
      </c>
      <c r="P1318">
        <v>5</v>
      </c>
      <c r="Q1318">
        <v>0</v>
      </c>
      <c r="R1318">
        <v>0</v>
      </c>
      <c r="S1318">
        <v>0</v>
      </c>
      <c r="T1318">
        <v>0</v>
      </c>
      <c r="U1318">
        <v>0</v>
      </c>
      <c r="V1318">
        <f>IF(SUM(ifood_data[[#This Row],[AcceptedCmp1]:[AcceptedCmp5]])&gt;0,1,0)</f>
        <v>0</v>
      </c>
      <c r="W1318">
        <v>0</v>
      </c>
      <c r="X1318">
        <v>3</v>
      </c>
      <c r="Y1318">
        <v>11</v>
      </c>
      <c r="Z1318">
        <v>0</v>
      </c>
      <c r="AA1318">
        <v>46</v>
      </c>
      <c r="AB1318">
        <v>2477</v>
      </c>
      <c r="AC1318" s="28">
        <f>ifood_data[[#This Row],[Customer_Days]]/365</f>
        <v>6.7863013698630139</v>
      </c>
      <c r="AD1318">
        <v>0</v>
      </c>
      <c r="AE1318">
        <v>0</v>
      </c>
      <c r="AF1318">
        <v>1</v>
      </c>
      <c r="AG1318">
        <v>0</v>
      </c>
      <c r="AH1318">
        <v>0</v>
      </c>
      <c r="AI1318">
        <v>0</v>
      </c>
      <c r="AJ1318">
        <v>0</v>
      </c>
      <c r="AK1318">
        <v>1</v>
      </c>
      <c r="AL1318">
        <v>0</v>
      </c>
      <c r="AM1318">
        <v>0</v>
      </c>
      <c r="AN1318">
        <v>144</v>
      </c>
      <c r="AO1318">
        <v>125</v>
      </c>
      <c r="AP1318">
        <f>ifood_data[[#This Row],[MntTotal]]-ifood_data[[#This Row],[MntRegularProds]]</f>
        <v>19</v>
      </c>
      <c r="AQ1318">
        <v>0</v>
      </c>
      <c r="AR1318">
        <f>IF(SUM(ifood_data[[#This Row],[Kidhome]:[Teenhome]])&gt;0,1,0)</f>
        <v>1</v>
      </c>
      <c r="AS1318" t="str">
        <f>IF(SUM(ifood_data[[#This Row],[Kidhome]:[Teenhome]])&gt;0,"Has Family","No Family")</f>
        <v>Has Family</v>
      </c>
      <c r="AT1318" t="str">
        <f>IF(ifood_data[[#This Row],[marital_Married]]=1,"Married", (IF(ifood_data[[#This Row],[marital_Single]]=1,"Single",(IF(ifood_data[[#This Row],[marital_Divorced]]=1,"Divorced",(IF(ifood_data[[#This Row],[marital_Together]]=1,"Living Together",(IF(ifood_data[[#This Row],[marital_Widow]]=1,"Widow","Other")))))))))</f>
        <v>Single</v>
      </c>
      <c r="AU1318" t="str">
        <f>IF(ifood_data[[#This Row],[education_Basic]]=1,"High School",(IF(ifood_data[[#This Row],[education_Graduation]]=1,"Undergraduate Degree",(IF(SUM(AM1318,AL1318,AI1318)&gt;0,"Master's Degree or Higher","Other")))))</f>
        <v>Undergraduate Degree</v>
      </c>
      <c r="AV1318" t="str">
        <f>IF(ifood_data[[#All],[Income]]&gt;75000,"75K+",(IF(ifood_data[[#All],[Income]]&gt;50000,"50K-75K",(IF(ifood_data[[#All],[Income]]&gt;35000,"35K-50K","&lt;35K")))))</f>
        <v>35K-50K</v>
      </c>
      <c r="AW1318" t="str">
        <f>IF(ifood_data[[#All],[Age]]&gt;60,"60+",(IF(ifood_data[[#All],[Age]]&gt;50,"50-60",(IF(ifood_data[[#All],[Age]]&gt;40,"40-50",(IF(ifood_data[[#All],[Age]]&gt;30,"30-40","&lt;30")))))))</f>
        <v>40-50</v>
      </c>
      <c r="AX1318">
        <f t="shared" si="80"/>
        <v>18</v>
      </c>
      <c r="AY1318">
        <f t="shared" si="81"/>
        <v>1.9999999999999996</v>
      </c>
      <c r="AZ1318">
        <f t="shared" si="82"/>
        <v>4</v>
      </c>
      <c r="BA1318">
        <f t="shared" si="83"/>
        <v>3</v>
      </c>
      <c r="BB1318">
        <f>SUM(ifood_data[[#This Row],[Recency Score]:[Monetary Score]])</f>
        <v>9</v>
      </c>
      <c r="BC1318">
        <f>(_xlfn.PERCENTRANK.INC(ifood_data[[#All],[RFM]],ifood_data[[#This Row],[RFM]],1))*10</f>
        <v>1</v>
      </c>
      <c r="BD1318" t="str">
        <f>VLOOKUP(ifood_data[[#This Row],[RFM Score]],'RFM Analysis'!$A$3:$B$14,2,FALSE)</f>
        <v>At Risk</v>
      </c>
      <c r="BE1318">
        <f>'Regression Models'!$B$101+'Regression Models'!$B$102*ifood_data[[#This Row],[Income]]+'Regression Models'!$B$103*ifood_data[[#This Row],[Age]]+'Regression Models'!$B$104*ifood_data[[#This Row],[Family]]</f>
        <v>302.0281875848093</v>
      </c>
      <c r="BF1318" t="str">
        <f>IF(ifood_data[[#This Row],[AcceptedCmpOverall]]=1,"Campaign Respondent","Non-respondent")</f>
        <v>Non-respondent</v>
      </c>
    </row>
    <row r="1319" spans="1:58" x14ac:dyDescent="0.35">
      <c r="A1319">
        <v>211</v>
      </c>
      <c r="B1319">
        <v>42011</v>
      </c>
      <c r="C1319">
        <v>1</v>
      </c>
      <c r="D1319">
        <v>0</v>
      </c>
      <c r="E1319">
        <v>46</v>
      </c>
      <c r="F1319">
        <v>131</v>
      </c>
      <c r="G1319">
        <v>0</v>
      </c>
      <c r="H1319">
        <v>16</v>
      </c>
      <c r="I1319">
        <v>2</v>
      </c>
      <c r="J1319">
        <v>1</v>
      </c>
      <c r="K1319">
        <v>39</v>
      </c>
      <c r="L1319">
        <v>4</v>
      </c>
      <c r="M1319">
        <v>3</v>
      </c>
      <c r="N1319">
        <v>1</v>
      </c>
      <c r="O1319">
        <v>4</v>
      </c>
      <c r="P1319">
        <v>8</v>
      </c>
      <c r="Q1319">
        <v>0</v>
      </c>
      <c r="R1319">
        <v>0</v>
      </c>
      <c r="S1319">
        <v>0</v>
      </c>
      <c r="T1319">
        <v>0</v>
      </c>
      <c r="U1319">
        <v>0</v>
      </c>
      <c r="V1319">
        <f>IF(SUM(ifood_data[[#This Row],[AcceptedCmp1]:[AcceptedCmp5]])&gt;0,1,0)</f>
        <v>0</v>
      </c>
      <c r="W1319">
        <v>0</v>
      </c>
      <c r="X1319">
        <v>3</v>
      </c>
      <c r="Y1319">
        <v>11</v>
      </c>
      <c r="Z1319">
        <v>0</v>
      </c>
      <c r="AA1319">
        <v>42</v>
      </c>
      <c r="AB1319">
        <v>2619</v>
      </c>
      <c r="AC1319" s="28">
        <f>ifood_data[[#This Row],[Customer_Days]]/365</f>
        <v>7.1753424657534248</v>
      </c>
      <c r="AD1319">
        <v>0</v>
      </c>
      <c r="AE1319">
        <v>0</v>
      </c>
      <c r="AF1319">
        <v>0</v>
      </c>
      <c r="AG1319">
        <v>1</v>
      </c>
      <c r="AH1319">
        <v>0</v>
      </c>
      <c r="AI1319">
        <v>0</v>
      </c>
      <c r="AJ1319">
        <v>0</v>
      </c>
      <c r="AK1319">
        <v>1</v>
      </c>
      <c r="AL1319">
        <v>0</v>
      </c>
      <c r="AM1319">
        <v>0</v>
      </c>
      <c r="AN1319">
        <v>150</v>
      </c>
      <c r="AO1319">
        <v>111</v>
      </c>
      <c r="AP1319">
        <f>ifood_data[[#This Row],[MntTotal]]-ifood_data[[#This Row],[MntRegularProds]]</f>
        <v>39</v>
      </c>
      <c r="AQ1319">
        <v>0</v>
      </c>
      <c r="AR1319">
        <f>IF(SUM(ifood_data[[#This Row],[Kidhome]:[Teenhome]])&gt;0,1,0)</f>
        <v>1</v>
      </c>
      <c r="AS1319" t="str">
        <f>IF(SUM(ifood_data[[#This Row],[Kidhome]:[Teenhome]])&gt;0,"Has Family","No Family")</f>
        <v>Has Family</v>
      </c>
      <c r="AT1319" t="str">
        <f>IF(ifood_data[[#This Row],[marital_Married]]=1,"Married", (IF(ifood_data[[#This Row],[marital_Single]]=1,"Single",(IF(ifood_data[[#This Row],[marital_Divorced]]=1,"Divorced",(IF(ifood_data[[#This Row],[marital_Together]]=1,"Living Together",(IF(ifood_data[[#This Row],[marital_Widow]]=1,"Widow","Other")))))))))</f>
        <v>Living Together</v>
      </c>
      <c r="AU1319" t="str">
        <f>IF(ifood_data[[#This Row],[education_Basic]]=1,"High School",(IF(ifood_data[[#This Row],[education_Graduation]]=1,"Undergraduate Degree",(IF(SUM(AM1319,AL1319,AI1319)&gt;0,"Master's Degree or Higher","Other")))))</f>
        <v>Undergraduate Degree</v>
      </c>
      <c r="AV1319" t="str">
        <f>IF(ifood_data[[#All],[Income]]&gt;75000,"75K+",(IF(ifood_data[[#All],[Income]]&gt;50000,"50K-75K",(IF(ifood_data[[#All],[Income]]&gt;35000,"35K-50K","&lt;35K")))))</f>
        <v>35K-50K</v>
      </c>
      <c r="AW1319" t="str">
        <f>IF(ifood_data[[#All],[Age]]&gt;60,"60+",(IF(ifood_data[[#All],[Age]]&gt;50,"50-60",(IF(ifood_data[[#All],[Age]]&gt;40,"40-50",(IF(ifood_data[[#All],[Age]]&gt;30,"30-40","&lt;30")))))))</f>
        <v>40-50</v>
      </c>
      <c r="AX1319">
        <f t="shared" si="80"/>
        <v>20</v>
      </c>
      <c r="AY1319">
        <f t="shared" si="81"/>
        <v>6</v>
      </c>
      <c r="AZ1319">
        <f t="shared" si="82"/>
        <v>4</v>
      </c>
      <c r="BA1319">
        <f t="shared" si="83"/>
        <v>3</v>
      </c>
      <c r="BB1319">
        <f>SUM(ifood_data[[#This Row],[Recency Score]:[Monetary Score]])</f>
        <v>13</v>
      </c>
      <c r="BC1319">
        <f>(_xlfn.PERCENTRANK.INC(ifood_data[[#All],[RFM]],ifood_data[[#This Row],[RFM]],1))*10</f>
        <v>3</v>
      </c>
      <c r="BD1319" t="str">
        <f>VLOOKUP(ifood_data[[#This Row],[RFM Score]],'RFM Analysis'!$A$3:$B$14,2,FALSE)</f>
        <v>At Risk</v>
      </c>
      <c r="BE1319">
        <f>'Regression Models'!$B$101+'Regression Models'!$B$102*ifood_data[[#This Row],[Income]]+'Regression Models'!$B$103*ifood_data[[#This Row],[Age]]+'Regression Models'!$B$104*ifood_data[[#This Row],[Family]]</f>
        <v>301.99320983229507</v>
      </c>
      <c r="BF1319" t="str">
        <f>IF(ifood_data[[#This Row],[AcceptedCmpOverall]]=1,"Campaign Respondent","Non-respondent")</f>
        <v>Non-respondent</v>
      </c>
    </row>
    <row r="1320" spans="1:58" x14ac:dyDescent="0.35">
      <c r="A1320">
        <v>1161</v>
      </c>
      <c r="B1320">
        <v>41986</v>
      </c>
      <c r="C1320">
        <v>0</v>
      </c>
      <c r="D1320">
        <v>1</v>
      </c>
      <c r="E1320">
        <v>15</v>
      </c>
      <c r="F1320">
        <v>27</v>
      </c>
      <c r="G1320">
        <v>5</v>
      </c>
      <c r="H1320">
        <v>8</v>
      </c>
      <c r="I1320">
        <v>8</v>
      </c>
      <c r="J1320">
        <v>3</v>
      </c>
      <c r="K1320">
        <v>12</v>
      </c>
      <c r="L1320">
        <v>3</v>
      </c>
      <c r="M1320">
        <v>3</v>
      </c>
      <c r="N1320">
        <v>0</v>
      </c>
      <c r="O1320">
        <v>4</v>
      </c>
      <c r="P1320">
        <v>4</v>
      </c>
      <c r="Q1320">
        <v>0</v>
      </c>
      <c r="R1320">
        <v>0</v>
      </c>
      <c r="S1320">
        <v>0</v>
      </c>
      <c r="T1320">
        <v>0</v>
      </c>
      <c r="U1320">
        <v>0</v>
      </c>
      <c r="V1320">
        <f>IF(SUM(ifood_data[[#This Row],[AcceptedCmp1]:[AcceptedCmp5]])&gt;0,1,0)</f>
        <v>0</v>
      </c>
      <c r="W1320">
        <v>0</v>
      </c>
      <c r="X1320">
        <v>3</v>
      </c>
      <c r="Y1320">
        <v>11</v>
      </c>
      <c r="Z1320">
        <v>0</v>
      </c>
      <c r="AA1320">
        <v>42</v>
      </c>
      <c r="AB1320">
        <v>2299</v>
      </c>
      <c r="AC1320" s="28">
        <f>ifood_data[[#This Row],[Customer_Days]]/365</f>
        <v>6.2986301369863016</v>
      </c>
      <c r="AD1320">
        <v>1</v>
      </c>
      <c r="AE1320">
        <v>0</v>
      </c>
      <c r="AF1320">
        <v>0</v>
      </c>
      <c r="AG1320">
        <v>0</v>
      </c>
      <c r="AH1320">
        <v>0</v>
      </c>
      <c r="AI1320">
        <v>0</v>
      </c>
      <c r="AJ1320">
        <v>0</v>
      </c>
      <c r="AK1320">
        <v>1</v>
      </c>
      <c r="AL1320">
        <v>0</v>
      </c>
      <c r="AM1320">
        <v>0</v>
      </c>
      <c r="AN1320">
        <v>51</v>
      </c>
      <c r="AO1320">
        <v>39</v>
      </c>
      <c r="AP1320">
        <f>ifood_data[[#This Row],[MntTotal]]-ifood_data[[#This Row],[MntRegularProds]]</f>
        <v>12</v>
      </c>
      <c r="AQ1320">
        <v>0</v>
      </c>
      <c r="AR1320">
        <f>IF(SUM(ifood_data[[#This Row],[Kidhome]:[Teenhome]])&gt;0,1,0)</f>
        <v>1</v>
      </c>
      <c r="AS1320" t="str">
        <f>IF(SUM(ifood_data[[#This Row],[Kidhome]:[Teenhome]])&gt;0,"Has Family","No Family")</f>
        <v>Has Family</v>
      </c>
      <c r="AT1320" t="str">
        <f>IF(ifood_data[[#This Row],[marital_Married]]=1,"Married", (IF(ifood_data[[#This Row],[marital_Single]]=1,"Single",(IF(ifood_data[[#This Row],[marital_Divorced]]=1,"Divorced",(IF(ifood_data[[#This Row],[marital_Together]]=1,"Living Together",(IF(ifood_data[[#This Row],[marital_Widow]]=1,"Widow","Other")))))))))</f>
        <v>Divorced</v>
      </c>
      <c r="AU1320" t="str">
        <f>IF(ifood_data[[#This Row],[education_Basic]]=1,"High School",(IF(ifood_data[[#This Row],[education_Graduation]]=1,"Undergraduate Degree",(IF(SUM(AM1320,AL1320,AI1320)&gt;0,"Master's Degree or Higher","Other")))))</f>
        <v>Undergraduate Degree</v>
      </c>
      <c r="AV1320" t="str">
        <f>IF(ifood_data[[#All],[Income]]&gt;75000,"75K+",(IF(ifood_data[[#All],[Income]]&gt;50000,"50K-75K",(IF(ifood_data[[#All],[Income]]&gt;35000,"35K-50K","&lt;35K")))))</f>
        <v>35K-50K</v>
      </c>
      <c r="AW1320" t="str">
        <f>IF(ifood_data[[#All],[Age]]&gt;60,"60+",(IF(ifood_data[[#All],[Age]]&gt;50,"50-60",(IF(ifood_data[[#All],[Age]]&gt;40,"40-50",(IF(ifood_data[[#All],[Age]]&gt;30,"30-40","&lt;30")))))))</f>
        <v>40-50</v>
      </c>
      <c r="AX1320">
        <f t="shared" si="80"/>
        <v>14</v>
      </c>
      <c r="AY1320">
        <f t="shared" si="81"/>
        <v>9</v>
      </c>
      <c r="AZ1320">
        <f t="shared" si="82"/>
        <v>2</v>
      </c>
      <c r="BA1320">
        <f t="shared" si="83"/>
        <v>2</v>
      </c>
      <c r="BB1320">
        <f>SUM(ifood_data[[#This Row],[Recency Score]:[Monetary Score]])</f>
        <v>13</v>
      </c>
      <c r="BC1320">
        <f>(_xlfn.PERCENTRANK.INC(ifood_data[[#All],[RFM]],ifood_data[[#This Row],[RFM]],1))*10</f>
        <v>3</v>
      </c>
      <c r="BD1320" t="str">
        <f>VLOOKUP(ifood_data[[#This Row],[RFM Score]],'RFM Analysis'!$A$3:$B$14,2,FALSE)</f>
        <v>At Risk</v>
      </c>
      <c r="BE1320">
        <f>'Regression Models'!$B$101+'Regression Models'!$B$102*ifood_data[[#This Row],[Income]]+'Regression Models'!$B$103*ifood_data[[#This Row],[Age]]+'Regression Models'!$B$104*ifood_data[[#This Row],[Family]]</f>
        <v>301.48349062869761</v>
      </c>
      <c r="BF1320" t="str">
        <f>IF(ifood_data[[#This Row],[AcceptedCmpOverall]]=1,"Campaign Respondent","Non-respondent")</f>
        <v>Non-respondent</v>
      </c>
    </row>
    <row r="1321" spans="1:58" x14ac:dyDescent="0.35">
      <c r="A1321">
        <v>37</v>
      </c>
      <c r="B1321">
        <v>42429</v>
      </c>
      <c r="C1321">
        <v>0</v>
      </c>
      <c r="D1321">
        <v>1</v>
      </c>
      <c r="E1321">
        <v>99</v>
      </c>
      <c r="F1321">
        <v>55</v>
      </c>
      <c r="G1321">
        <v>0</v>
      </c>
      <c r="H1321">
        <v>6</v>
      </c>
      <c r="I1321">
        <v>2</v>
      </c>
      <c r="J1321">
        <v>0</v>
      </c>
      <c r="K1321">
        <v>4</v>
      </c>
      <c r="L1321">
        <v>2</v>
      </c>
      <c r="M1321">
        <v>1</v>
      </c>
      <c r="N1321">
        <v>1</v>
      </c>
      <c r="O1321">
        <v>3</v>
      </c>
      <c r="P1321">
        <v>5</v>
      </c>
      <c r="Q1321">
        <v>0</v>
      </c>
      <c r="R1321">
        <v>0</v>
      </c>
      <c r="S1321">
        <v>0</v>
      </c>
      <c r="T1321">
        <v>0</v>
      </c>
      <c r="U1321">
        <v>0</v>
      </c>
      <c r="V1321">
        <f>IF(SUM(ifood_data[[#This Row],[AcceptedCmp1]:[AcceptedCmp5]])&gt;0,1,0)</f>
        <v>0</v>
      </c>
      <c r="W1321">
        <v>0</v>
      </c>
      <c r="X1321">
        <v>3</v>
      </c>
      <c r="Y1321">
        <v>11</v>
      </c>
      <c r="Z1321">
        <v>0</v>
      </c>
      <c r="AA1321">
        <v>47</v>
      </c>
      <c r="AB1321">
        <v>2297</v>
      </c>
      <c r="AC1321" s="28">
        <f>ifood_data[[#This Row],[Customer_Days]]/365</f>
        <v>6.2931506849315069</v>
      </c>
      <c r="AD1321">
        <v>0</v>
      </c>
      <c r="AE1321">
        <v>0</v>
      </c>
      <c r="AF1321">
        <v>0</v>
      </c>
      <c r="AG1321">
        <v>0</v>
      </c>
      <c r="AH1321">
        <v>1</v>
      </c>
      <c r="AI1321">
        <v>0</v>
      </c>
      <c r="AJ1321">
        <v>0</v>
      </c>
      <c r="AK1321">
        <v>1</v>
      </c>
      <c r="AL1321">
        <v>0</v>
      </c>
      <c r="AM1321">
        <v>0</v>
      </c>
      <c r="AN1321">
        <v>63</v>
      </c>
      <c r="AO1321">
        <v>59</v>
      </c>
      <c r="AP1321">
        <f>ifood_data[[#This Row],[MntTotal]]-ifood_data[[#This Row],[MntRegularProds]]</f>
        <v>4</v>
      </c>
      <c r="AQ1321">
        <v>0</v>
      </c>
      <c r="AR1321">
        <f>IF(SUM(ifood_data[[#This Row],[Kidhome]:[Teenhome]])&gt;0,1,0)</f>
        <v>1</v>
      </c>
      <c r="AS1321" t="str">
        <f>IF(SUM(ifood_data[[#This Row],[Kidhome]:[Teenhome]])&gt;0,"Has Family","No Family")</f>
        <v>Has Family</v>
      </c>
      <c r="AT1321" t="str">
        <f>IF(ifood_data[[#This Row],[marital_Married]]=1,"Married", (IF(ifood_data[[#This Row],[marital_Single]]=1,"Single",(IF(ifood_data[[#This Row],[marital_Divorced]]=1,"Divorced",(IF(ifood_data[[#This Row],[marital_Together]]=1,"Living Together",(IF(ifood_data[[#This Row],[marital_Widow]]=1,"Widow","Other")))))))))</f>
        <v>Widow</v>
      </c>
      <c r="AU1321" t="str">
        <f>IF(ifood_data[[#This Row],[education_Basic]]=1,"High School",(IF(ifood_data[[#This Row],[education_Graduation]]=1,"Undergraduate Degree",(IF(SUM(AM1321,AL1321,AI1321)&gt;0,"Master's Degree or Higher","Other")))))</f>
        <v>Undergraduate Degree</v>
      </c>
      <c r="AV1321" t="str">
        <f>IF(ifood_data[[#All],[Income]]&gt;75000,"75K+",(IF(ifood_data[[#All],[Income]]&gt;50000,"50K-75K",(IF(ifood_data[[#All],[Income]]&gt;35000,"35K-50K","&lt;35K")))))</f>
        <v>35K-50K</v>
      </c>
      <c r="AW1321" t="str">
        <f>IF(ifood_data[[#All],[Age]]&gt;60,"60+",(IF(ifood_data[[#All],[Age]]&gt;50,"50-60",(IF(ifood_data[[#All],[Age]]&gt;40,"40-50",(IF(ifood_data[[#All],[Age]]&gt;30,"30-40","&lt;30")))))))</f>
        <v>40-50</v>
      </c>
      <c r="AX1321">
        <f t="shared" si="80"/>
        <v>12</v>
      </c>
      <c r="AY1321">
        <f t="shared" si="81"/>
        <v>0.99999999999999978</v>
      </c>
      <c r="AZ1321">
        <f t="shared" si="82"/>
        <v>1</v>
      </c>
      <c r="BA1321">
        <f t="shared" si="83"/>
        <v>2</v>
      </c>
      <c r="BB1321">
        <f>SUM(ifood_data[[#This Row],[Recency Score]:[Monetary Score]])</f>
        <v>4</v>
      </c>
      <c r="BC1321">
        <f>(_xlfn.PERCENTRANK.INC(ifood_data[[#All],[RFM]],ifood_data[[#This Row],[RFM]],1))*10</f>
        <v>0</v>
      </c>
      <c r="BD1321" t="str">
        <f>VLOOKUP(ifood_data[[#This Row],[RFM Score]],'RFM Analysis'!$A$3:$B$14,2,FALSE)</f>
        <v>Lost</v>
      </c>
      <c r="BE1321">
        <f>'Regression Models'!$B$101+'Regression Models'!$B$102*ifood_data[[#This Row],[Income]]+'Regression Models'!$B$103*ifood_data[[#This Row],[Age]]+'Regression Models'!$B$104*ifood_data[[#This Row],[Family]]</f>
        <v>301.33351952197336</v>
      </c>
      <c r="BF1321" t="str">
        <f>IF(ifood_data[[#This Row],[AcceptedCmpOverall]]=1,"Campaign Respondent","Non-respondent")</f>
        <v>Non-respondent</v>
      </c>
    </row>
    <row r="1322" spans="1:58" x14ac:dyDescent="0.35">
      <c r="A1322">
        <v>1395</v>
      </c>
      <c r="B1322">
        <v>42014</v>
      </c>
      <c r="C1322">
        <v>1</v>
      </c>
      <c r="D1322">
        <v>0</v>
      </c>
      <c r="E1322">
        <v>56</v>
      </c>
      <c r="F1322">
        <v>244</v>
      </c>
      <c r="G1322">
        <v>15</v>
      </c>
      <c r="H1322">
        <v>108</v>
      </c>
      <c r="I1322">
        <v>4</v>
      </c>
      <c r="J1322">
        <v>15</v>
      </c>
      <c r="K1322">
        <v>50</v>
      </c>
      <c r="L1322">
        <v>6</v>
      </c>
      <c r="M1322">
        <v>7</v>
      </c>
      <c r="N1322">
        <v>1</v>
      </c>
      <c r="O1322">
        <v>6</v>
      </c>
      <c r="P1322">
        <v>8</v>
      </c>
      <c r="Q1322">
        <v>0</v>
      </c>
      <c r="R1322">
        <v>0</v>
      </c>
      <c r="S1322">
        <v>0</v>
      </c>
      <c r="T1322">
        <v>0</v>
      </c>
      <c r="U1322">
        <v>0</v>
      </c>
      <c r="V1322">
        <f>IF(SUM(ifood_data[[#This Row],[AcceptedCmp1]:[AcceptedCmp5]])&gt;0,1,0)</f>
        <v>0</v>
      </c>
      <c r="W1322">
        <v>0</v>
      </c>
      <c r="X1322">
        <v>3</v>
      </c>
      <c r="Y1322">
        <v>11</v>
      </c>
      <c r="Z1322">
        <v>1</v>
      </c>
      <c r="AA1322">
        <v>43</v>
      </c>
      <c r="AB1322">
        <v>2840</v>
      </c>
      <c r="AC1322" s="28">
        <f>ifood_data[[#This Row],[Customer_Days]]/365</f>
        <v>7.7808219178082192</v>
      </c>
      <c r="AD1322">
        <v>0</v>
      </c>
      <c r="AE1322">
        <v>1</v>
      </c>
      <c r="AF1322">
        <v>0</v>
      </c>
      <c r="AG1322">
        <v>0</v>
      </c>
      <c r="AH1322">
        <v>0</v>
      </c>
      <c r="AI1322">
        <v>0</v>
      </c>
      <c r="AJ1322">
        <v>0</v>
      </c>
      <c r="AK1322">
        <v>1</v>
      </c>
      <c r="AL1322">
        <v>0</v>
      </c>
      <c r="AM1322">
        <v>0</v>
      </c>
      <c r="AN1322">
        <v>386</v>
      </c>
      <c r="AO1322">
        <v>336</v>
      </c>
      <c r="AP1322">
        <f>ifood_data[[#This Row],[MntTotal]]-ifood_data[[#This Row],[MntRegularProds]]</f>
        <v>50</v>
      </c>
      <c r="AQ1322">
        <v>0</v>
      </c>
      <c r="AR1322">
        <f>IF(SUM(ifood_data[[#This Row],[Kidhome]:[Teenhome]])&gt;0,1,0)</f>
        <v>1</v>
      </c>
      <c r="AS1322" t="str">
        <f>IF(SUM(ifood_data[[#This Row],[Kidhome]:[Teenhome]])&gt;0,"Has Family","No Family")</f>
        <v>Has Family</v>
      </c>
      <c r="AT1322" t="str">
        <f>IF(ifood_data[[#This Row],[marital_Married]]=1,"Married", (IF(ifood_data[[#This Row],[marital_Single]]=1,"Single",(IF(ifood_data[[#This Row],[marital_Divorced]]=1,"Divorced",(IF(ifood_data[[#This Row],[marital_Together]]=1,"Living Together",(IF(ifood_data[[#This Row],[marital_Widow]]=1,"Widow","Other")))))))))</f>
        <v>Married</v>
      </c>
      <c r="AU1322" t="str">
        <f>IF(ifood_data[[#This Row],[education_Basic]]=1,"High School",(IF(ifood_data[[#This Row],[education_Graduation]]=1,"Undergraduate Degree",(IF(SUM(AM1322,AL1322,AI1322)&gt;0,"Master's Degree or Higher","Other")))))</f>
        <v>Undergraduate Degree</v>
      </c>
      <c r="AV1322" t="str">
        <f>IF(ifood_data[[#All],[Income]]&gt;75000,"75K+",(IF(ifood_data[[#All],[Income]]&gt;50000,"50K-75K",(IF(ifood_data[[#All],[Income]]&gt;35000,"35K-50K","&lt;35K")))))</f>
        <v>35K-50K</v>
      </c>
      <c r="AW1322" t="str">
        <f>IF(ifood_data[[#All],[Age]]&gt;60,"60+",(IF(ifood_data[[#All],[Age]]&gt;50,"50-60",(IF(ifood_data[[#All],[Age]]&gt;40,"40-50",(IF(ifood_data[[#All],[Age]]&gt;30,"30-40","&lt;30")))))))</f>
        <v>40-50</v>
      </c>
      <c r="AX1322">
        <f t="shared" si="80"/>
        <v>28</v>
      </c>
      <c r="AY1322">
        <f t="shared" si="81"/>
        <v>5</v>
      </c>
      <c r="AZ1322">
        <f t="shared" si="82"/>
        <v>8</v>
      </c>
      <c r="BA1322">
        <f t="shared" si="83"/>
        <v>5</v>
      </c>
      <c r="BB1322">
        <f>SUM(ifood_data[[#This Row],[Recency Score]:[Monetary Score]])</f>
        <v>18</v>
      </c>
      <c r="BC1322">
        <f>(_xlfn.PERCENTRANK.INC(ifood_data[[#All],[RFM]],ifood_data[[#This Row],[RFM]],1))*10</f>
        <v>6</v>
      </c>
      <c r="BD1322" t="str">
        <f>VLOOKUP(ifood_data[[#This Row],[RFM Score]],'RFM Analysis'!$A$3:$B$14,2,FALSE)</f>
        <v>Promising</v>
      </c>
      <c r="BE1322">
        <f>'Regression Models'!$B$101+'Regression Models'!$B$102*ifood_data[[#This Row],[Income]]+'Regression Models'!$B$103*ifood_data[[#This Row],[Age]]+'Regression Models'!$B$104*ifood_data[[#This Row],[Family]]</f>
        <v>300.2179370578325</v>
      </c>
      <c r="BF1322" t="str">
        <f>IF(ifood_data[[#This Row],[AcceptedCmpOverall]]=1,"Campaign Respondent","Non-respondent")</f>
        <v>Non-respondent</v>
      </c>
    </row>
    <row r="1323" spans="1:58" x14ac:dyDescent="0.35">
      <c r="A1323">
        <v>1503</v>
      </c>
      <c r="B1323">
        <v>42731</v>
      </c>
      <c r="C1323">
        <v>1</v>
      </c>
      <c r="D1323">
        <v>0</v>
      </c>
      <c r="E1323">
        <v>64</v>
      </c>
      <c r="F1323">
        <v>159</v>
      </c>
      <c r="G1323">
        <v>2</v>
      </c>
      <c r="H1323">
        <v>51</v>
      </c>
      <c r="I1323">
        <v>6</v>
      </c>
      <c r="J1323">
        <v>2</v>
      </c>
      <c r="K1323">
        <v>24</v>
      </c>
      <c r="L1323">
        <v>3</v>
      </c>
      <c r="M1323">
        <v>4</v>
      </c>
      <c r="N1323">
        <v>1</v>
      </c>
      <c r="O1323">
        <v>5</v>
      </c>
      <c r="P1323">
        <v>5</v>
      </c>
      <c r="Q1323">
        <v>0</v>
      </c>
      <c r="R1323">
        <v>0</v>
      </c>
      <c r="S1323">
        <v>0</v>
      </c>
      <c r="T1323">
        <v>0</v>
      </c>
      <c r="U1323">
        <v>0</v>
      </c>
      <c r="V1323">
        <f>IF(SUM(ifood_data[[#This Row],[AcceptedCmp1]:[AcceptedCmp5]])&gt;0,1,0)</f>
        <v>0</v>
      </c>
      <c r="W1323">
        <v>0</v>
      </c>
      <c r="X1323">
        <v>3</v>
      </c>
      <c r="Y1323">
        <v>11</v>
      </c>
      <c r="Z1323">
        <v>0</v>
      </c>
      <c r="AA1323">
        <v>51</v>
      </c>
      <c r="AB1323">
        <v>2410</v>
      </c>
      <c r="AC1323" s="28">
        <f>ifood_data[[#This Row],[Customer_Days]]/365</f>
        <v>6.602739726027397</v>
      </c>
      <c r="AD1323">
        <v>0</v>
      </c>
      <c r="AE1323">
        <v>0</v>
      </c>
      <c r="AF1323">
        <v>0</v>
      </c>
      <c r="AG1323">
        <v>1</v>
      </c>
      <c r="AH1323">
        <v>0</v>
      </c>
      <c r="AI1323">
        <v>0</v>
      </c>
      <c r="AJ1323">
        <v>0</v>
      </c>
      <c r="AK1323">
        <v>0</v>
      </c>
      <c r="AL1323">
        <v>0</v>
      </c>
      <c r="AM1323">
        <v>1</v>
      </c>
      <c r="AN1323">
        <v>220</v>
      </c>
      <c r="AO1323">
        <v>196</v>
      </c>
      <c r="AP1323">
        <f>ifood_data[[#This Row],[MntTotal]]-ifood_data[[#This Row],[MntRegularProds]]</f>
        <v>24</v>
      </c>
      <c r="AQ1323">
        <v>0</v>
      </c>
      <c r="AR1323">
        <f>IF(SUM(ifood_data[[#This Row],[Kidhome]:[Teenhome]])&gt;0,1,0)</f>
        <v>1</v>
      </c>
      <c r="AS1323" t="str">
        <f>IF(SUM(ifood_data[[#This Row],[Kidhome]:[Teenhome]])&gt;0,"Has Family","No Family")</f>
        <v>Has Family</v>
      </c>
      <c r="AT1323" t="str">
        <f>IF(ifood_data[[#This Row],[marital_Married]]=1,"Married", (IF(ifood_data[[#This Row],[marital_Single]]=1,"Single",(IF(ifood_data[[#This Row],[marital_Divorced]]=1,"Divorced",(IF(ifood_data[[#This Row],[marital_Together]]=1,"Living Together",(IF(ifood_data[[#This Row],[marital_Widow]]=1,"Widow","Other")))))))))</f>
        <v>Living Together</v>
      </c>
      <c r="AU1323" t="str">
        <f>IF(ifood_data[[#This Row],[education_Basic]]=1,"High School",(IF(ifood_data[[#This Row],[education_Graduation]]=1,"Undergraduate Degree",(IF(SUM(AM1323,AL1323,AI1323)&gt;0,"Master's Degree or Higher","Other")))))</f>
        <v>Master's Degree or Higher</v>
      </c>
      <c r="AV1323" t="str">
        <f>IF(ifood_data[[#All],[Income]]&gt;75000,"75K+",(IF(ifood_data[[#All],[Income]]&gt;50000,"50K-75K",(IF(ifood_data[[#All],[Income]]&gt;35000,"35K-50K","&lt;35K")))))</f>
        <v>35K-50K</v>
      </c>
      <c r="AW1323" t="str">
        <f>IF(ifood_data[[#All],[Age]]&gt;60,"60+",(IF(ifood_data[[#All],[Age]]&gt;50,"50-60",(IF(ifood_data[[#All],[Age]]&gt;40,"40-50",(IF(ifood_data[[#All],[Age]]&gt;30,"30-40","&lt;30")))))))</f>
        <v>50-60</v>
      </c>
      <c r="AX1323">
        <f t="shared" si="80"/>
        <v>18</v>
      </c>
      <c r="AY1323">
        <f t="shared" si="81"/>
        <v>4</v>
      </c>
      <c r="AZ1323">
        <f t="shared" si="82"/>
        <v>4</v>
      </c>
      <c r="BA1323">
        <f t="shared" si="83"/>
        <v>4</v>
      </c>
      <c r="BB1323">
        <f>SUM(ifood_data[[#This Row],[Recency Score]:[Monetary Score]])</f>
        <v>12</v>
      </c>
      <c r="BC1323">
        <f>(_xlfn.PERCENTRANK.INC(ifood_data[[#All],[RFM]],ifood_data[[#This Row],[RFM]],1))*10</f>
        <v>3</v>
      </c>
      <c r="BD1323" t="str">
        <f>VLOOKUP(ifood_data[[#This Row],[RFM Score]],'RFM Analysis'!$A$3:$B$14,2,FALSE)</f>
        <v>At Risk</v>
      </c>
      <c r="BE1323">
        <f>'Regression Models'!$B$101+'Regression Models'!$B$102*ifood_data[[#This Row],[Income]]+'Regression Models'!$B$103*ifood_data[[#This Row],[Age]]+'Regression Models'!$B$104*ifood_data[[#This Row],[Family]]</f>
        <v>300.14517118585377</v>
      </c>
      <c r="BF1323" t="str">
        <f>IF(ifood_data[[#This Row],[AcceptedCmpOverall]]=1,"Campaign Respondent","Non-respondent")</f>
        <v>Non-respondent</v>
      </c>
    </row>
    <row r="1324" spans="1:58" x14ac:dyDescent="0.35">
      <c r="A1324">
        <v>1145</v>
      </c>
      <c r="B1324">
        <v>42160</v>
      </c>
      <c r="C1324">
        <v>1</v>
      </c>
      <c r="D1324">
        <v>1</v>
      </c>
      <c r="E1324">
        <v>26</v>
      </c>
      <c r="F1324">
        <v>48</v>
      </c>
      <c r="G1324">
        <v>9</v>
      </c>
      <c r="H1324">
        <v>45</v>
      </c>
      <c r="I1324">
        <v>3</v>
      </c>
      <c r="J1324">
        <v>15</v>
      </c>
      <c r="K1324">
        <v>20</v>
      </c>
      <c r="L1324">
        <v>4</v>
      </c>
      <c r="M1324">
        <v>2</v>
      </c>
      <c r="N1324">
        <v>1</v>
      </c>
      <c r="O1324">
        <v>4</v>
      </c>
      <c r="P1324">
        <v>6</v>
      </c>
      <c r="Q1324">
        <v>0</v>
      </c>
      <c r="R1324">
        <v>0</v>
      </c>
      <c r="S1324">
        <v>0</v>
      </c>
      <c r="T1324">
        <v>0</v>
      </c>
      <c r="U1324">
        <v>0</v>
      </c>
      <c r="V1324">
        <f>IF(SUM(ifood_data[[#This Row],[AcceptedCmp1]:[AcceptedCmp5]])&gt;0,1,0)</f>
        <v>0</v>
      </c>
      <c r="W1324">
        <v>0</v>
      </c>
      <c r="X1324">
        <v>3</v>
      </c>
      <c r="Y1324">
        <v>11</v>
      </c>
      <c r="Z1324">
        <v>1</v>
      </c>
      <c r="AA1324">
        <v>45</v>
      </c>
      <c r="AB1324">
        <v>2525</v>
      </c>
      <c r="AC1324" s="28">
        <f>ifood_data[[#This Row],[Customer_Days]]/365</f>
        <v>6.9178082191780819</v>
      </c>
      <c r="AD1324">
        <v>0</v>
      </c>
      <c r="AE1324">
        <v>0</v>
      </c>
      <c r="AF1324">
        <v>1</v>
      </c>
      <c r="AG1324">
        <v>0</v>
      </c>
      <c r="AH1324">
        <v>0</v>
      </c>
      <c r="AI1324">
        <v>0</v>
      </c>
      <c r="AJ1324">
        <v>0</v>
      </c>
      <c r="AK1324">
        <v>1</v>
      </c>
      <c r="AL1324">
        <v>0</v>
      </c>
      <c r="AM1324">
        <v>0</v>
      </c>
      <c r="AN1324">
        <v>120</v>
      </c>
      <c r="AO1324">
        <v>100</v>
      </c>
      <c r="AP1324">
        <f>ifood_data[[#This Row],[MntTotal]]-ifood_data[[#This Row],[MntRegularProds]]</f>
        <v>20</v>
      </c>
      <c r="AQ1324">
        <v>0</v>
      </c>
      <c r="AR1324">
        <f>IF(SUM(ifood_data[[#This Row],[Kidhome]:[Teenhome]])&gt;0,1,0)</f>
        <v>1</v>
      </c>
      <c r="AS1324" t="str">
        <f>IF(SUM(ifood_data[[#This Row],[Kidhome]:[Teenhome]])&gt;0,"Has Family","No Family")</f>
        <v>Has Family</v>
      </c>
      <c r="AT1324" t="str">
        <f>IF(ifood_data[[#This Row],[marital_Married]]=1,"Married", (IF(ifood_data[[#This Row],[marital_Single]]=1,"Single",(IF(ifood_data[[#This Row],[marital_Divorced]]=1,"Divorced",(IF(ifood_data[[#This Row],[marital_Together]]=1,"Living Together",(IF(ifood_data[[#This Row],[marital_Widow]]=1,"Widow","Other")))))))))</f>
        <v>Single</v>
      </c>
      <c r="AU1324" t="str">
        <f>IF(ifood_data[[#This Row],[education_Basic]]=1,"High School",(IF(ifood_data[[#This Row],[education_Graduation]]=1,"Undergraduate Degree",(IF(SUM(AM1324,AL1324,AI1324)&gt;0,"Master's Degree or Higher","Other")))))</f>
        <v>Undergraduate Degree</v>
      </c>
      <c r="AV1324" t="str">
        <f>IF(ifood_data[[#All],[Income]]&gt;75000,"75K+",(IF(ifood_data[[#All],[Income]]&gt;50000,"50K-75K",(IF(ifood_data[[#All],[Income]]&gt;35000,"35K-50K","&lt;35K")))))</f>
        <v>35K-50K</v>
      </c>
      <c r="AW1324" t="str">
        <f>IF(ifood_data[[#All],[Age]]&gt;60,"60+",(IF(ifood_data[[#All],[Age]]&gt;50,"50-60",(IF(ifood_data[[#All],[Age]]&gt;40,"40-50",(IF(ifood_data[[#All],[Age]]&gt;30,"30-40","&lt;30")))))))</f>
        <v>40-50</v>
      </c>
      <c r="AX1324">
        <f t="shared" si="80"/>
        <v>17</v>
      </c>
      <c r="AY1324">
        <f t="shared" si="81"/>
        <v>8</v>
      </c>
      <c r="AZ1324">
        <f t="shared" si="82"/>
        <v>3</v>
      </c>
      <c r="BA1324">
        <f t="shared" si="83"/>
        <v>3</v>
      </c>
      <c r="BB1324">
        <f>SUM(ifood_data[[#This Row],[Recency Score]:[Monetary Score]])</f>
        <v>14</v>
      </c>
      <c r="BC1324">
        <f>(_xlfn.PERCENTRANK.INC(ifood_data[[#All],[RFM]],ifood_data[[#This Row],[RFM]],1))*10</f>
        <v>4</v>
      </c>
      <c r="BD1324" t="str">
        <f>VLOOKUP(ifood_data[[#This Row],[RFM Score]],'RFM Analysis'!$A$3:$B$14,2,FALSE)</f>
        <v>At Risk</v>
      </c>
      <c r="BE1324">
        <f>'Regression Models'!$B$101+'Regression Models'!$B$102*ifood_data[[#This Row],[Income]]+'Regression Models'!$B$103*ifood_data[[#This Row],[Age]]+'Regression Models'!$B$104*ifood_data[[#This Row],[Family]]</f>
        <v>299.52181904905319</v>
      </c>
      <c r="BF1324" t="str">
        <f>IF(ifood_data[[#This Row],[AcceptedCmpOverall]]=1,"Campaign Respondent","Non-respondent")</f>
        <v>Non-respondent</v>
      </c>
    </row>
    <row r="1325" spans="1:58" x14ac:dyDescent="0.35">
      <c r="A1325">
        <v>1167</v>
      </c>
      <c r="B1325">
        <v>44213</v>
      </c>
      <c r="C1325">
        <v>1</v>
      </c>
      <c r="D1325">
        <v>1</v>
      </c>
      <c r="E1325">
        <v>48</v>
      </c>
      <c r="F1325">
        <v>95</v>
      </c>
      <c r="G1325">
        <v>11</v>
      </c>
      <c r="H1325">
        <v>35</v>
      </c>
      <c r="I1325">
        <v>0</v>
      </c>
      <c r="J1325">
        <v>4</v>
      </c>
      <c r="K1325">
        <v>7</v>
      </c>
      <c r="L1325">
        <v>4</v>
      </c>
      <c r="M1325">
        <v>2</v>
      </c>
      <c r="N1325">
        <v>1</v>
      </c>
      <c r="O1325">
        <v>5</v>
      </c>
      <c r="P1325">
        <v>6</v>
      </c>
      <c r="Q1325">
        <v>0</v>
      </c>
      <c r="R1325">
        <v>0</v>
      </c>
      <c r="S1325">
        <v>0</v>
      </c>
      <c r="T1325">
        <v>0</v>
      </c>
      <c r="U1325">
        <v>0</v>
      </c>
      <c r="V1325">
        <f>IF(SUM(ifood_data[[#This Row],[AcceptedCmp1]:[AcceptedCmp5]])&gt;0,1,0)</f>
        <v>0</v>
      </c>
      <c r="W1325">
        <v>0</v>
      </c>
      <c r="X1325">
        <v>3</v>
      </c>
      <c r="Y1325">
        <v>11</v>
      </c>
      <c r="Z1325">
        <v>0</v>
      </c>
      <c r="AA1325">
        <v>68</v>
      </c>
      <c r="AB1325">
        <v>2371</v>
      </c>
      <c r="AC1325" s="28">
        <f>ifood_data[[#This Row],[Customer_Days]]/365</f>
        <v>6.4958904109589044</v>
      </c>
      <c r="AD1325">
        <v>0</v>
      </c>
      <c r="AE1325">
        <v>0</v>
      </c>
      <c r="AF1325">
        <v>1</v>
      </c>
      <c r="AG1325">
        <v>0</v>
      </c>
      <c r="AH1325">
        <v>0</v>
      </c>
      <c r="AI1325">
        <v>0</v>
      </c>
      <c r="AJ1325">
        <v>0</v>
      </c>
      <c r="AK1325">
        <v>1</v>
      </c>
      <c r="AL1325">
        <v>0</v>
      </c>
      <c r="AM1325">
        <v>0</v>
      </c>
      <c r="AN1325">
        <v>145</v>
      </c>
      <c r="AO1325">
        <v>138</v>
      </c>
      <c r="AP1325">
        <f>ifood_data[[#This Row],[MntTotal]]-ifood_data[[#This Row],[MntRegularProds]]</f>
        <v>7</v>
      </c>
      <c r="AQ1325">
        <v>0</v>
      </c>
      <c r="AR1325">
        <f>IF(SUM(ifood_data[[#This Row],[Kidhome]:[Teenhome]])&gt;0,1,0)</f>
        <v>1</v>
      </c>
      <c r="AS1325" t="str">
        <f>IF(SUM(ifood_data[[#This Row],[Kidhome]:[Teenhome]])&gt;0,"Has Family","No Family")</f>
        <v>Has Family</v>
      </c>
      <c r="AT1325" t="str">
        <f>IF(ifood_data[[#This Row],[marital_Married]]=1,"Married", (IF(ifood_data[[#This Row],[marital_Single]]=1,"Single",(IF(ifood_data[[#This Row],[marital_Divorced]]=1,"Divorced",(IF(ifood_data[[#This Row],[marital_Together]]=1,"Living Together",(IF(ifood_data[[#This Row],[marital_Widow]]=1,"Widow","Other")))))))))</f>
        <v>Single</v>
      </c>
      <c r="AU1325" t="str">
        <f>IF(ifood_data[[#This Row],[education_Basic]]=1,"High School",(IF(ifood_data[[#This Row],[education_Graduation]]=1,"Undergraduate Degree",(IF(SUM(AM1325,AL1325,AI1325)&gt;0,"Master's Degree or Higher","Other")))))</f>
        <v>Undergraduate Degree</v>
      </c>
      <c r="AV1325" t="str">
        <f>IF(ifood_data[[#All],[Income]]&gt;75000,"75K+",(IF(ifood_data[[#All],[Income]]&gt;50000,"50K-75K",(IF(ifood_data[[#All],[Income]]&gt;35000,"35K-50K","&lt;35K")))))</f>
        <v>35K-50K</v>
      </c>
      <c r="AW1325" t="str">
        <f>IF(ifood_data[[#All],[Age]]&gt;60,"60+",(IF(ifood_data[[#All],[Age]]&gt;50,"50-60",(IF(ifood_data[[#All],[Age]]&gt;40,"40-50",(IF(ifood_data[[#All],[Age]]&gt;30,"30-40","&lt;30")))))))</f>
        <v>60+</v>
      </c>
      <c r="AX1325">
        <f t="shared" si="80"/>
        <v>18</v>
      </c>
      <c r="AY1325">
        <f t="shared" si="81"/>
        <v>6</v>
      </c>
      <c r="AZ1325">
        <f t="shared" si="82"/>
        <v>4</v>
      </c>
      <c r="BA1325">
        <f t="shared" si="83"/>
        <v>3</v>
      </c>
      <c r="BB1325">
        <f>SUM(ifood_data[[#This Row],[Recency Score]:[Monetary Score]])</f>
        <v>13</v>
      </c>
      <c r="BC1325">
        <f>(_xlfn.PERCENTRANK.INC(ifood_data[[#All],[RFM]],ifood_data[[#This Row],[RFM]],1))*10</f>
        <v>3</v>
      </c>
      <c r="BD1325" t="str">
        <f>VLOOKUP(ifood_data[[#This Row],[RFM Score]],'RFM Analysis'!$A$3:$B$14,2,FALSE)</f>
        <v>At Risk</v>
      </c>
      <c r="BE1325">
        <f>'Regression Models'!$B$101+'Regression Models'!$B$102*ifood_data[[#This Row],[Income]]+'Regression Models'!$B$103*ifood_data[[#This Row],[Age]]+'Regression Models'!$B$104*ifood_data[[#This Row],[Family]]</f>
        <v>299.14186123390925</v>
      </c>
      <c r="BF1325" t="str">
        <f>IF(ifood_data[[#This Row],[AcceptedCmpOverall]]=1,"Campaign Respondent","Non-respondent")</f>
        <v>Non-respondent</v>
      </c>
    </row>
    <row r="1326" spans="1:58" x14ac:dyDescent="0.35">
      <c r="A1326">
        <v>84</v>
      </c>
      <c r="B1326">
        <v>42394</v>
      </c>
      <c r="C1326">
        <v>1</v>
      </c>
      <c r="D1326">
        <v>0</v>
      </c>
      <c r="E1326">
        <v>69</v>
      </c>
      <c r="F1326">
        <v>15</v>
      </c>
      <c r="G1326">
        <v>2</v>
      </c>
      <c r="H1326">
        <v>10</v>
      </c>
      <c r="I1326">
        <v>0</v>
      </c>
      <c r="J1326">
        <v>1</v>
      </c>
      <c r="K1326">
        <v>4</v>
      </c>
      <c r="L1326">
        <v>1</v>
      </c>
      <c r="M1326">
        <v>1</v>
      </c>
      <c r="N1326">
        <v>0</v>
      </c>
      <c r="O1326">
        <v>3</v>
      </c>
      <c r="P1326">
        <v>7</v>
      </c>
      <c r="Q1326">
        <v>0</v>
      </c>
      <c r="R1326">
        <v>0</v>
      </c>
      <c r="S1326">
        <v>0</v>
      </c>
      <c r="T1326">
        <v>0</v>
      </c>
      <c r="U1326">
        <v>0</v>
      </c>
      <c r="V1326">
        <f>IF(SUM(ifood_data[[#This Row],[AcceptedCmp1]:[AcceptedCmp5]])&gt;0,1,0)</f>
        <v>0</v>
      </c>
      <c r="W1326">
        <v>0</v>
      </c>
      <c r="X1326">
        <v>3</v>
      </c>
      <c r="Y1326">
        <v>11</v>
      </c>
      <c r="Z1326">
        <v>0</v>
      </c>
      <c r="AA1326">
        <v>48</v>
      </c>
      <c r="AB1326">
        <v>2257</v>
      </c>
      <c r="AC1326" s="28">
        <f>ifood_data[[#This Row],[Customer_Days]]/365</f>
        <v>6.183561643835616</v>
      </c>
      <c r="AD1326">
        <v>0</v>
      </c>
      <c r="AE1326">
        <v>0</v>
      </c>
      <c r="AF1326">
        <v>1</v>
      </c>
      <c r="AG1326">
        <v>0</v>
      </c>
      <c r="AH1326">
        <v>0</v>
      </c>
      <c r="AI1326">
        <v>0</v>
      </c>
      <c r="AJ1326">
        <v>0</v>
      </c>
      <c r="AK1326">
        <v>0</v>
      </c>
      <c r="AL1326">
        <v>1</v>
      </c>
      <c r="AM1326">
        <v>0</v>
      </c>
      <c r="AN1326">
        <v>28</v>
      </c>
      <c r="AO1326">
        <v>24</v>
      </c>
      <c r="AP1326">
        <f>ifood_data[[#This Row],[MntTotal]]-ifood_data[[#This Row],[MntRegularProds]]</f>
        <v>4</v>
      </c>
      <c r="AQ1326">
        <v>0</v>
      </c>
      <c r="AR1326">
        <f>IF(SUM(ifood_data[[#This Row],[Kidhome]:[Teenhome]])&gt;0,1,0)</f>
        <v>1</v>
      </c>
      <c r="AS1326" t="str">
        <f>IF(SUM(ifood_data[[#This Row],[Kidhome]:[Teenhome]])&gt;0,"Has Family","No Family")</f>
        <v>Has Family</v>
      </c>
      <c r="AT1326" t="str">
        <f>IF(ifood_data[[#This Row],[marital_Married]]=1,"Married", (IF(ifood_data[[#This Row],[marital_Single]]=1,"Single",(IF(ifood_data[[#This Row],[marital_Divorced]]=1,"Divorced",(IF(ifood_data[[#This Row],[marital_Together]]=1,"Living Together",(IF(ifood_data[[#This Row],[marital_Widow]]=1,"Widow","Other")))))))))</f>
        <v>Single</v>
      </c>
      <c r="AU1326" t="str">
        <f>IF(ifood_data[[#This Row],[education_Basic]]=1,"High School",(IF(ifood_data[[#This Row],[education_Graduation]]=1,"Undergraduate Degree",(IF(SUM(AM1326,AL1326,AI1326)&gt;0,"Master's Degree or Higher","Other")))))</f>
        <v>Master's Degree or Higher</v>
      </c>
      <c r="AV1326" t="str">
        <f>IF(ifood_data[[#All],[Income]]&gt;75000,"75K+",(IF(ifood_data[[#All],[Income]]&gt;50000,"50K-75K",(IF(ifood_data[[#All],[Income]]&gt;35000,"35K-50K","&lt;35K")))))</f>
        <v>35K-50K</v>
      </c>
      <c r="AW1326" t="str">
        <f>IF(ifood_data[[#All],[Age]]&gt;60,"60+",(IF(ifood_data[[#All],[Age]]&gt;50,"50-60",(IF(ifood_data[[#All],[Age]]&gt;40,"40-50",(IF(ifood_data[[#All],[Age]]&gt;30,"30-40","&lt;30")))))))</f>
        <v>40-50</v>
      </c>
      <c r="AX1326">
        <f t="shared" si="80"/>
        <v>12</v>
      </c>
      <c r="AY1326">
        <f t="shared" si="81"/>
        <v>4</v>
      </c>
      <c r="AZ1326">
        <f t="shared" si="82"/>
        <v>1</v>
      </c>
      <c r="BA1326">
        <f t="shared" si="83"/>
        <v>0</v>
      </c>
      <c r="BB1326">
        <f>SUM(ifood_data[[#This Row],[Recency Score]:[Monetary Score]])</f>
        <v>5</v>
      </c>
      <c r="BC1326">
        <f>(_xlfn.PERCENTRANK.INC(ifood_data[[#All],[RFM]],ifood_data[[#This Row],[RFM]],1))*10</f>
        <v>0</v>
      </c>
      <c r="BD1326" t="str">
        <f>VLOOKUP(ifood_data[[#This Row],[RFM Score]],'RFM Analysis'!$A$3:$B$14,2,FALSE)</f>
        <v>Lost</v>
      </c>
      <c r="BE1326">
        <f>'Regression Models'!$B$101+'Regression Models'!$B$102*ifood_data[[#This Row],[Income]]+'Regression Models'!$B$103*ifood_data[[#This Row],[Age]]+'Regression Models'!$B$104*ifood_data[[#This Row],[Family]]</f>
        <v>298.78347355804272</v>
      </c>
      <c r="BF1326" t="str">
        <f>IF(ifood_data[[#This Row],[AcceptedCmpOverall]]=1,"Campaign Respondent","Non-respondent")</f>
        <v>Non-respondent</v>
      </c>
    </row>
    <row r="1327" spans="1:58" x14ac:dyDescent="0.35">
      <c r="A1327">
        <v>1599</v>
      </c>
      <c r="B1327">
        <v>42403</v>
      </c>
      <c r="C1327">
        <v>1</v>
      </c>
      <c r="D1327">
        <v>0</v>
      </c>
      <c r="E1327">
        <v>18</v>
      </c>
      <c r="F1327">
        <v>22</v>
      </c>
      <c r="G1327">
        <v>1</v>
      </c>
      <c r="H1327">
        <v>11</v>
      </c>
      <c r="I1327">
        <v>0</v>
      </c>
      <c r="J1327">
        <v>5</v>
      </c>
      <c r="K1327">
        <v>3</v>
      </c>
      <c r="L1327">
        <v>1</v>
      </c>
      <c r="M1327">
        <v>1</v>
      </c>
      <c r="N1327">
        <v>0</v>
      </c>
      <c r="O1327">
        <v>3</v>
      </c>
      <c r="P1327">
        <v>8</v>
      </c>
      <c r="Q1327">
        <v>0</v>
      </c>
      <c r="R1327">
        <v>0</v>
      </c>
      <c r="S1327">
        <v>0</v>
      </c>
      <c r="T1327">
        <v>0</v>
      </c>
      <c r="U1327">
        <v>0</v>
      </c>
      <c r="V1327">
        <f>IF(SUM(ifood_data[[#This Row],[AcceptedCmp1]:[AcceptedCmp5]])&gt;0,1,0)</f>
        <v>0</v>
      </c>
      <c r="W1327">
        <v>0</v>
      </c>
      <c r="X1327">
        <v>3</v>
      </c>
      <c r="Y1327">
        <v>11</v>
      </c>
      <c r="Z1327">
        <v>0</v>
      </c>
      <c r="AA1327">
        <v>49</v>
      </c>
      <c r="AB1327">
        <v>2359</v>
      </c>
      <c r="AC1327" s="28">
        <f>ifood_data[[#This Row],[Customer_Days]]/365</f>
        <v>6.463013698630137</v>
      </c>
      <c r="AD1327">
        <v>0</v>
      </c>
      <c r="AE1327">
        <v>1</v>
      </c>
      <c r="AF1327">
        <v>0</v>
      </c>
      <c r="AG1327">
        <v>0</v>
      </c>
      <c r="AH1327">
        <v>0</v>
      </c>
      <c r="AI1327">
        <v>0</v>
      </c>
      <c r="AJ1327">
        <v>0</v>
      </c>
      <c r="AK1327">
        <v>0</v>
      </c>
      <c r="AL1327">
        <v>0</v>
      </c>
      <c r="AM1327">
        <v>1</v>
      </c>
      <c r="AN1327">
        <v>39</v>
      </c>
      <c r="AO1327">
        <v>36</v>
      </c>
      <c r="AP1327">
        <f>ifood_data[[#This Row],[MntTotal]]-ifood_data[[#This Row],[MntRegularProds]]</f>
        <v>3</v>
      </c>
      <c r="AQ1327">
        <v>0</v>
      </c>
      <c r="AR1327">
        <f>IF(SUM(ifood_data[[#This Row],[Kidhome]:[Teenhome]])&gt;0,1,0)</f>
        <v>1</v>
      </c>
      <c r="AS1327" t="str">
        <f>IF(SUM(ifood_data[[#This Row],[Kidhome]:[Teenhome]])&gt;0,"Has Family","No Family")</f>
        <v>Has Family</v>
      </c>
      <c r="AT1327" t="str">
        <f>IF(ifood_data[[#This Row],[marital_Married]]=1,"Married", (IF(ifood_data[[#This Row],[marital_Single]]=1,"Single",(IF(ifood_data[[#This Row],[marital_Divorced]]=1,"Divorced",(IF(ifood_data[[#This Row],[marital_Together]]=1,"Living Together",(IF(ifood_data[[#This Row],[marital_Widow]]=1,"Widow","Other")))))))))</f>
        <v>Married</v>
      </c>
      <c r="AU1327" t="str">
        <f>IF(ifood_data[[#This Row],[education_Basic]]=1,"High School",(IF(ifood_data[[#This Row],[education_Graduation]]=1,"Undergraduate Degree",(IF(SUM(AM1327,AL1327,AI1327)&gt;0,"Master's Degree or Higher","Other")))))</f>
        <v>Master's Degree or Higher</v>
      </c>
      <c r="AV1327" t="str">
        <f>IF(ifood_data[[#All],[Income]]&gt;75000,"75K+",(IF(ifood_data[[#All],[Income]]&gt;50000,"50K-75K",(IF(ifood_data[[#All],[Income]]&gt;35000,"35K-50K","&lt;35K")))))</f>
        <v>35K-50K</v>
      </c>
      <c r="AW1327" t="str">
        <f>IF(ifood_data[[#All],[Age]]&gt;60,"60+",(IF(ifood_data[[#All],[Age]]&gt;50,"50-60",(IF(ifood_data[[#All],[Age]]&gt;40,"40-50",(IF(ifood_data[[#All],[Age]]&gt;30,"30-40","&lt;30")))))))</f>
        <v>40-50</v>
      </c>
      <c r="AX1327">
        <f t="shared" si="80"/>
        <v>13</v>
      </c>
      <c r="AY1327">
        <f t="shared" si="81"/>
        <v>9</v>
      </c>
      <c r="AZ1327">
        <f t="shared" si="82"/>
        <v>1</v>
      </c>
      <c r="BA1327">
        <f t="shared" si="83"/>
        <v>1</v>
      </c>
      <c r="BB1327">
        <f>SUM(ifood_data[[#This Row],[Recency Score]:[Monetary Score]])</f>
        <v>11</v>
      </c>
      <c r="BC1327">
        <f>(_xlfn.PERCENTRANK.INC(ifood_data[[#All],[RFM]],ifood_data[[#This Row],[RFM]],1))*10</f>
        <v>2</v>
      </c>
      <c r="BD1327" t="str">
        <f>VLOOKUP(ifood_data[[#This Row],[RFM Score]],'RFM Analysis'!$A$3:$B$14,2,FALSE)</f>
        <v>At Risk</v>
      </c>
      <c r="BE1327">
        <f>'Regression Models'!$B$101+'Regression Models'!$B$102*ifood_data[[#This Row],[Income]]+'Regression Models'!$B$103*ifood_data[[#This Row],[Age]]+'Regression Models'!$B$104*ifood_data[[#This Row],[Family]]</f>
        <v>297.13053339244345</v>
      </c>
      <c r="BF1327" t="str">
        <f>IF(ifood_data[[#This Row],[AcceptedCmpOverall]]=1,"Campaign Respondent","Non-respondent")</f>
        <v>Non-respondent</v>
      </c>
    </row>
    <row r="1328" spans="1:58" x14ac:dyDescent="0.35">
      <c r="A1328">
        <v>2017</v>
      </c>
      <c r="B1328">
        <v>26816</v>
      </c>
      <c r="C1328">
        <v>0</v>
      </c>
      <c r="D1328">
        <v>0</v>
      </c>
      <c r="E1328">
        <v>50</v>
      </c>
      <c r="F1328">
        <v>5</v>
      </c>
      <c r="G1328">
        <v>1</v>
      </c>
      <c r="H1328">
        <v>6</v>
      </c>
      <c r="I1328">
        <v>3</v>
      </c>
      <c r="J1328">
        <v>4</v>
      </c>
      <c r="K1328">
        <v>3</v>
      </c>
      <c r="L1328">
        <v>1</v>
      </c>
      <c r="M1328">
        <v>0</v>
      </c>
      <c r="N1328">
        <v>0</v>
      </c>
      <c r="O1328">
        <v>3</v>
      </c>
      <c r="P1328">
        <v>4</v>
      </c>
      <c r="Q1328">
        <v>0</v>
      </c>
      <c r="R1328">
        <v>0</v>
      </c>
      <c r="S1328">
        <v>0</v>
      </c>
      <c r="T1328">
        <v>0</v>
      </c>
      <c r="U1328">
        <v>0</v>
      </c>
      <c r="V1328">
        <f>IF(SUM(ifood_data[[#This Row],[AcceptedCmp1]:[AcceptedCmp5]])&gt;0,1,0)</f>
        <v>0</v>
      </c>
      <c r="W1328">
        <v>0</v>
      </c>
      <c r="X1328">
        <v>3</v>
      </c>
      <c r="Y1328">
        <v>11</v>
      </c>
      <c r="Z1328">
        <v>0</v>
      </c>
      <c r="AA1328">
        <v>34</v>
      </c>
      <c r="AB1328">
        <v>2840</v>
      </c>
      <c r="AC1328" s="28">
        <f>ifood_data[[#This Row],[Customer_Days]]/365</f>
        <v>7.7808219178082192</v>
      </c>
      <c r="AD1328">
        <v>0</v>
      </c>
      <c r="AE1328">
        <v>0</v>
      </c>
      <c r="AF1328">
        <v>1</v>
      </c>
      <c r="AG1328">
        <v>0</v>
      </c>
      <c r="AH1328">
        <v>0</v>
      </c>
      <c r="AI1328">
        <v>0</v>
      </c>
      <c r="AJ1328">
        <v>0</v>
      </c>
      <c r="AK1328">
        <v>1</v>
      </c>
      <c r="AL1328">
        <v>0</v>
      </c>
      <c r="AM1328">
        <v>0</v>
      </c>
      <c r="AN1328">
        <v>19</v>
      </c>
      <c r="AO1328">
        <v>16</v>
      </c>
      <c r="AP1328">
        <f>ifood_data[[#This Row],[MntTotal]]-ifood_data[[#This Row],[MntRegularProds]]</f>
        <v>3</v>
      </c>
      <c r="AQ1328">
        <v>0</v>
      </c>
      <c r="AR1328">
        <f>IF(SUM(ifood_data[[#This Row],[Kidhome]:[Teenhome]])&gt;0,1,0)</f>
        <v>0</v>
      </c>
      <c r="AS1328" t="str">
        <f>IF(SUM(ifood_data[[#This Row],[Kidhome]:[Teenhome]])&gt;0,"Has Family","No Family")</f>
        <v>No Family</v>
      </c>
      <c r="AT1328" t="str">
        <f>IF(ifood_data[[#This Row],[marital_Married]]=1,"Married", (IF(ifood_data[[#This Row],[marital_Single]]=1,"Single",(IF(ifood_data[[#This Row],[marital_Divorced]]=1,"Divorced",(IF(ifood_data[[#This Row],[marital_Together]]=1,"Living Together",(IF(ifood_data[[#This Row],[marital_Widow]]=1,"Widow","Other")))))))))</f>
        <v>Single</v>
      </c>
      <c r="AU1328" t="str">
        <f>IF(ifood_data[[#This Row],[education_Basic]]=1,"High School",(IF(ifood_data[[#This Row],[education_Graduation]]=1,"Undergraduate Degree",(IF(SUM(AM1328,AL1328,AI1328)&gt;0,"Master's Degree or Higher","Other")))))</f>
        <v>Undergraduate Degree</v>
      </c>
      <c r="AV1328" t="str">
        <f>IF(ifood_data[[#All],[Income]]&gt;75000,"75K+",(IF(ifood_data[[#All],[Income]]&gt;50000,"50K-75K",(IF(ifood_data[[#All],[Income]]&gt;35000,"35K-50K","&lt;35K")))))</f>
        <v>&lt;35K</v>
      </c>
      <c r="AW1328" t="str">
        <f>IF(ifood_data[[#All],[Age]]&gt;60,"60+",(IF(ifood_data[[#All],[Age]]&gt;50,"50-60",(IF(ifood_data[[#All],[Age]]&gt;40,"40-50",(IF(ifood_data[[#All],[Age]]&gt;30,"30-40","&lt;30")))))))</f>
        <v>30-40</v>
      </c>
      <c r="AX1328">
        <f t="shared" si="80"/>
        <v>8</v>
      </c>
      <c r="AY1328">
        <f t="shared" si="81"/>
        <v>5</v>
      </c>
      <c r="AZ1328">
        <f t="shared" si="82"/>
        <v>0</v>
      </c>
      <c r="BA1328">
        <f t="shared" si="83"/>
        <v>0</v>
      </c>
      <c r="BB1328">
        <f>SUM(ifood_data[[#This Row],[Recency Score]:[Monetary Score]])</f>
        <v>5</v>
      </c>
      <c r="BC1328">
        <f>(_xlfn.PERCENTRANK.INC(ifood_data[[#All],[RFM]],ifood_data[[#This Row],[RFM]],1))*10</f>
        <v>0</v>
      </c>
      <c r="BD1328" t="str">
        <f>VLOOKUP(ifood_data[[#This Row],[RFM Score]],'RFM Analysis'!$A$3:$B$14,2,FALSE)</f>
        <v>Lost</v>
      </c>
      <c r="BE1328">
        <f>'Regression Models'!$B$101+'Regression Models'!$B$102*ifood_data[[#This Row],[Income]]+'Regression Models'!$B$103*ifood_data[[#This Row],[Age]]+'Regression Models'!$B$104*ifood_data[[#This Row],[Family]]</f>
        <v>296.49102158992099</v>
      </c>
      <c r="BF1328" t="str">
        <f>IF(ifood_data[[#This Row],[AcceptedCmpOverall]]=1,"Campaign Respondent","Non-respondent")</f>
        <v>Non-respondent</v>
      </c>
    </row>
    <row r="1329" spans="1:58" x14ac:dyDescent="0.35">
      <c r="A1329">
        <v>1627</v>
      </c>
      <c r="B1329">
        <v>42664</v>
      </c>
      <c r="C1329">
        <v>0</v>
      </c>
      <c r="D1329">
        <v>1</v>
      </c>
      <c r="E1329">
        <v>44</v>
      </c>
      <c r="F1329">
        <v>21</v>
      </c>
      <c r="G1329">
        <v>0</v>
      </c>
      <c r="H1329">
        <v>3</v>
      </c>
      <c r="I1329">
        <v>0</v>
      </c>
      <c r="J1329">
        <v>0</v>
      </c>
      <c r="K1329">
        <v>0</v>
      </c>
      <c r="L1329">
        <v>1</v>
      </c>
      <c r="M1329">
        <v>1</v>
      </c>
      <c r="N1329">
        <v>0</v>
      </c>
      <c r="O1329">
        <v>3</v>
      </c>
      <c r="P1329">
        <v>6</v>
      </c>
      <c r="Q1329">
        <v>0</v>
      </c>
      <c r="R1329">
        <v>0</v>
      </c>
      <c r="S1329">
        <v>0</v>
      </c>
      <c r="T1329">
        <v>0</v>
      </c>
      <c r="U1329">
        <v>0</v>
      </c>
      <c r="V1329">
        <f>IF(SUM(ifood_data[[#This Row],[AcceptedCmp1]:[AcceptedCmp5]])&gt;0,1,0)</f>
        <v>0</v>
      </c>
      <c r="W1329">
        <v>0</v>
      </c>
      <c r="X1329">
        <v>3</v>
      </c>
      <c r="Y1329">
        <v>11</v>
      </c>
      <c r="Z1329">
        <v>0</v>
      </c>
      <c r="AA1329">
        <v>53</v>
      </c>
      <c r="AB1329">
        <v>2262</v>
      </c>
      <c r="AC1329" s="28">
        <f>ifood_data[[#This Row],[Customer_Days]]/365</f>
        <v>6.1972602739726028</v>
      </c>
      <c r="AD1329">
        <v>0</v>
      </c>
      <c r="AE1329">
        <v>1</v>
      </c>
      <c r="AF1329">
        <v>0</v>
      </c>
      <c r="AG1329">
        <v>0</v>
      </c>
      <c r="AH1329">
        <v>0</v>
      </c>
      <c r="AI1329">
        <v>0</v>
      </c>
      <c r="AJ1329">
        <v>0</v>
      </c>
      <c r="AK1329">
        <v>1</v>
      </c>
      <c r="AL1329">
        <v>0</v>
      </c>
      <c r="AM1329">
        <v>0</v>
      </c>
      <c r="AN1329">
        <v>24</v>
      </c>
      <c r="AO1329">
        <v>24</v>
      </c>
      <c r="AP1329">
        <f>ifood_data[[#This Row],[MntTotal]]-ifood_data[[#This Row],[MntRegularProds]]</f>
        <v>0</v>
      </c>
      <c r="AQ1329">
        <v>0</v>
      </c>
      <c r="AR1329">
        <f>IF(SUM(ifood_data[[#This Row],[Kidhome]:[Teenhome]])&gt;0,1,0)</f>
        <v>1</v>
      </c>
      <c r="AS1329" t="str">
        <f>IF(SUM(ifood_data[[#This Row],[Kidhome]:[Teenhome]])&gt;0,"Has Family","No Family")</f>
        <v>Has Family</v>
      </c>
      <c r="AT1329" t="str">
        <f>IF(ifood_data[[#This Row],[marital_Married]]=1,"Married", (IF(ifood_data[[#This Row],[marital_Single]]=1,"Single",(IF(ifood_data[[#This Row],[marital_Divorced]]=1,"Divorced",(IF(ifood_data[[#This Row],[marital_Together]]=1,"Living Together",(IF(ifood_data[[#This Row],[marital_Widow]]=1,"Widow","Other")))))))))</f>
        <v>Married</v>
      </c>
      <c r="AU1329" t="str">
        <f>IF(ifood_data[[#This Row],[education_Basic]]=1,"High School",(IF(ifood_data[[#This Row],[education_Graduation]]=1,"Undergraduate Degree",(IF(SUM(AM1329,AL1329,AI1329)&gt;0,"Master's Degree or Higher","Other")))))</f>
        <v>Undergraduate Degree</v>
      </c>
      <c r="AV1329" t="str">
        <f>IF(ifood_data[[#All],[Income]]&gt;75000,"75K+",(IF(ifood_data[[#All],[Income]]&gt;50000,"50K-75K",(IF(ifood_data[[#All],[Income]]&gt;35000,"35K-50K","&lt;35K")))))</f>
        <v>35K-50K</v>
      </c>
      <c r="AW1329" t="str">
        <f>IF(ifood_data[[#All],[Age]]&gt;60,"60+",(IF(ifood_data[[#All],[Age]]&gt;50,"50-60",(IF(ifood_data[[#All],[Age]]&gt;40,"40-50",(IF(ifood_data[[#All],[Age]]&gt;30,"30-40","&lt;30")))))))</f>
        <v>50-60</v>
      </c>
      <c r="AX1329">
        <f t="shared" si="80"/>
        <v>11</v>
      </c>
      <c r="AY1329">
        <f t="shared" si="81"/>
        <v>6</v>
      </c>
      <c r="AZ1329">
        <f t="shared" si="82"/>
        <v>0</v>
      </c>
      <c r="BA1329">
        <f t="shared" si="83"/>
        <v>0</v>
      </c>
      <c r="BB1329">
        <f>SUM(ifood_data[[#This Row],[Recency Score]:[Monetary Score]])</f>
        <v>6</v>
      </c>
      <c r="BC1329">
        <f>(_xlfn.PERCENTRANK.INC(ifood_data[[#All],[RFM]],ifood_data[[#This Row],[RFM]],1))*10</f>
        <v>0</v>
      </c>
      <c r="BD1329" t="str">
        <f>VLOOKUP(ifood_data[[#This Row],[RFM Score]],'RFM Analysis'!$A$3:$B$14,2,FALSE)</f>
        <v>Lost</v>
      </c>
      <c r="BE1329">
        <f>'Regression Models'!$B$101+'Regression Models'!$B$102*ifood_data[[#This Row],[Income]]+'Regression Models'!$B$103*ifood_data[[#This Row],[Age]]+'Regression Models'!$B$104*ifood_data[[#This Row],[Family]]</f>
        <v>295.10624556242396</v>
      </c>
      <c r="BF1329" t="str">
        <f>IF(ifood_data[[#This Row],[AcceptedCmpOverall]]=1,"Campaign Respondent","Non-respondent")</f>
        <v>Non-respondent</v>
      </c>
    </row>
    <row r="1330" spans="1:58" x14ac:dyDescent="0.35">
      <c r="A1330">
        <v>745</v>
      </c>
      <c r="B1330">
        <v>42564</v>
      </c>
      <c r="C1330">
        <v>0</v>
      </c>
      <c r="D1330">
        <v>1</v>
      </c>
      <c r="E1330">
        <v>28</v>
      </c>
      <c r="F1330">
        <v>324</v>
      </c>
      <c r="G1330">
        <v>48</v>
      </c>
      <c r="H1330">
        <v>186</v>
      </c>
      <c r="I1330">
        <v>39</v>
      </c>
      <c r="J1330">
        <v>18</v>
      </c>
      <c r="K1330">
        <v>198</v>
      </c>
      <c r="L1330">
        <v>6</v>
      </c>
      <c r="M1330">
        <v>6</v>
      </c>
      <c r="N1330">
        <v>8</v>
      </c>
      <c r="O1330">
        <v>4</v>
      </c>
      <c r="P1330">
        <v>7</v>
      </c>
      <c r="Q1330">
        <v>0</v>
      </c>
      <c r="R1330">
        <v>0</v>
      </c>
      <c r="S1330">
        <v>1</v>
      </c>
      <c r="T1330">
        <v>0</v>
      </c>
      <c r="U1330">
        <v>0</v>
      </c>
      <c r="V1330">
        <f>IF(SUM(ifood_data[[#This Row],[AcceptedCmp1]:[AcceptedCmp5]])&gt;0,1,0)</f>
        <v>1</v>
      </c>
      <c r="W1330">
        <v>0</v>
      </c>
      <c r="X1330">
        <v>3</v>
      </c>
      <c r="Y1330">
        <v>11</v>
      </c>
      <c r="Z1330">
        <v>1</v>
      </c>
      <c r="AA1330">
        <v>52</v>
      </c>
      <c r="AB1330">
        <v>2702</v>
      </c>
      <c r="AC1330" s="28">
        <f>ifood_data[[#This Row],[Customer_Days]]/365</f>
        <v>7.4027397260273968</v>
      </c>
      <c r="AD1330">
        <v>1</v>
      </c>
      <c r="AE1330">
        <v>0</v>
      </c>
      <c r="AF1330">
        <v>0</v>
      </c>
      <c r="AG1330">
        <v>0</v>
      </c>
      <c r="AH1330">
        <v>0</v>
      </c>
      <c r="AI1330">
        <v>0</v>
      </c>
      <c r="AJ1330">
        <v>0</v>
      </c>
      <c r="AK1330">
        <v>0</v>
      </c>
      <c r="AL1330">
        <v>0</v>
      </c>
      <c r="AM1330">
        <v>1</v>
      </c>
      <c r="AN1330">
        <v>615</v>
      </c>
      <c r="AO1330">
        <v>417</v>
      </c>
      <c r="AP1330">
        <f>ifood_data[[#This Row],[MntTotal]]-ifood_data[[#This Row],[MntRegularProds]]</f>
        <v>198</v>
      </c>
      <c r="AQ1330">
        <v>1</v>
      </c>
      <c r="AR1330">
        <f>IF(SUM(ifood_data[[#This Row],[Kidhome]:[Teenhome]])&gt;0,1,0)</f>
        <v>1</v>
      </c>
      <c r="AS1330" t="str">
        <f>IF(SUM(ifood_data[[#This Row],[Kidhome]:[Teenhome]])&gt;0,"Has Family","No Family")</f>
        <v>Has Family</v>
      </c>
      <c r="AT1330" t="str">
        <f>IF(ifood_data[[#This Row],[marital_Married]]=1,"Married", (IF(ifood_data[[#This Row],[marital_Single]]=1,"Single",(IF(ifood_data[[#This Row],[marital_Divorced]]=1,"Divorced",(IF(ifood_data[[#This Row],[marital_Together]]=1,"Living Together",(IF(ifood_data[[#This Row],[marital_Widow]]=1,"Widow","Other")))))))))</f>
        <v>Divorced</v>
      </c>
      <c r="AU1330" t="str">
        <f>IF(ifood_data[[#This Row],[education_Basic]]=1,"High School",(IF(ifood_data[[#This Row],[education_Graduation]]=1,"Undergraduate Degree",(IF(SUM(AM1330,AL1330,AI1330)&gt;0,"Master's Degree or Higher","Other")))))</f>
        <v>Master's Degree or Higher</v>
      </c>
      <c r="AV1330" t="str">
        <f>IF(ifood_data[[#All],[Income]]&gt;75000,"75K+",(IF(ifood_data[[#All],[Income]]&gt;50000,"50K-75K",(IF(ifood_data[[#All],[Income]]&gt;35000,"35K-50K","&lt;35K")))))</f>
        <v>35K-50K</v>
      </c>
      <c r="AW1330" t="str">
        <f>IF(ifood_data[[#All],[Age]]&gt;60,"60+",(IF(ifood_data[[#All],[Age]]&gt;50,"50-60",(IF(ifood_data[[#All],[Age]]&gt;40,"40-50",(IF(ifood_data[[#All],[Age]]&gt;30,"30-40","&lt;30")))))))</f>
        <v>50-60</v>
      </c>
      <c r="AX1330">
        <f t="shared" si="80"/>
        <v>31</v>
      </c>
      <c r="AY1330">
        <f t="shared" si="81"/>
        <v>8</v>
      </c>
      <c r="AZ1330">
        <f t="shared" si="82"/>
        <v>9</v>
      </c>
      <c r="BA1330">
        <f t="shared" si="83"/>
        <v>6</v>
      </c>
      <c r="BB1330">
        <f>SUM(ifood_data[[#This Row],[Recency Score]:[Monetary Score]])</f>
        <v>23</v>
      </c>
      <c r="BC1330">
        <f>(_xlfn.PERCENTRANK.INC(ifood_data[[#All],[RFM]],ifood_data[[#This Row],[RFM]],1))*10</f>
        <v>8</v>
      </c>
      <c r="BD1330" t="str">
        <f>VLOOKUP(ifood_data[[#This Row],[RFM Score]],'RFM Analysis'!$A$3:$B$14,2,FALSE)</f>
        <v>Loyal Customer</v>
      </c>
      <c r="BE1330">
        <f>'Regression Models'!$B$101+'Regression Models'!$B$102*ifood_data[[#This Row],[Income]]+'Regression Models'!$B$103*ifood_data[[#This Row],[Age]]+'Regression Models'!$B$104*ifood_data[[#This Row],[Family]]</f>
        <v>294.90380782692841</v>
      </c>
      <c r="BF1330" t="str">
        <f>IF(ifood_data[[#This Row],[AcceptedCmpOverall]]=1,"Campaign Respondent","Non-respondent")</f>
        <v>Campaign Respondent</v>
      </c>
    </row>
    <row r="1331" spans="1:58" x14ac:dyDescent="0.35">
      <c r="A1331">
        <v>1676</v>
      </c>
      <c r="B1331">
        <v>41580</v>
      </c>
      <c r="C1331">
        <v>1</v>
      </c>
      <c r="D1331">
        <v>1</v>
      </c>
      <c r="E1331">
        <v>15</v>
      </c>
      <c r="F1331">
        <v>56</v>
      </c>
      <c r="G1331">
        <v>5</v>
      </c>
      <c r="H1331">
        <v>24</v>
      </c>
      <c r="I1331">
        <v>4</v>
      </c>
      <c r="J1331">
        <v>0</v>
      </c>
      <c r="K1331">
        <v>3</v>
      </c>
      <c r="L1331">
        <v>3</v>
      </c>
      <c r="M1331">
        <v>2</v>
      </c>
      <c r="N1331">
        <v>1</v>
      </c>
      <c r="O1331">
        <v>3</v>
      </c>
      <c r="P1331">
        <v>5</v>
      </c>
      <c r="Q1331">
        <v>0</v>
      </c>
      <c r="R1331">
        <v>0</v>
      </c>
      <c r="S1331">
        <v>0</v>
      </c>
      <c r="T1331">
        <v>0</v>
      </c>
      <c r="U1331">
        <v>0</v>
      </c>
      <c r="V1331">
        <f>IF(SUM(ifood_data[[#This Row],[AcceptedCmp1]:[AcceptedCmp5]])&gt;0,1,0)</f>
        <v>0</v>
      </c>
      <c r="W1331">
        <v>0</v>
      </c>
      <c r="X1331">
        <v>3</v>
      </c>
      <c r="Y1331">
        <v>11</v>
      </c>
      <c r="Z1331">
        <v>0</v>
      </c>
      <c r="AA1331">
        <v>42</v>
      </c>
      <c r="AB1331">
        <v>2725</v>
      </c>
      <c r="AC1331" s="28">
        <f>ifood_data[[#This Row],[Customer_Days]]/365</f>
        <v>7.4657534246575343</v>
      </c>
      <c r="AD1331">
        <v>0</v>
      </c>
      <c r="AE1331">
        <v>0</v>
      </c>
      <c r="AF1331">
        <v>0</v>
      </c>
      <c r="AG1331">
        <v>1</v>
      </c>
      <c r="AH1331">
        <v>0</v>
      </c>
      <c r="AI1331">
        <v>0</v>
      </c>
      <c r="AJ1331">
        <v>0</v>
      </c>
      <c r="AK1331">
        <v>1</v>
      </c>
      <c r="AL1331">
        <v>0</v>
      </c>
      <c r="AM1331">
        <v>0</v>
      </c>
      <c r="AN1331">
        <v>89</v>
      </c>
      <c r="AO1331">
        <v>86</v>
      </c>
      <c r="AP1331">
        <f>ifood_data[[#This Row],[MntTotal]]-ifood_data[[#This Row],[MntRegularProds]]</f>
        <v>3</v>
      </c>
      <c r="AQ1331">
        <v>0</v>
      </c>
      <c r="AR1331">
        <f>IF(SUM(ifood_data[[#This Row],[Kidhome]:[Teenhome]])&gt;0,1,0)</f>
        <v>1</v>
      </c>
      <c r="AS1331" t="str">
        <f>IF(SUM(ifood_data[[#This Row],[Kidhome]:[Teenhome]])&gt;0,"Has Family","No Family")</f>
        <v>Has Family</v>
      </c>
      <c r="AT1331" t="str">
        <f>IF(ifood_data[[#This Row],[marital_Married]]=1,"Married", (IF(ifood_data[[#This Row],[marital_Single]]=1,"Single",(IF(ifood_data[[#This Row],[marital_Divorced]]=1,"Divorced",(IF(ifood_data[[#This Row],[marital_Together]]=1,"Living Together",(IF(ifood_data[[#This Row],[marital_Widow]]=1,"Widow","Other")))))))))</f>
        <v>Living Together</v>
      </c>
      <c r="AU1331" t="str">
        <f>IF(ifood_data[[#This Row],[education_Basic]]=1,"High School",(IF(ifood_data[[#This Row],[education_Graduation]]=1,"Undergraduate Degree",(IF(SUM(AM1331,AL1331,AI1331)&gt;0,"Master's Degree or Higher","Other")))))</f>
        <v>Undergraduate Degree</v>
      </c>
      <c r="AV1331" t="str">
        <f>IF(ifood_data[[#All],[Income]]&gt;75000,"75K+",(IF(ifood_data[[#All],[Income]]&gt;50000,"50K-75K",(IF(ifood_data[[#All],[Income]]&gt;35000,"35K-50K","&lt;35K")))))</f>
        <v>35K-50K</v>
      </c>
      <c r="AW1331" t="str">
        <f>IF(ifood_data[[#All],[Age]]&gt;60,"60+",(IF(ifood_data[[#All],[Age]]&gt;50,"50-60",(IF(ifood_data[[#All],[Age]]&gt;40,"40-50",(IF(ifood_data[[#All],[Age]]&gt;30,"30-40","&lt;30")))))))</f>
        <v>40-50</v>
      </c>
      <c r="AX1331">
        <f t="shared" si="80"/>
        <v>14</v>
      </c>
      <c r="AY1331">
        <f t="shared" si="81"/>
        <v>9</v>
      </c>
      <c r="AZ1331">
        <f t="shared" si="82"/>
        <v>2</v>
      </c>
      <c r="BA1331">
        <f t="shared" si="83"/>
        <v>3</v>
      </c>
      <c r="BB1331">
        <f>SUM(ifood_data[[#This Row],[Recency Score]:[Monetary Score]])</f>
        <v>14</v>
      </c>
      <c r="BC1331">
        <f>(_xlfn.PERCENTRANK.INC(ifood_data[[#All],[RFM]],ifood_data[[#This Row],[RFM]],1))*10</f>
        <v>4</v>
      </c>
      <c r="BD1331" t="str">
        <f>VLOOKUP(ifood_data[[#This Row],[RFM Score]],'RFM Analysis'!$A$3:$B$14,2,FALSE)</f>
        <v>At Risk</v>
      </c>
      <c r="BE1331">
        <f>'Regression Models'!$B$101+'Regression Models'!$B$102*ifood_data[[#This Row],[Income]]+'Regression Models'!$B$103*ifood_data[[#This Row],[Age]]+'Regression Models'!$B$104*ifood_data[[#This Row],[Family]]</f>
        <v>293.20565076227456</v>
      </c>
      <c r="BF1331" t="str">
        <f>IF(ifood_data[[#This Row],[AcceptedCmpOverall]]=1,"Campaign Respondent","Non-respondent")</f>
        <v>Non-respondent</v>
      </c>
    </row>
    <row r="1332" spans="1:58" x14ac:dyDescent="0.35">
      <c r="A1332">
        <v>730</v>
      </c>
      <c r="B1332">
        <v>42720</v>
      </c>
      <c r="C1332">
        <v>1</v>
      </c>
      <c r="D1332">
        <v>1</v>
      </c>
      <c r="E1332">
        <v>9</v>
      </c>
      <c r="F1332">
        <v>392</v>
      </c>
      <c r="G1332">
        <v>5</v>
      </c>
      <c r="H1332">
        <v>91</v>
      </c>
      <c r="I1332">
        <v>28</v>
      </c>
      <c r="J1332">
        <v>26</v>
      </c>
      <c r="K1332">
        <v>112</v>
      </c>
      <c r="L1332">
        <v>8</v>
      </c>
      <c r="M1332">
        <v>7</v>
      </c>
      <c r="N1332">
        <v>3</v>
      </c>
      <c r="O1332">
        <v>7</v>
      </c>
      <c r="P1332">
        <v>8</v>
      </c>
      <c r="Q1332">
        <v>0</v>
      </c>
      <c r="R1332">
        <v>0</v>
      </c>
      <c r="S1332">
        <v>0</v>
      </c>
      <c r="T1332">
        <v>0</v>
      </c>
      <c r="U1332">
        <v>0</v>
      </c>
      <c r="V1332">
        <f>IF(SUM(ifood_data[[#This Row],[AcceptedCmp1]:[AcceptedCmp5]])&gt;0,1,0)</f>
        <v>0</v>
      </c>
      <c r="W1332">
        <v>0</v>
      </c>
      <c r="X1332">
        <v>3</v>
      </c>
      <c r="Y1332">
        <v>11</v>
      </c>
      <c r="Z1332">
        <v>1</v>
      </c>
      <c r="AA1332">
        <v>55</v>
      </c>
      <c r="AB1332">
        <v>2590</v>
      </c>
      <c r="AC1332" s="28">
        <f>ifood_data[[#This Row],[Customer_Days]]/365</f>
        <v>7.095890410958904</v>
      </c>
      <c r="AD1332">
        <v>0</v>
      </c>
      <c r="AE1332">
        <v>0</v>
      </c>
      <c r="AF1332">
        <v>1</v>
      </c>
      <c r="AG1332">
        <v>0</v>
      </c>
      <c r="AH1332">
        <v>0</v>
      </c>
      <c r="AI1332">
        <v>0</v>
      </c>
      <c r="AJ1332">
        <v>0</v>
      </c>
      <c r="AK1332">
        <v>1</v>
      </c>
      <c r="AL1332">
        <v>0</v>
      </c>
      <c r="AM1332">
        <v>0</v>
      </c>
      <c r="AN1332">
        <v>542</v>
      </c>
      <c r="AO1332">
        <v>430</v>
      </c>
      <c r="AP1332">
        <f>ifood_data[[#This Row],[MntTotal]]-ifood_data[[#This Row],[MntRegularProds]]</f>
        <v>112</v>
      </c>
      <c r="AQ1332">
        <v>0</v>
      </c>
      <c r="AR1332">
        <f>IF(SUM(ifood_data[[#This Row],[Kidhome]:[Teenhome]])&gt;0,1,0)</f>
        <v>1</v>
      </c>
      <c r="AS1332" t="str">
        <f>IF(SUM(ifood_data[[#This Row],[Kidhome]:[Teenhome]])&gt;0,"Has Family","No Family")</f>
        <v>Has Family</v>
      </c>
      <c r="AT1332" t="str">
        <f>IF(ifood_data[[#This Row],[marital_Married]]=1,"Married", (IF(ifood_data[[#This Row],[marital_Single]]=1,"Single",(IF(ifood_data[[#This Row],[marital_Divorced]]=1,"Divorced",(IF(ifood_data[[#This Row],[marital_Together]]=1,"Living Together",(IF(ifood_data[[#This Row],[marital_Widow]]=1,"Widow","Other")))))))))</f>
        <v>Single</v>
      </c>
      <c r="AU1332" t="str">
        <f>IF(ifood_data[[#This Row],[education_Basic]]=1,"High School",(IF(ifood_data[[#This Row],[education_Graduation]]=1,"Undergraduate Degree",(IF(SUM(AM1332,AL1332,AI1332)&gt;0,"Master's Degree or Higher","Other")))))</f>
        <v>Undergraduate Degree</v>
      </c>
      <c r="AV1332" t="str">
        <f>IF(ifood_data[[#All],[Income]]&gt;75000,"75K+",(IF(ifood_data[[#All],[Income]]&gt;50000,"50K-75K",(IF(ifood_data[[#All],[Income]]&gt;35000,"35K-50K","&lt;35K")))))</f>
        <v>35K-50K</v>
      </c>
      <c r="AW1332" t="str">
        <f>IF(ifood_data[[#All],[Age]]&gt;60,"60+",(IF(ifood_data[[#All],[Age]]&gt;50,"50-60",(IF(ifood_data[[#All],[Age]]&gt;40,"40-50",(IF(ifood_data[[#All],[Age]]&gt;30,"30-40","&lt;30")))))))</f>
        <v>50-60</v>
      </c>
      <c r="AX1332">
        <f t="shared" si="80"/>
        <v>33</v>
      </c>
      <c r="AY1332">
        <f t="shared" si="81"/>
        <v>10</v>
      </c>
      <c r="AZ1332">
        <f t="shared" si="82"/>
        <v>9</v>
      </c>
      <c r="BA1332">
        <f t="shared" si="83"/>
        <v>5</v>
      </c>
      <c r="BB1332">
        <f>SUM(ifood_data[[#This Row],[Recency Score]:[Monetary Score]])</f>
        <v>24</v>
      </c>
      <c r="BC1332">
        <f>(_xlfn.PERCENTRANK.INC(ifood_data[[#All],[RFM]],ifood_data[[#This Row],[RFM]],1))*10</f>
        <v>9</v>
      </c>
      <c r="BD1332" t="str">
        <f>VLOOKUP(ifood_data[[#This Row],[RFM Score]],'RFM Analysis'!$A$3:$B$14,2,FALSE)</f>
        <v>Top Customer</v>
      </c>
      <c r="BE1332">
        <f>'Regression Models'!$B$101+'Regression Models'!$B$102*ifood_data[[#This Row],[Income]]+'Regression Models'!$B$103*ifood_data[[#This Row],[Age]]+'Regression Models'!$B$104*ifood_data[[#This Row],[Family]]</f>
        <v>292.57513842069375</v>
      </c>
      <c r="BF1332" t="str">
        <f>IF(ifood_data[[#This Row],[AcceptedCmpOverall]]=1,"Campaign Respondent","Non-respondent")</f>
        <v>Non-respondent</v>
      </c>
    </row>
    <row r="1333" spans="1:58" x14ac:dyDescent="0.35">
      <c r="A1333">
        <v>249</v>
      </c>
      <c r="B1333">
        <v>43776</v>
      </c>
      <c r="C1333">
        <v>1</v>
      </c>
      <c r="D1333">
        <v>1</v>
      </c>
      <c r="E1333">
        <v>9</v>
      </c>
      <c r="F1333">
        <v>177</v>
      </c>
      <c r="G1333">
        <v>2</v>
      </c>
      <c r="H1333">
        <v>71</v>
      </c>
      <c r="I1333">
        <v>3</v>
      </c>
      <c r="J1333">
        <v>2</v>
      </c>
      <c r="K1333">
        <v>20</v>
      </c>
      <c r="L1333">
        <v>6</v>
      </c>
      <c r="M1333">
        <v>5</v>
      </c>
      <c r="N1333">
        <v>2</v>
      </c>
      <c r="O1333">
        <v>4</v>
      </c>
      <c r="P1333">
        <v>8</v>
      </c>
      <c r="Q1333">
        <v>0</v>
      </c>
      <c r="R1333">
        <v>0</v>
      </c>
      <c r="S1333">
        <v>0</v>
      </c>
      <c r="T1333">
        <v>0</v>
      </c>
      <c r="U1333">
        <v>0</v>
      </c>
      <c r="V1333">
        <f>IF(SUM(ifood_data[[#This Row],[AcceptedCmp1]:[AcceptedCmp5]])&gt;0,1,0)</f>
        <v>0</v>
      </c>
      <c r="W1333">
        <v>0</v>
      </c>
      <c r="X1333">
        <v>3</v>
      </c>
      <c r="Y1333">
        <v>11</v>
      </c>
      <c r="Z1333">
        <v>1</v>
      </c>
      <c r="AA1333">
        <v>68</v>
      </c>
      <c r="AB1333">
        <v>2670</v>
      </c>
      <c r="AC1333" s="28">
        <f>ifood_data[[#This Row],[Customer_Days]]/365</f>
        <v>7.3150684931506849</v>
      </c>
      <c r="AD1333">
        <v>0</v>
      </c>
      <c r="AE1333">
        <v>0</v>
      </c>
      <c r="AF1333">
        <v>0</v>
      </c>
      <c r="AG1333">
        <v>1</v>
      </c>
      <c r="AH1333">
        <v>0</v>
      </c>
      <c r="AI1333">
        <v>0</v>
      </c>
      <c r="AJ1333">
        <v>0</v>
      </c>
      <c r="AK1333">
        <v>0</v>
      </c>
      <c r="AL1333">
        <v>1</v>
      </c>
      <c r="AM1333">
        <v>0</v>
      </c>
      <c r="AN1333">
        <v>255</v>
      </c>
      <c r="AO1333">
        <v>235</v>
      </c>
      <c r="AP1333">
        <f>ifood_data[[#This Row],[MntTotal]]-ifood_data[[#This Row],[MntRegularProds]]</f>
        <v>20</v>
      </c>
      <c r="AQ1333">
        <v>0</v>
      </c>
      <c r="AR1333">
        <f>IF(SUM(ifood_data[[#This Row],[Kidhome]:[Teenhome]])&gt;0,1,0)</f>
        <v>1</v>
      </c>
      <c r="AS1333" t="str">
        <f>IF(SUM(ifood_data[[#This Row],[Kidhome]:[Teenhome]])&gt;0,"Has Family","No Family")</f>
        <v>Has Family</v>
      </c>
      <c r="AT1333" t="str">
        <f>IF(ifood_data[[#This Row],[marital_Married]]=1,"Married", (IF(ifood_data[[#This Row],[marital_Single]]=1,"Single",(IF(ifood_data[[#This Row],[marital_Divorced]]=1,"Divorced",(IF(ifood_data[[#This Row],[marital_Together]]=1,"Living Together",(IF(ifood_data[[#This Row],[marital_Widow]]=1,"Widow","Other")))))))))</f>
        <v>Living Together</v>
      </c>
      <c r="AU1333" t="str">
        <f>IF(ifood_data[[#This Row],[education_Basic]]=1,"High School",(IF(ifood_data[[#This Row],[education_Graduation]]=1,"Undergraduate Degree",(IF(SUM(AM1333,AL1333,AI1333)&gt;0,"Master's Degree or Higher","Other")))))</f>
        <v>Master's Degree or Higher</v>
      </c>
      <c r="AV1333" t="str">
        <f>IF(ifood_data[[#All],[Income]]&gt;75000,"75K+",(IF(ifood_data[[#All],[Income]]&gt;50000,"50K-75K",(IF(ifood_data[[#All],[Income]]&gt;35000,"35K-50K","&lt;35K")))))</f>
        <v>35K-50K</v>
      </c>
      <c r="AW1333" t="str">
        <f>IF(ifood_data[[#All],[Age]]&gt;60,"60+",(IF(ifood_data[[#All],[Age]]&gt;50,"50-60",(IF(ifood_data[[#All],[Age]]&gt;40,"40-50",(IF(ifood_data[[#All],[Age]]&gt;30,"30-40","&lt;30")))))))</f>
        <v>60+</v>
      </c>
      <c r="AX1333">
        <f t="shared" si="80"/>
        <v>25</v>
      </c>
      <c r="AY1333">
        <f t="shared" si="81"/>
        <v>10</v>
      </c>
      <c r="AZ1333">
        <f t="shared" si="82"/>
        <v>7</v>
      </c>
      <c r="BA1333">
        <f t="shared" si="83"/>
        <v>4</v>
      </c>
      <c r="BB1333">
        <f>SUM(ifood_data[[#This Row],[Recency Score]:[Monetary Score]])</f>
        <v>21</v>
      </c>
      <c r="BC1333">
        <f>(_xlfn.PERCENTRANK.INC(ifood_data[[#All],[RFM]],ifood_data[[#This Row],[RFM]],1))*10</f>
        <v>8</v>
      </c>
      <c r="BD1333" t="str">
        <f>VLOOKUP(ifood_data[[#This Row],[RFM Score]],'RFM Analysis'!$A$3:$B$14,2,FALSE)</f>
        <v>Loyal Customer</v>
      </c>
      <c r="BE1333">
        <f>'Regression Models'!$B$101+'Regression Models'!$B$102*ifood_data[[#This Row],[Income]]+'Regression Models'!$B$103*ifood_data[[#This Row],[Age]]+'Regression Models'!$B$104*ifood_data[[#This Row],[Family]]</f>
        <v>290.23196955502544</v>
      </c>
      <c r="BF1333" t="str">
        <f>IF(ifood_data[[#This Row],[AcceptedCmpOverall]]=1,"Campaign Respondent","Non-respondent")</f>
        <v>Non-respondent</v>
      </c>
    </row>
    <row r="1334" spans="1:58" x14ac:dyDescent="0.35">
      <c r="A1334">
        <v>1550</v>
      </c>
      <c r="B1334">
        <v>42231</v>
      </c>
      <c r="C1334">
        <v>1</v>
      </c>
      <c r="D1334">
        <v>1</v>
      </c>
      <c r="E1334">
        <v>99</v>
      </c>
      <c r="F1334">
        <v>24</v>
      </c>
      <c r="G1334">
        <v>0</v>
      </c>
      <c r="H1334">
        <v>8</v>
      </c>
      <c r="I1334">
        <v>0</v>
      </c>
      <c r="J1334">
        <v>1</v>
      </c>
      <c r="K1334">
        <v>4</v>
      </c>
      <c r="L1334">
        <v>1</v>
      </c>
      <c r="M1334">
        <v>1</v>
      </c>
      <c r="N1334">
        <v>0</v>
      </c>
      <c r="O1334">
        <v>3</v>
      </c>
      <c r="P1334">
        <v>5</v>
      </c>
      <c r="Q1334">
        <v>0</v>
      </c>
      <c r="R1334">
        <v>0</v>
      </c>
      <c r="S1334">
        <v>0</v>
      </c>
      <c r="T1334">
        <v>0</v>
      </c>
      <c r="U1334">
        <v>0</v>
      </c>
      <c r="V1334">
        <f>IF(SUM(ifood_data[[#This Row],[AcceptedCmp1]:[AcceptedCmp5]])&gt;0,1,0)</f>
        <v>0</v>
      </c>
      <c r="W1334">
        <v>0</v>
      </c>
      <c r="X1334">
        <v>3</v>
      </c>
      <c r="Y1334">
        <v>11</v>
      </c>
      <c r="Z1334">
        <v>0</v>
      </c>
      <c r="AA1334">
        <v>51</v>
      </c>
      <c r="AB1334">
        <v>2255</v>
      </c>
      <c r="AC1334" s="28">
        <f>ifood_data[[#This Row],[Customer_Days]]/365</f>
        <v>6.1780821917808222</v>
      </c>
      <c r="AD1334">
        <v>0</v>
      </c>
      <c r="AE1334">
        <v>1</v>
      </c>
      <c r="AF1334">
        <v>0</v>
      </c>
      <c r="AG1334">
        <v>0</v>
      </c>
      <c r="AH1334">
        <v>0</v>
      </c>
      <c r="AI1334">
        <v>0</v>
      </c>
      <c r="AJ1334">
        <v>0</v>
      </c>
      <c r="AK1334">
        <v>1</v>
      </c>
      <c r="AL1334">
        <v>0</v>
      </c>
      <c r="AM1334">
        <v>0</v>
      </c>
      <c r="AN1334">
        <v>33</v>
      </c>
      <c r="AO1334">
        <v>29</v>
      </c>
      <c r="AP1334">
        <f>ifood_data[[#This Row],[MntTotal]]-ifood_data[[#This Row],[MntRegularProds]]</f>
        <v>4</v>
      </c>
      <c r="AQ1334">
        <v>0</v>
      </c>
      <c r="AR1334">
        <f>IF(SUM(ifood_data[[#This Row],[Kidhome]:[Teenhome]])&gt;0,1,0)</f>
        <v>1</v>
      </c>
      <c r="AS1334" t="str">
        <f>IF(SUM(ifood_data[[#This Row],[Kidhome]:[Teenhome]])&gt;0,"Has Family","No Family")</f>
        <v>Has Family</v>
      </c>
      <c r="AT1334" t="str">
        <f>IF(ifood_data[[#This Row],[marital_Married]]=1,"Married", (IF(ifood_data[[#This Row],[marital_Single]]=1,"Single",(IF(ifood_data[[#This Row],[marital_Divorced]]=1,"Divorced",(IF(ifood_data[[#This Row],[marital_Together]]=1,"Living Together",(IF(ifood_data[[#This Row],[marital_Widow]]=1,"Widow","Other")))))))))</f>
        <v>Married</v>
      </c>
      <c r="AU1334" t="str">
        <f>IF(ifood_data[[#This Row],[education_Basic]]=1,"High School",(IF(ifood_data[[#This Row],[education_Graduation]]=1,"Undergraduate Degree",(IF(SUM(AM1334,AL1334,AI1334)&gt;0,"Master's Degree or Higher","Other")))))</f>
        <v>Undergraduate Degree</v>
      </c>
      <c r="AV1334" t="str">
        <f>IF(ifood_data[[#All],[Income]]&gt;75000,"75K+",(IF(ifood_data[[#All],[Income]]&gt;50000,"50K-75K",(IF(ifood_data[[#All],[Income]]&gt;35000,"35K-50K","&lt;35K")))))</f>
        <v>35K-50K</v>
      </c>
      <c r="AW1334" t="str">
        <f>IF(ifood_data[[#All],[Age]]&gt;60,"60+",(IF(ifood_data[[#All],[Age]]&gt;50,"50-60",(IF(ifood_data[[#All],[Age]]&gt;40,"40-50",(IF(ifood_data[[#All],[Age]]&gt;30,"30-40","&lt;30")))))))</f>
        <v>50-60</v>
      </c>
      <c r="AX1334">
        <f t="shared" si="80"/>
        <v>10</v>
      </c>
      <c r="AY1334">
        <f t="shared" si="81"/>
        <v>0.99999999999999978</v>
      </c>
      <c r="AZ1334">
        <f t="shared" si="82"/>
        <v>0</v>
      </c>
      <c r="BA1334">
        <f t="shared" si="83"/>
        <v>1</v>
      </c>
      <c r="BB1334">
        <f>SUM(ifood_data[[#This Row],[Recency Score]:[Monetary Score]])</f>
        <v>1.9999999999999998</v>
      </c>
      <c r="BC1334">
        <f>(_xlfn.PERCENTRANK.INC(ifood_data[[#All],[RFM]],ifood_data[[#This Row],[RFM]],1))*10</f>
        <v>0</v>
      </c>
      <c r="BD1334" t="str">
        <f>VLOOKUP(ifood_data[[#This Row],[RFM Score]],'RFM Analysis'!$A$3:$B$14,2,FALSE)</f>
        <v>Lost</v>
      </c>
      <c r="BE1334">
        <f>'Regression Models'!$B$101+'Regression Models'!$B$102*ifood_data[[#This Row],[Income]]+'Regression Models'!$B$103*ifood_data[[#This Row],[Age]]+'Regression Models'!$B$104*ifood_data[[#This Row],[Family]]</f>
        <v>289.95078711390431</v>
      </c>
      <c r="BF1334" t="str">
        <f>IF(ifood_data[[#This Row],[AcceptedCmpOverall]]=1,"Campaign Respondent","Non-respondent")</f>
        <v>Non-respondent</v>
      </c>
    </row>
    <row r="1335" spans="1:58" x14ac:dyDescent="0.35">
      <c r="A1335">
        <v>1560</v>
      </c>
      <c r="B1335">
        <v>42033</v>
      </c>
      <c r="C1335">
        <v>1</v>
      </c>
      <c r="D1335">
        <v>1</v>
      </c>
      <c r="E1335">
        <v>95</v>
      </c>
      <c r="F1335">
        <v>11</v>
      </c>
      <c r="G1335">
        <v>1</v>
      </c>
      <c r="H1335">
        <v>4</v>
      </c>
      <c r="I1335">
        <v>2</v>
      </c>
      <c r="J1335">
        <v>0</v>
      </c>
      <c r="K1335">
        <v>7</v>
      </c>
      <c r="L1335">
        <v>1</v>
      </c>
      <c r="M1335">
        <v>1</v>
      </c>
      <c r="N1335">
        <v>0</v>
      </c>
      <c r="O1335">
        <v>2</v>
      </c>
      <c r="P1335">
        <v>7</v>
      </c>
      <c r="Q1335">
        <v>0</v>
      </c>
      <c r="R1335">
        <v>0</v>
      </c>
      <c r="S1335">
        <v>0</v>
      </c>
      <c r="T1335">
        <v>0</v>
      </c>
      <c r="U1335">
        <v>0</v>
      </c>
      <c r="V1335">
        <f>IF(SUM(ifood_data[[#This Row],[AcceptedCmp1]:[AcceptedCmp5]])&gt;0,1,0)</f>
        <v>0</v>
      </c>
      <c r="W1335">
        <v>0</v>
      </c>
      <c r="X1335">
        <v>3</v>
      </c>
      <c r="Y1335">
        <v>11</v>
      </c>
      <c r="Z1335">
        <v>0</v>
      </c>
      <c r="AA1335">
        <v>49</v>
      </c>
      <c r="AB1335">
        <v>2807</v>
      </c>
      <c r="AC1335" s="28">
        <f>ifood_data[[#This Row],[Customer_Days]]/365</f>
        <v>7.6904109589041099</v>
      </c>
      <c r="AD1335">
        <v>0</v>
      </c>
      <c r="AE1335">
        <v>0</v>
      </c>
      <c r="AF1335">
        <v>0</v>
      </c>
      <c r="AG1335">
        <v>1</v>
      </c>
      <c r="AH1335">
        <v>0</v>
      </c>
      <c r="AI1335">
        <v>1</v>
      </c>
      <c r="AJ1335">
        <v>0</v>
      </c>
      <c r="AK1335">
        <v>0</v>
      </c>
      <c r="AL1335">
        <v>0</v>
      </c>
      <c r="AM1335">
        <v>0</v>
      </c>
      <c r="AN1335">
        <v>18</v>
      </c>
      <c r="AO1335">
        <v>11</v>
      </c>
      <c r="AP1335">
        <f>ifood_data[[#This Row],[MntTotal]]-ifood_data[[#This Row],[MntRegularProds]]</f>
        <v>7</v>
      </c>
      <c r="AQ1335">
        <v>0</v>
      </c>
      <c r="AR1335">
        <f>IF(SUM(ifood_data[[#This Row],[Kidhome]:[Teenhome]])&gt;0,1,0)</f>
        <v>1</v>
      </c>
      <c r="AS1335" t="str">
        <f>IF(SUM(ifood_data[[#This Row],[Kidhome]:[Teenhome]])&gt;0,"Has Family","No Family")</f>
        <v>Has Family</v>
      </c>
      <c r="AT1335" t="str">
        <f>IF(ifood_data[[#This Row],[marital_Married]]=1,"Married", (IF(ifood_data[[#This Row],[marital_Single]]=1,"Single",(IF(ifood_data[[#This Row],[marital_Divorced]]=1,"Divorced",(IF(ifood_data[[#This Row],[marital_Together]]=1,"Living Together",(IF(ifood_data[[#This Row],[marital_Widow]]=1,"Widow","Other")))))))))</f>
        <v>Living Together</v>
      </c>
      <c r="AU1335" t="str">
        <f>IF(ifood_data[[#This Row],[education_Basic]]=1,"High School",(IF(ifood_data[[#This Row],[education_Graduation]]=1,"Undergraduate Degree",(IF(SUM(AM1335,AL1335,AI1335)&gt;0,"Master's Degree or Higher","Other")))))</f>
        <v>Master's Degree or Higher</v>
      </c>
      <c r="AV1335" t="str">
        <f>IF(ifood_data[[#All],[Income]]&gt;75000,"75K+",(IF(ifood_data[[#All],[Income]]&gt;50000,"50K-75K",(IF(ifood_data[[#All],[Income]]&gt;35000,"35K-50K","&lt;35K")))))</f>
        <v>35K-50K</v>
      </c>
      <c r="AW1335" t="str">
        <f>IF(ifood_data[[#All],[Age]]&gt;60,"60+",(IF(ifood_data[[#All],[Age]]&gt;50,"50-60",(IF(ifood_data[[#All],[Age]]&gt;40,"40-50",(IF(ifood_data[[#All],[Age]]&gt;30,"30-40","&lt;30")))))))</f>
        <v>40-50</v>
      </c>
      <c r="AX1335">
        <f t="shared" si="80"/>
        <v>11</v>
      </c>
      <c r="AY1335">
        <f t="shared" si="81"/>
        <v>0.99999999999999978</v>
      </c>
      <c r="AZ1335">
        <f t="shared" si="82"/>
        <v>0</v>
      </c>
      <c r="BA1335">
        <f t="shared" si="83"/>
        <v>0</v>
      </c>
      <c r="BB1335">
        <f>SUM(ifood_data[[#This Row],[Recency Score]:[Monetary Score]])</f>
        <v>0.99999999999999978</v>
      </c>
      <c r="BC1335">
        <f>(_xlfn.PERCENTRANK.INC(ifood_data[[#All],[RFM]],ifood_data[[#This Row],[RFM]],1))*10</f>
        <v>0</v>
      </c>
      <c r="BD1335" t="str">
        <f>VLOOKUP(ifood_data[[#This Row],[RFM Score]],'RFM Analysis'!$A$3:$B$14,2,FALSE)</f>
        <v>Lost</v>
      </c>
      <c r="BE1335">
        <f>'Regression Models'!$B$101+'Regression Models'!$B$102*ifood_data[[#This Row],[Income]]+'Regression Models'!$B$103*ifood_data[[#This Row],[Age]]+'Regression Models'!$B$104*ifood_data[[#This Row],[Family]]</f>
        <v>289.5866891792009</v>
      </c>
      <c r="BF1335" t="str">
        <f>IF(ifood_data[[#This Row],[AcceptedCmpOverall]]=1,"Campaign Respondent","Non-respondent")</f>
        <v>Non-respondent</v>
      </c>
    </row>
    <row r="1336" spans="1:58" x14ac:dyDescent="0.35">
      <c r="A1336">
        <v>1303</v>
      </c>
      <c r="B1336">
        <v>41658</v>
      </c>
      <c r="C1336">
        <v>1</v>
      </c>
      <c r="D1336">
        <v>1</v>
      </c>
      <c r="E1336">
        <v>30</v>
      </c>
      <c r="F1336">
        <v>8</v>
      </c>
      <c r="G1336">
        <v>4</v>
      </c>
      <c r="H1336">
        <v>12</v>
      </c>
      <c r="I1336">
        <v>15</v>
      </c>
      <c r="J1336">
        <v>4</v>
      </c>
      <c r="K1336">
        <v>29</v>
      </c>
      <c r="L1336">
        <v>2</v>
      </c>
      <c r="M1336">
        <v>1</v>
      </c>
      <c r="N1336">
        <v>1</v>
      </c>
      <c r="O1336">
        <v>2</v>
      </c>
      <c r="P1336">
        <v>4</v>
      </c>
      <c r="Q1336">
        <v>0</v>
      </c>
      <c r="R1336">
        <v>0</v>
      </c>
      <c r="S1336">
        <v>0</v>
      </c>
      <c r="T1336">
        <v>0</v>
      </c>
      <c r="U1336">
        <v>0</v>
      </c>
      <c r="V1336">
        <f>IF(SUM(ifood_data[[#This Row],[AcceptedCmp1]:[AcceptedCmp5]])&gt;0,1,0)</f>
        <v>0</v>
      </c>
      <c r="W1336">
        <v>0</v>
      </c>
      <c r="X1336">
        <v>3</v>
      </c>
      <c r="Y1336">
        <v>11</v>
      </c>
      <c r="Z1336">
        <v>0</v>
      </c>
      <c r="AA1336">
        <v>45</v>
      </c>
      <c r="AB1336">
        <v>2756</v>
      </c>
      <c r="AC1336" s="28">
        <f>ifood_data[[#This Row],[Customer_Days]]/365</f>
        <v>7.5506849315068489</v>
      </c>
      <c r="AD1336">
        <v>0</v>
      </c>
      <c r="AE1336">
        <v>0</v>
      </c>
      <c r="AF1336">
        <v>1</v>
      </c>
      <c r="AG1336">
        <v>0</v>
      </c>
      <c r="AH1336">
        <v>0</v>
      </c>
      <c r="AI1336">
        <v>1</v>
      </c>
      <c r="AJ1336">
        <v>0</v>
      </c>
      <c r="AK1336">
        <v>0</v>
      </c>
      <c r="AL1336">
        <v>0</v>
      </c>
      <c r="AM1336">
        <v>0</v>
      </c>
      <c r="AN1336">
        <v>43</v>
      </c>
      <c r="AO1336">
        <v>14</v>
      </c>
      <c r="AP1336">
        <f>ifood_data[[#This Row],[MntTotal]]-ifood_data[[#This Row],[MntRegularProds]]</f>
        <v>29</v>
      </c>
      <c r="AQ1336">
        <v>0</v>
      </c>
      <c r="AR1336">
        <f>IF(SUM(ifood_data[[#This Row],[Kidhome]:[Teenhome]])&gt;0,1,0)</f>
        <v>1</v>
      </c>
      <c r="AS1336" t="str">
        <f>IF(SUM(ifood_data[[#This Row],[Kidhome]:[Teenhome]])&gt;0,"Has Family","No Family")</f>
        <v>Has Family</v>
      </c>
      <c r="AT1336" t="str">
        <f>IF(ifood_data[[#This Row],[marital_Married]]=1,"Married", (IF(ifood_data[[#This Row],[marital_Single]]=1,"Single",(IF(ifood_data[[#This Row],[marital_Divorced]]=1,"Divorced",(IF(ifood_data[[#This Row],[marital_Together]]=1,"Living Together",(IF(ifood_data[[#This Row],[marital_Widow]]=1,"Widow","Other")))))))))</f>
        <v>Single</v>
      </c>
      <c r="AU1336" t="str">
        <f>IF(ifood_data[[#This Row],[education_Basic]]=1,"High School",(IF(ifood_data[[#This Row],[education_Graduation]]=1,"Undergraduate Degree",(IF(SUM(AM1336,AL1336,AI1336)&gt;0,"Master's Degree or Higher","Other")))))</f>
        <v>Master's Degree or Higher</v>
      </c>
      <c r="AV1336" t="str">
        <f>IF(ifood_data[[#All],[Income]]&gt;75000,"75K+",(IF(ifood_data[[#All],[Income]]&gt;50000,"50K-75K",(IF(ifood_data[[#All],[Income]]&gt;35000,"35K-50K","&lt;35K")))))</f>
        <v>35K-50K</v>
      </c>
      <c r="AW1336" t="str">
        <f>IF(ifood_data[[#All],[Age]]&gt;60,"60+",(IF(ifood_data[[#All],[Age]]&gt;50,"50-60",(IF(ifood_data[[#All],[Age]]&gt;40,"40-50",(IF(ifood_data[[#All],[Age]]&gt;30,"30-40","&lt;30")))))))</f>
        <v>40-50</v>
      </c>
      <c r="AX1336">
        <f t="shared" si="80"/>
        <v>10</v>
      </c>
      <c r="AY1336">
        <f t="shared" si="81"/>
        <v>7</v>
      </c>
      <c r="AZ1336">
        <f t="shared" si="82"/>
        <v>0</v>
      </c>
      <c r="BA1336">
        <f t="shared" si="83"/>
        <v>1</v>
      </c>
      <c r="BB1336">
        <f>SUM(ifood_data[[#This Row],[Recency Score]:[Monetary Score]])</f>
        <v>8</v>
      </c>
      <c r="BC1336">
        <f>(_xlfn.PERCENTRANK.INC(ifood_data[[#All],[RFM]],ifood_data[[#This Row],[RFM]],1))*10</f>
        <v>1</v>
      </c>
      <c r="BD1336" t="str">
        <f>VLOOKUP(ifood_data[[#This Row],[RFM Score]],'RFM Analysis'!$A$3:$B$14,2,FALSE)</f>
        <v>At Risk</v>
      </c>
      <c r="BE1336">
        <f>'Regression Models'!$B$101+'Regression Models'!$B$102*ifood_data[[#This Row],[Income]]+'Regression Models'!$B$103*ifood_data[[#This Row],[Age]]+'Regression Models'!$B$104*ifood_data[[#This Row],[Family]]</f>
        <v>289.28665744081593</v>
      </c>
      <c r="BF1336" t="str">
        <f>IF(ifood_data[[#This Row],[AcceptedCmpOverall]]=1,"Campaign Respondent","Non-respondent")</f>
        <v>Non-respondent</v>
      </c>
    </row>
    <row r="1337" spans="1:58" x14ac:dyDescent="0.35">
      <c r="A1337">
        <v>570</v>
      </c>
      <c r="B1337">
        <v>42169</v>
      </c>
      <c r="C1337">
        <v>1</v>
      </c>
      <c r="D1337">
        <v>1</v>
      </c>
      <c r="E1337">
        <v>20</v>
      </c>
      <c r="F1337">
        <v>19</v>
      </c>
      <c r="G1337">
        <v>0</v>
      </c>
      <c r="H1337">
        <v>9</v>
      </c>
      <c r="I1337">
        <v>0</v>
      </c>
      <c r="J1337">
        <v>0</v>
      </c>
      <c r="K1337">
        <v>2</v>
      </c>
      <c r="L1337">
        <v>2</v>
      </c>
      <c r="M1337">
        <v>1</v>
      </c>
      <c r="N1337">
        <v>0</v>
      </c>
      <c r="O1337">
        <v>3</v>
      </c>
      <c r="P1337">
        <v>8</v>
      </c>
      <c r="Q1337">
        <v>0</v>
      </c>
      <c r="R1337">
        <v>0</v>
      </c>
      <c r="S1337">
        <v>0</v>
      </c>
      <c r="T1337">
        <v>0</v>
      </c>
      <c r="U1337">
        <v>0</v>
      </c>
      <c r="V1337">
        <f>IF(SUM(ifood_data[[#This Row],[AcceptedCmp1]:[AcceptedCmp5]])&gt;0,1,0)</f>
        <v>0</v>
      </c>
      <c r="W1337">
        <v>0</v>
      </c>
      <c r="X1337">
        <v>3</v>
      </c>
      <c r="Y1337">
        <v>11</v>
      </c>
      <c r="Z1337">
        <v>0</v>
      </c>
      <c r="AA1337">
        <v>51</v>
      </c>
      <c r="AB1337">
        <v>2412</v>
      </c>
      <c r="AC1337" s="28">
        <f>ifood_data[[#This Row],[Customer_Days]]/365</f>
        <v>6.6082191780821917</v>
      </c>
      <c r="AD1337">
        <v>0</v>
      </c>
      <c r="AE1337">
        <v>1</v>
      </c>
      <c r="AF1337">
        <v>0</v>
      </c>
      <c r="AG1337">
        <v>0</v>
      </c>
      <c r="AH1337">
        <v>0</v>
      </c>
      <c r="AI1337">
        <v>0</v>
      </c>
      <c r="AJ1337">
        <v>0</v>
      </c>
      <c r="AK1337">
        <v>0</v>
      </c>
      <c r="AL1337">
        <v>1</v>
      </c>
      <c r="AM1337">
        <v>0</v>
      </c>
      <c r="AN1337">
        <v>28</v>
      </c>
      <c r="AO1337">
        <v>26</v>
      </c>
      <c r="AP1337">
        <f>ifood_data[[#This Row],[MntTotal]]-ifood_data[[#This Row],[MntRegularProds]]</f>
        <v>2</v>
      </c>
      <c r="AQ1337">
        <v>0</v>
      </c>
      <c r="AR1337">
        <f>IF(SUM(ifood_data[[#This Row],[Kidhome]:[Teenhome]])&gt;0,1,0)</f>
        <v>1</v>
      </c>
      <c r="AS1337" t="str">
        <f>IF(SUM(ifood_data[[#This Row],[Kidhome]:[Teenhome]])&gt;0,"Has Family","No Family")</f>
        <v>Has Family</v>
      </c>
      <c r="AT1337" t="str">
        <f>IF(ifood_data[[#This Row],[marital_Married]]=1,"Married", (IF(ifood_data[[#This Row],[marital_Single]]=1,"Single",(IF(ifood_data[[#This Row],[marital_Divorced]]=1,"Divorced",(IF(ifood_data[[#This Row],[marital_Together]]=1,"Living Together",(IF(ifood_data[[#This Row],[marital_Widow]]=1,"Widow","Other")))))))))</f>
        <v>Married</v>
      </c>
      <c r="AU1337" t="str">
        <f>IF(ifood_data[[#This Row],[education_Basic]]=1,"High School",(IF(ifood_data[[#This Row],[education_Graduation]]=1,"Undergraduate Degree",(IF(SUM(AM1337,AL1337,AI1337)&gt;0,"Master's Degree or Higher","Other")))))</f>
        <v>Master's Degree or Higher</v>
      </c>
      <c r="AV1337" t="str">
        <f>IF(ifood_data[[#All],[Income]]&gt;75000,"75K+",(IF(ifood_data[[#All],[Income]]&gt;50000,"50K-75K",(IF(ifood_data[[#All],[Income]]&gt;35000,"35K-50K","&lt;35K")))))</f>
        <v>35K-50K</v>
      </c>
      <c r="AW1337" t="str">
        <f>IF(ifood_data[[#All],[Age]]&gt;60,"60+",(IF(ifood_data[[#All],[Age]]&gt;50,"50-60",(IF(ifood_data[[#All],[Age]]&gt;40,"40-50",(IF(ifood_data[[#All],[Age]]&gt;30,"30-40","&lt;30")))))))</f>
        <v>50-60</v>
      </c>
      <c r="AX1337">
        <f t="shared" si="80"/>
        <v>14</v>
      </c>
      <c r="AY1337">
        <f t="shared" si="81"/>
        <v>8</v>
      </c>
      <c r="AZ1337">
        <f t="shared" si="82"/>
        <v>2</v>
      </c>
      <c r="BA1337">
        <f t="shared" si="83"/>
        <v>0</v>
      </c>
      <c r="BB1337">
        <f>SUM(ifood_data[[#This Row],[Recency Score]:[Monetary Score]])</f>
        <v>10</v>
      </c>
      <c r="BC1337">
        <f>(_xlfn.PERCENTRANK.INC(ifood_data[[#All],[RFM]],ifood_data[[#This Row],[RFM]],1))*10</f>
        <v>2</v>
      </c>
      <c r="BD1337" t="str">
        <f>VLOOKUP(ifood_data[[#This Row],[RFM Score]],'RFM Analysis'!$A$3:$B$14,2,FALSE)</f>
        <v>At Risk</v>
      </c>
      <c r="BE1337">
        <f>'Regression Models'!$B$101+'Regression Models'!$B$102*ifood_data[[#This Row],[Income]]+'Regression Models'!$B$103*ifood_data[[#This Row],[Age]]+'Regression Models'!$B$104*ifood_data[[#This Row],[Family]]</f>
        <v>288.68668348898257</v>
      </c>
      <c r="BF1337" t="str">
        <f>IF(ifood_data[[#This Row],[AcceptedCmpOverall]]=1,"Campaign Respondent","Non-respondent")</f>
        <v>Non-respondent</v>
      </c>
    </row>
    <row r="1338" spans="1:58" x14ac:dyDescent="0.35">
      <c r="A1338">
        <v>201</v>
      </c>
      <c r="B1338">
        <v>41443</v>
      </c>
      <c r="C1338">
        <v>1</v>
      </c>
      <c r="D1338">
        <v>0</v>
      </c>
      <c r="E1338">
        <v>79</v>
      </c>
      <c r="F1338">
        <v>171</v>
      </c>
      <c r="G1338">
        <v>7</v>
      </c>
      <c r="H1338">
        <v>171</v>
      </c>
      <c r="I1338">
        <v>25</v>
      </c>
      <c r="J1338">
        <v>19</v>
      </c>
      <c r="K1338">
        <v>89</v>
      </c>
      <c r="L1338">
        <v>6</v>
      </c>
      <c r="M1338">
        <v>8</v>
      </c>
      <c r="N1338">
        <v>1</v>
      </c>
      <c r="O1338">
        <v>5</v>
      </c>
      <c r="P1338">
        <v>8</v>
      </c>
      <c r="Q1338">
        <v>0</v>
      </c>
      <c r="R1338">
        <v>0</v>
      </c>
      <c r="S1338">
        <v>0</v>
      </c>
      <c r="T1338">
        <v>0</v>
      </c>
      <c r="U1338">
        <v>0</v>
      </c>
      <c r="V1338">
        <f>IF(SUM(ifood_data[[#This Row],[AcceptedCmp1]:[AcceptedCmp5]])&gt;0,1,0)</f>
        <v>0</v>
      </c>
      <c r="W1338">
        <v>0</v>
      </c>
      <c r="X1338">
        <v>3</v>
      </c>
      <c r="Y1338">
        <v>11</v>
      </c>
      <c r="Z1338">
        <v>0</v>
      </c>
      <c r="AA1338">
        <v>43</v>
      </c>
      <c r="AB1338">
        <v>2248</v>
      </c>
      <c r="AC1338" s="28">
        <f>ifood_data[[#This Row],[Customer_Days]]/365</f>
        <v>6.1589041095890407</v>
      </c>
      <c r="AD1338">
        <v>0</v>
      </c>
      <c r="AE1338">
        <v>1</v>
      </c>
      <c r="AF1338">
        <v>0</v>
      </c>
      <c r="AG1338">
        <v>0</v>
      </c>
      <c r="AH1338">
        <v>0</v>
      </c>
      <c r="AI1338">
        <v>0</v>
      </c>
      <c r="AJ1338">
        <v>0</v>
      </c>
      <c r="AK1338">
        <v>1</v>
      </c>
      <c r="AL1338">
        <v>0</v>
      </c>
      <c r="AM1338">
        <v>0</v>
      </c>
      <c r="AN1338">
        <v>393</v>
      </c>
      <c r="AO1338">
        <v>304</v>
      </c>
      <c r="AP1338">
        <f>ifood_data[[#This Row],[MntTotal]]-ifood_data[[#This Row],[MntRegularProds]]</f>
        <v>89</v>
      </c>
      <c r="AQ1338">
        <v>0</v>
      </c>
      <c r="AR1338">
        <f>IF(SUM(ifood_data[[#This Row],[Kidhome]:[Teenhome]])&gt;0,1,0)</f>
        <v>1</v>
      </c>
      <c r="AS1338" t="str">
        <f>IF(SUM(ifood_data[[#This Row],[Kidhome]:[Teenhome]])&gt;0,"Has Family","No Family")</f>
        <v>Has Family</v>
      </c>
      <c r="AT1338" t="str">
        <f>IF(ifood_data[[#This Row],[marital_Married]]=1,"Married", (IF(ifood_data[[#This Row],[marital_Single]]=1,"Single",(IF(ifood_data[[#This Row],[marital_Divorced]]=1,"Divorced",(IF(ifood_data[[#This Row],[marital_Together]]=1,"Living Together",(IF(ifood_data[[#This Row],[marital_Widow]]=1,"Widow","Other")))))))))</f>
        <v>Married</v>
      </c>
      <c r="AU1338" t="str">
        <f>IF(ifood_data[[#This Row],[education_Basic]]=1,"High School",(IF(ifood_data[[#This Row],[education_Graduation]]=1,"Undergraduate Degree",(IF(SUM(AM1338,AL1338,AI1338)&gt;0,"Master's Degree or Higher","Other")))))</f>
        <v>Undergraduate Degree</v>
      </c>
      <c r="AV1338" t="str">
        <f>IF(ifood_data[[#All],[Income]]&gt;75000,"75K+",(IF(ifood_data[[#All],[Income]]&gt;50000,"50K-75K",(IF(ifood_data[[#All],[Income]]&gt;35000,"35K-50K","&lt;35K")))))</f>
        <v>35K-50K</v>
      </c>
      <c r="AW1338" t="str">
        <f>IF(ifood_data[[#All],[Age]]&gt;60,"60+",(IF(ifood_data[[#All],[Age]]&gt;50,"50-60",(IF(ifood_data[[#All],[Age]]&gt;40,"40-50",(IF(ifood_data[[#All],[Age]]&gt;30,"30-40","&lt;30")))))))</f>
        <v>40-50</v>
      </c>
      <c r="AX1338">
        <f t="shared" si="80"/>
        <v>28</v>
      </c>
      <c r="AY1338">
        <f t="shared" si="81"/>
        <v>3.0000000000000004</v>
      </c>
      <c r="AZ1338">
        <f t="shared" si="82"/>
        <v>8</v>
      </c>
      <c r="BA1338">
        <f t="shared" si="83"/>
        <v>5</v>
      </c>
      <c r="BB1338">
        <f>SUM(ifood_data[[#This Row],[Recency Score]:[Monetary Score]])</f>
        <v>16</v>
      </c>
      <c r="BC1338">
        <f>(_xlfn.PERCENTRANK.INC(ifood_data[[#All],[RFM]],ifood_data[[#This Row],[RFM]],1))*10</f>
        <v>5</v>
      </c>
      <c r="BD1338" t="str">
        <f>VLOOKUP(ifood_data[[#This Row],[RFM Score]],'RFM Analysis'!$A$3:$B$14,2,FALSE)</f>
        <v>Promising</v>
      </c>
      <c r="BE1338">
        <f>'Regression Models'!$B$101+'Regression Models'!$B$102*ifood_data[[#This Row],[Income]]+'Regression Models'!$B$103*ifood_data[[#This Row],[Age]]+'Regression Models'!$B$104*ifood_data[[#This Row],[Family]]</f>
        <v>288.57595044766617</v>
      </c>
      <c r="BF1338" t="str">
        <f>IF(ifood_data[[#This Row],[AcceptedCmpOverall]]=1,"Campaign Respondent","Non-respondent")</f>
        <v>Non-respondent</v>
      </c>
    </row>
    <row r="1339" spans="1:58" x14ac:dyDescent="0.35">
      <c r="A1339">
        <v>768</v>
      </c>
      <c r="B1339">
        <v>26872</v>
      </c>
      <c r="C1339">
        <v>0</v>
      </c>
      <c r="D1339">
        <v>0</v>
      </c>
      <c r="E1339">
        <v>0</v>
      </c>
      <c r="F1339">
        <v>3</v>
      </c>
      <c r="G1339">
        <v>10</v>
      </c>
      <c r="H1339">
        <v>8</v>
      </c>
      <c r="I1339">
        <v>3</v>
      </c>
      <c r="J1339">
        <v>16</v>
      </c>
      <c r="K1339">
        <v>32</v>
      </c>
      <c r="L1339">
        <v>1</v>
      </c>
      <c r="M1339">
        <v>1</v>
      </c>
      <c r="N1339">
        <v>1</v>
      </c>
      <c r="O1339">
        <v>2</v>
      </c>
      <c r="P1339">
        <v>6</v>
      </c>
      <c r="Q1339">
        <v>0</v>
      </c>
      <c r="R1339">
        <v>0</v>
      </c>
      <c r="S1339">
        <v>0</v>
      </c>
      <c r="T1339">
        <v>0</v>
      </c>
      <c r="U1339">
        <v>0</v>
      </c>
      <c r="V1339">
        <f>IF(SUM(ifood_data[[#This Row],[AcceptedCmp1]:[AcceptedCmp5]])&gt;0,1,0)</f>
        <v>0</v>
      </c>
      <c r="W1339">
        <v>0</v>
      </c>
      <c r="X1339">
        <v>3</v>
      </c>
      <c r="Y1339">
        <v>11</v>
      </c>
      <c r="Z1339">
        <v>0</v>
      </c>
      <c r="AA1339">
        <v>39</v>
      </c>
      <c r="AB1339">
        <v>2415</v>
      </c>
      <c r="AC1339" s="28">
        <f>ifood_data[[#This Row],[Customer_Days]]/365</f>
        <v>6.6164383561643838</v>
      </c>
      <c r="AD1339">
        <v>0</v>
      </c>
      <c r="AE1339">
        <v>1</v>
      </c>
      <c r="AF1339">
        <v>0</v>
      </c>
      <c r="AG1339">
        <v>0</v>
      </c>
      <c r="AH1339">
        <v>0</v>
      </c>
      <c r="AI1339">
        <v>0</v>
      </c>
      <c r="AJ1339">
        <v>0</v>
      </c>
      <c r="AK1339">
        <v>1</v>
      </c>
      <c r="AL1339">
        <v>0</v>
      </c>
      <c r="AM1339">
        <v>0</v>
      </c>
      <c r="AN1339">
        <v>40</v>
      </c>
      <c r="AO1339">
        <v>8</v>
      </c>
      <c r="AP1339">
        <f>ifood_data[[#This Row],[MntTotal]]-ifood_data[[#This Row],[MntRegularProds]]</f>
        <v>32</v>
      </c>
      <c r="AQ1339">
        <v>0</v>
      </c>
      <c r="AR1339">
        <f>IF(SUM(ifood_data[[#This Row],[Kidhome]:[Teenhome]])&gt;0,1,0)</f>
        <v>0</v>
      </c>
      <c r="AS1339" t="str">
        <f>IF(SUM(ifood_data[[#This Row],[Kidhome]:[Teenhome]])&gt;0,"Has Family","No Family")</f>
        <v>No Family</v>
      </c>
      <c r="AT1339" t="str">
        <f>IF(ifood_data[[#This Row],[marital_Married]]=1,"Married", (IF(ifood_data[[#This Row],[marital_Single]]=1,"Single",(IF(ifood_data[[#This Row],[marital_Divorced]]=1,"Divorced",(IF(ifood_data[[#This Row],[marital_Together]]=1,"Living Together",(IF(ifood_data[[#This Row],[marital_Widow]]=1,"Widow","Other")))))))))</f>
        <v>Married</v>
      </c>
      <c r="AU1339" t="str">
        <f>IF(ifood_data[[#This Row],[education_Basic]]=1,"High School",(IF(ifood_data[[#This Row],[education_Graduation]]=1,"Undergraduate Degree",(IF(SUM(AM1339,AL1339,AI1339)&gt;0,"Master's Degree or Higher","Other")))))</f>
        <v>Undergraduate Degree</v>
      </c>
      <c r="AV1339" t="str">
        <f>IF(ifood_data[[#All],[Income]]&gt;75000,"75K+",(IF(ifood_data[[#All],[Income]]&gt;50000,"50K-75K",(IF(ifood_data[[#All],[Income]]&gt;35000,"35K-50K","&lt;35K")))))</f>
        <v>&lt;35K</v>
      </c>
      <c r="AW1339" t="str">
        <f>IF(ifood_data[[#All],[Age]]&gt;60,"60+",(IF(ifood_data[[#All],[Age]]&gt;50,"50-60",(IF(ifood_data[[#All],[Age]]&gt;40,"40-50",(IF(ifood_data[[#All],[Age]]&gt;30,"30-40","&lt;30")))))))</f>
        <v>30-40</v>
      </c>
      <c r="AX1339">
        <f t="shared" si="80"/>
        <v>11</v>
      </c>
      <c r="AY1339">
        <f t="shared" si="81"/>
        <v>10</v>
      </c>
      <c r="AZ1339">
        <f t="shared" si="82"/>
        <v>0</v>
      </c>
      <c r="BA1339">
        <f t="shared" si="83"/>
        <v>1</v>
      </c>
      <c r="BB1339">
        <f>SUM(ifood_data[[#This Row],[Recency Score]:[Monetary Score]])</f>
        <v>11</v>
      </c>
      <c r="BC1339">
        <f>(_xlfn.PERCENTRANK.INC(ifood_data[[#All],[RFM]],ifood_data[[#This Row],[RFM]],1))*10</f>
        <v>2</v>
      </c>
      <c r="BD1339" t="str">
        <f>VLOOKUP(ifood_data[[#This Row],[RFM Score]],'RFM Analysis'!$A$3:$B$14,2,FALSE)</f>
        <v>At Risk</v>
      </c>
      <c r="BE1339">
        <f>'Regression Models'!$B$101+'Regression Models'!$B$102*ifood_data[[#This Row],[Income]]+'Regression Models'!$B$103*ifood_data[[#This Row],[Age]]+'Regression Models'!$B$104*ifood_data[[#This Row],[Family]]</f>
        <v>288.45059721150795</v>
      </c>
      <c r="BF1339" t="str">
        <f>IF(ifood_data[[#This Row],[AcceptedCmpOverall]]=1,"Campaign Respondent","Non-respondent")</f>
        <v>Non-respondent</v>
      </c>
    </row>
    <row r="1340" spans="1:58" x14ac:dyDescent="0.35">
      <c r="A1340">
        <v>1947</v>
      </c>
      <c r="B1340">
        <v>42769</v>
      </c>
      <c r="C1340">
        <v>0</v>
      </c>
      <c r="D1340">
        <v>1</v>
      </c>
      <c r="E1340">
        <v>15</v>
      </c>
      <c r="F1340">
        <v>71</v>
      </c>
      <c r="G1340">
        <v>0</v>
      </c>
      <c r="H1340">
        <v>13</v>
      </c>
      <c r="I1340">
        <v>3</v>
      </c>
      <c r="J1340">
        <v>1</v>
      </c>
      <c r="K1340">
        <v>0</v>
      </c>
      <c r="L1340">
        <v>2</v>
      </c>
      <c r="M1340">
        <v>1</v>
      </c>
      <c r="N1340">
        <v>1</v>
      </c>
      <c r="O1340">
        <v>4</v>
      </c>
      <c r="P1340">
        <v>4</v>
      </c>
      <c r="Q1340">
        <v>0</v>
      </c>
      <c r="R1340">
        <v>0</v>
      </c>
      <c r="S1340">
        <v>0</v>
      </c>
      <c r="T1340">
        <v>0</v>
      </c>
      <c r="U1340">
        <v>0</v>
      </c>
      <c r="V1340">
        <f>IF(SUM(ifood_data[[#This Row],[AcceptedCmp1]:[AcceptedCmp5]])&gt;0,1,0)</f>
        <v>0</v>
      </c>
      <c r="W1340">
        <v>0</v>
      </c>
      <c r="X1340">
        <v>3</v>
      </c>
      <c r="Y1340">
        <v>11</v>
      </c>
      <c r="Z1340">
        <v>0</v>
      </c>
      <c r="AA1340">
        <v>58</v>
      </c>
      <c r="AB1340">
        <v>2419</v>
      </c>
      <c r="AC1340" s="28">
        <f>ifood_data[[#This Row],[Customer_Days]]/365</f>
        <v>6.6273972602739724</v>
      </c>
      <c r="AD1340">
        <v>0</v>
      </c>
      <c r="AE1340">
        <v>1</v>
      </c>
      <c r="AF1340">
        <v>0</v>
      </c>
      <c r="AG1340">
        <v>0</v>
      </c>
      <c r="AH1340">
        <v>0</v>
      </c>
      <c r="AI1340">
        <v>0</v>
      </c>
      <c r="AJ1340">
        <v>0</v>
      </c>
      <c r="AK1340">
        <v>0</v>
      </c>
      <c r="AL1340">
        <v>0</v>
      </c>
      <c r="AM1340">
        <v>1</v>
      </c>
      <c r="AN1340">
        <v>88</v>
      </c>
      <c r="AO1340">
        <v>88</v>
      </c>
      <c r="AP1340">
        <f>ifood_data[[#This Row],[MntTotal]]-ifood_data[[#This Row],[MntRegularProds]]</f>
        <v>0</v>
      </c>
      <c r="AQ1340">
        <v>0</v>
      </c>
      <c r="AR1340">
        <f>IF(SUM(ifood_data[[#This Row],[Kidhome]:[Teenhome]])&gt;0,1,0)</f>
        <v>1</v>
      </c>
      <c r="AS1340" t="str">
        <f>IF(SUM(ifood_data[[#This Row],[Kidhome]:[Teenhome]])&gt;0,"Has Family","No Family")</f>
        <v>Has Family</v>
      </c>
      <c r="AT1340" t="str">
        <f>IF(ifood_data[[#This Row],[marital_Married]]=1,"Married", (IF(ifood_data[[#This Row],[marital_Single]]=1,"Single",(IF(ifood_data[[#This Row],[marital_Divorced]]=1,"Divorced",(IF(ifood_data[[#This Row],[marital_Together]]=1,"Living Together",(IF(ifood_data[[#This Row],[marital_Widow]]=1,"Widow","Other")))))))))</f>
        <v>Married</v>
      </c>
      <c r="AU1340" t="str">
        <f>IF(ifood_data[[#This Row],[education_Basic]]=1,"High School",(IF(ifood_data[[#This Row],[education_Graduation]]=1,"Undergraduate Degree",(IF(SUM(AM1340,AL1340,AI1340)&gt;0,"Master's Degree or Higher","Other")))))</f>
        <v>Master's Degree or Higher</v>
      </c>
      <c r="AV1340" t="str">
        <f>IF(ifood_data[[#All],[Income]]&gt;75000,"75K+",(IF(ifood_data[[#All],[Income]]&gt;50000,"50K-75K",(IF(ifood_data[[#All],[Income]]&gt;35000,"35K-50K","&lt;35K")))))</f>
        <v>35K-50K</v>
      </c>
      <c r="AW1340" t="str">
        <f>IF(ifood_data[[#All],[Age]]&gt;60,"60+",(IF(ifood_data[[#All],[Age]]&gt;50,"50-60",(IF(ifood_data[[#All],[Age]]&gt;40,"40-50",(IF(ifood_data[[#All],[Age]]&gt;30,"30-40","&lt;30")))))))</f>
        <v>50-60</v>
      </c>
      <c r="AX1340">
        <f t="shared" si="80"/>
        <v>12</v>
      </c>
      <c r="AY1340">
        <f t="shared" si="81"/>
        <v>9</v>
      </c>
      <c r="AZ1340">
        <f t="shared" si="82"/>
        <v>1</v>
      </c>
      <c r="BA1340">
        <f t="shared" si="83"/>
        <v>3</v>
      </c>
      <c r="BB1340">
        <f>SUM(ifood_data[[#This Row],[Recency Score]:[Monetary Score]])</f>
        <v>13</v>
      </c>
      <c r="BC1340">
        <f>(_xlfn.PERCENTRANK.INC(ifood_data[[#All],[RFM]],ifood_data[[#This Row],[RFM]],1))*10</f>
        <v>3</v>
      </c>
      <c r="BD1340" t="str">
        <f>VLOOKUP(ifood_data[[#This Row],[RFM Score]],'RFM Analysis'!$A$3:$B$14,2,FALSE)</f>
        <v>At Risk</v>
      </c>
      <c r="BE1340">
        <f>'Regression Models'!$B$101+'Regression Models'!$B$102*ifood_data[[#This Row],[Income]]+'Regression Models'!$B$103*ifood_data[[#This Row],[Age]]+'Regression Models'!$B$104*ifood_data[[#This Row],[Family]]</f>
        <v>288.06487082306205</v>
      </c>
      <c r="BF1340" t="str">
        <f>IF(ifood_data[[#This Row],[AcceptedCmpOverall]]=1,"Campaign Respondent","Non-respondent")</f>
        <v>Non-respondent</v>
      </c>
    </row>
    <row r="1341" spans="1:58" x14ac:dyDescent="0.35">
      <c r="A1341">
        <v>1115</v>
      </c>
      <c r="B1341">
        <v>43140</v>
      </c>
      <c r="C1341">
        <v>0</v>
      </c>
      <c r="D1341">
        <v>1</v>
      </c>
      <c r="E1341">
        <v>68</v>
      </c>
      <c r="F1341">
        <v>134</v>
      </c>
      <c r="G1341">
        <v>8</v>
      </c>
      <c r="H1341">
        <v>76</v>
      </c>
      <c r="I1341">
        <v>6</v>
      </c>
      <c r="J1341">
        <v>0</v>
      </c>
      <c r="K1341">
        <v>11</v>
      </c>
      <c r="L1341">
        <v>1</v>
      </c>
      <c r="M1341">
        <v>4</v>
      </c>
      <c r="N1341">
        <v>1</v>
      </c>
      <c r="O1341">
        <v>5</v>
      </c>
      <c r="P1341">
        <v>6</v>
      </c>
      <c r="Q1341">
        <v>0</v>
      </c>
      <c r="R1341">
        <v>0</v>
      </c>
      <c r="S1341">
        <v>0</v>
      </c>
      <c r="T1341">
        <v>0</v>
      </c>
      <c r="U1341">
        <v>0</v>
      </c>
      <c r="V1341">
        <f>IF(SUM(ifood_data[[#This Row],[AcceptedCmp1]:[AcceptedCmp5]])&gt;0,1,0)</f>
        <v>0</v>
      </c>
      <c r="W1341">
        <v>0</v>
      </c>
      <c r="X1341">
        <v>3</v>
      </c>
      <c r="Y1341">
        <v>11</v>
      </c>
      <c r="Z1341">
        <v>0</v>
      </c>
      <c r="AA1341">
        <v>63</v>
      </c>
      <c r="AB1341">
        <v>2699</v>
      </c>
      <c r="AC1341" s="28">
        <f>ifood_data[[#This Row],[Customer_Days]]/365</f>
        <v>7.3945205479452056</v>
      </c>
      <c r="AD1341">
        <v>0</v>
      </c>
      <c r="AE1341">
        <v>1</v>
      </c>
      <c r="AF1341">
        <v>0</v>
      </c>
      <c r="AG1341">
        <v>0</v>
      </c>
      <c r="AH1341">
        <v>0</v>
      </c>
      <c r="AI1341">
        <v>0</v>
      </c>
      <c r="AJ1341">
        <v>0</v>
      </c>
      <c r="AK1341">
        <v>1</v>
      </c>
      <c r="AL1341">
        <v>0</v>
      </c>
      <c r="AM1341">
        <v>0</v>
      </c>
      <c r="AN1341">
        <v>224</v>
      </c>
      <c r="AO1341">
        <v>213</v>
      </c>
      <c r="AP1341">
        <f>ifood_data[[#This Row],[MntTotal]]-ifood_data[[#This Row],[MntRegularProds]]</f>
        <v>11</v>
      </c>
      <c r="AQ1341">
        <v>0</v>
      </c>
      <c r="AR1341">
        <f>IF(SUM(ifood_data[[#This Row],[Kidhome]:[Teenhome]])&gt;0,1,0)</f>
        <v>1</v>
      </c>
      <c r="AS1341" t="str">
        <f>IF(SUM(ifood_data[[#This Row],[Kidhome]:[Teenhome]])&gt;0,"Has Family","No Family")</f>
        <v>Has Family</v>
      </c>
      <c r="AT1341" t="str">
        <f>IF(ifood_data[[#This Row],[marital_Married]]=1,"Married", (IF(ifood_data[[#This Row],[marital_Single]]=1,"Single",(IF(ifood_data[[#This Row],[marital_Divorced]]=1,"Divorced",(IF(ifood_data[[#This Row],[marital_Together]]=1,"Living Together",(IF(ifood_data[[#This Row],[marital_Widow]]=1,"Widow","Other")))))))))</f>
        <v>Married</v>
      </c>
      <c r="AU1341" t="str">
        <f>IF(ifood_data[[#This Row],[education_Basic]]=1,"High School",(IF(ifood_data[[#This Row],[education_Graduation]]=1,"Undergraduate Degree",(IF(SUM(AM1341,AL1341,AI1341)&gt;0,"Master's Degree or Higher","Other")))))</f>
        <v>Undergraduate Degree</v>
      </c>
      <c r="AV1341" t="str">
        <f>IF(ifood_data[[#All],[Income]]&gt;75000,"75K+",(IF(ifood_data[[#All],[Income]]&gt;50000,"50K-75K",(IF(ifood_data[[#All],[Income]]&gt;35000,"35K-50K","&lt;35K")))))</f>
        <v>35K-50K</v>
      </c>
      <c r="AW1341" t="str">
        <f>IF(ifood_data[[#All],[Age]]&gt;60,"60+",(IF(ifood_data[[#All],[Age]]&gt;50,"50-60",(IF(ifood_data[[#All],[Age]]&gt;40,"40-50",(IF(ifood_data[[#All],[Age]]&gt;30,"30-40","&lt;30")))))))</f>
        <v>60+</v>
      </c>
      <c r="AX1341">
        <f t="shared" si="80"/>
        <v>17</v>
      </c>
      <c r="AY1341">
        <f t="shared" si="81"/>
        <v>4</v>
      </c>
      <c r="AZ1341">
        <f t="shared" si="82"/>
        <v>3</v>
      </c>
      <c r="BA1341">
        <f t="shared" si="83"/>
        <v>4</v>
      </c>
      <c r="BB1341">
        <f>SUM(ifood_data[[#This Row],[Recency Score]:[Monetary Score]])</f>
        <v>11</v>
      </c>
      <c r="BC1341">
        <f>(_xlfn.PERCENTRANK.INC(ifood_data[[#All],[RFM]],ifood_data[[#This Row],[RFM]],1))*10</f>
        <v>2</v>
      </c>
      <c r="BD1341" t="str">
        <f>VLOOKUP(ifood_data[[#This Row],[RFM Score]],'RFM Analysis'!$A$3:$B$14,2,FALSE)</f>
        <v>At Risk</v>
      </c>
      <c r="BE1341">
        <f>'Regression Models'!$B$101+'Regression Models'!$B$102*ifood_data[[#This Row],[Income]]+'Regression Models'!$B$103*ifood_data[[#This Row],[Age]]+'Regression Models'!$B$104*ifood_data[[#This Row],[Family]]</f>
        <v>286.44690840997714</v>
      </c>
      <c r="BF1341" t="str">
        <f>IF(ifood_data[[#This Row],[AcceptedCmpOverall]]=1,"Campaign Respondent","Non-respondent")</f>
        <v>Non-respondent</v>
      </c>
    </row>
    <row r="1342" spans="1:58" x14ac:dyDescent="0.35">
      <c r="A1342">
        <v>488</v>
      </c>
      <c r="B1342">
        <v>44124</v>
      </c>
      <c r="C1342">
        <v>0</v>
      </c>
      <c r="D1342">
        <v>1</v>
      </c>
      <c r="E1342">
        <v>62</v>
      </c>
      <c r="F1342">
        <v>284</v>
      </c>
      <c r="G1342">
        <v>0</v>
      </c>
      <c r="H1342">
        <v>55</v>
      </c>
      <c r="I1342">
        <v>0</v>
      </c>
      <c r="J1342">
        <v>6</v>
      </c>
      <c r="K1342">
        <v>52</v>
      </c>
      <c r="L1342">
        <v>4</v>
      </c>
      <c r="M1342">
        <v>6</v>
      </c>
      <c r="N1342">
        <v>2</v>
      </c>
      <c r="O1342">
        <v>5</v>
      </c>
      <c r="P1342">
        <v>8</v>
      </c>
      <c r="Q1342">
        <v>0</v>
      </c>
      <c r="R1342">
        <v>0</v>
      </c>
      <c r="S1342">
        <v>0</v>
      </c>
      <c r="T1342">
        <v>0</v>
      </c>
      <c r="U1342">
        <v>0</v>
      </c>
      <c r="V1342">
        <f>IF(SUM(ifood_data[[#This Row],[AcceptedCmp1]:[AcceptedCmp5]])&gt;0,1,0)</f>
        <v>0</v>
      </c>
      <c r="W1342">
        <v>0</v>
      </c>
      <c r="X1342">
        <v>3</v>
      </c>
      <c r="Y1342">
        <v>11</v>
      </c>
      <c r="Z1342">
        <v>0</v>
      </c>
      <c r="AA1342">
        <v>74</v>
      </c>
      <c r="AB1342">
        <v>2573</v>
      </c>
      <c r="AC1342" s="28">
        <f>ifood_data[[#This Row],[Customer_Days]]/365</f>
        <v>7.0493150684931507</v>
      </c>
      <c r="AD1342">
        <v>0</v>
      </c>
      <c r="AE1342">
        <v>0</v>
      </c>
      <c r="AF1342">
        <v>0</v>
      </c>
      <c r="AG1342">
        <v>1</v>
      </c>
      <c r="AH1342">
        <v>0</v>
      </c>
      <c r="AI1342">
        <v>0</v>
      </c>
      <c r="AJ1342">
        <v>0</v>
      </c>
      <c r="AK1342">
        <v>0</v>
      </c>
      <c r="AL1342">
        <v>0</v>
      </c>
      <c r="AM1342">
        <v>1</v>
      </c>
      <c r="AN1342">
        <v>345</v>
      </c>
      <c r="AO1342">
        <v>293</v>
      </c>
      <c r="AP1342">
        <f>ifood_data[[#This Row],[MntTotal]]-ifood_data[[#This Row],[MntRegularProds]]</f>
        <v>52</v>
      </c>
      <c r="AQ1342">
        <v>0</v>
      </c>
      <c r="AR1342">
        <f>IF(SUM(ifood_data[[#This Row],[Kidhome]:[Teenhome]])&gt;0,1,0)</f>
        <v>1</v>
      </c>
      <c r="AS1342" t="str">
        <f>IF(SUM(ifood_data[[#This Row],[Kidhome]:[Teenhome]])&gt;0,"Has Family","No Family")</f>
        <v>Has Family</v>
      </c>
      <c r="AT1342" t="str">
        <f>IF(ifood_data[[#This Row],[marital_Married]]=1,"Married", (IF(ifood_data[[#This Row],[marital_Single]]=1,"Single",(IF(ifood_data[[#This Row],[marital_Divorced]]=1,"Divorced",(IF(ifood_data[[#This Row],[marital_Together]]=1,"Living Together",(IF(ifood_data[[#This Row],[marital_Widow]]=1,"Widow","Other")))))))))</f>
        <v>Living Together</v>
      </c>
      <c r="AU1342" t="str">
        <f>IF(ifood_data[[#This Row],[education_Basic]]=1,"High School",(IF(ifood_data[[#This Row],[education_Graduation]]=1,"Undergraduate Degree",(IF(SUM(AM1342,AL1342,AI1342)&gt;0,"Master's Degree or Higher","Other")))))</f>
        <v>Master's Degree or Higher</v>
      </c>
      <c r="AV1342" t="str">
        <f>IF(ifood_data[[#All],[Income]]&gt;75000,"75K+",(IF(ifood_data[[#All],[Income]]&gt;50000,"50K-75K",(IF(ifood_data[[#All],[Income]]&gt;35000,"35K-50K","&lt;35K")))))</f>
        <v>35K-50K</v>
      </c>
      <c r="AW1342" t="str">
        <f>IF(ifood_data[[#All],[Age]]&gt;60,"60+",(IF(ifood_data[[#All],[Age]]&gt;50,"50-60",(IF(ifood_data[[#All],[Age]]&gt;40,"40-50",(IF(ifood_data[[#All],[Age]]&gt;30,"30-40","&lt;30")))))))</f>
        <v>60+</v>
      </c>
      <c r="AX1342">
        <f t="shared" si="80"/>
        <v>25</v>
      </c>
      <c r="AY1342">
        <f t="shared" si="81"/>
        <v>4</v>
      </c>
      <c r="AZ1342">
        <f t="shared" si="82"/>
        <v>7</v>
      </c>
      <c r="BA1342">
        <f t="shared" si="83"/>
        <v>5</v>
      </c>
      <c r="BB1342">
        <f>SUM(ifood_data[[#This Row],[Recency Score]:[Monetary Score]])</f>
        <v>16</v>
      </c>
      <c r="BC1342">
        <f>(_xlfn.PERCENTRANK.INC(ifood_data[[#All],[RFM]],ifood_data[[#This Row],[RFM]],1))*10</f>
        <v>5</v>
      </c>
      <c r="BD1342" t="str">
        <f>VLOOKUP(ifood_data[[#This Row],[RFM Score]],'RFM Analysis'!$A$3:$B$14,2,FALSE)</f>
        <v>Promising</v>
      </c>
      <c r="BE1342">
        <f>'Regression Models'!$B$101+'Regression Models'!$B$102*ifood_data[[#This Row],[Income]]+'Regression Models'!$B$103*ifood_data[[#This Row],[Age]]+'Regression Models'!$B$104*ifood_data[[#This Row],[Family]]</f>
        <v>286.30862639573661</v>
      </c>
      <c r="BF1342" t="str">
        <f>IF(ifood_data[[#This Row],[AcceptedCmpOverall]]=1,"Campaign Respondent","Non-respondent")</f>
        <v>Non-respondent</v>
      </c>
    </row>
    <row r="1343" spans="1:58" x14ac:dyDescent="0.35">
      <c r="A1343">
        <v>1575</v>
      </c>
      <c r="B1343">
        <v>41154</v>
      </c>
      <c r="C1343">
        <v>0</v>
      </c>
      <c r="D1343">
        <v>1</v>
      </c>
      <c r="E1343">
        <v>98</v>
      </c>
      <c r="F1343">
        <v>44</v>
      </c>
      <c r="G1343">
        <v>2</v>
      </c>
      <c r="H1343">
        <v>11</v>
      </c>
      <c r="I1343">
        <v>2</v>
      </c>
      <c r="J1343">
        <v>3</v>
      </c>
      <c r="K1343">
        <v>7</v>
      </c>
      <c r="L1343">
        <v>1</v>
      </c>
      <c r="M1343">
        <v>1</v>
      </c>
      <c r="N1343">
        <v>0</v>
      </c>
      <c r="O1343">
        <v>4</v>
      </c>
      <c r="P1343">
        <v>5</v>
      </c>
      <c r="Q1343">
        <v>0</v>
      </c>
      <c r="R1343">
        <v>0</v>
      </c>
      <c r="S1343">
        <v>0</v>
      </c>
      <c r="T1343">
        <v>0</v>
      </c>
      <c r="U1343">
        <v>0</v>
      </c>
      <c r="V1343">
        <f>IF(SUM(ifood_data[[#This Row],[AcceptedCmp1]:[AcceptedCmp5]])&gt;0,1,0)</f>
        <v>0</v>
      </c>
      <c r="W1343">
        <v>0</v>
      </c>
      <c r="X1343">
        <v>3</v>
      </c>
      <c r="Y1343">
        <v>11</v>
      </c>
      <c r="Z1343">
        <v>0</v>
      </c>
      <c r="AA1343">
        <v>42</v>
      </c>
      <c r="AB1343">
        <v>2605</v>
      </c>
      <c r="AC1343" s="28">
        <f>ifood_data[[#This Row],[Customer_Days]]/365</f>
        <v>7.1369863013698627</v>
      </c>
      <c r="AD1343">
        <v>0</v>
      </c>
      <c r="AE1343">
        <v>0</v>
      </c>
      <c r="AF1343">
        <v>0</v>
      </c>
      <c r="AG1343">
        <v>1</v>
      </c>
      <c r="AH1343">
        <v>0</v>
      </c>
      <c r="AI1343">
        <v>0</v>
      </c>
      <c r="AJ1343">
        <v>0</v>
      </c>
      <c r="AK1343">
        <v>1</v>
      </c>
      <c r="AL1343">
        <v>0</v>
      </c>
      <c r="AM1343">
        <v>0</v>
      </c>
      <c r="AN1343">
        <v>62</v>
      </c>
      <c r="AO1343">
        <v>55</v>
      </c>
      <c r="AP1343">
        <f>ifood_data[[#This Row],[MntTotal]]-ifood_data[[#This Row],[MntRegularProds]]</f>
        <v>7</v>
      </c>
      <c r="AQ1343">
        <v>0</v>
      </c>
      <c r="AR1343">
        <f>IF(SUM(ifood_data[[#This Row],[Kidhome]:[Teenhome]])&gt;0,1,0)</f>
        <v>1</v>
      </c>
      <c r="AS1343" t="str">
        <f>IF(SUM(ifood_data[[#This Row],[Kidhome]:[Teenhome]])&gt;0,"Has Family","No Family")</f>
        <v>Has Family</v>
      </c>
      <c r="AT1343" t="str">
        <f>IF(ifood_data[[#This Row],[marital_Married]]=1,"Married", (IF(ifood_data[[#This Row],[marital_Single]]=1,"Single",(IF(ifood_data[[#This Row],[marital_Divorced]]=1,"Divorced",(IF(ifood_data[[#This Row],[marital_Together]]=1,"Living Together",(IF(ifood_data[[#This Row],[marital_Widow]]=1,"Widow","Other")))))))))</f>
        <v>Living Together</v>
      </c>
      <c r="AU1343" t="str">
        <f>IF(ifood_data[[#This Row],[education_Basic]]=1,"High School",(IF(ifood_data[[#This Row],[education_Graduation]]=1,"Undergraduate Degree",(IF(SUM(AM1343,AL1343,AI1343)&gt;0,"Master's Degree or Higher","Other")))))</f>
        <v>Undergraduate Degree</v>
      </c>
      <c r="AV1343" t="str">
        <f>IF(ifood_data[[#All],[Income]]&gt;75000,"75K+",(IF(ifood_data[[#All],[Income]]&gt;50000,"50K-75K",(IF(ifood_data[[#All],[Income]]&gt;35000,"35K-50K","&lt;35K")))))</f>
        <v>35K-50K</v>
      </c>
      <c r="AW1343" t="str">
        <f>IF(ifood_data[[#All],[Age]]&gt;60,"60+",(IF(ifood_data[[#All],[Age]]&gt;50,"50-60",(IF(ifood_data[[#All],[Age]]&gt;40,"40-50",(IF(ifood_data[[#All],[Age]]&gt;30,"30-40","&lt;30")))))))</f>
        <v>40-50</v>
      </c>
      <c r="AX1343">
        <f t="shared" si="80"/>
        <v>11</v>
      </c>
      <c r="AY1343">
        <f t="shared" si="81"/>
        <v>0.99999999999999978</v>
      </c>
      <c r="AZ1343">
        <f t="shared" si="82"/>
        <v>0</v>
      </c>
      <c r="BA1343">
        <f t="shared" si="83"/>
        <v>2</v>
      </c>
      <c r="BB1343">
        <f>SUM(ifood_data[[#This Row],[Recency Score]:[Monetary Score]])</f>
        <v>3</v>
      </c>
      <c r="BC1343">
        <f>(_xlfn.PERCENTRANK.INC(ifood_data[[#All],[RFM]],ifood_data[[#This Row],[RFM]],1))*10</f>
        <v>0</v>
      </c>
      <c r="BD1343" t="str">
        <f>VLOOKUP(ifood_data[[#This Row],[RFM Score]],'RFM Analysis'!$A$3:$B$14,2,FALSE)</f>
        <v>Lost</v>
      </c>
      <c r="BE1343">
        <f>'Regression Models'!$B$101+'Regression Models'!$B$102*ifood_data[[#This Row],[Income]]+'Regression Models'!$B$103*ifood_data[[#This Row],[Age]]+'Regression Models'!$B$104*ifood_data[[#This Row],[Family]]</f>
        <v>284.52003553297368</v>
      </c>
      <c r="BF1343" t="str">
        <f>IF(ifood_data[[#This Row],[AcceptedCmpOverall]]=1,"Campaign Respondent","Non-respondent")</f>
        <v>Non-respondent</v>
      </c>
    </row>
    <row r="1344" spans="1:58" x14ac:dyDescent="0.35">
      <c r="A1344">
        <v>529</v>
      </c>
      <c r="B1344">
        <v>43462</v>
      </c>
      <c r="C1344">
        <v>1</v>
      </c>
      <c r="D1344">
        <v>1</v>
      </c>
      <c r="E1344">
        <v>50</v>
      </c>
      <c r="F1344">
        <v>90</v>
      </c>
      <c r="G1344">
        <v>17</v>
      </c>
      <c r="H1344">
        <v>97</v>
      </c>
      <c r="I1344">
        <v>15</v>
      </c>
      <c r="J1344">
        <v>6</v>
      </c>
      <c r="K1344">
        <v>15</v>
      </c>
      <c r="L1344">
        <v>6</v>
      </c>
      <c r="M1344">
        <v>4</v>
      </c>
      <c r="N1344">
        <v>1</v>
      </c>
      <c r="O1344">
        <v>5</v>
      </c>
      <c r="P1344">
        <v>8</v>
      </c>
      <c r="Q1344">
        <v>0</v>
      </c>
      <c r="R1344">
        <v>0</v>
      </c>
      <c r="S1344">
        <v>0</v>
      </c>
      <c r="T1344">
        <v>0</v>
      </c>
      <c r="U1344">
        <v>0</v>
      </c>
      <c r="V1344">
        <f>IF(SUM(ifood_data[[#This Row],[AcceptedCmp1]:[AcceptedCmp5]])&gt;0,1,0)</f>
        <v>0</v>
      </c>
      <c r="W1344">
        <v>0</v>
      </c>
      <c r="X1344">
        <v>3</v>
      </c>
      <c r="Y1344">
        <v>11</v>
      </c>
      <c r="Z1344">
        <v>0</v>
      </c>
      <c r="AA1344">
        <v>68</v>
      </c>
      <c r="AB1344">
        <v>2814</v>
      </c>
      <c r="AC1344" s="28">
        <f>ifood_data[[#This Row],[Customer_Days]]/365</f>
        <v>7.7095890410958905</v>
      </c>
      <c r="AD1344">
        <v>0</v>
      </c>
      <c r="AE1344">
        <v>0</v>
      </c>
      <c r="AF1344">
        <v>0</v>
      </c>
      <c r="AG1344">
        <v>1</v>
      </c>
      <c r="AH1344">
        <v>0</v>
      </c>
      <c r="AI1344">
        <v>0</v>
      </c>
      <c r="AJ1344">
        <v>0</v>
      </c>
      <c r="AK1344">
        <v>1</v>
      </c>
      <c r="AL1344">
        <v>0</v>
      </c>
      <c r="AM1344">
        <v>0</v>
      </c>
      <c r="AN1344">
        <v>225</v>
      </c>
      <c r="AO1344">
        <v>210</v>
      </c>
      <c r="AP1344">
        <f>ifood_data[[#This Row],[MntTotal]]-ifood_data[[#This Row],[MntRegularProds]]</f>
        <v>15</v>
      </c>
      <c r="AQ1344">
        <v>0</v>
      </c>
      <c r="AR1344">
        <f>IF(SUM(ifood_data[[#This Row],[Kidhome]:[Teenhome]])&gt;0,1,0)</f>
        <v>1</v>
      </c>
      <c r="AS1344" t="str">
        <f>IF(SUM(ifood_data[[#This Row],[Kidhome]:[Teenhome]])&gt;0,"Has Family","No Family")</f>
        <v>Has Family</v>
      </c>
      <c r="AT1344" t="str">
        <f>IF(ifood_data[[#This Row],[marital_Married]]=1,"Married", (IF(ifood_data[[#This Row],[marital_Single]]=1,"Single",(IF(ifood_data[[#This Row],[marital_Divorced]]=1,"Divorced",(IF(ifood_data[[#This Row],[marital_Together]]=1,"Living Together",(IF(ifood_data[[#This Row],[marital_Widow]]=1,"Widow","Other")))))))))</f>
        <v>Living Together</v>
      </c>
      <c r="AU1344" t="str">
        <f>IF(ifood_data[[#This Row],[education_Basic]]=1,"High School",(IF(ifood_data[[#This Row],[education_Graduation]]=1,"Undergraduate Degree",(IF(SUM(AM1344,AL1344,AI1344)&gt;0,"Master's Degree or Higher","Other")))))</f>
        <v>Undergraduate Degree</v>
      </c>
      <c r="AV1344" t="str">
        <f>IF(ifood_data[[#All],[Income]]&gt;75000,"75K+",(IF(ifood_data[[#All],[Income]]&gt;50000,"50K-75K",(IF(ifood_data[[#All],[Income]]&gt;35000,"35K-50K","&lt;35K")))))</f>
        <v>35K-50K</v>
      </c>
      <c r="AW1344" t="str">
        <f>IF(ifood_data[[#All],[Age]]&gt;60,"60+",(IF(ifood_data[[#All],[Age]]&gt;50,"50-60",(IF(ifood_data[[#All],[Age]]&gt;40,"40-50",(IF(ifood_data[[#All],[Age]]&gt;30,"30-40","&lt;30")))))))</f>
        <v>60+</v>
      </c>
      <c r="AX1344">
        <f t="shared" si="80"/>
        <v>24</v>
      </c>
      <c r="AY1344">
        <f t="shared" si="81"/>
        <v>5</v>
      </c>
      <c r="AZ1344">
        <f t="shared" si="82"/>
        <v>6</v>
      </c>
      <c r="BA1344">
        <f t="shared" si="83"/>
        <v>4</v>
      </c>
      <c r="BB1344">
        <f>SUM(ifood_data[[#This Row],[Recency Score]:[Monetary Score]])</f>
        <v>15</v>
      </c>
      <c r="BC1344">
        <f>(_xlfn.PERCENTRANK.INC(ifood_data[[#All],[RFM]],ifood_data[[#This Row],[RFM]],1))*10</f>
        <v>4</v>
      </c>
      <c r="BD1344" t="str">
        <f>VLOOKUP(ifood_data[[#This Row],[RFM Score]],'RFM Analysis'!$A$3:$B$14,2,FALSE)</f>
        <v>At Risk</v>
      </c>
      <c r="BE1344">
        <f>'Regression Models'!$B$101+'Regression Models'!$B$102*ifood_data[[#This Row],[Income]]+'Regression Models'!$B$103*ifood_data[[#This Row],[Age]]+'Regression Models'!$B$104*ifood_data[[#This Row],[Family]]</f>
        <v>283.82989635784122</v>
      </c>
      <c r="BF1344" t="str">
        <f>IF(ifood_data[[#This Row],[AcceptedCmpOverall]]=1,"Campaign Respondent","Non-respondent")</f>
        <v>Non-respondent</v>
      </c>
    </row>
    <row r="1345" spans="1:58" x14ac:dyDescent="0.35">
      <c r="A1345">
        <v>451</v>
      </c>
      <c r="B1345">
        <v>41644</v>
      </c>
      <c r="C1345">
        <v>1</v>
      </c>
      <c r="D1345">
        <v>1</v>
      </c>
      <c r="E1345">
        <v>67</v>
      </c>
      <c r="F1345">
        <v>20</v>
      </c>
      <c r="G1345">
        <v>3</v>
      </c>
      <c r="H1345">
        <v>4</v>
      </c>
      <c r="I1345">
        <v>2</v>
      </c>
      <c r="J1345">
        <v>0</v>
      </c>
      <c r="K1345">
        <v>2</v>
      </c>
      <c r="L1345">
        <v>2</v>
      </c>
      <c r="M1345">
        <v>1</v>
      </c>
      <c r="N1345">
        <v>0</v>
      </c>
      <c r="O1345">
        <v>3</v>
      </c>
      <c r="P1345">
        <v>3</v>
      </c>
      <c r="Q1345">
        <v>0</v>
      </c>
      <c r="R1345">
        <v>0</v>
      </c>
      <c r="S1345">
        <v>0</v>
      </c>
      <c r="T1345">
        <v>0</v>
      </c>
      <c r="U1345">
        <v>0</v>
      </c>
      <c r="V1345">
        <f>IF(SUM(ifood_data[[#This Row],[AcceptedCmp1]:[AcceptedCmp5]])&gt;0,1,0)</f>
        <v>0</v>
      </c>
      <c r="W1345">
        <v>0</v>
      </c>
      <c r="X1345">
        <v>3</v>
      </c>
      <c r="Y1345">
        <v>11</v>
      </c>
      <c r="Z1345">
        <v>0</v>
      </c>
      <c r="AA1345">
        <v>48</v>
      </c>
      <c r="AB1345">
        <v>2210</v>
      </c>
      <c r="AC1345" s="28">
        <f>ifood_data[[#This Row],[Customer_Days]]/365</f>
        <v>6.0547945205479454</v>
      </c>
      <c r="AD1345">
        <v>0</v>
      </c>
      <c r="AE1345">
        <v>0</v>
      </c>
      <c r="AF1345">
        <v>1</v>
      </c>
      <c r="AG1345">
        <v>0</v>
      </c>
      <c r="AH1345">
        <v>0</v>
      </c>
      <c r="AI1345">
        <v>0</v>
      </c>
      <c r="AJ1345">
        <v>0</v>
      </c>
      <c r="AK1345">
        <v>0</v>
      </c>
      <c r="AL1345">
        <v>0</v>
      </c>
      <c r="AM1345">
        <v>1</v>
      </c>
      <c r="AN1345">
        <v>29</v>
      </c>
      <c r="AO1345">
        <v>27</v>
      </c>
      <c r="AP1345">
        <f>ifood_data[[#This Row],[MntTotal]]-ifood_data[[#This Row],[MntRegularProds]]</f>
        <v>2</v>
      </c>
      <c r="AQ1345">
        <v>0</v>
      </c>
      <c r="AR1345">
        <f>IF(SUM(ifood_data[[#This Row],[Kidhome]:[Teenhome]])&gt;0,1,0)</f>
        <v>1</v>
      </c>
      <c r="AS1345" t="str">
        <f>IF(SUM(ifood_data[[#This Row],[Kidhome]:[Teenhome]])&gt;0,"Has Family","No Family")</f>
        <v>Has Family</v>
      </c>
      <c r="AT1345" t="str">
        <f>IF(ifood_data[[#This Row],[marital_Married]]=1,"Married", (IF(ifood_data[[#This Row],[marital_Single]]=1,"Single",(IF(ifood_data[[#This Row],[marital_Divorced]]=1,"Divorced",(IF(ifood_data[[#This Row],[marital_Together]]=1,"Living Together",(IF(ifood_data[[#This Row],[marital_Widow]]=1,"Widow","Other")))))))))</f>
        <v>Single</v>
      </c>
      <c r="AU1345" t="str">
        <f>IF(ifood_data[[#This Row],[education_Basic]]=1,"High School",(IF(ifood_data[[#This Row],[education_Graduation]]=1,"Undergraduate Degree",(IF(SUM(AM1345,AL1345,AI1345)&gt;0,"Master's Degree or Higher","Other")))))</f>
        <v>Master's Degree or Higher</v>
      </c>
      <c r="AV1345" t="str">
        <f>IF(ifood_data[[#All],[Income]]&gt;75000,"75K+",(IF(ifood_data[[#All],[Income]]&gt;50000,"50K-75K",(IF(ifood_data[[#All],[Income]]&gt;35000,"35K-50K","&lt;35K")))))</f>
        <v>35K-50K</v>
      </c>
      <c r="AW1345" t="str">
        <f>IF(ifood_data[[#All],[Age]]&gt;60,"60+",(IF(ifood_data[[#All],[Age]]&gt;50,"50-60",(IF(ifood_data[[#All],[Age]]&gt;40,"40-50",(IF(ifood_data[[#All],[Age]]&gt;30,"30-40","&lt;30")))))))</f>
        <v>40-50</v>
      </c>
      <c r="AX1345">
        <f t="shared" si="80"/>
        <v>9</v>
      </c>
      <c r="AY1345">
        <f t="shared" si="81"/>
        <v>4</v>
      </c>
      <c r="AZ1345">
        <f t="shared" si="82"/>
        <v>0</v>
      </c>
      <c r="BA1345">
        <f t="shared" si="83"/>
        <v>1</v>
      </c>
      <c r="BB1345">
        <f>SUM(ifood_data[[#This Row],[Recency Score]:[Monetary Score]])</f>
        <v>5</v>
      </c>
      <c r="BC1345">
        <f>(_xlfn.PERCENTRANK.INC(ifood_data[[#All],[RFM]],ifood_data[[#This Row],[RFM]],1))*10</f>
        <v>0</v>
      </c>
      <c r="BD1345" t="str">
        <f>VLOOKUP(ifood_data[[#This Row],[RFM Score]],'RFM Analysis'!$A$3:$B$14,2,FALSE)</f>
        <v>Lost</v>
      </c>
      <c r="BE1345">
        <f>'Regression Models'!$B$101+'Regression Models'!$B$102*ifood_data[[#This Row],[Income]]+'Regression Models'!$B$103*ifood_data[[#This Row],[Age]]+'Regression Models'!$B$104*ifood_data[[#This Row],[Family]]</f>
        <v>283.49189745011847</v>
      </c>
      <c r="BF1345" t="str">
        <f>IF(ifood_data[[#This Row],[AcceptedCmpOverall]]=1,"Campaign Respondent","Non-respondent")</f>
        <v>Non-respondent</v>
      </c>
    </row>
    <row r="1346" spans="1:58" x14ac:dyDescent="0.35">
      <c r="A1346">
        <v>454</v>
      </c>
      <c r="B1346">
        <v>41124</v>
      </c>
      <c r="C1346">
        <v>1</v>
      </c>
      <c r="D1346">
        <v>0</v>
      </c>
      <c r="E1346">
        <v>41</v>
      </c>
      <c r="F1346">
        <v>281</v>
      </c>
      <c r="G1346">
        <v>7</v>
      </c>
      <c r="H1346">
        <v>84</v>
      </c>
      <c r="I1346">
        <v>15</v>
      </c>
      <c r="J1346">
        <v>0</v>
      </c>
      <c r="K1346">
        <v>119</v>
      </c>
      <c r="L1346">
        <v>7</v>
      </c>
      <c r="M1346">
        <v>7</v>
      </c>
      <c r="N1346">
        <v>3</v>
      </c>
      <c r="O1346">
        <v>4</v>
      </c>
      <c r="P1346">
        <v>8</v>
      </c>
      <c r="Q1346">
        <v>0</v>
      </c>
      <c r="R1346">
        <v>0</v>
      </c>
      <c r="S1346">
        <v>0</v>
      </c>
      <c r="T1346">
        <v>0</v>
      </c>
      <c r="U1346">
        <v>0</v>
      </c>
      <c r="V1346">
        <f>IF(SUM(ifood_data[[#This Row],[AcceptedCmp1]:[AcceptedCmp5]])&gt;0,1,0)</f>
        <v>0</v>
      </c>
      <c r="W1346">
        <v>0</v>
      </c>
      <c r="X1346">
        <v>3</v>
      </c>
      <c r="Y1346">
        <v>11</v>
      </c>
      <c r="Z1346">
        <v>0</v>
      </c>
      <c r="AA1346">
        <v>43</v>
      </c>
      <c r="AB1346">
        <v>2765</v>
      </c>
      <c r="AC1346" s="28">
        <f>ifood_data[[#This Row],[Customer_Days]]/365</f>
        <v>7.5753424657534243</v>
      </c>
      <c r="AD1346">
        <v>0</v>
      </c>
      <c r="AE1346">
        <v>1</v>
      </c>
      <c r="AF1346">
        <v>0</v>
      </c>
      <c r="AG1346">
        <v>0</v>
      </c>
      <c r="AH1346">
        <v>0</v>
      </c>
      <c r="AI1346">
        <v>0</v>
      </c>
      <c r="AJ1346">
        <v>0</v>
      </c>
      <c r="AK1346">
        <v>1</v>
      </c>
      <c r="AL1346">
        <v>0</v>
      </c>
      <c r="AM1346">
        <v>0</v>
      </c>
      <c r="AN1346">
        <v>387</v>
      </c>
      <c r="AO1346">
        <v>268</v>
      </c>
      <c r="AP1346">
        <f>ifood_data[[#This Row],[MntTotal]]-ifood_data[[#This Row],[MntRegularProds]]</f>
        <v>119</v>
      </c>
      <c r="AQ1346">
        <v>0</v>
      </c>
      <c r="AR1346">
        <f>IF(SUM(ifood_data[[#This Row],[Kidhome]:[Teenhome]])&gt;0,1,0)</f>
        <v>1</v>
      </c>
      <c r="AS1346" t="str">
        <f>IF(SUM(ifood_data[[#This Row],[Kidhome]:[Teenhome]])&gt;0,"Has Family","No Family")</f>
        <v>Has Family</v>
      </c>
      <c r="AT1346" t="str">
        <f>IF(ifood_data[[#This Row],[marital_Married]]=1,"Married", (IF(ifood_data[[#This Row],[marital_Single]]=1,"Single",(IF(ifood_data[[#This Row],[marital_Divorced]]=1,"Divorced",(IF(ifood_data[[#This Row],[marital_Together]]=1,"Living Together",(IF(ifood_data[[#This Row],[marital_Widow]]=1,"Widow","Other")))))))))</f>
        <v>Married</v>
      </c>
      <c r="AU1346" t="str">
        <f>IF(ifood_data[[#This Row],[education_Basic]]=1,"High School",(IF(ifood_data[[#This Row],[education_Graduation]]=1,"Undergraduate Degree",(IF(SUM(AM1346,AL1346,AI1346)&gt;0,"Master's Degree or Higher","Other")))))</f>
        <v>Undergraduate Degree</v>
      </c>
      <c r="AV1346" t="str">
        <f>IF(ifood_data[[#All],[Income]]&gt;75000,"75K+",(IF(ifood_data[[#All],[Income]]&gt;50000,"50K-75K",(IF(ifood_data[[#All],[Income]]&gt;35000,"35K-50K","&lt;35K")))))</f>
        <v>35K-50K</v>
      </c>
      <c r="AW1346" t="str">
        <f>IF(ifood_data[[#All],[Age]]&gt;60,"60+",(IF(ifood_data[[#All],[Age]]&gt;50,"50-60",(IF(ifood_data[[#All],[Age]]&gt;40,"40-50",(IF(ifood_data[[#All],[Age]]&gt;30,"30-40","&lt;30")))))))</f>
        <v>40-50</v>
      </c>
      <c r="AX1346">
        <f t="shared" ref="AX1346:AX1409" si="84">SUM(L1346:P1346)</f>
        <v>29</v>
      </c>
      <c r="AY1346">
        <f t="shared" ref="AY1346:AY1409" si="85">(1-_xlfn.PERCENTRANK.INC($E$2:$E$2022,E1346,1))*10</f>
        <v>6</v>
      </c>
      <c r="AZ1346">
        <f t="shared" ref="AZ1346:AZ1409" si="86">_xlfn.PERCENTRANK.INC($AX$2:$AX$2022,AX1346,1)*10</f>
        <v>8</v>
      </c>
      <c r="BA1346">
        <f t="shared" ref="BA1346:BA1409" si="87">_xlfn.PERCENTRANK.INC($AN$2:$AN$2022,AN1346,1)*10</f>
        <v>5</v>
      </c>
      <c r="BB1346">
        <f>SUM(ifood_data[[#This Row],[Recency Score]:[Monetary Score]])</f>
        <v>19</v>
      </c>
      <c r="BC1346">
        <f>(_xlfn.PERCENTRANK.INC(ifood_data[[#All],[RFM]],ifood_data[[#This Row],[RFM]],1))*10</f>
        <v>7</v>
      </c>
      <c r="BD1346" t="str">
        <f>VLOOKUP(ifood_data[[#This Row],[RFM Score]],'RFM Analysis'!$A$3:$B$14,2,FALSE)</f>
        <v>Loyal Customer</v>
      </c>
      <c r="BE1346">
        <f>'Regression Models'!$B$101+'Regression Models'!$B$102*ifood_data[[#This Row],[Income]]+'Regression Models'!$B$103*ifood_data[[#This Row],[Age]]+'Regression Models'!$B$104*ifood_data[[#This Row],[Family]]</f>
        <v>282.07193340976244</v>
      </c>
      <c r="BF1346" t="str">
        <f>IF(ifood_data[[#This Row],[AcceptedCmpOverall]]=1,"Campaign Respondent","Non-respondent")</f>
        <v>Non-respondent</v>
      </c>
    </row>
    <row r="1347" spans="1:58" x14ac:dyDescent="0.35">
      <c r="A1347">
        <v>1020</v>
      </c>
      <c r="B1347">
        <v>41014</v>
      </c>
      <c r="C1347">
        <v>1</v>
      </c>
      <c r="D1347">
        <v>0</v>
      </c>
      <c r="E1347">
        <v>65</v>
      </c>
      <c r="F1347">
        <v>7</v>
      </c>
      <c r="G1347">
        <v>2</v>
      </c>
      <c r="H1347">
        <v>6</v>
      </c>
      <c r="I1347">
        <v>2</v>
      </c>
      <c r="J1347">
        <v>0</v>
      </c>
      <c r="K1347">
        <v>3</v>
      </c>
      <c r="L1347">
        <v>1</v>
      </c>
      <c r="M1347">
        <v>1</v>
      </c>
      <c r="N1347">
        <v>0</v>
      </c>
      <c r="O1347">
        <v>2</v>
      </c>
      <c r="P1347">
        <v>7</v>
      </c>
      <c r="Q1347">
        <v>0</v>
      </c>
      <c r="R1347">
        <v>0</v>
      </c>
      <c r="S1347">
        <v>0</v>
      </c>
      <c r="T1347">
        <v>0</v>
      </c>
      <c r="U1347">
        <v>0</v>
      </c>
      <c r="V1347">
        <f>IF(SUM(ifood_data[[#This Row],[AcceptedCmp1]:[AcceptedCmp5]])&gt;0,1,0)</f>
        <v>0</v>
      </c>
      <c r="W1347">
        <v>0</v>
      </c>
      <c r="X1347">
        <v>3</v>
      </c>
      <c r="Y1347">
        <v>11</v>
      </c>
      <c r="Z1347">
        <v>0</v>
      </c>
      <c r="AA1347">
        <v>42</v>
      </c>
      <c r="AB1347">
        <v>2592</v>
      </c>
      <c r="AC1347" s="28">
        <f>ifood_data[[#This Row],[Customer_Days]]/365</f>
        <v>7.1013698630136988</v>
      </c>
      <c r="AD1347">
        <v>0</v>
      </c>
      <c r="AE1347">
        <v>1</v>
      </c>
      <c r="AF1347">
        <v>0</v>
      </c>
      <c r="AG1347">
        <v>0</v>
      </c>
      <c r="AH1347">
        <v>0</v>
      </c>
      <c r="AI1347">
        <v>0</v>
      </c>
      <c r="AJ1347">
        <v>0</v>
      </c>
      <c r="AK1347">
        <v>0</v>
      </c>
      <c r="AL1347">
        <v>0</v>
      </c>
      <c r="AM1347">
        <v>1</v>
      </c>
      <c r="AN1347">
        <v>17</v>
      </c>
      <c r="AO1347">
        <v>14</v>
      </c>
      <c r="AP1347">
        <f>ifood_data[[#This Row],[MntTotal]]-ifood_data[[#This Row],[MntRegularProds]]</f>
        <v>3</v>
      </c>
      <c r="AQ1347">
        <v>0</v>
      </c>
      <c r="AR1347">
        <f>IF(SUM(ifood_data[[#This Row],[Kidhome]:[Teenhome]])&gt;0,1,0)</f>
        <v>1</v>
      </c>
      <c r="AS1347" t="str">
        <f>IF(SUM(ifood_data[[#This Row],[Kidhome]:[Teenhome]])&gt;0,"Has Family","No Family")</f>
        <v>Has Family</v>
      </c>
      <c r="AT1347" t="str">
        <f>IF(ifood_data[[#This Row],[marital_Married]]=1,"Married", (IF(ifood_data[[#This Row],[marital_Single]]=1,"Single",(IF(ifood_data[[#This Row],[marital_Divorced]]=1,"Divorced",(IF(ifood_data[[#This Row],[marital_Together]]=1,"Living Together",(IF(ifood_data[[#This Row],[marital_Widow]]=1,"Widow","Other")))))))))</f>
        <v>Married</v>
      </c>
      <c r="AU1347" t="str">
        <f>IF(ifood_data[[#This Row],[education_Basic]]=1,"High School",(IF(ifood_data[[#This Row],[education_Graduation]]=1,"Undergraduate Degree",(IF(SUM(AM1347,AL1347,AI1347)&gt;0,"Master's Degree or Higher","Other")))))</f>
        <v>Master's Degree or Higher</v>
      </c>
      <c r="AV1347" t="str">
        <f>IF(ifood_data[[#All],[Income]]&gt;75000,"75K+",(IF(ifood_data[[#All],[Income]]&gt;50000,"50K-75K",(IF(ifood_data[[#All],[Income]]&gt;35000,"35K-50K","&lt;35K")))))</f>
        <v>35K-50K</v>
      </c>
      <c r="AW1347" t="str">
        <f>IF(ifood_data[[#All],[Age]]&gt;60,"60+",(IF(ifood_data[[#All],[Age]]&gt;50,"50-60",(IF(ifood_data[[#All],[Age]]&gt;40,"40-50",(IF(ifood_data[[#All],[Age]]&gt;30,"30-40","&lt;30")))))))</f>
        <v>40-50</v>
      </c>
      <c r="AX1347">
        <f t="shared" si="84"/>
        <v>11</v>
      </c>
      <c r="AY1347">
        <f t="shared" si="85"/>
        <v>4</v>
      </c>
      <c r="AZ1347">
        <f t="shared" si="86"/>
        <v>0</v>
      </c>
      <c r="BA1347">
        <f t="shared" si="87"/>
        <v>0</v>
      </c>
      <c r="BB1347">
        <f>SUM(ifood_data[[#This Row],[Recency Score]:[Monetary Score]])</f>
        <v>4</v>
      </c>
      <c r="BC1347">
        <f>(_xlfn.PERCENTRANK.INC(ifood_data[[#All],[RFM]],ifood_data[[#This Row],[RFM]],1))*10</f>
        <v>0</v>
      </c>
      <c r="BD1347" t="str">
        <f>VLOOKUP(ifood_data[[#This Row],[RFM Score]],'RFM Analysis'!$A$3:$B$14,2,FALSE)</f>
        <v>Lost</v>
      </c>
      <c r="BE1347">
        <f>'Regression Models'!$B$101+'Regression Models'!$B$102*ifood_data[[#This Row],[Income]]+'Regression Models'!$B$103*ifood_data[[#This Row],[Age]]+'Regression Models'!$B$104*ifood_data[[#This Row],[Family]]</f>
        <v>281.66560799282786</v>
      </c>
      <c r="BF1347" t="str">
        <f>IF(ifood_data[[#This Row],[AcceptedCmpOverall]]=1,"Campaign Respondent","Non-respondent")</f>
        <v>Non-respondent</v>
      </c>
    </row>
    <row r="1348" spans="1:58" x14ac:dyDescent="0.35">
      <c r="A1348">
        <v>171</v>
      </c>
      <c r="B1348">
        <v>28249</v>
      </c>
      <c r="C1348">
        <v>0</v>
      </c>
      <c r="D1348">
        <v>0</v>
      </c>
      <c r="E1348">
        <v>80</v>
      </c>
      <c r="F1348">
        <v>1</v>
      </c>
      <c r="G1348">
        <v>9</v>
      </c>
      <c r="H1348">
        <v>7</v>
      </c>
      <c r="I1348">
        <v>2</v>
      </c>
      <c r="J1348">
        <v>14</v>
      </c>
      <c r="K1348">
        <v>10</v>
      </c>
      <c r="L1348">
        <v>1</v>
      </c>
      <c r="M1348">
        <v>2</v>
      </c>
      <c r="N1348">
        <v>0</v>
      </c>
      <c r="O1348">
        <v>3</v>
      </c>
      <c r="P1348">
        <v>6</v>
      </c>
      <c r="Q1348">
        <v>0</v>
      </c>
      <c r="R1348">
        <v>0</v>
      </c>
      <c r="S1348">
        <v>0</v>
      </c>
      <c r="T1348">
        <v>0</v>
      </c>
      <c r="U1348">
        <v>0</v>
      </c>
      <c r="V1348">
        <f>IF(SUM(ifood_data[[#This Row],[AcceptedCmp1]:[AcceptedCmp5]])&gt;0,1,0)</f>
        <v>0</v>
      </c>
      <c r="W1348">
        <v>0</v>
      </c>
      <c r="X1348">
        <v>3</v>
      </c>
      <c r="Y1348">
        <v>11</v>
      </c>
      <c r="Z1348">
        <v>0</v>
      </c>
      <c r="AA1348">
        <v>59</v>
      </c>
      <c r="AB1348">
        <v>2173</v>
      </c>
      <c r="AC1348" s="28">
        <f>ifood_data[[#This Row],[Customer_Days]]/365</f>
        <v>5.9534246575342467</v>
      </c>
      <c r="AD1348">
        <v>0</v>
      </c>
      <c r="AE1348">
        <v>1</v>
      </c>
      <c r="AF1348">
        <v>0</v>
      </c>
      <c r="AG1348">
        <v>0</v>
      </c>
      <c r="AH1348">
        <v>0</v>
      </c>
      <c r="AI1348">
        <v>0</v>
      </c>
      <c r="AJ1348">
        <v>1</v>
      </c>
      <c r="AK1348">
        <v>0</v>
      </c>
      <c r="AL1348">
        <v>0</v>
      </c>
      <c r="AM1348">
        <v>0</v>
      </c>
      <c r="AN1348">
        <v>33</v>
      </c>
      <c r="AO1348">
        <v>23</v>
      </c>
      <c r="AP1348">
        <f>ifood_data[[#This Row],[MntTotal]]-ifood_data[[#This Row],[MntRegularProds]]</f>
        <v>10</v>
      </c>
      <c r="AQ1348">
        <v>0</v>
      </c>
      <c r="AR1348">
        <f>IF(SUM(ifood_data[[#This Row],[Kidhome]:[Teenhome]])&gt;0,1,0)</f>
        <v>0</v>
      </c>
      <c r="AS1348" t="str">
        <f>IF(SUM(ifood_data[[#This Row],[Kidhome]:[Teenhome]])&gt;0,"Has Family","No Family")</f>
        <v>No Family</v>
      </c>
      <c r="AT1348" t="str">
        <f>IF(ifood_data[[#This Row],[marital_Married]]=1,"Married", (IF(ifood_data[[#This Row],[marital_Single]]=1,"Single",(IF(ifood_data[[#This Row],[marital_Divorced]]=1,"Divorced",(IF(ifood_data[[#This Row],[marital_Together]]=1,"Living Together",(IF(ifood_data[[#This Row],[marital_Widow]]=1,"Widow","Other")))))))))</f>
        <v>Married</v>
      </c>
      <c r="AU1348" t="str">
        <f>IF(ifood_data[[#This Row],[education_Basic]]=1,"High School",(IF(ifood_data[[#This Row],[education_Graduation]]=1,"Undergraduate Degree",(IF(SUM(AM1348,AL1348,AI1348)&gt;0,"Master's Degree or Higher","Other")))))</f>
        <v>High School</v>
      </c>
      <c r="AV1348" t="str">
        <f>IF(ifood_data[[#All],[Income]]&gt;75000,"75K+",(IF(ifood_data[[#All],[Income]]&gt;50000,"50K-75K",(IF(ifood_data[[#All],[Income]]&gt;35000,"35K-50K","&lt;35K")))))</f>
        <v>&lt;35K</v>
      </c>
      <c r="AW1348" t="str">
        <f>IF(ifood_data[[#All],[Age]]&gt;60,"60+",(IF(ifood_data[[#All],[Age]]&gt;50,"50-60",(IF(ifood_data[[#All],[Age]]&gt;40,"40-50",(IF(ifood_data[[#All],[Age]]&gt;30,"30-40","&lt;30")))))))</f>
        <v>50-60</v>
      </c>
      <c r="AX1348">
        <f t="shared" si="84"/>
        <v>12</v>
      </c>
      <c r="AY1348">
        <f t="shared" si="85"/>
        <v>1.9999999999999996</v>
      </c>
      <c r="AZ1348">
        <f t="shared" si="86"/>
        <v>1</v>
      </c>
      <c r="BA1348">
        <f t="shared" si="87"/>
        <v>1</v>
      </c>
      <c r="BB1348">
        <f>SUM(ifood_data[[#This Row],[Recency Score]:[Monetary Score]])</f>
        <v>3.9999999999999996</v>
      </c>
      <c r="BC1348">
        <f>(_xlfn.PERCENTRANK.INC(ifood_data[[#All],[RFM]],ifood_data[[#This Row],[RFM]],1))*10</f>
        <v>0</v>
      </c>
      <c r="BD1348" t="str">
        <f>VLOOKUP(ifood_data[[#This Row],[RFM Score]],'RFM Analysis'!$A$3:$B$14,2,FALSE)</f>
        <v>Lost</v>
      </c>
      <c r="BE1348">
        <f>'Regression Models'!$B$101+'Regression Models'!$B$102*ifood_data[[#This Row],[Income]]+'Regression Models'!$B$103*ifood_data[[#This Row],[Age]]+'Regression Models'!$B$104*ifood_data[[#This Row],[Family]]</f>
        <v>279.79714936777123</v>
      </c>
      <c r="BF1348" t="str">
        <f>IF(ifood_data[[#This Row],[AcceptedCmpOverall]]=1,"Campaign Respondent","Non-respondent")</f>
        <v>Non-respondent</v>
      </c>
    </row>
    <row r="1349" spans="1:58" x14ac:dyDescent="0.35">
      <c r="A1349">
        <v>1024</v>
      </c>
      <c r="B1349">
        <v>40479</v>
      </c>
      <c r="C1349">
        <v>1</v>
      </c>
      <c r="D1349">
        <v>0</v>
      </c>
      <c r="E1349">
        <v>95</v>
      </c>
      <c r="F1349">
        <v>5</v>
      </c>
      <c r="G1349">
        <v>0</v>
      </c>
      <c r="H1349">
        <v>8</v>
      </c>
      <c r="I1349">
        <v>2</v>
      </c>
      <c r="J1349">
        <v>0</v>
      </c>
      <c r="K1349">
        <v>0</v>
      </c>
      <c r="L1349">
        <v>1</v>
      </c>
      <c r="M1349">
        <v>0</v>
      </c>
      <c r="N1349">
        <v>0</v>
      </c>
      <c r="O1349">
        <v>3</v>
      </c>
      <c r="P1349">
        <v>4</v>
      </c>
      <c r="Q1349">
        <v>0</v>
      </c>
      <c r="R1349">
        <v>0</v>
      </c>
      <c r="S1349">
        <v>0</v>
      </c>
      <c r="T1349">
        <v>0</v>
      </c>
      <c r="U1349">
        <v>0</v>
      </c>
      <c r="V1349">
        <f>IF(SUM(ifood_data[[#This Row],[AcceptedCmp1]:[AcceptedCmp5]])&gt;0,1,0)</f>
        <v>0</v>
      </c>
      <c r="W1349">
        <v>0</v>
      </c>
      <c r="X1349">
        <v>3</v>
      </c>
      <c r="Y1349">
        <v>11</v>
      </c>
      <c r="Z1349">
        <v>0</v>
      </c>
      <c r="AA1349">
        <v>38</v>
      </c>
      <c r="AB1349">
        <v>2475</v>
      </c>
      <c r="AC1349" s="28">
        <f>ifood_data[[#This Row],[Customer_Days]]/365</f>
        <v>6.7808219178082192</v>
      </c>
      <c r="AD1349">
        <v>0</v>
      </c>
      <c r="AE1349">
        <v>0</v>
      </c>
      <c r="AF1349">
        <v>0</v>
      </c>
      <c r="AG1349">
        <v>1</v>
      </c>
      <c r="AH1349">
        <v>0</v>
      </c>
      <c r="AI1349">
        <v>0</v>
      </c>
      <c r="AJ1349">
        <v>0</v>
      </c>
      <c r="AK1349">
        <v>1</v>
      </c>
      <c r="AL1349">
        <v>0</v>
      </c>
      <c r="AM1349">
        <v>0</v>
      </c>
      <c r="AN1349">
        <v>15</v>
      </c>
      <c r="AO1349">
        <v>15</v>
      </c>
      <c r="AP1349">
        <f>ifood_data[[#This Row],[MntTotal]]-ifood_data[[#This Row],[MntRegularProds]]</f>
        <v>0</v>
      </c>
      <c r="AQ1349">
        <v>0</v>
      </c>
      <c r="AR1349">
        <f>IF(SUM(ifood_data[[#This Row],[Kidhome]:[Teenhome]])&gt;0,1,0)</f>
        <v>1</v>
      </c>
      <c r="AS1349" t="str">
        <f>IF(SUM(ifood_data[[#This Row],[Kidhome]:[Teenhome]])&gt;0,"Has Family","No Family")</f>
        <v>Has Family</v>
      </c>
      <c r="AT1349" t="str">
        <f>IF(ifood_data[[#This Row],[marital_Married]]=1,"Married", (IF(ifood_data[[#This Row],[marital_Single]]=1,"Single",(IF(ifood_data[[#This Row],[marital_Divorced]]=1,"Divorced",(IF(ifood_data[[#This Row],[marital_Together]]=1,"Living Together",(IF(ifood_data[[#This Row],[marital_Widow]]=1,"Widow","Other")))))))))</f>
        <v>Living Together</v>
      </c>
      <c r="AU1349" t="str">
        <f>IF(ifood_data[[#This Row],[education_Basic]]=1,"High School",(IF(ifood_data[[#This Row],[education_Graduation]]=1,"Undergraduate Degree",(IF(SUM(AM1349,AL1349,AI1349)&gt;0,"Master's Degree or Higher","Other")))))</f>
        <v>Undergraduate Degree</v>
      </c>
      <c r="AV1349" t="str">
        <f>IF(ifood_data[[#All],[Income]]&gt;75000,"75K+",(IF(ifood_data[[#All],[Income]]&gt;50000,"50K-75K",(IF(ifood_data[[#All],[Income]]&gt;35000,"35K-50K","&lt;35K")))))</f>
        <v>35K-50K</v>
      </c>
      <c r="AW1349" t="str">
        <f>IF(ifood_data[[#All],[Age]]&gt;60,"60+",(IF(ifood_data[[#All],[Age]]&gt;50,"50-60",(IF(ifood_data[[#All],[Age]]&gt;40,"40-50",(IF(ifood_data[[#All],[Age]]&gt;30,"30-40","&lt;30")))))))</f>
        <v>30-40</v>
      </c>
      <c r="AX1349">
        <f t="shared" si="84"/>
        <v>8</v>
      </c>
      <c r="AY1349">
        <f t="shared" si="85"/>
        <v>0.99999999999999978</v>
      </c>
      <c r="AZ1349">
        <f t="shared" si="86"/>
        <v>0</v>
      </c>
      <c r="BA1349">
        <f t="shared" si="87"/>
        <v>0</v>
      </c>
      <c r="BB1349">
        <f>SUM(ifood_data[[#This Row],[Recency Score]:[Monetary Score]])</f>
        <v>0.99999999999999978</v>
      </c>
      <c r="BC1349">
        <f>(_xlfn.PERCENTRANK.INC(ifood_data[[#All],[RFM]],ifood_data[[#This Row],[RFM]],1))*10</f>
        <v>0</v>
      </c>
      <c r="BD1349" t="str">
        <f>VLOOKUP(ifood_data[[#This Row],[RFM Score]],'RFM Analysis'!$A$3:$B$14,2,FALSE)</f>
        <v>Lost</v>
      </c>
      <c r="BE1349">
        <f>'Regression Models'!$B$101+'Regression Models'!$B$102*ifood_data[[#This Row],[Income]]+'Regression Models'!$B$103*ifood_data[[#This Row],[Age]]+'Regression Models'!$B$104*ifood_data[[#This Row],[Family]]</f>
        <v>278.10337335141901</v>
      </c>
      <c r="BF1349" t="str">
        <f>IF(ifood_data[[#This Row],[AcceptedCmpOverall]]=1,"Campaign Respondent","Non-respondent")</f>
        <v>Non-respondent</v>
      </c>
    </row>
    <row r="1350" spans="1:58" x14ac:dyDescent="0.35">
      <c r="A1350">
        <v>45</v>
      </c>
      <c r="B1350">
        <v>41728</v>
      </c>
      <c r="C1350">
        <v>1</v>
      </c>
      <c r="D1350">
        <v>0</v>
      </c>
      <c r="E1350">
        <v>92</v>
      </c>
      <c r="F1350">
        <v>13</v>
      </c>
      <c r="G1350">
        <v>6</v>
      </c>
      <c r="H1350">
        <v>15</v>
      </c>
      <c r="I1350">
        <v>3</v>
      </c>
      <c r="J1350">
        <v>5</v>
      </c>
      <c r="K1350">
        <v>13</v>
      </c>
      <c r="L1350">
        <v>1</v>
      </c>
      <c r="M1350">
        <v>2</v>
      </c>
      <c r="N1350">
        <v>0</v>
      </c>
      <c r="O1350">
        <v>2</v>
      </c>
      <c r="P1350">
        <v>10</v>
      </c>
      <c r="Q1350">
        <v>0</v>
      </c>
      <c r="R1350">
        <v>0</v>
      </c>
      <c r="S1350">
        <v>0</v>
      </c>
      <c r="T1350">
        <v>0</v>
      </c>
      <c r="U1350">
        <v>0</v>
      </c>
      <c r="V1350">
        <f>IF(SUM(ifood_data[[#This Row],[AcceptedCmp1]:[AcceptedCmp5]])&gt;0,1,0)</f>
        <v>0</v>
      </c>
      <c r="W1350">
        <v>0</v>
      </c>
      <c r="X1350">
        <v>3</v>
      </c>
      <c r="Y1350">
        <v>11</v>
      </c>
      <c r="Z1350">
        <v>0</v>
      </c>
      <c r="AA1350">
        <v>52</v>
      </c>
      <c r="AB1350">
        <v>2560</v>
      </c>
      <c r="AC1350" s="28">
        <f>ifood_data[[#This Row],[Customer_Days]]/365</f>
        <v>7.0136986301369859</v>
      </c>
      <c r="AD1350">
        <v>0</v>
      </c>
      <c r="AE1350">
        <v>0</v>
      </c>
      <c r="AF1350">
        <v>0</v>
      </c>
      <c r="AG1350">
        <v>1</v>
      </c>
      <c r="AH1350">
        <v>0</v>
      </c>
      <c r="AI1350">
        <v>0</v>
      </c>
      <c r="AJ1350">
        <v>0</v>
      </c>
      <c r="AK1350">
        <v>1</v>
      </c>
      <c r="AL1350">
        <v>0</v>
      </c>
      <c r="AM1350">
        <v>0</v>
      </c>
      <c r="AN1350">
        <v>42</v>
      </c>
      <c r="AO1350">
        <v>29</v>
      </c>
      <c r="AP1350">
        <f>ifood_data[[#This Row],[MntTotal]]-ifood_data[[#This Row],[MntRegularProds]]</f>
        <v>13</v>
      </c>
      <c r="AQ1350">
        <v>0</v>
      </c>
      <c r="AR1350">
        <f>IF(SUM(ifood_data[[#This Row],[Kidhome]:[Teenhome]])&gt;0,1,0)</f>
        <v>1</v>
      </c>
      <c r="AS1350" t="str">
        <f>IF(SUM(ifood_data[[#This Row],[Kidhome]:[Teenhome]])&gt;0,"Has Family","No Family")</f>
        <v>Has Family</v>
      </c>
      <c r="AT1350" t="str">
        <f>IF(ifood_data[[#This Row],[marital_Married]]=1,"Married", (IF(ifood_data[[#This Row],[marital_Single]]=1,"Single",(IF(ifood_data[[#This Row],[marital_Divorced]]=1,"Divorced",(IF(ifood_data[[#This Row],[marital_Together]]=1,"Living Together",(IF(ifood_data[[#This Row],[marital_Widow]]=1,"Widow","Other")))))))))</f>
        <v>Living Together</v>
      </c>
      <c r="AU1350" t="str">
        <f>IF(ifood_data[[#This Row],[education_Basic]]=1,"High School",(IF(ifood_data[[#This Row],[education_Graduation]]=1,"Undergraduate Degree",(IF(SUM(AM1350,AL1350,AI1350)&gt;0,"Master's Degree or Higher","Other")))))</f>
        <v>Undergraduate Degree</v>
      </c>
      <c r="AV1350" t="str">
        <f>IF(ifood_data[[#All],[Income]]&gt;75000,"75K+",(IF(ifood_data[[#All],[Income]]&gt;50000,"50K-75K",(IF(ifood_data[[#All],[Income]]&gt;35000,"35K-50K","&lt;35K")))))</f>
        <v>35K-50K</v>
      </c>
      <c r="AW1350" t="str">
        <f>IF(ifood_data[[#All],[Age]]&gt;60,"60+",(IF(ifood_data[[#All],[Age]]&gt;50,"50-60",(IF(ifood_data[[#All],[Age]]&gt;40,"40-50",(IF(ifood_data[[#All],[Age]]&gt;30,"30-40","&lt;30")))))))</f>
        <v>50-60</v>
      </c>
      <c r="AX1350">
        <f t="shared" si="84"/>
        <v>15</v>
      </c>
      <c r="AY1350">
        <f t="shared" si="85"/>
        <v>0.99999999999999978</v>
      </c>
      <c r="AZ1350">
        <f t="shared" si="86"/>
        <v>2</v>
      </c>
      <c r="BA1350">
        <f t="shared" si="87"/>
        <v>1</v>
      </c>
      <c r="BB1350">
        <f>SUM(ifood_data[[#This Row],[Recency Score]:[Monetary Score]])</f>
        <v>4</v>
      </c>
      <c r="BC1350">
        <f>(_xlfn.PERCENTRANK.INC(ifood_data[[#All],[RFM]],ifood_data[[#This Row],[RFM]],1))*10</f>
        <v>0</v>
      </c>
      <c r="BD1350" t="str">
        <f>VLOOKUP(ifood_data[[#This Row],[RFM Score]],'RFM Analysis'!$A$3:$B$14,2,FALSE)</f>
        <v>Lost</v>
      </c>
      <c r="BE1350">
        <f>'Regression Models'!$B$101+'Regression Models'!$B$102*ifood_data[[#This Row],[Income]]+'Regression Models'!$B$103*ifood_data[[#This Row],[Age]]+'Regression Models'!$B$104*ifood_data[[#This Row],[Family]]</f>
        <v>277.85879765862887</v>
      </c>
      <c r="BF1350" t="str">
        <f>IF(ifood_data[[#This Row],[AcceptedCmpOverall]]=1,"Campaign Respondent","Non-respondent")</f>
        <v>Non-respondent</v>
      </c>
    </row>
    <row r="1351" spans="1:58" x14ac:dyDescent="0.35">
      <c r="A1351">
        <v>669</v>
      </c>
      <c r="B1351">
        <v>43185</v>
      </c>
      <c r="C1351">
        <v>0</v>
      </c>
      <c r="D1351">
        <v>1</v>
      </c>
      <c r="E1351">
        <v>88</v>
      </c>
      <c r="F1351">
        <v>537</v>
      </c>
      <c r="G1351">
        <v>6</v>
      </c>
      <c r="H1351">
        <v>42</v>
      </c>
      <c r="I1351">
        <v>16</v>
      </c>
      <c r="J1351">
        <v>6</v>
      </c>
      <c r="K1351">
        <v>30</v>
      </c>
      <c r="L1351">
        <v>2</v>
      </c>
      <c r="M1351">
        <v>9</v>
      </c>
      <c r="N1351">
        <v>3</v>
      </c>
      <c r="O1351">
        <v>6</v>
      </c>
      <c r="P1351">
        <v>8</v>
      </c>
      <c r="Q1351">
        <v>0</v>
      </c>
      <c r="R1351">
        <v>0</v>
      </c>
      <c r="S1351">
        <v>0</v>
      </c>
      <c r="T1351">
        <v>0</v>
      </c>
      <c r="U1351">
        <v>0</v>
      </c>
      <c r="V1351">
        <f>IF(SUM(ifood_data[[#This Row],[AcceptedCmp1]:[AcceptedCmp5]])&gt;0,1,0)</f>
        <v>0</v>
      </c>
      <c r="W1351">
        <v>0</v>
      </c>
      <c r="X1351">
        <v>3</v>
      </c>
      <c r="Y1351">
        <v>11</v>
      </c>
      <c r="Z1351">
        <v>0</v>
      </c>
      <c r="AA1351">
        <v>69</v>
      </c>
      <c r="AB1351">
        <v>2604</v>
      </c>
      <c r="AC1351" s="28">
        <f>ifood_data[[#This Row],[Customer_Days]]/365</f>
        <v>7.1342465753424653</v>
      </c>
      <c r="AD1351">
        <v>1</v>
      </c>
      <c r="AE1351">
        <v>0</v>
      </c>
      <c r="AF1351">
        <v>0</v>
      </c>
      <c r="AG1351">
        <v>0</v>
      </c>
      <c r="AH1351">
        <v>0</v>
      </c>
      <c r="AI1351">
        <v>0</v>
      </c>
      <c r="AJ1351">
        <v>0</v>
      </c>
      <c r="AK1351">
        <v>1</v>
      </c>
      <c r="AL1351">
        <v>0</v>
      </c>
      <c r="AM1351">
        <v>0</v>
      </c>
      <c r="AN1351">
        <v>607</v>
      </c>
      <c r="AO1351">
        <v>577</v>
      </c>
      <c r="AP1351">
        <f>ifood_data[[#This Row],[MntTotal]]-ifood_data[[#This Row],[MntRegularProds]]</f>
        <v>30</v>
      </c>
      <c r="AQ1351">
        <v>0</v>
      </c>
      <c r="AR1351">
        <f>IF(SUM(ifood_data[[#This Row],[Kidhome]:[Teenhome]])&gt;0,1,0)</f>
        <v>1</v>
      </c>
      <c r="AS1351" t="str">
        <f>IF(SUM(ifood_data[[#This Row],[Kidhome]:[Teenhome]])&gt;0,"Has Family","No Family")</f>
        <v>Has Family</v>
      </c>
      <c r="AT1351" t="str">
        <f>IF(ifood_data[[#This Row],[marital_Married]]=1,"Married", (IF(ifood_data[[#This Row],[marital_Single]]=1,"Single",(IF(ifood_data[[#This Row],[marital_Divorced]]=1,"Divorced",(IF(ifood_data[[#This Row],[marital_Together]]=1,"Living Together",(IF(ifood_data[[#This Row],[marital_Widow]]=1,"Widow","Other")))))))))</f>
        <v>Divorced</v>
      </c>
      <c r="AU1351" t="str">
        <f>IF(ifood_data[[#This Row],[education_Basic]]=1,"High School",(IF(ifood_data[[#This Row],[education_Graduation]]=1,"Undergraduate Degree",(IF(SUM(AM1351,AL1351,AI1351)&gt;0,"Master's Degree or Higher","Other")))))</f>
        <v>Undergraduate Degree</v>
      </c>
      <c r="AV1351" t="str">
        <f>IF(ifood_data[[#All],[Income]]&gt;75000,"75K+",(IF(ifood_data[[#All],[Income]]&gt;50000,"50K-75K",(IF(ifood_data[[#All],[Income]]&gt;35000,"35K-50K","&lt;35K")))))</f>
        <v>35K-50K</v>
      </c>
      <c r="AW1351" t="str">
        <f>IF(ifood_data[[#All],[Age]]&gt;60,"60+",(IF(ifood_data[[#All],[Age]]&gt;50,"50-60",(IF(ifood_data[[#All],[Age]]&gt;40,"40-50",(IF(ifood_data[[#All],[Age]]&gt;30,"30-40","&lt;30")))))))</f>
        <v>60+</v>
      </c>
      <c r="AX1351">
        <f t="shared" si="84"/>
        <v>28</v>
      </c>
      <c r="AY1351">
        <f t="shared" si="85"/>
        <v>1.9999999999999996</v>
      </c>
      <c r="AZ1351">
        <f t="shared" si="86"/>
        <v>8</v>
      </c>
      <c r="BA1351">
        <f t="shared" si="87"/>
        <v>6</v>
      </c>
      <c r="BB1351">
        <f>SUM(ifood_data[[#This Row],[Recency Score]:[Monetary Score]])</f>
        <v>16</v>
      </c>
      <c r="BC1351">
        <f>(_xlfn.PERCENTRANK.INC(ifood_data[[#All],[RFM]],ifood_data[[#This Row],[RFM]],1))*10</f>
        <v>5</v>
      </c>
      <c r="BD1351" t="str">
        <f>VLOOKUP(ifood_data[[#This Row],[RFM Score]],'RFM Analysis'!$A$3:$B$14,2,FALSE)</f>
        <v>Promising</v>
      </c>
      <c r="BE1351">
        <f>'Regression Models'!$B$101+'Regression Models'!$B$102*ifood_data[[#This Row],[Income]]+'Regression Models'!$B$103*ifood_data[[#This Row],[Age]]+'Regression Models'!$B$104*ifood_data[[#This Row],[Family]]</f>
        <v>276.3457685030869</v>
      </c>
      <c r="BF1351" t="str">
        <f>IF(ifood_data[[#This Row],[AcceptedCmpOverall]]=1,"Campaign Respondent","Non-respondent")</f>
        <v>Non-respondent</v>
      </c>
    </row>
    <row r="1352" spans="1:58" x14ac:dyDescent="0.35">
      <c r="A1352">
        <v>716</v>
      </c>
      <c r="B1352">
        <v>40662</v>
      </c>
      <c r="C1352">
        <v>1</v>
      </c>
      <c r="D1352">
        <v>0</v>
      </c>
      <c r="E1352">
        <v>0</v>
      </c>
      <c r="F1352">
        <v>40</v>
      </c>
      <c r="G1352">
        <v>2</v>
      </c>
      <c r="H1352">
        <v>23</v>
      </c>
      <c r="I1352">
        <v>0</v>
      </c>
      <c r="J1352">
        <v>4</v>
      </c>
      <c r="K1352">
        <v>23</v>
      </c>
      <c r="L1352">
        <v>2</v>
      </c>
      <c r="M1352">
        <v>2</v>
      </c>
      <c r="N1352">
        <v>1</v>
      </c>
      <c r="O1352">
        <v>3</v>
      </c>
      <c r="P1352">
        <v>4</v>
      </c>
      <c r="Q1352">
        <v>0</v>
      </c>
      <c r="R1352">
        <v>0</v>
      </c>
      <c r="S1352">
        <v>0</v>
      </c>
      <c r="T1352">
        <v>0</v>
      </c>
      <c r="U1352">
        <v>0</v>
      </c>
      <c r="V1352">
        <f>IF(SUM(ifood_data[[#This Row],[AcceptedCmp1]:[AcceptedCmp5]])&gt;0,1,0)</f>
        <v>0</v>
      </c>
      <c r="W1352">
        <v>0</v>
      </c>
      <c r="X1352">
        <v>3</v>
      </c>
      <c r="Y1352">
        <v>11</v>
      </c>
      <c r="Z1352">
        <v>0</v>
      </c>
      <c r="AA1352">
        <v>41</v>
      </c>
      <c r="AB1352">
        <v>2630</v>
      </c>
      <c r="AC1352" s="28">
        <f>ifood_data[[#This Row],[Customer_Days]]/365</f>
        <v>7.2054794520547949</v>
      </c>
      <c r="AD1352">
        <v>0</v>
      </c>
      <c r="AE1352">
        <v>1</v>
      </c>
      <c r="AF1352">
        <v>0</v>
      </c>
      <c r="AG1352">
        <v>0</v>
      </c>
      <c r="AH1352">
        <v>0</v>
      </c>
      <c r="AI1352">
        <v>0</v>
      </c>
      <c r="AJ1352">
        <v>0</v>
      </c>
      <c r="AK1352">
        <v>0</v>
      </c>
      <c r="AL1352">
        <v>1</v>
      </c>
      <c r="AM1352">
        <v>0</v>
      </c>
      <c r="AN1352">
        <v>69</v>
      </c>
      <c r="AO1352">
        <v>46</v>
      </c>
      <c r="AP1352">
        <f>ifood_data[[#This Row],[MntTotal]]-ifood_data[[#This Row],[MntRegularProds]]</f>
        <v>23</v>
      </c>
      <c r="AQ1352">
        <v>0</v>
      </c>
      <c r="AR1352">
        <f>IF(SUM(ifood_data[[#This Row],[Kidhome]:[Teenhome]])&gt;0,1,0)</f>
        <v>1</v>
      </c>
      <c r="AS1352" t="str">
        <f>IF(SUM(ifood_data[[#This Row],[Kidhome]:[Teenhome]])&gt;0,"Has Family","No Family")</f>
        <v>Has Family</v>
      </c>
      <c r="AT1352" t="str">
        <f>IF(ifood_data[[#This Row],[marital_Married]]=1,"Married", (IF(ifood_data[[#This Row],[marital_Single]]=1,"Single",(IF(ifood_data[[#This Row],[marital_Divorced]]=1,"Divorced",(IF(ifood_data[[#This Row],[marital_Together]]=1,"Living Together",(IF(ifood_data[[#This Row],[marital_Widow]]=1,"Widow","Other")))))))))</f>
        <v>Married</v>
      </c>
      <c r="AU1352" t="str">
        <f>IF(ifood_data[[#This Row],[education_Basic]]=1,"High School",(IF(ifood_data[[#This Row],[education_Graduation]]=1,"Undergraduate Degree",(IF(SUM(AM1352,AL1352,AI1352)&gt;0,"Master's Degree or Higher","Other")))))</f>
        <v>Master's Degree or Higher</v>
      </c>
      <c r="AV1352" t="str">
        <f>IF(ifood_data[[#All],[Income]]&gt;75000,"75K+",(IF(ifood_data[[#All],[Income]]&gt;50000,"50K-75K",(IF(ifood_data[[#All],[Income]]&gt;35000,"35K-50K","&lt;35K")))))</f>
        <v>35K-50K</v>
      </c>
      <c r="AW1352" t="str">
        <f>IF(ifood_data[[#All],[Age]]&gt;60,"60+",(IF(ifood_data[[#All],[Age]]&gt;50,"50-60",(IF(ifood_data[[#All],[Age]]&gt;40,"40-50",(IF(ifood_data[[#All],[Age]]&gt;30,"30-40","&lt;30")))))))</f>
        <v>40-50</v>
      </c>
      <c r="AX1352">
        <f t="shared" si="84"/>
        <v>12</v>
      </c>
      <c r="AY1352">
        <f t="shared" si="85"/>
        <v>10</v>
      </c>
      <c r="AZ1352">
        <f t="shared" si="86"/>
        <v>1</v>
      </c>
      <c r="BA1352">
        <f t="shared" si="87"/>
        <v>2</v>
      </c>
      <c r="BB1352">
        <f>SUM(ifood_data[[#This Row],[Recency Score]:[Monetary Score]])</f>
        <v>13</v>
      </c>
      <c r="BC1352">
        <f>(_xlfn.PERCENTRANK.INC(ifood_data[[#All],[RFM]],ifood_data[[#This Row],[RFM]],1))*10</f>
        <v>3</v>
      </c>
      <c r="BD1352" t="str">
        <f>VLOOKUP(ifood_data[[#This Row],[RFM Score]],'RFM Analysis'!$A$3:$B$14,2,FALSE)</f>
        <v>At Risk</v>
      </c>
      <c r="BE1352">
        <f>'Regression Models'!$B$101+'Regression Models'!$B$102*ifood_data[[#This Row],[Income]]+'Regression Models'!$B$103*ifood_data[[#This Row],[Age]]+'Regression Models'!$B$104*ifood_data[[#This Row],[Family]]</f>
        <v>276.32520068506972</v>
      </c>
      <c r="BF1352" t="str">
        <f>IF(ifood_data[[#This Row],[AcceptedCmpOverall]]=1,"Campaign Respondent","Non-respondent")</f>
        <v>Non-respondent</v>
      </c>
    </row>
    <row r="1353" spans="1:58" x14ac:dyDescent="0.35">
      <c r="A1353">
        <v>2007</v>
      </c>
      <c r="B1353">
        <v>40101</v>
      </c>
      <c r="C1353">
        <v>1</v>
      </c>
      <c r="D1353">
        <v>0</v>
      </c>
      <c r="E1353">
        <v>73</v>
      </c>
      <c r="F1353">
        <v>171</v>
      </c>
      <c r="G1353">
        <v>3</v>
      </c>
      <c r="H1353">
        <v>129</v>
      </c>
      <c r="I1353">
        <v>26</v>
      </c>
      <c r="J1353">
        <v>24</v>
      </c>
      <c r="K1353">
        <v>62</v>
      </c>
      <c r="L1353">
        <v>4</v>
      </c>
      <c r="M1353">
        <v>6</v>
      </c>
      <c r="N1353">
        <v>1</v>
      </c>
      <c r="O1353">
        <v>6</v>
      </c>
      <c r="P1353">
        <v>7</v>
      </c>
      <c r="Q1353">
        <v>0</v>
      </c>
      <c r="R1353">
        <v>0</v>
      </c>
      <c r="S1353">
        <v>0</v>
      </c>
      <c r="T1353">
        <v>0</v>
      </c>
      <c r="U1353">
        <v>0</v>
      </c>
      <c r="V1353">
        <f>IF(SUM(ifood_data[[#This Row],[AcceptedCmp1]:[AcceptedCmp5]])&gt;0,1,0)</f>
        <v>0</v>
      </c>
      <c r="W1353">
        <v>0</v>
      </c>
      <c r="X1353">
        <v>3</v>
      </c>
      <c r="Y1353">
        <v>11</v>
      </c>
      <c r="Z1353">
        <v>0</v>
      </c>
      <c r="AA1353">
        <v>35</v>
      </c>
      <c r="AB1353">
        <v>2782</v>
      </c>
      <c r="AC1353" s="28">
        <f>ifood_data[[#This Row],[Customer_Days]]/365</f>
        <v>7.6219178082191785</v>
      </c>
      <c r="AD1353">
        <v>0</v>
      </c>
      <c r="AE1353">
        <v>0</v>
      </c>
      <c r="AF1353">
        <v>0</v>
      </c>
      <c r="AG1353">
        <v>1</v>
      </c>
      <c r="AH1353">
        <v>0</v>
      </c>
      <c r="AI1353">
        <v>0</v>
      </c>
      <c r="AJ1353">
        <v>0</v>
      </c>
      <c r="AK1353">
        <v>0</v>
      </c>
      <c r="AL1353">
        <v>1</v>
      </c>
      <c r="AM1353">
        <v>0</v>
      </c>
      <c r="AN1353">
        <v>353</v>
      </c>
      <c r="AO1353">
        <v>291</v>
      </c>
      <c r="AP1353">
        <f>ifood_data[[#This Row],[MntTotal]]-ifood_data[[#This Row],[MntRegularProds]]</f>
        <v>62</v>
      </c>
      <c r="AQ1353">
        <v>0</v>
      </c>
      <c r="AR1353">
        <f>IF(SUM(ifood_data[[#This Row],[Kidhome]:[Teenhome]])&gt;0,1,0)</f>
        <v>1</v>
      </c>
      <c r="AS1353" t="str">
        <f>IF(SUM(ifood_data[[#This Row],[Kidhome]:[Teenhome]])&gt;0,"Has Family","No Family")</f>
        <v>Has Family</v>
      </c>
      <c r="AT1353" t="str">
        <f>IF(ifood_data[[#This Row],[marital_Married]]=1,"Married", (IF(ifood_data[[#This Row],[marital_Single]]=1,"Single",(IF(ifood_data[[#This Row],[marital_Divorced]]=1,"Divorced",(IF(ifood_data[[#This Row],[marital_Together]]=1,"Living Together",(IF(ifood_data[[#This Row],[marital_Widow]]=1,"Widow","Other")))))))))</f>
        <v>Living Together</v>
      </c>
      <c r="AU1353" t="str">
        <f>IF(ifood_data[[#This Row],[education_Basic]]=1,"High School",(IF(ifood_data[[#This Row],[education_Graduation]]=1,"Undergraduate Degree",(IF(SUM(AM1353,AL1353,AI1353)&gt;0,"Master's Degree or Higher","Other")))))</f>
        <v>Master's Degree or Higher</v>
      </c>
      <c r="AV1353" t="str">
        <f>IF(ifood_data[[#All],[Income]]&gt;75000,"75K+",(IF(ifood_data[[#All],[Income]]&gt;50000,"50K-75K",(IF(ifood_data[[#All],[Income]]&gt;35000,"35K-50K","&lt;35K")))))</f>
        <v>35K-50K</v>
      </c>
      <c r="AW1353" t="str">
        <f>IF(ifood_data[[#All],[Age]]&gt;60,"60+",(IF(ifood_data[[#All],[Age]]&gt;50,"50-60",(IF(ifood_data[[#All],[Age]]&gt;40,"40-50",(IF(ifood_data[[#All],[Age]]&gt;30,"30-40","&lt;30")))))))</f>
        <v>30-40</v>
      </c>
      <c r="AX1353">
        <f t="shared" si="84"/>
        <v>24</v>
      </c>
      <c r="AY1353">
        <f t="shared" si="85"/>
        <v>3.0000000000000004</v>
      </c>
      <c r="AZ1353">
        <f t="shared" si="86"/>
        <v>6</v>
      </c>
      <c r="BA1353">
        <f t="shared" si="87"/>
        <v>5</v>
      </c>
      <c r="BB1353">
        <f>SUM(ifood_data[[#This Row],[Recency Score]:[Monetary Score]])</f>
        <v>14</v>
      </c>
      <c r="BC1353">
        <f>(_xlfn.PERCENTRANK.INC(ifood_data[[#All],[RFM]],ifood_data[[#This Row],[RFM]],1))*10</f>
        <v>4</v>
      </c>
      <c r="BD1353" t="str">
        <f>VLOOKUP(ifood_data[[#This Row],[RFM Score]],'RFM Analysis'!$A$3:$B$14,2,FALSE)</f>
        <v>At Risk</v>
      </c>
      <c r="BE1353">
        <f>'Regression Models'!$B$101+'Regression Models'!$B$102*ifood_data[[#This Row],[Income]]+'Regression Models'!$B$103*ifood_data[[#This Row],[Age]]+'Regression Models'!$B$104*ifood_data[[#This Row],[Family]]</f>
        <v>275.90573622970805</v>
      </c>
      <c r="BF1353" t="str">
        <f>IF(ifood_data[[#This Row],[AcceptedCmpOverall]]=1,"Campaign Respondent","Non-respondent")</f>
        <v>Non-respondent</v>
      </c>
    </row>
    <row r="1354" spans="1:58" x14ac:dyDescent="0.35">
      <c r="A1354">
        <v>286</v>
      </c>
      <c r="B1354">
        <v>39747</v>
      </c>
      <c r="C1354">
        <v>1</v>
      </c>
      <c r="D1354">
        <v>0</v>
      </c>
      <c r="E1354">
        <v>43</v>
      </c>
      <c r="F1354">
        <v>80</v>
      </c>
      <c r="G1354">
        <v>15</v>
      </c>
      <c r="H1354">
        <v>93</v>
      </c>
      <c r="I1354">
        <v>20</v>
      </c>
      <c r="J1354">
        <v>13</v>
      </c>
      <c r="K1354">
        <v>52</v>
      </c>
      <c r="L1354">
        <v>3</v>
      </c>
      <c r="M1354">
        <v>5</v>
      </c>
      <c r="N1354">
        <v>1</v>
      </c>
      <c r="O1354">
        <v>4</v>
      </c>
      <c r="P1354">
        <v>8</v>
      </c>
      <c r="Q1354">
        <v>0</v>
      </c>
      <c r="R1354">
        <v>0</v>
      </c>
      <c r="S1354">
        <v>0</v>
      </c>
      <c r="T1354">
        <v>0</v>
      </c>
      <c r="U1354">
        <v>0</v>
      </c>
      <c r="V1354">
        <f>IF(SUM(ifood_data[[#This Row],[AcceptedCmp1]:[AcceptedCmp5]])&gt;0,1,0)</f>
        <v>0</v>
      </c>
      <c r="W1354">
        <v>0</v>
      </c>
      <c r="X1354">
        <v>3</v>
      </c>
      <c r="Y1354">
        <v>11</v>
      </c>
      <c r="Z1354">
        <v>0</v>
      </c>
      <c r="AA1354">
        <v>32</v>
      </c>
      <c r="AB1354">
        <v>2236</v>
      </c>
      <c r="AC1354" s="28">
        <f>ifood_data[[#This Row],[Customer_Days]]/365</f>
        <v>6.1260273972602741</v>
      </c>
      <c r="AD1354">
        <v>0</v>
      </c>
      <c r="AE1354">
        <v>0</v>
      </c>
      <c r="AF1354">
        <v>1</v>
      </c>
      <c r="AG1354">
        <v>0</v>
      </c>
      <c r="AH1354">
        <v>0</v>
      </c>
      <c r="AI1354">
        <v>0</v>
      </c>
      <c r="AJ1354">
        <v>0</v>
      </c>
      <c r="AK1354">
        <v>1</v>
      </c>
      <c r="AL1354">
        <v>0</v>
      </c>
      <c r="AM1354">
        <v>0</v>
      </c>
      <c r="AN1354">
        <v>221</v>
      </c>
      <c r="AO1354">
        <v>169</v>
      </c>
      <c r="AP1354">
        <f>ifood_data[[#This Row],[MntTotal]]-ifood_data[[#This Row],[MntRegularProds]]</f>
        <v>52</v>
      </c>
      <c r="AQ1354">
        <v>0</v>
      </c>
      <c r="AR1354">
        <f>IF(SUM(ifood_data[[#This Row],[Kidhome]:[Teenhome]])&gt;0,1,0)</f>
        <v>1</v>
      </c>
      <c r="AS1354" t="str">
        <f>IF(SUM(ifood_data[[#This Row],[Kidhome]:[Teenhome]])&gt;0,"Has Family","No Family")</f>
        <v>Has Family</v>
      </c>
      <c r="AT1354" t="str">
        <f>IF(ifood_data[[#This Row],[marital_Married]]=1,"Married", (IF(ifood_data[[#This Row],[marital_Single]]=1,"Single",(IF(ifood_data[[#This Row],[marital_Divorced]]=1,"Divorced",(IF(ifood_data[[#This Row],[marital_Together]]=1,"Living Together",(IF(ifood_data[[#This Row],[marital_Widow]]=1,"Widow","Other")))))))))</f>
        <v>Single</v>
      </c>
      <c r="AU1354" t="str">
        <f>IF(ifood_data[[#This Row],[education_Basic]]=1,"High School",(IF(ifood_data[[#This Row],[education_Graduation]]=1,"Undergraduate Degree",(IF(SUM(AM1354,AL1354,AI1354)&gt;0,"Master's Degree or Higher","Other")))))</f>
        <v>Undergraduate Degree</v>
      </c>
      <c r="AV1354" t="str">
        <f>IF(ifood_data[[#All],[Income]]&gt;75000,"75K+",(IF(ifood_data[[#All],[Income]]&gt;50000,"50K-75K",(IF(ifood_data[[#All],[Income]]&gt;35000,"35K-50K","&lt;35K")))))</f>
        <v>35K-50K</v>
      </c>
      <c r="AW1354" t="str">
        <f>IF(ifood_data[[#All],[Age]]&gt;60,"60+",(IF(ifood_data[[#All],[Age]]&gt;50,"50-60",(IF(ifood_data[[#All],[Age]]&gt;40,"40-50",(IF(ifood_data[[#All],[Age]]&gt;30,"30-40","&lt;30")))))))</f>
        <v>30-40</v>
      </c>
      <c r="AX1354">
        <f t="shared" si="84"/>
        <v>21</v>
      </c>
      <c r="AY1354">
        <f t="shared" si="85"/>
        <v>6</v>
      </c>
      <c r="AZ1354">
        <f t="shared" si="86"/>
        <v>5</v>
      </c>
      <c r="BA1354">
        <f t="shared" si="87"/>
        <v>4</v>
      </c>
      <c r="BB1354">
        <f>SUM(ifood_data[[#This Row],[Recency Score]:[Monetary Score]])</f>
        <v>15</v>
      </c>
      <c r="BC1354">
        <f>(_xlfn.PERCENTRANK.INC(ifood_data[[#All],[RFM]],ifood_data[[#This Row],[RFM]],1))*10</f>
        <v>4</v>
      </c>
      <c r="BD1354" t="str">
        <f>VLOOKUP(ifood_data[[#This Row],[RFM Score]],'RFM Analysis'!$A$3:$B$14,2,FALSE)</f>
        <v>At Risk</v>
      </c>
      <c r="BE1354">
        <f>'Regression Models'!$B$101+'Regression Models'!$B$102*ifood_data[[#This Row],[Income]]+'Regression Models'!$B$103*ifood_data[[#This Row],[Age]]+'Regression Models'!$B$104*ifood_data[[#This Row],[Family]]</f>
        <v>274.19742954345065</v>
      </c>
      <c r="BF1354" t="str">
        <f>IF(ifood_data[[#This Row],[AcceptedCmpOverall]]=1,"Campaign Respondent","Non-respondent")</f>
        <v>Non-respondent</v>
      </c>
    </row>
    <row r="1355" spans="1:58" x14ac:dyDescent="0.35">
      <c r="A1355">
        <v>747</v>
      </c>
      <c r="B1355">
        <v>40780</v>
      </c>
      <c r="C1355">
        <v>0</v>
      </c>
      <c r="D1355">
        <v>1</v>
      </c>
      <c r="E1355">
        <v>30</v>
      </c>
      <c r="F1355">
        <v>229</v>
      </c>
      <c r="G1355">
        <v>27</v>
      </c>
      <c r="H1355">
        <v>71</v>
      </c>
      <c r="I1355">
        <v>13</v>
      </c>
      <c r="J1355">
        <v>3</v>
      </c>
      <c r="K1355">
        <v>34</v>
      </c>
      <c r="L1355">
        <v>4</v>
      </c>
      <c r="M1355">
        <v>7</v>
      </c>
      <c r="N1355">
        <v>1</v>
      </c>
      <c r="O1355">
        <v>5</v>
      </c>
      <c r="P1355">
        <v>9</v>
      </c>
      <c r="Q1355">
        <v>0</v>
      </c>
      <c r="R1355">
        <v>0</v>
      </c>
      <c r="S1355">
        <v>0</v>
      </c>
      <c r="T1355">
        <v>0</v>
      </c>
      <c r="U1355">
        <v>0</v>
      </c>
      <c r="V1355">
        <f>IF(SUM(ifood_data[[#This Row],[AcceptedCmp1]:[AcceptedCmp5]])&gt;0,1,0)</f>
        <v>0</v>
      </c>
      <c r="W1355">
        <v>0</v>
      </c>
      <c r="X1355">
        <v>3</v>
      </c>
      <c r="Y1355">
        <v>11</v>
      </c>
      <c r="Z1355">
        <v>0</v>
      </c>
      <c r="AA1355">
        <v>44</v>
      </c>
      <c r="AB1355">
        <v>2818</v>
      </c>
      <c r="AC1355" s="28">
        <f>ifood_data[[#This Row],[Customer_Days]]/365</f>
        <v>7.720547945205479</v>
      </c>
      <c r="AD1355">
        <v>1</v>
      </c>
      <c r="AE1355">
        <v>0</v>
      </c>
      <c r="AF1355">
        <v>0</v>
      </c>
      <c r="AG1355">
        <v>0</v>
      </c>
      <c r="AH1355">
        <v>0</v>
      </c>
      <c r="AI1355">
        <v>0</v>
      </c>
      <c r="AJ1355">
        <v>0</v>
      </c>
      <c r="AK1355">
        <v>1</v>
      </c>
      <c r="AL1355">
        <v>0</v>
      </c>
      <c r="AM1355">
        <v>0</v>
      </c>
      <c r="AN1355">
        <v>343</v>
      </c>
      <c r="AO1355">
        <v>309</v>
      </c>
      <c r="AP1355">
        <f>ifood_data[[#This Row],[MntTotal]]-ifood_data[[#This Row],[MntRegularProds]]</f>
        <v>34</v>
      </c>
      <c r="AQ1355">
        <v>0</v>
      </c>
      <c r="AR1355">
        <f>IF(SUM(ifood_data[[#This Row],[Kidhome]:[Teenhome]])&gt;0,1,0)</f>
        <v>1</v>
      </c>
      <c r="AS1355" t="str">
        <f>IF(SUM(ifood_data[[#This Row],[Kidhome]:[Teenhome]])&gt;0,"Has Family","No Family")</f>
        <v>Has Family</v>
      </c>
      <c r="AT1355" t="str">
        <f>IF(ifood_data[[#This Row],[marital_Married]]=1,"Married", (IF(ifood_data[[#This Row],[marital_Single]]=1,"Single",(IF(ifood_data[[#This Row],[marital_Divorced]]=1,"Divorced",(IF(ifood_data[[#This Row],[marital_Together]]=1,"Living Together",(IF(ifood_data[[#This Row],[marital_Widow]]=1,"Widow","Other")))))))))</f>
        <v>Divorced</v>
      </c>
      <c r="AU1355" t="str">
        <f>IF(ifood_data[[#This Row],[education_Basic]]=1,"High School",(IF(ifood_data[[#This Row],[education_Graduation]]=1,"Undergraduate Degree",(IF(SUM(AM1355,AL1355,AI1355)&gt;0,"Master's Degree or Higher","Other")))))</f>
        <v>Undergraduate Degree</v>
      </c>
      <c r="AV1355" t="str">
        <f>IF(ifood_data[[#All],[Income]]&gt;75000,"75K+",(IF(ifood_data[[#All],[Income]]&gt;50000,"50K-75K",(IF(ifood_data[[#All],[Income]]&gt;35000,"35K-50K","&lt;35K")))))</f>
        <v>35K-50K</v>
      </c>
      <c r="AW1355" t="str">
        <f>IF(ifood_data[[#All],[Age]]&gt;60,"60+",(IF(ifood_data[[#All],[Age]]&gt;50,"50-60",(IF(ifood_data[[#All],[Age]]&gt;40,"40-50",(IF(ifood_data[[#All],[Age]]&gt;30,"30-40","&lt;30")))))))</f>
        <v>40-50</v>
      </c>
      <c r="AX1355">
        <f t="shared" si="84"/>
        <v>26</v>
      </c>
      <c r="AY1355">
        <f t="shared" si="85"/>
        <v>7</v>
      </c>
      <c r="AZ1355">
        <f t="shared" si="86"/>
        <v>7</v>
      </c>
      <c r="BA1355">
        <f t="shared" si="87"/>
        <v>4</v>
      </c>
      <c r="BB1355">
        <f>SUM(ifood_data[[#This Row],[Recency Score]:[Monetary Score]])</f>
        <v>18</v>
      </c>
      <c r="BC1355">
        <f>(_xlfn.PERCENTRANK.INC(ifood_data[[#All],[RFM]],ifood_data[[#This Row],[RFM]],1))*10</f>
        <v>6</v>
      </c>
      <c r="BD1355" t="str">
        <f>VLOOKUP(ifood_data[[#This Row],[RFM Score]],'RFM Analysis'!$A$3:$B$14,2,FALSE)</f>
        <v>Promising</v>
      </c>
      <c r="BE1355">
        <f>'Regression Models'!$B$101+'Regression Models'!$B$102*ifood_data[[#This Row],[Income]]+'Regression Models'!$B$103*ifood_data[[#This Row],[Age]]+'Regression Models'!$B$104*ifood_data[[#This Row],[Family]]</f>
        <v>273.22175808936697</v>
      </c>
      <c r="BF1355" t="str">
        <f>IF(ifood_data[[#This Row],[AcceptedCmpOverall]]=1,"Campaign Respondent","Non-respondent")</f>
        <v>Non-respondent</v>
      </c>
    </row>
    <row r="1356" spans="1:58" x14ac:dyDescent="0.35">
      <c r="A1356">
        <v>1855</v>
      </c>
      <c r="B1356">
        <v>40059</v>
      </c>
      <c r="C1356">
        <v>1</v>
      </c>
      <c r="D1356">
        <v>0</v>
      </c>
      <c r="E1356">
        <v>82</v>
      </c>
      <c r="F1356">
        <v>110</v>
      </c>
      <c r="G1356">
        <v>29</v>
      </c>
      <c r="H1356">
        <v>92</v>
      </c>
      <c r="I1356">
        <v>28</v>
      </c>
      <c r="J1356">
        <v>10</v>
      </c>
      <c r="K1356">
        <v>145</v>
      </c>
      <c r="L1356">
        <v>1</v>
      </c>
      <c r="M1356">
        <v>6</v>
      </c>
      <c r="N1356">
        <v>2</v>
      </c>
      <c r="O1356">
        <v>3</v>
      </c>
      <c r="P1356">
        <v>8</v>
      </c>
      <c r="Q1356">
        <v>0</v>
      </c>
      <c r="R1356">
        <v>0</v>
      </c>
      <c r="S1356">
        <v>1</v>
      </c>
      <c r="T1356">
        <v>0</v>
      </c>
      <c r="U1356">
        <v>0</v>
      </c>
      <c r="V1356">
        <f>IF(SUM(ifood_data[[#This Row],[AcceptedCmp1]:[AcceptedCmp5]])&gt;0,1,0)</f>
        <v>1</v>
      </c>
      <c r="W1356">
        <v>0</v>
      </c>
      <c r="X1356">
        <v>3</v>
      </c>
      <c r="Y1356">
        <v>11</v>
      </c>
      <c r="Z1356">
        <v>0</v>
      </c>
      <c r="AA1356">
        <v>36</v>
      </c>
      <c r="AB1356">
        <v>2433</v>
      </c>
      <c r="AC1356" s="28">
        <f>ifood_data[[#This Row],[Customer_Days]]/365</f>
        <v>6.6657534246575345</v>
      </c>
      <c r="AD1356">
        <v>0</v>
      </c>
      <c r="AE1356">
        <v>1</v>
      </c>
      <c r="AF1356">
        <v>0</v>
      </c>
      <c r="AG1356">
        <v>0</v>
      </c>
      <c r="AH1356">
        <v>0</v>
      </c>
      <c r="AI1356">
        <v>0</v>
      </c>
      <c r="AJ1356">
        <v>0</v>
      </c>
      <c r="AK1356">
        <v>1</v>
      </c>
      <c r="AL1356">
        <v>0</v>
      </c>
      <c r="AM1356">
        <v>0</v>
      </c>
      <c r="AN1356">
        <v>269</v>
      </c>
      <c r="AO1356">
        <v>124</v>
      </c>
      <c r="AP1356">
        <f>ifood_data[[#This Row],[MntTotal]]-ifood_data[[#This Row],[MntRegularProds]]</f>
        <v>145</v>
      </c>
      <c r="AQ1356">
        <v>1</v>
      </c>
      <c r="AR1356">
        <f>IF(SUM(ifood_data[[#This Row],[Kidhome]:[Teenhome]])&gt;0,1,0)</f>
        <v>1</v>
      </c>
      <c r="AS1356" t="str">
        <f>IF(SUM(ifood_data[[#This Row],[Kidhome]:[Teenhome]])&gt;0,"Has Family","No Family")</f>
        <v>Has Family</v>
      </c>
      <c r="AT1356" t="str">
        <f>IF(ifood_data[[#This Row],[marital_Married]]=1,"Married", (IF(ifood_data[[#This Row],[marital_Single]]=1,"Single",(IF(ifood_data[[#This Row],[marital_Divorced]]=1,"Divorced",(IF(ifood_data[[#This Row],[marital_Together]]=1,"Living Together",(IF(ifood_data[[#This Row],[marital_Widow]]=1,"Widow","Other")))))))))</f>
        <v>Married</v>
      </c>
      <c r="AU1356" t="str">
        <f>IF(ifood_data[[#This Row],[education_Basic]]=1,"High School",(IF(ifood_data[[#This Row],[education_Graduation]]=1,"Undergraduate Degree",(IF(SUM(AM1356,AL1356,AI1356)&gt;0,"Master's Degree or Higher","Other")))))</f>
        <v>Undergraduate Degree</v>
      </c>
      <c r="AV1356" t="str">
        <f>IF(ifood_data[[#All],[Income]]&gt;75000,"75K+",(IF(ifood_data[[#All],[Income]]&gt;50000,"50K-75K",(IF(ifood_data[[#All],[Income]]&gt;35000,"35K-50K","&lt;35K")))))</f>
        <v>35K-50K</v>
      </c>
      <c r="AW1356" t="str">
        <f>IF(ifood_data[[#All],[Age]]&gt;60,"60+",(IF(ifood_data[[#All],[Age]]&gt;50,"50-60",(IF(ifood_data[[#All],[Age]]&gt;40,"40-50",(IF(ifood_data[[#All],[Age]]&gt;30,"30-40","&lt;30")))))))</f>
        <v>30-40</v>
      </c>
      <c r="AX1356">
        <f t="shared" si="84"/>
        <v>20</v>
      </c>
      <c r="AY1356">
        <f t="shared" si="85"/>
        <v>1.9999999999999996</v>
      </c>
      <c r="AZ1356">
        <f t="shared" si="86"/>
        <v>4</v>
      </c>
      <c r="BA1356">
        <f t="shared" si="87"/>
        <v>4</v>
      </c>
      <c r="BB1356">
        <f>SUM(ifood_data[[#This Row],[Recency Score]:[Monetary Score]])</f>
        <v>10</v>
      </c>
      <c r="BC1356">
        <f>(_xlfn.PERCENTRANK.INC(ifood_data[[#All],[RFM]],ifood_data[[#This Row],[RFM]],1))*10</f>
        <v>2</v>
      </c>
      <c r="BD1356" t="str">
        <f>VLOOKUP(ifood_data[[#This Row],[RFM Score]],'RFM Analysis'!$A$3:$B$14,2,FALSE)</f>
        <v>At Risk</v>
      </c>
      <c r="BE1356">
        <f>'Regression Models'!$B$101+'Regression Models'!$B$102*ifood_data[[#This Row],[Income]]+'Regression Models'!$B$103*ifood_data[[#This Row],[Age]]+'Regression Models'!$B$104*ifood_data[[#This Row],[Family]]</f>
        <v>273.21296888877009</v>
      </c>
      <c r="BF1356" t="str">
        <f>IF(ifood_data[[#This Row],[AcceptedCmpOverall]]=1,"Campaign Respondent","Non-respondent")</f>
        <v>Campaign Respondent</v>
      </c>
    </row>
    <row r="1357" spans="1:58" x14ac:dyDescent="0.35">
      <c r="A1357">
        <v>840</v>
      </c>
      <c r="B1357">
        <v>42243</v>
      </c>
      <c r="C1357">
        <v>1</v>
      </c>
      <c r="D1357">
        <v>1</v>
      </c>
      <c r="E1357">
        <v>34</v>
      </c>
      <c r="F1357">
        <v>48</v>
      </c>
      <c r="G1357">
        <v>0</v>
      </c>
      <c r="H1357">
        <v>2</v>
      </c>
      <c r="I1357">
        <v>0</v>
      </c>
      <c r="J1357">
        <v>0</v>
      </c>
      <c r="K1357">
        <v>5</v>
      </c>
      <c r="L1357">
        <v>2</v>
      </c>
      <c r="M1357">
        <v>2</v>
      </c>
      <c r="N1357">
        <v>0</v>
      </c>
      <c r="O1357">
        <v>3</v>
      </c>
      <c r="P1357">
        <v>7</v>
      </c>
      <c r="Q1357">
        <v>0</v>
      </c>
      <c r="R1357">
        <v>0</v>
      </c>
      <c r="S1357">
        <v>0</v>
      </c>
      <c r="T1357">
        <v>0</v>
      </c>
      <c r="U1357">
        <v>0</v>
      </c>
      <c r="V1357">
        <f>IF(SUM(ifood_data[[#This Row],[AcceptedCmp1]:[AcceptedCmp5]])&gt;0,1,0)</f>
        <v>0</v>
      </c>
      <c r="W1357">
        <v>0</v>
      </c>
      <c r="X1357">
        <v>3</v>
      </c>
      <c r="Y1357">
        <v>11</v>
      </c>
      <c r="Z1357">
        <v>0</v>
      </c>
      <c r="AA1357">
        <v>61</v>
      </c>
      <c r="AB1357">
        <v>2359</v>
      </c>
      <c r="AC1357" s="28">
        <f>ifood_data[[#This Row],[Customer_Days]]/365</f>
        <v>6.463013698630137</v>
      </c>
      <c r="AD1357">
        <v>0</v>
      </c>
      <c r="AE1357">
        <v>1</v>
      </c>
      <c r="AF1357">
        <v>0</v>
      </c>
      <c r="AG1357">
        <v>0</v>
      </c>
      <c r="AH1357">
        <v>0</v>
      </c>
      <c r="AI1357">
        <v>0</v>
      </c>
      <c r="AJ1357">
        <v>0</v>
      </c>
      <c r="AK1357">
        <v>1</v>
      </c>
      <c r="AL1357">
        <v>0</v>
      </c>
      <c r="AM1357">
        <v>0</v>
      </c>
      <c r="AN1357">
        <v>50</v>
      </c>
      <c r="AO1357">
        <v>45</v>
      </c>
      <c r="AP1357">
        <f>ifood_data[[#This Row],[MntTotal]]-ifood_data[[#This Row],[MntRegularProds]]</f>
        <v>5</v>
      </c>
      <c r="AQ1357">
        <v>0</v>
      </c>
      <c r="AR1357">
        <f>IF(SUM(ifood_data[[#This Row],[Kidhome]:[Teenhome]])&gt;0,1,0)</f>
        <v>1</v>
      </c>
      <c r="AS1357" t="str">
        <f>IF(SUM(ifood_data[[#This Row],[Kidhome]:[Teenhome]])&gt;0,"Has Family","No Family")</f>
        <v>Has Family</v>
      </c>
      <c r="AT1357" t="str">
        <f>IF(ifood_data[[#This Row],[marital_Married]]=1,"Married", (IF(ifood_data[[#This Row],[marital_Single]]=1,"Single",(IF(ifood_data[[#This Row],[marital_Divorced]]=1,"Divorced",(IF(ifood_data[[#This Row],[marital_Together]]=1,"Living Together",(IF(ifood_data[[#This Row],[marital_Widow]]=1,"Widow","Other")))))))))</f>
        <v>Married</v>
      </c>
      <c r="AU1357" t="str">
        <f>IF(ifood_data[[#This Row],[education_Basic]]=1,"High School",(IF(ifood_data[[#This Row],[education_Graduation]]=1,"Undergraduate Degree",(IF(SUM(AM1357,AL1357,AI1357)&gt;0,"Master's Degree or Higher","Other")))))</f>
        <v>Undergraduate Degree</v>
      </c>
      <c r="AV1357" t="str">
        <f>IF(ifood_data[[#All],[Income]]&gt;75000,"75K+",(IF(ifood_data[[#All],[Income]]&gt;50000,"50K-75K",(IF(ifood_data[[#All],[Income]]&gt;35000,"35K-50K","&lt;35K")))))</f>
        <v>35K-50K</v>
      </c>
      <c r="AW1357" t="str">
        <f>IF(ifood_data[[#All],[Age]]&gt;60,"60+",(IF(ifood_data[[#All],[Age]]&gt;50,"50-60",(IF(ifood_data[[#All],[Age]]&gt;40,"40-50",(IF(ifood_data[[#All],[Age]]&gt;30,"30-40","&lt;30")))))))</f>
        <v>60+</v>
      </c>
      <c r="AX1357">
        <f t="shared" si="84"/>
        <v>14</v>
      </c>
      <c r="AY1357">
        <f t="shared" si="85"/>
        <v>7</v>
      </c>
      <c r="AZ1357">
        <f t="shared" si="86"/>
        <v>2</v>
      </c>
      <c r="BA1357">
        <f t="shared" si="87"/>
        <v>2</v>
      </c>
      <c r="BB1357">
        <f>SUM(ifood_data[[#This Row],[Recency Score]:[Monetary Score]])</f>
        <v>11</v>
      </c>
      <c r="BC1357">
        <f>(_xlfn.PERCENTRANK.INC(ifood_data[[#All],[RFM]],ifood_data[[#This Row],[RFM]],1))*10</f>
        <v>2</v>
      </c>
      <c r="BD1357" t="str">
        <f>VLOOKUP(ifood_data[[#This Row],[RFM Score]],'RFM Analysis'!$A$3:$B$14,2,FALSE)</f>
        <v>At Risk</v>
      </c>
      <c r="BE1357">
        <f>'Regression Models'!$B$101+'Regression Models'!$B$102*ifood_data[[#This Row],[Income]]+'Regression Models'!$B$103*ifood_data[[#This Row],[Age]]+'Regression Models'!$B$104*ifood_data[[#This Row],[Family]]</f>
        <v>271.83106154268842</v>
      </c>
      <c r="BF1357" t="str">
        <f>IF(ifood_data[[#This Row],[AcceptedCmpOverall]]=1,"Campaign Respondent","Non-respondent")</f>
        <v>Non-respondent</v>
      </c>
    </row>
    <row r="1358" spans="1:58" x14ac:dyDescent="0.35">
      <c r="A1358">
        <v>1800</v>
      </c>
      <c r="B1358">
        <v>40794</v>
      </c>
      <c r="C1358">
        <v>0</v>
      </c>
      <c r="D1358">
        <v>1</v>
      </c>
      <c r="E1358">
        <v>18</v>
      </c>
      <c r="F1358">
        <v>261</v>
      </c>
      <c r="G1358">
        <v>23</v>
      </c>
      <c r="H1358">
        <v>73</v>
      </c>
      <c r="I1358">
        <v>4</v>
      </c>
      <c r="J1358">
        <v>23</v>
      </c>
      <c r="K1358">
        <v>50</v>
      </c>
      <c r="L1358">
        <v>2</v>
      </c>
      <c r="M1358">
        <v>6</v>
      </c>
      <c r="N1358">
        <v>3</v>
      </c>
      <c r="O1358">
        <v>5</v>
      </c>
      <c r="P1358">
        <v>7</v>
      </c>
      <c r="Q1358">
        <v>0</v>
      </c>
      <c r="R1358">
        <v>0</v>
      </c>
      <c r="S1358">
        <v>0</v>
      </c>
      <c r="T1358">
        <v>0</v>
      </c>
      <c r="U1358">
        <v>0</v>
      </c>
      <c r="V1358">
        <f>IF(SUM(ifood_data[[#This Row],[AcceptedCmp1]:[AcceptedCmp5]])&gt;0,1,0)</f>
        <v>0</v>
      </c>
      <c r="W1358">
        <v>0</v>
      </c>
      <c r="X1358">
        <v>3</v>
      </c>
      <c r="Y1358">
        <v>11</v>
      </c>
      <c r="Z1358">
        <v>0</v>
      </c>
      <c r="AA1358">
        <v>45</v>
      </c>
      <c r="AB1358">
        <v>2607</v>
      </c>
      <c r="AC1358" s="28">
        <f>ifood_data[[#This Row],[Customer_Days]]/365</f>
        <v>7.1424657534246574</v>
      </c>
      <c r="AD1358">
        <v>0</v>
      </c>
      <c r="AE1358">
        <v>1</v>
      </c>
      <c r="AF1358">
        <v>0</v>
      </c>
      <c r="AG1358">
        <v>0</v>
      </c>
      <c r="AH1358">
        <v>0</v>
      </c>
      <c r="AI1358">
        <v>0</v>
      </c>
      <c r="AJ1358">
        <v>0</v>
      </c>
      <c r="AK1358">
        <v>1</v>
      </c>
      <c r="AL1358">
        <v>0</v>
      </c>
      <c r="AM1358">
        <v>0</v>
      </c>
      <c r="AN1358">
        <v>384</v>
      </c>
      <c r="AO1358">
        <v>334</v>
      </c>
      <c r="AP1358">
        <f>ifood_data[[#This Row],[MntTotal]]-ifood_data[[#This Row],[MntRegularProds]]</f>
        <v>50</v>
      </c>
      <c r="AQ1358">
        <v>0</v>
      </c>
      <c r="AR1358">
        <f>IF(SUM(ifood_data[[#This Row],[Kidhome]:[Teenhome]])&gt;0,1,0)</f>
        <v>1</v>
      </c>
      <c r="AS1358" t="str">
        <f>IF(SUM(ifood_data[[#This Row],[Kidhome]:[Teenhome]])&gt;0,"Has Family","No Family")</f>
        <v>Has Family</v>
      </c>
      <c r="AT1358" t="str">
        <f>IF(ifood_data[[#This Row],[marital_Married]]=1,"Married", (IF(ifood_data[[#This Row],[marital_Single]]=1,"Single",(IF(ifood_data[[#This Row],[marital_Divorced]]=1,"Divorced",(IF(ifood_data[[#This Row],[marital_Together]]=1,"Living Together",(IF(ifood_data[[#This Row],[marital_Widow]]=1,"Widow","Other")))))))))</f>
        <v>Married</v>
      </c>
      <c r="AU1358" t="str">
        <f>IF(ifood_data[[#This Row],[education_Basic]]=1,"High School",(IF(ifood_data[[#This Row],[education_Graduation]]=1,"Undergraduate Degree",(IF(SUM(AM1358,AL1358,AI1358)&gt;0,"Master's Degree or Higher","Other")))))</f>
        <v>Undergraduate Degree</v>
      </c>
      <c r="AV1358" t="str">
        <f>IF(ifood_data[[#All],[Income]]&gt;75000,"75K+",(IF(ifood_data[[#All],[Income]]&gt;50000,"50K-75K",(IF(ifood_data[[#All],[Income]]&gt;35000,"35K-50K","&lt;35K")))))</f>
        <v>35K-50K</v>
      </c>
      <c r="AW1358" t="str">
        <f>IF(ifood_data[[#All],[Age]]&gt;60,"60+",(IF(ifood_data[[#All],[Age]]&gt;50,"50-60",(IF(ifood_data[[#All],[Age]]&gt;40,"40-50",(IF(ifood_data[[#All],[Age]]&gt;30,"30-40","&lt;30")))))))</f>
        <v>40-50</v>
      </c>
      <c r="AX1358">
        <f t="shared" si="84"/>
        <v>23</v>
      </c>
      <c r="AY1358">
        <f t="shared" si="85"/>
        <v>9</v>
      </c>
      <c r="AZ1358">
        <f t="shared" si="86"/>
        <v>6</v>
      </c>
      <c r="BA1358">
        <f t="shared" si="87"/>
        <v>5</v>
      </c>
      <c r="BB1358">
        <f>SUM(ifood_data[[#This Row],[Recency Score]:[Monetary Score]])</f>
        <v>20</v>
      </c>
      <c r="BC1358">
        <f>(_xlfn.PERCENTRANK.INC(ifood_data[[#All],[RFM]],ifood_data[[#This Row],[RFM]],1))*10</f>
        <v>7</v>
      </c>
      <c r="BD1358" t="str">
        <f>VLOOKUP(ifood_data[[#This Row],[RFM Score]],'RFM Analysis'!$A$3:$B$14,2,FALSE)</f>
        <v>Loyal Customer</v>
      </c>
      <c r="BE1358">
        <f>'Regression Models'!$B$101+'Regression Models'!$B$102*ifood_data[[#This Row],[Income]]+'Regression Models'!$B$103*ifood_data[[#This Row],[Age]]+'Regression Models'!$B$104*ifood_data[[#This Row],[Family]]</f>
        <v>271.67076176448722</v>
      </c>
      <c r="BF1358" t="str">
        <f>IF(ifood_data[[#This Row],[AcceptedCmpOverall]]=1,"Campaign Respondent","Non-respondent")</f>
        <v>Non-respondent</v>
      </c>
    </row>
    <row r="1359" spans="1:58" x14ac:dyDescent="0.35">
      <c r="A1359">
        <v>1589</v>
      </c>
      <c r="B1359">
        <v>42586</v>
      </c>
      <c r="C1359">
        <v>1</v>
      </c>
      <c r="D1359">
        <v>1</v>
      </c>
      <c r="E1359">
        <v>7</v>
      </c>
      <c r="F1359">
        <v>194</v>
      </c>
      <c r="G1359">
        <v>2</v>
      </c>
      <c r="H1359">
        <v>56</v>
      </c>
      <c r="I1359">
        <v>0</v>
      </c>
      <c r="J1359">
        <v>0</v>
      </c>
      <c r="K1359">
        <v>0</v>
      </c>
      <c r="L1359">
        <v>5</v>
      </c>
      <c r="M1359">
        <v>4</v>
      </c>
      <c r="N1359">
        <v>1</v>
      </c>
      <c r="O1359">
        <v>6</v>
      </c>
      <c r="P1359">
        <v>8</v>
      </c>
      <c r="Q1359">
        <v>0</v>
      </c>
      <c r="R1359">
        <v>0</v>
      </c>
      <c r="S1359">
        <v>0</v>
      </c>
      <c r="T1359">
        <v>0</v>
      </c>
      <c r="U1359">
        <v>0</v>
      </c>
      <c r="V1359">
        <f>IF(SUM(ifood_data[[#This Row],[AcceptedCmp1]:[AcceptedCmp5]])&gt;0,1,0)</f>
        <v>0</v>
      </c>
      <c r="W1359">
        <v>0</v>
      </c>
      <c r="X1359">
        <v>3</v>
      </c>
      <c r="Y1359">
        <v>11</v>
      </c>
      <c r="Z1359">
        <v>1</v>
      </c>
      <c r="AA1359">
        <v>65</v>
      </c>
      <c r="AB1359">
        <v>2767</v>
      </c>
      <c r="AC1359" s="28">
        <f>ifood_data[[#This Row],[Customer_Days]]/365</f>
        <v>7.580821917808219</v>
      </c>
      <c r="AD1359">
        <v>0</v>
      </c>
      <c r="AE1359">
        <v>0</v>
      </c>
      <c r="AF1359">
        <v>0</v>
      </c>
      <c r="AG1359">
        <v>1</v>
      </c>
      <c r="AH1359">
        <v>0</v>
      </c>
      <c r="AI1359">
        <v>0</v>
      </c>
      <c r="AJ1359">
        <v>0</v>
      </c>
      <c r="AK1359">
        <v>1</v>
      </c>
      <c r="AL1359">
        <v>0</v>
      </c>
      <c r="AM1359">
        <v>0</v>
      </c>
      <c r="AN1359">
        <v>252</v>
      </c>
      <c r="AO1359">
        <v>252</v>
      </c>
      <c r="AP1359">
        <f>ifood_data[[#This Row],[MntTotal]]-ifood_data[[#This Row],[MntRegularProds]]</f>
        <v>0</v>
      </c>
      <c r="AQ1359">
        <v>0</v>
      </c>
      <c r="AR1359">
        <f>IF(SUM(ifood_data[[#This Row],[Kidhome]:[Teenhome]])&gt;0,1,0)</f>
        <v>1</v>
      </c>
      <c r="AS1359" t="str">
        <f>IF(SUM(ifood_data[[#This Row],[Kidhome]:[Teenhome]])&gt;0,"Has Family","No Family")</f>
        <v>Has Family</v>
      </c>
      <c r="AT1359" t="str">
        <f>IF(ifood_data[[#This Row],[marital_Married]]=1,"Married", (IF(ifood_data[[#This Row],[marital_Single]]=1,"Single",(IF(ifood_data[[#This Row],[marital_Divorced]]=1,"Divorced",(IF(ifood_data[[#This Row],[marital_Together]]=1,"Living Together",(IF(ifood_data[[#This Row],[marital_Widow]]=1,"Widow","Other")))))))))</f>
        <v>Living Together</v>
      </c>
      <c r="AU1359" t="str">
        <f>IF(ifood_data[[#This Row],[education_Basic]]=1,"High School",(IF(ifood_data[[#This Row],[education_Graduation]]=1,"Undergraduate Degree",(IF(SUM(AM1359,AL1359,AI1359)&gt;0,"Master's Degree or Higher","Other")))))</f>
        <v>Undergraduate Degree</v>
      </c>
      <c r="AV1359" t="str">
        <f>IF(ifood_data[[#All],[Income]]&gt;75000,"75K+",(IF(ifood_data[[#All],[Income]]&gt;50000,"50K-75K",(IF(ifood_data[[#All],[Income]]&gt;35000,"35K-50K","&lt;35K")))))</f>
        <v>35K-50K</v>
      </c>
      <c r="AW1359" t="str">
        <f>IF(ifood_data[[#All],[Age]]&gt;60,"60+",(IF(ifood_data[[#All],[Age]]&gt;50,"50-60",(IF(ifood_data[[#All],[Age]]&gt;40,"40-50",(IF(ifood_data[[#All],[Age]]&gt;30,"30-40","&lt;30")))))))</f>
        <v>60+</v>
      </c>
      <c r="AX1359">
        <f t="shared" si="84"/>
        <v>24</v>
      </c>
      <c r="AY1359">
        <f t="shared" si="85"/>
        <v>10</v>
      </c>
      <c r="AZ1359">
        <f t="shared" si="86"/>
        <v>6</v>
      </c>
      <c r="BA1359">
        <f t="shared" si="87"/>
        <v>4</v>
      </c>
      <c r="BB1359">
        <f>SUM(ifood_data[[#This Row],[Recency Score]:[Monetary Score]])</f>
        <v>20</v>
      </c>
      <c r="BC1359">
        <f>(_xlfn.PERCENTRANK.INC(ifood_data[[#All],[RFM]],ifood_data[[#This Row],[RFM]],1))*10</f>
        <v>7</v>
      </c>
      <c r="BD1359" t="str">
        <f>VLOOKUP(ifood_data[[#This Row],[RFM Score]],'RFM Analysis'!$A$3:$B$14,2,FALSE)</f>
        <v>Loyal Customer</v>
      </c>
      <c r="BE1359">
        <f>'Regression Models'!$B$101+'Regression Models'!$B$102*ifood_data[[#This Row],[Income]]+'Regression Models'!$B$103*ifood_data[[#This Row],[Age]]+'Regression Models'!$B$104*ifood_data[[#This Row],[Family]]</f>
        <v>271.47865270046861</v>
      </c>
      <c r="BF1359" t="str">
        <f>IF(ifood_data[[#This Row],[AcceptedCmpOverall]]=1,"Campaign Respondent","Non-respondent")</f>
        <v>Non-respondent</v>
      </c>
    </row>
    <row r="1360" spans="1:58" x14ac:dyDescent="0.35">
      <c r="A1360">
        <v>655</v>
      </c>
      <c r="B1360">
        <v>42315</v>
      </c>
      <c r="C1360">
        <v>0</v>
      </c>
      <c r="D1360">
        <v>1</v>
      </c>
      <c r="E1360">
        <v>90</v>
      </c>
      <c r="F1360">
        <v>67</v>
      </c>
      <c r="G1360">
        <v>15</v>
      </c>
      <c r="H1360">
        <v>80</v>
      </c>
      <c r="I1360">
        <v>17</v>
      </c>
      <c r="J1360">
        <v>11</v>
      </c>
      <c r="K1360">
        <v>80</v>
      </c>
      <c r="L1360">
        <v>3</v>
      </c>
      <c r="M1360">
        <v>1</v>
      </c>
      <c r="N1360">
        <v>4</v>
      </c>
      <c r="O1360">
        <v>4</v>
      </c>
      <c r="P1360">
        <v>3</v>
      </c>
      <c r="Q1360">
        <v>0</v>
      </c>
      <c r="R1360">
        <v>0</v>
      </c>
      <c r="S1360">
        <v>0</v>
      </c>
      <c r="T1360">
        <v>0</v>
      </c>
      <c r="U1360">
        <v>0</v>
      </c>
      <c r="V1360">
        <f>IF(SUM(ifood_data[[#This Row],[AcceptedCmp1]:[AcceptedCmp5]])&gt;0,1,0)</f>
        <v>0</v>
      </c>
      <c r="W1360">
        <v>0</v>
      </c>
      <c r="X1360">
        <v>3</v>
      </c>
      <c r="Y1360">
        <v>11</v>
      </c>
      <c r="Z1360">
        <v>0</v>
      </c>
      <c r="AA1360">
        <v>62</v>
      </c>
      <c r="AB1360">
        <v>2511</v>
      </c>
      <c r="AC1360" s="28">
        <f>ifood_data[[#This Row],[Customer_Days]]/365</f>
        <v>6.8794520547945206</v>
      </c>
      <c r="AD1360">
        <v>0</v>
      </c>
      <c r="AE1360">
        <v>0</v>
      </c>
      <c r="AF1360">
        <v>0</v>
      </c>
      <c r="AG1360">
        <v>1</v>
      </c>
      <c r="AH1360">
        <v>0</v>
      </c>
      <c r="AI1360">
        <v>0</v>
      </c>
      <c r="AJ1360">
        <v>0</v>
      </c>
      <c r="AK1360">
        <v>0</v>
      </c>
      <c r="AL1360">
        <v>1</v>
      </c>
      <c r="AM1360">
        <v>0</v>
      </c>
      <c r="AN1360">
        <v>190</v>
      </c>
      <c r="AO1360">
        <v>110</v>
      </c>
      <c r="AP1360">
        <f>ifood_data[[#This Row],[MntTotal]]-ifood_data[[#This Row],[MntRegularProds]]</f>
        <v>80</v>
      </c>
      <c r="AQ1360">
        <v>0</v>
      </c>
      <c r="AR1360">
        <f>IF(SUM(ifood_data[[#This Row],[Kidhome]:[Teenhome]])&gt;0,1,0)</f>
        <v>1</v>
      </c>
      <c r="AS1360" t="str">
        <f>IF(SUM(ifood_data[[#This Row],[Kidhome]:[Teenhome]])&gt;0,"Has Family","No Family")</f>
        <v>Has Family</v>
      </c>
      <c r="AT1360" t="str">
        <f>IF(ifood_data[[#This Row],[marital_Married]]=1,"Married", (IF(ifood_data[[#This Row],[marital_Single]]=1,"Single",(IF(ifood_data[[#This Row],[marital_Divorced]]=1,"Divorced",(IF(ifood_data[[#This Row],[marital_Together]]=1,"Living Together",(IF(ifood_data[[#This Row],[marital_Widow]]=1,"Widow","Other")))))))))</f>
        <v>Living Together</v>
      </c>
      <c r="AU1360" t="str">
        <f>IF(ifood_data[[#This Row],[education_Basic]]=1,"High School",(IF(ifood_data[[#This Row],[education_Graduation]]=1,"Undergraduate Degree",(IF(SUM(AM1360,AL1360,AI1360)&gt;0,"Master's Degree or Higher","Other")))))</f>
        <v>Master's Degree or Higher</v>
      </c>
      <c r="AV1360" t="str">
        <f>IF(ifood_data[[#All],[Income]]&gt;75000,"75K+",(IF(ifood_data[[#All],[Income]]&gt;50000,"50K-75K",(IF(ifood_data[[#All],[Income]]&gt;35000,"35K-50K","&lt;35K")))))</f>
        <v>35K-50K</v>
      </c>
      <c r="AW1360" t="str">
        <f>IF(ifood_data[[#All],[Age]]&gt;60,"60+",(IF(ifood_data[[#All],[Age]]&gt;50,"50-60",(IF(ifood_data[[#All],[Age]]&gt;40,"40-50",(IF(ifood_data[[#All],[Age]]&gt;30,"30-40","&lt;30")))))))</f>
        <v>60+</v>
      </c>
      <c r="AX1360">
        <f t="shared" si="84"/>
        <v>15</v>
      </c>
      <c r="AY1360">
        <f t="shared" si="85"/>
        <v>0.99999999999999978</v>
      </c>
      <c r="AZ1360">
        <f t="shared" si="86"/>
        <v>2</v>
      </c>
      <c r="BA1360">
        <f t="shared" si="87"/>
        <v>4</v>
      </c>
      <c r="BB1360">
        <f>SUM(ifood_data[[#This Row],[Recency Score]:[Monetary Score]])</f>
        <v>7</v>
      </c>
      <c r="BC1360">
        <f>(_xlfn.PERCENTRANK.INC(ifood_data[[#All],[RFM]],ifood_data[[#This Row],[RFM]],1))*10</f>
        <v>1</v>
      </c>
      <c r="BD1360" t="str">
        <f>VLOOKUP(ifood_data[[#This Row],[RFM Score]],'RFM Analysis'!$A$3:$B$14,2,FALSE)</f>
        <v>At Risk</v>
      </c>
      <c r="BE1360">
        <f>'Regression Models'!$B$101+'Regression Models'!$B$102*ifood_data[[#This Row],[Income]]+'Regression Models'!$B$103*ifood_data[[#This Row],[Age]]+'Regression Models'!$B$104*ifood_data[[#This Row],[Family]]</f>
        <v>271.4626137701548</v>
      </c>
      <c r="BF1360" t="str">
        <f>IF(ifood_data[[#This Row],[AcceptedCmpOverall]]=1,"Campaign Respondent","Non-respondent")</f>
        <v>Non-respondent</v>
      </c>
    </row>
    <row r="1361" spans="1:58" x14ac:dyDescent="0.35">
      <c r="A1361">
        <v>1152</v>
      </c>
      <c r="B1361">
        <v>40211</v>
      </c>
      <c r="C1361">
        <v>1</v>
      </c>
      <c r="D1361">
        <v>1</v>
      </c>
      <c r="E1361">
        <v>30</v>
      </c>
      <c r="F1361">
        <v>51</v>
      </c>
      <c r="G1361">
        <v>1</v>
      </c>
      <c r="H1361">
        <v>7</v>
      </c>
      <c r="I1361">
        <v>2</v>
      </c>
      <c r="J1361">
        <v>1</v>
      </c>
      <c r="K1361">
        <v>25</v>
      </c>
      <c r="L1361">
        <v>2</v>
      </c>
      <c r="M1361">
        <v>2</v>
      </c>
      <c r="N1361">
        <v>1</v>
      </c>
      <c r="O1361">
        <v>2</v>
      </c>
      <c r="P1361">
        <v>8</v>
      </c>
      <c r="Q1361">
        <v>0</v>
      </c>
      <c r="R1361">
        <v>0</v>
      </c>
      <c r="S1361">
        <v>1</v>
      </c>
      <c r="T1361">
        <v>0</v>
      </c>
      <c r="U1361">
        <v>0</v>
      </c>
      <c r="V1361">
        <f>IF(SUM(ifood_data[[#This Row],[AcceptedCmp1]:[AcceptedCmp5]])&gt;0,1,0)</f>
        <v>1</v>
      </c>
      <c r="W1361">
        <v>0</v>
      </c>
      <c r="X1361">
        <v>3</v>
      </c>
      <c r="Y1361">
        <v>11</v>
      </c>
      <c r="Z1361">
        <v>0</v>
      </c>
      <c r="AA1361">
        <v>39</v>
      </c>
      <c r="AB1361">
        <v>2493</v>
      </c>
      <c r="AC1361" s="28">
        <f>ifood_data[[#This Row],[Customer_Days]]/365</f>
        <v>6.8301369863013699</v>
      </c>
      <c r="AD1361">
        <v>0</v>
      </c>
      <c r="AE1361">
        <v>1</v>
      </c>
      <c r="AF1361">
        <v>0</v>
      </c>
      <c r="AG1361">
        <v>0</v>
      </c>
      <c r="AH1361">
        <v>0</v>
      </c>
      <c r="AI1361">
        <v>0</v>
      </c>
      <c r="AJ1361">
        <v>0</v>
      </c>
      <c r="AK1361">
        <v>1</v>
      </c>
      <c r="AL1361">
        <v>0</v>
      </c>
      <c r="AM1361">
        <v>0</v>
      </c>
      <c r="AN1361">
        <v>62</v>
      </c>
      <c r="AO1361">
        <v>37</v>
      </c>
      <c r="AP1361">
        <f>ifood_data[[#This Row],[MntTotal]]-ifood_data[[#This Row],[MntRegularProds]]</f>
        <v>25</v>
      </c>
      <c r="AQ1361">
        <v>1</v>
      </c>
      <c r="AR1361">
        <f>IF(SUM(ifood_data[[#This Row],[Kidhome]:[Teenhome]])&gt;0,1,0)</f>
        <v>1</v>
      </c>
      <c r="AS1361" t="str">
        <f>IF(SUM(ifood_data[[#This Row],[Kidhome]:[Teenhome]])&gt;0,"Has Family","No Family")</f>
        <v>Has Family</v>
      </c>
      <c r="AT1361" t="str">
        <f>IF(ifood_data[[#This Row],[marital_Married]]=1,"Married", (IF(ifood_data[[#This Row],[marital_Single]]=1,"Single",(IF(ifood_data[[#This Row],[marital_Divorced]]=1,"Divorced",(IF(ifood_data[[#This Row],[marital_Together]]=1,"Living Together",(IF(ifood_data[[#This Row],[marital_Widow]]=1,"Widow","Other")))))))))</f>
        <v>Married</v>
      </c>
      <c r="AU1361" t="str">
        <f>IF(ifood_data[[#This Row],[education_Basic]]=1,"High School",(IF(ifood_data[[#This Row],[education_Graduation]]=1,"Undergraduate Degree",(IF(SUM(AM1361,AL1361,AI1361)&gt;0,"Master's Degree or Higher","Other")))))</f>
        <v>Undergraduate Degree</v>
      </c>
      <c r="AV1361" t="str">
        <f>IF(ifood_data[[#All],[Income]]&gt;75000,"75K+",(IF(ifood_data[[#All],[Income]]&gt;50000,"50K-75K",(IF(ifood_data[[#All],[Income]]&gt;35000,"35K-50K","&lt;35K")))))</f>
        <v>35K-50K</v>
      </c>
      <c r="AW1361" t="str">
        <f>IF(ifood_data[[#All],[Age]]&gt;60,"60+",(IF(ifood_data[[#All],[Age]]&gt;50,"50-60",(IF(ifood_data[[#All],[Age]]&gt;40,"40-50",(IF(ifood_data[[#All],[Age]]&gt;30,"30-40","&lt;30")))))))</f>
        <v>30-40</v>
      </c>
      <c r="AX1361">
        <f t="shared" si="84"/>
        <v>15</v>
      </c>
      <c r="AY1361">
        <f t="shared" si="85"/>
        <v>7</v>
      </c>
      <c r="AZ1361">
        <f t="shared" si="86"/>
        <v>2</v>
      </c>
      <c r="BA1361">
        <f t="shared" si="87"/>
        <v>2</v>
      </c>
      <c r="BB1361">
        <f>SUM(ifood_data[[#This Row],[Recency Score]:[Monetary Score]])</f>
        <v>11</v>
      </c>
      <c r="BC1361">
        <f>(_xlfn.PERCENTRANK.INC(ifood_data[[#All],[RFM]],ifood_data[[#This Row],[RFM]],1))*10</f>
        <v>2</v>
      </c>
      <c r="BD1361" t="str">
        <f>VLOOKUP(ifood_data[[#This Row],[RFM Score]],'RFM Analysis'!$A$3:$B$14,2,FALSE)</f>
        <v>At Risk</v>
      </c>
      <c r="BE1361">
        <f>'Regression Models'!$B$101+'Regression Models'!$B$102*ifood_data[[#This Row],[Income]]+'Regression Models'!$B$103*ifood_data[[#This Row],[Age]]+'Regression Models'!$B$104*ifood_data[[#This Row],[Family]]</f>
        <v>270.80274440995981</v>
      </c>
      <c r="BF1361" t="str">
        <f>IF(ifood_data[[#This Row],[AcceptedCmpOverall]]=1,"Campaign Respondent","Non-respondent")</f>
        <v>Campaign Respondent</v>
      </c>
    </row>
    <row r="1362" spans="1:58" x14ac:dyDescent="0.35">
      <c r="A1362">
        <v>1952</v>
      </c>
      <c r="B1362">
        <v>41713</v>
      </c>
      <c r="C1362">
        <v>1</v>
      </c>
      <c r="D1362">
        <v>1</v>
      </c>
      <c r="E1362">
        <v>57</v>
      </c>
      <c r="F1362">
        <v>77</v>
      </c>
      <c r="G1362">
        <v>8</v>
      </c>
      <c r="H1362">
        <v>44</v>
      </c>
      <c r="I1362">
        <v>10</v>
      </c>
      <c r="J1362">
        <v>10</v>
      </c>
      <c r="K1362">
        <v>25</v>
      </c>
      <c r="L1362">
        <v>5</v>
      </c>
      <c r="M1362">
        <v>3</v>
      </c>
      <c r="N1362">
        <v>1</v>
      </c>
      <c r="O1362">
        <v>4</v>
      </c>
      <c r="P1362">
        <v>6</v>
      </c>
      <c r="Q1362">
        <v>0</v>
      </c>
      <c r="R1362">
        <v>0</v>
      </c>
      <c r="S1362">
        <v>0</v>
      </c>
      <c r="T1362">
        <v>0</v>
      </c>
      <c r="U1362">
        <v>0</v>
      </c>
      <c r="V1362">
        <f>IF(SUM(ifood_data[[#This Row],[AcceptedCmp1]:[AcceptedCmp5]])&gt;0,1,0)</f>
        <v>0</v>
      </c>
      <c r="W1362">
        <v>0</v>
      </c>
      <c r="X1362">
        <v>3</v>
      </c>
      <c r="Y1362">
        <v>11</v>
      </c>
      <c r="Z1362">
        <v>0</v>
      </c>
      <c r="AA1362">
        <v>56</v>
      </c>
      <c r="AB1362">
        <v>2220</v>
      </c>
      <c r="AC1362" s="28">
        <f>ifood_data[[#This Row],[Customer_Days]]/365</f>
        <v>6.0821917808219181</v>
      </c>
      <c r="AD1362">
        <v>1</v>
      </c>
      <c r="AE1362">
        <v>0</v>
      </c>
      <c r="AF1362">
        <v>0</v>
      </c>
      <c r="AG1362">
        <v>0</v>
      </c>
      <c r="AH1362">
        <v>0</v>
      </c>
      <c r="AI1362">
        <v>1</v>
      </c>
      <c r="AJ1362">
        <v>0</v>
      </c>
      <c r="AK1362">
        <v>0</v>
      </c>
      <c r="AL1362">
        <v>0</v>
      </c>
      <c r="AM1362">
        <v>0</v>
      </c>
      <c r="AN1362">
        <v>149</v>
      </c>
      <c r="AO1362">
        <v>124</v>
      </c>
      <c r="AP1362">
        <f>ifood_data[[#This Row],[MntTotal]]-ifood_data[[#This Row],[MntRegularProds]]</f>
        <v>25</v>
      </c>
      <c r="AQ1362">
        <v>0</v>
      </c>
      <c r="AR1362">
        <f>IF(SUM(ifood_data[[#This Row],[Kidhome]:[Teenhome]])&gt;0,1,0)</f>
        <v>1</v>
      </c>
      <c r="AS1362" t="str">
        <f>IF(SUM(ifood_data[[#This Row],[Kidhome]:[Teenhome]])&gt;0,"Has Family","No Family")</f>
        <v>Has Family</v>
      </c>
      <c r="AT1362" t="str">
        <f>IF(ifood_data[[#This Row],[marital_Married]]=1,"Married", (IF(ifood_data[[#This Row],[marital_Single]]=1,"Single",(IF(ifood_data[[#This Row],[marital_Divorced]]=1,"Divorced",(IF(ifood_data[[#This Row],[marital_Together]]=1,"Living Together",(IF(ifood_data[[#This Row],[marital_Widow]]=1,"Widow","Other")))))))))</f>
        <v>Divorced</v>
      </c>
      <c r="AU1362" t="str">
        <f>IF(ifood_data[[#This Row],[education_Basic]]=1,"High School",(IF(ifood_data[[#This Row],[education_Graduation]]=1,"Undergraduate Degree",(IF(SUM(AM1362,AL1362,AI1362)&gt;0,"Master's Degree or Higher","Other")))))</f>
        <v>Master's Degree or Higher</v>
      </c>
      <c r="AV1362" t="str">
        <f>IF(ifood_data[[#All],[Income]]&gt;75000,"75K+",(IF(ifood_data[[#All],[Income]]&gt;50000,"50K-75K",(IF(ifood_data[[#All],[Income]]&gt;35000,"35K-50K","&lt;35K")))))</f>
        <v>35K-50K</v>
      </c>
      <c r="AW1362" t="str">
        <f>IF(ifood_data[[#All],[Age]]&gt;60,"60+",(IF(ifood_data[[#All],[Age]]&gt;50,"50-60",(IF(ifood_data[[#All],[Age]]&gt;40,"40-50",(IF(ifood_data[[#All],[Age]]&gt;30,"30-40","&lt;30")))))))</f>
        <v>50-60</v>
      </c>
      <c r="AX1362">
        <f t="shared" si="84"/>
        <v>19</v>
      </c>
      <c r="AY1362">
        <f t="shared" si="85"/>
        <v>5</v>
      </c>
      <c r="AZ1362">
        <f t="shared" si="86"/>
        <v>4</v>
      </c>
      <c r="BA1362">
        <f t="shared" si="87"/>
        <v>3</v>
      </c>
      <c r="BB1362">
        <f>SUM(ifood_data[[#This Row],[Recency Score]:[Monetary Score]])</f>
        <v>12</v>
      </c>
      <c r="BC1362">
        <f>(_xlfn.PERCENTRANK.INC(ifood_data[[#All],[RFM]],ifood_data[[#This Row],[RFM]],1))*10</f>
        <v>3</v>
      </c>
      <c r="BD1362" t="str">
        <f>VLOOKUP(ifood_data[[#This Row],[RFM Score]],'RFM Analysis'!$A$3:$B$14,2,FALSE)</f>
        <v>At Risk</v>
      </c>
      <c r="BE1362">
        <f>'Regression Models'!$B$101+'Regression Models'!$B$102*ifood_data[[#This Row],[Income]]+'Regression Models'!$B$103*ifood_data[[#This Row],[Age]]+'Regression Models'!$B$104*ifood_data[[#This Row],[Family]]</f>
        <v>270.20720982089335</v>
      </c>
      <c r="BF1362" t="str">
        <f>IF(ifood_data[[#This Row],[AcceptedCmpOverall]]=1,"Campaign Respondent","Non-respondent")</f>
        <v>Non-respondent</v>
      </c>
    </row>
    <row r="1363" spans="1:58" x14ac:dyDescent="0.35">
      <c r="A1363">
        <v>869</v>
      </c>
      <c r="B1363">
        <v>42607</v>
      </c>
      <c r="C1363">
        <v>0</v>
      </c>
      <c r="D1363">
        <v>1</v>
      </c>
      <c r="E1363">
        <v>30</v>
      </c>
      <c r="F1363">
        <v>156</v>
      </c>
      <c r="G1363">
        <v>29</v>
      </c>
      <c r="H1363">
        <v>56</v>
      </c>
      <c r="I1363">
        <v>30</v>
      </c>
      <c r="J1363">
        <v>32</v>
      </c>
      <c r="K1363">
        <v>47</v>
      </c>
      <c r="L1363">
        <v>2</v>
      </c>
      <c r="M1363">
        <v>3</v>
      </c>
      <c r="N1363">
        <v>2</v>
      </c>
      <c r="O1363">
        <v>7</v>
      </c>
      <c r="P1363">
        <v>3</v>
      </c>
      <c r="Q1363">
        <v>0</v>
      </c>
      <c r="R1363">
        <v>0</v>
      </c>
      <c r="S1363">
        <v>0</v>
      </c>
      <c r="T1363">
        <v>0</v>
      </c>
      <c r="U1363">
        <v>0</v>
      </c>
      <c r="V1363">
        <f>IF(SUM(ifood_data[[#This Row],[AcceptedCmp1]:[AcceptedCmp5]])&gt;0,1,0)</f>
        <v>0</v>
      </c>
      <c r="W1363">
        <v>0</v>
      </c>
      <c r="X1363">
        <v>3</v>
      </c>
      <c r="Y1363">
        <v>11</v>
      </c>
      <c r="Z1363">
        <v>0</v>
      </c>
      <c r="AA1363">
        <v>66</v>
      </c>
      <c r="AB1363">
        <v>2383</v>
      </c>
      <c r="AC1363" s="28">
        <f>ifood_data[[#This Row],[Customer_Days]]/365</f>
        <v>6.5287671232876709</v>
      </c>
      <c r="AD1363">
        <v>0</v>
      </c>
      <c r="AE1363">
        <v>0</v>
      </c>
      <c r="AF1363">
        <v>1</v>
      </c>
      <c r="AG1363">
        <v>0</v>
      </c>
      <c r="AH1363">
        <v>0</v>
      </c>
      <c r="AI1363">
        <v>1</v>
      </c>
      <c r="AJ1363">
        <v>0</v>
      </c>
      <c r="AK1363">
        <v>0</v>
      </c>
      <c r="AL1363">
        <v>0</v>
      </c>
      <c r="AM1363">
        <v>0</v>
      </c>
      <c r="AN1363">
        <v>303</v>
      </c>
      <c r="AO1363">
        <v>256</v>
      </c>
      <c r="AP1363">
        <f>ifood_data[[#This Row],[MntTotal]]-ifood_data[[#This Row],[MntRegularProds]]</f>
        <v>47</v>
      </c>
      <c r="AQ1363">
        <v>0</v>
      </c>
      <c r="AR1363">
        <f>IF(SUM(ifood_data[[#This Row],[Kidhome]:[Teenhome]])&gt;0,1,0)</f>
        <v>1</v>
      </c>
      <c r="AS1363" t="str">
        <f>IF(SUM(ifood_data[[#This Row],[Kidhome]:[Teenhome]])&gt;0,"Has Family","No Family")</f>
        <v>Has Family</v>
      </c>
      <c r="AT1363" t="str">
        <f>IF(ifood_data[[#This Row],[marital_Married]]=1,"Married", (IF(ifood_data[[#This Row],[marital_Single]]=1,"Single",(IF(ifood_data[[#This Row],[marital_Divorced]]=1,"Divorced",(IF(ifood_data[[#This Row],[marital_Together]]=1,"Living Together",(IF(ifood_data[[#This Row],[marital_Widow]]=1,"Widow","Other")))))))))</f>
        <v>Single</v>
      </c>
      <c r="AU1363" t="str">
        <f>IF(ifood_data[[#This Row],[education_Basic]]=1,"High School",(IF(ifood_data[[#This Row],[education_Graduation]]=1,"Undergraduate Degree",(IF(SUM(AM1363,AL1363,AI1363)&gt;0,"Master's Degree or Higher","Other")))))</f>
        <v>Master's Degree or Higher</v>
      </c>
      <c r="AV1363" t="str">
        <f>IF(ifood_data[[#All],[Income]]&gt;75000,"75K+",(IF(ifood_data[[#All],[Income]]&gt;50000,"50K-75K",(IF(ifood_data[[#All],[Income]]&gt;35000,"35K-50K","&lt;35K")))))</f>
        <v>35K-50K</v>
      </c>
      <c r="AW1363" t="str">
        <f>IF(ifood_data[[#All],[Age]]&gt;60,"60+",(IF(ifood_data[[#All],[Age]]&gt;50,"50-60",(IF(ifood_data[[#All],[Age]]&gt;40,"40-50",(IF(ifood_data[[#All],[Age]]&gt;30,"30-40","&lt;30")))))))</f>
        <v>60+</v>
      </c>
      <c r="AX1363">
        <f t="shared" si="84"/>
        <v>17</v>
      </c>
      <c r="AY1363">
        <f t="shared" si="85"/>
        <v>7</v>
      </c>
      <c r="AZ1363">
        <f t="shared" si="86"/>
        <v>3</v>
      </c>
      <c r="BA1363">
        <f t="shared" si="87"/>
        <v>4</v>
      </c>
      <c r="BB1363">
        <f>SUM(ifood_data[[#This Row],[Recency Score]:[Monetary Score]])</f>
        <v>14</v>
      </c>
      <c r="BC1363">
        <f>(_xlfn.PERCENTRANK.INC(ifood_data[[#All],[RFM]],ifood_data[[#This Row],[RFM]],1))*10</f>
        <v>4</v>
      </c>
      <c r="BD1363" t="str">
        <f>VLOOKUP(ifood_data[[#This Row],[RFM Score]],'RFM Analysis'!$A$3:$B$14,2,FALSE)</f>
        <v>At Risk</v>
      </c>
      <c r="BE1363">
        <f>'Regression Models'!$B$101+'Regression Models'!$B$102*ifood_data[[#This Row],[Income]]+'Regression Models'!$B$103*ifood_data[[#This Row],[Age]]+'Regression Models'!$B$104*ifood_data[[#This Row],[Family]]</f>
        <v>270.07037775259619</v>
      </c>
      <c r="BF1363" t="str">
        <f>IF(ifood_data[[#This Row],[AcceptedCmpOverall]]=1,"Campaign Respondent","Non-respondent")</f>
        <v>Non-respondent</v>
      </c>
    </row>
    <row r="1364" spans="1:58" x14ac:dyDescent="0.35">
      <c r="A1364">
        <v>667</v>
      </c>
      <c r="B1364">
        <v>41335</v>
      </c>
      <c r="C1364">
        <v>1</v>
      </c>
      <c r="D1364">
        <v>0</v>
      </c>
      <c r="E1364">
        <v>24</v>
      </c>
      <c r="F1364">
        <v>112</v>
      </c>
      <c r="G1364">
        <v>19</v>
      </c>
      <c r="H1364">
        <v>21</v>
      </c>
      <c r="I1364">
        <v>16</v>
      </c>
      <c r="J1364">
        <v>14</v>
      </c>
      <c r="K1364">
        <v>5</v>
      </c>
      <c r="L1364">
        <v>3</v>
      </c>
      <c r="M1364">
        <v>4</v>
      </c>
      <c r="N1364">
        <v>1</v>
      </c>
      <c r="O1364">
        <v>4</v>
      </c>
      <c r="P1364">
        <v>7</v>
      </c>
      <c r="Q1364">
        <v>0</v>
      </c>
      <c r="R1364">
        <v>0</v>
      </c>
      <c r="S1364">
        <v>0</v>
      </c>
      <c r="T1364">
        <v>0</v>
      </c>
      <c r="U1364">
        <v>0</v>
      </c>
      <c r="V1364">
        <f>IF(SUM(ifood_data[[#This Row],[AcceptedCmp1]:[AcceptedCmp5]])&gt;0,1,0)</f>
        <v>0</v>
      </c>
      <c r="W1364">
        <v>0</v>
      </c>
      <c r="X1364">
        <v>3</v>
      </c>
      <c r="Y1364">
        <v>11</v>
      </c>
      <c r="Z1364">
        <v>0</v>
      </c>
      <c r="AA1364">
        <v>52</v>
      </c>
      <c r="AB1364">
        <v>2344</v>
      </c>
      <c r="AC1364" s="28">
        <f>ifood_data[[#This Row],[Customer_Days]]/365</f>
        <v>6.4219178082191783</v>
      </c>
      <c r="AD1364">
        <v>1</v>
      </c>
      <c r="AE1364">
        <v>0</v>
      </c>
      <c r="AF1364">
        <v>0</v>
      </c>
      <c r="AG1364">
        <v>0</v>
      </c>
      <c r="AH1364">
        <v>0</v>
      </c>
      <c r="AI1364">
        <v>0</v>
      </c>
      <c r="AJ1364">
        <v>0</v>
      </c>
      <c r="AK1364">
        <v>0</v>
      </c>
      <c r="AL1364">
        <v>1</v>
      </c>
      <c r="AM1364">
        <v>0</v>
      </c>
      <c r="AN1364">
        <v>182</v>
      </c>
      <c r="AO1364">
        <v>177</v>
      </c>
      <c r="AP1364">
        <f>ifood_data[[#This Row],[MntTotal]]-ifood_data[[#This Row],[MntRegularProds]]</f>
        <v>5</v>
      </c>
      <c r="AQ1364">
        <v>0</v>
      </c>
      <c r="AR1364">
        <f>IF(SUM(ifood_data[[#This Row],[Kidhome]:[Teenhome]])&gt;0,1,0)</f>
        <v>1</v>
      </c>
      <c r="AS1364" t="str">
        <f>IF(SUM(ifood_data[[#This Row],[Kidhome]:[Teenhome]])&gt;0,"Has Family","No Family")</f>
        <v>Has Family</v>
      </c>
      <c r="AT1364" t="str">
        <f>IF(ifood_data[[#This Row],[marital_Married]]=1,"Married", (IF(ifood_data[[#This Row],[marital_Single]]=1,"Single",(IF(ifood_data[[#This Row],[marital_Divorced]]=1,"Divorced",(IF(ifood_data[[#This Row],[marital_Together]]=1,"Living Together",(IF(ifood_data[[#This Row],[marital_Widow]]=1,"Widow","Other")))))))))</f>
        <v>Divorced</v>
      </c>
      <c r="AU1364" t="str">
        <f>IF(ifood_data[[#This Row],[education_Basic]]=1,"High School",(IF(ifood_data[[#This Row],[education_Graduation]]=1,"Undergraduate Degree",(IF(SUM(AM1364,AL1364,AI1364)&gt;0,"Master's Degree or Higher","Other")))))</f>
        <v>Master's Degree or Higher</v>
      </c>
      <c r="AV1364" t="str">
        <f>IF(ifood_data[[#All],[Income]]&gt;75000,"75K+",(IF(ifood_data[[#All],[Income]]&gt;50000,"50K-75K",(IF(ifood_data[[#All],[Income]]&gt;35000,"35K-50K","&lt;35K")))))</f>
        <v>35K-50K</v>
      </c>
      <c r="AW1364" t="str">
        <f>IF(ifood_data[[#All],[Age]]&gt;60,"60+",(IF(ifood_data[[#All],[Age]]&gt;50,"50-60",(IF(ifood_data[[#All],[Age]]&gt;40,"40-50",(IF(ifood_data[[#All],[Age]]&gt;30,"30-40","&lt;30")))))))</f>
        <v>50-60</v>
      </c>
      <c r="AX1364">
        <f t="shared" si="84"/>
        <v>19</v>
      </c>
      <c r="AY1364">
        <f t="shared" si="85"/>
        <v>8</v>
      </c>
      <c r="AZ1364">
        <f t="shared" si="86"/>
        <v>4</v>
      </c>
      <c r="BA1364">
        <f t="shared" si="87"/>
        <v>4</v>
      </c>
      <c r="BB1364">
        <f>SUM(ifood_data[[#This Row],[Recency Score]:[Monetary Score]])</f>
        <v>16</v>
      </c>
      <c r="BC1364">
        <f>(_xlfn.PERCENTRANK.INC(ifood_data[[#All],[RFM]],ifood_data[[#This Row],[RFM]],1))*10</f>
        <v>5</v>
      </c>
      <c r="BD1364" t="str">
        <f>VLOOKUP(ifood_data[[#This Row],[RFM Score]],'RFM Analysis'!$A$3:$B$14,2,FALSE)</f>
        <v>Promising</v>
      </c>
      <c r="BE1364">
        <f>'Regression Models'!$B$101+'Regression Models'!$B$102*ifood_data[[#This Row],[Income]]+'Regression Models'!$B$103*ifood_data[[#This Row],[Age]]+'Regression Models'!$B$104*ifood_data[[#This Row],[Family]]</f>
        <v>269.84601177807667</v>
      </c>
      <c r="BF1364" t="str">
        <f>IF(ifood_data[[#This Row],[AcceptedCmpOverall]]=1,"Campaign Respondent","Non-respondent")</f>
        <v>Non-respondent</v>
      </c>
    </row>
    <row r="1365" spans="1:58" x14ac:dyDescent="0.35">
      <c r="A1365">
        <v>1830</v>
      </c>
      <c r="B1365">
        <v>41638</v>
      </c>
      <c r="C1365">
        <v>0</v>
      </c>
      <c r="D1365">
        <v>1</v>
      </c>
      <c r="E1365">
        <v>68</v>
      </c>
      <c r="F1365">
        <v>315</v>
      </c>
      <c r="G1365">
        <v>0</v>
      </c>
      <c r="H1365">
        <v>31</v>
      </c>
      <c r="I1365">
        <v>4</v>
      </c>
      <c r="J1365">
        <v>0</v>
      </c>
      <c r="K1365">
        <v>91</v>
      </c>
      <c r="L1365">
        <v>4</v>
      </c>
      <c r="M1365">
        <v>5</v>
      </c>
      <c r="N1365">
        <v>5</v>
      </c>
      <c r="O1365">
        <v>3</v>
      </c>
      <c r="P1365">
        <v>8</v>
      </c>
      <c r="Q1365">
        <v>0</v>
      </c>
      <c r="R1365">
        <v>0</v>
      </c>
      <c r="S1365">
        <v>1</v>
      </c>
      <c r="T1365">
        <v>0</v>
      </c>
      <c r="U1365">
        <v>0</v>
      </c>
      <c r="V1365">
        <f>IF(SUM(ifood_data[[#This Row],[AcceptedCmp1]:[AcceptedCmp5]])&gt;0,1,0)</f>
        <v>1</v>
      </c>
      <c r="W1365">
        <v>0</v>
      </c>
      <c r="X1365">
        <v>3</v>
      </c>
      <c r="Y1365">
        <v>11</v>
      </c>
      <c r="Z1365">
        <v>0</v>
      </c>
      <c r="AA1365">
        <v>56</v>
      </c>
      <c r="AB1365">
        <v>2660</v>
      </c>
      <c r="AC1365" s="28">
        <f>ifood_data[[#This Row],[Customer_Days]]/365</f>
        <v>7.2876712328767121</v>
      </c>
      <c r="AD1365">
        <v>1</v>
      </c>
      <c r="AE1365">
        <v>0</v>
      </c>
      <c r="AF1365">
        <v>0</v>
      </c>
      <c r="AG1365">
        <v>0</v>
      </c>
      <c r="AH1365">
        <v>0</v>
      </c>
      <c r="AI1365">
        <v>0</v>
      </c>
      <c r="AJ1365">
        <v>0</v>
      </c>
      <c r="AK1365">
        <v>1</v>
      </c>
      <c r="AL1365">
        <v>0</v>
      </c>
      <c r="AM1365">
        <v>0</v>
      </c>
      <c r="AN1365">
        <v>350</v>
      </c>
      <c r="AO1365">
        <v>259</v>
      </c>
      <c r="AP1365">
        <f>ifood_data[[#This Row],[MntTotal]]-ifood_data[[#This Row],[MntRegularProds]]</f>
        <v>91</v>
      </c>
      <c r="AQ1365">
        <v>1</v>
      </c>
      <c r="AR1365">
        <f>IF(SUM(ifood_data[[#This Row],[Kidhome]:[Teenhome]])&gt;0,1,0)</f>
        <v>1</v>
      </c>
      <c r="AS1365" t="str">
        <f>IF(SUM(ifood_data[[#This Row],[Kidhome]:[Teenhome]])&gt;0,"Has Family","No Family")</f>
        <v>Has Family</v>
      </c>
      <c r="AT1365" t="str">
        <f>IF(ifood_data[[#This Row],[marital_Married]]=1,"Married", (IF(ifood_data[[#This Row],[marital_Single]]=1,"Single",(IF(ifood_data[[#This Row],[marital_Divorced]]=1,"Divorced",(IF(ifood_data[[#This Row],[marital_Together]]=1,"Living Together",(IF(ifood_data[[#This Row],[marital_Widow]]=1,"Widow","Other")))))))))</f>
        <v>Divorced</v>
      </c>
      <c r="AU1365" t="str">
        <f>IF(ifood_data[[#This Row],[education_Basic]]=1,"High School",(IF(ifood_data[[#This Row],[education_Graduation]]=1,"Undergraduate Degree",(IF(SUM(AM1365,AL1365,AI1365)&gt;0,"Master's Degree or Higher","Other")))))</f>
        <v>Undergraduate Degree</v>
      </c>
      <c r="AV1365" t="str">
        <f>IF(ifood_data[[#All],[Income]]&gt;75000,"75K+",(IF(ifood_data[[#All],[Income]]&gt;50000,"50K-75K",(IF(ifood_data[[#All],[Income]]&gt;35000,"35K-50K","&lt;35K")))))</f>
        <v>35K-50K</v>
      </c>
      <c r="AW1365" t="str">
        <f>IF(ifood_data[[#All],[Age]]&gt;60,"60+",(IF(ifood_data[[#All],[Age]]&gt;50,"50-60",(IF(ifood_data[[#All],[Age]]&gt;40,"40-50",(IF(ifood_data[[#All],[Age]]&gt;30,"30-40","&lt;30")))))))</f>
        <v>50-60</v>
      </c>
      <c r="AX1365">
        <f t="shared" si="84"/>
        <v>25</v>
      </c>
      <c r="AY1365">
        <f t="shared" si="85"/>
        <v>4</v>
      </c>
      <c r="AZ1365">
        <f t="shared" si="86"/>
        <v>7</v>
      </c>
      <c r="BA1365">
        <f t="shared" si="87"/>
        <v>5</v>
      </c>
      <c r="BB1365">
        <f>SUM(ifood_data[[#This Row],[Recency Score]:[Monetary Score]])</f>
        <v>16</v>
      </c>
      <c r="BC1365">
        <f>(_xlfn.PERCENTRANK.INC(ifood_data[[#All],[RFM]],ifood_data[[#This Row],[RFM]],1))*10</f>
        <v>5</v>
      </c>
      <c r="BD1365" t="str">
        <f>VLOOKUP(ifood_data[[#This Row],[RFM Score]],'RFM Analysis'!$A$3:$B$14,2,FALSE)</f>
        <v>Promising</v>
      </c>
      <c r="BE1365">
        <f>'Regression Models'!$B$101+'Regression Models'!$B$102*ifood_data[[#This Row],[Income]]+'Regression Models'!$B$103*ifood_data[[#This Row],[Age]]+'Regression Models'!$B$104*ifood_data[[#This Row],[Family]]</f>
        <v>268.67805221010087</v>
      </c>
      <c r="BF1365" t="str">
        <f>IF(ifood_data[[#This Row],[AcceptedCmpOverall]]=1,"Campaign Respondent","Non-respondent")</f>
        <v>Campaign Respondent</v>
      </c>
    </row>
    <row r="1366" spans="1:58" x14ac:dyDescent="0.35">
      <c r="A1366">
        <v>831</v>
      </c>
      <c r="B1366">
        <v>39922</v>
      </c>
      <c r="C1366">
        <v>1</v>
      </c>
      <c r="D1366">
        <v>0</v>
      </c>
      <c r="E1366">
        <v>30</v>
      </c>
      <c r="F1366">
        <v>29</v>
      </c>
      <c r="G1366">
        <v>12</v>
      </c>
      <c r="H1366">
        <v>59</v>
      </c>
      <c r="I1366">
        <v>19</v>
      </c>
      <c r="J1366">
        <v>1</v>
      </c>
      <c r="K1366">
        <v>36</v>
      </c>
      <c r="L1366">
        <v>2</v>
      </c>
      <c r="M1366">
        <v>3</v>
      </c>
      <c r="N1366">
        <v>0</v>
      </c>
      <c r="O1366">
        <v>4</v>
      </c>
      <c r="P1366">
        <v>8</v>
      </c>
      <c r="Q1366">
        <v>0</v>
      </c>
      <c r="R1366">
        <v>0</v>
      </c>
      <c r="S1366">
        <v>0</v>
      </c>
      <c r="T1366">
        <v>0</v>
      </c>
      <c r="U1366">
        <v>0</v>
      </c>
      <c r="V1366">
        <f>IF(SUM(ifood_data[[#This Row],[AcceptedCmp1]:[AcceptedCmp5]])&gt;0,1,0)</f>
        <v>0</v>
      </c>
      <c r="W1366">
        <v>0</v>
      </c>
      <c r="X1366">
        <v>3</v>
      </c>
      <c r="Y1366">
        <v>11</v>
      </c>
      <c r="Z1366">
        <v>0</v>
      </c>
      <c r="AA1366">
        <v>37</v>
      </c>
      <c r="AB1366">
        <v>2659</v>
      </c>
      <c r="AC1366" s="28">
        <f>ifood_data[[#This Row],[Customer_Days]]/365</f>
        <v>7.2849315068493148</v>
      </c>
      <c r="AD1366">
        <v>0</v>
      </c>
      <c r="AE1366">
        <v>1</v>
      </c>
      <c r="AF1366">
        <v>0</v>
      </c>
      <c r="AG1366">
        <v>0</v>
      </c>
      <c r="AH1366">
        <v>0</v>
      </c>
      <c r="AI1366">
        <v>0</v>
      </c>
      <c r="AJ1366">
        <v>0</v>
      </c>
      <c r="AK1366">
        <v>1</v>
      </c>
      <c r="AL1366">
        <v>0</v>
      </c>
      <c r="AM1366">
        <v>0</v>
      </c>
      <c r="AN1366">
        <v>120</v>
      </c>
      <c r="AO1366">
        <v>84</v>
      </c>
      <c r="AP1366">
        <f>ifood_data[[#This Row],[MntTotal]]-ifood_data[[#This Row],[MntRegularProds]]</f>
        <v>36</v>
      </c>
      <c r="AQ1366">
        <v>0</v>
      </c>
      <c r="AR1366">
        <f>IF(SUM(ifood_data[[#This Row],[Kidhome]:[Teenhome]])&gt;0,1,0)</f>
        <v>1</v>
      </c>
      <c r="AS1366" t="str">
        <f>IF(SUM(ifood_data[[#This Row],[Kidhome]:[Teenhome]])&gt;0,"Has Family","No Family")</f>
        <v>Has Family</v>
      </c>
      <c r="AT1366" t="str">
        <f>IF(ifood_data[[#This Row],[marital_Married]]=1,"Married", (IF(ifood_data[[#This Row],[marital_Single]]=1,"Single",(IF(ifood_data[[#This Row],[marital_Divorced]]=1,"Divorced",(IF(ifood_data[[#This Row],[marital_Together]]=1,"Living Together",(IF(ifood_data[[#This Row],[marital_Widow]]=1,"Widow","Other")))))))))</f>
        <v>Married</v>
      </c>
      <c r="AU1366" t="str">
        <f>IF(ifood_data[[#This Row],[education_Basic]]=1,"High School",(IF(ifood_data[[#This Row],[education_Graduation]]=1,"Undergraduate Degree",(IF(SUM(AM1366,AL1366,AI1366)&gt;0,"Master's Degree or Higher","Other")))))</f>
        <v>Undergraduate Degree</v>
      </c>
      <c r="AV1366" t="str">
        <f>IF(ifood_data[[#All],[Income]]&gt;75000,"75K+",(IF(ifood_data[[#All],[Income]]&gt;50000,"50K-75K",(IF(ifood_data[[#All],[Income]]&gt;35000,"35K-50K","&lt;35K")))))</f>
        <v>35K-50K</v>
      </c>
      <c r="AW1366" t="str">
        <f>IF(ifood_data[[#All],[Age]]&gt;60,"60+",(IF(ifood_data[[#All],[Age]]&gt;50,"50-60",(IF(ifood_data[[#All],[Age]]&gt;40,"40-50",(IF(ifood_data[[#All],[Age]]&gt;30,"30-40","&lt;30")))))))</f>
        <v>30-40</v>
      </c>
      <c r="AX1366">
        <f t="shared" si="84"/>
        <v>17</v>
      </c>
      <c r="AY1366">
        <f t="shared" si="85"/>
        <v>7</v>
      </c>
      <c r="AZ1366">
        <f t="shared" si="86"/>
        <v>3</v>
      </c>
      <c r="BA1366">
        <f t="shared" si="87"/>
        <v>3</v>
      </c>
      <c r="BB1366">
        <f>SUM(ifood_data[[#This Row],[Recency Score]:[Monetary Score]])</f>
        <v>13</v>
      </c>
      <c r="BC1366">
        <f>(_xlfn.PERCENTRANK.INC(ifood_data[[#All],[RFM]],ifood_data[[#This Row],[RFM]],1))*10</f>
        <v>3</v>
      </c>
      <c r="BD1366" t="str">
        <f>VLOOKUP(ifood_data[[#This Row],[RFM Score]],'RFM Analysis'!$A$3:$B$14,2,FALSE)</f>
        <v>At Risk</v>
      </c>
      <c r="BE1366">
        <f>'Regression Models'!$B$101+'Regression Models'!$B$102*ifood_data[[#This Row],[Income]]+'Regression Models'!$B$103*ifood_data[[#This Row],[Age]]+'Regression Models'!$B$104*ifood_data[[#This Row],[Family]]</f>
        <v>268.58326857416159</v>
      </c>
      <c r="BF1366" t="str">
        <f>IF(ifood_data[[#This Row],[AcceptedCmpOverall]]=1,"Campaign Respondent","Non-respondent")</f>
        <v>Non-respondent</v>
      </c>
    </row>
    <row r="1367" spans="1:58" x14ac:dyDescent="0.35">
      <c r="A1367">
        <v>1385</v>
      </c>
      <c r="B1367">
        <v>42873</v>
      </c>
      <c r="C1367">
        <v>1</v>
      </c>
      <c r="D1367">
        <v>1</v>
      </c>
      <c r="E1367">
        <v>11</v>
      </c>
      <c r="F1367">
        <v>209</v>
      </c>
      <c r="G1367">
        <v>0</v>
      </c>
      <c r="H1367">
        <v>40</v>
      </c>
      <c r="I1367">
        <v>3</v>
      </c>
      <c r="J1367">
        <v>2</v>
      </c>
      <c r="K1367">
        <v>15</v>
      </c>
      <c r="L1367">
        <v>4</v>
      </c>
      <c r="M1367">
        <v>6</v>
      </c>
      <c r="N1367">
        <v>1</v>
      </c>
      <c r="O1367">
        <v>4</v>
      </c>
      <c r="P1367">
        <v>8</v>
      </c>
      <c r="Q1367">
        <v>0</v>
      </c>
      <c r="R1367">
        <v>0</v>
      </c>
      <c r="S1367">
        <v>0</v>
      </c>
      <c r="T1367">
        <v>0</v>
      </c>
      <c r="U1367">
        <v>0</v>
      </c>
      <c r="V1367">
        <f>IF(SUM(ifood_data[[#This Row],[AcceptedCmp1]:[AcceptedCmp5]])&gt;0,1,0)</f>
        <v>0</v>
      </c>
      <c r="W1367">
        <v>0</v>
      </c>
      <c r="X1367">
        <v>3</v>
      </c>
      <c r="Y1367">
        <v>11</v>
      </c>
      <c r="Z1367">
        <v>0</v>
      </c>
      <c r="AA1367">
        <v>70</v>
      </c>
      <c r="AB1367">
        <v>2683</v>
      </c>
      <c r="AC1367" s="28">
        <f>ifood_data[[#This Row],[Customer_Days]]/365</f>
        <v>7.3506849315068497</v>
      </c>
      <c r="AD1367">
        <v>1</v>
      </c>
      <c r="AE1367">
        <v>0</v>
      </c>
      <c r="AF1367">
        <v>0</v>
      </c>
      <c r="AG1367">
        <v>0</v>
      </c>
      <c r="AH1367">
        <v>0</v>
      </c>
      <c r="AI1367">
        <v>0</v>
      </c>
      <c r="AJ1367">
        <v>0</v>
      </c>
      <c r="AK1367">
        <v>0</v>
      </c>
      <c r="AL1367">
        <v>0</v>
      </c>
      <c r="AM1367">
        <v>1</v>
      </c>
      <c r="AN1367">
        <v>254</v>
      </c>
      <c r="AO1367">
        <v>239</v>
      </c>
      <c r="AP1367">
        <f>ifood_data[[#This Row],[MntTotal]]-ifood_data[[#This Row],[MntRegularProds]]</f>
        <v>15</v>
      </c>
      <c r="AQ1367">
        <v>0</v>
      </c>
      <c r="AR1367">
        <f>IF(SUM(ifood_data[[#This Row],[Kidhome]:[Teenhome]])&gt;0,1,0)</f>
        <v>1</v>
      </c>
      <c r="AS1367" t="str">
        <f>IF(SUM(ifood_data[[#This Row],[Kidhome]:[Teenhome]])&gt;0,"Has Family","No Family")</f>
        <v>Has Family</v>
      </c>
      <c r="AT1367" t="str">
        <f>IF(ifood_data[[#This Row],[marital_Married]]=1,"Married", (IF(ifood_data[[#This Row],[marital_Single]]=1,"Single",(IF(ifood_data[[#This Row],[marital_Divorced]]=1,"Divorced",(IF(ifood_data[[#This Row],[marital_Together]]=1,"Living Together",(IF(ifood_data[[#This Row],[marital_Widow]]=1,"Widow","Other")))))))))</f>
        <v>Divorced</v>
      </c>
      <c r="AU1367" t="str">
        <f>IF(ifood_data[[#This Row],[education_Basic]]=1,"High School",(IF(ifood_data[[#This Row],[education_Graduation]]=1,"Undergraduate Degree",(IF(SUM(AM1367,AL1367,AI1367)&gt;0,"Master's Degree or Higher","Other")))))</f>
        <v>Master's Degree or Higher</v>
      </c>
      <c r="AV1367" t="str">
        <f>IF(ifood_data[[#All],[Income]]&gt;75000,"75K+",(IF(ifood_data[[#All],[Income]]&gt;50000,"50K-75K",(IF(ifood_data[[#All],[Income]]&gt;35000,"35K-50K","&lt;35K")))))</f>
        <v>35K-50K</v>
      </c>
      <c r="AW1367" t="str">
        <f>IF(ifood_data[[#All],[Age]]&gt;60,"60+",(IF(ifood_data[[#All],[Age]]&gt;50,"50-60",(IF(ifood_data[[#All],[Age]]&gt;40,"40-50",(IF(ifood_data[[#All],[Age]]&gt;30,"30-40","&lt;30")))))))</f>
        <v>60+</v>
      </c>
      <c r="AX1367">
        <f t="shared" si="84"/>
        <v>23</v>
      </c>
      <c r="AY1367">
        <f t="shared" si="85"/>
        <v>9</v>
      </c>
      <c r="AZ1367">
        <f t="shared" si="86"/>
        <v>6</v>
      </c>
      <c r="BA1367">
        <f t="shared" si="87"/>
        <v>4</v>
      </c>
      <c r="BB1367">
        <f>SUM(ifood_data[[#This Row],[Recency Score]:[Monetary Score]])</f>
        <v>19</v>
      </c>
      <c r="BC1367">
        <f>(_xlfn.PERCENTRANK.INC(ifood_data[[#All],[RFM]],ifood_data[[#This Row],[RFM]],1))*10</f>
        <v>7</v>
      </c>
      <c r="BD1367" t="str">
        <f>VLOOKUP(ifood_data[[#This Row],[RFM Score]],'RFM Analysis'!$A$3:$B$14,2,FALSE)</f>
        <v>Loyal Customer</v>
      </c>
      <c r="BE1367">
        <f>'Regression Models'!$B$101+'Regression Models'!$B$102*ifood_data[[#This Row],[Income]]+'Regression Models'!$B$103*ifood_data[[#This Row],[Age]]+'Regression Models'!$B$104*ifood_data[[#This Row],[Family]]</f>
        <v>268.14803376329621</v>
      </c>
      <c r="BF1367" t="str">
        <f>IF(ifood_data[[#This Row],[AcceptedCmpOverall]]=1,"Campaign Respondent","Non-respondent")</f>
        <v>Non-respondent</v>
      </c>
    </row>
    <row r="1368" spans="1:58" x14ac:dyDescent="0.35">
      <c r="A1368">
        <v>73</v>
      </c>
      <c r="B1368">
        <v>26326</v>
      </c>
      <c r="C1368">
        <v>0</v>
      </c>
      <c r="D1368">
        <v>0</v>
      </c>
      <c r="E1368">
        <v>12</v>
      </c>
      <c r="F1368">
        <v>1</v>
      </c>
      <c r="G1368">
        <v>0</v>
      </c>
      <c r="H1368">
        <v>5</v>
      </c>
      <c r="I1368">
        <v>0</v>
      </c>
      <c r="J1368">
        <v>3</v>
      </c>
      <c r="K1368">
        <v>9</v>
      </c>
      <c r="L1368">
        <v>1</v>
      </c>
      <c r="M1368">
        <v>0</v>
      </c>
      <c r="N1368">
        <v>0</v>
      </c>
      <c r="O1368">
        <v>3</v>
      </c>
      <c r="P1368">
        <v>3</v>
      </c>
      <c r="Q1368">
        <v>0</v>
      </c>
      <c r="R1368">
        <v>0</v>
      </c>
      <c r="S1368">
        <v>0</v>
      </c>
      <c r="T1368">
        <v>0</v>
      </c>
      <c r="U1368">
        <v>0</v>
      </c>
      <c r="V1368">
        <f>IF(SUM(ifood_data[[#This Row],[AcceptedCmp1]:[AcceptedCmp5]])&gt;0,1,0)</f>
        <v>0</v>
      </c>
      <c r="W1368">
        <v>1</v>
      </c>
      <c r="X1368">
        <v>3</v>
      </c>
      <c r="Y1368">
        <v>11</v>
      </c>
      <c r="Z1368">
        <v>0</v>
      </c>
      <c r="AA1368">
        <v>44</v>
      </c>
      <c r="AB1368">
        <v>2457</v>
      </c>
      <c r="AC1368" s="28">
        <f>ifood_data[[#This Row],[Customer_Days]]/365</f>
        <v>6.7315068493150685</v>
      </c>
      <c r="AD1368">
        <v>0</v>
      </c>
      <c r="AE1368">
        <v>0</v>
      </c>
      <c r="AF1368">
        <v>0</v>
      </c>
      <c r="AG1368">
        <v>1</v>
      </c>
      <c r="AH1368">
        <v>0</v>
      </c>
      <c r="AI1368">
        <v>1</v>
      </c>
      <c r="AJ1368">
        <v>0</v>
      </c>
      <c r="AK1368">
        <v>0</v>
      </c>
      <c r="AL1368">
        <v>0</v>
      </c>
      <c r="AM1368">
        <v>0</v>
      </c>
      <c r="AN1368">
        <v>9</v>
      </c>
      <c r="AO1368">
        <v>0</v>
      </c>
      <c r="AP1368">
        <f>ifood_data[[#This Row],[MntTotal]]-ifood_data[[#This Row],[MntRegularProds]]</f>
        <v>9</v>
      </c>
      <c r="AQ1368">
        <v>0</v>
      </c>
      <c r="AR1368">
        <f>IF(SUM(ifood_data[[#This Row],[Kidhome]:[Teenhome]])&gt;0,1,0)</f>
        <v>0</v>
      </c>
      <c r="AS1368" t="str">
        <f>IF(SUM(ifood_data[[#This Row],[Kidhome]:[Teenhome]])&gt;0,"Has Family","No Family")</f>
        <v>No Family</v>
      </c>
      <c r="AT1368" t="str">
        <f>IF(ifood_data[[#This Row],[marital_Married]]=1,"Married", (IF(ifood_data[[#This Row],[marital_Single]]=1,"Single",(IF(ifood_data[[#This Row],[marital_Divorced]]=1,"Divorced",(IF(ifood_data[[#This Row],[marital_Together]]=1,"Living Together",(IF(ifood_data[[#This Row],[marital_Widow]]=1,"Widow","Other")))))))))</f>
        <v>Living Together</v>
      </c>
      <c r="AU1368" t="str">
        <f>IF(ifood_data[[#This Row],[education_Basic]]=1,"High School",(IF(ifood_data[[#This Row],[education_Graduation]]=1,"Undergraduate Degree",(IF(SUM(AM1368,AL1368,AI1368)&gt;0,"Master's Degree or Higher","Other")))))</f>
        <v>Master's Degree or Higher</v>
      </c>
      <c r="AV1368" t="str">
        <f>IF(ifood_data[[#All],[Income]]&gt;75000,"75K+",(IF(ifood_data[[#All],[Income]]&gt;50000,"50K-75K",(IF(ifood_data[[#All],[Income]]&gt;35000,"35K-50K","&lt;35K")))))</f>
        <v>&lt;35K</v>
      </c>
      <c r="AW1368" t="str">
        <f>IF(ifood_data[[#All],[Age]]&gt;60,"60+",(IF(ifood_data[[#All],[Age]]&gt;50,"50-60",(IF(ifood_data[[#All],[Age]]&gt;40,"40-50",(IF(ifood_data[[#All],[Age]]&gt;30,"30-40","&lt;30")))))))</f>
        <v>40-50</v>
      </c>
      <c r="AX1368">
        <f t="shared" si="84"/>
        <v>7</v>
      </c>
      <c r="AY1368">
        <f t="shared" si="85"/>
        <v>9</v>
      </c>
      <c r="AZ1368">
        <f t="shared" si="86"/>
        <v>0</v>
      </c>
      <c r="BA1368">
        <f t="shared" si="87"/>
        <v>0</v>
      </c>
      <c r="BB1368">
        <f>SUM(ifood_data[[#This Row],[Recency Score]:[Monetary Score]])</f>
        <v>9</v>
      </c>
      <c r="BC1368">
        <f>(_xlfn.PERCENTRANK.INC(ifood_data[[#All],[RFM]],ifood_data[[#This Row],[RFM]],1))*10</f>
        <v>1</v>
      </c>
      <c r="BD1368" t="str">
        <f>VLOOKUP(ifood_data[[#This Row],[RFM Score]],'RFM Analysis'!$A$3:$B$14,2,FALSE)</f>
        <v>At Risk</v>
      </c>
      <c r="BE1368">
        <f>'Regression Models'!$B$101+'Regression Models'!$B$102*ifood_data[[#This Row],[Income]]+'Regression Models'!$B$103*ifood_data[[#This Row],[Age]]+'Regression Models'!$B$104*ifood_data[[#This Row],[Family]]</f>
        <v>268.13613441046778</v>
      </c>
      <c r="BF1368" t="str">
        <f>IF(ifood_data[[#This Row],[AcceptedCmpOverall]]=1,"Campaign Respondent","Non-respondent")</f>
        <v>Non-respondent</v>
      </c>
    </row>
    <row r="1369" spans="1:58" x14ac:dyDescent="0.35">
      <c r="A1369">
        <v>628</v>
      </c>
      <c r="B1369">
        <v>25965</v>
      </c>
      <c r="C1369">
        <v>0</v>
      </c>
      <c r="D1369">
        <v>0</v>
      </c>
      <c r="E1369">
        <v>29</v>
      </c>
      <c r="F1369">
        <v>2</v>
      </c>
      <c r="G1369">
        <v>2</v>
      </c>
      <c r="H1369">
        <v>11</v>
      </c>
      <c r="I1369">
        <v>41</v>
      </c>
      <c r="J1369">
        <v>7</v>
      </c>
      <c r="K1369">
        <v>11</v>
      </c>
      <c r="L1369">
        <v>1</v>
      </c>
      <c r="M1369">
        <v>2</v>
      </c>
      <c r="N1369">
        <v>0</v>
      </c>
      <c r="O1369">
        <v>3</v>
      </c>
      <c r="P1369">
        <v>8</v>
      </c>
      <c r="Q1369">
        <v>0</v>
      </c>
      <c r="R1369">
        <v>0</v>
      </c>
      <c r="S1369">
        <v>0</v>
      </c>
      <c r="T1369">
        <v>0</v>
      </c>
      <c r="U1369">
        <v>0</v>
      </c>
      <c r="V1369">
        <f>IF(SUM(ifood_data[[#This Row],[AcceptedCmp1]:[AcceptedCmp5]])&gt;0,1,0)</f>
        <v>0</v>
      </c>
      <c r="W1369">
        <v>0</v>
      </c>
      <c r="X1369">
        <v>3</v>
      </c>
      <c r="Y1369">
        <v>11</v>
      </c>
      <c r="Z1369">
        <v>0</v>
      </c>
      <c r="AA1369">
        <v>40</v>
      </c>
      <c r="AB1369">
        <v>2819</v>
      </c>
      <c r="AC1369" s="28">
        <f>ifood_data[[#This Row],[Customer_Days]]/365</f>
        <v>7.7232876712328764</v>
      </c>
      <c r="AD1369">
        <v>0</v>
      </c>
      <c r="AE1369">
        <v>1</v>
      </c>
      <c r="AF1369">
        <v>0</v>
      </c>
      <c r="AG1369">
        <v>0</v>
      </c>
      <c r="AH1369">
        <v>0</v>
      </c>
      <c r="AI1369">
        <v>0</v>
      </c>
      <c r="AJ1369">
        <v>1</v>
      </c>
      <c r="AK1369">
        <v>0</v>
      </c>
      <c r="AL1369">
        <v>0</v>
      </c>
      <c r="AM1369">
        <v>0</v>
      </c>
      <c r="AN1369">
        <v>63</v>
      </c>
      <c r="AO1369">
        <v>52</v>
      </c>
      <c r="AP1369">
        <f>ifood_data[[#This Row],[MntTotal]]-ifood_data[[#This Row],[MntRegularProds]]</f>
        <v>11</v>
      </c>
      <c r="AQ1369">
        <v>0</v>
      </c>
      <c r="AR1369">
        <f>IF(SUM(ifood_data[[#This Row],[Kidhome]:[Teenhome]])&gt;0,1,0)</f>
        <v>0</v>
      </c>
      <c r="AS1369" t="str">
        <f>IF(SUM(ifood_data[[#This Row],[Kidhome]:[Teenhome]])&gt;0,"Has Family","No Family")</f>
        <v>No Family</v>
      </c>
      <c r="AT1369" t="str">
        <f>IF(ifood_data[[#This Row],[marital_Married]]=1,"Married", (IF(ifood_data[[#This Row],[marital_Single]]=1,"Single",(IF(ifood_data[[#This Row],[marital_Divorced]]=1,"Divorced",(IF(ifood_data[[#This Row],[marital_Together]]=1,"Living Together",(IF(ifood_data[[#This Row],[marital_Widow]]=1,"Widow","Other")))))))))</f>
        <v>Married</v>
      </c>
      <c r="AU1369" t="str">
        <f>IF(ifood_data[[#This Row],[education_Basic]]=1,"High School",(IF(ifood_data[[#This Row],[education_Graduation]]=1,"Undergraduate Degree",(IF(SUM(AM1369,AL1369,AI1369)&gt;0,"Master's Degree or Higher","Other")))))</f>
        <v>High School</v>
      </c>
      <c r="AV1369" t="str">
        <f>IF(ifood_data[[#All],[Income]]&gt;75000,"75K+",(IF(ifood_data[[#All],[Income]]&gt;50000,"50K-75K",(IF(ifood_data[[#All],[Income]]&gt;35000,"35K-50K","&lt;35K")))))</f>
        <v>&lt;35K</v>
      </c>
      <c r="AW1369" t="str">
        <f>IF(ifood_data[[#All],[Age]]&gt;60,"60+",(IF(ifood_data[[#All],[Age]]&gt;50,"50-60",(IF(ifood_data[[#All],[Age]]&gt;40,"40-50",(IF(ifood_data[[#All],[Age]]&gt;30,"30-40","&lt;30")))))))</f>
        <v>30-40</v>
      </c>
      <c r="AX1369">
        <f t="shared" si="84"/>
        <v>14</v>
      </c>
      <c r="AY1369">
        <f t="shared" si="85"/>
        <v>8</v>
      </c>
      <c r="AZ1369">
        <f t="shared" si="86"/>
        <v>2</v>
      </c>
      <c r="BA1369">
        <f t="shared" si="87"/>
        <v>2</v>
      </c>
      <c r="BB1369">
        <f>SUM(ifood_data[[#This Row],[Recency Score]:[Monetary Score]])</f>
        <v>12</v>
      </c>
      <c r="BC1369">
        <f>(_xlfn.PERCENTRANK.INC(ifood_data[[#All],[RFM]],ifood_data[[#This Row],[RFM]],1))*10</f>
        <v>3</v>
      </c>
      <c r="BD1369" t="str">
        <f>VLOOKUP(ifood_data[[#This Row],[RFM Score]],'RFM Analysis'!$A$3:$B$14,2,FALSE)</f>
        <v>At Risk</v>
      </c>
      <c r="BE1369">
        <f>'Regression Models'!$B$101+'Regression Models'!$B$102*ifood_data[[#This Row],[Income]]+'Regression Models'!$B$103*ifood_data[[#This Row],[Age]]+'Regression Models'!$B$104*ifood_data[[#This Row],[Family]]</f>
        <v>268.12154542609744</v>
      </c>
      <c r="BF1369" t="str">
        <f>IF(ifood_data[[#This Row],[AcceptedCmpOverall]]=1,"Campaign Respondent","Non-respondent")</f>
        <v>Non-respondent</v>
      </c>
    </row>
    <row r="1370" spans="1:58" x14ac:dyDescent="0.35">
      <c r="A1370">
        <v>1140</v>
      </c>
      <c r="B1370">
        <v>42213</v>
      </c>
      <c r="C1370">
        <v>0</v>
      </c>
      <c r="D1370">
        <v>1</v>
      </c>
      <c r="E1370">
        <v>96</v>
      </c>
      <c r="F1370">
        <v>309</v>
      </c>
      <c r="G1370">
        <v>3</v>
      </c>
      <c r="H1370">
        <v>24</v>
      </c>
      <c r="I1370">
        <v>4</v>
      </c>
      <c r="J1370">
        <v>3</v>
      </c>
      <c r="K1370">
        <v>20</v>
      </c>
      <c r="L1370">
        <v>2</v>
      </c>
      <c r="M1370">
        <v>5</v>
      </c>
      <c r="N1370">
        <v>1</v>
      </c>
      <c r="O1370">
        <v>7</v>
      </c>
      <c r="P1370">
        <v>7</v>
      </c>
      <c r="Q1370">
        <v>0</v>
      </c>
      <c r="R1370">
        <v>0</v>
      </c>
      <c r="S1370">
        <v>0</v>
      </c>
      <c r="T1370">
        <v>1</v>
      </c>
      <c r="U1370">
        <v>0</v>
      </c>
      <c r="V1370">
        <f>IF(SUM(ifood_data[[#This Row],[AcceptedCmp1]:[AcceptedCmp5]])&gt;0,1,0)</f>
        <v>1</v>
      </c>
      <c r="W1370">
        <v>0</v>
      </c>
      <c r="X1370">
        <v>3</v>
      </c>
      <c r="Y1370">
        <v>11</v>
      </c>
      <c r="Z1370">
        <v>0</v>
      </c>
      <c r="AA1370">
        <v>63</v>
      </c>
      <c r="AB1370">
        <v>2419</v>
      </c>
      <c r="AC1370" s="28">
        <f>ifood_data[[#This Row],[Customer_Days]]/365</f>
        <v>6.6273972602739724</v>
      </c>
      <c r="AD1370">
        <v>0</v>
      </c>
      <c r="AE1370">
        <v>0</v>
      </c>
      <c r="AF1370">
        <v>0</v>
      </c>
      <c r="AG1370">
        <v>1</v>
      </c>
      <c r="AH1370">
        <v>0</v>
      </c>
      <c r="AI1370">
        <v>0</v>
      </c>
      <c r="AJ1370">
        <v>0</v>
      </c>
      <c r="AK1370">
        <v>1</v>
      </c>
      <c r="AL1370">
        <v>0</v>
      </c>
      <c r="AM1370">
        <v>0</v>
      </c>
      <c r="AN1370">
        <v>343</v>
      </c>
      <c r="AO1370">
        <v>323</v>
      </c>
      <c r="AP1370">
        <f>ifood_data[[#This Row],[MntTotal]]-ifood_data[[#This Row],[MntRegularProds]]</f>
        <v>20</v>
      </c>
      <c r="AQ1370">
        <v>1</v>
      </c>
      <c r="AR1370">
        <f>IF(SUM(ifood_data[[#This Row],[Kidhome]:[Teenhome]])&gt;0,1,0)</f>
        <v>1</v>
      </c>
      <c r="AS1370" t="str">
        <f>IF(SUM(ifood_data[[#This Row],[Kidhome]:[Teenhome]])&gt;0,"Has Family","No Family")</f>
        <v>Has Family</v>
      </c>
      <c r="AT1370" t="str">
        <f>IF(ifood_data[[#This Row],[marital_Married]]=1,"Married", (IF(ifood_data[[#This Row],[marital_Single]]=1,"Single",(IF(ifood_data[[#This Row],[marital_Divorced]]=1,"Divorced",(IF(ifood_data[[#This Row],[marital_Together]]=1,"Living Together",(IF(ifood_data[[#This Row],[marital_Widow]]=1,"Widow","Other")))))))))</f>
        <v>Living Together</v>
      </c>
      <c r="AU1370" t="str">
        <f>IF(ifood_data[[#This Row],[education_Basic]]=1,"High School",(IF(ifood_data[[#This Row],[education_Graduation]]=1,"Undergraduate Degree",(IF(SUM(AM1370,AL1370,AI1370)&gt;0,"Master's Degree or Higher","Other")))))</f>
        <v>Undergraduate Degree</v>
      </c>
      <c r="AV1370" t="str">
        <f>IF(ifood_data[[#All],[Income]]&gt;75000,"75K+",(IF(ifood_data[[#All],[Income]]&gt;50000,"50K-75K",(IF(ifood_data[[#All],[Income]]&gt;35000,"35K-50K","&lt;35K")))))</f>
        <v>35K-50K</v>
      </c>
      <c r="AW1370" t="str">
        <f>IF(ifood_data[[#All],[Age]]&gt;60,"60+",(IF(ifood_data[[#All],[Age]]&gt;50,"50-60",(IF(ifood_data[[#All],[Age]]&gt;40,"40-50",(IF(ifood_data[[#All],[Age]]&gt;30,"30-40","&lt;30")))))))</f>
        <v>60+</v>
      </c>
      <c r="AX1370">
        <f t="shared" si="84"/>
        <v>22</v>
      </c>
      <c r="AY1370">
        <f t="shared" si="85"/>
        <v>0.99999999999999978</v>
      </c>
      <c r="AZ1370">
        <f t="shared" si="86"/>
        <v>5</v>
      </c>
      <c r="BA1370">
        <f t="shared" si="87"/>
        <v>4</v>
      </c>
      <c r="BB1370">
        <f>SUM(ifood_data[[#This Row],[Recency Score]:[Monetary Score]])</f>
        <v>10</v>
      </c>
      <c r="BC1370">
        <f>(_xlfn.PERCENTRANK.INC(ifood_data[[#All],[RFM]],ifood_data[[#This Row],[RFM]],1))*10</f>
        <v>2</v>
      </c>
      <c r="BD1370" t="str">
        <f>VLOOKUP(ifood_data[[#This Row],[RFM Score]],'RFM Analysis'!$A$3:$B$14,2,FALSE)</f>
        <v>At Risk</v>
      </c>
      <c r="BE1370">
        <f>'Regression Models'!$B$101+'Regression Models'!$B$102*ifood_data[[#This Row],[Income]]+'Regression Models'!$B$103*ifood_data[[#This Row],[Age]]+'Regression Models'!$B$104*ifood_data[[#This Row],[Family]]</f>
        <v>267.5465203405829</v>
      </c>
      <c r="BF1370" t="str">
        <f>IF(ifood_data[[#This Row],[AcceptedCmpOverall]]=1,"Campaign Respondent","Non-respondent")</f>
        <v>Campaign Respondent</v>
      </c>
    </row>
    <row r="1371" spans="1:58" x14ac:dyDescent="0.35">
      <c r="A1371">
        <v>464</v>
      </c>
      <c r="B1371">
        <v>28457</v>
      </c>
      <c r="C1371">
        <v>0</v>
      </c>
      <c r="D1371">
        <v>0</v>
      </c>
      <c r="E1371">
        <v>96</v>
      </c>
      <c r="F1371">
        <v>24</v>
      </c>
      <c r="G1371">
        <v>1</v>
      </c>
      <c r="H1371">
        <v>108</v>
      </c>
      <c r="I1371">
        <v>29</v>
      </c>
      <c r="J1371">
        <v>29</v>
      </c>
      <c r="K1371">
        <v>14</v>
      </c>
      <c r="L1371">
        <v>1</v>
      </c>
      <c r="M1371">
        <v>4</v>
      </c>
      <c r="N1371">
        <v>1</v>
      </c>
      <c r="O1371">
        <v>4</v>
      </c>
      <c r="P1371">
        <v>8</v>
      </c>
      <c r="Q1371">
        <v>0</v>
      </c>
      <c r="R1371">
        <v>0</v>
      </c>
      <c r="S1371">
        <v>0</v>
      </c>
      <c r="T1371">
        <v>0</v>
      </c>
      <c r="U1371">
        <v>0</v>
      </c>
      <c r="V1371">
        <f>IF(SUM(ifood_data[[#This Row],[AcceptedCmp1]:[AcceptedCmp5]])&gt;0,1,0)</f>
        <v>0</v>
      </c>
      <c r="W1371">
        <v>0</v>
      </c>
      <c r="X1371">
        <v>3</v>
      </c>
      <c r="Y1371">
        <v>11</v>
      </c>
      <c r="Z1371">
        <v>0</v>
      </c>
      <c r="AA1371">
        <v>68</v>
      </c>
      <c r="AB1371">
        <v>2768</v>
      </c>
      <c r="AC1371" s="28">
        <f>ifood_data[[#This Row],[Customer_Days]]/365</f>
        <v>7.5835616438356164</v>
      </c>
      <c r="AD1371">
        <v>0</v>
      </c>
      <c r="AE1371">
        <v>0</v>
      </c>
      <c r="AF1371">
        <v>0</v>
      </c>
      <c r="AG1371">
        <v>0</v>
      </c>
      <c r="AH1371">
        <v>1</v>
      </c>
      <c r="AI1371">
        <v>1</v>
      </c>
      <c r="AJ1371">
        <v>0</v>
      </c>
      <c r="AK1371">
        <v>0</v>
      </c>
      <c r="AL1371">
        <v>0</v>
      </c>
      <c r="AM1371">
        <v>0</v>
      </c>
      <c r="AN1371">
        <v>191</v>
      </c>
      <c r="AO1371">
        <v>177</v>
      </c>
      <c r="AP1371">
        <f>ifood_data[[#This Row],[MntTotal]]-ifood_data[[#This Row],[MntRegularProds]]</f>
        <v>14</v>
      </c>
      <c r="AQ1371">
        <v>0</v>
      </c>
      <c r="AR1371">
        <f>IF(SUM(ifood_data[[#This Row],[Kidhome]:[Teenhome]])&gt;0,1,0)</f>
        <v>0</v>
      </c>
      <c r="AS1371" t="str">
        <f>IF(SUM(ifood_data[[#This Row],[Kidhome]:[Teenhome]])&gt;0,"Has Family","No Family")</f>
        <v>No Family</v>
      </c>
      <c r="AT1371" t="str">
        <f>IF(ifood_data[[#This Row],[marital_Married]]=1,"Married", (IF(ifood_data[[#This Row],[marital_Single]]=1,"Single",(IF(ifood_data[[#This Row],[marital_Divorced]]=1,"Divorced",(IF(ifood_data[[#This Row],[marital_Together]]=1,"Living Together",(IF(ifood_data[[#This Row],[marital_Widow]]=1,"Widow","Other")))))))))</f>
        <v>Widow</v>
      </c>
      <c r="AU1371" t="str">
        <f>IF(ifood_data[[#This Row],[education_Basic]]=1,"High School",(IF(ifood_data[[#This Row],[education_Graduation]]=1,"Undergraduate Degree",(IF(SUM(AM1371,AL1371,AI1371)&gt;0,"Master's Degree or Higher","Other")))))</f>
        <v>Master's Degree or Higher</v>
      </c>
      <c r="AV1371" t="str">
        <f>IF(ifood_data[[#All],[Income]]&gt;75000,"75K+",(IF(ifood_data[[#All],[Income]]&gt;50000,"50K-75K",(IF(ifood_data[[#All],[Income]]&gt;35000,"35K-50K","&lt;35K")))))</f>
        <v>&lt;35K</v>
      </c>
      <c r="AW1371" t="str">
        <f>IF(ifood_data[[#All],[Age]]&gt;60,"60+",(IF(ifood_data[[#All],[Age]]&gt;50,"50-60",(IF(ifood_data[[#All],[Age]]&gt;40,"40-50",(IF(ifood_data[[#All],[Age]]&gt;30,"30-40","&lt;30")))))))</f>
        <v>60+</v>
      </c>
      <c r="AX1371">
        <f t="shared" si="84"/>
        <v>18</v>
      </c>
      <c r="AY1371">
        <f t="shared" si="85"/>
        <v>0.99999999999999978</v>
      </c>
      <c r="AZ1371">
        <f t="shared" si="86"/>
        <v>4</v>
      </c>
      <c r="BA1371">
        <f t="shared" si="87"/>
        <v>4</v>
      </c>
      <c r="BB1371">
        <f>SUM(ifood_data[[#This Row],[Recency Score]:[Monetary Score]])</f>
        <v>9</v>
      </c>
      <c r="BC1371">
        <f>(_xlfn.PERCENTRANK.INC(ifood_data[[#All],[RFM]],ifood_data[[#This Row],[RFM]],1))*10</f>
        <v>1</v>
      </c>
      <c r="BD1371" t="str">
        <f>VLOOKUP(ifood_data[[#This Row],[RFM Score]],'RFM Analysis'!$A$3:$B$14,2,FALSE)</f>
        <v>At Risk</v>
      </c>
      <c r="BE1371">
        <f>'Regression Models'!$B$101+'Regression Models'!$B$102*ifood_data[[#This Row],[Income]]+'Regression Models'!$B$103*ifood_data[[#This Row],[Age]]+'Regression Models'!$B$104*ifood_data[[#This Row],[Family]]</f>
        <v>267.51006143165375</v>
      </c>
      <c r="BF1371" t="str">
        <f>IF(ifood_data[[#This Row],[AcceptedCmpOverall]]=1,"Campaign Respondent","Non-respondent")</f>
        <v>Non-respondent</v>
      </c>
    </row>
    <row r="1372" spans="1:58" x14ac:dyDescent="0.35">
      <c r="A1372">
        <v>123</v>
      </c>
      <c r="B1372">
        <v>41551</v>
      </c>
      <c r="C1372">
        <v>1</v>
      </c>
      <c r="D1372">
        <v>1</v>
      </c>
      <c r="E1372">
        <v>51</v>
      </c>
      <c r="F1372">
        <v>220</v>
      </c>
      <c r="G1372">
        <v>0</v>
      </c>
      <c r="H1372">
        <v>33</v>
      </c>
      <c r="I1372">
        <v>3</v>
      </c>
      <c r="J1372">
        <v>0</v>
      </c>
      <c r="K1372">
        <v>23</v>
      </c>
      <c r="L1372">
        <v>5</v>
      </c>
      <c r="M1372">
        <v>5</v>
      </c>
      <c r="N1372">
        <v>1</v>
      </c>
      <c r="O1372">
        <v>5</v>
      </c>
      <c r="P1372">
        <v>8</v>
      </c>
      <c r="Q1372">
        <v>0</v>
      </c>
      <c r="R1372">
        <v>0</v>
      </c>
      <c r="S1372">
        <v>0</v>
      </c>
      <c r="T1372">
        <v>0</v>
      </c>
      <c r="U1372">
        <v>0</v>
      </c>
      <c r="V1372">
        <f>IF(SUM(ifood_data[[#This Row],[AcceptedCmp1]:[AcceptedCmp5]])&gt;0,1,0)</f>
        <v>0</v>
      </c>
      <c r="W1372">
        <v>0</v>
      </c>
      <c r="X1372">
        <v>3</v>
      </c>
      <c r="Y1372">
        <v>11</v>
      </c>
      <c r="Z1372">
        <v>0</v>
      </c>
      <c r="AA1372">
        <v>56</v>
      </c>
      <c r="AB1372">
        <v>2478</v>
      </c>
      <c r="AC1372" s="28">
        <f>ifood_data[[#This Row],[Customer_Days]]/365</f>
        <v>6.7890410958904113</v>
      </c>
      <c r="AD1372">
        <v>0</v>
      </c>
      <c r="AE1372">
        <v>1</v>
      </c>
      <c r="AF1372">
        <v>0</v>
      </c>
      <c r="AG1372">
        <v>0</v>
      </c>
      <c r="AH1372">
        <v>0</v>
      </c>
      <c r="AI1372">
        <v>0</v>
      </c>
      <c r="AJ1372">
        <v>0</v>
      </c>
      <c r="AK1372">
        <v>0</v>
      </c>
      <c r="AL1372">
        <v>0</v>
      </c>
      <c r="AM1372">
        <v>1</v>
      </c>
      <c r="AN1372">
        <v>256</v>
      </c>
      <c r="AO1372">
        <v>233</v>
      </c>
      <c r="AP1372">
        <f>ifood_data[[#This Row],[MntTotal]]-ifood_data[[#This Row],[MntRegularProds]]</f>
        <v>23</v>
      </c>
      <c r="AQ1372">
        <v>0</v>
      </c>
      <c r="AR1372">
        <f>IF(SUM(ifood_data[[#This Row],[Kidhome]:[Teenhome]])&gt;0,1,0)</f>
        <v>1</v>
      </c>
      <c r="AS1372" t="str">
        <f>IF(SUM(ifood_data[[#This Row],[Kidhome]:[Teenhome]])&gt;0,"Has Family","No Family")</f>
        <v>Has Family</v>
      </c>
      <c r="AT1372" t="str">
        <f>IF(ifood_data[[#This Row],[marital_Married]]=1,"Married", (IF(ifood_data[[#This Row],[marital_Single]]=1,"Single",(IF(ifood_data[[#This Row],[marital_Divorced]]=1,"Divorced",(IF(ifood_data[[#This Row],[marital_Together]]=1,"Living Together",(IF(ifood_data[[#This Row],[marital_Widow]]=1,"Widow","Other")))))))))</f>
        <v>Married</v>
      </c>
      <c r="AU1372" t="str">
        <f>IF(ifood_data[[#This Row],[education_Basic]]=1,"High School",(IF(ifood_data[[#This Row],[education_Graduation]]=1,"Undergraduate Degree",(IF(SUM(AM1372,AL1372,AI1372)&gt;0,"Master's Degree or Higher","Other")))))</f>
        <v>Master's Degree or Higher</v>
      </c>
      <c r="AV1372" t="str">
        <f>IF(ifood_data[[#All],[Income]]&gt;75000,"75K+",(IF(ifood_data[[#All],[Income]]&gt;50000,"50K-75K",(IF(ifood_data[[#All],[Income]]&gt;35000,"35K-50K","&lt;35K")))))</f>
        <v>35K-50K</v>
      </c>
      <c r="AW1372" t="str">
        <f>IF(ifood_data[[#All],[Age]]&gt;60,"60+",(IF(ifood_data[[#All],[Age]]&gt;50,"50-60",(IF(ifood_data[[#All],[Age]]&gt;40,"40-50",(IF(ifood_data[[#All],[Age]]&gt;30,"30-40","&lt;30")))))))</f>
        <v>50-60</v>
      </c>
      <c r="AX1372">
        <f t="shared" si="84"/>
        <v>24</v>
      </c>
      <c r="AY1372">
        <f t="shared" si="85"/>
        <v>5</v>
      </c>
      <c r="AZ1372">
        <f t="shared" si="86"/>
        <v>6</v>
      </c>
      <c r="BA1372">
        <f t="shared" si="87"/>
        <v>4</v>
      </c>
      <c r="BB1372">
        <f>SUM(ifood_data[[#This Row],[Recency Score]:[Monetary Score]])</f>
        <v>15</v>
      </c>
      <c r="BC1372">
        <f>(_xlfn.PERCENTRANK.INC(ifood_data[[#All],[RFM]],ifood_data[[#This Row],[RFM]],1))*10</f>
        <v>4</v>
      </c>
      <c r="BD1372" t="str">
        <f>VLOOKUP(ifood_data[[#This Row],[RFM Score]],'RFM Analysis'!$A$3:$B$14,2,FALSE)</f>
        <v>At Risk</v>
      </c>
      <c r="BE1372">
        <f>'Regression Models'!$B$101+'Regression Models'!$B$102*ifood_data[[#This Row],[Income]]+'Regression Models'!$B$103*ifood_data[[#This Row],[Age]]+'Regression Models'!$B$104*ifood_data[[#This Row],[Family]]</f>
        <v>266.90422938158167</v>
      </c>
      <c r="BF1372" t="str">
        <f>IF(ifood_data[[#This Row],[AcceptedCmpOverall]]=1,"Campaign Respondent","Non-respondent")</f>
        <v>Non-respondent</v>
      </c>
    </row>
    <row r="1373" spans="1:58" x14ac:dyDescent="0.35">
      <c r="A1373">
        <v>582</v>
      </c>
      <c r="B1373">
        <v>26877</v>
      </c>
      <c r="C1373">
        <v>0</v>
      </c>
      <c r="D1373">
        <v>0</v>
      </c>
      <c r="E1373">
        <v>74</v>
      </c>
      <c r="F1373">
        <v>101</v>
      </c>
      <c r="G1373">
        <v>13</v>
      </c>
      <c r="H1373">
        <v>76</v>
      </c>
      <c r="I1373">
        <v>20</v>
      </c>
      <c r="J1373">
        <v>18</v>
      </c>
      <c r="K1373">
        <v>40</v>
      </c>
      <c r="L1373">
        <v>2</v>
      </c>
      <c r="M1373">
        <v>3</v>
      </c>
      <c r="N1373">
        <v>1</v>
      </c>
      <c r="O1373">
        <v>6</v>
      </c>
      <c r="P1373">
        <v>6</v>
      </c>
      <c r="Q1373">
        <v>0</v>
      </c>
      <c r="R1373">
        <v>0</v>
      </c>
      <c r="S1373">
        <v>0</v>
      </c>
      <c r="T1373">
        <v>0</v>
      </c>
      <c r="U1373">
        <v>0</v>
      </c>
      <c r="V1373">
        <f>IF(SUM(ifood_data[[#This Row],[AcceptedCmp1]:[AcceptedCmp5]])&gt;0,1,0)</f>
        <v>0</v>
      </c>
      <c r="W1373">
        <v>0</v>
      </c>
      <c r="X1373">
        <v>3</v>
      </c>
      <c r="Y1373">
        <v>11</v>
      </c>
      <c r="Z1373">
        <v>0</v>
      </c>
      <c r="AA1373">
        <v>51</v>
      </c>
      <c r="AB1373">
        <v>2473</v>
      </c>
      <c r="AC1373" s="28">
        <f>ifood_data[[#This Row],[Customer_Days]]/365</f>
        <v>6.7753424657534245</v>
      </c>
      <c r="AD1373">
        <v>0</v>
      </c>
      <c r="AE1373">
        <v>0</v>
      </c>
      <c r="AF1373">
        <v>1</v>
      </c>
      <c r="AG1373">
        <v>0</v>
      </c>
      <c r="AH1373">
        <v>0</v>
      </c>
      <c r="AI1373">
        <v>0</v>
      </c>
      <c r="AJ1373">
        <v>0</v>
      </c>
      <c r="AK1373">
        <v>0</v>
      </c>
      <c r="AL1373">
        <v>1</v>
      </c>
      <c r="AM1373">
        <v>0</v>
      </c>
      <c r="AN1373">
        <v>228</v>
      </c>
      <c r="AO1373">
        <v>188</v>
      </c>
      <c r="AP1373">
        <f>ifood_data[[#This Row],[MntTotal]]-ifood_data[[#This Row],[MntRegularProds]]</f>
        <v>40</v>
      </c>
      <c r="AQ1373">
        <v>0</v>
      </c>
      <c r="AR1373">
        <f>IF(SUM(ifood_data[[#This Row],[Kidhome]:[Teenhome]])&gt;0,1,0)</f>
        <v>0</v>
      </c>
      <c r="AS1373" t="str">
        <f>IF(SUM(ifood_data[[#This Row],[Kidhome]:[Teenhome]])&gt;0,"Has Family","No Family")</f>
        <v>No Family</v>
      </c>
      <c r="AT1373" t="str">
        <f>IF(ifood_data[[#This Row],[marital_Married]]=1,"Married", (IF(ifood_data[[#This Row],[marital_Single]]=1,"Single",(IF(ifood_data[[#This Row],[marital_Divorced]]=1,"Divorced",(IF(ifood_data[[#This Row],[marital_Together]]=1,"Living Together",(IF(ifood_data[[#This Row],[marital_Widow]]=1,"Widow","Other")))))))))</f>
        <v>Single</v>
      </c>
      <c r="AU1373" t="str">
        <f>IF(ifood_data[[#This Row],[education_Basic]]=1,"High School",(IF(ifood_data[[#This Row],[education_Graduation]]=1,"Undergraduate Degree",(IF(SUM(AM1373,AL1373,AI1373)&gt;0,"Master's Degree or Higher","Other")))))</f>
        <v>Master's Degree or Higher</v>
      </c>
      <c r="AV1373" t="str">
        <f>IF(ifood_data[[#All],[Income]]&gt;75000,"75K+",(IF(ifood_data[[#All],[Income]]&gt;50000,"50K-75K",(IF(ifood_data[[#All],[Income]]&gt;35000,"35K-50K","&lt;35K")))))</f>
        <v>&lt;35K</v>
      </c>
      <c r="AW1373" t="str">
        <f>IF(ifood_data[[#All],[Age]]&gt;60,"60+",(IF(ifood_data[[#All],[Age]]&gt;50,"50-60",(IF(ifood_data[[#All],[Age]]&gt;40,"40-50",(IF(ifood_data[[#All],[Age]]&gt;30,"30-40","&lt;30")))))))</f>
        <v>50-60</v>
      </c>
      <c r="AX1373">
        <f t="shared" si="84"/>
        <v>18</v>
      </c>
      <c r="AY1373">
        <f t="shared" si="85"/>
        <v>3.0000000000000004</v>
      </c>
      <c r="AZ1373">
        <f t="shared" si="86"/>
        <v>4</v>
      </c>
      <c r="BA1373">
        <f t="shared" si="87"/>
        <v>4</v>
      </c>
      <c r="BB1373">
        <f>SUM(ifood_data[[#This Row],[Recency Score]:[Monetary Score]])</f>
        <v>11</v>
      </c>
      <c r="BC1373">
        <f>(_xlfn.PERCENTRANK.INC(ifood_data[[#All],[RFM]],ifood_data[[#This Row],[RFM]],1))*10</f>
        <v>2</v>
      </c>
      <c r="BD1373" t="str">
        <f>VLOOKUP(ifood_data[[#This Row],[RFM Score]],'RFM Analysis'!$A$3:$B$14,2,FALSE)</f>
        <v>At Risk</v>
      </c>
      <c r="BE1373">
        <f>'Regression Models'!$B$101+'Regression Models'!$B$102*ifood_data[[#This Row],[Income]]+'Regression Models'!$B$103*ifood_data[[#This Row],[Age]]+'Regression Models'!$B$104*ifood_data[[#This Row],[Family]]</f>
        <v>266.51527210549614</v>
      </c>
      <c r="BF1373" t="str">
        <f>IF(ifood_data[[#This Row],[AcceptedCmpOverall]]=1,"Campaign Respondent","Non-respondent")</f>
        <v>Non-respondent</v>
      </c>
    </row>
    <row r="1374" spans="1:58" x14ac:dyDescent="0.35">
      <c r="A1374">
        <v>563</v>
      </c>
      <c r="B1374">
        <v>39684</v>
      </c>
      <c r="C1374">
        <v>1</v>
      </c>
      <c r="D1374">
        <v>0</v>
      </c>
      <c r="E1374">
        <v>41</v>
      </c>
      <c r="F1374">
        <v>19</v>
      </c>
      <c r="G1374">
        <v>0</v>
      </c>
      <c r="H1374">
        <v>35</v>
      </c>
      <c r="I1374">
        <v>6</v>
      </c>
      <c r="J1374">
        <v>4</v>
      </c>
      <c r="K1374">
        <v>17</v>
      </c>
      <c r="L1374">
        <v>2</v>
      </c>
      <c r="M1374">
        <v>2</v>
      </c>
      <c r="N1374">
        <v>1</v>
      </c>
      <c r="O1374">
        <v>2</v>
      </c>
      <c r="P1374">
        <v>7</v>
      </c>
      <c r="Q1374">
        <v>0</v>
      </c>
      <c r="R1374">
        <v>0</v>
      </c>
      <c r="S1374">
        <v>0</v>
      </c>
      <c r="T1374">
        <v>0</v>
      </c>
      <c r="U1374">
        <v>0</v>
      </c>
      <c r="V1374">
        <f>IF(SUM(ifood_data[[#This Row],[AcceptedCmp1]:[AcceptedCmp5]])&gt;0,1,0)</f>
        <v>0</v>
      </c>
      <c r="W1374">
        <v>1</v>
      </c>
      <c r="X1374">
        <v>3</v>
      </c>
      <c r="Y1374">
        <v>11</v>
      </c>
      <c r="Z1374">
        <v>1</v>
      </c>
      <c r="AA1374">
        <v>36</v>
      </c>
      <c r="AB1374">
        <v>2784</v>
      </c>
      <c r="AC1374" s="28">
        <f>ifood_data[[#This Row],[Customer_Days]]/365</f>
        <v>7.6273972602739724</v>
      </c>
      <c r="AD1374">
        <v>0</v>
      </c>
      <c r="AE1374">
        <v>0</v>
      </c>
      <c r="AF1374">
        <v>1</v>
      </c>
      <c r="AG1374">
        <v>0</v>
      </c>
      <c r="AH1374">
        <v>0</v>
      </c>
      <c r="AI1374">
        <v>0</v>
      </c>
      <c r="AJ1374">
        <v>0</v>
      </c>
      <c r="AK1374">
        <v>0</v>
      </c>
      <c r="AL1374">
        <v>0</v>
      </c>
      <c r="AM1374">
        <v>1</v>
      </c>
      <c r="AN1374">
        <v>64</v>
      </c>
      <c r="AO1374">
        <v>47</v>
      </c>
      <c r="AP1374">
        <f>ifood_data[[#This Row],[MntTotal]]-ifood_data[[#This Row],[MntRegularProds]]</f>
        <v>17</v>
      </c>
      <c r="AQ1374">
        <v>0</v>
      </c>
      <c r="AR1374">
        <f>IF(SUM(ifood_data[[#This Row],[Kidhome]:[Teenhome]])&gt;0,1,0)</f>
        <v>1</v>
      </c>
      <c r="AS1374" t="str">
        <f>IF(SUM(ifood_data[[#This Row],[Kidhome]:[Teenhome]])&gt;0,"Has Family","No Family")</f>
        <v>Has Family</v>
      </c>
      <c r="AT1374" t="str">
        <f>IF(ifood_data[[#This Row],[marital_Married]]=1,"Married", (IF(ifood_data[[#This Row],[marital_Single]]=1,"Single",(IF(ifood_data[[#This Row],[marital_Divorced]]=1,"Divorced",(IF(ifood_data[[#This Row],[marital_Together]]=1,"Living Together",(IF(ifood_data[[#This Row],[marital_Widow]]=1,"Widow","Other")))))))))</f>
        <v>Single</v>
      </c>
      <c r="AU1374" t="str">
        <f>IF(ifood_data[[#This Row],[education_Basic]]=1,"High School",(IF(ifood_data[[#This Row],[education_Graduation]]=1,"Undergraduate Degree",(IF(SUM(AM1374,AL1374,AI1374)&gt;0,"Master's Degree or Higher","Other")))))</f>
        <v>Master's Degree or Higher</v>
      </c>
      <c r="AV1374" t="str">
        <f>IF(ifood_data[[#All],[Income]]&gt;75000,"75K+",(IF(ifood_data[[#All],[Income]]&gt;50000,"50K-75K",(IF(ifood_data[[#All],[Income]]&gt;35000,"35K-50K","&lt;35K")))))</f>
        <v>35K-50K</v>
      </c>
      <c r="AW1374" t="str">
        <f>IF(ifood_data[[#All],[Age]]&gt;60,"60+",(IF(ifood_data[[#All],[Age]]&gt;50,"50-60",(IF(ifood_data[[#All],[Age]]&gt;40,"40-50",(IF(ifood_data[[#All],[Age]]&gt;30,"30-40","&lt;30")))))))</f>
        <v>30-40</v>
      </c>
      <c r="AX1374">
        <f t="shared" si="84"/>
        <v>14</v>
      </c>
      <c r="AY1374">
        <f t="shared" si="85"/>
        <v>6</v>
      </c>
      <c r="AZ1374">
        <f t="shared" si="86"/>
        <v>2</v>
      </c>
      <c r="BA1374">
        <f t="shared" si="87"/>
        <v>2</v>
      </c>
      <c r="BB1374">
        <f>SUM(ifood_data[[#This Row],[Recency Score]:[Monetary Score]])</f>
        <v>10</v>
      </c>
      <c r="BC1374">
        <f>(_xlfn.PERCENTRANK.INC(ifood_data[[#All],[RFM]],ifood_data[[#This Row],[RFM]],1))*10</f>
        <v>2</v>
      </c>
      <c r="BD1374" t="str">
        <f>VLOOKUP(ifood_data[[#This Row],[RFM Score]],'RFM Analysis'!$A$3:$B$14,2,FALSE)</f>
        <v>At Risk</v>
      </c>
      <c r="BE1374">
        <f>'Regression Models'!$B$101+'Regression Models'!$B$102*ifood_data[[#This Row],[Income]]+'Regression Models'!$B$103*ifood_data[[#This Row],[Age]]+'Regression Models'!$B$104*ifood_data[[#This Row],[Family]]</f>
        <v>265.56718083480803</v>
      </c>
      <c r="BF1374" t="str">
        <f>IF(ifood_data[[#This Row],[AcceptedCmpOverall]]=1,"Campaign Respondent","Non-respondent")</f>
        <v>Non-respondent</v>
      </c>
    </row>
    <row r="1375" spans="1:58" x14ac:dyDescent="0.35">
      <c r="A1375">
        <v>1984</v>
      </c>
      <c r="B1375">
        <v>40851</v>
      </c>
      <c r="C1375">
        <v>1</v>
      </c>
      <c r="D1375">
        <v>1</v>
      </c>
      <c r="E1375">
        <v>63</v>
      </c>
      <c r="F1375">
        <v>23</v>
      </c>
      <c r="G1375">
        <v>1</v>
      </c>
      <c r="H1375">
        <v>7</v>
      </c>
      <c r="I1375">
        <v>0</v>
      </c>
      <c r="J1375">
        <v>4</v>
      </c>
      <c r="K1375">
        <v>24</v>
      </c>
      <c r="L1375">
        <v>1</v>
      </c>
      <c r="M1375">
        <v>1</v>
      </c>
      <c r="N1375">
        <v>1</v>
      </c>
      <c r="O1375">
        <v>2</v>
      </c>
      <c r="P1375">
        <v>7</v>
      </c>
      <c r="Q1375">
        <v>0</v>
      </c>
      <c r="R1375">
        <v>0</v>
      </c>
      <c r="S1375">
        <v>0</v>
      </c>
      <c r="T1375">
        <v>0</v>
      </c>
      <c r="U1375">
        <v>0</v>
      </c>
      <c r="V1375">
        <f>IF(SUM(ifood_data[[#This Row],[AcceptedCmp1]:[AcceptedCmp5]])&gt;0,1,0)</f>
        <v>0</v>
      </c>
      <c r="W1375">
        <v>0</v>
      </c>
      <c r="X1375">
        <v>3</v>
      </c>
      <c r="Y1375">
        <v>11</v>
      </c>
      <c r="Z1375">
        <v>0</v>
      </c>
      <c r="AA1375">
        <v>49</v>
      </c>
      <c r="AB1375">
        <v>2652</v>
      </c>
      <c r="AC1375" s="28">
        <f>ifood_data[[#This Row],[Customer_Days]]/365</f>
        <v>7.2657534246575342</v>
      </c>
      <c r="AD1375">
        <v>1</v>
      </c>
      <c r="AE1375">
        <v>0</v>
      </c>
      <c r="AF1375">
        <v>0</v>
      </c>
      <c r="AG1375">
        <v>0</v>
      </c>
      <c r="AH1375">
        <v>0</v>
      </c>
      <c r="AI1375">
        <v>0</v>
      </c>
      <c r="AJ1375">
        <v>0</v>
      </c>
      <c r="AK1375">
        <v>1</v>
      </c>
      <c r="AL1375">
        <v>0</v>
      </c>
      <c r="AM1375">
        <v>0</v>
      </c>
      <c r="AN1375">
        <v>35</v>
      </c>
      <c r="AO1375">
        <v>11</v>
      </c>
      <c r="AP1375">
        <f>ifood_data[[#This Row],[MntTotal]]-ifood_data[[#This Row],[MntRegularProds]]</f>
        <v>24</v>
      </c>
      <c r="AQ1375">
        <v>0</v>
      </c>
      <c r="AR1375">
        <f>IF(SUM(ifood_data[[#This Row],[Kidhome]:[Teenhome]])&gt;0,1,0)</f>
        <v>1</v>
      </c>
      <c r="AS1375" t="str">
        <f>IF(SUM(ifood_data[[#This Row],[Kidhome]:[Teenhome]])&gt;0,"Has Family","No Family")</f>
        <v>Has Family</v>
      </c>
      <c r="AT1375" t="str">
        <f>IF(ifood_data[[#This Row],[marital_Married]]=1,"Married", (IF(ifood_data[[#This Row],[marital_Single]]=1,"Single",(IF(ifood_data[[#This Row],[marital_Divorced]]=1,"Divorced",(IF(ifood_data[[#This Row],[marital_Together]]=1,"Living Together",(IF(ifood_data[[#This Row],[marital_Widow]]=1,"Widow","Other")))))))))</f>
        <v>Divorced</v>
      </c>
      <c r="AU1375" t="str">
        <f>IF(ifood_data[[#This Row],[education_Basic]]=1,"High School",(IF(ifood_data[[#This Row],[education_Graduation]]=1,"Undergraduate Degree",(IF(SUM(AM1375,AL1375,AI1375)&gt;0,"Master's Degree or Higher","Other")))))</f>
        <v>Undergraduate Degree</v>
      </c>
      <c r="AV1375" t="str">
        <f>IF(ifood_data[[#All],[Income]]&gt;75000,"75K+",(IF(ifood_data[[#All],[Income]]&gt;50000,"50K-75K",(IF(ifood_data[[#All],[Income]]&gt;35000,"35K-50K","&lt;35K")))))</f>
        <v>35K-50K</v>
      </c>
      <c r="AW1375" t="str">
        <f>IF(ifood_data[[#All],[Age]]&gt;60,"60+",(IF(ifood_data[[#All],[Age]]&gt;50,"50-60",(IF(ifood_data[[#All],[Age]]&gt;40,"40-50",(IF(ifood_data[[#All],[Age]]&gt;30,"30-40","&lt;30")))))))</f>
        <v>40-50</v>
      </c>
      <c r="AX1375">
        <f t="shared" si="84"/>
        <v>12</v>
      </c>
      <c r="AY1375">
        <f t="shared" si="85"/>
        <v>4</v>
      </c>
      <c r="AZ1375">
        <f t="shared" si="86"/>
        <v>1</v>
      </c>
      <c r="BA1375">
        <f t="shared" si="87"/>
        <v>1</v>
      </c>
      <c r="BB1375">
        <f>SUM(ifood_data[[#This Row],[Recency Score]:[Monetary Score]])</f>
        <v>6</v>
      </c>
      <c r="BC1375">
        <f>(_xlfn.PERCENTRANK.INC(ifood_data[[#All],[RFM]],ifood_data[[#This Row],[RFM]],1))*10</f>
        <v>0</v>
      </c>
      <c r="BD1375" t="str">
        <f>VLOOKUP(ifood_data[[#This Row],[RFM Score]],'RFM Analysis'!$A$3:$B$14,2,FALSE)</f>
        <v>Lost</v>
      </c>
      <c r="BE1375">
        <f>'Regression Models'!$B$101+'Regression Models'!$B$102*ifood_data[[#This Row],[Income]]+'Regression Models'!$B$103*ifood_data[[#This Row],[Age]]+'Regression Models'!$B$104*ifood_data[[#This Row],[Family]]</f>
        <v>265.48716523311236</v>
      </c>
      <c r="BF1375" t="str">
        <f>IF(ifood_data[[#This Row],[AcceptedCmpOverall]]=1,"Campaign Respondent","Non-respondent")</f>
        <v>Non-respondent</v>
      </c>
    </row>
    <row r="1376" spans="1:58" x14ac:dyDescent="0.35">
      <c r="A1376">
        <v>1613</v>
      </c>
      <c r="B1376">
        <v>41120</v>
      </c>
      <c r="C1376">
        <v>1</v>
      </c>
      <c r="D1376">
        <v>1</v>
      </c>
      <c r="E1376">
        <v>80</v>
      </c>
      <c r="F1376">
        <v>24</v>
      </c>
      <c r="G1376">
        <v>2</v>
      </c>
      <c r="H1376">
        <v>23</v>
      </c>
      <c r="I1376">
        <v>0</v>
      </c>
      <c r="J1376">
        <v>8</v>
      </c>
      <c r="K1376">
        <v>24</v>
      </c>
      <c r="L1376">
        <v>3</v>
      </c>
      <c r="M1376">
        <v>2</v>
      </c>
      <c r="N1376">
        <v>1</v>
      </c>
      <c r="O1376">
        <v>3</v>
      </c>
      <c r="P1376">
        <v>6</v>
      </c>
      <c r="Q1376">
        <v>0</v>
      </c>
      <c r="R1376">
        <v>0</v>
      </c>
      <c r="S1376">
        <v>0</v>
      </c>
      <c r="T1376">
        <v>0</v>
      </c>
      <c r="U1376">
        <v>0</v>
      </c>
      <c r="V1376">
        <f>IF(SUM(ifood_data[[#This Row],[AcceptedCmp1]:[AcceptedCmp5]])&gt;0,1,0)</f>
        <v>0</v>
      </c>
      <c r="W1376">
        <v>0</v>
      </c>
      <c r="X1376">
        <v>3</v>
      </c>
      <c r="Y1376">
        <v>11</v>
      </c>
      <c r="Z1376">
        <v>0</v>
      </c>
      <c r="AA1376">
        <v>52</v>
      </c>
      <c r="AB1376">
        <v>2394</v>
      </c>
      <c r="AC1376" s="28">
        <f>ifood_data[[#This Row],[Customer_Days]]/365</f>
        <v>6.558904109589041</v>
      </c>
      <c r="AD1376">
        <v>0</v>
      </c>
      <c r="AE1376">
        <v>1</v>
      </c>
      <c r="AF1376">
        <v>0</v>
      </c>
      <c r="AG1376">
        <v>0</v>
      </c>
      <c r="AH1376">
        <v>0</v>
      </c>
      <c r="AI1376">
        <v>0</v>
      </c>
      <c r="AJ1376">
        <v>0</v>
      </c>
      <c r="AK1376">
        <v>1</v>
      </c>
      <c r="AL1376">
        <v>0</v>
      </c>
      <c r="AM1376">
        <v>0</v>
      </c>
      <c r="AN1376">
        <v>57</v>
      </c>
      <c r="AO1376">
        <v>33</v>
      </c>
      <c r="AP1376">
        <f>ifood_data[[#This Row],[MntTotal]]-ifood_data[[#This Row],[MntRegularProds]]</f>
        <v>24</v>
      </c>
      <c r="AQ1376">
        <v>0</v>
      </c>
      <c r="AR1376">
        <f>IF(SUM(ifood_data[[#This Row],[Kidhome]:[Teenhome]])&gt;0,1,0)</f>
        <v>1</v>
      </c>
      <c r="AS1376" t="str">
        <f>IF(SUM(ifood_data[[#This Row],[Kidhome]:[Teenhome]])&gt;0,"Has Family","No Family")</f>
        <v>Has Family</v>
      </c>
      <c r="AT1376" t="str">
        <f>IF(ifood_data[[#This Row],[marital_Married]]=1,"Married", (IF(ifood_data[[#This Row],[marital_Single]]=1,"Single",(IF(ifood_data[[#This Row],[marital_Divorced]]=1,"Divorced",(IF(ifood_data[[#This Row],[marital_Together]]=1,"Living Together",(IF(ifood_data[[#This Row],[marital_Widow]]=1,"Widow","Other")))))))))</f>
        <v>Married</v>
      </c>
      <c r="AU1376" t="str">
        <f>IF(ifood_data[[#This Row],[education_Basic]]=1,"High School",(IF(ifood_data[[#This Row],[education_Graduation]]=1,"Undergraduate Degree",(IF(SUM(AM1376,AL1376,AI1376)&gt;0,"Master's Degree or Higher","Other")))))</f>
        <v>Undergraduate Degree</v>
      </c>
      <c r="AV1376" t="str">
        <f>IF(ifood_data[[#All],[Income]]&gt;75000,"75K+",(IF(ifood_data[[#All],[Income]]&gt;50000,"50K-75K",(IF(ifood_data[[#All],[Income]]&gt;35000,"35K-50K","&lt;35K")))))</f>
        <v>35K-50K</v>
      </c>
      <c r="AW1376" t="str">
        <f>IF(ifood_data[[#All],[Age]]&gt;60,"60+",(IF(ifood_data[[#All],[Age]]&gt;50,"50-60",(IF(ifood_data[[#All],[Age]]&gt;40,"40-50",(IF(ifood_data[[#All],[Age]]&gt;30,"30-40","&lt;30")))))))</f>
        <v>50-60</v>
      </c>
      <c r="AX1376">
        <f t="shared" si="84"/>
        <v>15</v>
      </c>
      <c r="AY1376">
        <f t="shared" si="85"/>
        <v>1.9999999999999996</v>
      </c>
      <c r="AZ1376">
        <f t="shared" si="86"/>
        <v>2</v>
      </c>
      <c r="BA1376">
        <f t="shared" si="87"/>
        <v>2</v>
      </c>
      <c r="BB1376">
        <f>SUM(ifood_data[[#This Row],[Recency Score]:[Monetary Score]])</f>
        <v>6</v>
      </c>
      <c r="BC1376">
        <f>(_xlfn.PERCENTRANK.INC(ifood_data[[#All],[RFM]],ifood_data[[#This Row],[RFM]],1))*10</f>
        <v>0</v>
      </c>
      <c r="BD1376" t="str">
        <f>VLOOKUP(ifood_data[[#This Row],[RFM Score]],'RFM Analysis'!$A$3:$B$14,2,FALSE)</f>
        <v>Lost</v>
      </c>
      <c r="BE1376">
        <f>'Regression Models'!$B$101+'Regression Models'!$B$102*ifood_data[[#This Row],[Income]]+'Regression Models'!$B$103*ifood_data[[#This Row],[Age]]+'Regression Models'!$B$104*ifood_data[[#This Row],[Family]]</f>
        <v>265.46242662713837</v>
      </c>
      <c r="BF1376" t="str">
        <f>IF(ifood_data[[#This Row],[AcceptedCmpOverall]]=1,"Campaign Respondent","Non-respondent")</f>
        <v>Non-respondent</v>
      </c>
    </row>
    <row r="1377" spans="1:58" x14ac:dyDescent="0.35">
      <c r="A1377">
        <v>911</v>
      </c>
      <c r="B1377">
        <v>41021</v>
      </c>
      <c r="C1377">
        <v>1</v>
      </c>
      <c r="D1377">
        <v>0</v>
      </c>
      <c r="E1377">
        <v>12</v>
      </c>
      <c r="F1377">
        <v>14</v>
      </c>
      <c r="G1377">
        <v>7</v>
      </c>
      <c r="H1377">
        <v>9</v>
      </c>
      <c r="I1377">
        <v>6</v>
      </c>
      <c r="J1377">
        <v>16</v>
      </c>
      <c r="K1377">
        <v>12</v>
      </c>
      <c r="L1377">
        <v>2</v>
      </c>
      <c r="M1377">
        <v>2</v>
      </c>
      <c r="N1377">
        <v>0</v>
      </c>
      <c r="O1377">
        <v>3</v>
      </c>
      <c r="P1377">
        <v>6</v>
      </c>
      <c r="Q1377">
        <v>0</v>
      </c>
      <c r="R1377">
        <v>0</v>
      </c>
      <c r="S1377">
        <v>0</v>
      </c>
      <c r="T1377">
        <v>0</v>
      </c>
      <c r="U1377">
        <v>0</v>
      </c>
      <c r="V1377">
        <f>IF(SUM(ifood_data[[#This Row],[AcceptedCmp1]:[AcceptedCmp5]])&gt;0,1,0)</f>
        <v>0</v>
      </c>
      <c r="W1377">
        <v>0</v>
      </c>
      <c r="X1377">
        <v>3</v>
      </c>
      <c r="Y1377">
        <v>11</v>
      </c>
      <c r="Z1377">
        <v>1</v>
      </c>
      <c r="AA1377">
        <v>51</v>
      </c>
      <c r="AB1377">
        <v>2705</v>
      </c>
      <c r="AC1377" s="28">
        <f>ifood_data[[#This Row],[Customer_Days]]/365</f>
        <v>7.4109589041095889</v>
      </c>
      <c r="AD1377">
        <v>0</v>
      </c>
      <c r="AE1377">
        <v>0</v>
      </c>
      <c r="AF1377">
        <v>0</v>
      </c>
      <c r="AG1377">
        <v>1</v>
      </c>
      <c r="AH1377">
        <v>0</v>
      </c>
      <c r="AI1377">
        <v>0</v>
      </c>
      <c r="AJ1377">
        <v>0</v>
      </c>
      <c r="AK1377">
        <v>0</v>
      </c>
      <c r="AL1377">
        <v>1</v>
      </c>
      <c r="AM1377">
        <v>0</v>
      </c>
      <c r="AN1377">
        <v>52</v>
      </c>
      <c r="AO1377">
        <v>40</v>
      </c>
      <c r="AP1377">
        <f>ifood_data[[#This Row],[MntTotal]]-ifood_data[[#This Row],[MntRegularProds]]</f>
        <v>12</v>
      </c>
      <c r="AQ1377">
        <v>0</v>
      </c>
      <c r="AR1377">
        <f>IF(SUM(ifood_data[[#This Row],[Kidhome]:[Teenhome]])&gt;0,1,0)</f>
        <v>1</v>
      </c>
      <c r="AS1377" t="str">
        <f>IF(SUM(ifood_data[[#This Row],[Kidhome]:[Teenhome]])&gt;0,"Has Family","No Family")</f>
        <v>Has Family</v>
      </c>
      <c r="AT1377" t="str">
        <f>IF(ifood_data[[#This Row],[marital_Married]]=1,"Married", (IF(ifood_data[[#This Row],[marital_Single]]=1,"Single",(IF(ifood_data[[#This Row],[marital_Divorced]]=1,"Divorced",(IF(ifood_data[[#This Row],[marital_Together]]=1,"Living Together",(IF(ifood_data[[#This Row],[marital_Widow]]=1,"Widow","Other")))))))))</f>
        <v>Living Together</v>
      </c>
      <c r="AU1377" t="str">
        <f>IF(ifood_data[[#This Row],[education_Basic]]=1,"High School",(IF(ifood_data[[#This Row],[education_Graduation]]=1,"Undergraduate Degree",(IF(SUM(AM1377,AL1377,AI1377)&gt;0,"Master's Degree or Higher","Other")))))</f>
        <v>Master's Degree or Higher</v>
      </c>
      <c r="AV1377" t="str">
        <f>IF(ifood_data[[#All],[Income]]&gt;75000,"75K+",(IF(ifood_data[[#All],[Income]]&gt;50000,"50K-75K",(IF(ifood_data[[#All],[Income]]&gt;35000,"35K-50K","&lt;35K")))))</f>
        <v>35K-50K</v>
      </c>
      <c r="AW1377" t="str">
        <f>IF(ifood_data[[#All],[Age]]&gt;60,"60+",(IF(ifood_data[[#All],[Age]]&gt;50,"50-60",(IF(ifood_data[[#All],[Age]]&gt;40,"40-50",(IF(ifood_data[[#All],[Age]]&gt;30,"30-40","&lt;30")))))))</f>
        <v>50-60</v>
      </c>
      <c r="AX1377">
        <f t="shared" si="84"/>
        <v>13</v>
      </c>
      <c r="AY1377">
        <f t="shared" si="85"/>
        <v>9</v>
      </c>
      <c r="AZ1377">
        <f t="shared" si="86"/>
        <v>1</v>
      </c>
      <c r="BA1377">
        <f t="shared" si="87"/>
        <v>2</v>
      </c>
      <c r="BB1377">
        <f>SUM(ifood_data[[#This Row],[Recency Score]:[Monetary Score]])</f>
        <v>12</v>
      </c>
      <c r="BC1377">
        <f>(_xlfn.PERCENTRANK.INC(ifood_data[[#All],[RFM]],ifood_data[[#This Row],[RFM]],1))*10</f>
        <v>3</v>
      </c>
      <c r="BD1377" t="str">
        <f>VLOOKUP(ifood_data[[#This Row],[RFM Score]],'RFM Analysis'!$A$3:$B$14,2,FALSE)</f>
        <v>At Risk</v>
      </c>
      <c r="BE1377">
        <f>'Regression Models'!$B$101+'Regression Models'!$B$102*ifood_data[[#This Row],[Income]]+'Regression Models'!$B$103*ifood_data[[#This Row],[Age]]+'Regression Models'!$B$104*ifood_data[[#This Row],[Family]]</f>
        <v>265.28037765978672</v>
      </c>
      <c r="BF1377" t="str">
        <f>IF(ifood_data[[#This Row],[AcceptedCmpOverall]]=1,"Campaign Respondent","Non-respondent")</f>
        <v>Non-respondent</v>
      </c>
    </row>
    <row r="1378" spans="1:58" x14ac:dyDescent="0.35">
      <c r="A1378">
        <v>69</v>
      </c>
      <c r="B1378">
        <v>28332</v>
      </c>
      <c r="C1378">
        <v>0</v>
      </c>
      <c r="D1378">
        <v>0</v>
      </c>
      <c r="E1378">
        <v>58</v>
      </c>
      <c r="F1378">
        <v>14</v>
      </c>
      <c r="G1378">
        <v>10</v>
      </c>
      <c r="H1378">
        <v>13</v>
      </c>
      <c r="I1378">
        <v>4</v>
      </c>
      <c r="J1378">
        <v>15</v>
      </c>
      <c r="K1378">
        <v>9</v>
      </c>
      <c r="L1378">
        <v>1</v>
      </c>
      <c r="M1378">
        <v>2</v>
      </c>
      <c r="N1378">
        <v>1</v>
      </c>
      <c r="O1378">
        <v>4</v>
      </c>
      <c r="P1378">
        <v>2</v>
      </c>
      <c r="Q1378">
        <v>0</v>
      </c>
      <c r="R1378">
        <v>0</v>
      </c>
      <c r="S1378">
        <v>0</v>
      </c>
      <c r="T1378">
        <v>0</v>
      </c>
      <c r="U1378">
        <v>0</v>
      </c>
      <c r="V1378">
        <f>IF(SUM(ifood_data[[#This Row],[AcceptedCmp1]:[AcceptedCmp5]])&gt;0,1,0)</f>
        <v>0</v>
      </c>
      <c r="W1378">
        <v>0</v>
      </c>
      <c r="X1378">
        <v>3</v>
      </c>
      <c r="Y1378">
        <v>11</v>
      </c>
      <c r="Z1378">
        <v>0</v>
      </c>
      <c r="AA1378">
        <v>68</v>
      </c>
      <c r="AB1378">
        <v>2219</v>
      </c>
      <c r="AC1378" s="28">
        <f>ifood_data[[#This Row],[Customer_Days]]/365</f>
        <v>6.0794520547945208</v>
      </c>
      <c r="AD1378">
        <v>0</v>
      </c>
      <c r="AE1378">
        <v>1</v>
      </c>
      <c r="AF1378">
        <v>0</v>
      </c>
      <c r="AG1378">
        <v>0</v>
      </c>
      <c r="AH1378">
        <v>0</v>
      </c>
      <c r="AI1378">
        <v>0</v>
      </c>
      <c r="AJ1378">
        <v>0</v>
      </c>
      <c r="AK1378">
        <v>1</v>
      </c>
      <c r="AL1378">
        <v>0</v>
      </c>
      <c r="AM1378">
        <v>0</v>
      </c>
      <c r="AN1378">
        <v>56</v>
      </c>
      <c r="AO1378">
        <v>47</v>
      </c>
      <c r="AP1378">
        <f>ifood_data[[#This Row],[MntTotal]]-ifood_data[[#This Row],[MntRegularProds]]</f>
        <v>9</v>
      </c>
      <c r="AQ1378">
        <v>0</v>
      </c>
      <c r="AR1378">
        <f>IF(SUM(ifood_data[[#This Row],[Kidhome]:[Teenhome]])&gt;0,1,0)</f>
        <v>0</v>
      </c>
      <c r="AS1378" t="str">
        <f>IF(SUM(ifood_data[[#This Row],[Kidhome]:[Teenhome]])&gt;0,"Has Family","No Family")</f>
        <v>No Family</v>
      </c>
      <c r="AT1378" t="str">
        <f>IF(ifood_data[[#This Row],[marital_Married]]=1,"Married", (IF(ifood_data[[#This Row],[marital_Single]]=1,"Single",(IF(ifood_data[[#This Row],[marital_Divorced]]=1,"Divorced",(IF(ifood_data[[#This Row],[marital_Together]]=1,"Living Together",(IF(ifood_data[[#This Row],[marital_Widow]]=1,"Widow","Other")))))))))</f>
        <v>Married</v>
      </c>
      <c r="AU1378" t="str">
        <f>IF(ifood_data[[#This Row],[education_Basic]]=1,"High School",(IF(ifood_data[[#This Row],[education_Graduation]]=1,"Undergraduate Degree",(IF(SUM(AM1378,AL1378,AI1378)&gt;0,"Master's Degree or Higher","Other")))))</f>
        <v>Undergraduate Degree</v>
      </c>
      <c r="AV1378" t="str">
        <f>IF(ifood_data[[#All],[Income]]&gt;75000,"75K+",(IF(ifood_data[[#All],[Income]]&gt;50000,"50K-75K",(IF(ifood_data[[#All],[Income]]&gt;35000,"35K-50K","&lt;35K")))))</f>
        <v>&lt;35K</v>
      </c>
      <c r="AW1378" t="str">
        <f>IF(ifood_data[[#All],[Age]]&gt;60,"60+",(IF(ifood_data[[#All],[Age]]&gt;50,"50-60",(IF(ifood_data[[#All],[Age]]&gt;40,"40-50",(IF(ifood_data[[#All],[Age]]&gt;30,"30-40","&lt;30")))))))</f>
        <v>60+</v>
      </c>
      <c r="AX1378">
        <f t="shared" si="84"/>
        <v>10</v>
      </c>
      <c r="AY1378">
        <f t="shared" si="85"/>
        <v>5</v>
      </c>
      <c r="AZ1378">
        <f t="shared" si="86"/>
        <v>0</v>
      </c>
      <c r="BA1378">
        <f t="shared" si="87"/>
        <v>2</v>
      </c>
      <c r="BB1378">
        <f>SUM(ifood_data[[#This Row],[Recency Score]:[Monetary Score]])</f>
        <v>7</v>
      </c>
      <c r="BC1378">
        <f>(_xlfn.PERCENTRANK.INC(ifood_data[[#All],[RFM]],ifood_data[[#This Row],[RFM]],1))*10</f>
        <v>1</v>
      </c>
      <c r="BD1378" t="str">
        <f>VLOOKUP(ifood_data[[#This Row],[RFM Score]],'RFM Analysis'!$A$3:$B$14,2,FALSE)</f>
        <v>At Risk</v>
      </c>
      <c r="BE1378">
        <f>'Regression Models'!$B$101+'Regression Models'!$B$102*ifood_data[[#This Row],[Income]]+'Regression Models'!$B$103*ifood_data[[#This Row],[Age]]+'Regression Models'!$B$104*ifood_data[[#This Row],[Family]]</f>
        <v>264.96146541366636</v>
      </c>
      <c r="BF1378" t="str">
        <f>IF(ifood_data[[#This Row],[AcceptedCmpOverall]]=1,"Campaign Respondent","Non-respondent")</f>
        <v>Non-respondent</v>
      </c>
    </row>
    <row r="1379" spans="1:58" x14ac:dyDescent="0.35">
      <c r="A1379">
        <v>289</v>
      </c>
      <c r="B1379">
        <v>27038</v>
      </c>
      <c r="C1379">
        <v>0</v>
      </c>
      <c r="D1379">
        <v>0</v>
      </c>
      <c r="E1379">
        <v>64</v>
      </c>
      <c r="F1379">
        <v>1</v>
      </c>
      <c r="G1379">
        <v>26</v>
      </c>
      <c r="H1379">
        <v>25</v>
      </c>
      <c r="I1379">
        <v>17</v>
      </c>
      <c r="J1379">
        <v>23</v>
      </c>
      <c r="K1379">
        <v>15</v>
      </c>
      <c r="L1379">
        <v>1</v>
      </c>
      <c r="M1379">
        <v>3</v>
      </c>
      <c r="N1379">
        <v>0</v>
      </c>
      <c r="O1379">
        <v>3</v>
      </c>
      <c r="P1379">
        <v>9</v>
      </c>
      <c r="Q1379">
        <v>0</v>
      </c>
      <c r="R1379">
        <v>0</v>
      </c>
      <c r="S1379">
        <v>0</v>
      </c>
      <c r="T1379">
        <v>0</v>
      </c>
      <c r="U1379">
        <v>0</v>
      </c>
      <c r="V1379">
        <f>IF(SUM(ifood_data[[#This Row],[AcceptedCmp1]:[AcceptedCmp5]])&gt;0,1,0)</f>
        <v>0</v>
      </c>
      <c r="W1379">
        <v>0</v>
      </c>
      <c r="X1379">
        <v>3</v>
      </c>
      <c r="Y1379">
        <v>11</v>
      </c>
      <c r="Z1379">
        <v>1</v>
      </c>
      <c r="AA1379">
        <v>54</v>
      </c>
      <c r="AB1379">
        <v>2808</v>
      </c>
      <c r="AC1379" s="28">
        <f>ifood_data[[#This Row],[Customer_Days]]/365</f>
        <v>7.6931506849315072</v>
      </c>
      <c r="AD1379">
        <v>0</v>
      </c>
      <c r="AE1379">
        <v>0</v>
      </c>
      <c r="AF1379">
        <v>0</v>
      </c>
      <c r="AG1379">
        <v>0</v>
      </c>
      <c r="AH1379">
        <v>1</v>
      </c>
      <c r="AI1379">
        <v>0</v>
      </c>
      <c r="AJ1379">
        <v>0</v>
      </c>
      <c r="AK1379">
        <v>1</v>
      </c>
      <c r="AL1379">
        <v>0</v>
      </c>
      <c r="AM1379">
        <v>0</v>
      </c>
      <c r="AN1379">
        <v>92</v>
      </c>
      <c r="AO1379">
        <v>77</v>
      </c>
      <c r="AP1379">
        <f>ifood_data[[#This Row],[MntTotal]]-ifood_data[[#This Row],[MntRegularProds]]</f>
        <v>15</v>
      </c>
      <c r="AQ1379">
        <v>0</v>
      </c>
      <c r="AR1379">
        <f>IF(SUM(ifood_data[[#This Row],[Kidhome]:[Teenhome]])&gt;0,1,0)</f>
        <v>0</v>
      </c>
      <c r="AS1379" t="str">
        <f>IF(SUM(ifood_data[[#This Row],[Kidhome]:[Teenhome]])&gt;0,"Has Family","No Family")</f>
        <v>No Family</v>
      </c>
      <c r="AT1379" t="str">
        <f>IF(ifood_data[[#This Row],[marital_Married]]=1,"Married", (IF(ifood_data[[#This Row],[marital_Single]]=1,"Single",(IF(ifood_data[[#This Row],[marital_Divorced]]=1,"Divorced",(IF(ifood_data[[#This Row],[marital_Together]]=1,"Living Together",(IF(ifood_data[[#This Row],[marital_Widow]]=1,"Widow","Other")))))))))</f>
        <v>Widow</v>
      </c>
      <c r="AU1379" t="str">
        <f>IF(ifood_data[[#This Row],[education_Basic]]=1,"High School",(IF(ifood_data[[#This Row],[education_Graduation]]=1,"Undergraduate Degree",(IF(SUM(AM1379,AL1379,AI1379)&gt;0,"Master's Degree or Higher","Other")))))</f>
        <v>Undergraduate Degree</v>
      </c>
      <c r="AV1379" t="str">
        <f>IF(ifood_data[[#All],[Income]]&gt;75000,"75K+",(IF(ifood_data[[#All],[Income]]&gt;50000,"50K-75K",(IF(ifood_data[[#All],[Income]]&gt;35000,"35K-50K","&lt;35K")))))</f>
        <v>&lt;35K</v>
      </c>
      <c r="AW1379" t="str">
        <f>IF(ifood_data[[#All],[Age]]&gt;60,"60+",(IF(ifood_data[[#All],[Age]]&gt;50,"50-60",(IF(ifood_data[[#All],[Age]]&gt;40,"40-50",(IF(ifood_data[[#All],[Age]]&gt;30,"30-40","&lt;30")))))))</f>
        <v>50-60</v>
      </c>
      <c r="AX1379">
        <f t="shared" si="84"/>
        <v>16</v>
      </c>
      <c r="AY1379">
        <f t="shared" si="85"/>
        <v>4</v>
      </c>
      <c r="AZ1379">
        <f t="shared" si="86"/>
        <v>3</v>
      </c>
      <c r="BA1379">
        <f t="shared" si="87"/>
        <v>3</v>
      </c>
      <c r="BB1379">
        <f>SUM(ifood_data[[#This Row],[Recency Score]:[Monetary Score]])</f>
        <v>10</v>
      </c>
      <c r="BC1379">
        <f>(_xlfn.PERCENTRANK.INC(ifood_data[[#All],[RFM]],ifood_data[[#This Row],[RFM]],1))*10</f>
        <v>2</v>
      </c>
      <c r="BD1379" t="str">
        <f>VLOOKUP(ifood_data[[#This Row],[RFM Score]],'RFM Analysis'!$A$3:$B$14,2,FALSE)</f>
        <v>At Risk</v>
      </c>
      <c r="BE1379">
        <f>'Regression Models'!$B$101+'Regression Models'!$B$102*ifood_data[[#This Row],[Income]]+'Regression Models'!$B$103*ifood_data[[#This Row],[Age]]+'Regression Models'!$B$104*ifood_data[[#This Row],[Family]]</f>
        <v>264.2885465399811</v>
      </c>
      <c r="BF1379" t="str">
        <f>IF(ifood_data[[#This Row],[AcceptedCmpOverall]]=1,"Campaign Respondent","Non-respondent")</f>
        <v>Non-respondent</v>
      </c>
    </row>
    <row r="1380" spans="1:58" x14ac:dyDescent="0.35">
      <c r="A1380">
        <v>70</v>
      </c>
      <c r="B1380">
        <v>40246</v>
      </c>
      <c r="C1380">
        <v>1</v>
      </c>
      <c r="D1380">
        <v>0</v>
      </c>
      <c r="E1380">
        <v>68</v>
      </c>
      <c r="F1380">
        <v>2</v>
      </c>
      <c r="G1380">
        <v>1</v>
      </c>
      <c r="H1380">
        <v>6</v>
      </c>
      <c r="I1380">
        <v>2</v>
      </c>
      <c r="J1380">
        <v>1</v>
      </c>
      <c r="K1380">
        <v>1</v>
      </c>
      <c r="L1380">
        <v>1</v>
      </c>
      <c r="M1380">
        <v>1</v>
      </c>
      <c r="N1380">
        <v>0</v>
      </c>
      <c r="O1380">
        <v>2</v>
      </c>
      <c r="P1380">
        <v>6</v>
      </c>
      <c r="Q1380">
        <v>0</v>
      </c>
      <c r="R1380">
        <v>0</v>
      </c>
      <c r="S1380">
        <v>0</v>
      </c>
      <c r="T1380">
        <v>0</v>
      </c>
      <c r="U1380">
        <v>0</v>
      </c>
      <c r="V1380">
        <f>IF(SUM(ifood_data[[#This Row],[AcceptedCmp1]:[AcceptedCmp5]])&gt;0,1,0)</f>
        <v>0</v>
      </c>
      <c r="W1380">
        <v>0</v>
      </c>
      <c r="X1380">
        <v>3</v>
      </c>
      <c r="Y1380">
        <v>11</v>
      </c>
      <c r="Z1380">
        <v>0</v>
      </c>
      <c r="AA1380">
        <v>43</v>
      </c>
      <c r="AB1380">
        <v>2716</v>
      </c>
      <c r="AC1380" s="28">
        <f>ifood_data[[#This Row],[Customer_Days]]/365</f>
        <v>7.441095890410959</v>
      </c>
      <c r="AD1380">
        <v>1</v>
      </c>
      <c r="AE1380">
        <v>0</v>
      </c>
      <c r="AF1380">
        <v>0</v>
      </c>
      <c r="AG1380">
        <v>0</v>
      </c>
      <c r="AH1380">
        <v>0</v>
      </c>
      <c r="AI1380">
        <v>0</v>
      </c>
      <c r="AJ1380">
        <v>0</v>
      </c>
      <c r="AK1380">
        <v>1</v>
      </c>
      <c r="AL1380">
        <v>0</v>
      </c>
      <c r="AM1380">
        <v>0</v>
      </c>
      <c r="AN1380">
        <v>12</v>
      </c>
      <c r="AO1380">
        <v>11</v>
      </c>
      <c r="AP1380">
        <f>ifood_data[[#This Row],[MntTotal]]-ifood_data[[#This Row],[MntRegularProds]]</f>
        <v>1</v>
      </c>
      <c r="AQ1380">
        <v>0</v>
      </c>
      <c r="AR1380">
        <f>IF(SUM(ifood_data[[#This Row],[Kidhome]:[Teenhome]])&gt;0,1,0)</f>
        <v>1</v>
      </c>
      <c r="AS1380" t="str">
        <f>IF(SUM(ifood_data[[#This Row],[Kidhome]:[Teenhome]])&gt;0,"Has Family","No Family")</f>
        <v>Has Family</v>
      </c>
      <c r="AT1380" t="str">
        <f>IF(ifood_data[[#This Row],[marital_Married]]=1,"Married", (IF(ifood_data[[#This Row],[marital_Single]]=1,"Single",(IF(ifood_data[[#This Row],[marital_Divorced]]=1,"Divorced",(IF(ifood_data[[#This Row],[marital_Together]]=1,"Living Together",(IF(ifood_data[[#This Row],[marital_Widow]]=1,"Widow","Other")))))))))</f>
        <v>Divorced</v>
      </c>
      <c r="AU1380" t="str">
        <f>IF(ifood_data[[#This Row],[education_Basic]]=1,"High School",(IF(ifood_data[[#This Row],[education_Graduation]]=1,"Undergraduate Degree",(IF(SUM(AM1380,AL1380,AI1380)&gt;0,"Master's Degree or Higher","Other")))))</f>
        <v>Undergraduate Degree</v>
      </c>
      <c r="AV1380" t="str">
        <f>IF(ifood_data[[#All],[Income]]&gt;75000,"75K+",(IF(ifood_data[[#All],[Income]]&gt;50000,"50K-75K",(IF(ifood_data[[#All],[Income]]&gt;35000,"35K-50K","&lt;35K")))))</f>
        <v>35K-50K</v>
      </c>
      <c r="AW1380" t="str">
        <f>IF(ifood_data[[#All],[Age]]&gt;60,"60+",(IF(ifood_data[[#All],[Age]]&gt;50,"50-60",(IF(ifood_data[[#All],[Age]]&gt;40,"40-50",(IF(ifood_data[[#All],[Age]]&gt;30,"30-40","&lt;30")))))))</f>
        <v>40-50</v>
      </c>
      <c r="AX1380">
        <f t="shared" si="84"/>
        <v>10</v>
      </c>
      <c r="AY1380">
        <f t="shared" si="85"/>
        <v>4</v>
      </c>
      <c r="AZ1380">
        <f t="shared" si="86"/>
        <v>0</v>
      </c>
      <c r="BA1380">
        <f t="shared" si="87"/>
        <v>0</v>
      </c>
      <c r="BB1380">
        <f>SUM(ifood_data[[#This Row],[Recency Score]:[Monetary Score]])</f>
        <v>4</v>
      </c>
      <c r="BC1380">
        <f>(_xlfn.PERCENTRANK.INC(ifood_data[[#All],[RFM]],ifood_data[[#This Row],[RFM]],1))*10</f>
        <v>0</v>
      </c>
      <c r="BD1380" t="str">
        <f>VLOOKUP(ifood_data[[#This Row],[RFM Score]],'RFM Analysis'!$A$3:$B$14,2,FALSE)</f>
        <v>Lost</v>
      </c>
      <c r="BE1380">
        <f>'Regression Models'!$B$101+'Regression Models'!$B$102*ifood_data[[#This Row],[Income]]+'Regression Models'!$B$103*ifood_data[[#This Row],[Age]]+'Regression Models'!$B$104*ifood_data[[#This Row],[Family]]</f>
        <v>264.17059497941921</v>
      </c>
      <c r="BF1380" t="str">
        <f>IF(ifood_data[[#This Row],[AcceptedCmpOverall]]=1,"Campaign Respondent","Non-respondent")</f>
        <v>Non-respondent</v>
      </c>
    </row>
    <row r="1381" spans="1:58" x14ac:dyDescent="0.35">
      <c r="A1381">
        <v>1260</v>
      </c>
      <c r="B1381">
        <v>39660</v>
      </c>
      <c r="C1381">
        <v>1</v>
      </c>
      <c r="D1381">
        <v>0</v>
      </c>
      <c r="E1381">
        <v>36</v>
      </c>
      <c r="F1381">
        <v>139</v>
      </c>
      <c r="G1381">
        <v>13</v>
      </c>
      <c r="H1381">
        <v>78</v>
      </c>
      <c r="I1381">
        <v>20</v>
      </c>
      <c r="J1381">
        <v>13</v>
      </c>
      <c r="K1381">
        <v>36</v>
      </c>
      <c r="L1381">
        <v>3</v>
      </c>
      <c r="M1381">
        <v>7</v>
      </c>
      <c r="N1381">
        <v>1</v>
      </c>
      <c r="O1381">
        <v>3</v>
      </c>
      <c r="P1381">
        <v>9</v>
      </c>
      <c r="Q1381">
        <v>0</v>
      </c>
      <c r="R1381">
        <v>0</v>
      </c>
      <c r="S1381">
        <v>0</v>
      </c>
      <c r="T1381">
        <v>0</v>
      </c>
      <c r="U1381">
        <v>0</v>
      </c>
      <c r="V1381">
        <f>IF(SUM(ifood_data[[#This Row],[AcceptedCmp1]:[AcceptedCmp5]])&gt;0,1,0)</f>
        <v>0</v>
      </c>
      <c r="W1381">
        <v>0</v>
      </c>
      <c r="X1381">
        <v>3</v>
      </c>
      <c r="Y1381">
        <v>11</v>
      </c>
      <c r="Z1381">
        <v>1</v>
      </c>
      <c r="AA1381">
        <v>38</v>
      </c>
      <c r="AB1381">
        <v>2849</v>
      </c>
      <c r="AC1381" s="28">
        <f>ifood_data[[#This Row],[Customer_Days]]/365</f>
        <v>7.8054794520547945</v>
      </c>
      <c r="AD1381">
        <v>0</v>
      </c>
      <c r="AE1381">
        <v>0</v>
      </c>
      <c r="AF1381">
        <v>1</v>
      </c>
      <c r="AG1381">
        <v>0</v>
      </c>
      <c r="AH1381">
        <v>0</v>
      </c>
      <c r="AI1381">
        <v>0</v>
      </c>
      <c r="AJ1381">
        <v>0</v>
      </c>
      <c r="AK1381">
        <v>1</v>
      </c>
      <c r="AL1381">
        <v>0</v>
      </c>
      <c r="AM1381">
        <v>0</v>
      </c>
      <c r="AN1381">
        <v>263</v>
      </c>
      <c r="AO1381">
        <v>227</v>
      </c>
      <c r="AP1381">
        <f>ifood_data[[#This Row],[MntTotal]]-ifood_data[[#This Row],[MntRegularProds]]</f>
        <v>36</v>
      </c>
      <c r="AQ1381">
        <v>0</v>
      </c>
      <c r="AR1381">
        <f>IF(SUM(ifood_data[[#This Row],[Kidhome]:[Teenhome]])&gt;0,1,0)</f>
        <v>1</v>
      </c>
      <c r="AS1381" t="str">
        <f>IF(SUM(ifood_data[[#This Row],[Kidhome]:[Teenhome]])&gt;0,"Has Family","No Family")</f>
        <v>Has Family</v>
      </c>
      <c r="AT1381" t="str">
        <f>IF(ifood_data[[#This Row],[marital_Married]]=1,"Married", (IF(ifood_data[[#This Row],[marital_Single]]=1,"Single",(IF(ifood_data[[#This Row],[marital_Divorced]]=1,"Divorced",(IF(ifood_data[[#This Row],[marital_Together]]=1,"Living Together",(IF(ifood_data[[#This Row],[marital_Widow]]=1,"Widow","Other")))))))))</f>
        <v>Single</v>
      </c>
      <c r="AU1381" t="str">
        <f>IF(ifood_data[[#This Row],[education_Basic]]=1,"High School",(IF(ifood_data[[#This Row],[education_Graduation]]=1,"Undergraduate Degree",(IF(SUM(AM1381,AL1381,AI1381)&gt;0,"Master's Degree or Higher","Other")))))</f>
        <v>Undergraduate Degree</v>
      </c>
      <c r="AV1381" t="str">
        <f>IF(ifood_data[[#All],[Income]]&gt;75000,"75K+",(IF(ifood_data[[#All],[Income]]&gt;50000,"50K-75K",(IF(ifood_data[[#All],[Income]]&gt;35000,"35K-50K","&lt;35K")))))</f>
        <v>35K-50K</v>
      </c>
      <c r="AW1381" t="str">
        <f>IF(ifood_data[[#All],[Age]]&gt;60,"60+",(IF(ifood_data[[#All],[Age]]&gt;50,"50-60",(IF(ifood_data[[#All],[Age]]&gt;40,"40-50",(IF(ifood_data[[#All],[Age]]&gt;30,"30-40","&lt;30")))))))</f>
        <v>30-40</v>
      </c>
      <c r="AX1381">
        <f t="shared" si="84"/>
        <v>23</v>
      </c>
      <c r="AY1381">
        <f t="shared" si="85"/>
        <v>7</v>
      </c>
      <c r="AZ1381">
        <f t="shared" si="86"/>
        <v>6</v>
      </c>
      <c r="BA1381">
        <f t="shared" si="87"/>
        <v>4</v>
      </c>
      <c r="BB1381">
        <f>SUM(ifood_data[[#This Row],[Recency Score]:[Monetary Score]])</f>
        <v>17</v>
      </c>
      <c r="BC1381">
        <f>(_xlfn.PERCENTRANK.INC(ifood_data[[#All],[RFM]],ifood_data[[#This Row],[RFM]],1))*10</f>
        <v>6</v>
      </c>
      <c r="BD1381" t="str">
        <f>VLOOKUP(ifood_data[[#This Row],[RFM Score]],'RFM Analysis'!$A$3:$B$14,2,FALSE)</f>
        <v>Promising</v>
      </c>
      <c r="BE1381">
        <f>'Regression Models'!$B$101+'Regression Models'!$B$102*ifood_data[[#This Row],[Income]]+'Regression Models'!$B$103*ifood_data[[#This Row],[Age]]+'Regression Models'!$B$104*ifood_data[[#This Row],[Family]]</f>
        <v>261.40497224156582</v>
      </c>
      <c r="BF1381" t="str">
        <f>IF(ifood_data[[#This Row],[AcceptedCmpOverall]]=1,"Campaign Respondent","Non-respondent")</f>
        <v>Non-respondent</v>
      </c>
    </row>
    <row r="1382" spans="1:58" x14ac:dyDescent="0.35">
      <c r="A1382">
        <v>1099</v>
      </c>
      <c r="B1382">
        <v>40344</v>
      </c>
      <c r="C1382">
        <v>0</v>
      </c>
      <c r="D1382">
        <v>1</v>
      </c>
      <c r="E1382">
        <v>48</v>
      </c>
      <c r="F1382">
        <v>210</v>
      </c>
      <c r="G1382">
        <v>0</v>
      </c>
      <c r="H1382">
        <v>6</v>
      </c>
      <c r="I1382">
        <v>0</v>
      </c>
      <c r="J1382">
        <v>0</v>
      </c>
      <c r="K1382">
        <v>2</v>
      </c>
      <c r="L1382">
        <v>2</v>
      </c>
      <c r="M1382">
        <v>4</v>
      </c>
      <c r="N1382">
        <v>1</v>
      </c>
      <c r="O1382">
        <v>5</v>
      </c>
      <c r="P1382">
        <v>7</v>
      </c>
      <c r="Q1382">
        <v>0</v>
      </c>
      <c r="R1382">
        <v>0</v>
      </c>
      <c r="S1382">
        <v>0</v>
      </c>
      <c r="T1382">
        <v>0</v>
      </c>
      <c r="U1382">
        <v>0</v>
      </c>
      <c r="V1382">
        <f>IF(SUM(ifood_data[[#This Row],[AcceptedCmp1]:[AcceptedCmp5]])&gt;0,1,0)</f>
        <v>0</v>
      </c>
      <c r="W1382">
        <v>0</v>
      </c>
      <c r="X1382">
        <v>3</v>
      </c>
      <c r="Y1382">
        <v>11</v>
      </c>
      <c r="Z1382">
        <v>0</v>
      </c>
      <c r="AA1382">
        <v>46</v>
      </c>
      <c r="AB1382">
        <v>2418</v>
      </c>
      <c r="AC1382" s="28">
        <f>ifood_data[[#This Row],[Customer_Days]]/365</f>
        <v>6.624657534246575</v>
      </c>
      <c r="AD1382">
        <v>0</v>
      </c>
      <c r="AE1382">
        <v>1</v>
      </c>
      <c r="AF1382">
        <v>0</v>
      </c>
      <c r="AG1382">
        <v>0</v>
      </c>
      <c r="AH1382">
        <v>0</v>
      </c>
      <c r="AI1382">
        <v>0</v>
      </c>
      <c r="AJ1382">
        <v>0</v>
      </c>
      <c r="AK1382">
        <v>0</v>
      </c>
      <c r="AL1382">
        <v>0</v>
      </c>
      <c r="AM1382">
        <v>1</v>
      </c>
      <c r="AN1382">
        <v>216</v>
      </c>
      <c r="AO1382">
        <v>214</v>
      </c>
      <c r="AP1382">
        <f>ifood_data[[#This Row],[MntTotal]]-ifood_data[[#This Row],[MntRegularProds]]</f>
        <v>2</v>
      </c>
      <c r="AQ1382">
        <v>0</v>
      </c>
      <c r="AR1382">
        <f>IF(SUM(ifood_data[[#This Row],[Kidhome]:[Teenhome]])&gt;0,1,0)</f>
        <v>1</v>
      </c>
      <c r="AS1382" t="str">
        <f>IF(SUM(ifood_data[[#This Row],[Kidhome]:[Teenhome]])&gt;0,"Has Family","No Family")</f>
        <v>Has Family</v>
      </c>
      <c r="AT1382" t="str">
        <f>IF(ifood_data[[#This Row],[marital_Married]]=1,"Married", (IF(ifood_data[[#This Row],[marital_Single]]=1,"Single",(IF(ifood_data[[#This Row],[marital_Divorced]]=1,"Divorced",(IF(ifood_data[[#This Row],[marital_Together]]=1,"Living Together",(IF(ifood_data[[#This Row],[marital_Widow]]=1,"Widow","Other")))))))))</f>
        <v>Married</v>
      </c>
      <c r="AU1382" t="str">
        <f>IF(ifood_data[[#This Row],[education_Basic]]=1,"High School",(IF(ifood_data[[#This Row],[education_Graduation]]=1,"Undergraduate Degree",(IF(SUM(AM1382,AL1382,AI1382)&gt;0,"Master's Degree or Higher","Other")))))</f>
        <v>Master's Degree or Higher</v>
      </c>
      <c r="AV1382" t="str">
        <f>IF(ifood_data[[#All],[Income]]&gt;75000,"75K+",(IF(ifood_data[[#All],[Income]]&gt;50000,"50K-75K",(IF(ifood_data[[#All],[Income]]&gt;35000,"35K-50K","&lt;35K")))))</f>
        <v>35K-50K</v>
      </c>
      <c r="AW1382" t="str">
        <f>IF(ifood_data[[#All],[Age]]&gt;60,"60+",(IF(ifood_data[[#All],[Age]]&gt;50,"50-60",(IF(ifood_data[[#All],[Age]]&gt;40,"40-50",(IF(ifood_data[[#All],[Age]]&gt;30,"30-40","&lt;30")))))))</f>
        <v>40-50</v>
      </c>
      <c r="AX1382">
        <f t="shared" si="84"/>
        <v>19</v>
      </c>
      <c r="AY1382">
        <f t="shared" si="85"/>
        <v>6</v>
      </c>
      <c r="AZ1382">
        <f t="shared" si="86"/>
        <v>4</v>
      </c>
      <c r="BA1382">
        <f t="shared" si="87"/>
        <v>4</v>
      </c>
      <c r="BB1382">
        <f>SUM(ifood_data[[#This Row],[Recency Score]:[Monetary Score]])</f>
        <v>14</v>
      </c>
      <c r="BC1382">
        <f>(_xlfn.PERCENTRANK.INC(ifood_data[[#All],[RFM]],ifood_data[[#This Row],[RFM]],1))*10</f>
        <v>4</v>
      </c>
      <c r="BD1382" t="str">
        <f>VLOOKUP(ifood_data[[#This Row],[RFM Score]],'RFM Analysis'!$A$3:$B$14,2,FALSE)</f>
        <v>At Risk</v>
      </c>
      <c r="BE1382">
        <f>'Regression Models'!$B$101+'Regression Models'!$B$102*ifood_data[[#This Row],[Income]]+'Regression Models'!$B$103*ifood_data[[#This Row],[Age]]+'Regression Models'!$B$104*ifood_data[[#This Row],[Family]]</f>
        <v>260.65937702083852</v>
      </c>
      <c r="BF1382" t="str">
        <f>IF(ifood_data[[#This Row],[AcceptedCmpOverall]]=1,"Campaign Respondent","Non-respondent")</f>
        <v>Non-respondent</v>
      </c>
    </row>
    <row r="1383" spans="1:58" x14ac:dyDescent="0.35">
      <c r="A1383">
        <v>912</v>
      </c>
      <c r="B1383">
        <v>40233</v>
      </c>
      <c r="C1383">
        <v>0</v>
      </c>
      <c r="D1383">
        <v>1</v>
      </c>
      <c r="E1383">
        <v>84</v>
      </c>
      <c r="F1383">
        <v>80</v>
      </c>
      <c r="G1383">
        <v>4</v>
      </c>
      <c r="H1383">
        <v>46</v>
      </c>
      <c r="I1383">
        <v>0</v>
      </c>
      <c r="J1383">
        <v>17</v>
      </c>
      <c r="K1383">
        <v>2</v>
      </c>
      <c r="L1383">
        <v>5</v>
      </c>
      <c r="M1383">
        <v>2</v>
      </c>
      <c r="N1383">
        <v>1</v>
      </c>
      <c r="O1383">
        <v>5</v>
      </c>
      <c r="P1383">
        <v>6</v>
      </c>
      <c r="Q1383">
        <v>0</v>
      </c>
      <c r="R1383">
        <v>0</v>
      </c>
      <c r="S1383">
        <v>0</v>
      </c>
      <c r="T1383">
        <v>0</v>
      </c>
      <c r="U1383">
        <v>0</v>
      </c>
      <c r="V1383">
        <f>IF(SUM(ifood_data[[#This Row],[AcceptedCmp1]:[AcceptedCmp5]])&gt;0,1,0)</f>
        <v>0</v>
      </c>
      <c r="W1383">
        <v>0</v>
      </c>
      <c r="X1383">
        <v>3</v>
      </c>
      <c r="Y1383">
        <v>11</v>
      </c>
      <c r="Z1383">
        <v>0</v>
      </c>
      <c r="AA1383">
        <v>45</v>
      </c>
      <c r="AB1383">
        <v>2417</v>
      </c>
      <c r="AC1383" s="28">
        <f>ifood_data[[#This Row],[Customer_Days]]/365</f>
        <v>6.6219178082191785</v>
      </c>
      <c r="AD1383">
        <v>0</v>
      </c>
      <c r="AE1383">
        <v>1</v>
      </c>
      <c r="AF1383">
        <v>0</v>
      </c>
      <c r="AG1383">
        <v>0</v>
      </c>
      <c r="AH1383">
        <v>0</v>
      </c>
      <c r="AI1383">
        <v>0</v>
      </c>
      <c r="AJ1383">
        <v>0</v>
      </c>
      <c r="AK1383">
        <v>0</v>
      </c>
      <c r="AL1383">
        <v>0</v>
      </c>
      <c r="AM1383">
        <v>1</v>
      </c>
      <c r="AN1383">
        <v>147</v>
      </c>
      <c r="AO1383">
        <v>145</v>
      </c>
      <c r="AP1383">
        <f>ifood_data[[#This Row],[MntTotal]]-ifood_data[[#This Row],[MntRegularProds]]</f>
        <v>2</v>
      </c>
      <c r="AQ1383">
        <v>0</v>
      </c>
      <c r="AR1383">
        <f>IF(SUM(ifood_data[[#This Row],[Kidhome]:[Teenhome]])&gt;0,1,0)</f>
        <v>1</v>
      </c>
      <c r="AS1383" t="str">
        <f>IF(SUM(ifood_data[[#This Row],[Kidhome]:[Teenhome]])&gt;0,"Has Family","No Family")</f>
        <v>Has Family</v>
      </c>
      <c r="AT1383" t="str">
        <f>IF(ifood_data[[#This Row],[marital_Married]]=1,"Married", (IF(ifood_data[[#This Row],[marital_Single]]=1,"Single",(IF(ifood_data[[#This Row],[marital_Divorced]]=1,"Divorced",(IF(ifood_data[[#This Row],[marital_Together]]=1,"Living Together",(IF(ifood_data[[#This Row],[marital_Widow]]=1,"Widow","Other")))))))))</f>
        <v>Married</v>
      </c>
      <c r="AU1383" t="str">
        <f>IF(ifood_data[[#This Row],[education_Basic]]=1,"High School",(IF(ifood_data[[#This Row],[education_Graduation]]=1,"Undergraduate Degree",(IF(SUM(AM1383,AL1383,AI1383)&gt;0,"Master's Degree or Higher","Other")))))</f>
        <v>Master's Degree or Higher</v>
      </c>
      <c r="AV1383" t="str">
        <f>IF(ifood_data[[#All],[Income]]&gt;75000,"75K+",(IF(ifood_data[[#All],[Income]]&gt;50000,"50K-75K",(IF(ifood_data[[#All],[Income]]&gt;35000,"35K-50K","&lt;35K")))))</f>
        <v>35K-50K</v>
      </c>
      <c r="AW1383" t="str">
        <f>IF(ifood_data[[#All],[Age]]&gt;60,"60+",(IF(ifood_data[[#All],[Age]]&gt;50,"50-60",(IF(ifood_data[[#All],[Age]]&gt;40,"40-50",(IF(ifood_data[[#All],[Age]]&gt;30,"30-40","&lt;30")))))))</f>
        <v>40-50</v>
      </c>
      <c r="AX1383">
        <f t="shared" si="84"/>
        <v>19</v>
      </c>
      <c r="AY1383">
        <f t="shared" si="85"/>
        <v>1.9999999999999996</v>
      </c>
      <c r="AZ1383">
        <f t="shared" si="86"/>
        <v>4</v>
      </c>
      <c r="BA1383">
        <f t="shared" si="87"/>
        <v>3</v>
      </c>
      <c r="BB1383">
        <f>SUM(ifood_data[[#This Row],[Recency Score]:[Monetary Score]])</f>
        <v>9</v>
      </c>
      <c r="BC1383">
        <f>(_xlfn.PERCENTRANK.INC(ifood_data[[#All],[RFM]],ifood_data[[#This Row],[RFM]],1))*10</f>
        <v>1</v>
      </c>
      <c r="BD1383" t="str">
        <f>VLOOKUP(ifood_data[[#This Row],[RFM Score]],'RFM Analysis'!$A$3:$B$14,2,FALSE)</f>
        <v>At Risk</v>
      </c>
      <c r="BE1383">
        <f>'Regression Models'!$B$101+'Regression Models'!$B$102*ifood_data[[#This Row],[Income]]+'Regression Models'!$B$103*ifood_data[[#This Row],[Age]]+'Regression Models'!$B$104*ifood_data[[#This Row],[Family]]</f>
        <v>260.23266283576004</v>
      </c>
      <c r="BF1383" t="str">
        <f>IF(ifood_data[[#This Row],[AcceptedCmpOverall]]=1,"Campaign Respondent","Non-respondent")</f>
        <v>Non-respondent</v>
      </c>
    </row>
    <row r="1384" spans="1:58" x14ac:dyDescent="0.35">
      <c r="A1384">
        <v>484</v>
      </c>
      <c r="B1384">
        <v>39665</v>
      </c>
      <c r="C1384">
        <v>1</v>
      </c>
      <c r="D1384">
        <v>0</v>
      </c>
      <c r="E1384">
        <v>97</v>
      </c>
      <c r="F1384">
        <v>127</v>
      </c>
      <c r="G1384">
        <v>1</v>
      </c>
      <c r="H1384">
        <v>56</v>
      </c>
      <c r="I1384">
        <v>0</v>
      </c>
      <c r="J1384">
        <v>1</v>
      </c>
      <c r="K1384">
        <v>31</v>
      </c>
      <c r="L1384">
        <v>3</v>
      </c>
      <c r="M1384">
        <v>4</v>
      </c>
      <c r="N1384">
        <v>2</v>
      </c>
      <c r="O1384">
        <v>3</v>
      </c>
      <c r="P1384">
        <v>7</v>
      </c>
      <c r="Q1384">
        <v>0</v>
      </c>
      <c r="R1384">
        <v>0</v>
      </c>
      <c r="S1384">
        <v>1</v>
      </c>
      <c r="T1384">
        <v>0</v>
      </c>
      <c r="U1384">
        <v>0</v>
      </c>
      <c r="V1384">
        <f>IF(SUM(ifood_data[[#This Row],[AcceptedCmp1]:[AcceptedCmp5]])&gt;0,1,0)</f>
        <v>1</v>
      </c>
      <c r="W1384">
        <v>0</v>
      </c>
      <c r="X1384">
        <v>3</v>
      </c>
      <c r="Y1384">
        <v>11</v>
      </c>
      <c r="Z1384">
        <v>0</v>
      </c>
      <c r="AA1384">
        <v>39</v>
      </c>
      <c r="AB1384">
        <v>2559</v>
      </c>
      <c r="AC1384" s="28">
        <f>ifood_data[[#This Row],[Customer_Days]]/365</f>
        <v>7.0109589041095894</v>
      </c>
      <c r="AD1384">
        <v>0</v>
      </c>
      <c r="AE1384">
        <v>0</v>
      </c>
      <c r="AF1384">
        <v>0</v>
      </c>
      <c r="AG1384">
        <v>1</v>
      </c>
      <c r="AH1384">
        <v>0</v>
      </c>
      <c r="AI1384">
        <v>0</v>
      </c>
      <c r="AJ1384">
        <v>0</v>
      </c>
      <c r="AK1384">
        <v>0</v>
      </c>
      <c r="AL1384">
        <v>0</v>
      </c>
      <c r="AM1384">
        <v>1</v>
      </c>
      <c r="AN1384">
        <v>185</v>
      </c>
      <c r="AO1384">
        <v>154</v>
      </c>
      <c r="AP1384">
        <f>ifood_data[[#This Row],[MntTotal]]-ifood_data[[#This Row],[MntRegularProds]]</f>
        <v>31</v>
      </c>
      <c r="AQ1384">
        <v>1</v>
      </c>
      <c r="AR1384">
        <f>IF(SUM(ifood_data[[#This Row],[Kidhome]:[Teenhome]])&gt;0,1,0)</f>
        <v>1</v>
      </c>
      <c r="AS1384" t="str">
        <f>IF(SUM(ifood_data[[#This Row],[Kidhome]:[Teenhome]])&gt;0,"Has Family","No Family")</f>
        <v>Has Family</v>
      </c>
      <c r="AT1384" t="str">
        <f>IF(ifood_data[[#This Row],[marital_Married]]=1,"Married", (IF(ifood_data[[#This Row],[marital_Single]]=1,"Single",(IF(ifood_data[[#This Row],[marital_Divorced]]=1,"Divorced",(IF(ifood_data[[#This Row],[marital_Together]]=1,"Living Together",(IF(ifood_data[[#This Row],[marital_Widow]]=1,"Widow","Other")))))))))</f>
        <v>Living Together</v>
      </c>
      <c r="AU1384" t="str">
        <f>IF(ifood_data[[#This Row],[education_Basic]]=1,"High School",(IF(ifood_data[[#This Row],[education_Graduation]]=1,"Undergraduate Degree",(IF(SUM(AM1384,AL1384,AI1384)&gt;0,"Master's Degree or Higher","Other")))))</f>
        <v>Master's Degree or Higher</v>
      </c>
      <c r="AV1384" t="str">
        <f>IF(ifood_data[[#All],[Income]]&gt;75000,"75K+",(IF(ifood_data[[#All],[Income]]&gt;50000,"50K-75K",(IF(ifood_data[[#All],[Income]]&gt;35000,"35K-50K","&lt;35K")))))</f>
        <v>35K-50K</v>
      </c>
      <c r="AW1384" t="str">
        <f>IF(ifood_data[[#All],[Age]]&gt;60,"60+",(IF(ifood_data[[#All],[Age]]&gt;50,"50-60",(IF(ifood_data[[#All],[Age]]&gt;40,"40-50",(IF(ifood_data[[#All],[Age]]&gt;30,"30-40","&lt;30")))))))</f>
        <v>30-40</v>
      </c>
      <c r="AX1384">
        <f t="shared" si="84"/>
        <v>19</v>
      </c>
      <c r="AY1384">
        <f t="shared" si="85"/>
        <v>0.99999999999999978</v>
      </c>
      <c r="AZ1384">
        <f t="shared" si="86"/>
        <v>4</v>
      </c>
      <c r="BA1384">
        <f t="shared" si="87"/>
        <v>4</v>
      </c>
      <c r="BB1384">
        <f>SUM(ifood_data[[#This Row],[Recency Score]:[Monetary Score]])</f>
        <v>9</v>
      </c>
      <c r="BC1384">
        <f>(_xlfn.PERCENTRANK.INC(ifood_data[[#All],[RFM]],ifood_data[[#This Row],[RFM]],1))*10</f>
        <v>1</v>
      </c>
      <c r="BD1384" t="str">
        <f>VLOOKUP(ifood_data[[#This Row],[RFM Score]],'RFM Analysis'!$A$3:$B$14,2,FALSE)</f>
        <v>At Risk</v>
      </c>
      <c r="BE1384">
        <f>'Regression Models'!$B$101+'Regression Models'!$B$102*ifood_data[[#This Row],[Income]]+'Regression Models'!$B$103*ifood_data[[#This Row],[Age]]+'Regression Models'!$B$104*ifood_data[[#This Row],[Family]]</f>
        <v>259.67047700339106</v>
      </c>
      <c r="BF1384" t="str">
        <f>IF(ifood_data[[#This Row],[AcceptedCmpOverall]]=1,"Campaign Respondent","Non-respondent")</f>
        <v>Campaign Respondent</v>
      </c>
    </row>
    <row r="1385" spans="1:58" x14ac:dyDescent="0.35">
      <c r="A1385">
        <v>557</v>
      </c>
      <c r="B1385">
        <v>39453</v>
      </c>
      <c r="C1385">
        <v>1</v>
      </c>
      <c r="D1385">
        <v>0</v>
      </c>
      <c r="E1385">
        <v>64</v>
      </c>
      <c r="F1385">
        <v>46</v>
      </c>
      <c r="G1385">
        <v>0</v>
      </c>
      <c r="H1385">
        <v>7</v>
      </c>
      <c r="I1385">
        <v>0</v>
      </c>
      <c r="J1385">
        <v>0</v>
      </c>
      <c r="K1385">
        <v>2</v>
      </c>
      <c r="L1385">
        <v>2</v>
      </c>
      <c r="M1385">
        <v>2</v>
      </c>
      <c r="N1385">
        <v>0</v>
      </c>
      <c r="O1385">
        <v>3</v>
      </c>
      <c r="P1385">
        <v>6</v>
      </c>
      <c r="Q1385">
        <v>0</v>
      </c>
      <c r="R1385">
        <v>0</v>
      </c>
      <c r="S1385">
        <v>0</v>
      </c>
      <c r="T1385">
        <v>0</v>
      </c>
      <c r="U1385">
        <v>0</v>
      </c>
      <c r="V1385">
        <f>IF(SUM(ifood_data[[#This Row],[AcceptedCmp1]:[AcceptedCmp5]])&gt;0,1,0)</f>
        <v>0</v>
      </c>
      <c r="W1385">
        <v>0</v>
      </c>
      <c r="X1385">
        <v>3</v>
      </c>
      <c r="Y1385">
        <v>11</v>
      </c>
      <c r="Z1385">
        <v>0</v>
      </c>
      <c r="AA1385">
        <v>37</v>
      </c>
      <c r="AB1385">
        <v>2246</v>
      </c>
      <c r="AC1385" s="28">
        <f>ifood_data[[#This Row],[Customer_Days]]/365</f>
        <v>6.1534246575342468</v>
      </c>
      <c r="AD1385">
        <v>0</v>
      </c>
      <c r="AE1385">
        <v>0</v>
      </c>
      <c r="AF1385">
        <v>0</v>
      </c>
      <c r="AG1385">
        <v>1</v>
      </c>
      <c r="AH1385">
        <v>0</v>
      </c>
      <c r="AI1385">
        <v>0</v>
      </c>
      <c r="AJ1385">
        <v>0</v>
      </c>
      <c r="AK1385">
        <v>1</v>
      </c>
      <c r="AL1385">
        <v>0</v>
      </c>
      <c r="AM1385">
        <v>0</v>
      </c>
      <c r="AN1385">
        <v>53</v>
      </c>
      <c r="AO1385">
        <v>51</v>
      </c>
      <c r="AP1385">
        <f>ifood_data[[#This Row],[MntTotal]]-ifood_data[[#This Row],[MntRegularProds]]</f>
        <v>2</v>
      </c>
      <c r="AQ1385">
        <v>0</v>
      </c>
      <c r="AR1385">
        <f>IF(SUM(ifood_data[[#This Row],[Kidhome]:[Teenhome]])&gt;0,1,0)</f>
        <v>1</v>
      </c>
      <c r="AS1385" t="str">
        <f>IF(SUM(ifood_data[[#This Row],[Kidhome]:[Teenhome]])&gt;0,"Has Family","No Family")</f>
        <v>Has Family</v>
      </c>
      <c r="AT1385" t="str">
        <f>IF(ifood_data[[#This Row],[marital_Married]]=1,"Married", (IF(ifood_data[[#This Row],[marital_Single]]=1,"Single",(IF(ifood_data[[#This Row],[marital_Divorced]]=1,"Divorced",(IF(ifood_data[[#This Row],[marital_Together]]=1,"Living Together",(IF(ifood_data[[#This Row],[marital_Widow]]=1,"Widow","Other")))))))))</f>
        <v>Living Together</v>
      </c>
      <c r="AU1385" t="str">
        <f>IF(ifood_data[[#This Row],[education_Basic]]=1,"High School",(IF(ifood_data[[#This Row],[education_Graduation]]=1,"Undergraduate Degree",(IF(SUM(AM1385,AL1385,AI1385)&gt;0,"Master's Degree or Higher","Other")))))</f>
        <v>Undergraduate Degree</v>
      </c>
      <c r="AV1385" t="str">
        <f>IF(ifood_data[[#All],[Income]]&gt;75000,"75K+",(IF(ifood_data[[#All],[Income]]&gt;50000,"50K-75K",(IF(ifood_data[[#All],[Income]]&gt;35000,"35K-50K","&lt;35K")))))</f>
        <v>35K-50K</v>
      </c>
      <c r="AW1385" t="str">
        <f>IF(ifood_data[[#All],[Age]]&gt;60,"60+",(IF(ifood_data[[#All],[Age]]&gt;50,"50-60",(IF(ifood_data[[#All],[Age]]&gt;40,"40-50",(IF(ifood_data[[#All],[Age]]&gt;30,"30-40","&lt;30")))))))</f>
        <v>30-40</v>
      </c>
      <c r="AX1385">
        <f t="shared" si="84"/>
        <v>13</v>
      </c>
      <c r="AY1385">
        <f t="shared" si="85"/>
        <v>4</v>
      </c>
      <c r="AZ1385">
        <f t="shared" si="86"/>
        <v>1</v>
      </c>
      <c r="BA1385">
        <f t="shared" si="87"/>
        <v>2</v>
      </c>
      <c r="BB1385">
        <f>SUM(ifood_data[[#This Row],[Recency Score]:[Monetary Score]])</f>
        <v>7</v>
      </c>
      <c r="BC1385">
        <f>(_xlfn.PERCENTRANK.INC(ifood_data[[#All],[RFM]],ifood_data[[#This Row],[RFM]],1))*10</f>
        <v>1</v>
      </c>
      <c r="BD1385" t="str">
        <f>VLOOKUP(ifood_data[[#This Row],[RFM Score]],'RFM Analysis'!$A$3:$B$14,2,FALSE)</f>
        <v>At Risk</v>
      </c>
      <c r="BE1385">
        <f>'Regression Models'!$B$101+'Regression Models'!$B$102*ifood_data[[#This Row],[Income]]+'Regression Models'!$B$103*ifood_data[[#This Row],[Age]]+'Regression Models'!$B$104*ifood_data[[#This Row],[Family]]</f>
        <v>259.02093631467301</v>
      </c>
      <c r="BF1385" t="str">
        <f>IF(ifood_data[[#This Row],[AcceptedCmpOverall]]=1,"Campaign Respondent","Non-respondent")</f>
        <v>Non-respondent</v>
      </c>
    </row>
    <row r="1386" spans="1:58" x14ac:dyDescent="0.35">
      <c r="A1386">
        <v>1834</v>
      </c>
      <c r="B1386">
        <v>39146</v>
      </c>
      <c r="C1386">
        <v>1</v>
      </c>
      <c r="D1386">
        <v>0</v>
      </c>
      <c r="E1386">
        <v>1</v>
      </c>
      <c r="F1386">
        <v>94</v>
      </c>
      <c r="G1386">
        <v>1</v>
      </c>
      <c r="H1386">
        <v>33</v>
      </c>
      <c r="I1386">
        <v>13</v>
      </c>
      <c r="J1386">
        <v>12</v>
      </c>
      <c r="K1386">
        <v>12</v>
      </c>
      <c r="L1386">
        <v>3</v>
      </c>
      <c r="M1386">
        <v>4</v>
      </c>
      <c r="N1386">
        <v>0</v>
      </c>
      <c r="O1386">
        <v>4</v>
      </c>
      <c r="P1386">
        <v>8</v>
      </c>
      <c r="Q1386">
        <v>0</v>
      </c>
      <c r="R1386">
        <v>0</v>
      </c>
      <c r="S1386">
        <v>0</v>
      </c>
      <c r="T1386">
        <v>0</v>
      </c>
      <c r="U1386">
        <v>0</v>
      </c>
      <c r="V1386">
        <f>IF(SUM(ifood_data[[#This Row],[AcceptedCmp1]:[AcceptedCmp5]])&gt;0,1,0)</f>
        <v>0</v>
      </c>
      <c r="W1386">
        <v>0</v>
      </c>
      <c r="X1386">
        <v>3</v>
      </c>
      <c r="Y1386">
        <v>11</v>
      </c>
      <c r="Z1386">
        <v>0</v>
      </c>
      <c r="AA1386">
        <v>34</v>
      </c>
      <c r="AB1386">
        <v>2659</v>
      </c>
      <c r="AC1386" s="28">
        <f>ifood_data[[#This Row],[Customer_Days]]/365</f>
        <v>7.2849315068493148</v>
      </c>
      <c r="AD1386">
        <v>0</v>
      </c>
      <c r="AE1386">
        <v>0</v>
      </c>
      <c r="AF1386">
        <v>1</v>
      </c>
      <c r="AG1386">
        <v>0</v>
      </c>
      <c r="AH1386">
        <v>0</v>
      </c>
      <c r="AI1386">
        <v>0</v>
      </c>
      <c r="AJ1386">
        <v>0</v>
      </c>
      <c r="AK1386">
        <v>1</v>
      </c>
      <c r="AL1386">
        <v>0</v>
      </c>
      <c r="AM1386">
        <v>0</v>
      </c>
      <c r="AN1386">
        <v>153</v>
      </c>
      <c r="AO1386">
        <v>141</v>
      </c>
      <c r="AP1386">
        <f>ifood_data[[#This Row],[MntTotal]]-ifood_data[[#This Row],[MntRegularProds]]</f>
        <v>12</v>
      </c>
      <c r="AQ1386">
        <v>0</v>
      </c>
      <c r="AR1386">
        <f>IF(SUM(ifood_data[[#This Row],[Kidhome]:[Teenhome]])&gt;0,1,0)</f>
        <v>1</v>
      </c>
      <c r="AS1386" t="str">
        <f>IF(SUM(ifood_data[[#This Row],[Kidhome]:[Teenhome]])&gt;0,"Has Family","No Family")</f>
        <v>Has Family</v>
      </c>
      <c r="AT1386" t="str">
        <f>IF(ifood_data[[#This Row],[marital_Married]]=1,"Married", (IF(ifood_data[[#This Row],[marital_Single]]=1,"Single",(IF(ifood_data[[#This Row],[marital_Divorced]]=1,"Divorced",(IF(ifood_data[[#This Row],[marital_Together]]=1,"Living Together",(IF(ifood_data[[#This Row],[marital_Widow]]=1,"Widow","Other")))))))))</f>
        <v>Single</v>
      </c>
      <c r="AU1386" t="str">
        <f>IF(ifood_data[[#This Row],[education_Basic]]=1,"High School",(IF(ifood_data[[#This Row],[education_Graduation]]=1,"Undergraduate Degree",(IF(SUM(AM1386,AL1386,AI1386)&gt;0,"Master's Degree or Higher","Other")))))</f>
        <v>Undergraduate Degree</v>
      </c>
      <c r="AV1386" t="str">
        <f>IF(ifood_data[[#All],[Income]]&gt;75000,"75K+",(IF(ifood_data[[#All],[Income]]&gt;50000,"50K-75K",(IF(ifood_data[[#All],[Income]]&gt;35000,"35K-50K","&lt;35K")))))</f>
        <v>35K-50K</v>
      </c>
      <c r="AW1386" t="str">
        <f>IF(ifood_data[[#All],[Age]]&gt;60,"60+",(IF(ifood_data[[#All],[Age]]&gt;50,"50-60",(IF(ifood_data[[#All],[Age]]&gt;40,"40-50",(IF(ifood_data[[#All],[Age]]&gt;30,"30-40","&lt;30")))))))</f>
        <v>30-40</v>
      </c>
      <c r="AX1386">
        <f t="shared" si="84"/>
        <v>19</v>
      </c>
      <c r="AY1386">
        <f t="shared" si="85"/>
        <v>10</v>
      </c>
      <c r="AZ1386">
        <f t="shared" si="86"/>
        <v>4</v>
      </c>
      <c r="BA1386">
        <f t="shared" si="87"/>
        <v>3</v>
      </c>
      <c r="BB1386">
        <f>SUM(ifood_data[[#This Row],[Recency Score]:[Monetary Score]])</f>
        <v>17</v>
      </c>
      <c r="BC1386">
        <f>(_xlfn.PERCENTRANK.INC(ifood_data[[#All],[RFM]],ifood_data[[#This Row],[RFM]],1))*10</f>
        <v>6</v>
      </c>
      <c r="BD1386" t="str">
        <f>VLOOKUP(ifood_data[[#This Row],[RFM Score]],'RFM Analysis'!$A$3:$B$14,2,FALSE)</f>
        <v>Promising</v>
      </c>
      <c r="BE1386">
        <f>'Regression Models'!$B$101+'Regression Models'!$B$102*ifood_data[[#This Row],[Income]]+'Regression Models'!$B$103*ifood_data[[#This Row],[Age]]+'Regression Models'!$B$104*ifood_data[[#This Row],[Family]]</f>
        <v>258.27090173117892</v>
      </c>
      <c r="BF1386" t="str">
        <f>IF(ifood_data[[#This Row],[AcceptedCmpOverall]]=1,"Campaign Respondent","Non-respondent")</f>
        <v>Non-respondent</v>
      </c>
    </row>
    <row r="1387" spans="1:58" x14ac:dyDescent="0.35">
      <c r="A1387">
        <v>31</v>
      </c>
      <c r="B1387">
        <v>40548</v>
      </c>
      <c r="C1387">
        <v>0</v>
      </c>
      <c r="D1387">
        <v>1</v>
      </c>
      <c r="E1387">
        <v>31</v>
      </c>
      <c r="F1387">
        <v>110</v>
      </c>
      <c r="G1387">
        <v>0</v>
      </c>
      <c r="H1387">
        <v>5</v>
      </c>
      <c r="I1387">
        <v>2</v>
      </c>
      <c r="J1387">
        <v>0</v>
      </c>
      <c r="K1387">
        <v>3</v>
      </c>
      <c r="L1387">
        <v>2</v>
      </c>
      <c r="M1387">
        <v>2</v>
      </c>
      <c r="N1387">
        <v>1</v>
      </c>
      <c r="O1387">
        <v>4</v>
      </c>
      <c r="P1387">
        <v>5</v>
      </c>
      <c r="Q1387">
        <v>0</v>
      </c>
      <c r="R1387">
        <v>0</v>
      </c>
      <c r="S1387">
        <v>0</v>
      </c>
      <c r="T1387">
        <v>1</v>
      </c>
      <c r="U1387">
        <v>0</v>
      </c>
      <c r="V1387">
        <f>IF(SUM(ifood_data[[#This Row],[AcceptedCmp1]:[AcceptedCmp5]])&gt;0,1,0)</f>
        <v>1</v>
      </c>
      <c r="W1387">
        <v>0</v>
      </c>
      <c r="X1387">
        <v>3</v>
      </c>
      <c r="Y1387">
        <v>11</v>
      </c>
      <c r="Z1387">
        <v>0</v>
      </c>
      <c r="AA1387">
        <v>50</v>
      </c>
      <c r="AB1387">
        <v>2786</v>
      </c>
      <c r="AC1387" s="28">
        <f>ifood_data[[#This Row],[Customer_Days]]/365</f>
        <v>7.6328767123287671</v>
      </c>
      <c r="AD1387">
        <v>0</v>
      </c>
      <c r="AE1387">
        <v>0</v>
      </c>
      <c r="AF1387">
        <v>0</v>
      </c>
      <c r="AG1387">
        <v>1</v>
      </c>
      <c r="AH1387">
        <v>0</v>
      </c>
      <c r="AI1387">
        <v>0</v>
      </c>
      <c r="AJ1387">
        <v>0</v>
      </c>
      <c r="AK1387">
        <v>1</v>
      </c>
      <c r="AL1387">
        <v>0</v>
      </c>
      <c r="AM1387">
        <v>0</v>
      </c>
      <c r="AN1387">
        <v>117</v>
      </c>
      <c r="AO1387">
        <v>114</v>
      </c>
      <c r="AP1387">
        <f>ifood_data[[#This Row],[MntTotal]]-ifood_data[[#This Row],[MntRegularProds]]</f>
        <v>3</v>
      </c>
      <c r="AQ1387">
        <v>1</v>
      </c>
      <c r="AR1387">
        <f>IF(SUM(ifood_data[[#This Row],[Kidhome]:[Teenhome]])&gt;0,1,0)</f>
        <v>1</v>
      </c>
      <c r="AS1387" t="str">
        <f>IF(SUM(ifood_data[[#This Row],[Kidhome]:[Teenhome]])&gt;0,"Has Family","No Family")</f>
        <v>Has Family</v>
      </c>
      <c r="AT1387" t="str">
        <f>IF(ifood_data[[#This Row],[marital_Married]]=1,"Married", (IF(ifood_data[[#This Row],[marital_Single]]=1,"Single",(IF(ifood_data[[#This Row],[marital_Divorced]]=1,"Divorced",(IF(ifood_data[[#This Row],[marital_Together]]=1,"Living Together",(IF(ifood_data[[#This Row],[marital_Widow]]=1,"Widow","Other")))))))))</f>
        <v>Living Together</v>
      </c>
      <c r="AU1387" t="str">
        <f>IF(ifood_data[[#This Row],[education_Basic]]=1,"High School",(IF(ifood_data[[#This Row],[education_Graduation]]=1,"Undergraduate Degree",(IF(SUM(AM1387,AL1387,AI1387)&gt;0,"Master's Degree or Higher","Other")))))</f>
        <v>Undergraduate Degree</v>
      </c>
      <c r="AV1387" t="str">
        <f>IF(ifood_data[[#All],[Income]]&gt;75000,"75K+",(IF(ifood_data[[#All],[Income]]&gt;50000,"50K-75K",(IF(ifood_data[[#All],[Income]]&gt;35000,"35K-50K","&lt;35K")))))</f>
        <v>35K-50K</v>
      </c>
      <c r="AW1387" t="str">
        <f>IF(ifood_data[[#All],[Age]]&gt;60,"60+",(IF(ifood_data[[#All],[Age]]&gt;50,"50-60",(IF(ifood_data[[#All],[Age]]&gt;40,"40-50",(IF(ifood_data[[#All],[Age]]&gt;30,"30-40","&lt;30")))))))</f>
        <v>40-50</v>
      </c>
      <c r="AX1387">
        <f t="shared" si="84"/>
        <v>14</v>
      </c>
      <c r="AY1387">
        <f t="shared" si="85"/>
        <v>7</v>
      </c>
      <c r="AZ1387">
        <f t="shared" si="86"/>
        <v>2</v>
      </c>
      <c r="BA1387">
        <f t="shared" si="87"/>
        <v>3</v>
      </c>
      <c r="BB1387">
        <f>SUM(ifood_data[[#This Row],[Recency Score]:[Monetary Score]])</f>
        <v>12</v>
      </c>
      <c r="BC1387">
        <f>(_xlfn.PERCENTRANK.INC(ifood_data[[#All],[RFM]],ifood_data[[#This Row],[RFM]],1))*10</f>
        <v>3</v>
      </c>
      <c r="BD1387" t="str">
        <f>VLOOKUP(ifood_data[[#This Row],[RFM Score]],'RFM Analysis'!$A$3:$B$14,2,FALSE)</f>
        <v>At Risk</v>
      </c>
      <c r="BE1387">
        <f>'Regression Models'!$B$101+'Regression Models'!$B$102*ifood_data[[#This Row],[Income]]+'Regression Models'!$B$103*ifood_data[[#This Row],[Age]]+'Regression Models'!$B$104*ifood_data[[#This Row],[Family]]</f>
        <v>257.4729294066168</v>
      </c>
      <c r="BF1387" t="str">
        <f>IF(ifood_data[[#This Row],[AcceptedCmpOverall]]=1,"Campaign Respondent","Non-respondent")</f>
        <v>Campaign Respondent</v>
      </c>
    </row>
    <row r="1388" spans="1:58" x14ac:dyDescent="0.35">
      <c r="A1388">
        <v>920</v>
      </c>
      <c r="B1388">
        <v>40706</v>
      </c>
      <c r="C1388">
        <v>2</v>
      </c>
      <c r="D1388">
        <v>1</v>
      </c>
      <c r="E1388">
        <v>37</v>
      </c>
      <c r="F1388">
        <v>59</v>
      </c>
      <c r="G1388">
        <v>0</v>
      </c>
      <c r="H1388">
        <v>11</v>
      </c>
      <c r="I1388">
        <v>4</v>
      </c>
      <c r="J1388">
        <v>2</v>
      </c>
      <c r="K1388">
        <v>5</v>
      </c>
      <c r="L1388">
        <v>4</v>
      </c>
      <c r="M1388">
        <v>3</v>
      </c>
      <c r="N1388">
        <v>0</v>
      </c>
      <c r="O1388">
        <v>4</v>
      </c>
      <c r="P1388">
        <v>7</v>
      </c>
      <c r="Q1388">
        <v>0</v>
      </c>
      <c r="R1388">
        <v>0</v>
      </c>
      <c r="S1388">
        <v>0</v>
      </c>
      <c r="T1388">
        <v>0</v>
      </c>
      <c r="U1388">
        <v>0</v>
      </c>
      <c r="V1388">
        <f>IF(SUM(ifood_data[[#This Row],[AcceptedCmp1]:[AcceptedCmp5]])&gt;0,1,0)</f>
        <v>0</v>
      </c>
      <c r="W1388">
        <v>0</v>
      </c>
      <c r="X1388">
        <v>3</v>
      </c>
      <c r="Y1388">
        <v>11</v>
      </c>
      <c r="Z1388">
        <v>0</v>
      </c>
      <c r="AA1388">
        <v>52</v>
      </c>
      <c r="AB1388">
        <v>2687</v>
      </c>
      <c r="AC1388" s="28">
        <f>ifood_data[[#This Row],[Customer_Days]]/365</f>
        <v>7.3616438356164382</v>
      </c>
      <c r="AD1388">
        <v>0</v>
      </c>
      <c r="AE1388">
        <v>0</v>
      </c>
      <c r="AF1388">
        <v>0</v>
      </c>
      <c r="AG1388">
        <v>1</v>
      </c>
      <c r="AH1388">
        <v>0</v>
      </c>
      <c r="AI1388">
        <v>0</v>
      </c>
      <c r="AJ1388">
        <v>0</v>
      </c>
      <c r="AK1388">
        <v>0</v>
      </c>
      <c r="AL1388">
        <v>0</v>
      </c>
      <c r="AM1388">
        <v>1</v>
      </c>
      <c r="AN1388">
        <v>76</v>
      </c>
      <c r="AO1388">
        <v>71</v>
      </c>
      <c r="AP1388">
        <f>ifood_data[[#This Row],[MntTotal]]-ifood_data[[#This Row],[MntRegularProds]]</f>
        <v>5</v>
      </c>
      <c r="AQ1388">
        <v>0</v>
      </c>
      <c r="AR1388">
        <f>IF(SUM(ifood_data[[#This Row],[Kidhome]:[Teenhome]])&gt;0,1,0)</f>
        <v>1</v>
      </c>
      <c r="AS1388" t="str">
        <f>IF(SUM(ifood_data[[#This Row],[Kidhome]:[Teenhome]])&gt;0,"Has Family","No Family")</f>
        <v>Has Family</v>
      </c>
      <c r="AT1388" t="str">
        <f>IF(ifood_data[[#This Row],[marital_Married]]=1,"Married", (IF(ifood_data[[#This Row],[marital_Single]]=1,"Single",(IF(ifood_data[[#This Row],[marital_Divorced]]=1,"Divorced",(IF(ifood_data[[#This Row],[marital_Together]]=1,"Living Together",(IF(ifood_data[[#This Row],[marital_Widow]]=1,"Widow","Other")))))))))</f>
        <v>Living Together</v>
      </c>
      <c r="AU1388" t="str">
        <f>IF(ifood_data[[#This Row],[education_Basic]]=1,"High School",(IF(ifood_data[[#This Row],[education_Graduation]]=1,"Undergraduate Degree",(IF(SUM(AM1388,AL1388,AI1388)&gt;0,"Master's Degree or Higher","Other")))))</f>
        <v>Master's Degree or Higher</v>
      </c>
      <c r="AV1388" t="str">
        <f>IF(ifood_data[[#All],[Income]]&gt;75000,"75K+",(IF(ifood_data[[#All],[Income]]&gt;50000,"50K-75K",(IF(ifood_data[[#All],[Income]]&gt;35000,"35K-50K","&lt;35K")))))</f>
        <v>35K-50K</v>
      </c>
      <c r="AW1388" t="str">
        <f>IF(ifood_data[[#All],[Age]]&gt;60,"60+",(IF(ifood_data[[#All],[Age]]&gt;50,"50-60",(IF(ifood_data[[#All],[Age]]&gt;40,"40-50",(IF(ifood_data[[#All],[Age]]&gt;30,"30-40","&lt;30")))))))</f>
        <v>50-60</v>
      </c>
      <c r="AX1388">
        <f t="shared" si="84"/>
        <v>18</v>
      </c>
      <c r="AY1388">
        <f t="shared" si="85"/>
        <v>7</v>
      </c>
      <c r="AZ1388">
        <f t="shared" si="86"/>
        <v>4</v>
      </c>
      <c r="BA1388">
        <f t="shared" si="87"/>
        <v>3</v>
      </c>
      <c r="BB1388">
        <f>SUM(ifood_data[[#This Row],[Recency Score]:[Monetary Score]])</f>
        <v>14</v>
      </c>
      <c r="BC1388">
        <f>(_xlfn.PERCENTRANK.INC(ifood_data[[#All],[RFM]],ifood_data[[#This Row],[RFM]],1))*10</f>
        <v>4</v>
      </c>
      <c r="BD1388" t="str">
        <f>VLOOKUP(ifood_data[[#This Row],[RFM Score]],'RFM Analysis'!$A$3:$B$14,2,FALSE)</f>
        <v>At Risk</v>
      </c>
      <c r="BE1388">
        <f>'Regression Models'!$B$101+'Regression Models'!$B$102*ifood_data[[#This Row],[Income]]+'Regression Models'!$B$103*ifood_data[[#This Row],[Age]]+'Regression Models'!$B$104*ifood_data[[#This Row],[Family]]</f>
        <v>257.02147661556421</v>
      </c>
      <c r="BF1388" t="str">
        <f>IF(ifood_data[[#This Row],[AcceptedCmpOverall]]=1,"Campaign Respondent","Non-respondent")</f>
        <v>Non-respondent</v>
      </c>
    </row>
    <row r="1389" spans="1:58" x14ac:dyDescent="0.35">
      <c r="A1389">
        <v>1606</v>
      </c>
      <c r="B1389">
        <v>28389</v>
      </c>
      <c r="C1389">
        <v>0</v>
      </c>
      <c r="D1389">
        <v>0</v>
      </c>
      <c r="E1389">
        <v>49</v>
      </c>
      <c r="F1389">
        <v>1</v>
      </c>
      <c r="G1389">
        <v>5</v>
      </c>
      <c r="H1389">
        <v>3</v>
      </c>
      <c r="I1389">
        <v>7</v>
      </c>
      <c r="J1389">
        <v>4</v>
      </c>
      <c r="K1389">
        <v>8</v>
      </c>
      <c r="L1389">
        <v>1</v>
      </c>
      <c r="M1389">
        <v>1</v>
      </c>
      <c r="N1389">
        <v>0</v>
      </c>
      <c r="O1389">
        <v>2</v>
      </c>
      <c r="P1389">
        <v>7</v>
      </c>
      <c r="Q1389">
        <v>0</v>
      </c>
      <c r="R1389">
        <v>0</v>
      </c>
      <c r="S1389">
        <v>0</v>
      </c>
      <c r="T1389">
        <v>0</v>
      </c>
      <c r="U1389">
        <v>0</v>
      </c>
      <c r="V1389">
        <f>IF(SUM(ifood_data[[#This Row],[AcceptedCmp1]:[AcceptedCmp5]])&gt;0,1,0)</f>
        <v>0</v>
      </c>
      <c r="W1389">
        <v>0</v>
      </c>
      <c r="X1389">
        <v>3</v>
      </c>
      <c r="Y1389">
        <v>11</v>
      </c>
      <c r="Z1389">
        <v>0</v>
      </c>
      <c r="AA1389">
        <v>73</v>
      </c>
      <c r="AB1389">
        <v>2745</v>
      </c>
      <c r="AC1389" s="28">
        <f>ifood_data[[#This Row],[Customer_Days]]/365</f>
        <v>7.5205479452054798</v>
      </c>
      <c r="AD1389">
        <v>0</v>
      </c>
      <c r="AE1389">
        <v>0</v>
      </c>
      <c r="AF1389">
        <v>0</v>
      </c>
      <c r="AG1389">
        <v>1</v>
      </c>
      <c r="AH1389">
        <v>0</v>
      </c>
      <c r="AI1389">
        <v>0</v>
      </c>
      <c r="AJ1389">
        <v>1</v>
      </c>
      <c r="AK1389">
        <v>0</v>
      </c>
      <c r="AL1389">
        <v>0</v>
      </c>
      <c r="AM1389">
        <v>0</v>
      </c>
      <c r="AN1389">
        <v>20</v>
      </c>
      <c r="AO1389">
        <v>12</v>
      </c>
      <c r="AP1389">
        <f>ifood_data[[#This Row],[MntTotal]]-ifood_data[[#This Row],[MntRegularProds]]</f>
        <v>8</v>
      </c>
      <c r="AQ1389">
        <v>0</v>
      </c>
      <c r="AR1389">
        <f>IF(SUM(ifood_data[[#This Row],[Kidhome]:[Teenhome]])&gt;0,1,0)</f>
        <v>0</v>
      </c>
      <c r="AS1389" t="str">
        <f>IF(SUM(ifood_data[[#This Row],[Kidhome]:[Teenhome]])&gt;0,"Has Family","No Family")</f>
        <v>No Family</v>
      </c>
      <c r="AT1389" t="str">
        <f>IF(ifood_data[[#This Row],[marital_Married]]=1,"Married", (IF(ifood_data[[#This Row],[marital_Single]]=1,"Single",(IF(ifood_data[[#This Row],[marital_Divorced]]=1,"Divorced",(IF(ifood_data[[#This Row],[marital_Together]]=1,"Living Together",(IF(ifood_data[[#This Row],[marital_Widow]]=1,"Widow","Other")))))))))</f>
        <v>Living Together</v>
      </c>
      <c r="AU1389" t="str">
        <f>IF(ifood_data[[#This Row],[education_Basic]]=1,"High School",(IF(ifood_data[[#This Row],[education_Graduation]]=1,"Undergraduate Degree",(IF(SUM(AM1389,AL1389,AI1389)&gt;0,"Master's Degree or Higher","Other")))))</f>
        <v>High School</v>
      </c>
      <c r="AV1389" t="str">
        <f>IF(ifood_data[[#All],[Income]]&gt;75000,"75K+",(IF(ifood_data[[#All],[Income]]&gt;50000,"50K-75K",(IF(ifood_data[[#All],[Income]]&gt;35000,"35K-50K","&lt;35K")))))</f>
        <v>&lt;35K</v>
      </c>
      <c r="AW1389" t="str">
        <f>IF(ifood_data[[#All],[Age]]&gt;60,"60+",(IF(ifood_data[[#All],[Age]]&gt;50,"50-60",(IF(ifood_data[[#All],[Age]]&gt;40,"40-50",(IF(ifood_data[[#All],[Age]]&gt;30,"30-40","&lt;30")))))))</f>
        <v>60+</v>
      </c>
      <c r="AX1389">
        <f t="shared" si="84"/>
        <v>11</v>
      </c>
      <c r="AY1389">
        <f t="shared" si="85"/>
        <v>6</v>
      </c>
      <c r="AZ1389">
        <f t="shared" si="86"/>
        <v>0</v>
      </c>
      <c r="BA1389">
        <f t="shared" si="87"/>
        <v>0</v>
      </c>
      <c r="BB1389">
        <f>SUM(ifood_data[[#This Row],[Recency Score]:[Monetary Score]])</f>
        <v>6</v>
      </c>
      <c r="BC1389">
        <f>(_xlfn.PERCENTRANK.INC(ifood_data[[#All],[RFM]],ifood_data[[#This Row],[RFM]],1))*10</f>
        <v>0</v>
      </c>
      <c r="BD1389" t="str">
        <f>VLOOKUP(ifood_data[[#This Row],[RFM Score]],'RFM Analysis'!$A$3:$B$14,2,FALSE)</f>
        <v>Lost</v>
      </c>
      <c r="BE1389">
        <f>'Regression Models'!$B$101+'Regression Models'!$B$102*ifood_data[[#This Row],[Income]]+'Regression Models'!$B$103*ifood_data[[#This Row],[Age]]+'Regression Models'!$B$104*ifood_data[[#This Row],[Family]]</f>
        <v>256.94142980339723</v>
      </c>
      <c r="BF1389" t="str">
        <f>IF(ifood_data[[#This Row],[AcceptedCmpOverall]]=1,"Campaign Respondent","Non-respondent")</f>
        <v>Non-respondent</v>
      </c>
    </row>
    <row r="1390" spans="1:58" x14ac:dyDescent="0.35">
      <c r="A1390">
        <v>298</v>
      </c>
      <c r="B1390">
        <v>40321</v>
      </c>
      <c r="C1390">
        <v>1</v>
      </c>
      <c r="D1390">
        <v>1</v>
      </c>
      <c r="E1390">
        <v>59</v>
      </c>
      <c r="F1390">
        <v>44</v>
      </c>
      <c r="G1390">
        <v>4</v>
      </c>
      <c r="H1390">
        <v>21</v>
      </c>
      <c r="I1390">
        <v>6</v>
      </c>
      <c r="J1390">
        <v>0</v>
      </c>
      <c r="K1390">
        <v>27</v>
      </c>
      <c r="L1390">
        <v>2</v>
      </c>
      <c r="M1390">
        <v>3</v>
      </c>
      <c r="N1390">
        <v>0</v>
      </c>
      <c r="O1390">
        <v>3</v>
      </c>
      <c r="P1390">
        <v>7</v>
      </c>
      <c r="Q1390">
        <v>0</v>
      </c>
      <c r="R1390">
        <v>0</v>
      </c>
      <c r="S1390">
        <v>0</v>
      </c>
      <c r="T1390">
        <v>0</v>
      </c>
      <c r="U1390">
        <v>0</v>
      </c>
      <c r="V1390">
        <f>IF(SUM(ifood_data[[#This Row],[AcceptedCmp1]:[AcceptedCmp5]])&gt;0,1,0)</f>
        <v>0</v>
      </c>
      <c r="W1390">
        <v>0</v>
      </c>
      <c r="X1390">
        <v>3</v>
      </c>
      <c r="Y1390">
        <v>11</v>
      </c>
      <c r="Z1390">
        <v>0</v>
      </c>
      <c r="AA1390">
        <v>48</v>
      </c>
      <c r="AB1390">
        <v>2494</v>
      </c>
      <c r="AC1390" s="28">
        <f>ifood_data[[#This Row],[Customer_Days]]/365</f>
        <v>6.8328767123287673</v>
      </c>
      <c r="AD1390">
        <v>0</v>
      </c>
      <c r="AE1390">
        <v>1</v>
      </c>
      <c r="AF1390">
        <v>0</v>
      </c>
      <c r="AG1390">
        <v>0</v>
      </c>
      <c r="AH1390">
        <v>0</v>
      </c>
      <c r="AI1390">
        <v>0</v>
      </c>
      <c r="AJ1390">
        <v>0</v>
      </c>
      <c r="AK1390">
        <v>1</v>
      </c>
      <c r="AL1390">
        <v>0</v>
      </c>
      <c r="AM1390">
        <v>0</v>
      </c>
      <c r="AN1390">
        <v>75</v>
      </c>
      <c r="AO1390">
        <v>48</v>
      </c>
      <c r="AP1390">
        <f>ifood_data[[#This Row],[MntTotal]]-ifood_data[[#This Row],[MntRegularProds]]</f>
        <v>27</v>
      </c>
      <c r="AQ1390">
        <v>0</v>
      </c>
      <c r="AR1390">
        <f>IF(SUM(ifood_data[[#This Row],[Kidhome]:[Teenhome]])&gt;0,1,0)</f>
        <v>1</v>
      </c>
      <c r="AS1390" t="str">
        <f>IF(SUM(ifood_data[[#This Row],[Kidhome]:[Teenhome]])&gt;0,"Has Family","No Family")</f>
        <v>Has Family</v>
      </c>
      <c r="AT1390" t="str">
        <f>IF(ifood_data[[#This Row],[marital_Married]]=1,"Married", (IF(ifood_data[[#This Row],[marital_Single]]=1,"Single",(IF(ifood_data[[#This Row],[marital_Divorced]]=1,"Divorced",(IF(ifood_data[[#This Row],[marital_Together]]=1,"Living Together",(IF(ifood_data[[#This Row],[marital_Widow]]=1,"Widow","Other")))))))))</f>
        <v>Married</v>
      </c>
      <c r="AU1390" t="str">
        <f>IF(ifood_data[[#This Row],[education_Basic]]=1,"High School",(IF(ifood_data[[#This Row],[education_Graduation]]=1,"Undergraduate Degree",(IF(SUM(AM1390,AL1390,AI1390)&gt;0,"Master's Degree or Higher","Other")))))</f>
        <v>Undergraduate Degree</v>
      </c>
      <c r="AV1390" t="str">
        <f>IF(ifood_data[[#All],[Income]]&gt;75000,"75K+",(IF(ifood_data[[#All],[Income]]&gt;50000,"50K-75K",(IF(ifood_data[[#All],[Income]]&gt;35000,"35K-50K","&lt;35K")))))</f>
        <v>35K-50K</v>
      </c>
      <c r="AW1390" t="str">
        <f>IF(ifood_data[[#All],[Age]]&gt;60,"60+",(IF(ifood_data[[#All],[Age]]&gt;50,"50-60",(IF(ifood_data[[#All],[Age]]&gt;40,"40-50",(IF(ifood_data[[#All],[Age]]&gt;30,"30-40","&lt;30")))))))</f>
        <v>40-50</v>
      </c>
      <c r="AX1390">
        <f t="shared" si="84"/>
        <v>15</v>
      </c>
      <c r="AY1390">
        <f t="shared" si="85"/>
        <v>4</v>
      </c>
      <c r="AZ1390">
        <f t="shared" si="86"/>
        <v>2</v>
      </c>
      <c r="BA1390">
        <f t="shared" si="87"/>
        <v>3</v>
      </c>
      <c r="BB1390">
        <f>SUM(ifood_data[[#This Row],[Recency Score]:[Monetary Score]])</f>
        <v>9</v>
      </c>
      <c r="BC1390">
        <f>(_xlfn.PERCENTRANK.INC(ifood_data[[#All],[RFM]],ifood_data[[#This Row],[RFM]],1))*10</f>
        <v>1</v>
      </c>
      <c r="BD1390" t="str">
        <f>VLOOKUP(ifood_data[[#This Row],[RFM Score]],'RFM Analysis'!$A$3:$B$14,2,FALSE)</f>
        <v>At Risk</v>
      </c>
      <c r="BE1390">
        <f>'Regression Models'!$B$101+'Regression Models'!$B$102*ifood_data[[#This Row],[Income]]+'Regression Models'!$B$103*ifood_data[[#This Row],[Age]]+'Regression Models'!$B$104*ifood_data[[#This Row],[Family]]</f>
        <v>256.51755719574032</v>
      </c>
      <c r="BF1390" t="str">
        <f>IF(ifood_data[[#This Row],[AcceptedCmpOverall]]=1,"Campaign Respondent","Non-respondent")</f>
        <v>Non-respondent</v>
      </c>
    </row>
    <row r="1391" spans="1:58" x14ac:dyDescent="0.35">
      <c r="A1391">
        <v>1935</v>
      </c>
      <c r="B1391">
        <v>40590</v>
      </c>
      <c r="C1391">
        <v>1</v>
      </c>
      <c r="D1391">
        <v>1</v>
      </c>
      <c r="E1391">
        <v>30</v>
      </c>
      <c r="F1391">
        <v>154</v>
      </c>
      <c r="G1391">
        <v>0</v>
      </c>
      <c r="H1391">
        <v>50</v>
      </c>
      <c r="I1391">
        <v>6</v>
      </c>
      <c r="J1391">
        <v>11</v>
      </c>
      <c r="K1391">
        <v>37</v>
      </c>
      <c r="L1391">
        <v>5</v>
      </c>
      <c r="M1391">
        <v>3</v>
      </c>
      <c r="N1391">
        <v>4</v>
      </c>
      <c r="O1391">
        <v>3</v>
      </c>
      <c r="P1391">
        <v>6</v>
      </c>
      <c r="Q1391">
        <v>0</v>
      </c>
      <c r="R1391">
        <v>0</v>
      </c>
      <c r="S1391">
        <v>1</v>
      </c>
      <c r="T1391">
        <v>0</v>
      </c>
      <c r="U1391">
        <v>0</v>
      </c>
      <c r="V1391">
        <f>IF(SUM(ifood_data[[#This Row],[AcceptedCmp1]:[AcceptedCmp5]])&gt;0,1,0)</f>
        <v>1</v>
      </c>
      <c r="W1391">
        <v>0</v>
      </c>
      <c r="X1391">
        <v>3</v>
      </c>
      <c r="Y1391">
        <v>11</v>
      </c>
      <c r="Z1391">
        <v>0</v>
      </c>
      <c r="AA1391">
        <v>51</v>
      </c>
      <c r="AB1391">
        <v>2429</v>
      </c>
      <c r="AC1391" s="28">
        <f>ifood_data[[#This Row],[Customer_Days]]/365</f>
        <v>6.6547945205479451</v>
      </c>
      <c r="AD1391">
        <v>0</v>
      </c>
      <c r="AE1391">
        <v>0</v>
      </c>
      <c r="AF1391">
        <v>0</v>
      </c>
      <c r="AG1391">
        <v>0</v>
      </c>
      <c r="AH1391">
        <v>1</v>
      </c>
      <c r="AI1391">
        <v>0</v>
      </c>
      <c r="AJ1391">
        <v>0</v>
      </c>
      <c r="AK1391">
        <v>1</v>
      </c>
      <c r="AL1391">
        <v>0</v>
      </c>
      <c r="AM1391">
        <v>0</v>
      </c>
      <c r="AN1391">
        <v>221</v>
      </c>
      <c r="AO1391">
        <v>184</v>
      </c>
      <c r="AP1391">
        <f>ifood_data[[#This Row],[MntTotal]]-ifood_data[[#This Row],[MntRegularProds]]</f>
        <v>37</v>
      </c>
      <c r="AQ1391">
        <v>1</v>
      </c>
      <c r="AR1391">
        <f>IF(SUM(ifood_data[[#This Row],[Kidhome]:[Teenhome]])&gt;0,1,0)</f>
        <v>1</v>
      </c>
      <c r="AS1391" t="str">
        <f>IF(SUM(ifood_data[[#This Row],[Kidhome]:[Teenhome]])&gt;0,"Has Family","No Family")</f>
        <v>Has Family</v>
      </c>
      <c r="AT1391" t="str">
        <f>IF(ifood_data[[#This Row],[marital_Married]]=1,"Married", (IF(ifood_data[[#This Row],[marital_Single]]=1,"Single",(IF(ifood_data[[#This Row],[marital_Divorced]]=1,"Divorced",(IF(ifood_data[[#This Row],[marital_Together]]=1,"Living Together",(IF(ifood_data[[#This Row],[marital_Widow]]=1,"Widow","Other")))))))))</f>
        <v>Widow</v>
      </c>
      <c r="AU1391" t="str">
        <f>IF(ifood_data[[#This Row],[education_Basic]]=1,"High School",(IF(ifood_data[[#This Row],[education_Graduation]]=1,"Undergraduate Degree",(IF(SUM(AM1391,AL1391,AI1391)&gt;0,"Master's Degree or Higher","Other")))))</f>
        <v>Undergraduate Degree</v>
      </c>
      <c r="AV1391" t="str">
        <f>IF(ifood_data[[#All],[Income]]&gt;75000,"75K+",(IF(ifood_data[[#All],[Income]]&gt;50000,"50K-75K",(IF(ifood_data[[#All],[Income]]&gt;35000,"35K-50K","&lt;35K")))))</f>
        <v>35K-50K</v>
      </c>
      <c r="AW1391" t="str">
        <f>IF(ifood_data[[#All],[Age]]&gt;60,"60+",(IF(ifood_data[[#All],[Age]]&gt;50,"50-60",(IF(ifood_data[[#All],[Age]]&gt;40,"40-50",(IF(ifood_data[[#All],[Age]]&gt;30,"30-40","&lt;30")))))))</f>
        <v>50-60</v>
      </c>
      <c r="AX1391">
        <f t="shared" si="84"/>
        <v>21</v>
      </c>
      <c r="AY1391">
        <f t="shared" si="85"/>
        <v>7</v>
      </c>
      <c r="AZ1391">
        <f t="shared" si="86"/>
        <v>5</v>
      </c>
      <c r="BA1391">
        <f t="shared" si="87"/>
        <v>4</v>
      </c>
      <c r="BB1391">
        <f>SUM(ifood_data[[#This Row],[Recency Score]:[Monetary Score]])</f>
        <v>16</v>
      </c>
      <c r="BC1391">
        <f>(_xlfn.PERCENTRANK.INC(ifood_data[[#All],[RFM]],ifood_data[[#This Row],[RFM]],1))*10</f>
        <v>5</v>
      </c>
      <c r="BD1391" t="str">
        <f>VLOOKUP(ifood_data[[#This Row],[RFM Score]],'RFM Analysis'!$A$3:$B$14,2,FALSE)</f>
        <v>Promising</v>
      </c>
      <c r="BE1391">
        <f>'Regression Models'!$B$101+'Regression Models'!$B$102*ifood_data[[#This Row],[Income]]+'Regression Models'!$B$103*ifood_data[[#This Row],[Age]]+'Regression Models'!$B$104*ifood_data[[#This Row],[Family]]</f>
        <v>256.49281858976622</v>
      </c>
      <c r="BF1391" t="str">
        <f>IF(ifood_data[[#This Row],[AcceptedCmpOverall]]=1,"Campaign Respondent","Non-respondent")</f>
        <v>Campaign Respondent</v>
      </c>
    </row>
    <row r="1392" spans="1:58" x14ac:dyDescent="0.35">
      <c r="A1392">
        <v>179</v>
      </c>
      <c r="B1392">
        <v>38872</v>
      </c>
      <c r="C1392">
        <v>1</v>
      </c>
      <c r="D1392">
        <v>0</v>
      </c>
      <c r="E1392">
        <v>93</v>
      </c>
      <c r="F1392">
        <v>23</v>
      </c>
      <c r="G1392">
        <v>3</v>
      </c>
      <c r="H1392">
        <v>21</v>
      </c>
      <c r="I1392">
        <v>3</v>
      </c>
      <c r="J1392">
        <v>19</v>
      </c>
      <c r="K1392">
        <v>22</v>
      </c>
      <c r="L1392">
        <v>2</v>
      </c>
      <c r="M1392">
        <v>3</v>
      </c>
      <c r="N1392">
        <v>0</v>
      </c>
      <c r="O1392">
        <v>3</v>
      </c>
      <c r="P1392">
        <v>8</v>
      </c>
      <c r="Q1392">
        <v>0</v>
      </c>
      <c r="R1392">
        <v>0</v>
      </c>
      <c r="S1392">
        <v>0</v>
      </c>
      <c r="T1392">
        <v>0</v>
      </c>
      <c r="U1392">
        <v>0</v>
      </c>
      <c r="V1392">
        <f>IF(SUM(ifood_data[[#This Row],[AcceptedCmp1]:[AcceptedCmp5]])&gt;0,1,0)</f>
        <v>0</v>
      </c>
      <c r="W1392">
        <v>0</v>
      </c>
      <c r="X1392">
        <v>3</v>
      </c>
      <c r="Y1392">
        <v>11</v>
      </c>
      <c r="Z1392">
        <v>0</v>
      </c>
      <c r="AA1392">
        <v>32</v>
      </c>
      <c r="AB1392">
        <v>2554</v>
      </c>
      <c r="AC1392" s="28">
        <f>ifood_data[[#This Row],[Customer_Days]]/365</f>
        <v>6.9972602739726026</v>
      </c>
      <c r="AD1392">
        <v>0</v>
      </c>
      <c r="AE1392">
        <v>1</v>
      </c>
      <c r="AF1392">
        <v>0</v>
      </c>
      <c r="AG1392">
        <v>0</v>
      </c>
      <c r="AH1392">
        <v>0</v>
      </c>
      <c r="AI1392">
        <v>0</v>
      </c>
      <c r="AJ1392">
        <v>0</v>
      </c>
      <c r="AK1392">
        <v>1</v>
      </c>
      <c r="AL1392">
        <v>0</v>
      </c>
      <c r="AM1392">
        <v>0</v>
      </c>
      <c r="AN1392">
        <v>69</v>
      </c>
      <c r="AO1392">
        <v>47</v>
      </c>
      <c r="AP1392">
        <f>ifood_data[[#This Row],[MntTotal]]-ifood_data[[#This Row],[MntRegularProds]]</f>
        <v>22</v>
      </c>
      <c r="AQ1392">
        <v>0</v>
      </c>
      <c r="AR1392">
        <f>IF(SUM(ifood_data[[#This Row],[Kidhome]:[Teenhome]])&gt;0,1,0)</f>
        <v>1</v>
      </c>
      <c r="AS1392" t="str">
        <f>IF(SUM(ifood_data[[#This Row],[Kidhome]:[Teenhome]])&gt;0,"Has Family","No Family")</f>
        <v>Has Family</v>
      </c>
      <c r="AT1392" t="str">
        <f>IF(ifood_data[[#This Row],[marital_Married]]=1,"Married", (IF(ifood_data[[#This Row],[marital_Single]]=1,"Single",(IF(ifood_data[[#This Row],[marital_Divorced]]=1,"Divorced",(IF(ifood_data[[#This Row],[marital_Together]]=1,"Living Together",(IF(ifood_data[[#This Row],[marital_Widow]]=1,"Widow","Other")))))))))</f>
        <v>Married</v>
      </c>
      <c r="AU1392" t="str">
        <f>IF(ifood_data[[#This Row],[education_Basic]]=1,"High School",(IF(ifood_data[[#This Row],[education_Graduation]]=1,"Undergraduate Degree",(IF(SUM(AM1392,AL1392,AI1392)&gt;0,"Master's Degree or Higher","Other")))))</f>
        <v>Undergraduate Degree</v>
      </c>
      <c r="AV1392" t="str">
        <f>IF(ifood_data[[#All],[Income]]&gt;75000,"75K+",(IF(ifood_data[[#All],[Income]]&gt;50000,"50K-75K",(IF(ifood_data[[#All],[Income]]&gt;35000,"35K-50K","&lt;35K")))))</f>
        <v>35K-50K</v>
      </c>
      <c r="AW1392" t="str">
        <f>IF(ifood_data[[#All],[Age]]&gt;60,"60+",(IF(ifood_data[[#All],[Age]]&gt;50,"50-60",(IF(ifood_data[[#All],[Age]]&gt;40,"40-50",(IF(ifood_data[[#All],[Age]]&gt;30,"30-40","&lt;30")))))))</f>
        <v>30-40</v>
      </c>
      <c r="AX1392">
        <f t="shared" si="84"/>
        <v>16</v>
      </c>
      <c r="AY1392">
        <f t="shared" si="85"/>
        <v>0.99999999999999978</v>
      </c>
      <c r="AZ1392">
        <f t="shared" si="86"/>
        <v>3</v>
      </c>
      <c r="BA1392">
        <f t="shared" si="87"/>
        <v>2</v>
      </c>
      <c r="BB1392">
        <f>SUM(ifood_data[[#This Row],[Recency Score]:[Monetary Score]])</f>
        <v>6</v>
      </c>
      <c r="BC1392">
        <f>(_xlfn.PERCENTRANK.INC(ifood_data[[#All],[RFM]],ifood_data[[#This Row],[RFM]],1))*10</f>
        <v>0</v>
      </c>
      <c r="BD1392" t="str">
        <f>VLOOKUP(ifood_data[[#This Row],[RFM Score]],'RFM Analysis'!$A$3:$B$14,2,FALSE)</f>
        <v>Lost</v>
      </c>
      <c r="BE1392">
        <f>'Regression Models'!$B$101+'Regression Models'!$B$102*ifood_data[[#This Row],[Income]]+'Regression Models'!$B$103*ifood_data[[#This Row],[Age]]+'Regression Models'!$B$104*ifood_data[[#This Row],[Family]]</f>
        <v>256.35725741753913</v>
      </c>
      <c r="BF1392" t="str">
        <f>IF(ifood_data[[#This Row],[AcceptedCmpOverall]]=1,"Campaign Respondent","Non-respondent")</f>
        <v>Non-respondent</v>
      </c>
    </row>
    <row r="1393" spans="1:58" x14ac:dyDescent="0.35">
      <c r="A1393">
        <v>2001</v>
      </c>
      <c r="B1393">
        <v>41769</v>
      </c>
      <c r="C1393">
        <v>0</v>
      </c>
      <c r="D1393">
        <v>1</v>
      </c>
      <c r="E1393">
        <v>31</v>
      </c>
      <c r="F1393">
        <v>302</v>
      </c>
      <c r="G1393">
        <v>29</v>
      </c>
      <c r="H1393">
        <v>131</v>
      </c>
      <c r="I1393">
        <v>32</v>
      </c>
      <c r="J1393">
        <v>0</v>
      </c>
      <c r="K1393">
        <v>27</v>
      </c>
      <c r="L1393">
        <v>6</v>
      </c>
      <c r="M1393">
        <v>8</v>
      </c>
      <c r="N1393">
        <v>1</v>
      </c>
      <c r="O1393">
        <v>7</v>
      </c>
      <c r="P1393">
        <v>8</v>
      </c>
      <c r="Q1393">
        <v>0</v>
      </c>
      <c r="R1393">
        <v>0</v>
      </c>
      <c r="S1393">
        <v>0</v>
      </c>
      <c r="T1393">
        <v>0</v>
      </c>
      <c r="U1393">
        <v>0</v>
      </c>
      <c r="V1393">
        <f>IF(SUM(ifood_data[[#This Row],[AcceptedCmp1]:[AcceptedCmp5]])&gt;0,1,0)</f>
        <v>0</v>
      </c>
      <c r="W1393">
        <v>0</v>
      </c>
      <c r="X1393">
        <v>3</v>
      </c>
      <c r="Y1393">
        <v>11</v>
      </c>
      <c r="Z1393">
        <v>0</v>
      </c>
      <c r="AA1393">
        <v>65</v>
      </c>
      <c r="AB1393">
        <v>2660</v>
      </c>
      <c r="AC1393" s="28">
        <f>ifood_data[[#This Row],[Customer_Days]]/365</f>
        <v>7.2876712328767121</v>
      </c>
      <c r="AD1393">
        <v>1</v>
      </c>
      <c r="AE1393">
        <v>0</v>
      </c>
      <c r="AF1393">
        <v>0</v>
      </c>
      <c r="AG1393">
        <v>0</v>
      </c>
      <c r="AH1393">
        <v>0</v>
      </c>
      <c r="AI1393">
        <v>1</v>
      </c>
      <c r="AJ1393">
        <v>0</v>
      </c>
      <c r="AK1393">
        <v>0</v>
      </c>
      <c r="AL1393">
        <v>0</v>
      </c>
      <c r="AM1393">
        <v>0</v>
      </c>
      <c r="AN1393">
        <v>494</v>
      </c>
      <c r="AO1393">
        <v>467</v>
      </c>
      <c r="AP1393">
        <f>ifood_data[[#This Row],[MntTotal]]-ifood_data[[#This Row],[MntRegularProds]]</f>
        <v>27</v>
      </c>
      <c r="AQ1393">
        <v>0</v>
      </c>
      <c r="AR1393">
        <f>IF(SUM(ifood_data[[#This Row],[Kidhome]:[Teenhome]])&gt;0,1,0)</f>
        <v>1</v>
      </c>
      <c r="AS1393" t="str">
        <f>IF(SUM(ifood_data[[#This Row],[Kidhome]:[Teenhome]])&gt;0,"Has Family","No Family")</f>
        <v>Has Family</v>
      </c>
      <c r="AT1393" t="str">
        <f>IF(ifood_data[[#This Row],[marital_Married]]=1,"Married", (IF(ifood_data[[#This Row],[marital_Single]]=1,"Single",(IF(ifood_data[[#This Row],[marital_Divorced]]=1,"Divorced",(IF(ifood_data[[#This Row],[marital_Together]]=1,"Living Together",(IF(ifood_data[[#This Row],[marital_Widow]]=1,"Widow","Other")))))))))</f>
        <v>Divorced</v>
      </c>
      <c r="AU1393" t="str">
        <f>IF(ifood_data[[#This Row],[education_Basic]]=1,"High School",(IF(ifood_data[[#This Row],[education_Graduation]]=1,"Undergraduate Degree",(IF(SUM(AM1393,AL1393,AI1393)&gt;0,"Master's Degree or Higher","Other")))))</f>
        <v>Master's Degree or Higher</v>
      </c>
      <c r="AV1393" t="str">
        <f>IF(ifood_data[[#All],[Income]]&gt;75000,"75K+",(IF(ifood_data[[#All],[Income]]&gt;50000,"50K-75K",(IF(ifood_data[[#All],[Income]]&gt;35000,"35K-50K","&lt;35K")))))</f>
        <v>35K-50K</v>
      </c>
      <c r="AW1393" t="str">
        <f>IF(ifood_data[[#All],[Age]]&gt;60,"60+",(IF(ifood_data[[#All],[Age]]&gt;50,"50-60",(IF(ifood_data[[#All],[Age]]&gt;40,"40-50",(IF(ifood_data[[#All],[Age]]&gt;30,"30-40","&lt;30")))))))</f>
        <v>60+</v>
      </c>
      <c r="AX1393">
        <f t="shared" si="84"/>
        <v>30</v>
      </c>
      <c r="AY1393">
        <f t="shared" si="85"/>
        <v>7</v>
      </c>
      <c r="AZ1393">
        <f t="shared" si="86"/>
        <v>8</v>
      </c>
      <c r="BA1393">
        <f t="shared" si="87"/>
        <v>5</v>
      </c>
      <c r="BB1393">
        <f>SUM(ifood_data[[#This Row],[Recency Score]:[Monetary Score]])</f>
        <v>20</v>
      </c>
      <c r="BC1393">
        <f>(_xlfn.PERCENTRANK.INC(ifood_data[[#All],[RFM]],ifood_data[[#This Row],[RFM]],1))*10</f>
        <v>7</v>
      </c>
      <c r="BD1393" t="str">
        <f>VLOOKUP(ifood_data[[#This Row],[RFM Score]],'RFM Analysis'!$A$3:$B$14,2,FALSE)</f>
        <v>Loyal Customer</v>
      </c>
      <c r="BE1393">
        <f>'Regression Models'!$B$101+'Regression Models'!$B$102*ifood_data[[#This Row],[Income]]+'Regression Models'!$B$103*ifood_data[[#This Row],[Age]]+'Regression Models'!$B$104*ifood_data[[#This Row],[Family]]</f>
        <v>254.82102912690323</v>
      </c>
      <c r="BF1393" t="str">
        <f>IF(ifood_data[[#This Row],[AcceptedCmpOverall]]=1,"Campaign Respondent","Non-respondent")</f>
        <v>Non-respondent</v>
      </c>
    </row>
    <row r="1394" spans="1:58" x14ac:dyDescent="0.35">
      <c r="A1394">
        <v>797</v>
      </c>
      <c r="B1394">
        <v>40049</v>
      </c>
      <c r="C1394">
        <v>0</v>
      </c>
      <c r="D1394">
        <v>1</v>
      </c>
      <c r="E1394">
        <v>61</v>
      </c>
      <c r="F1394">
        <v>91</v>
      </c>
      <c r="G1394">
        <v>65</v>
      </c>
      <c r="H1394">
        <v>52</v>
      </c>
      <c r="I1394">
        <v>10</v>
      </c>
      <c r="J1394">
        <v>44</v>
      </c>
      <c r="K1394">
        <v>28</v>
      </c>
      <c r="L1394">
        <v>3</v>
      </c>
      <c r="M1394">
        <v>3</v>
      </c>
      <c r="N1394">
        <v>2</v>
      </c>
      <c r="O1394">
        <v>6</v>
      </c>
      <c r="P1394">
        <v>5</v>
      </c>
      <c r="Q1394">
        <v>0</v>
      </c>
      <c r="R1394">
        <v>0</v>
      </c>
      <c r="S1394">
        <v>0</v>
      </c>
      <c r="T1394">
        <v>0</v>
      </c>
      <c r="U1394">
        <v>0</v>
      </c>
      <c r="V1394">
        <f>IF(SUM(ifood_data[[#This Row],[AcceptedCmp1]:[AcceptedCmp5]])&gt;0,1,0)</f>
        <v>0</v>
      </c>
      <c r="W1394">
        <v>0</v>
      </c>
      <c r="X1394">
        <v>3</v>
      </c>
      <c r="Y1394">
        <v>11</v>
      </c>
      <c r="Z1394">
        <v>0</v>
      </c>
      <c r="AA1394">
        <v>46</v>
      </c>
      <c r="AB1394">
        <v>2736</v>
      </c>
      <c r="AC1394" s="28">
        <f>ifood_data[[#This Row],[Customer_Days]]/365</f>
        <v>7.4958904109589044</v>
      </c>
      <c r="AD1394">
        <v>0</v>
      </c>
      <c r="AE1394">
        <v>1</v>
      </c>
      <c r="AF1394">
        <v>0</v>
      </c>
      <c r="AG1394">
        <v>0</v>
      </c>
      <c r="AH1394">
        <v>0</v>
      </c>
      <c r="AI1394">
        <v>0</v>
      </c>
      <c r="AJ1394">
        <v>0</v>
      </c>
      <c r="AK1394">
        <v>1</v>
      </c>
      <c r="AL1394">
        <v>0</v>
      </c>
      <c r="AM1394">
        <v>0</v>
      </c>
      <c r="AN1394">
        <v>262</v>
      </c>
      <c r="AO1394">
        <v>234</v>
      </c>
      <c r="AP1394">
        <f>ifood_data[[#This Row],[MntTotal]]-ifood_data[[#This Row],[MntRegularProds]]</f>
        <v>28</v>
      </c>
      <c r="AQ1394">
        <v>0</v>
      </c>
      <c r="AR1394">
        <f>IF(SUM(ifood_data[[#This Row],[Kidhome]:[Teenhome]])&gt;0,1,0)</f>
        <v>1</v>
      </c>
      <c r="AS1394" t="str">
        <f>IF(SUM(ifood_data[[#This Row],[Kidhome]:[Teenhome]])&gt;0,"Has Family","No Family")</f>
        <v>Has Family</v>
      </c>
      <c r="AT1394" t="str">
        <f>IF(ifood_data[[#This Row],[marital_Married]]=1,"Married", (IF(ifood_data[[#This Row],[marital_Single]]=1,"Single",(IF(ifood_data[[#This Row],[marital_Divorced]]=1,"Divorced",(IF(ifood_data[[#This Row],[marital_Together]]=1,"Living Together",(IF(ifood_data[[#This Row],[marital_Widow]]=1,"Widow","Other")))))))))</f>
        <v>Married</v>
      </c>
      <c r="AU1394" t="str">
        <f>IF(ifood_data[[#This Row],[education_Basic]]=1,"High School",(IF(ifood_data[[#This Row],[education_Graduation]]=1,"Undergraduate Degree",(IF(SUM(AM1394,AL1394,AI1394)&gt;0,"Master's Degree or Higher","Other")))))</f>
        <v>Undergraduate Degree</v>
      </c>
      <c r="AV1394" t="str">
        <f>IF(ifood_data[[#All],[Income]]&gt;75000,"75K+",(IF(ifood_data[[#All],[Income]]&gt;50000,"50K-75K",(IF(ifood_data[[#All],[Income]]&gt;35000,"35K-50K","&lt;35K")))))</f>
        <v>35K-50K</v>
      </c>
      <c r="AW1394" t="str">
        <f>IF(ifood_data[[#All],[Age]]&gt;60,"60+",(IF(ifood_data[[#All],[Age]]&gt;50,"50-60",(IF(ifood_data[[#All],[Age]]&gt;40,"40-50",(IF(ifood_data[[#All],[Age]]&gt;30,"30-40","&lt;30")))))))</f>
        <v>40-50</v>
      </c>
      <c r="AX1394">
        <f t="shared" si="84"/>
        <v>19</v>
      </c>
      <c r="AY1394">
        <f t="shared" si="85"/>
        <v>4</v>
      </c>
      <c r="AZ1394">
        <f t="shared" si="86"/>
        <v>4</v>
      </c>
      <c r="BA1394">
        <f t="shared" si="87"/>
        <v>4</v>
      </c>
      <c r="BB1394">
        <f>SUM(ifood_data[[#This Row],[Recency Score]:[Monetary Score]])</f>
        <v>12</v>
      </c>
      <c r="BC1394">
        <f>(_xlfn.PERCENTRANK.INC(ifood_data[[#All],[RFM]],ifood_data[[#This Row],[RFM]],1))*10</f>
        <v>3</v>
      </c>
      <c r="BD1394" t="str">
        <f>VLOOKUP(ifood_data[[#This Row],[RFM Score]],'RFM Analysis'!$A$3:$B$14,2,FALSE)</f>
        <v>At Risk</v>
      </c>
      <c r="BE1394">
        <f>'Regression Models'!$B$101+'Regression Models'!$B$102*ifood_data[[#This Row],[Income]]+'Regression Models'!$B$103*ifood_data[[#This Row],[Age]]+'Regression Models'!$B$104*ifood_data[[#This Row],[Family]]</f>
        <v>254.64469041838834</v>
      </c>
      <c r="BF1394" t="str">
        <f>IF(ifood_data[[#This Row],[AcceptedCmpOverall]]=1,"Campaign Respondent","Non-respondent")</f>
        <v>Non-respondent</v>
      </c>
    </row>
    <row r="1395" spans="1:58" x14ac:dyDescent="0.35">
      <c r="A1395">
        <v>897</v>
      </c>
      <c r="B1395">
        <v>39771</v>
      </c>
      <c r="C1395">
        <v>1</v>
      </c>
      <c r="D1395">
        <v>0</v>
      </c>
      <c r="E1395">
        <v>92</v>
      </c>
      <c r="F1395">
        <v>6</v>
      </c>
      <c r="G1395">
        <v>2</v>
      </c>
      <c r="H1395">
        <v>18</v>
      </c>
      <c r="I1395">
        <v>2</v>
      </c>
      <c r="J1395">
        <v>8</v>
      </c>
      <c r="K1395">
        <v>14</v>
      </c>
      <c r="L1395">
        <v>1</v>
      </c>
      <c r="M1395">
        <v>2</v>
      </c>
      <c r="N1395">
        <v>0</v>
      </c>
      <c r="O1395">
        <v>3</v>
      </c>
      <c r="P1395">
        <v>4</v>
      </c>
      <c r="Q1395">
        <v>0</v>
      </c>
      <c r="R1395">
        <v>0</v>
      </c>
      <c r="S1395">
        <v>0</v>
      </c>
      <c r="T1395">
        <v>0</v>
      </c>
      <c r="U1395">
        <v>0</v>
      </c>
      <c r="V1395">
        <f>IF(SUM(ifood_data[[#This Row],[AcceptedCmp1]:[AcceptedCmp5]])&gt;0,1,0)</f>
        <v>0</v>
      </c>
      <c r="W1395">
        <v>0</v>
      </c>
      <c r="X1395">
        <v>3</v>
      </c>
      <c r="Y1395">
        <v>11</v>
      </c>
      <c r="Z1395">
        <v>0</v>
      </c>
      <c r="AA1395">
        <v>43</v>
      </c>
      <c r="AB1395">
        <v>2364</v>
      </c>
      <c r="AC1395" s="28">
        <f>ifood_data[[#This Row],[Customer_Days]]/365</f>
        <v>6.4767123287671229</v>
      </c>
      <c r="AD1395">
        <v>0</v>
      </c>
      <c r="AE1395">
        <v>0</v>
      </c>
      <c r="AF1395">
        <v>0</v>
      </c>
      <c r="AG1395">
        <v>1</v>
      </c>
      <c r="AH1395">
        <v>0</v>
      </c>
      <c r="AI1395">
        <v>0</v>
      </c>
      <c r="AJ1395">
        <v>0</v>
      </c>
      <c r="AK1395">
        <v>1</v>
      </c>
      <c r="AL1395">
        <v>0</v>
      </c>
      <c r="AM1395">
        <v>0</v>
      </c>
      <c r="AN1395">
        <v>36</v>
      </c>
      <c r="AO1395">
        <v>22</v>
      </c>
      <c r="AP1395">
        <f>ifood_data[[#This Row],[MntTotal]]-ifood_data[[#This Row],[MntRegularProds]]</f>
        <v>14</v>
      </c>
      <c r="AQ1395">
        <v>0</v>
      </c>
      <c r="AR1395">
        <f>IF(SUM(ifood_data[[#This Row],[Kidhome]:[Teenhome]])&gt;0,1,0)</f>
        <v>1</v>
      </c>
      <c r="AS1395" t="str">
        <f>IF(SUM(ifood_data[[#This Row],[Kidhome]:[Teenhome]])&gt;0,"Has Family","No Family")</f>
        <v>Has Family</v>
      </c>
      <c r="AT1395" t="str">
        <f>IF(ifood_data[[#This Row],[marital_Married]]=1,"Married", (IF(ifood_data[[#This Row],[marital_Single]]=1,"Single",(IF(ifood_data[[#This Row],[marital_Divorced]]=1,"Divorced",(IF(ifood_data[[#This Row],[marital_Together]]=1,"Living Together",(IF(ifood_data[[#This Row],[marital_Widow]]=1,"Widow","Other")))))))))</f>
        <v>Living Together</v>
      </c>
      <c r="AU1395" t="str">
        <f>IF(ifood_data[[#This Row],[education_Basic]]=1,"High School",(IF(ifood_data[[#This Row],[education_Graduation]]=1,"Undergraduate Degree",(IF(SUM(AM1395,AL1395,AI1395)&gt;0,"Master's Degree or Higher","Other")))))</f>
        <v>Undergraduate Degree</v>
      </c>
      <c r="AV1395" t="str">
        <f>IF(ifood_data[[#All],[Income]]&gt;75000,"75K+",(IF(ifood_data[[#All],[Income]]&gt;50000,"50K-75K",(IF(ifood_data[[#All],[Income]]&gt;35000,"35K-50K","&lt;35K")))))</f>
        <v>35K-50K</v>
      </c>
      <c r="AW1395" t="str">
        <f>IF(ifood_data[[#All],[Age]]&gt;60,"60+",(IF(ifood_data[[#All],[Age]]&gt;50,"50-60",(IF(ifood_data[[#All],[Age]]&gt;40,"40-50",(IF(ifood_data[[#All],[Age]]&gt;30,"30-40","&lt;30")))))))</f>
        <v>40-50</v>
      </c>
      <c r="AX1395">
        <f t="shared" si="84"/>
        <v>10</v>
      </c>
      <c r="AY1395">
        <f t="shared" si="85"/>
        <v>0.99999999999999978</v>
      </c>
      <c r="AZ1395">
        <f t="shared" si="86"/>
        <v>0</v>
      </c>
      <c r="BA1395">
        <f t="shared" si="87"/>
        <v>1</v>
      </c>
      <c r="BB1395">
        <f>SUM(ifood_data[[#This Row],[Recency Score]:[Monetary Score]])</f>
        <v>1.9999999999999998</v>
      </c>
      <c r="BC1395">
        <f>(_xlfn.PERCENTRANK.INC(ifood_data[[#All],[RFM]],ifood_data[[#This Row],[RFM]],1))*10</f>
        <v>0</v>
      </c>
      <c r="BD1395" t="str">
        <f>VLOOKUP(ifood_data[[#This Row],[RFM Score]],'RFM Analysis'!$A$3:$B$14,2,FALSE)</f>
        <v>Lost</v>
      </c>
      <c r="BE1395">
        <f>'Regression Models'!$B$101+'Regression Models'!$B$102*ifood_data[[#This Row],[Income]]+'Regression Models'!$B$103*ifood_data[[#This Row],[Age]]+'Regression Models'!$B$104*ifood_data[[#This Row],[Family]]</f>
        <v>254.48593011106732</v>
      </c>
      <c r="BF1395" t="str">
        <f>IF(ifood_data[[#This Row],[AcceptedCmpOverall]]=1,"Campaign Respondent","Non-respondent")</f>
        <v>Non-respondent</v>
      </c>
    </row>
    <row r="1396" spans="1:58" x14ac:dyDescent="0.35">
      <c r="A1396">
        <v>817</v>
      </c>
      <c r="B1396">
        <v>38683</v>
      </c>
      <c r="C1396">
        <v>1</v>
      </c>
      <c r="D1396">
        <v>0</v>
      </c>
      <c r="E1396">
        <v>80</v>
      </c>
      <c r="F1396">
        <v>46</v>
      </c>
      <c r="G1396">
        <v>35</v>
      </c>
      <c r="H1396">
        <v>69</v>
      </c>
      <c r="I1396">
        <v>84</v>
      </c>
      <c r="J1396">
        <v>41</v>
      </c>
      <c r="K1396">
        <v>66</v>
      </c>
      <c r="L1396">
        <v>6</v>
      </c>
      <c r="M1396">
        <v>4</v>
      </c>
      <c r="N1396">
        <v>1</v>
      </c>
      <c r="O1396">
        <v>6</v>
      </c>
      <c r="P1396">
        <v>7</v>
      </c>
      <c r="Q1396">
        <v>0</v>
      </c>
      <c r="R1396">
        <v>0</v>
      </c>
      <c r="S1396">
        <v>0</v>
      </c>
      <c r="T1396">
        <v>0</v>
      </c>
      <c r="U1396">
        <v>0</v>
      </c>
      <c r="V1396">
        <f>IF(SUM(ifood_data[[#This Row],[AcceptedCmp1]:[AcceptedCmp5]])&gt;0,1,0)</f>
        <v>0</v>
      </c>
      <c r="W1396">
        <v>0</v>
      </c>
      <c r="X1396">
        <v>3</v>
      </c>
      <c r="Y1396">
        <v>11</v>
      </c>
      <c r="Z1396">
        <v>0</v>
      </c>
      <c r="AA1396">
        <v>31</v>
      </c>
      <c r="AB1396">
        <v>2792</v>
      </c>
      <c r="AC1396" s="28">
        <f>ifood_data[[#This Row],[Customer_Days]]/365</f>
        <v>7.6493150684931503</v>
      </c>
      <c r="AD1396">
        <v>0</v>
      </c>
      <c r="AE1396">
        <v>0</v>
      </c>
      <c r="AF1396">
        <v>0</v>
      </c>
      <c r="AG1396">
        <v>1</v>
      </c>
      <c r="AH1396">
        <v>0</v>
      </c>
      <c r="AI1396">
        <v>1</v>
      </c>
      <c r="AJ1396">
        <v>0</v>
      </c>
      <c r="AK1396">
        <v>0</v>
      </c>
      <c r="AL1396">
        <v>0</v>
      </c>
      <c r="AM1396">
        <v>0</v>
      </c>
      <c r="AN1396">
        <v>275</v>
      </c>
      <c r="AO1396">
        <v>209</v>
      </c>
      <c r="AP1396">
        <f>ifood_data[[#This Row],[MntTotal]]-ifood_data[[#This Row],[MntRegularProds]]</f>
        <v>66</v>
      </c>
      <c r="AQ1396">
        <v>0</v>
      </c>
      <c r="AR1396">
        <f>IF(SUM(ifood_data[[#This Row],[Kidhome]:[Teenhome]])&gt;0,1,0)</f>
        <v>1</v>
      </c>
      <c r="AS1396" t="str">
        <f>IF(SUM(ifood_data[[#This Row],[Kidhome]:[Teenhome]])&gt;0,"Has Family","No Family")</f>
        <v>Has Family</v>
      </c>
      <c r="AT1396" t="str">
        <f>IF(ifood_data[[#This Row],[marital_Married]]=1,"Married", (IF(ifood_data[[#This Row],[marital_Single]]=1,"Single",(IF(ifood_data[[#This Row],[marital_Divorced]]=1,"Divorced",(IF(ifood_data[[#This Row],[marital_Together]]=1,"Living Together",(IF(ifood_data[[#This Row],[marital_Widow]]=1,"Widow","Other")))))))))</f>
        <v>Living Together</v>
      </c>
      <c r="AU1396" t="str">
        <f>IF(ifood_data[[#This Row],[education_Basic]]=1,"High School",(IF(ifood_data[[#This Row],[education_Graduation]]=1,"Undergraduate Degree",(IF(SUM(AM1396,AL1396,AI1396)&gt;0,"Master's Degree or Higher","Other")))))</f>
        <v>Master's Degree or Higher</v>
      </c>
      <c r="AV1396" t="str">
        <f>IF(ifood_data[[#All],[Income]]&gt;75000,"75K+",(IF(ifood_data[[#All],[Income]]&gt;50000,"50K-75K",(IF(ifood_data[[#All],[Income]]&gt;35000,"35K-50K","&lt;35K")))))</f>
        <v>35K-50K</v>
      </c>
      <c r="AW1396" t="str">
        <f>IF(ifood_data[[#All],[Age]]&gt;60,"60+",(IF(ifood_data[[#All],[Age]]&gt;50,"50-60",(IF(ifood_data[[#All],[Age]]&gt;40,"40-50",(IF(ifood_data[[#All],[Age]]&gt;30,"30-40","&lt;30")))))))</f>
        <v>30-40</v>
      </c>
      <c r="AX1396">
        <f t="shared" si="84"/>
        <v>24</v>
      </c>
      <c r="AY1396">
        <f t="shared" si="85"/>
        <v>1.9999999999999996</v>
      </c>
      <c r="AZ1396">
        <f t="shared" si="86"/>
        <v>6</v>
      </c>
      <c r="BA1396">
        <f t="shared" si="87"/>
        <v>4</v>
      </c>
      <c r="BB1396">
        <f>SUM(ifood_data[[#This Row],[Recency Score]:[Monetary Score]])</f>
        <v>12</v>
      </c>
      <c r="BC1396">
        <f>(_xlfn.PERCENTRANK.INC(ifood_data[[#All],[RFM]],ifood_data[[#This Row],[RFM]],1))*10</f>
        <v>3</v>
      </c>
      <c r="BD1396" t="str">
        <f>VLOOKUP(ifood_data[[#This Row],[RFM Score]],'RFM Analysis'!$A$3:$B$14,2,FALSE)</f>
        <v>At Risk</v>
      </c>
      <c r="BE1396">
        <f>'Regression Models'!$B$101+'Regression Models'!$B$102*ifood_data[[#This Row],[Income]]+'Regression Models'!$B$103*ifood_data[[#This Row],[Age]]+'Regression Models'!$B$104*ifood_data[[#This Row],[Family]]</f>
        <v>254.34021931723657</v>
      </c>
      <c r="BF1396" t="str">
        <f>IF(ifood_data[[#This Row],[AcceptedCmpOverall]]=1,"Campaign Respondent","Non-respondent")</f>
        <v>Non-respondent</v>
      </c>
    </row>
    <row r="1397" spans="1:58" x14ac:dyDescent="0.35">
      <c r="A1397">
        <v>1945</v>
      </c>
      <c r="B1397">
        <v>41275</v>
      </c>
      <c r="C1397">
        <v>1</v>
      </c>
      <c r="D1397">
        <v>2</v>
      </c>
      <c r="E1397">
        <v>33</v>
      </c>
      <c r="F1397">
        <v>24</v>
      </c>
      <c r="G1397">
        <v>4</v>
      </c>
      <c r="H1397">
        <v>22</v>
      </c>
      <c r="I1397">
        <v>0</v>
      </c>
      <c r="J1397">
        <v>2</v>
      </c>
      <c r="K1397">
        <v>9</v>
      </c>
      <c r="L1397">
        <v>4</v>
      </c>
      <c r="M1397">
        <v>3</v>
      </c>
      <c r="N1397">
        <v>1</v>
      </c>
      <c r="O1397">
        <v>3</v>
      </c>
      <c r="P1397">
        <v>5</v>
      </c>
      <c r="Q1397">
        <v>0</v>
      </c>
      <c r="R1397">
        <v>0</v>
      </c>
      <c r="S1397">
        <v>0</v>
      </c>
      <c r="T1397">
        <v>0</v>
      </c>
      <c r="U1397">
        <v>0</v>
      </c>
      <c r="V1397">
        <f>IF(SUM(ifood_data[[#This Row],[AcceptedCmp1]:[AcceptedCmp5]])&gt;0,1,0)</f>
        <v>0</v>
      </c>
      <c r="W1397">
        <v>0</v>
      </c>
      <c r="X1397">
        <v>3</v>
      </c>
      <c r="Y1397">
        <v>11</v>
      </c>
      <c r="Z1397">
        <v>0</v>
      </c>
      <c r="AA1397">
        <v>60</v>
      </c>
      <c r="AB1397">
        <v>2256</v>
      </c>
      <c r="AC1397" s="28">
        <f>ifood_data[[#This Row],[Customer_Days]]/365</f>
        <v>6.1808219178082195</v>
      </c>
      <c r="AD1397">
        <v>0</v>
      </c>
      <c r="AE1397">
        <v>0</v>
      </c>
      <c r="AF1397">
        <v>0</v>
      </c>
      <c r="AG1397">
        <v>1</v>
      </c>
      <c r="AH1397">
        <v>0</v>
      </c>
      <c r="AI1397">
        <v>0</v>
      </c>
      <c r="AJ1397">
        <v>0</v>
      </c>
      <c r="AK1397">
        <v>0</v>
      </c>
      <c r="AL1397">
        <v>1</v>
      </c>
      <c r="AM1397">
        <v>0</v>
      </c>
      <c r="AN1397">
        <v>52</v>
      </c>
      <c r="AO1397">
        <v>43</v>
      </c>
      <c r="AP1397">
        <f>ifood_data[[#This Row],[MntTotal]]-ifood_data[[#This Row],[MntRegularProds]]</f>
        <v>9</v>
      </c>
      <c r="AQ1397">
        <v>0</v>
      </c>
      <c r="AR1397">
        <f>IF(SUM(ifood_data[[#This Row],[Kidhome]:[Teenhome]])&gt;0,1,0)</f>
        <v>1</v>
      </c>
      <c r="AS1397" t="str">
        <f>IF(SUM(ifood_data[[#This Row],[Kidhome]:[Teenhome]])&gt;0,"Has Family","No Family")</f>
        <v>Has Family</v>
      </c>
      <c r="AT1397" t="str">
        <f>IF(ifood_data[[#This Row],[marital_Married]]=1,"Married", (IF(ifood_data[[#This Row],[marital_Single]]=1,"Single",(IF(ifood_data[[#This Row],[marital_Divorced]]=1,"Divorced",(IF(ifood_data[[#This Row],[marital_Together]]=1,"Living Together",(IF(ifood_data[[#This Row],[marital_Widow]]=1,"Widow","Other")))))))))</f>
        <v>Living Together</v>
      </c>
      <c r="AU1397" t="str">
        <f>IF(ifood_data[[#This Row],[education_Basic]]=1,"High School",(IF(ifood_data[[#This Row],[education_Graduation]]=1,"Undergraduate Degree",(IF(SUM(AM1397,AL1397,AI1397)&gt;0,"Master's Degree or Higher","Other")))))</f>
        <v>Master's Degree or Higher</v>
      </c>
      <c r="AV1397" t="str">
        <f>IF(ifood_data[[#All],[Income]]&gt;75000,"75K+",(IF(ifood_data[[#All],[Income]]&gt;50000,"50K-75K",(IF(ifood_data[[#All],[Income]]&gt;35000,"35K-50K","&lt;35K")))))</f>
        <v>35K-50K</v>
      </c>
      <c r="AW1397" t="str">
        <f>IF(ifood_data[[#All],[Age]]&gt;60,"60+",(IF(ifood_data[[#All],[Age]]&gt;50,"50-60",(IF(ifood_data[[#All],[Age]]&gt;40,"40-50",(IF(ifood_data[[#All],[Age]]&gt;30,"30-40","&lt;30")))))))</f>
        <v>50-60</v>
      </c>
      <c r="AX1397">
        <f t="shared" si="84"/>
        <v>16</v>
      </c>
      <c r="AY1397">
        <f t="shared" si="85"/>
        <v>7</v>
      </c>
      <c r="AZ1397">
        <f t="shared" si="86"/>
        <v>3</v>
      </c>
      <c r="BA1397">
        <f t="shared" si="87"/>
        <v>2</v>
      </c>
      <c r="BB1397">
        <f>SUM(ifood_data[[#This Row],[Recency Score]:[Monetary Score]])</f>
        <v>12</v>
      </c>
      <c r="BC1397">
        <f>(_xlfn.PERCENTRANK.INC(ifood_data[[#All],[RFM]],ifood_data[[#This Row],[RFM]],1))*10</f>
        <v>3</v>
      </c>
      <c r="BD1397" t="str">
        <f>VLOOKUP(ifood_data[[#This Row],[RFM Score]],'RFM Analysis'!$A$3:$B$14,2,FALSE)</f>
        <v>At Risk</v>
      </c>
      <c r="BE1397">
        <f>'Regression Models'!$B$101+'Regression Models'!$B$102*ifood_data[[#This Row],[Income]]+'Regression Models'!$B$103*ifood_data[[#This Row],[Age]]+'Regression Models'!$B$104*ifood_data[[#This Row],[Family]]</f>
        <v>253.93117305828855</v>
      </c>
      <c r="BF1397" t="str">
        <f>IF(ifood_data[[#This Row],[AcceptedCmpOverall]]=1,"Campaign Respondent","Non-respondent")</f>
        <v>Non-respondent</v>
      </c>
    </row>
    <row r="1398" spans="1:58" x14ac:dyDescent="0.35">
      <c r="A1398">
        <v>1306</v>
      </c>
      <c r="B1398">
        <v>39996</v>
      </c>
      <c r="C1398">
        <v>1</v>
      </c>
      <c r="D1398">
        <v>1</v>
      </c>
      <c r="E1398">
        <v>85</v>
      </c>
      <c r="F1398">
        <v>11</v>
      </c>
      <c r="G1398">
        <v>0</v>
      </c>
      <c r="H1398">
        <v>3</v>
      </c>
      <c r="I1398">
        <v>0</v>
      </c>
      <c r="J1398">
        <v>0</v>
      </c>
      <c r="K1398">
        <v>1</v>
      </c>
      <c r="L1398">
        <v>1</v>
      </c>
      <c r="M1398">
        <v>1</v>
      </c>
      <c r="N1398">
        <v>0</v>
      </c>
      <c r="O1398">
        <v>2</v>
      </c>
      <c r="P1398">
        <v>6</v>
      </c>
      <c r="Q1398">
        <v>0</v>
      </c>
      <c r="R1398">
        <v>0</v>
      </c>
      <c r="S1398">
        <v>0</v>
      </c>
      <c r="T1398">
        <v>0</v>
      </c>
      <c r="U1398">
        <v>0</v>
      </c>
      <c r="V1398">
        <f>IF(SUM(ifood_data[[#This Row],[AcceptedCmp1]:[AcceptedCmp5]])&gt;0,1,0)</f>
        <v>0</v>
      </c>
      <c r="W1398">
        <v>0</v>
      </c>
      <c r="X1398">
        <v>3</v>
      </c>
      <c r="Y1398">
        <v>11</v>
      </c>
      <c r="Z1398">
        <v>0</v>
      </c>
      <c r="AA1398">
        <v>46</v>
      </c>
      <c r="AB1398">
        <v>2197</v>
      </c>
      <c r="AC1398" s="28">
        <f>ifood_data[[#This Row],[Customer_Days]]/365</f>
        <v>6.0191780821917806</v>
      </c>
      <c r="AD1398">
        <v>1</v>
      </c>
      <c r="AE1398">
        <v>0</v>
      </c>
      <c r="AF1398">
        <v>0</v>
      </c>
      <c r="AG1398">
        <v>0</v>
      </c>
      <c r="AH1398">
        <v>0</v>
      </c>
      <c r="AI1398">
        <v>0</v>
      </c>
      <c r="AJ1398">
        <v>0</v>
      </c>
      <c r="AK1398">
        <v>1</v>
      </c>
      <c r="AL1398">
        <v>0</v>
      </c>
      <c r="AM1398">
        <v>0</v>
      </c>
      <c r="AN1398">
        <v>14</v>
      </c>
      <c r="AO1398">
        <v>13</v>
      </c>
      <c r="AP1398">
        <f>ifood_data[[#This Row],[MntTotal]]-ifood_data[[#This Row],[MntRegularProds]]</f>
        <v>1</v>
      </c>
      <c r="AQ1398">
        <v>0</v>
      </c>
      <c r="AR1398">
        <f>IF(SUM(ifood_data[[#This Row],[Kidhome]:[Teenhome]])&gt;0,1,0)</f>
        <v>1</v>
      </c>
      <c r="AS1398" t="str">
        <f>IF(SUM(ifood_data[[#This Row],[Kidhome]:[Teenhome]])&gt;0,"Has Family","No Family")</f>
        <v>Has Family</v>
      </c>
      <c r="AT1398" t="str">
        <f>IF(ifood_data[[#This Row],[marital_Married]]=1,"Married", (IF(ifood_data[[#This Row],[marital_Single]]=1,"Single",(IF(ifood_data[[#This Row],[marital_Divorced]]=1,"Divorced",(IF(ifood_data[[#This Row],[marital_Together]]=1,"Living Together",(IF(ifood_data[[#This Row],[marital_Widow]]=1,"Widow","Other")))))))))</f>
        <v>Divorced</v>
      </c>
      <c r="AU1398" t="str">
        <f>IF(ifood_data[[#This Row],[education_Basic]]=1,"High School",(IF(ifood_data[[#This Row],[education_Graduation]]=1,"Undergraduate Degree",(IF(SUM(AM1398,AL1398,AI1398)&gt;0,"Master's Degree or Higher","Other")))))</f>
        <v>Undergraduate Degree</v>
      </c>
      <c r="AV1398" t="str">
        <f>IF(ifood_data[[#All],[Income]]&gt;75000,"75K+",(IF(ifood_data[[#All],[Income]]&gt;50000,"50K-75K",(IF(ifood_data[[#All],[Income]]&gt;35000,"35K-50K","&lt;35K")))))</f>
        <v>35K-50K</v>
      </c>
      <c r="AW1398" t="str">
        <f>IF(ifood_data[[#All],[Age]]&gt;60,"60+",(IF(ifood_data[[#All],[Age]]&gt;50,"50-60",(IF(ifood_data[[#All],[Age]]&gt;40,"40-50",(IF(ifood_data[[#All],[Age]]&gt;30,"30-40","&lt;30")))))))</f>
        <v>40-50</v>
      </c>
      <c r="AX1398">
        <f t="shared" si="84"/>
        <v>10</v>
      </c>
      <c r="AY1398">
        <f t="shared" si="85"/>
        <v>1.9999999999999996</v>
      </c>
      <c r="AZ1398">
        <f t="shared" si="86"/>
        <v>0</v>
      </c>
      <c r="BA1398">
        <f t="shared" si="87"/>
        <v>0</v>
      </c>
      <c r="BB1398">
        <f>SUM(ifood_data[[#This Row],[Recency Score]:[Monetary Score]])</f>
        <v>1.9999999999999996</v>
      </c>
      <c r="BC1398">
        <f>(_xlfn.PERCENTRANK.INC(ifood_data[[#All],[RFM]],ifood_data[[#This Row],[RFM]],1))*10</f>
        <v>0</v>
      </c>
      <c r="BD1398" t="str">
        <f>VLOOKUP(ifood_data[[#This Row],[RFM Score]],'RFM Analysis'!$A$3:$B$14,2,FALSE)</f>
        <v>Lost</v>
      </c>
      <c r="BE1398">
        <f>'Regression Models'!$B$101+'Regression Models'!$B$102*ifood_data[[#This Row],[Income]]+'Regression Models'!$B$103*ifood_data[[#This Row],[Age]]+'Regression Models'!$B$104*ifood_data[[#This Row],[Family]]</f>
        <v>253.56408570676172</v>
      </c>
      <c r="BF1398" t="str">
        <f>IF(ifood_data[[#This Row],[AcceptedCmpOverall]]=1,"Campaign Respondent","Non-respondent")</f>
        <v>Non-respondent</v>
      </c>
    </row>
    <row r="1399" spans="1:58" x14ac:dyDescent="0.35">
      <c r="A1399">
        <v>1175</v>
      </c>
      <c r="B1399">
        <v>40521</v>
      </c>
      <c r="C1399">
        <v>1</v>
      </c>
      <c r="D1399">
        <v>1</v>
      </c>
      <c r="E1399">
        <v>82</v>
      </c>
      <c r="F1399">
        <v>12</v>
      </c>
      <c r="G1399">
        <v>0</v>
      </c>
      <c r="H1399">
        <v>5</v>
      </c>
      <c r="I1399">
        <v>0</v>
      </c>
      <c r="J1399">
        <v>0</v>
      </c>
      <c r="K1399">
        <v>4</v>
      </c>
      <c r="L1399">
        <v>1</v>
      </c>
      <c r="M1399">
        <v>0</v>
      </c>
      <c r="N1399">
        <v>1</v>
      </c>
      <c r="O1399">
        <v>2</v>
      </c>
      <c r="P1399">
        <v>5</v>
      </c>
      <c r="Q1399">
        <v>0</v>
      </c>
      <c r="R1399">
        <v>0</v>
      </c>
      <c r="S1399">
        <v>0</v>
      </c>
      <c r="T1399">
        <v>0</v>
      </c>
      <c r="U1399">
        <v>0</v>
      </c>
      <c r="V1399">
        <f>IF(SUM(ifood_data[[#This Row],[AcceptedCmp1]:[AcceptedCmp5]])&gt;0,1,0)</f>
        <v>0</v>
      </c>
      <c r="W1399">
        <v>0</v>
      </c>
      <c r="X1399">
        <v>3</v>
      </c>
      <c r="Y1399">
        <v>11</v>
      </c>
      <c r="Z1399">
        <v>0</v>
      </c>
      <c r="AA1399">
        <v>52</v>
      </c>
      <c r="AB1399">
        <v>2609</v>
      </c>
      <c r="AC1399" s="28">
        <f>ifood_data[[#This Row],[Customer_Days]]/365</f>
        <v>7.1479452054794521</v>
      </c>
      <c r="AD1399">
        <v>0</v>
      </c>
      <c r="AE1399">
        <v>0</v>
      </c>
      <c r="AF1399">
        <v>0</v>
      </c>
      <c r="AG1399">
        <v>1</v>
      </c>
      <c r="AH1399">
        <v>0</v>
      </c>
      <c r="AI1399">
        <v>0</v>
      </c>
      <c r="AJ1399">
        <v>0</v>
      </c>
      <c r="AK1399">
        <v>1</v>
      </c>
      <c r="AL1399">
        <v>0</v>
      </c>
      <c r="AM1399">
        <v>0</v>
      </c>
      <c r="AN1399">
        <v>17</v>
      </c>
      <c r="AO1399">
        <v>13</v>
      </c>
      <c r="AP1399">
        <f>ifood_data[[#This Row],[MntTotal]]-ifood_data[[#This Row],[MntRegularProds]]</f>
        <v>4</v>
      </c>
      <c r="AQ1399">
        <v>0</v>
      </c>
      <c r="AR1399">
        <f>IF(SUM(ifood_data[[#This Row],[Kidhome]:[Teenhome]])&gt;0,1,0)</f>
        <v>1</v>
      </c>
      <c r="AS1399" t="str">
        <f>IF(SUM(ifood_data[[#This Row],[Kidhome]:[Teenhome]])&gt;0,"Has Family","No Family")</f>
        <v>Has Family</v>
      </c>
      <c r="AT1399" t="str">
        <f>IF(ifood_data[[#This Row],[marital_Married]]=1,"Married", (IF(ifood_data[[#This Row],[marital_Single]]=1,"Single",(IF(ifood_data[[#This Row],[marital_Divorced]]=1,"Divorced",(IF(ifood_data[[#This Row],[marital_Together]]=1,"Living Together",(IF(ifood_data[[#This Row],[marital_Widow]]=1,"Widow","Other")))))))))</f>
        <v>Living Together</v>
      </c>
      <c r="AU1399" t="str">
        <f>IF(ifood_data[[#This Row],[education_Basic]]=1,"High School",(IF(ifood_data[[#This Row],[education_Graduation]]=1,"Undergraduate Degree",(IF(SUM(AM1399,AL1399,AI1399)&gt;0,"Master's Degree or Higher","Other")))))</f>
        <v>Undergraduate Degree</v>
      </c>
      <c r="AV1399" t="str">
        <f>IF(ifood_data[[#All],[Income]]&gt;75000,"75K+",(IF(ifood_data[[#All],[Income]]&gt;50000,"50K-75K",(IF(ifood_data[[#All],[Income]]&gt;35000,"35K-50K","&lt;35K")))))</f>
        <v>35K-50K</v>
      </c>
      <c r="AW1399" t="str">
        <f>IF(ifood_data[[#All],[Age]]&gt;60,"60+",(IF(ifood_data[[#All],[Age]]&gt;50,"50-60",(IF(ifood_data[[#All],[Age]]&gt;40,"40-50",(IF(ifood_data[[#All],[Age]]&gt;30,"30-40","&lt;30")))))))</f>
        <v>50-60</v>
      </c>
      <c r="AX1399">
        <f t="shared" si="84"/>
        <v>9</v>
      </c>
      <c r="AY1399">
        <f t="shared" si="85"/>
        <v>1.9999999999999996</v>
      </c>
      <c r="AZ1399">
        <f t="shared" si="86"/>
        <v>0</v>
      </c>
      <c r="BA1399">
        <f t="shared" si="87"/>
        <v>0</v>
      </c>
      <c r="BB1399">
        <f>SUM(ifood_data[[#This Row],[Recency Score]:[Monetary Score]])</f>
        <v>1.9999999999999996</v>
      </c>
      <c r="BC1399">
        <f>(_xlfn.PERCENTRANK.INC(ifood_data[[#All],[RFM]],ifood_data[[#This Row],[RFM]],1))*10</f>
        <v>0</v>
      </c>
      <c r="BD1399" t="str">
        <f>VLOOKUP(ifood_data[[#This Row],[RFM Score]],'RFM Analysis'!$A$3:$B$14,2,FALSE)</f>
        <v>Lost</v>
      </c>
      <c r="BE1399">
        <f>'Regression Models'!$B$101+'Regression Models'!$B$102*ifood_data[[#This Row],[Income]]+'Regression Models'!$B$103*ifood_data[[#This Row],[Age]]+'Regression Models'!$B$104*ifood_data[[#This Row],[Family]]</f>
        <v>253.24955450894299</v>
      </c>
      <c r="BF1399" t="str">
        <f>IF(ifood_data[[#This Row],[AcceptedCmpOverall]]=1,"Campaign Respondent","Non-respondent")</f>
        <v>Non-respondent</v>
      </c>
    </row>
    <row r="1400" spans="1:58" x14ac:dyDescent="0.35">
      <c r="A1400">
        <v>734</v>
      </c>
      <c r="B1400">
        <v>40760</v>
      </c>
      <c r="C1400">
        <v>0</v>
      </c>
      <c r="D1400">
        <v>1</v>
      </c>
      <c r="E1400">
        <v>64</v>
      </c>
      <c r="F1400">
        <v>70</v>
      </c>
      <c r="G1400">
        <v>0</v>
      </c>
      <c r="H1400">
        <v>17</v>
      </c>
      <c r="I1400">
        <v>0</v>
      </c>
      <c r="J1400">
        <v>0</v>
      </c>
      <c r="K1400">
        <v>6</v>
      </c>
      <c r="L1400">
        <v>2</v>
      </c>
      <c r="M1400">
        <v>2</v>
      </c>
      <c r="N1400">
        <v>1</v>
      </c>
      <c r="O1400">
        <v>3</v>
      </c>
      <c r="P1400">
        <v>6</v>
      </c>
      <c r="Q1400">
        <v>0</v>
      </c>
      <c r="R1400">
        <v>0</v>
      </c>
      <c r="S1400">
        <v>0</v>
      </c>
      <c r="T1400">
        <v>0</v>
      </c>
      <c r="U1400">
        <v>0</v>
      </c>
      <c r="V1400">
        <f>IF(SUM(ifood_data[[#This Row],[AcceptedCmp1]:[AcceptedCmp5]])&gt;0,1,0)</f>
        <v>0</v>
      </c>
      <c r="W1400">
        <v>0</v>
      </c>
      <c r="X1400">
        <v>3</v>
      </c>
      <c r="Y1400">
        <v>11</v>
      </c>
      <c r="Z1400">
        <v>0</v>
      </c>
      <c r="AA1400">
        <v>55</v>
      </c>
      <c r="AB1400">
        <v>2462</v>
      </c>
      <c r="AC1400" s="28">
        <f>ifood_data[[#This Row],[Customer_Days]]/365</f>
        <v>6.7452054794520544</v>
      </c>
      <c r="AD1400">
        <v>0</v>
      </c>
      <c r="AE1400">
        <v>0</v>
      </c>
      <c r="AF1400">
        <v>1</v>
      </c>
      <c r="AG1400">
        <v>0</v>
      </c>
      <c r="AH1400">
        <v>0</v>
      </c>
      <c r="AI1400">
        <v>0</v>
      </c>
      <c r="AJ1400">
        <v>0</v>
      </c>
      <c r="AK1400">
        <v>0</v>
      </c>
      <c r="AL1400">
        <v>0</v>
      </c>
      <c r="AM1400">
        <v>1</v>
      </c>
      <c r="AN1400">
        <v>87</v>
      </c>
      <c r="AO1400">
        <v>81</v>
      </c>
      <c r="AP1400">
        <f>ifood_data[[#This Row],[MntTotal]]-ifood_data[[#This Row],[MntRegularProds]]</f>
        <v>6</v>
      </c>
      <c r="AQ1400">
        <v>0</v>
      </c>
      <c r="AR1400">
        <f>IF(SUM(ifood_data[[#This Row],[Kidhome]:[Teenhome]])&gt;0,1,0)</f>
        <v>1</v>
      </c>
      <c r="AS1400" t="str">
        <f>IF(SUM(ifood_data[[#This Row],[Kidhome]:[Teenhome]])&gt;0,"Has Family","No Family")</f>
        <v>Has Family</v>
      </c>
      <c r="AT1400" t="str">
        <f>IF(ifood_data[[#This Row],[marital_Married]]=1,"Married", (IF(ifood_data[[#This Row],[marital_Single]]=1,"Single",(IF(ifood_data[[#This Row],[marital_Divorced]]=1,"Divorced",(IF(ifood_data[[#This Row],[marital_Together]]=1,"Living Together",(IF(ifood_data[[#This Row],[marital_Widow]]=1,"Widow","Other")))))))))</f>
        <v>Single</v>
      </c>
      <c r="AU1400" t="str">
        <f>IF(ifood_data[[#This Row],[education_Basic]]=1,"High School",(IF(ifood_data[[#This Row],[education_Graduation]]=1,"Undergraduate Degree",(IF(SUM(AM1400,AL1400,AI1400)&gt;0,"Master's Degree or Higher","Other")))))</f>
        <v>Master's Degree or Higher</v>
      </c>
      <c r="AV1400" t="str">
        <f>IF(ifood_data[[#All],[Income]]&gt;75000,"75K+",(IF(ifood_data[[#All],[Income]]&gt;50000,"50K-75K",(IF(ifood_data[[#All],[Income]]&gt;35000,"35K-50K","&lt;35K")))))</f>
        <v>35K-50K</v>
      </c>
      <c r="AW1400" t="str">
        <f>IF(ifood_data[[#All],[Age]]&gt;60,"60+",(IF(ifood_data[[#All],[Age]]&gt;50,"50-60",(IF(ifood_data[[#All],[Age]]&gt;40,"40-50",(IF(ifood_data[[#All],[Age]]&gt;30,"30-40","&lt;30")))))))</f>
        <v>50-60</v>
      </c>
      <c r="AX1400">
        <f t="shared" si="84"/>
        <v>14</v>
      </c>
      <c r="AY1400">
        <f t="shared" si="85"/>
        <v>4</v>
      </c>
      <c r="AZ1400">
        <f t="shared" si="86"/>
        <v>2</v>
      </c>
      <c r="BA1400">
        <f t="shared" si="87"/>
        <v>3</v>
      </c>
      <c r="BB1400">
        <f>SUM(ifood_data[[#This Row],[Recency Score]:[Monetary Score]])</f>
        <v>9</v>
      </c>
      <c r="BC1400">
        <f>(_xlfn.PERCENTRANK.INC(ifood_data[[#All],[RFM]],ifood_data[[#This Row],[RFM]],1))*10</f>
        <v>1</v>
      </c>
      <c r="BD1400" t="str">
        <f>VLOOKUP(ifood_data[[#This Row],[RFM Score]],'RFM Analysis'!$A$3:$B$14,2,FALSE)</f>
        <v>At Risk</v>
      </c>
      <c r="BE1400">
        <f>'Regression Models'!$B$101+'Regression Models'!$B$102*ifood_data[[#This Row],[Income]]+'Regression Models'!$B$103*ifood_data[[#This Row],[Age]]+'Regression Models'!$B$104*ifood_data[[#This Row],[Family]]</f>
        <v>252.61315285865203</v>
      </c>
      <c r="BF1400" t="str">
        <f>IF(ifood_data[[#This Row],[AcceptedCmpOverall]]=1,"Campaign Respondent","Non-respondent")</f>
        <v>Non-respondent</v>
      </c>
    </row>
    <row r="1401" spans="1:58" x14ac:dyDescent="0.35">
      <c r="A1401">
        <v>477</v>
      </c>
      <c r="B1401">
        <v>24279</v>
      </c>
      <c r="C1401">
        <v>0</v>
      </c>
      <c r="D1401">
        <v>0</v>
      </c>
      <c r="E1401">
        <v>6</v>
      </c>
      <c r="F1401">
        <v>16</v>
      </c>
      <c r="G1401">
        <v>36</v>
      </c>
      <c r="H1401">
        <v>21</v>
      </c>
      <c r="I1401">
        <v>20</v>
      </c>
      <c r="J1401">
        <v>62</v>
      </c>
      <c r="K1401">
        <v>108</v>
      </c>
      <c r="L1401">
        <v>1</v>
      </c>
      <c r="M1401">
        <v>4</v>
      </c>
      <c r="N1401">
        <v>1</v>
      </c>
      <c r="O1401">
        <v>3</v>
      </c>
      <c r="P1401">
        <v>8</v>
      </c>
      <c r="Q1401">
        <v>0</v>
      </c>
      <c r="R1401">
        <v>0</v>
      </c>
      <c r="S1401">
        <v>0</v>
      </c>
      <c r="T1401">
        <v>0</v>
      </c>
      <c r="U1401">
        <v>0</v>
      </c>
      <c r="V1401">
        <f>IF(SUM(ifood_data[[#This Row],[AcceptedCmp1]:[AcceptedCmp5]])&gt;0,1,0)</f>
        <v>0</v>
      </c>
      <c r="W1401">
        <v>0</v>
      </c>
      <c r="X1401">
        <v>3</v>
      </c>
      <c r="Y1401">
        <v>11</v>
      </c>
      <c r="Z1401">
        <v>0</v>
      </c>
      <c r="AA1401">
        <v>30</v>
      </c>
      <c r="AB1401">
        <v>2706</v>
      </c>
      <c r="AC1401" s="28">
        <f>ifood_data[[#This Row],[Customer_Days]]/365</f>
        <v>7.4136986301369863</v>
      </c>
      <c r="AD1401">
        <v>0</v>
      </c>
      <c r="AE1401">
        <v>1</v>
      </c>
      <c r="AF1401">
        <v>0</v>
      </c>
      <c r="AG1401">
        <v>0</v>
      </c>
      <c r="AH1401">
        <v>0</v>
      </c>
      <c r="AI1401">
        <v>0</v>
      </c>
      <c r="AJ1401">
        <v>1</v>
      </c>
      <c r="AK1401">
        <v>0</v>
      </c>
      <c r="AL1401">
        <v>0</v>
      </c>
      <c r="AM1401">
        <v>0</v>
      </c>
      <c r="AN1401">
        <v>155</v>
      </c>
      <c r="AO1401">
        <v>47</v>
      </c>
      <c r="AP1401">
        <f>ifood_data[[#This Row],[MntTotal]]-ifood_data[[#This Row],[MntRegularProds]]</f>
        <v>108</v>
      </c>
      <c r="AQ1401">
        <v>0</v>
      </c>
      <c r="AR1401">
        <f>IF(SUM(ifood_data[[#This Row],[Kidhome]:[Teenhome]])&gt;0,1,0)</f>
        <v>0</v>
      </c>
      <c r="AS1401" t="str">
        <f>IF(SUM(ifood_data[[#This Row],[Kidhome]:[Teenhome]])&gt;0,"Has Family","No Family")</f>
        <v>No Family</v>
      </c>
      <c r="AT1401" t="str">
        <f>IF(ifood_data[[#This Row],[marital_Married]]=1,"Married", (IF(ifood_data[[#This Row],[marital_Single]]=1,"Single",(IF(ifood_data[[#This Row],[marital_Divorced]]=1,"Divorced",(IF(ifood_data[[#This Row],[marital_Together]]=1,"Living Together",(IF(ifood_data[[#This Row],[marital_Widow]]=1,"Widow","Other")))))))))</f>
        <v>Married</v>
      </c>
      <c r="AU1401" t="str">
        <f>IF(ifood_data[[#This Row],[education_Basic]]=1,"High School",(IF(ifood_data[[#This Row],[education_Graduation]]=1,"Undergraduate Degree",(IF(SUM(AM1401,AL1401,AI1401)&gt;0,"Master's Degree or Higher","Other")))))</f>
        <v>High School</v>
      </c>
      <c r="AV1401" t="str">
        <f>IF(ifood_data[[#All],[Income]]&gt;75000,"75K+",(IF(ifood_data[[#All],[Income]]&gt;50000,"50K-75K",(IF(ifood_data[[#All],[Income]]&gt;35000,"35K-50K","&lt;35K")))))</f>
        <v>&lt;35K</v>
      </c>
      <c r="AW1401" t="str">
        <f>IF(ifood_data[[#All],[Age]]&gt;60,"60+",(IF(ifood_data[[#All],[Age]]&gt;50,"50-60",(IF(ifood_data[[#All],[Age]]&gt;40,"40-50",(IF(ifood_data[[#All],[Age]]&gt;30,"30-40","&lt;30")))))))</f>
        <v>&lt;30</v>
      </c>
      <c r="AX1401">
        <f t="shared" si="84"/>
        <v>17</v>
      </c>
      <c r="AY1401">
        <f t="shared" si="85"/>
        <v>10</v>
      </c>
      <c r="AZ1401">
        <f t="shared" si="86"/>
        <v>3</v>
      </c>
      <c r="BA1401">
        <f t="shared" si="87"/>
        <v>3</v>
      </c>
      <c r="BB1401">
        <f>SUM(ifood_data[[#This Row],[Recency Score]:[Monetary Score]])</f>
        <v>16</v>
      </c>
      <c r="BC1401">
        <f>(_xlfn.PERCENTRANK.INC(ifood_data[[#All],[RFM]],ifood_data[[#This Row],[RFM]],1))*10</f>
        <v>5</v>
      </c>
      <c r="BD1401" t="str">
        <f>VLOOKUP(ifood_data[[#This Row],[RFM Score]],'RFM Analysis'!$A$3:$B$14,2,FALSE)</f>
        <v>Promising</v>
      </c>
      <c r="BE1401">
        <f>'Regression Models'!$B$101+'Regression Models'!$B$102*ifood_data[[#This Row],[Income]]+'Regression Models'!$B$103*ifood_data[[#This Row],[Age]]+'Regression Models'!$B$104*ifood_data[[#This Row],[Family]]</f>
        <v>252.11047312442668</v>
      </c>
      <c r="BF1401" t="str">
        <f>IF(ifood_data[[#This Row],[AcceptedCmpOverall]]=1,"Campaign Respondent","Non-respondent")</f>
        <v>Non-respondent</v>
      </c>
    </row>
    <row r="1402" spans="1:58" x14ac:dyDescent="0.35">
      <c r="A1402">
        <v>1562</v>
      </c>
      <c r="B1402">
        <v>41437</v>
      </c>
      <c r="C1402">
        <v>1</v>
      </c>
      <c r="D1402">
        <v>1</v>
      </c>
      <c r="E1402">
        <v>5</v>
      </c>
      <c r="F1402">
        <v>29</v>
      </c>
      <c r="G1402">
        <v>0</v>
      </c>
      <c r="H1402">
        <v>2</v>
      </c>
      <c r="I1402">
        <v>0</v>
      </c>
      <c r="J1402">
        <v>0</v>
      </c>
      <c r="K1402">
        <v>1</v>
      </c>
      <c r="L1402">
        <v>1</v>
      </c>
      <c r="M1402">
        <v>1</v>
      </c>
      <c r="N1402">
        <v>0</v>
      </c>
      <c r="O1402">
        <v>3</v>
      </c>
      <c r="P1402">
        <v>7</v>
      </c>
      <c r="Q1402">
        <v>0</v>
      </c>
      <c r="R1402">
        <v>0</v>
      </c>
      <c r="S1402">
        <v>0</v>
      </c>
      <c r="T1402">
        <v>0</v>
      </c>
      <c r="U1402">
        <v>0</v>
      </c>
      <c r="V1402">
        <f>IF(SUM(ifood_data[[#This Row],[AcceptedCmp1]:[AcceptedCmp5]])&gt;0,1,0)</f>
        <v>0</v>
      </c>
      <c r="W1402">
        <v>0</v>
      </c>
      <c r="X1402">
        <v>3</v>
      </c>
      <c r="Y1402">
        <v>11</v>
      </c>
      <c r="Z1402">
        <v>0</v>
      </c>
      <c r="AA1402">
        <v>63</v>
      </c>
      <c r="AB1402">
        <v>2804</v>
      </c>
      <c r="AC1402" s="28">
        <f>ifood_data[[#This Row],[Customer_Days]]/365</f>
        <v>7.6821917808219178</v>
      </c>
      <c r="AD1402">
        <v>1</v>
      </c>
      <c r="AE1402">
        <v>0</v>
      </c>
      <c r="AF1402">
        <v>0</v>
      </c>
      <c r="AG1402">
        <v>0</v>
      </c>
      <c r="AH1402">
        <v>0</v>
      </c>
      <c r="AI1402">
        <v>0</v>
      </c>
      <c r="AJ1402">
        <v>0</v>
      </c>
      <c r="AK1402">
        <v>0</v>
      </c>
      <c r="AL1402">
        <v>0</v>
      </c>
      <c r="AM1402">
        <v>1</v>
      </c>
      <c r="AN1402">
        <v>31</v>
      </c>
      <c r="AO1402">
        <v>30</v>
      </c>
      <c r="AP1402">
        <f>ifood_data[[#This Row],[MntTotal]]-ifood_data[[#This Row],[MntRegularProds]]</f>
        <v>1</v>
      </c>
      <c r="AQ1402">
        <v>0</v>
      </c>
      <c r="AR1402">
        <f>IF(SUM(ifood_data[[#This Row],[Kidhome]:[Teenhome]])&gt;0,1,0)</f>
        <v>1</v>
      </c>
      <c r="AS1402" t="str">
        <f>IF(SUM(ifood_data[[#This Row],[Kidhome]:[Teenhome]])&gt;0,"Has Family","No Family")</f>
        <v>Has Family</v>
      </c>
      <c r="AT1402" t="str">
        <f>IF(ifood_data[[#This Row],[marital_Married]]=1,"Married", (IF(ifood_data[[#This Row],[marital_Single]]=1,"Single",(IF(ifood_data[[#This Row],[marital_Divorced]]=1,"Divorced",(IF(ifood_data[[#This Row],[marital_Together]]=1,"Living Together",(IF(ifood_data[[#This Row],[marital_Widow]]=1,"Widow","Other")))))))))</f>
        <v>Divorced</v>
      </c>
      <c r="AU1402" t="str">
        <f>IF(ifood_data[[#This Row],[education_Basic]]=1,"High School",(IF(ifood_data[[#This Row],[education_Graduation]]=1,"Undergraduate Degree",(IF(SUM(AM1402,AL1402,AI1402)&gt;0,"Master's Degree or Higher","Other")))))</f>
        <v>Master's Degree or Higher</v>
      </c>
      <c r="AV1402" t="str">
        <f>IF(ifood_data[[#All],[Income]]&gt;75000,"75K+",(IF(ifood_data[[#All],[Income]]&gt;50000,"50K-75K",(IF(ifood_data[[#All],[Income]]&gt;35000,"35K-50K","&lt;35K")))))</f>
        <v>35K-50K</v>
      </c>
      <c r="AW1402" t="str">
        <f>IF(ifood_data[[#All],[Age]]&gt;60,"60+",(IF(ifood_data[[#All],[Age]]&gt;50,"50-60",(IF(ifood_data[[#All],[Age]]&gt;40,"40-50",(IF(ifood_data[[#All],[Age]]&gt;30,"30-40","&lt;30")))))))</f>
        <v>60+</v>
      </c>
      <c r="AX1402">
        <f t="shared" si="84"/>
        <v>12</v>
      </c>
      <c r="AY1402">
        <f t="shared" si="85"/>
        <v>10</v>
      </c>
      <c r="AZ1402">
        <f t="shared" si="86"/>
        <v>1</v>
      </c>
      <c r="BA1402">
        <f t="shared" si="87"/>
        <v>1</v>
      </c>
      <c r="BB1402">
        <f>SUM(ifood_data[[#This Row],[Recency Score]:[Monetary Score]])</f>
        <v>12</v>
      </c>
      <c r="BC1402">
        <f>(_xlfn.PERCENTRANK.INC(ifood_data[[#All],[RFM]],ifood_data[[#This Row],[RFM]],1))*10</f>
        <v>3</v>
      </c>
      <c r="BD1402" t="str">
        <f>VLOOKUP(ifood_data[[#This Row],[RFM Score]],'RFM Analysis'!$A$3:$B$14,2,FALSE)</f>
        <v>At Risk</v>
      </c>
      <c r="BE1402">
        <f>'Regression Models'!$B$101+'Regression Models'!$B$102*ifood_data[[#This Row],[Income]]+'Regression Models'!$B$103*ifood_data[[#This Row],[Age]]+'Regression Models'!$B$104*ifood_data[[#This Row],[Family]]</f>
        <v>251.7248362609173</v>
      </c>
      <c r="BF1402" t="str">
        <f>IF(ifood_data[[#This Row],[AcceptedCmpOverall]]=1,"Campaign Respondent","Non-respondent")</f>
        <v>Non-respondent</v>
      </c>
    </row>
    <row r="1403" spans="1:58" x14ac:dyDescent="0.35">
      <c r="A1403">
        <v>1202</v>
      </c>
      <c r="B1403">
        <v>40800</v>
      </c>
      <c r="C1403">
        <v>1</v>
      </c>
      <c r="D1403">
        <v>2</v>
      </c>
      <c r="E1403">
        <v>77</v>
      </c>
      <c r="F1403">
        <v>24</v>
      </c>
      <c r="G1403">
        <v>0</v>
      </c>
      <c r="H1403">
        <v>27</v>
      </c>
      <c r="I1403">
        <v>8</v>
      </c>
      <c r="J1403">
        <v>30</v>
      </c>
      <c r="K1403">
        <v>10</v>
      </c>
      <c r="L1403">
        <v>2</v>
      </c>
      <c r="M1403">
        <v>3</v>
      </c>
      <c r="N1403">
        <v>0</v>
      </c>
      <c r="O1403">
        <v>3</v>
      </c>
      <c r="P1403">
        <v>7</v>
      </c>
      <c r="Q1403">
        <v>0</v>
      </c>
      <c r="R1403">
        <v>0</v>
      </c>
      <c r="S1403">
        <v>0</v>
      </c>
      <c r="T1403">
        <v>0</v>
      </c>
      <c r="U1403">
        <v>0</v>
      </c>
      <c r="V1403">
        <f>IF(SUM(ifood_data[[#This Row],[AcceptedCmp1]:[AcceptedCmp5]])&gt;0,1,0)</f>
        <v>0</v>
      </c>
      <c r="W1403">
        <v>1</v>
      </c>
      <c r="X1403">
        <v>3</v>
      </c>
      <c r="Y1403">
        <v>11</v>
      </c>
      <c r="Z1403">
        <v>0</v>
      </c>
      <c r="AA1403">
        <v>56</v>
      </c>
      <c r="AB1403">
        <v>2703</v>
      </c>
      <c r="AC1403" s="28">
        <f>ifood_data[[#This Row],[Customer_Days]]/365</f>
        <v>7.4054794520547942</v>
      </c>
      <c r="AD1403">
        <v>0</v>
      </c>
      <c r="AE1403">
        <v>1</v>
      </c>
      <c r="AF1403">
        <v>0</v>
      </c>
      <c r="AG1403">
        <v>0</v>
      </c>
      <c r="AH1403">
        <v>0</v>
      </c>
      <c r="AI1403">
        <v>0</v>
      </c>
      <c r="AJ1403">
        <v>0</v>
      </c>
      <c r="AK1403">
        <v>1</v>
      </c>
      <c r="AL1403">
        <v>0</v>
      </c>
      <c r="AM1403">
        <v>0</v>
      </c>
      <c r="AN1403">
        <v>89</v>
      </c>
      <c r="AO1403">
        <v>79</v>
      </c>
      <c r="AP1403">
        <f>ifood_data[[#This Row],[MntTotal]]-ifood_data[[#This Row],[MntRegularProds]]</f>
        <v>10</v>
      </c>
      <c r="AQ1403">
        <v>0</v>
      </c>
      <c r="AR1403">
        <f>IF(SUM(ifood_data[[#This Row],[Kidhome]:[Teenhome]])&gt;0,1,0)</f>
        <v>1</v>
      </c>
      <c r="AS1403" t="str">
        <f>IF(SUM(ifood_data[[#This Row],[Kidhome]:[Teenhome]])&gt;0,"Has Family","No Family")</f>
        <v>Has Family</v>
      </c>
      <c r="AT1403" t="str">
        <f>IF(ifood_data[[#This Row],[marital_Married]]=1,"Married", (IF(ifood_data[[#This Row],[marital_Single]]=1,"Single",(IF(ifood_data[[#This Row],[marital_Divorced]]=1,"Divorced",(IF(ifood_data[[#This Row],[marital_Together]]=1,"Living Together",(IF(ifood_data[[#This Row],[marital_Widow]]=1,"Widow","Other")))))))))</f>
        <v>Married</v>
      </c>
      <c r="AU1403" t="str">
        <f>IF(ifood_data[[#This Row],[education_Basic]]=1,"High School",(IF(ifood_data[[#This Row],[education_Graduation]]=1,"Undergraduate Degree",(IF(SUM(AM1403,AL1403,AI1403)&gt;0,"Master's Degree or Higher","Other")))))</f>
        <v>Undergraduate Degree</v>
      </c>
      <c r="AV1403" t="str">
        <f>IF(ifood_data[[#All],[Income]]&gt;75000,"75K+",(IF(ifood_data[[#All],[Income]]&gt;50000,"50K-75K",(IF(ifood_data[[#All],[Income]]&gt;35000,"35K-50K","&lt;35K")))))</f>
        <v>35K-50K</v>
      </c>
      <c r="AW1403" t="str">
        <f>IF(ifood_data[[#All],[Age]]&gt;60,"60+",(IF(ifood_data[[#All],[Age]]&gt;50,"50-60",(IF(ifood_data[[#All],[Age]]&gt;40,"40-50",(IF(ifood_data[[#All],[Age]]&gt;30,"30-40","&lt;30")))))))</f>
        <v>50-60</v>
      </c>
      <c r="AX1403">
        <f t="shared" si="84"/>
        <v>15</v>
      </c>
      <c r="AY1403">
        <f t="shared" si="85"/>
        <v>3.0000000000000004</v>
      </c>
      <c r="AZ1403">
        <f t="shared" si="86"/>
        <v>2</v>
      </c>
      <c r="BA1403">
        <f t="shared" si="87"/>
        <v>3</v>
      </c>
      <c r="BB1403">
        <f>SUM(ifood_data[[#This Row],[Recency Score]:[Monetary Score]])</f>
        <v>8</v>
      </c>
      <c r="BC1403">
        <f>(_xlfn.PERCENTRANK.INC(ifood_data[[#All],[RFM]],ifood_data[[#This Row],[RFM]],1))*10</f>
        <v>1</v>
      </c>
      <c r="BD1403" t="str">
        <f>VLOOKUP(ifood_data[[#This Row],[RFM Score]],'RFM Analysis'!$A$3:$B$14,2,FALSE)</f>
        <v>At Risk</v>
      </c>
      <c r="BE1403">
        <f>'Regression Models'!$B$101+'Regression Models'!$B$102*ifood_data[[#This Row],[Income]]+'Regression Models'!$B$103*ifood_data[[#This Row],[Age]]+'Regression Models'!$B$104*ifood_data[[#This Row],[Family]]</f>
        <v>251.59226450551364</v>
      </c>
      <c r="BF1403" t="str">
        <f>IF(ifood_data[[#This Row],[AcceptedCmpOverall]]=1,"Campaign Respondent","Non-respondent")</f>
        <v>Non-respondent</v>
      </c>
    </row>
    <row r="1404" spans="1:58" x14ac:dyDescent="0.35">
      <c r="A1404">
        <v>1799</v>
      </c>
      <c r="B1404">
        <v>39062</v>
      </c>
      <c r="C1404">
        <v>1</v>
      </c>
      <c r="D1404">
        <v>0</v>
      </c>
      <c r="E1404">
        <v>28</v>
      </c>
      <c r="F1404">
        <v>23</v>
      </c>
      <c r="G1404">
        <v>0</v>
      </c>
      <c r="H1404">
        <v>9</v>
      </c>
      <c r="I1404">
        <v>0</v>
      </c>
      <c r="J1404">
        <v>0</v>
      </c>
      <c r="K1404">
        <v>12</v>
      </c>
      <c r="L1404">
        <v>1</v>
      </c>
      <c r="M1404">
        <v>1</v>
      </c>
      <c r="N1404">
        <v>0</v>
      </c>
      <c r="O1404">
        <v>3</v>
      </c>
      <c r="P1404">
        <v>4</v>
      </c>
      <c r="Q1404">
        <v>0</v>
      </c>
      <c r="R1404">
        <v>0</v>
      </c>
      <c r="S1404">
        <v>1</v>
      </c>
      <c r="T1404">
        <v>0</v>
      </c>
      <c r="U1404">
        <v>0</v>
      </c>
      <c r="V1404">
        <f>IF(SUM(ifood_data[[#This Row],[AcceptedCmp1]:[AcceptedCmp5]])&gt;0,1,0)</f>
        <v>1</v>
      </c>
      <c r="W1404">
        <v>0</v>
      </c>
      <c r="X1404">
        <v>3</v>
      </c>
      <c r="Y1404">
        <v>11</v>
      </c>
      <c r="Z1404">
        <v>0</v>
      </c>
      <c r="AA1404">
        <v>37</v>
      </c>
      <c r="AB1404">
        <v>2255</v>
      </c>
      <c r="AC1404" s="28">
        <f>ifood_data[[#This Row],[Customer_Days]]/365</f>
        <v>6.1780821917808222</v>
      </c>
      <c r="AD1404">
        <v>0</v>
      </c>
      <c r="AE1404">
        <v>0</v>
      </c>
      <c r="AF1404">
        <v>1</v>
      </c>
      <c r="AG1404">
        <v>0</v>
      </c>
      <c r="AH1404">
        <v>0</v>
      </c>
      <c r="AI1404">
        <v>0</v>
      </c>
      <c r="AJ1404">
        <v>0</v>
      </c>
      <c r="AK1404">
        <v>1</v>
      </c>
      <c r="AL1404">
        <v>0</v>
      </c>
      <c r="AM1404">
        <v>0</v>
      </c>
      <c r="AN1404">
        <v>32</v>
      </c>
      <c r="AO1404">
        <v>20</v>
      </c>
      <c r="AP1404">
        <f>ifood_data[[#This Row],[MntTotal]]-ifood_data[[#This Row],[MntRegularProds]]</f>
        <v>12</v>
      </c>
      <c r="AQ1404">
        <v>1</v>
      </c>
      <c r="AR1404">
        <f>IF(SUM(ifood_data[[#This Row],[Kidhome]:[Teenhome]])&gt;0,1,0)</f>
        <v>1</v>
      </c>
      <c r="AS1404" t="str">
        <f>IF(SUM(ifood_data[[#This Row],[Kidhome]:[Teenhome]])&gt;0,"Has Family","No Family")</f>
        <v>Has Family</v>
      </c>
      <c r="AT1404" t="str">
        <f>IF(ifood_data[[#This Row],[marital_Married]]=1,"Married", (IF(ifood_data[[#This Row],[marital_Single]]=1,"Single",(IF(ifood_data[[#This Row],[marital_Divorced]]=1,"Divorced",(IF(ifood_data[[#This Row],[marital_Together]]=1,"Living Together",(IF(ifood_data[[#This Row],[marital_Widow]]=1,"Widow","Other")))))))))</f>
        <v>Single</v>
      </c>
      <c r="AU1404" t="str">
        <f>IF(ifood_data[[#This Row],[education_Basic]]=1,"High School",(IF(ifood_data[[#This Row],[education_Graduation]]=1,"Undergraduate Degree",(IF(SUM(AM1404,AL1404,AI1404)&gt;0,"Master's Degree or Higher","Other")))))</f>
        <v>Undergraduate Degree</v>
      </c>
      <c r="AV1404" t="str">
        <f>IF(ifood_data[[#All],[Income]]&gt;75000,"75K+",(IF(ifood_data[[#All],[Income]]&gt;50000,"50K-75K",(IF(ifood_data[[#All],[Income]]&gt;35000,"35K-50K","&lt;35K")))))</f>
        <v>35K-50K</v>
      </c>
      <c r="AW1404" t="str">
        <f>IF(ifood_data[[#All],[Age]]&gt;60,"60+",(IF(ifood_data[[#All],[Age]]&gt;50,"50-60",(IF(ifood_data[[#All],[Age]]&gt;40,"40-50",(IF(ifood_data[[#All],[Age]]&gt;30,"30-40","&lt;30")))))))</f>
        <v>30-40</v>
      </c>
      <c r="AX1404">
        <f t="shared" si="84"/>
        <v>9</v>
      </c>
      <c r="AY1404">
        <f t="shared" si="85"/>
        <v>8</v>
      </c>
      <c r="AZ1404">
        <f t="shared" si="86"/>
        <v>0</v>
      </c>
      <c r="BA1404">
        <f t="shared" si="87"/>
        <v>1</v>
      </c>
      <c r="BB1404">
        <f>SUM(ifood_data[[#This Row],[Recency Score]:[Monetary Score]])</f>
        <v>9</v>
      </c>
      <c r="BC1404">
        <f>(_xlfn.PERCENTRANK.INC(ifood_data[[#All],[RFM]],ifood_data[[#This Row],[RFM]],1))*10</f>
        <v>1</v>
      </c>
      <c r="BD1404" t="str">
        <f>VLOOKUP(ifood_data[[#This Row],[RFM Score]],'RFM Analysis'!$A$3:$B$14,2,FALSE)</f>
        <v>At Risk</v>
      </c>
      <c r="BE1404">
        <f>'Regression Models'!$B$101+'Regression Models'!$B$102*ifood_data[[#This Row],[Income]]+'Regression Models'!$B$103*ifood_data[[#This Row],[Age]]+'Regression Models'!$B$104*ifood_data[[#This Row],[Family]]</f>
        <v>251.04892797040861</v>
      </c>
      <c r="BF1404" t="str">
        <f>IF(ifood_data[[#This Row],[AcceptedCmpOverall]]=1,"Campaign Respondent","Non-respondent")</f>
        <v>Campaign Respondent</v>
      </c>
    </row>
    <row r="1405" spans="1:58" x14ac:dyDescent="0.35">
      <c r="A1405">
        <v>190</v>
      </c>
      <c r="B1405">
        <v>40637</v>
      </c>
      <c r="C1405">
        <v>1</v>
      </c>
      <c r="D1405">
        <v>1</v>
      </c>
      <c r="E1405">
        <v>72</v>
      </c>
      <c r="F1405">
        <v>22</v>
      </c>
      <c r="G1405">
        <v>0</v>
      </c>
      <c r="H1405">
        <v>13</v>
      </c>
      <c r="I1405">
        <v>0</v>
      </c>
      <c r="J1405">
        <v>0</v>
      </c>
      <c r="K1405">
        <v>3</v>
      </c>
      <c r="L1405">
        <v>2</v>
      </c>
      <c r="M1405">
        <v>1</v>
      </c>
      <c r="N1405">
        <v>0</v>
      </c>
      <c r="O1405">
        <v>3</v>
      </c>
      <c r="P1405">
        <v>7</v>
      </c>
      <c r="Q1405">
        <v>0</v>
      </c>
      <c r="R1405">
        <v>0</v>
      </c>
      <c r="S1405">
        <v>0</v>
      </c>
      <c r="T1405">
        <v>0</v>
      </c>
      <c r="U1405">
        <v>0</v>
      </c>
      <c r="V1405">
        <f>IF(SUM(ifood_data[[#This Row],[AcceptedCmp1]:[AcceptedCmp5]])&gt;0,1,0)</f>
        <v>0</v>
      </c>
      <c r="W1405">
        <v>0</v>
      </c>
      <c r="X1405">
        <v>3</v>
      </c>
      <c r="Y1405">
        <v>11</v>
      </c>
      <c r="Z1405">
        <v>0</v>
      </c>
      <c r="AA1405">
        <v>55</v>
      </c>
      <c r="AB1405">
        <v>2506</v>
      </c>
      <c r="AC1405" s="28">
        <f>ifood_data[[#This Row],[Customer_Days]]/365</f>
        <v>6.8657534246575347</v>
      </c>
      <c r="AD1405">
        <v>0</v>
      </c>
      <c r="AE1405">
        <v>0</v>
      </c>
      <c r="AF1405">
        <v>1</v>
      </c>
      <c r="AG1405">
        <v>0</v>
      </c>
      <c r="AH1405">
        <v>0</v>
      </c>
      <c r="AI1405">
        <v>0</v>
      </c>
      <c r="AJ1405">
        <v>0</v>
      </c>
      <c r="AK1405">
        <v>0</v>
      </c>
      <c r="AL1405">
        <v>0</v>
      </c>
      <c r="AM1405">
        <v>1</v>
      </c>
      <c r="AN1405">
        <v>35</v>
      </c>
      <c r="AO1405">
        <v>32</v>
      </c>
      <c r="AP1405">
        <f>ifood_data[[#This Row],[MntTotal]]-ifood_data[[#This Row],[MntRegularProds]]</f>
        <v>3</v>
      </c>
      <c r="AQ1405">
        <v>0</v>
      </c>
      <c r="AR1405">
        <f>IF(SUM(ifood_data[[#This Row],[Kidhome]:[Teenhome]])&gt;0,1,0)</f>
        <v>1</v>
      </c>
      <c r="AS1405" t="str">
        <f>IF(SUM(ifood_data[[#This Row],[Kidhome]:[Teenhome]])&gt;0,"Has Family","No Family")</f>
        <v>Has Family</v>
      </c>
      <c r="AT1405" t="str">
        <f>IF(ifood_data[[#This Row],[marital_Married]]=1,"Married", (IF(ifood_data[[#This Row],[marital_Single]]=1,"Single",(IF(ifood_data[[#This Row],[marital_Divorced]]=1,"Divorced",(IF(ifood_data[[#This Row],[marital_Together]]=1,"Living Together",(IF(ifood_data[[#This Row],[marital_Widow]]=1,"Widow","Other")))))))))</f>
        <v>Single</v>
      </c>
      <c r="AU1405" t="str">
        <f>IF(ifood_data[[#This Row],[education_Basic]]=1,"High School",(IF(ifood_data[[#This Row],[education_Graduation]]=1,"Undergraduate Degree",(IF(SUM(AM1405,AL1405,AI1405)&gt;0,"Master's Degree or Higher","Other")))))</f>
        <v>Master's Degree or Higher</v>
      </c>
      <c r="AV1405" t="str">
        <f>IF(ifood_data[[#All],[Income]]&gt;75000,"75K+",(IF(ifood_data[[#All],[Income]]&gt;50000,"50K-75K",(IF(ifood_data[[#All],[Income]]&gt;35000,"35K-50K","&lt;35K")))))</f>
        <v>35K-50K</v>
      </c>
      <c r="AW1405" t="str">
        <f>IF(ifood_data[[#All],[Age]]&gt;60,"60+",(IF(ifood_data[[#All],[Age]]&gt;50,"50-60",(IF(ifood_data[[#All],[Age]]&gt;40,"40-50",(IF(ifood_data[[#All],[Age]]&gt;30,"30-40","&lt;30")))))))</f>
        <v>50-60</v>
      </c>
      <c r="AX1405">
        <f t="shared" si="84"/>
        <v>13</v>
      </c>
      <c r="AY1405">
        <f t="shared" si="85"/>
        <v>3.0000000000000004</v>
      </c>
      <c r="AZ1405">
        <f t="shared" si="86"/>
        <v>1</v>
      </c>
      <c r="BA1405">
        <f t="shared" si="87"/>
        <v>1</v>
      </c>
      <c r="BB1405">
        <f>SUM(ifood_data[[#This Row],[Recency Score]:[Monetary Score]])</f>
        <v>5</v>
      </c>
      <c r="BC1405">
        <f>(_xlfn.PERCENTRANK.INC(ifood_data[[#All],[RFM]],ifood_data[[#This Row],[RFM]],1))*10</f>
        <v>0</v>
      </c>
      <c r="BD1405" t="str">
        <f>VLOOKUP(ifood_data[[#This Row],[RFM Score]],'RFM Analysis'!$A$3:$B$14,2,FALSE)</f>
        <v>Lost</v>
      </c>
      <c r="BE1405">
        <f>'Regression Models'!$B$101+'Regression Models'!$B$102*ifood_data[[#This Row],[Income]]+'Regression Models'!$B$103*ifood_data[[#This Row],[Age]]+'Regression Models'!$B$104*ifood_data[[#This Row],[Family]]</f>
        <v>250.10533437695244</v>
      </c>
      <c r="BF1405" t="str">
        <f>IF(ifood_data[[#This Row],[AcceptedCmpOverall]]=1,"Campaign Respondent","Non-respondent")</f>
        <v>Non-respondent</v>
      </c>
    </row>
    <row r="1406" spans="1:58" x14ac:dyDescent="0.35">
      <c r="A1406">
        <v>361</v>
      </c>
      <c r="B1406">
        <v>27421</v>
      </c>
      <c r="C1406">
        <v>0</v>
      </c>
      <c r="D1406">
        <v>0</v>
      </c>
      <c r="E1406">
        <v>14</v>
      </c>
      <c r="F1406">
        <v>43</v>
      </c>
      <c r="G1406">
        <v>12</v>
      </c>
      <c r="H1406">
        <v>96</v>
      </c>
      <c r="I1406">
        <v>78</v>
      </c>
      <c r="J1406">
        <v>40</v>
      </c>
      <c r="K1406">
        <v>55</v>
      </c>
      <c r="L1406">
        <v>3</v>
      </c>
      <c r="M1406">
        <v>4</v>
      </c>
      <c r="N1406">
        <v>1</v>
      </c>
      <c r="O1406">
        <v>6</v>
      </c>
      <c r="P1406">
        <v>7</v>
      </c>
      <c r="Q1406">
        <v>0</v>
      </c>
      <c r="R1406">
        <v>0</v>
      </c>
      <c r="S1406">
        <v>0</v>
      </c>
      <c r="T1406">
        <v>0</v>
      </c>
      <c r="U1406">
        <v>0</v>
      </c>
      <c r="V1406">
        <f>IF(SUM(ifood_data[[#This Row],[AcceptedCmp1]:[AcceptedCmp5]])&gt;0,1,0)</f>
        <v>0</v>
      </c>
      <c r="W1406">
        <v>0</v>
      </c>
      <c r="X1406">
        <v>3</v>
      </c>
      <c r="Y1406">
        <v>11</v>
      </c>
      <c r="Z1406">
        <v>0</v>
      </c>
      <c r="AA1406">
        <v>66</v>
      </c>
      <c r="AB1406">
        <v>2723</v>
      </c>
      <c r="AC1406" s="28">
        <f>ifood_data[[#This Row],[Customer_Days]]/365</f>
        <v>7.4602739726027396</v>
      </c>
      <c r="AD1406">
        <v>0</v>
      </c>
      <c r="AE1406">
        <v>0</v>
      </c>
      <c r="AF1406">
        <v>0</v>
      </c>
      <c r="AG1406">
        <v>0</v>
      </c>
      <c r="AH1406">
        <v>1</v>
      </c>
      <c r="AI1406">
        <v>0</v>
      </c>
      <c r="AJ1406">
        <v>0</v>
      </c>
      <c r="AK1406">
        <v>1</v>
      </c>
      <c r="AL1406">
        <v>0</v>
      </c>
      <c r="AM1406">
        <v>0</v>
      </c>
      <c r="AN1406">
        <v>269</v>
      </c>
      <c r="AO1406">
        <v>214</v>
      </c>
      <c r="AP1406">
        <f>ifood_data[[#This Row],[MntTotal]]-ifood_data[[#This Row],[MntRegularProds]]</f>
        <v>55</v>
      </c>
      <c r="AQ1406">
        <v>0</v>
      </c>
      <c r="AR1406">
        <f>IF(SUM(ifood_data[[#This Row],[Kidhome]:[Teenhome]])&gt;0,1,0)</f>
        <v>0</v>
      </c>
      <c r="AS1406" t="str">
        <f>IF(SUM(ifood_data[[#This Row],[Kidhome]:[Teenhome]])&gt;0,"Has Family","No Family")</f>
        <v>No Family</v>
      </c>
      <c r="AT1406" t="str">
        <f>IF(ifood_data[[#This Row],[marital_Married]]=1,"Married", (IF(ifood_data[[#This Row],[marital_Single]]=1,"Single",(IF(ifood_data[[#This Row],[marital_Divorced]]=1,"Divorced",(IF(ifood_data[[#This Row],[marital_Together]]=1,"Living Together",(IF(ifood_data[[#This Row],[marital_Widow]]=1,"Widow","Other")))))))))</f>
        <v>Widow</v>
      </c>
      <c r="AU1406" t="str">
        <f>IF(ifood_data[[#This Row],[education_Basic]]=1,"High School",(IF(ifood_data[[#This Row],[education_Graduation]]=1,"Undergraduate Degree",(IF(SUM(AM1406,AL1406,AI1406)&gt;0,"Master's Degree or Higher","Other")))))</f>
        <v>Undergraduate Degree</v>
      </c>
      <c r="AV1406" t="str">
        <f>IF(ifood_data[[#All],[Income]]&gt;75000,"75K+",(IF(ifood_data[[#All],[Income]]&gt;50000,"50K-75K",(IF(ifood_data[[#All],[Income]]&gt;35000,"35K-50K","&lt;35K")))))</f>
        <v>&lt;35K</v>
      </c>
      <c r="AW1406" t="str">
        <f>IF(ifood_data[[#All],[Age]]&gt;60,"60+",(IF(ifood_data[[#All],[Age]]&gt;50,"50-60",(IF(ifood_data[[#All],[Age]]&gt;40,"40-50",(IF(ifood_data[[#All],[Age]]&gt;30,"30-40","&lt;30")))))))</f>
        <v>60+</v>
      </c>
      <c r="AX1406">
        <f t="shared" si="84"/>
        <v>21</v>
      </c>
      <c r="AY1406">
        <f t="shared" si="85"/>
        <v>9</v>
      </c>
      <c r="AZ1406">
        <f t="shared" si="86"/>
        <v>5</v>
      </c>
      <c r="BA1406">
        <f t="shared" si="87"/>
        <v>4</v>
      </c>
      <c r="BB1406">
        <f>SUM(ifood_data[[#This Row],[Recency Score]:[Monetary Score]])</f>
        <v>18</v>
      </c>
      <c r="BC1406">
        <f>(_xlfn.PERCENTRANK.INC(ifood_data[[#All],[RFM]],ifood_data[[#This Row],[RFM]],1))*10</f>
        <v>6</v>
      </c>
      <c r="BD1406" t="str">
        <f>VLOOKUP(ifood_data[[#This Row],[RFM Score]],'RFM Analysis'!$A$3:$B$14,2,FALSE)</f>
        <v>Promising</v>
      </c>
      <c r="BE1406">
        <f>'Regression Models'!$B$101+'Regression Models'!$B$102*ifood_data[[#This Row],[Income]]+'Regression Models'!$B$103*ifood_data[[#This Row],[Age]]+'Regression Models'!$B$104*ifood_data[[#This Row],[Family]]</f>
        <v>250.06017579236311</v>
      </c>
      <c r="BF1406" t="str">
        <f>IF(ifood_data[[#This Row],[AcceptedCmpOverall]]=1,"Campaign Respondent","Non-respondent")</f>
        <v>Non-respondent</v>
      </c>
    </row>
    <row r="1407" spans="1:58" x14ac:dyDescent="0.35">
      <c r="A1407">
        <v>27</v>
      </c>
      <c r="B1407">
        <v>38360</v>
      </c>
      <c r="C1407">
        <v>1</v>
      </c>
      <c r="D1407">
        <v>0</v>
      </c>
      <c r="E1407">
        <v>26</v>
      </c>
      <c r="F1407">
        <v>36</v>
      </c>
      <c r="G1407">
        <v>2</v>
      </c>
      <c r="H1407">
        <v>42</v>
      </c>
      <c r="I1407">
        <v>20</v>
      </c>
      <c r="J1407">
        <v>21</v>
      </c>
      <c r="K1407">
        <v>10</v>
      </c>
      <c r="L1407">
        <v>2</v>
      </c>
      <c r="M1407">
        <v>2</v>
      </c>
      <c r="N1407">
        <v>1</v>
      </c>
      <c r="O1407">
        <v>4</v>
      </c>
      <c r="P1407">
        <v>3</v>
      </c>
      <c r="Q1407">
        <v>0</v>
      </c>
      <c r="R1407">
        <v>0</v>
      </c>
      <c r="S1407">
        <v>0</v>
      </c>
      <c r="T1407">
        <v>0</v>
      </c>
      <c r="U1407">
        <v>0</v>
      </c>
      <c r="V1407">
        <f>IF(SUM(ifood_data[[#This Row],[AcceptedCmp1]:[AcceptedCmp5]])&gt;0,1,0)</f>
        <v>0</v>
      </c>
      <c r="W1407">
        <v>0</v>
      </c>
      <c r="X1407">
        <v>3</v>
      </c>
      <c r="Y1407">
        <v>11</v>
      </c>
      <c r="Z1407">
        <v>0</v>
      </c>
      <c r="AA1407">
        <v>31</v>
      </c>
      <c r="AB1407">
        <v>2553</v>
      </c>
      <c r="AC1407" s="28">
        <f>ifood_data[[#This Row],[Customer_Days]]/365</f>
        <v>6.9945205479452053</v>
      </c>
      <c r="AD1407">
        <v>0</v>
      </c>
      <c r="AE1407">
        <v>1</v>
      </c>
      <c r="AF1407">
        <v>0</v>
      </c>
      <c r="AG1407">
        <v>0</v>
      </c>
      <c r="AH1407">
        <v>0</v>
      </c>
      <c r="AI1407">
        <v>0</v>
      </c>
      <c r="AJ1407">
        <v>0</v>
      </c>
      <c r="AK1407">
        <v>1</v>
      </c>
      <c r="AL1407">
        <v>0</v>
      </c>
      <c r="AM1407">
        <v>0</v>
      </c>
      <c r="AN1407">
        <v>121</v>
      </c>
      <c r="AO1407">
        <v>111</v>
      </c>
      <c r="AP1407">
        <f>ifood_data[[#This Row],[MntTotal]]-ifood_data[[#This Row],[MntRegularProds]]</f>
        <v>10</v>
      </c>
      <c r="AQ1407">
        <v>0</v>
      </c>
      <c r="AR1407">
        <f>IF(SUM(ifood_data[[#This Row],[Kidhome]:[Teenhome]])&gt;0,1,0)</f>
        <v>1</v>
      </c>
      <c r="AS1407" t="str">
        <f>IF(SUM(ifood_data[[#This Row],[Kidhome]:[Teenhome]])&gt;0,"Has Family","No Family")</f>
        <v>Has Family</v>
      </c>
      <c r="AT1407" t="str">
        <f>IF(ifood_data[[#This Row],[marital_Married]]=1,"Married", (IF(ifood_data[[#This Row],[marital_Single]]=1,"Single",(IF(ifood_data[[#This Row],[marital_Divorced]]=1,"Divorced",(IF(ifood_data[[#This Row],[marital_Together]]=1,"Living Together",(IF(ifood_data[[#This Row],[marital_Widow]]=1,"Widow","Other")))))))))</f>
        <v>Married</v>
      </c>
      <c r="AU1407" t="str">
        <f>IF(ifood_data[[#This Row],[education_Basic]]=1,"High School",(IF(ifood_data[[#This Row],[education_Graduation]]=1,"Undergraduate Degree",(IF(SUM(AM1407,AL1407,AI1407)&gt;0,"Master's Degree or Higher","Other")))))</f>
        <v>Undergraduate Degree</v>
      </c>
      <c r="AV1407" t="str">
        <f>IF(ifood_data[[#All],[Income]]&gt;75000,"75K+",(IF(ifood_data[[#All],[Income]]&gt;50000,"50K-75K",(IF(ifood_data[[#All],[Income]]&gt;35000,"35K-50K","&lt;35K")))))</f>
        <v>35K-50K</v>
      </c>
      <c r="AW1407" t="str">
        <f>IF(ifood_data[[#All],[Age]]&gt;60,"60+",(IF(ifood_data[[#All],[Age]]&gt;50,"50-60",(IF(ifood_data[[#All],[Age]]&gt;40,"40-50",(IF(ifood_data[[#All],[Age]]&gt;30,"30-40","&lt;30")))))))</f>
        <v>30-40</v>
      </c>
      <c r="AX1407">
        <f t="shared" si="84"/>
        <v>12</v>
      </c>
      <c r="AY1407">
        <f t="shared" si="85"/>
        <v>8</v>
      </c>
      <c r="AZ1407">
        <f t="shared" si="86"/>
        <v>1</v>
      </c>
      <c r="BA1407">
        <f t="shared" si="87"/>
        <v>3</v>
      </c>
      <c r="BB1407">
        <f>SUM(ifood_data[[#This Row],[Recency Score]:[Monetary Score]])</f>
        <v>12</v>
      </c>
      <c r="BC1407">
        <f>(_xlfn.PERCENTRANK.INC(ifood_data[[#All],[RFM]],ifood_data[[#This Row],[RFM]],1))*10</f>
        <v>3</v>
      </c>
      <c r="BD1407" t="str">
        <f>VLOOKUP(ifood_data[[#This Row],[RFM Score]],'RFM Analysis'!$A$3:$B$14,2,FALSE)</f>
        <v>At Risk</v>
      </c>
      <c r="BE1407">
        <f>'Regression Models'!$B$101+'Regression Models'!$B$102*ifood_data[[#This Row],[Income]]+'Regression Models'!$B$103*ifood_data[[#This Row],[Age]]+'Regression Models'!$B$104*ifood_data[[#This Row],[Family]]</f>
        <v>247.75464720675723</v>
      </c>
      <c r="BF1407" t="str">
        <f>IF(ifood_data[[#This Row],[AcceptedCmpOverall]]=1,"Campaign Respondent","Non-respondent")</f>
        <v>Non-respondent</v>
      </c>
    </row>
    <row r="1408" spans="1:58" x14ac:dyDescent="0.35">
      <c r="A1408">
        <v>1353</v>
      </c>
      <c r="B1408">
        <v>40304</v>
      </c>
      <c r="C1408">
        <v>1</v>
      </c>
      <c r="D1408">
        <v>0</v>
      </c>
      <c r="E1408">
        <v>82</v>
      </c>
      <c r="F1408">
        <v>37</v>
      </c>
      <c r="G1408">
        <v>0</v>
      </c>
      <c r="H1408">
        <v>17</v>
      </c>
      <c r="I1408">
        <v>0</v>
      </c>
      <c r="J1408">
        <v>0</v>
      </c>
      <c r="K1408">
        <v>3</v>
      </c>
      <c r="L1408">
        <v>1</v>
      </c>
      <c r="M1408">
        <v>2</v>
      </c>
      <c r="N1408">
        <v>0</v>
      </c>
      <c r="O1408">
        <v>3</v>
      </c>
      <c r="P1408">
        <v>7</v>
      </c>
      <c r="Q1408">
        <v>0</v>
      </c>
      <c r="R1408">
        <v>0</v>
      </c>
      <c r="S1408">
        <v>0</v>
      </c>
      <c r="T1408">
        <v>0</v>
      </c>
      <c r="U1408">
        <v>0</v>
      </c>
      <c r="V1408">
        <f>IF(SUM(ifood_data[[#This Row],[AcceptedCmp1]:[AcceptedCmp5]])&gt;0,1,0)</f>
        <v>0</v>
      </c>
      <c r="W1408">
        <v>0</v>
      </c>
      <c r="X1408">
        <v>3</v>
      </c>
      <c r="Y1408">
        <v>11</v>
      </c>
      <c r="Z1408">
        <v>0</v>
      </c>
      <c r="AA1408">
        <v>53</v>
      </c>
      <c r="AB1408">
        <v>2431</v>
      </c>
      <c r="AC1408" s="28">
        <f>ifood_data[[#This Row],[Customer_Days]]/365</f>
        <v>6.6602739726027398</v>
      </c>
      <c r="AD1408">
        <v>0</v>
      </c>
      <c r="AE1408">
        <v>0</v>
      </c>
      <c r="AF1408">
        <v>1</v>
      </c>
      <c r="AG1408">
        <v>0</v>
      </c>
      <c r="AH1408">
        <v>0</v>
      </c>
      <c r="AI1408">
        <v>0</v>
      </c>
      <c r="AJ1408">
        <v>0</v>
      </c>
      <c r="AK1408">
        <v>0</v>
      </c>
      <c r="AL1408">
        <v>0</v>
      </c>
      <c r="AM1408">
        <v>1</v>
      </c>
      <c r="AN1408">
        <v>54</v>
      </c>
      <c r="AO1408">
        <v>51</v>
      </c>
      <c r="AP1408">
        <f>ifood_data[[#This Row],[MntTotal]]-ifood_data[[#This Row],[MntRegularProds]]</f>
        <v>3</v>
      </c>
      <c r="AQ1408">
        <v>0</v>
      </c>
      <c r="AR1408">
        <f>IF(SUM(ifood_data[[#This Row],[Kidhome]:[Teenhome]])&gt;0,1,0)</f>
        <v>1</v>
      </c>
      <c r="AS1408" t="str">
        <f>IF(SUM(ifood_data[[#This Row],[Kidhome]:[Teenhome]])&gt;0,"Has Family","No Family")</f>
        <v>Has Family</v>
      </c>
      <c r="AT1408" t="str">
        <f>IF(ifood_data[[#This Row],[marital_Married]]=1,"Married", (IF(ifood_data[[#This Row],[marital_Single]]=1,"Single",(IF(ifood_data[[#This Row],[marital_Divorced]]=1,"Divorced",(IF(ifood_data[[#This Row],[marital_Together]]=1,"Living Together",(IF(ifood_data[[#This Row],[marital_Widow]]=1,"Widow","Other")))))))))</f>
        <v>Single</v>
      </c>
      <c r="AU1408" t="str">
        <f>IF(ifood_data[[#This Row],[education_Basic]]=1,"High School",(IF(ifood_data[[#This Row],[education_Graduation]]=1,"Undergraduate Degree",(IF(SUM(AM1408,AL1408,AI1408)&gt;0,"Master's Degree or Higher","Other")))))</f>
        <v>Master's Degree or Higher</v>
      </c>
      <c r="AV1408" t="str">
        <f>IF(ifood_data[[#All],[Income]]&gt;75000,"75K+",(IF(ifood_data[[#All],[Income]]&gt;50000,"50K-75K",(IF(ifood_data[[#All],[Income]]&gt;35000,"35K-50K","&lt;35K")))))</f>
        <v>35K-50K</v>
      </c>
      <c r="AW1408" t="str">
        <f>IF(ifood_data[[#All],[Age]]&gt;60,"60+",(IF(ifood_data[[#All],[Age]]&gt;50,"50-60",(IF(ifood_data[[#All],[Age]]&gt;40,"40-50",(IF(ifood_data[[#All],[Age]]&gt;30,"30-40","&lt;30")))))))</f>
        <v>50-60</v>
      </c>
      <c r="AX1408">
        <f t="shared" si="84"/>
        <v>13</v>
      </c>
      <c r="AY1408">
        <f t="shared" si="85"/>
        <v>1.9999999999999996</v>
      </c>
      <c r="AZ1408">
        <f t="shared" si="86"/>
        <v>1</v>
      </c>
      <c r="BA1408">
        <f t="shared" si="87"/>
        <v>2</v>
      </c>
      <c r="BB1408">
        <f>SUM(ifood_data[[#This Row],[Recency Score]:[Monetary Score]])</f>
        <v>5</v>
      </c>
      <c r="BC1408">
        <f>(_xlfn.PERCENTRANK.INC(ifood_data[[#All],[RFM]],ifood_data[[#This Row],[RFM]],1))*10</f>
        <v>0</v>
      </c>
      <c r="BD1408" t="str">
        <f>VLOOKUP(ifood_data[[#This Row],[RFM Score]],'RFM Analysis'!$A$3:$B$14,2,FALSE)</f>
        <v>Lost</v>
      </c>
      <c r="BE1408">
        <f>'Regression Models'!$B$101+'Regression Models'!$B$102*ifood_data[[#This Row],[Income]]+'Regression Models'!$B$103*ifood_data[[#This Row],[Age]]+'Regression Models'!$B$104*ifood_data[[#This Row],[Family]]</f>
        <v>246.98875274282261</v>
      </c>
      <c r="BF1408" t="str">
        <f>IF(ifood_data[[#This Row],[AcceptedCmpOverall]]=1,"Campaign Respondent","Non-respondent")</f>
        <v>Non-respondent</v>
      </c>
    </row>
    <row r="1409" spans="1:58" x14ac:dyDescent="0.35">
      <c r="A1409">
        <v>1247</v>
      </c>
      <c r="B1409">
        <v>24711</v>
      </c>
      <c r="C1409">
        <v>0</v>
      </c>
      <c r="D1409">
        <v>0</v>
      </c>
      <c r="E1409">
        <v>86</v>
      </c>
      <c r="F1409">
        <v>10</v>
      </c>
      <c r="G1409">
        <v>7</v>
      </c>
      <c r="H1409">
        <v>25</v>
      </c>
      <c r="I1409">
        <v>6</v>
      </c>
      <c r="J1409">
        <v>3</v>
      </c>
      <c r="K1409">
        <v>7</v>
      </c>
      <c r="L1409">
        <v>1</v>
      </c>
      <c r="M1409">
        <v>3</v>
      </c>
      <c r="N1409">
        <v>0</v>
      </c>
      <c r="O1409">
        <v>3</v>
      </c>
      <c r="P1409">
        <v>7</v>
      </c>
      <c r="Q1409">
        <v>0</v>
      </c>
      <c r="R1409">
        <v>0</v>
      </c>
      <c r="S1409">
        <v>0</v>
      </c>
      <c r="T1409">
        <v>0</v>
      </c>
      <c r="U1409">
        <v>0</v>
      </c>
      <c r="V1409">
        <f>IF(SUM(ifood_data[[#This Row],[AcceptedCmp1]:[AcceptedCmp5]])&gt;0,1,0)</f>
        <v>0</v>
      </c>
      <c r="W1409">
        <v>0</v>
      </c>
      <c r="X1409">
        <v>3</v>
      </c>
      <c r="Y1409">
        <v>11</v>
      </c>
      <c r="Z1409">
        <v>0</v>
      </c>
      <c r="AA1409">
        <v>38</v>
      </c>
      <c r="AB1409">
        <v>2231</v>
      </c>
      <c r="AC1409" s="28">
        <f>ifood_data[[#This Row],[Customer_Days]]/365</f>
        <v>6.1123287671232873</v>
      </c>
      <c r="AD1409">
        <v>0</v>
      </c>
      <c r="AE1409">
        <v>1</v>
      </c>
      <c r="AF1409">
        <v>0</v>
      </c>
      <c r="AG1409">
        <v>0</v>
      </c>
      <c r="AH1409">
        <v>0</v>
      </c>
      <c r="AI1409">
        <v>0</v>
      </c>
      <c r="AJ1409">
        <v>0</v>
      </c>
      <c r="AK1409">
        <v>1</v>
      </c>
      <c r="AL1409">
        <v>0</v>
      </c>
      <c r="AM1409">
        <v>0</v>
      </c>
      <c r="AN1409">
        <v>51</v>
      </c>
      <c r="AO1409">
        <v>44</v>
      </c>
      <c r="AP1409">
        <f>ifood_data[[#This Row],[MntTotal]]-ifood_data[[#This Row],[MntRegularProds]]</f>
        <v>7</v>
      </c>
      <c r="AQ1409">
        <v>0</v>
      </c>
      <c r="AR1409">
        <f>IF(SUM(ifood_data[[#This Row],[Kidhome]:[Teenhome]])&gt;0,1,0)</f>
        <v>0</v>
      </c>
      <c r="AS1409" t="str">
        <f>IF(SUM(ifood_data[[#This Row],[Kidhome]:[Teenhome]])&gt;0,"Has Family","No Family")</f>
        <v>No Family</v>
      </c>
      <c r="AT1409" t="str">
        <f>IF(ifood_data[[#This Row],[marital_Married]]=1,"Married", (IF(ifood_data[[#This Row],[marital_Single]]=1,"Single",(IF(ifood_data[[#This Row],[marital_Divorced]]=1,"Divorced",(IF(ifood_data[[#This Row],[marital_Together]]=1,"Living Together",(IF(ifood_data[[#This Row],[marital_Widow]]=1,"Widow","Other")))))))))</f>
        <v>Married</v>
      </c>
      <c r="AU1409" t="str">
        <f>IF(ifood_data[[#This Row],[education_Basic]]=1,"High School",(IF(ifood_data[[#This Row],[education_Graduation]]=1,"Undergraduate Degree",(IF(SUM(AM1409,AL1409,AI1409)&gt;0,"Master's Degree or Higher","Other")))))</f>
        <v>Undergraduate Degree</v>
      </c>
      <c r="AV1409" t="str">
        <f>IF(ifood_data[[#All],[Income]]&gt;75000,"75K+",(IF(ifood_data[[#All],[Income]]&gt;50000,"50K-75K",(IF(ifood_data[[#All],[Income]]&gt;35000,"35K-50K","&lt;35K")))))</f>
        <v>&lt;35K</v>
      </c>
      <c r="AW1409" t="str">
        <f>IF(ifood_data[[#All],[Age]]&gt;60,"60+",(IF(ifood_data[[#All],[Age]]&gt;50,"50-60",(IF(ifood_data[[#All],[Age]]&gt;40,"40-50",(IF(ifood_data[[#All],[Age]]&gt;30,"30-40","&lt;30")))))))</f>
        <v>30-40</v>
      </c>
      <c r="AX1409">
        <f t="shared" si="84"/>
        <v>14</v>
      </c>
      <c r="AY1409">
        <f t="shared" si="85"/>
        <v>1.9999999999999996</v>
      </c>
      <c r="AZ1409">
        <f t="shared" si="86"/>
        <v>2</v>
      </c>
      <c r="BA1409">
        <f t="shared" si="87"/>
        <v>2</v>
      </c>
      <c r="BB1409">
        <f>SUM(ifood_data[[#This Row],[Recency Score]:[Monetary Score]])</f>
        <v>6</v>
      </c>
      <c r="BC1409">
        <f>(_xlfn.PERCENTRANK.INC(ifood_data[[#All],[RFM]],ifood_data[[#This Row],[RFM]],1))*10</f>
        <v>0</v>
      </c>
      <c r="BD1409" t="str">
        <f>VLOOKUP(ifood_data[[#This Row],[RFM Score]],'RFM Analysis'!$A$3:$B$14,2,FALSE)</f>
        <v>Lost</v>
      </c>
      <c r="BE1409">
        <f>'Regression Models'!$B$101+'Regression Models'!$B$102*ifood_data[[#This Row],[Income]]+'Regression Models'!$B$103*ifood_data[[#This Row],[Age]]+'Regression Models'!$B$104*ifood_data[[#This Row],[Family]]</f>
        <v>246.22690833143679</v>
      </c>
      <c r="BF1409" t="str">
        <f>IF(ifood_data[[#This Row],[AcceptedCmpOverall]]=1,"Campaign Respondent","Non-respondent")</f>
        <v>Non-respondent</v>
      </c>
    </row>
    <row r="1410" spans="1:58" x14ac:dyDescent="0.35">
      <c r="A1410">
        <v>1042</v>
      </c>
      <c r="B1410">
        <v>38508</v>
      </c>
      <c r="C1410">
        <v>1</v>
      </c>
      <c r="D1410">
        <v>0</v>
      </c>
      <c r="E1410">
        <v>95</v>
      </c>
      <c r="F1410">
        <v>120</v>
      </c>
      <c r="G1410">
        <v>19</v>
      </c>
      <c r="H1410">
        <v>206</v>
      </c>
      <c r="I1410">
        <v>25</v>
      </c>
      <c r="J1410">
        <v>19</v>
      </c>
      <c r="K1410">
        <v>54</v>
      </c>
      <c r="L1410">
        <v>6</v>
      </c>
      <c r="M1410">
        <v>7</v>
      </c>
      <c r="N1410">
        <v>2</v>
      </c>
      <c r="O1410">
        <v>5</v>
      </c>
      <c r="P1410">
        <v>8</v>
      </c>
      <c r="Q1410">
        <v>0</v>
      </c>
      <c r="R1410">
        <v>0</v>
      </c>
      <c r="S1410">
        <v>0</v>
      </c>
      <c r="T1410">
        <v>0</v>
      </c>
      <c r="U1410">
        <v>0</v>
      </c>
      <c r="V1410">
        <f>IF(SUM(ifood_data[[#This Row],[AcceptedCmp1]:[AcceptedCmp5]])&gt;0,1,0)</f>
        <v>0</v>
      </c>
      <c r="W1410">
        <v>0</v>
      </c>
      <c r="X1410">
        <v>3</v>
      </c>
      <c r="Y1410">
        <v>11</v>
      </c>
      <c r="Z1410">
        <v>0</v>
      </c>
      <c r="AA1410">
        <v>34</v>
      </c>
      <c r="AB1410">
        <v>2490</v>
      </c>
      <c r="AC1410" s="28">
        <f>ifood_data[[#This Row],[Customer_Days]]/365</f>
        <v>6.8219178082191778</v>
      </c>
      <c r="AD1410">
        <v>0</v>
      </c>
      <c r="AE1410">
        <v>1</v>
      </c>
      <c r="AF1410">
        <v>0</v>
      </c>
      <c r="AG1410">
        <v>0</v>
      </c>
      <c r="AH1410">
        <v>0</v>
      </c>
      <c r="AI1410">
        <v>0</v>
      </c>
      <c r="AJ1410">
        <v>0</v>
      </c>
      <c r="AK1410">
        <v>1</v>
      </c>
      <c r="AL1410">
        <v>0</v>
      </c>
      <c r="AM1410">
        <v>0</v>
      </c>
      <c r="AN1410">
        <v>389</v>
      </c>
      <c r="AO1410">
        <v>335</v>
      </c>
      <c r="AP1410">
        <f>ifood_data[[#This Row],[MntTotal]]-ifood_data[[#This Row],[MntRegularProds]]</f>
        <v>54</v>
      </c>
      <c r="AQ1410">
        <v>0</v>
      </c>
      <c r="AR1410">
        <f>IF(SUM(ifood_data[[#This Row],[Kidhome]:[Teenhome]])&gt;0,1,0)</f>
        <v>1</v>
      </c>
      <c r="AS1410" t="str">
        <f>IF(SUM(ifood_data[[#This Row],[Kidhome]:[Teenhome]])&gt;0,"Has Family","No Family")</f>
        <v>Has Family</v>
      </c>
      <c r="AT1410" t="str">
        <f>IF(ifood_data[[#This Row],[marital_Married]]=1,"Married", (IF(ifood_data[[#This Row],[marital_Single]]=1,"Single",(IF(ifood_data[[#This Row],[marital_Divorced]]=1,"Divorced",(IF(ifood_data[[#This Row],[marital_Together]]=1,"Living Together",(IF(ifood_data[[#This Row],[marital_Widow]]=1,"Widow","Other")))))))))</f>
        <v>Married</v>
      </c>
      <c r="AU1410" t="str">
        <f>IF(ifood_data[[#This Row],[education_Basic]]=1,"High School",(IF(ifood_data[[#This Row],[education_Graduation]]=1,"Undergraduate Degree",(IF(SUM(AM1410,AL1410,AI1410)&gt;0,"Master's Degree or Higher","Other")))))</f>
        <v>Undergraduate Degree</v>
      </c>
      <c r="AV1410" t="str">
        <f>IF(ifood_data[[#All],[Income]]&gt;75000,"75K+",(IF(ifood_data[[#All],[Income]]&gt;50000,"50K-75K",(IF(ifood_data[[#All],[Income]]&gt;35000,"35K-50K","&lt;35K")))))</f>
        <v>35K-50K</v>
      </c>
      <c r="AW1410" t="str">
        <f>IF(ifood_data[[#All],[Age]]&gt;60,"60+",(IF(ifood_data[[#All],[Age]]&gt;50,"50-60",(IF(ifood_data[[#All],[Age]]&gt;40,"40-50",(IF(ifood_data[[#All],[Age]]&gt;30,"30-40","&lt;30")))))))</f>
        <v>30-40</v>
      </c>
      <c r="AX1410">
        <f t="shared" ref="AX1410:AX1473" si="88">SUM(L1410:P1410)</f>
        <v>28</v>
      </c>
      <c r="AY1410">
        <f t="shared" ref="AY1410:AY1473" si="89">(1-_xlfn.PERCENTRANK.INC($E$2:$E$2022,E1410,1))*10</f>
        <v>0.99999999999999978</v>
      </c>
      <c r="AZ1410">
        <f t="shared" ref="AZ1410:AZ1473" si="90">_xlfn.PERCENTRANK.INC($AX$2:$AX$2022,AX1410,1)*10</f>
        <v>8</v>
      </c>
      <c r="BA1410">
        <f t="shared" ref="BA1410:BA1473" si="91">_xlfn.PERCENTRANK.INC($AN$2:$AN$2022,AN1410,1)*10</f>
        <v>5</v>
      </c>
      <c r="BB1410">
        <f>SUM(ifood_data[[#This Row],[Recency Score]:[Monetary Score]])</f>
        <v>14</v>
      </c>
      <c r="BC1410">
        <f>(_xlfn.PERCENTRANK.INC(ifood_data[[#All],[RFM]],ifood_data[[#This Row],[RFM]],1))*10</f>
        <v>4</v>
      </c>
      <c r="BD1410" t="str">
        <f>VLOOKUP(ifood_data[[#This Row],[RFM Score]],'RFM Analysis'!$A$3:$B$14,2,FALSE)</f>
        <v>At Risk</v>
      </c>
      <c r="BE1410">
        <f>'Regression Models'!$B$101+'Regression Models'!$B$102*ifood_data[[#This Row],[Income]]+'Regression Models'!$B$103*ifood_data[[#This Row],[Age]]+'Regression Models'!$B$104*ifood_data[[#This Row],[Family]]</f>
        <v>245.26286765537145</v>
      </c>
      <c r="BF1410" t="str">
        <f>IF(ifood_data[[#This Row],[AcceptedCmpOverall]]=1,"Campaign Respondent","Non-respondent")</f>
        <v>Non-respondent</v>
      </c>
    </row>
    <row r="1411" spans="1:58" x14ac:dyDescent="0.35">
      <c r="A1411">
        <v>556</v>
      </c>
      <c r="B1411">
        <v>27450</v>
      </c>
      <c r="C1411">
        <v>0</v>
      </c>
      <c r="D1411">
        <v>0</v>
      </c>
      <c r="E1411">
        <v>57</v>
      </c>
      <c r="F1411">
        <v>37</v>
      </c>
      <c r="G1411">
        <v>12</v>
      </c>
      <c r="H1411">
        <v>23</v>
      </c>
      <c r="I1411">
        <v>8</v>
      </c>
      <c r="J1411">
        <v>11</v>
      </c>
      <c r="K1411">
        <v>52</v>
      </c>
      <c r="L1411">
        <v>1</v>
      </c>
      <c r="M1411">
        <v>2</v>
      </c>
      <c r="N1411">
        <v>1</v>
      </c>
      <c r="O1411">
        <v>3</v>
      </c>
      <c r="P1411">
        <v>7</v>
      </c>
      <c r="Q1411">
        <v>0</v>
      </c>
      <c r="R1411">
        <v>0</v>
      </c>
      <c r="S1411">
        <v>0</v>
      </c>
      <c r="T1411">
        <v>0</v>
      </c>
      <c r="U1411">
        <v>0</v>
      </c>
      <c r="V1411">
        <f>IF(SUM(ifood_data[[#This Row],[AcceptedCmp1]:[AcceptedCmp5]])&gt;0,1,0)</f>
        <v>0</v>
      </c>
      <c r="W1411">
        <v>0</v>
      </c>
      <c r="X1411">
        <v>3</v>
      </c>
      <c r="Y1411">
        <v>11</v>
      </c>
      <c r="Z1411">
        <v>0</v>
      </c>
      <c r="AA1411">
        <v>69</v>
      </c>
      <c r="AB1411">
        <v>2599</v>
      </c>
      <c r="AC1411" s="28">
        <f>ifood_data[[#This Row],[Customer_Days]]/365</f>
        <v>7.1205479452054794</v>
      </c>
      <c r="AD1411">
        <v>0</v>
      </c>
      <c r="AE1411">
        <v>1</v>
      </c>
      <c r="AF1411">
        <v>0</v>
      </c>
      <c r="AG1411">
        <v>0</v>
      </c>
      <c r="AH1411">
        <v>0</v>
      </c>
      <c r="AI1411">
        <v>0</v>
      </c>
      <c r="AJ1411">
        <v>0</v>
      </c>
      <c r="AK1411">
        <v>0</v>
      </c>
      <c r="AL1411">
        <v>1</v>
      </c>
      <c r="AM1411">
        <v>0</v>
      </c>
      <c r="AN1411">
        <v>91</v>
      </c>
      <c r="AO1411">
        <v>39</v>
      </c>
      <c r="AP1411">
        <f>ifood_data[[#This Row],[MntTotal]]-ifood_data[[#This Row],[MntRegularProds]]</f>
        <v>52</v>
      </c>
      <c r="AQ1411">
        <v>0</v>
      </c>
      <c r="AR1411">
        <f>IF(SUM(ifood_data[[#This Row],[Kidhome]:[Teenhome]])&gt;0,1,0)</f>
        <v>0</v>
      </c>
      <c r="AS1411" t="str">
        <f>IF(SUM(ifood_data[[#This Row],[Kidhome]:[Teenhome]])&gt;0,"Has Family","No Family")</f>
        <v>No Family</v>
      </c>
      <c r="AT1411" t="str">
        <f>IF(ifood_data[[#This Row],[marital_Married]]=1,"Married", (IF(ifood_data[[#This Row],[marital_Single]]=1,"Single",(IF(ifood_data[[#This Row],[marital_Divorced]]=1,"Divorced",(IF(ifood_data[[#This Row],[marital_Together]]=1,"Living Together",(IF(ifood_data[[#This Row],[marital_Widow]]=1,"Widow","Other")))))))))</f>
        <v>Married</v>
      </c>
      <c r="AU1411" t="str">
        <f>IF(ifood_data[[#This Row],[education_Basic]]=1,"High School",(IF(ifood_data[[#This Row],[education_Graduation]]=1,"Undergraduate Degree",(IF(SUM(AM1411,AL1411,AI1411)&gt;0,"Master's Degree or Higher","Other")))))</f>
        <v>Master's Degree or Higher</v>
      </c>
      <c r="AV1411" t="str">
        <f>IF(ifood_data[[#All],[Income]]&gt;75000,"75K+",(IF(ifood_data[[#All],[Income]]&gt;50000,"50K-75K",(IF(ifood_data[[#All],[Income]]&gt;35000,"35K-50K","&lt;35K")))))</f>
        <v>&lt;35K</v>
      </c>
      <c r="AW1411" t="str">
        <f>IF(ifood_data[[#All],[Age]]&gt;60,"60+",(IF(ifood_data[[#All],[Age]]&gt;50,"50-60",(IF(ifood_data[[#All],[Age]]&gt;40,"40-50",(IF(ifood_data[[#All],[Age]]&gt;30,"30-40","&lt;30")))))))</f>
        <v>60+</v>
      </c>
      <c r="AX1411">
        <f t="shared" si="88"/>
        <v>14</v>
      </c>
      <c r="AY1411">
        <f t="shared" si="89"/>
        <v>5</v>
      </c>
      <c r="AZ1411">
        <f t="shared" si="90"/>
        <v>2</v>
      </c>
      <c r="BA1411">
        <f t="shared" si="91"/>
        <v>3</v>
      </c>
      <c r="BB1411">
        <f>SUM(ifood_data[[#This Row],[Recency Score]:[Monetary Score]])</f>
        <v>10</v>
      </c>
      <c r="BC1411">
        <f>(_xlfn.PERCENTRANK.INC(ifood_data[[#All],[RFM]],ifood_data[[#This Row],[RFM]],1))*10</f>
        <v>2</v>
      </c>
      <c r="BD1411" t="str">
        <f>VLOOKUP(ifood_data[[#This Row],[RFM Score]],'RFM Analysis'!$A$3:$B$14,2,FALSE)</f>
        <v>At Risk</v>
      </c>
      <c r="BE1411">
        <f>'Regression Models'!$B$101+'Regression Models'!$B$102*ifood_data[[#This Row],[Income]]+'Regression Models'!$B$103*ifood_data[[#This Row],[Age]]+'Regression Models'!$B$104*ifood_data[[#This Row],[Family]]</f>
        <v>245.14213283185333</v>
      </c>
      <c r="BF1411" t="str">
        <f>IF(ifood_data[[#This Row],[AcceptedCmpOverall]]=1,"Campaign Respondent","Non-respondent")</f>
        <v>Non-respondent</v>
      </c>
    </row>
    <row r="1412" spans="1:58" x14ac:dyDescent="0.35">
      <c r="A1412">
        <v>1859</v>
      </c>
      <c r="B1412">
        <v>38680</v>
      </c>
      <c r="C1412">
        <v>1</v>
      </c>
      <c r="D1412">
        <v>0</v>
      </c>
      <c r="E1412">
        <v>97</v>
      </c>
      <c r="F1412">
        <v>11</v>
      </c>
      <c r="G1412">
        <v>0</v>
      </c>
      <c r="H1412">
        <v>36</v>
      </c>
      <c r="I1412">
        <v>15</v>
      </c>
      <c r="J1412">
        <v>5</v>
      </c>
      <c r="K1412">
        <v>12</v>
      </c>
      <c r="L1412">
        <v>1</v>
      </c>
      <c r="M1412">
        <v>2</v>
      </c>
      <c r="N1412">
        <v>0</v>
      </c>
      <c r="O1412">
        <v>3</v>
      </c>
      <c r="P1412">
        <v>7</v>
      </c>
      <c r="Q1412">
        <v>0</v>
      </c>
      <c r="R1412">
        <v>0</v>
      </c>
      <c r="S1412">
        <v>0</v>
      </c>
      <c r="T1412">
        <v>0</v>
      </c>
      <c r="U1412">
        <v>0</v>
      </c>
      <c r="V1412">
        <f>IF(SUM(ifood_data[[#This Row],[AcceptedCmp1]:[AcceptedCmp5]])&gt;0,1,0)</f>
        <v>0</v>
      </c>
      <c r="W1412">
        <v>0</v>
      </c>
      <c r="X1412">
        <v>3</v>
      </c>
      <c r="Y1412">
        <v>11</v>
      </c>
      <c r="Z1412">
        <v>0</v>
      </c>
      <c r="AA1412">
        <v>36</v>
      </c>
      <c r="AB1412">
        <v>2617</v>
      </c>
      <c r="AC1412" s="28">
        <f>ifood_data[[#This Row],[Customer_Days]]/365</f>
        <v>7.1698630136986301</v>
      </c>
      <c r="AD1412">
        <v>0</v>
      </c>
      <c r="AE1412">
        <v>1</v>
      </c>
      <c r="AF1412">
        <v>0</v>
      </c>
      <c r="AG1412">
        <v>0</v>
      </c>
      <c r="AH1412">
        <v>0</v>
      </c>
      <c r="AI1412">
        <v>0</v>
      </c>
      <c r="AJ1412">
        <v>0</v>
      </c>
      <c r="AK1412">
        <v>1</v>
      </c>
      <c r="AL1412">
        <v>0</v>
      </c>
      <c r="AM1412">
        <v>0</v>
      </c>
      <c r="AN1412">
        <v>67</v>
      </c>
      <c r="AO1412">
        <v>55</v>
      </c>
      <c r="AP1412">
        <f>ifood_data[[#This Row],[MntTotal]]-ifood_data[[#This Row],[MntRegularProds]]</f>
        <v>12</v>
      </c>
      <c r="AQ1412">
        <v>0</v>
      </c>
      <c r="AR1412">
        <f>IF(SUM(ifood_data[[#This Row],[Kidhome]:[Teenhome]])&gt;0,1,0)</f>
        <v>1</v>
      </c>
      <c r="AS1412" t="str">
        <f>IF(SUM(ifood_data[[#This Row],[Kidhome]:[Teenhome]])&gt;0,"Has Family","No Family")</f>
        <v>Has Family</v>
      </c>
      <c r="AT1412" t="str">
        <f>IF(ifood_data[[#This Row],[marital_Married]]=1,"Married", (IF(ifood_data[[#This Row],[marital_Single]]=1,"Single",(IF(ifood_data[[#This Row],[marital_Divorced]]=1,"Divorced",(IF(ifood_data[[#This Row],[marital_Together]]=1,"Living Together",(IF(ifood_data[[#This Row],[marital_Widow]]=1,"Widow","Other")))))))))</f>
        <v>Married</v>
      </c>
      <c r="AU1412" t="str">
        <f>IF(ifood_data[[#This Row],[education_Basic]]=1,"High School",(IF(ifood_data[[#This Row],[education_Graduation]]=1,"Undergraduate Degree",(IF(SUM(AM1412,AL1412,AI1412)&gt;0,"Master's Degree or Higher","Other")))))</f>
        <v>Undergraduate Degree</v>
      </c>
      <c r="AV1412" t="str">
        <f>IF(ifood_data[[#All],[Income]]&gt;75000,"75K+",(IF(ifood_data[[#All],[Income]]&gt;50000,"50K-75K",(IF(ifood_data[[#All],[Income]]&gt;35000,"35K-50K","&lt;35K")))))</f>
        <v>35K-50K</v>
      </c>
      <c r="AW1412" t="str">
        <f>IF(ifood_data[[#All],[Age]]&gt;60,"60+",(IF(ifood_data[[#All],[Age]]&gt;50,"50-60",(IF(ifood_data[[#All],[Age]]&gt;40,"40-50",(IF(ifood_data[[#All],[Age]]&gt;30,"30-40","&lt;30")))))))</f>
        <v>30-40</v>
      </c>
      <c r="AX1412">
        <f t="shared" si="88"/>
        <v>13</v>
      </c>
      <c r="AY1412">
        <f t="shared" si="89"/>
        <v>0.99999999999999978</v>
      </c>
      <c r="AZ1412">
        <f t="shared" si="90"/>
        <v>1</v>
      </c>
      <c r="BA1412">
        <f t="shared" si="91"/>
        <v>2</v>
      </c>
      <c r="BB1412">
        <f>SUM(ifood_data[[#This Row],[Recency Score]:[Monetary Score]])</f>
        <v>4</v>
      </c>
      <c r="BC1412">
        <f>(_xlfn.PERCENTRANK.INC(ifood_data[[#All],[RFM]],ifood_data[[#This Row],[RFM]],1))*10</f>
        <v>0</v>
      </c>
      <c r="BD1412" t="str">
        <f>VLOOKUP(ifood_data[[#This Row],[RFM Score]],'RFM Analysis'!$A$3:$B$14,2,FALSE)</f>
        <v>Lost</v>
      </c>
      <c r="BE1412">
        <f>'Regression Models'!$B$101+'Regression Models'!$B$102*ifood_data[[#This Row],[Income]]+'Regression Models'!$B$103*ifood_data[[#This Row],[Age]]+'Regression Models'!$B$104*ifood_data[[#This Row],[Family]]</f>
        <v>245.0968576183335</v>
      </c>
      <c r="BF1412" t="str">
        <f>IF(ifood_data[[#This Row],[AcceptedCmpOverall]]=1,"Campaign Respondent","Non-respondent")</f>
        <v>Non-respondent</v>
      </c>
    </row>
    <row r="1413" spans="1:58" x14ac:dyDescent="0.35">
      <c r="A1413">
        <v>733</v>
      </c>
      <c r="B1413">
        <v>41452</v>
      </c>
      <c r="C1413">
        <v>1</v>
      </c>
      <c r="D1413">
        <v>1</v>
      </c>
      <c r="E1413">
        <v>86</v>
      </c>
      <c r="F1413">
        <v>13</v>
      </c>
      <c r="G1413">
        <v>0</v>
      </c>
      <c r="H1413">
        <v>3</v>
      </c>
      <c r="I1413">
        <v>0</v>
      </c>
      <c r="J1413">
        <v>0</v>
      </c>
      <c r="K1413">
        <v>0</v>
      </c>
      <c r="L1413">
        <v>1</v>
      </c>
      <c r="M1413">
        <v>1</v>
      </c>
      <c r="N1413">
        <v>0</v>
      </c>
      <c r="O1413">
        <v>2</v>
      </c>
      <c r="P1413">
        <v>7</v>
      </c>
      <c r="Q1413">
        <v>0</v>
      </c>
      <c r="R1413">
        <v>0</v>
      </c>
      <c r="S1413">
        <v>0</v>
      </c>
      <c r="T1413">
        <v>0</v>
      </c>
      <c r="U1413">
        <v>0</v>
      </c>
      <c r="V1413">
        <f>IF(SUM(ifood_data[[#This Row],[AcceptedCmp1]:[AcceptedCmp5]])&gt;0,1,0)</f>
        <v>0</v>
      </c>
      <c r="W1413">
        <v>0</v>
      </c>
      <c r="X1413">
        <v>3</v>
      </c>
      <c r="Y1413">
        <v>11</v>
      </c>
      <c r="Z1413">
        <v>0</v>
      </c>
      <c r="AA1413">
        <v>67</v>
      </c>
      <c r="AB1413">
        <v>2639</v>
      </c>
      <c r="AC1413" s="28">
        <f>ifood_data[[#This Row],[Customer_Days]]/365</f>
        <v>7.2301369863013702</v>
      </c>
      <c r="AD1413">
        <v>0</v>
      </c>
      <c r="AE1413">
        <v>0</v>
      </c>
      <c r="AF1413">
        <v>0</v>
      </c>
      <c r="AG1413">
        <v>1</v>
      </c>
      <c r="AH1413">
        <v>0</v>
      </c>
      <c r="AI1413">
        <v>0</v>
      </c>
      <c r="AJ1413">
        <v>0</v>
      </c>
      <c r="AK1413">
        <v>1</v>
      </c>
      <c r="AL1413">
        <v>0</v>
      </c>
      <c r="AM1413">
        <v>0</v>
      </c>
      <c r="AN1413">
        <v>16</v>
      </c>
      <c r="AO1413">
        <v>16</v>
      </c>
      <c r="AP1413">
        <f>ifood_data[[#This Row],[MntTotal]]-ifood_data[[#This Row],[MntRegularProds]]</f>
        <v>0</v>
      </c>
      <c r="AQ1413">
        <v>0</v>
      </c>
      <c r="AR1413">
        <f>IF(SUM(ifood_data[[#This Row],[Kidhome]:[Teenhome]])&gt;0,1,0)</f>
        <v>1</v>
      </c>
      <c r="AS1413" t="str">
        <f>IF(SUM(ifood_data[[#This Row],[Kidhome]:[Teenhome]])&gt;0,"Has Family","No Family")</f>
        <v>Has Family</v>
      </c>
      <c r="AT1413" t="str">
        <f>IF(ifood_data[[#This Row],[marital_Married]]=1,"Married", (IF(ifood_data[[#This Row],[marital_Single]]=1,"Single",(IF(ifood_data[[#This Row],[marital_Divorced]]=1,"Divorced",(IF(ifood_data[[#This Row],[marital_Together]]=1,"Living Together",(IF(ifood_data[[#This Row],[marital_Widow]]=1,"Widow","Other")))))))))</f>
        <v>Living Together</v>
      </c>
      <c r="AU1413" t="str">
        <f>IF(ifood_data[[#This Row],[education_Basic]]=1,"High School",(IF(ifood_data[[#This Row],[education_Graduation]]=1,"Undergraduate Degree",(IF(SUM(AM1413,AL1413,AI1413)&gt;0,"Master's Degree or Higher","Other")))))</f>
        <v>Undergraduate Degree</v>
      </c>
      <c r="AV1413" t="str">
        <f>IF(ifood_data[[#All],[Income]]&gt;75000,"75K+",(IF(ifood_data[[#All],[Income]]&gt;50000,"50K-75K",(IF(ifood_data[[#All],[Income]]&gt;35000,"35K-50K","&lt;35K")))))</f>
        <v>35K-50K</v>
      </c>
      <c r="AW1413" t="str">
        <f>IF(ifood_data[[#All],[Age]]&gt;60,"60+",(IF(ifood_data[[#All],[Age]]&gt;50,"50-60",(IF(ifood_data[[#All],[Age]]&gt;40,"40-50",(IF(ifood_data[[#All],[Age]]&gt;30,"30-40","&lt;30")))))))</f>
        <v>60+</v>
      </c>
      <c r="AX1413">
        <f t="shared" si="88"/>
        <v>11</v>
      </c>
      <c r="AY1413">
        <f t="shared" si="89"/>
        <v>1.9999999999999996</v>
      </c>
      <c r="AZ1413">
        <f t="shared" si="90"/>
        <v>0</v>
      </c>
      <c r="BA1413">
        <f t="shared" si="91"/>
        <v>0</v>
      </c>
      <c r="BB1413">
        <f>SUM(ifood_data[[#This Row],[Recency Score]:[Monetary Score]])</f>
        <v>1.9999999999999996</v>
      </c>
      <c r="BC1413">
        <f>(_xlfn.PERCENTRANK.INC(ifood_data[[#All],[RFM]],ifood_data[[#This Row],[RFM]],1))*10</f>
        <v>0</v>
      </c>
      <c r="BD1413" t="str">
        <f>VLOOKUP(ifood_data[[#This Row],[RFM Score]],'RFM Analysis'!$A$3:$B$14,2,FALSE)</f>
        <v>Lost</v>
      </c>
      <c r="BE1413">
        <f>'Regression Models'!$B$101+'Regression Models'!$B$102*ifood_data[[#This Row],[Income]]+'Regression Models'!$B$103*ifood_data[[#This Row],[Age]]+'Regression Models'!$B$104*ifood_data[[#This Row],[Family]]</f>
        <v>244.68491146749875</v>
      </c>
      <c r="BF1413" t="str">
        <f>IF(ifood_data[[#This Row],[AcceptedCmpOverall]]=1,"Campaign Respondent","Non-respondent")</f>
        <v>Non-respondent</v>
      </c>
    </row>
    <row r="1414" spans="1:58" x14ac:dyDescent="0.35">
      <c r="A1414">
        <v>1185</v>
      </c>
      <c r="B1414">
        <v>39356</v>
      </c>
      <c r="C1414">
        <v>1</v>
      </c>
      <c r="D1414">
        <v>1</v>
      </c>
      <c r="E1414">
        <v>21</v>
      </c>
      <c r="F1414">
        <v>15</v>
      </c>
      <c r="G1414">
        <v>0</v>
      </c>
      <c r="H1414">
        <v>2</v>
      </c>
      <c r="I1414">
        <v>0</v>
      </c>
      <c r="J1414">
        <v>0</v>
      </c>
      <c r="K1414">
        <v>6</v>
      </c>
      <c r="L1414">
        <v>1</v>
      </c>
      <c r="M1414">
        <v>1</v>
      </c>
      <c r="N1414">
        <v>0</v>
      </c>
      <c r="O1414">
        <v>2</v>
      </c>
      <c r="P1414">
        <v>6</v>
      </c>
      <c r="Q1414">
        <v>0</v>
      </c>
      <c r="R1414">
        <v>0</v>
      </c>
      <c r="S1414">
        <v>1</v>
      </c>
      <c r="T1414">
        <v>0</v>
      </c>
      <c r="U1414">
        <v>0</v>
      </c>
      <c r="V1414">
        <f>IF(SUM(ifood_data[[#This Row],[AcceptedCmp1]:[AcceptedCmp5]])&gt;0,1,0)</f>
        <v>1</v>
      </c>
      <c r="W1414">
        <v>0</v>
      </c>
      <c r="X1414">
        <v>3</v>
      </c>
      <c r="Y1414">
        <v>11</v>
      </c>
      <c r="Z1414">
        <v>0</v>
      </c>
      <c r="AA1414">
        <v>44</v>
      </c>
      <c r="AB1414">
        <v>2261</v>
      </c>
      <c r="AC1414" s="28">
        <f>ifood_data[[#This Row],[Customer_Days]]/365</f>
        <v>6.1945205479452055</v>
      </c>
      <c r="AD1414">
        <v>0</v>
      </c>
      <c r="AE1414">
        <v>1</v>
      </c>
      <c r="AF1414">
        <v>0</v>
      </c>
      <c r="AG1414">
        <v>0</v>
      </c>
      <c r="AH1414">
        <v>0</v>
      </c>
      <c r="AI1414">
        <v>0</v>
      </c>
      <c r="AJ1414">
        <v>0</v>
      </c>
      <c r="AK1414">
        <v>1</v>
      </c>
      <c r="AL1414">
        <v>0</v>
      </c>
      <c r="AM1414">
        <v>0</v>
      </c>
      <c r="AN1414">
        <v>17</v>
      </c>
      <c r="AO1414">
        <v>11</v>
      </c>
      <c r="AP1414">
        <f>ifood_data[[#This Row],[MntTotal]]-ifood_data[[#This Row],[MntRegularProds]]</f>
        <v>6</v>
      </c>
      <c r="AQ1414">
        <v>1</v>
      </c>
      <c r="AR1414">
        <f>IF(SUM(ifood_data[[#This Row],[Kidhome]:[Teenhome]])&gt;0,1,0)</f>
        <v>1</v>
      </c>
      <c r="AS1414" t="str">
        <f>IF(SUM(ifood_data[[#This Row],[Kidhome]:[Teenhome]])&gt;0,"Has Family","No Family")</f>
        <v>Has Family</v>
      </c>
      <c r="AT1414" t="str">
        <f>IF(ifood_data[[#This Row],[marital_Married]]=1,"Married", (IF(ifood_data[[#This Row],[marital_Single]]=1,"Single",(IF(ifood_data[[#This Row],[marital_Divorced]]=1,"Divorced",(IF(ifood_data[[#This Row],[marital_Together]]=1,"Living Together",(IF(ifood_data[[#This Row],[marital_Widow]]=1,"Widow","Other")))))))))</f>
        <v>Married</v>
      </c>
      <c r="AU1414" t="str">
        <f>IF(ifood_data[[#This Row],[education_Basic]]=1,"High School",(IF(ifood_data[[#This Row],[education_Graduation]]=1,"Undergraduate Degree",(IF(SUM(AM1414,AL1414,AI1414)&gt;0,"Master's Degree or Higher","Other")))))</f>
        <v>Undergraduate Degree</v>
      </c>
      <c r="AV1414" t="str">
        <f>IF(ifood_data[[#All],[Income]]&gt;75000,"75K+",(IF(ifood_data[[#All],[Income]]&gt;50000,"50K-75K",(IF(ifood_data[[#All],[Income]]&gt;35000,"35K-50K","&lt;35K")))))</f>
        <v>35K-50K</v>
      </c>
      <c r="AW1414" t="str">
        <f>IF(ifood_data[[#All],[Age]]&gt;60,"60+",(IF(ifood_data[[#All],[Age]]&gt;50,"50-60",(IF(ifood_data[[#All],[Age]]&gt;40,"40-50",(IF(ifood_data[[#All],[Age]]&gt;30,"30-40","&lt;30")))))))</f>
        <v>40-50</v>
      </c>
      <c r="AX1414">
        <f t="shared" si="88"/>
        <v>10</v>
      </c>
      <c r="AY1414">
        <f t="shared" si="89"/>
        <v>8</v>
      </c>
      <c r="AZ1414">
        <f t="shared" si="90"/>
        <v>0</v>
      </c>
      <c r="BA1414">
        <f t="shared" si="91"/>
        <v>0</v>
      </c>
      <c r="BB1414">
        <f>SUM(ifood_data[[#This Row],[Recency Score]:[Monetary Score]])</f>
        <v>8</v>
      </c>
      <c r="BC1414">
        <f>(_xlfn.PERCENTRANK.INC(ifood_data[[#All],[RFM]],ifood_data[[#This Row],[RFM]],1))*10</f>
        <v>1</v>
      </c>
      <c r="BD1414" t="str">
        <f>VLOOKUP(ifood_data[[#This Row],[RFM Score]],'RFM Analysis'!$A$3:$B$14,2,FALSE)</f>
        <v>At Risk</v>
      </c>
      <c r="BE1414">
        <f>'Regression Models'!$B$101+'Regression Models'!$B$102*ifood_data[[#This Row],[Income]]+'Regression Models'!$B$103*ifood_data[[#This Row],[Age]]+'Regression Models'!$B$104*ifood_data[[#This Row],[Family]]</f>
        <v>244.18815225245498</v>
      </c>
      <c r="BF1414" t="str">
        <f>IF(ifood_data[[#This Row],[AcceptedCmpOverall]]=1,"Campaign Respondent","Non-respondent")</f>
        <v>Campaign Respondent</v>
      </c>
    </row>
    <row r="1415" spans="1:58" x14ac:dyDescent="0.35">
      <c r="A1415">
        <v>1815</v>
      </c>
      <c r="B1415">
        <v>39791</v>
      </c>
      <c r="C1415">
        <v>0</v>
      </c>
      <c r="D1415">
        <v>1</v>
      </c>
      <c r="E1415">
        <v>89</v>
      </c>
      <c r="F1415">
        <v>85</v>
      </c>
      <c r="G1415">
        <v>15</v>
      </c>
      <c r="H1415">
        <v>27</v>
      </c>
      <c r="I1415">
        <v>13</v>
      </c>
      <c r="J1415">
        <v>13</v>
      </c>
      <c r="K1415">
        <v>21</v>
      </c>
      <c r="L1415">
        <v>2</v>
      </c>
      <c r="M1415">
        <v>3</v>
      </c>
      <c r="N1415">
        <v>1</v>
      </c>
      <c r="O1415">
        <v>4</v>
      </c>
      <c r="P1415">
        <v>7</v>
      </c>
      <c r="Q1415">
        <v>0</v>
      </c>
      <c r="R1415">
        <v>0</v>
      </c>
      <c r="S1415">
        <v>0</v>
      </c>
      <c r="T1415">
        <v>0</v>
      </c>
      <c r="U1415">
        <v>0</v>
      </c>
      <c r="V1415">
        <f>IF(SUM(ifood_data[[#This Row],[AcceptedCmp1]:[AcceptedCmp5]])&gt;0,1,0)</f>
        <v>0</v>
      </c>
      <c r="W1415">
        <v>0</v>
      </c>
      <c r="X1415">
        <v>3</v>
      </c>
      <c r="Y1415">
        <v>11</v>
      </c>
      <c r="Z1415">
        <v>0</v>
      </c>
      <c r="AA1415">
        <v>49</v>
      </c>
      <c r="AB1415">
        <v>2617</v>
      </c>
      <c r="AC1415" s="28">
        <f>ifood_data[[#This Row],[Customer_Days]]/365</f>
        <v>7.1698630136986301</v>
      </c>
      <c r="AD1415">
        <v>0</v>
      </c>
      <c r="AE1415">
        <v>1</v>
      </c>
      <c r="AF1415">
        <v>0</v>
      </c>
      <c r="AG1415">
        <v>0</v>
      </c>
      <c r="AH1415">
        <v>0</v>
      </c>
      <c r="AI1415">
        <v>0</v>
      </c>
      <c r="AJ1415">
        <v>0</v>
      </c>
      <c r="AK1415">
        <v>0</v>
      </c>
      <c r="AL1415">
        <v>1</v>
      </c>
      <c r="AM1415">
        <v>0</v>
      </c>
      <c r="AN1415">
        <v>153</v>
      </c>
      <c r="AO1415">
        <v>132</v>
      </c>
      <c r="AP1415">
        <f>ifood_data[[#This Row],[MntTotal]]-ifood_data[[#This Row],[MntRegularProds]]</f>
        <v>21</v>
      </c>
      <c r="AQ1415">
        <v>0</v>
      </c>
      <c r="AR1415">
        <f>IF(SUM(ifood_data[[#This Row],[Kidhome]:[Teenhome]])&gt;0,1,0)</f>
        <v>1</v>
      </c>
      <c r="AS1415" t="str">
        <f>IF(SUM(ifood_data[[#This Row],[Kidhome]:[Teenhome]])&gt;0,"Has Family","No Family")</f>
        <v>Has Family</v>
      </c>
      <c r="AT1415" t="str">
        <f>IF(ifood_data[[#This Row],[marital_Married]]=1,"Married", (IF(ifood_data[[#This Row],[marital_Single]]=1,"Single",(IF(ifood_data[[#This Row],[marital_Divorced]]=1,"Divorced",(IF(ifood_data[[#This Row],[marital_Together]]=1,"Living Together",(IF(ifood_data[[#This Row],[marital_Widow]]=1,"Widow","Other")))))))))</f>
        <v>Married</v>
      </c>
      <c r="AU1415" t="str">
        <f>IF(ifood_data[[#This Row],[education_Basic]]=1,"High School",(IF(ifood_data[[#This Row],[education_Graduation]]=1,"Undergraduate Degree",(IF(SUM(AM1415,AL1415,AI1415)&gt;0,"Master's Degree or Higher","Other")))))</f>
        <v>Master's Degree or Higher</v>
      </c>
      <c r="AV1415" t="str">
        <f>IF(ifood_data[[#All],[Income]]&gt;75000,"75K+",(IF(ifood_data[[#All],[Income]]&gt;50000,"50K-75K",(IF(ifood_data[[#All],[Income]]&gt;35000,"35K-50K","&lt;35K")))))</f>
        <v>35K-50K</v>
      </c>
      <c r="AW1415" t="str">
        <f>IF(ifood_data[[#All],[Age]]&gt;60,"60+",(IF(ifood_data[[#All],[Age]]&gt;50,"50-60",(IF(ifood_data[[#All],[Age]]&gt;40,"40-50",(IF(ifood_data[[#All],[Age]]&gt;30,"30-40","&lt;30")))))))</f>
        <v>40-50</v>
      </c>
      <c r="AX1415">
        <f t="shared" si="88"/>
        <v>17</v>
      </c>
      <c r="AY1415">
        <f t="shared" si="89"/>
        <v>1.9999999999999996</v>
      </c>
      <c r="AZ1415">
        <f t="shared" si="90"/>
        <v>3</v>
      </c>
      <c r="BA1415">
        <f t="shared" si="91"/>
        <v>3</v>
      </c>
      <c r="BB1415">
        <f>SUM(ifood_data[[#This Row],[Recency Score]:[Monetary Score]])</f>
        <v>8</v>
      </c>
      <c r="BC1415">
        <f>(_xlfn.PERCENTRANK.INC(ifood_data[[#All],[RFM]],ifood_data[[#This Row],[RFM]],1))*10</f>
        <v>1</v>
      </c>
      <c r="BD1415" t="str">
        <f>VLOOKUP(ifood_data[[#This Row],[RFM Score]],'RFM Analysis'!$A$3:$B$14,2,FALSE)</f>
        <v>At Risk</v>
      </c>
      <c r="BE1415">
        <f>'Regression Models'!$B$101+'Regression Models'!$B$102*ifood_data[[#This Row],[Income]]+'Regression Models'!$B$103*ifood_data[[#This Row],[Age]]+'Regression Models'!$B$104*ifood_data[[#This Row],[Family]]</f>
        <v>243.87507100057962</v>
      </c>
      <c r="BF1415" t="str">
        <f>IF(ifood_data[[#This Row],[AcceptedCmpOverall]]=1,"Campaign Respondent","Non-respondent")</f>
        <v>Non-respondent</v>
      </c>
    </row>
    <row r="1416" spans="1:58" x14ac:dyDescent="0.35">
      <c r="A1416">
        <v>1614</v>
      </c>
      <c r="B1416">
        <v>39763</v>
      </c>
      <c r="C1416">
        <v>1</v>
      </c>
      <c r="D1416">
        <v>0</v>
      </c>
      <c r="E1416">
        <v>9</v>
      </c>
      <c r="F1416">
        <v>80</v>
      </c>
      <c r="G1416">
        <v>1</v>
      </c>
      <c r="H1416">
        <v>60</v>
      </c>
      <c r="I1416">
        <v>4</v>
      </c>
      <c r="J1416">
        <v>6</v>
      </c>
      <c r="K1416">
        <v>16</v>
      </c>
      <c r="L1416">
        <v>2</v>
      </c>
      <c r="M1416">
        <v>5</v>
      </c>
      <c r="N1416">
        <v>1</v>
      </c>
      <c r="O1416">
        <v>2</v>
      </c>
      <c r="P1416">
        <v>9</v>
      </c>
      <c r="Q1416">
        <v>0</v>
      </c>
      <c r="R1416">
        <v>0</v>
      </c>
      <c r="S1416">
        <v>0</v>
      </c>
      <c r="T1416">
        <v>0</v>
      </c>
      <c r="U1416">
        <v>0</v>
      </c>
      <c r="V1416">
        <f>IF(SUM(ifood_data[[#This Row],[AcceptedCmp1]:[AcceptedCmp5]])&gt;0,1,0)</f>
        <v>0</v>
      </c>
      <c r="W1416">
        <v>0</v>
      </c>
      <c r="X1416">
        <v>3</v>
      </c>
      <c r="Y1416">
        <v>11</v>
      </c>
      <c r="Z1416">
        <v>1</v>
      </c>
      <c r="AA1416">
        <v>49</v>
      </c>
      <c r="AB1416">
        <v>2488</v>
      </c>
      <c r="AC1416" s="28">
        <f>ifood_data[[#This Row],[Customer_Days]]/365</f>
        <v>6.816438356164384</v>
      </c>
      <c r="AD1416">
        <v>0</v>
      </c>
      <c r="AE1416">
        <v>0</v>
      </c>
      <c r="AF1416">
        <v>1</v>
      </c>
      <c r="AG1416">
        <v>0</v>
      </c>
      <c r="AH1416">
        <v>0</v>
      </c>
      <c r="AI1416">
        <v>0</v>
      </c>
      <c r="AJ1416">
        <v>0</v>
      </c>
      <c r="AK1416">
        <v>0</v>
      </c>
      <c r="AL1416">
        <v>1</v>
      </c>
      <c r="AM1416">
        <v>0</v>
      </c>
      <c r="AN1416">
        <v>151</v>
      </c>
      <c r="AO1416">
        <v>135</v>
      </c>
      <c r="AP1416">
        <f>ifood_data[[#This Row],[MntTotal]]-ifood_data[[#This Row],[MntRegularProds]]</f>
        <v>16</v>
      </c>
      <c r="AQ1416">
        <v>0</v>
      </c>
      <c r="AR1416">
        <f>IF(SUM(ifood_data[[#This Row],[Kidhome]:[Teenhome]])&gt;0,1,0)</f>
        <v>1</v>
      </c>
      <c r="AS1416" t="str">
        <f>IF(SUM(ifood_data[[#This Row],[Kidhome]:[Teenhome]])&gt;0,"Has Family","No Family")</f>
        <v>Has Family</v>
      </c>
      <c r="AT1416" t="str">
        <f>IF(ifood_data[[#This Row],[marital_Married]]=1,"Married", (IF(ifood_data[[#This Row],[marital_Single]]=1,"Single",(IF(ifood_data[[#This Row],[marital_Divorced]]=1,"Divorced",(IF(ifood_data[[#This Row],[marital_Together]]=1,"Living Together",(IF(ifood_data[[#This Row],[marital_Widow]]=1,"Widow","Other")))))))))</f>
        <v>Single</v>
      </c>
      <c r="AU1416" t="str">
        <f>IF(ifood_data[[#This Row],[education_Basic]]=1,"High School",(IF(ifood_data[[#This Row],[education_Graduation]]=1,"Undergraduate Degree",(IF(SUM(AM1416,AL1416,AI1416)&gt;0,"Master's Degree or Higher","Other")))))</f>
        <v>Master's Degree or Higher</v>
      </c>
      <c r="AV1416" t="str">
        <f>IF(ifood_data[[#All],[Income]]&gt;75000,"75K+",(IF(ifood_data[[#All],[Income]]&gt;50000,"50K-75K",(IF(ifood_data[[#All],[Income]]&gt;35000,"35K-50K","&lt;35K")))))</f>
        <v>35K-50K</v>
      </c>
      <c r="AW1416" t="str">
        <f>IF(ifood_data[[#All],[Age]]&gt;60,"60+",(IF(ifood_data[[#All],[Age]]&gt;50,"50-60",(IF(ifood_data[[#All],[Age]]&gt;40,"40-50",(IF(ifood_data[[#All],[Age]]&gt;30,"30-40","&lt;30")))))))</f>
        <v>40-50</v>
      </c>
      <c r="AX1416">
        <f t="shared" si="88"/>
        <v>19</v>
      </c>
      <c r="AY1416">
        <f t="shared" si="89"/>
        <v>10</v>
      </c>
      <c r="AZ1416">
        <f t="shared" si="90"/>
        <v>4</v>
      </c>
      <c r="BA1416">
        <f t="shared" si="91"/>
        <v>3</v>
      </c>
      <c r="BB1416">
        <f>SUM(ifood_data[[#This Row],[Recency Score]:[Monetary Score]])</f>
        <v>17</v>
      </c>
      <c r="BC1416">
        <f>(_xlfn.PERCENTRANK.INC(ifood_data[[#All],[RFM]],ifood_data[[#This Row],[RFM]],1))*10</f>
        <v>6</v>
      </c>
      <c r="BD1416" t="str">
        <f>VLOOKUP(ifood_data[[#This Row],[RFM Score]],'RFM Analysis'!$A$3:$B$14,2,FALSE)</f>
        <v>Promising</v>
      </c>
      <c r="BE1416">
        <f>'Regression Models'!$B$101+'Regression Models'!$B$102*ifood_data[[#This Row],[Income]]+'Regression Models'!$B$103*ifood_data[[#This Row],[Age]]+'Regression Models'!$B$104*ifood_data[[#This Row],[Family]]</f>
        <v>243.30418549255046</v>
      </c>
      <c r="BF1416" t="str">
        <f>IF(ifood_data[[#This Row],[AcceptedCmpOverall]]=1,"Campaign Respondent","Non-respondent")</f>
        <v>Non-respondent</v>
      </c>
    </row>
    <row r="1417" spans="1:58" x14ac:dyDescent="0.35">
      <c r="A1417">
        <v>873</v>
      </c>
      <c r="B1417">
        <v>39858</v>
      </c>
      <c r="C1417">
        <v>1</v>
      </c>
      <c r="D1417">
        <v>0</v>
      </c>
      <c r="E1417">
        <v>67</v>
      </c>
      <c r="F1417">
        <v>15</v>
      </c>
      <c r="G1417">
        <v>20</v>
      </c>
      <c r="H1417">
        <v>25</v>
      </c>
      <c r="I1417">
        <v>2</v>
      </c>
      <c r="J1417">
        <v>7</v>
      </c>
      <c r="K1417">
        <v>26</v>
      </c>
      <c r="L1417">
        <v>1</v>
      </c>
      <c r="M1417">
        <v>2</v>
      </c>
      <c r="N1417">
        <v>0</v>
      </c>
      <c r="O1417">
        <v>4</v>
      </c>
      <c r="P1417">
        <v>6</v>
      </c>
      <c r="Q1417">
        <v>0</v>
      </c>
      <c r="R1417">
        <v>0</v>
      </c>
      <c r="S1417">
        <v>0</v>
      </c>
      <c r="T1417">
        <v>0</v>
      </c>
      <c r="U1417">
        <v>0</v>
      </c>
      <c r="V1417">
        <f>IF(SUM(ifood_data[[#This Row],[AcceptedCmp1]:[AcceptedCmp5]])&gt;0,1,0)</f>
        <v>0</v>
      </c>
      <c r="W1417">
        <v>0</v>
      </c>
      <c r="X1417">
        <v>3</v>
      </c>
      <c r="Y1417">
        <v>11</v>
      </c>
      <c r="Z1417">
        <v>1</v>
      </c>
      <c r="AA1417">
        <v>51</v>
      </c>
      <c r="AB1417">
        <v>2680</v>
      </c>
      <c r="AC1417" s="28">
        <f>ifood_data[[#This Row],[Customer_Days]]/365</f>
        <v>7.3424657534246576</v>
      </c>
      <c r="AD1417">
        <v>0</v>
      </c>
      <c r="AE1417">
        <v>0</v>
      </c>
      <c r="AF1417">
        <v>1</v>
      </c>
      <c r="AG1417">
        <v>0</v>
      </c>
      <c r="AH1417">
        <v>0</v>
      </c>
      <c r="AI1417">
        <v>0</v>
      </c>
      <c r="AJ1417">
        <v>0</v>
      </c>
      <c r="AK1417">
        <v>0</v>
      </c>
      <c r="AL1417">
        <v>1</v>
      </c>
      <c r="AM1417">
        <v>0</v>
      </c>
      <c r="AN1417">
        <v>69</v>
      </c>
      <c r="AO1417">
        <v>43</v>
      </c>
      <c r="AP1417">
        <f>ifood_data[[#This Row],[MntTotal]]-ifood_data[[#This Row],[MntRegularProds]]</f>
        <v>26</v>
      </c>
      <c r="AQ1417">
        <v>0</v>
      </c>
      <c r="AR1417">
        <f>IF(SUM(ifood_data[[#This Row],[Kidhome]:[Teenhome]])&gt;0,1,0)</f>
        <v>1</v>
      </c>
      <c r="AS1417" t="str">
        <f>IF(SUM(ifood_data[[#This Row],[Kidhome]:[Teenhome]])&gt;0,"Has Family","No Family")</f>
        <v>Has Family</v>
      </c>
      <c r="AT1417" t="str">
        <f>IF(ifood_data[[#This Row],[marital_Married]]=1,"Married", (IF(ifood_data[[#This Row],[marital_Single]]=1,"Single",(IF(ifood_data[[#This Row],[marital_Divorced]]=1,"Divorced",(IF(ifood_data[[#This Row],[marital_Together]]=1,"Living Together",(IF(ifood_data[[#This Row],[marital_Widow]]=1,"Widow","Other")))))))))</f>
        <v>Single</v>
      </c>
      <c r="AU1417" t="str">
        <f>IF(ifood_data[[#This Row],[education_Basic]]=1,"High School",(IF(ifood_data[[#This Row],[education_Graduation]]=1,"Undergraduate Degree",(IF(SUM(AM1417,AL1417,AI1417)&gt;0,"Master's Degree or Higher","Other")))))</f>
        <v>Master's Degree or Higher</v>
      </c>
      <c r="AV1417" t="str">
        <f>IF(ifood_data[[#All],[Income]]&gt;75000,"75K+",(IF(ifood_data[[#All],[Income]]&gt;50000,"50K-75K",(IF(ifood_data[[#All],[Income]]&gt;35000,"35K-50K","&lt;35K")))))</f>
        <v>35K-50K</v>
      </c>
      <c r="AW1417" t="str">
        <f>IF(ifood_data[[#All],[Age]]&gt;60,"60+",(IF(ifood_data[[#All],[Age]]&gt;50,"50-60",(IF(ifood_data[[#All],[Age]]&gt;40,"40-50",(IF(ifood_data[[#All],[Age]]&gt;30,"30-40","&lt;30")))))))</f>
        <v>50-60</v>
      </c>
      <c r="AX1417">
        <f t="shared" si="88"/>
        <v>13</v>
      </c>
      <c r="AY1417">
        <f t="shared" si="89"/>
        <v>4</v>
      </c>
      <c r="AZ1417">
        <f t="shared" si="90"/>
        <v>1</v>
      </c>
      <c r="BA1417">
        <f t="shared" si="91"/>
        <v>2</v>
      </c>
      <c r="BB1417">
        <f>SUM(ifood_data[[#This Row],[Recency Score]:[Monetary Score]])</f>
        <v>7</v>
      </c>
      <c r="BC1417">
        <f>(_xlfn.PERCENTRANK.INC(ifood_data[[#All],[RFM]],ifood_data[[#This Row],[RFM]],1))*10</f>
        <v>1</v>
      </c>
      <c r="BD1417" t="str">
        <f>VLOOKUP(ifood_data[[#This Row],[RFM Score]],'RFM Analysis'!$A$3:$B$14,2,FALSE)</f>
        <v>At Risk</v>
      </c>
      <c r="BE1417">
        <f>'Regression Models'!$B$101+'Regression Models'!$B$102*ifood_data[[#This Row],[Income]]+'Regression Models'!$B$103*ifood_data[[#This Row],[Age]]+'Regression Models'!$B$104*ifood_data[[#This Row],[Family]]</f>
        <v>241.56824030843234</v>
      </c>
      <c r="BF1417" t="str">
        <f>IF(ifood_data[[#This Row],[AcceptedCmpOverall]]=1,"Campaign Respondent","Non-respondent")</f>
        <v>Non-respondent</v>
      </c>
    </row>
    <row r="1418" spans="1:58" x14ac:dyDescent="0.35">
      <c r="A1418">
        <v>1629</v>
      </c>
      <c r="B1418">
        <v>39435</v>
      </c>
      <c r="C1418">
        <v>1</v>
      </c>
      <c r="D1418">
        <v>0</v>
      </c>
      <c r="E1418">
        <v>16</v>
      </c>
      <c r="F1418">
        <v>71</v>
      </c>
      <c r="G1418">
        <v>0</v>
      </c>
      <c r="H1418">
        <v>18</v>
      </c>
      <c r="I1418">
        <v>0</v>
      </c>
      <c r="J1418">
        <v>0</v>
      </c>
      <c r="K1418">
        <v>13</v>
      </c>
      <c r="L1418">
        <v>1</v>
      </c>
      <c r="M1418">
        <v>3</v>
      </c>
      <c r="N1418">
        <v>1</v>
      </c>
      <c r="O1418">
        <v>2</v>
      </c>
      <c r="P1418">
        <v>7</v>
      </c>
      <c r="Q1418">
        <v>0</v>
      </c>
      <c r="R1418">
        <v>0</v>
      </c>
      <c r="S1418">
        <v>0</v>
      </c>
      <c r="T1418">
        <v>0</v>
      </c>
      <c r="U1418">
        <v>0</v>
      </c>
      <c r="V1418">
        <f>IF(SUM(ifood_data[[#This Row],[AcceptedCmp1]:[AcceptedCmp5]])&gt;0,1,0)</f>
        <v>0</v>
      </c>
      <c r="W1418">
        <v>0</v>
      </c>
      <c r="X1418">
        <v>3</v>
      </c>
      <c r="Y1418">
        <v>11</v>
      </c>
      <c r="Z1418">
        <v>0</v>
      </c>
      <c r="AA1418">
        <v>47</v>
      </c>
      <c r="AB1418">
        <v>2486</v>
      </c>
      <c r="AC1418" s="28">
        <f>ifood_data[[#This Row],[Customer_Days]]/365</f>
        <v>6.8109589041095893</v>
      </c>
      <c r="AD1418">
        <v>0</v>
      </c>
      <c r="AE1418">
        <v>0</v>
      </c>
      <c r="AF1418">
        <v>0</v>
      </c>
      <c r="AG1418">
        <v>1</v>
      </c>
      <c r="AH1418">
        <v>0</v>
      </c>
      <c r="AI1418">
        <v>0</v>
      </c>
      <c r="AJ1418">
        <v>0</v>
      </c>
      <c r="AK1418">
        <v>0</v>
      </c>
      <c r="AL1418">
        <v>0</v>
      </c>
      <c r="AM1418">
        <v>1</v>
      </c>
      <c r="AN1418">
        <v>89</v>
      </c>
      <c r="AO1418">
        <v>76</v>
      </c>
      <c r="AP1418">
        <f>ifood_data[[#This Row],[MntTotal]]-ifood_data[[#This Row],[MntRegularProds]]</f>
        <v>13</v>
      </c>
      <c r="AQ1418">
        <v>0</v>
      </c>
      <c r="AR1418">
        <f>IF(SUM(ifood_data[[#This Row],[Kidhome]:[Teenhome]])&gt;0,1,0)</f>
        <v>1</v>
      </c>
      <c r="AS1418" t="str">
        <f>IF(SUM(ifood_data[[#This Row],[Kidhome]:[Teenhome]])&gt;0,"Has Family","No Family")</f>
        <v>Has Family</v>
      </c>
      <c r="AT1418" t="str">
        <f>IF(ifood_data[[#This Row],[marital_Married]]=1,"Married", (IF(ifood_data[[#This Row],[marital_Single]]=1,"Single",(IF(ifood_data[[#This Row],[marital_Divorced]]=1,"Divorced",(IF(ifood_data[[#This Row],[marital_Together]]=1,"Living Together",(IF(ifood_data[[#This Row],[marital_Widow]]=1,"Widow","Other")))))))))</f>
        <v>Living Together</v>
      </c>
      <c r="AU1418" t="str">
        <f>IF(ifood_data[[#This Row],[education_Basic]]=1,"High School",(IF(ifood_data[[#This Row],[education_Graduation]]=1,"Undergraduate Degree",(IF(SUM(AM1418,AL1418,AI1418)&gt;0,"Master's Degree or Higher","Other")))))</f>
        <v>Master's Degree or Higher</v>
      </c>
      <c r="AV1418" t="str">
        <f>IF(ifood_data[[#All],[Income]]&gt;75000,"75K+",(IF(ifood_data[[#All],[Income]]&gt;50000,"50K-75K",(IF(ifood_data[[#All],[Income]]&gt;35000,"35K-50K","&lt;35K")))))</f>
        <v>35K-50K</v>
      </c>
      <c r="AW1418" t="str">
        <f>IF(ifood_data[[#All],[Age]]&gt;60,"60+",(IF(ifood_data[[#All],[Age]]&gt;50,"50-60",(IF(ifood_data[[#All],[Age]]&gt;40,"40-50",(IF(ifood_data[[#All],[Age]]&gt;30,"30-40","&lt;30")))))))</f>
        <v>40-50</v>
      </c>
      <c r="AX1418">
        <f t="shared" si="88"/>
        <v>14</v>
      </c>
      <c r="AY1418">
        <f t="shared" si="89"/>
        <v>9</v>
      </c>
      <c r="AZ1418">
        <f t="shared" si="90"/>
        <v>2</v>
      </c>
      <c r="BA1418">
        <f t="shared" si="91"/>
        <v>3</v>
      </c>
      <c r="BB1418">
        <f>SUM(ifood_data[[#This Row],[Recency Score]:[Monetary Score]])</f>
        <v>14</v>
      </c>
      <c r="BC1418">
        <f>(_xlfn.PERCENTRANK.INC(ifood_data[[#All],[RFM]],ifood_data[[#This Row],[RFM]],1))*10</f>
        <v>4</v>
      </c>
      <c r="BD1418" t="str">
        <f>VLOOKUP(ifood_data[[#This Row],[RFM Score]],'RFM Analysis'!$A$3:$B$14,2,FALSE)</f>
        <v>At Risk</v>
      </c>
      <c r="BE1418">
        <f>'Regression Models'!$B$101+'Regression Models'!$B$102*ifood_data[[#This Row],[Income]]+'Regression Models'!$B$103*ifood_data[[#This Row],[Age]]+'Regression Models'!$B$104*ifood_data[[#This Row],[Family]]</f>
        <v>240.28954769914014</v>
      </c>
      <c r="BF1418" t="str">
        <f>IF(ifood_data[[#This Row],[AcceptedCmpOverall]]=1,"Campaign Respondent","Non-respondent")</f>
        <v>Non-respondent</v>
      </c>
    </row>
    <row r="1419" spans="1:58" x14ac:dyDescent="0.35">
      <c r="A1419">
        <v>1160</v>
      </c>
      <c r="B1419">
        <v>38197</v>
      </c>
      <c r="C1419">
        <v>1</v>
      </c>
      <c r="D1419">
        <v>0</v>
      </c>
      <c r="E1419">
        <v>86</v>
      </c>
      <c r="F1419">
        <v>23</v>
      </c>
      <c r="G1419">
        <v>0</v>
      </c>
      <c r="H1419">
        <v>11</v>
      </c>
      <c r="I1419">
        <v>2</v>
      </c>
      <c r="J1419">
        <v>1</v>
      </c>
      <c r="K1419">
        <v>3</v>
      </c>
      <c r="L1419">
        <v>1</v>
      </c>
      <c r="M1419">
        <v>1</v>
      </c>
      <c r="N1419">
        <v>0</v>
      </c>
      <c r="O1419">
        <v>3</v>
      </c>
      <c r="P1419">
        <v>5</v>
      </c>
      <c r="Q1419">
        <v>0</v>
      </c>
      <c r="R1419">
        <v>0</v>
      </c>
      <c r="S1419">
        <v>0</v>
      </c>
      <c r="T1419">
        <v>0</v>
      </c>
      <c r="U1419">
        <v>0</v>
      </c>
      <c r="V1419">
        <f>IF(SUM(ifood_data[[#This Row],[AcceptedCmp1]:[AcceptedCmp5]])&gt;0,1,0)</f>
        <v>0</v>
      </c>
      <c r="W1419">
        <v>0</v>
      </c>
      <c r="X1419">
        <v>3</v>
      </c>
      <c r="Y1419">
        <v>11</v>
      </c>
      <c r="Z1419">
        <v>0</v>
      </c>
      <c r="AA1419">
        <v>34</v>
      </c>
      <c r="AB1419">
        <v>2524</v>
      </c>
      <c r="AC1419" s="28">
        <f>ifood_data[[#This Row],[Customer_Days]]/365</f>
        <v>6.9150684931506845</v>
      </c>
      <c r="AD1419">
        <v>0</v>
      </c>
      <c r="AE1419">
        <v>0</v>
      </c>
      <c r="AF1419">
        <v>0</v>
      </c>
      <c r="AG1419">
        <v>1</v>
      </c>
      <c r="AH1419">
        <v>0</v>
      </c>
      <c r="AI1419">
        <v>0</v>
      </c>
      <c r="AJ1419">
        <v>0</v>
      </c>
      <c r="AK1419">
        <v>0</v>
      </c>
      <c r="AL1419">
        <v>0</v>
      </c>
      <c r="AM1419">
        <v>1</v>
      </c>
      <c r="AN1419">
        <v>37</v>
      </c>
      <c r="AO1419">
        <v>34</v>
      </c>
      <c r="AP1419">
        <f>ifood_data[[#This Row],[MntTotal]]-ifood_data[[#This Row],[MntRegularProds]]</f>
        <v>3</v>
      </c>
      <c r="AQ1419">
        <v>0</v>
      </c>
      <c r="AR1419">
        <f>IF(SUM(ifood_data[[#This Row],[Kidhome]:[Teenhome]])&gt;0,1,0)</f>
        <v>1</v>
      </c>
      <c r="AS1419" t="str">
        <f>IF(SUM(ifood_data[[#This Row],[Kidhome]:[Teenhome]])&gt;0,"Has Family","No Family")</f>
        <v>Has Family</v>
      </c>
      <c r="AT1419" t="str">
        <f>IF(ifood_data[[#This Row],[marital_Married]]=1,"Married", (IF(ifood_data[[#This Row],[marital_Single]]=1,"Single",(IF(ifood_data[[#This Row],[marital_Divorced]]=1,"Divorced",(IF(ifood_data[[#This Row],[marital_Together]]=1,"Living Together",(IF(ifood_data[[#This Row],[marital_Widow]]=1,"Widow","Other")))))))))</f>
        <v>Living Together</v>
      </c>
      <c r="AU1419" t="str">
        <f>IF(ifood_data[[#This Row],[education_Basic]]=1,"High School",(IF(ifood_data[[#This Row],[education_Graduation]]=1,"Undergraduate Degree",(IF(SUM(AM1419,AL1419,AI1419)&gt;0,"Master's Degree or Higher","Other")))))</f>
        <v>Master's Degree or Higher</v>
      </c>
      <c r="AV1419" t="str">
        <f>IF(ifood_data[[#All],[Income]]&gt;75000,"75K+",(IF(ifood_data[[#All],[Income]]&gt;50000,"50K-75K",(IF(ifood_data[[#All],[Income]]&gt;35000,"35K-50K","&lt;35K")))))</f>
        <v>35K-50K</v>
      </c>
      <c r="AW1419" t="str">
        <f>IF(ifood_data[[#All],[Age]]&gt;60,"60+",(IF(ifood_data[[#All],[Age]]&gt;50,"50-60",(IF(ifood_data[[#All],[Age]]&gt;40,"40-50",(IF(ifood_data[[#All],[Age]]&gt;30,"30-40","&lt;30")))))))</f>
        <v>30-40</v>
      </c>
      <c r="AX1419">
        <f t="shared" si="88"/>
        <v>10</v>
      </c>
      <c r="AY1419">
        <f t="shared" si="89"/>
        <v>1.9999999999999996</v>
      </c>
      <c r="AZ1419">
        <f t="shared" si="90"/>
        <v>0</v>
      </c>
      <c r="BA1419">
        <f t="shared" si="91"/>
        <v>1</v>
      </c>
      <c r="BB1419">
        <f>SUM(ifood_data[[#This Row],[Recency Score]:[Monetary Score]])</f>
        <v>2.9999999999999996</v>
      </c>
      <c r="BC1419">
        <f>(_xlfn.PERCENTRANK.INC(ifood_data[[#All],[RFM]],ifood_data[[#This Row],[RFM]],1))*10</f>
        <v>0</v>
      </c>
      <c r="BD1419" t="str">
        <f>VLOOKUP(ifood_data[[#This Row],[RFM Score]],'RFM Analysis'!$A$3:$B$14,2,FALSE)</f>
        <v>Lost</v>
      </c>
      <c r="BE1419">
        <f>'Regression Models'!$B$101+'Regression Models'!$B$102*ifood_data[[#This Row],[Income]]+'Regression Models'!$B$103*ifood_data[[#This Row],[Age]]+'Regression Models'!$B$104*ifood_data[[#This Row],[Family]]</f>
        <v>238.92196076261894</v>
      </c>
      <c r="BF1419" t="str">
        <f>IF(ifood_data[[#This Row],[AcceptedCmpOverall]]=1,"Campaign Respondent","Non-respondent")</f>
        <v>Non-respondent</v>
      </c>
    </row>
    <row r="1420" spans="1:58" x14ac:dyDescent="0.35">
      <c r="A1420">
        <v>238</v>
      </c>
      <c r="B1420">
        <v>26490</v>
      </c>
      <c r="C1420">
        <v>0</v>
      </c>
      <c r="D1420">
        <v>0</v>
      </c>
      <c r="E1420">
        <v>92</v>
      </c>
      <c r="F1420">
        <v>45</v>
      </c>
      <c r="G1420">
        <v>47</v>
      </c>
      <c r="H1420">
        <v>52</v>
      </c>
      <c r="I1420">
        <v>21</v>
      </c>
      <c r="J1420">
        <v>20</v>
      </c>
      <c r="K1420">
        <v>25</v>
      </c>
      <c r="L1420">
        <v>2</v>
      </c>
      <c r="M1420">
        <v>3</v>
      </c>
      <c r="N1420">
        <v>1</v>
      </c>
      <c r="O1420">
        <v>5</v>
      </c>
      <c r="P1420">
        <v>6</v>
      </c>
      <c r="Q1420">
        <v>0</v>
      </c>
      <c r="R1420">
        <v>0</v>
      </c>
      <c r="S1420">
        <v>0</v>
      </c>
      <c r="T1420">
        <v>0</v>
      </c>
      <c r="U1420">
        <v>0</v>
      </c>
      <c r="V1420">
        <f>IF(SUM(ifood_data[[#This Row],[AcceptedCmp1]:[AcceptedCmp5]])&gt;0,1,0)</f>
        <v>0</v>
      </c>
      <c r="W1420">
        <v>0</v>
      </c>
      <c r="X1420">
        <v>3</v>
      </c>
      <c r="Y1420">
        <v>11</v>
      </c>
      <c r="Z1420">
        <v>0</v>
      </c>
      <c r="AA1420">
        <v>62</v>
      </c>
      <c r="AB1420">
        <v>2804</v>
      </c>
      <c r="AC1420" s="28">
        <f>ifood_data[[#This Row],[Customer_Days]]/365</f>
        <v>7.6821917808219178</v>
      </c>
      <c r="AD1420">
        <v>0</v>
      </c>
      <c r="AE1420">
        <v>0</v>
      </c>
      <c r="AF1420">
        <v>0</v>
      </c>
      <c r="AG1420">
        <v>1</v>
      </c>
      <c r="AH1420">
        <v>0</v>
      </c>
      <c r="AI1420">
        <v>1</v>
      </c>
      <c r="AJ1420">
        <v>0</v>
      </c>
      <c r="AK1420">
        <v>0</v>
      </c>
      <c r="AL1420">
        <v>0</v>
      </c>
      <c r="AM1420">
        <v>0</v>
      </c>
      <c r="AN1420">
        <v>185</v>
      </c>
      <c r="AO1420">
        <v>160</v>
      </c>
      <c r="AP1420">
        <f>ifood_data[[#This Row],[MntTotal]]-ifood_data[[#This Row],[MntRegularProds]]</f>
        <v>25</v>
      </c>
      <c r="AQ1420">
        <v>0</v>
      </c>
      <c r="AR1420">
        <f>IF(SUM(ifood_data[[#This Row],[Kidhome]:[Teenhome]])&gt;0,1,0)</f>
        <v>0</v>
      </c>
      <c r="AS1420" t="str">
        <f>IF(SUM(ifood_data[[#This Row],[Kidhome]:[Teenhome]])&gt;0,"Has Family","No Family")</f>
        <v>No Family</v>
      </c>
      <c r="AT1420" t="str">
        <f>IF(ifood_data[[#This Row],[marital_Married]]=1,"Married", (IF(ifood_data[[#This Row],[marital_Single]]=1,"Single",(IF(ifood_data[[#This Row],[marital_Divorced]]=1,"Divorced",(IF(ifood_data[[#This Row],[marital_Together]]=1,"Living Together",(IF(ifood_data[[#This Row],[marital_Widow]]=1,"Widow","Other")))))))))</f>
        <v>Living Together</v>
      </c>
      <c r="AU1420" t="str">
        <f>IF(ifood_data[[#This Row],[education_Basic]]=1,"High School",(IF(ifood_data[[#This Row],[education_Graduation]]=1,"Undergraduate Degree",(IF(SUM(AM1420,AL1420,AI1420)&gt;0,"Master's Degree or Higher","Other")))))</f>
        <v>Master's Degree or Higher</v>
      </c>
      <c r="AV1420" t="str">
        <f>IF(ifood_data[[#All],[Income]]&gt;75000,"75K+",(IF(ifood_data[[#All],[Income]]&gt;50000,"50K-75K",(IF(ifood_data[[#All],[Income]]&gt;35000,"35K-50K","&lt;35K")))))</f>
        <v>&lt;35K</v>
      </c>
      <c r="AW1420" t="str">
        <f>IF(ifood_data[[#All],[Age]]&gt;60,"60+",(IF(ifood_data[[#All],[Age]]&gt;50,"50-60",(IF(ifood_data[[#All],[Age]]&gt;40,"40-50",(IF(ifood_data[[#All],[Age]]&gt;30,"30-40","&lt;30")))))))</f>
        <v>60+</v>
      </c>
      <c r="AX1420">
        <f t="shared" si="88"/>
        <v>17</v>
      </c>
      <c r="AY1420">
        <f t="shared" si="89"/>
        <v>0.99999999999999978</v>
      </c>
      <c r="AZ1420">
        <f t="shared" si="90"/>
        <v>3</v>
      </c>
      <c r="BA1420">
        <f t="shared" si="91"/>
        <v>4</v>
      </c>
      <c r="BB1420">
        <f>SUM(ifood_data[[#This Row],[Recency Score]:[Monetary Score]])</f>
        <v>8</v>
      </c>
      <c r="BC1420">
        <f>(_xlfn.PERCENTRANK.INC(ifood_data[[#All],[RFM]],ifood_data[[#This Row],[RFM]],1))*10</f>
        <v>1</v>
      </c>
      <c r="BD1420" t="str">
        <f>VLOOKUP(ifood_data[[#This Row],[RFM Score]],'RFM Analysis'!$A$3:$B$14,2,FALSE)</f>
        <v>At Risk</v>
      </c>
      <c r="BE1420">
        <f>'Regression Models'!$B$101+'Regression Models'!$B$102*ifood_data[[#This Row],[Income]]+'Regression Models'!$B$103*ifood_data[[#This Row],[Age]]+'Regression Models'!$B$104*ifood_data[[#This Row],[Family]]</f>
        <v>238.42398896597035</v>
      </c>
      <c r="BF1420" t="str">
        <f>IF(ifood_data[[#This Row],[AcceptedCmpOverall]]=1,"Campaign Respondent","Non-respondent")</f>
        <v>Non-respondent</v>
      </c>
    </row>
    <row r="1421" spans="1:58" x14ac:dyDescent="0.35">
      <c r="A1421">
        <v>1985</v>
      </c>
      <c r="B1421">
        <v>27469</v>
      </c>
      <c r="C1421">
        <v>0</v>
      </c>
      <c r="D1421">
        <v>0</v>
      </c>
      <c r="E1421">
        <v>2</v>
      </c>
      <c r="F1421">
        <v>9</v>
      </c>
      <c r="G1421">
        <v>1</v>
      </c>
      <c r="H1421">
        <v>2</v>
      </c>
      <c r="I1421">
        <v>3</v>
      </c>
      <c r="J1421">
        <v>2</v>
      </c>
      <c r="K1421">
        <v>0</v>
      </c>
      <c r="L1421">
        <v>1</v>
      </c>
      <c r="M1421">
        <v>0</v>
      </c>
      <c r="N1421">
        <v>0</v>
      </c>
      <c r="O1421">
        <v>3</v>
      </c>
      <c r="P1421">
        <v>6</v>
      </c>
      <c r="Q1421">
        <v>0</v>
      </c>
      <c r="R1421">
        <v>0</v>
      </c>
      <c r="S1421">
        <v>0</v>
      </c>
      <c r="T1421">
        <v>0</v>
      </c>
      <c r="U1421">
        <v>0</v>
      </c>
      <c r="V1421">
        <f>IF(SUM(ifood_data[[#This Row],[AcceptedCmp1]:[AcceptedCmp5]])&gt;0,1,0)</f>
        <v>0</v>
      </c>
      <c r="W1421">
        <v>0</v>
      </c>
      <c r="X1421">
        <v>3</v>
      </c>
      <c r="Y1421">
        <v>11</v>
      </c>
      <c r="Z1421">
        <v>0</v>
      </c>
      <c r="AA1421">
        <v>73</v>
      </c>
      <c r="AB1421">
        <v>2855</v>
      </c>
      <c r="AC1421" s="28">
        <f>ifood_data[[#This Row],[Customer_Days]]/365</f>
        <v>7.8219178082191778</v>
      </c>
      <c r="AD1421">
        <v>0</v>
      </c>
      <c r="AE1421">
        <v>1</v>
      </c>
      <c r="AF1421">
        <v>0</v>
      </c>
      <c r="AG1421">
        <v>0</v>
      </c>
      <c r="AH1421">
        <v>0</v>
      </c>
      <c r="AI1421">
        <v>0</v>
      </c>
      <c r="AJ1421">
        <v>0</v>
      </c>
      <c r="AK1421">
        <v>1</v>
      </c>
      <c r="AL1421">
        <v>0</v>
      </c>
      <c r="AM1421">
        <v>0</v>
      </c>
      <c r="AN1421">
        <v>17</v>
      </c>
      <c r="AO1421">
        <v>17</v>
      </c>
      <c r="AP1421">
        <f>ifood_data[[#This Row],[MntTotal]]-ifood_data[[#This Row],[MntRegularProds]]</f>
        <v>0</v>
      </c>
      <c r="AQ1421">
        <v>0</v>
      </c>
      <c r="AR1421">
        <f>IF(SUM(ifood_data[[#This Row],[Kidhome]:[Teenhome]])&gt;0,1,0)</f>
        <v>0</v>
      </c>
      <c r="AS1421" t="str">
        <f>IF(SUM(ifood_data[[#This Row],[Kidhome]:[Teenhome]])&gt;0,"Has Family","No Family")</f>
        <v>No Family</v>
      </c>
      <c r="AT1421" t="str">
        <f>IF(ifood_data[[#This Row],[marital_Married]]=1,"Married", (IF(ifood_data[[#This Row],[marital_Single]]=1,"Single",(IF(ifood_data[[#This Row],[marital_Divorced]]=1,"Divorced",(IF(ifood_data[[#This Row],[marital_Together]]=1,"Living Together",(IF(ifood_data[[#This Row],[marital_Widow]]=1,"Widow","Other")))))))))</f>
        <v>Married</v>
      </c>
      <c r="AU1421" t="str">
        <f>IF(ifood_data[[#This Row],[education_Basic]]=1,"High School",(IF(ifood_data[[#This Row],[education_Graduation]]=1,"Undergraduate Degree",(IF(SUM(AM1421,AL1421,AI1421)&gt;0,"Master's Degree or Higher","Other")))))</f>
        <v>Undergraduate Degree</v>
      </c>
      <c r="AV1421" t="str">
        <f>IF(ifood_data[[#All],[Income]]&gt;75000,"75K+",(IF(ifood_data[[#All],[Income]]&gt;50000,"50K-75K",(IF(ifood_data[[#All],[Income]]&gt;35000,"35K-50K","&lt;35K")))))</f>
        <v>&lt;35K</v>
      </c>
      <c r="AW1421" t="str">
        <f>IF(ifood_data[[#All],[Age]]&gt;60,"60+",(IF(ifood_data[[#All],[Age]]&gt;50,"50-60",(IF(ifood_data[[#All],[Age]]&gt;40,"40-50",(IF(ifood_data[[#All],[Age]]&gt;30,"30-40","&lt;30")))))))</f>
        <v>60+</v>
      </c>
      <c r="AX1421">
        <f t="shared" si="88"/>
        <v>10</v>
      </c>
      <c r="AY1421">
        <f t="shared" si="89"/>
        <v>10</v>
      </c>
      <c r="AZ1421">
        <f t="shared" si="90"/>
        <v>0</v>
      </c>
      <c r="BA1421">
        <f t="shared" si="91"/>
        <v>0</v>
      </c>
      <c r="BB1421">
        <f>SUM(ifood_data[[#This Row],[Recency Score]:[Monetary Score]])</f>
        <v>10</v>
      </c>
      <c r="BC1421">
        <f>(_xlfn.PERCENTRANK.INC(ifood_data[[#All],[RFM]],ifood_data[[#This Row],[RFM]],1))*10</f>
        <v>2</v>
      </c>
      <c r="BD1421" t="str">
        <f>VLOOKUP(ifood_data[[#This Row],[RFM Score]],'RFM Analysis'!$A$3:$B$14,2,FALSE)</f>
        <v>At Risk</v>
      </c>
      <c r="BE1421">
        <f>'Regression Models'!$B$101+'Regression Models'!$B$102*ifood_data[[#This Row],[Income]]+'Regression Models'!$B$103*ifood_data[[#This Row],[Age]]+'Regression Models'!$B$104*ifood_data[[#This Row],[Family]]</f>
        <v>238.18376311101028</v>
      </c>
      <c r="BF1421" t="str">
        <f>IF(ifood_data[[#This Row],[AcceptedCmpOverall]]=1,"Campaign Respondent","Non-respondent")</f>
        <v>Non-respondent</v>
      </c>
    </row>
    <row r="1422" spans="1:58" x14ac:dyDescent="0.35">
      <c r="A1422">
        <v>1587</v>
      </c>
      <c r="B1422">
        <v>38513</v>
      </c>
      <c r="C1422">
        <v>1</v>
      </c>
      <c r="D1422">
        <v>0</v>
      </c>
      <c r="E1422">
        <v>20</v>
      </c>
      <c r="F1422">
        <v>172</v>
      </c>
      <c r="G1422">
        <v>3</v>
      </c>
      <c r="H1422">
        <v>115</v>
      </c>
      <c r="I1422">
        <v>16</v>
      </c>
      <c r="J1422">
        <v>0</v>
      </c>
      <c r="K1422">
        <v>18</v>
      </c>
      <c r="L1422">
        <v>5</v>
      </c>
      <c r="M1422">
        <v>6</v>
      </c>
      <c r="N1422">
        <v>1</v>
      </c>
      <c r="O1422">
        <v>5</v>
      </c>
      <c r="P1422">
        <v>8</v>
      </c>
      <c r="Q1422">
        <v>0</v>
      </c>
      <c r="R1422">
        <v>0</v>
      </c>
      <c r="S1422">
        <v>0</v>
      </c>
      <c r="T1422">
        <v>0</v>
      </c>
      <c r="U1422">
        <v>0</v>
      </c>
      <c r="V1422">
        <f>IF(SUM(ifood_data[[#This Row],[AcceptedCmp1]:[AcceptedCmp5]])&gt;0,1,0)</f>
        <v>0</v>
      </c>
      <c r="W1422">
        <v>0</v>
      </c>
      <c r="X1422">
        <v>3</v>
      </c>
      <c r="Y1422">
        <v>11</v>
      </c>
      <c r="Z1422">
        <v>1</v>
      </c>
      <c r="AA1422">
        <v>38</v>
      </c>
      <c r="AB1422">
        <v>2311</v>
      </c>
      <c r="AC1422" s="28">
        <f>ifood_data[[#This Row],[Customer_Days]]/365</f>
        <v>6.3315068493150681</v>
      </c>
      <c r="AD1422">
        <v>0</v>
      </c>
      <c r="AE1422">
        <v>0</v>
      </c>
      <c r="AF1422">
        <v>1</v>
      </c>
      <c r="AG1422">
        <v>0</v>
      </c>
      <c r="AH1422">
        <v>0</v>
      </c>
      <c r="AI1422">
        <v>0</v>
      </c>
      <c r="AJ1422">
        <v>0</v>
      </c>
      <c r="AK1422">
        <v>0</v>
      </c>
      <c r="AL1422">
        <v>0</v>
      </c>
      <c r="AM1422">
        <v>1</v>
      </c>
      <c r="AN1422">
        <v>306</v>
      </c>
      <c r="AO1422">
        <v>288</v>
      </c>
      <c r="AP1422">
        <f>ifood_data[[#This Row],[MntTotal]]-ifood_data[[#This Row],[MntRegularProds]]</f>
        <v>18</v>
      </c>
      <c r="AQ1422">
        <v>0</v>
      </c>
      <c r="AR1422">
        <f>IF(SUM(ifood_data[[#This Row],[Kidhome]:[Teenhome]])&gt;0,1,0)</f>
        <v>1</v>
      </c>
      <c r="AS1422" t="str">
        <f>IF(SUM(ifood_data[[#This Row],[Kidhome]:[Teenhome]])&gt;0,"Has Family","No Family")</f>
        <v>Has Family</v>
      </c>
      <c r="AT1422" t="str">
        <f>IF(ifood_data[[#This Row],[marital_Married]]=1,"Married", (IF(ifood_data[[#This Row],[marital_Single]]=1,"Single",(IF(ifood_data[[#This Row],[marital_Divorced]]=1,"Divorced",(IF(ifood_data[[#This Row],[marital_Together]]=1,"Living Together",(IF(ifood_data[[#This Row],[marital_Widow]]=1,"Widow","Other")))))))))</f>
        <v>Single</v>
      </c>
      <c r="AU1422" t="str">
        <f>IF(ifood_data[[#This Row],[education_Basic]]=1,"High School",(IF(ifood_data[[#This Row],[education_Graduation]]=1,"Undergraduate Degree",(IF(SUM(AM1422,AL1422,AI1422)&gt;0,"Master's Degree or Higher","Other")))))</f>
        <v>Master's Degree or Higher</v>
      </c>
      <c r="AV1422" t="str">
        <f>IF(ifood_data[[#All],[Income]]&gt;75000,"75K+",(IF(ifood_data[[#All],[Income]]&gt;50000,"50K-75K",(IF(ifood_data[[#All],[Income]]&gt;35000,"35K-50K","&lt;35K")))))</f>
        <v>35K-50K</v>
      </c>
      <c r="AW1422" t="str">
        <f>IF(ifood_data[[#All],[Age]]&gt;60,"60+",(IF(ifood_data[[#All],[Age]]&gt;50,"50-60",(IF(ifood_data[[#All],[Age]]&gt;40,"40-50",(IF(ifood_data[[#All],[Age]]&gt;30,"30-40","&lt;30")))))))</f>
        <v>30-40</v>
      </c>
      <c r="AX1422">
        <f t="shared" si="88"/>
        <v>25</v>
      </c>
      <c r="AY1422">
        <f t="shared" si="89"/>
        <v>8</v>
      </c>
      <c r="AZ1422">
        <f t="shared" si="90"/>
        <v>7</v>
      </c>
      <c r="BA1422">
        <f t="shared" si="91"/>
        <v>4</v>
      </c>
      <c r="BB1422">
        <f>SUM(ifood_data[[#This Row],[Recency Score]:[Monetary Score]])</f>
        <v>19</v>
      </c>
      <c r="BC1422">
        <f>(_xlfn.PERCENTRANK.INC(ifood_data[[#All],[RFM]],ifood_data[[#This Row],[RFM]],1))*10</f>
        <v>7</v>
      </c>
      <c r="BD1422" t="str">
        <f>VLOOKUP(ifood_data[[#This Row],[RFM Score]],'RFM Analysis'!$A$3:$B$14,2,FALSE)</f>
        <v>Loyal Customer</v>
      </c>
      <c r="BE1422">
        <f>'Regression Models'!$B$101+'Regression Models'!$B$102*ifood_data[[#This Row],[Income]]+'Regression Models'!$B$103*ifood_data[[#This Row],[Age]]+'Regression Models'!$B$104*ifood_data[[#This Row],[Family]]</f>
        <v>238.01905518051387</v>
      </c>
      <c r="BF1422" t="str">
        <f>IF(ifood_data[[#This Row],[AcceptedCmpOverall]]=1,"Campaign Respondent","Non-respondent")</f>
        <v>Non-respondent</v>
      </c>
    </row>
    <row r="1423" spans="1:58" x14ac:dyDescent="0.35">
      <c r="A1423">
        <v>244</v>
      </c>
      <c r="B1423">
        <v>40737</v>
      </c>
      <c r="C1423">
        <v>2</v>
      </c>
      <c r="D1423">
        <v>1</v>
      </c>
      <c r="E1423">
        <v>24</v>
      </c>
      <c r="F1423">
        <v>11</v>
      </c>
      <c r="G1423">
        <v>0</v>
      </c>
      <c r="H1423">
        <v>4</v>
      </c>
      <c r="I1423">
        <v>0</v>
      </c>
      <c r="J1423">
        <v>0</v>
      </c>
      <c r="K1423">
        <v>2</v>
      </c>
      <c r="L1423">
        <v>1</v>
      </c>
      <c r="M1423">
        <v>1</v>
      </c>
      <c r="N1423">
        <v>0</v>
      </c>
      <c r="O1423">
        <v>2</v>
      </c>
      <c r="P1423">
        <v>8</v>
      </c>
      <c r="Q1423">
        <v>0</v>
      </c>
      <c r="R1423">
        <v>0</v>
      </c>
      <c r="S1423">
        <v>0</v>
      </c>
      <c r="T1423">
        <v>0</v>
      </c>
      <c r="U1423">
        <v>0</v>
      </c>
      <c r="V1423">
        <f>IF(SUM(ifood_data[[#This Row],[AcceptedCmp1]:[AcceptedCmp5]])&gt;0,1,0)</f>
        <v>0</v>
      </c>
      <c r="W1423">
        <v>0</v>
      </c>
      <c r="X1423">
        <v>3</v>
      </c>
      <c r="Y1423">
        <v>11</v>
      </c>
      <c r="Z1423">
        <v>0</v>
      </c>
      <c r="AA1423">
        <v>63</v>
      </c>
      <c r="AB1423">
        <v>2362</v>
      </c>
      <c r="AC1423" s="28">
        <f>ifood_data[[#This Row],[Customer_Days]]/365</f>
        <v>6.4712328767123291</v>
      </c>
      <c r="AD1423">
        <v>0</v>
      </c>
      <c r="AE1423">
        <v>0</v>
      </c>
      <c r="AF1423">
        <v>1</v>
      </c>
      <c r="AG1423">
        <v>0</v>
      </c>
      <c r="AH1423">
        <v>0</v>
      </c>
      <c r="AI1423">
        <v>0</v>
      </c>
      <c r="AJ1423">
        <v>0</v>
      </c>
      <c r="AK1423">
        <v>0</v>
      </c>
      <c r="AL1423">
        <v>0</v>
      </c>
      <c r="AM1423">
        <v>1</v>
      </c>
      <c r="AN1423">
        <v>15</v>
      </c>
      <c r="AO1423">
        <v>13</v>
      </c>
      <c r="AP1423">
        <f>ifood_data[[#This Row],[MntTotal]]-ifood_data[[#This Row],[MntRegularProds]]</f>
        <v>2</v>
      </c>
      <c r="AQ1423">
        <v>0</v>
      </c>
      <c r="AR1423">
        <f>IF(SUM(ifood_data[[#This Row],[Kidhome]:[Teenhome]])&gt;0,1,0)</f>
        <v>1</v>
      </c>
      <c r="AS1423" t="str">
        <f>IF(SUM(ifood_data[[#This Row],[Kidhome]:[Teenhome]])&gt;0,"Has Family","No Family")</f>
        <v>Has Family</v>
      </c>
      <c r="AT1423" t="str">
        <f>IF(ifood_data[[#This Row],[marital_Married]]=1,"Married", (IF(ifood_data[[#This Row],[marital_Single]]=1,"Single",(IF(ifood_data[[#This Row],[marital_Divorced]]=1,"Divorced",(IF(ifood_data[[#This Row],[marital_Together]]=1,"Living Together",(IF(ifood_data[[#This Row],[marital_Widow]]=1,"Widow","Other")))))))))</f>
        <v>Single</v>
      </c>
      <c r="AU1423" t="str">
        <f>IF(ifood_data[[#This Row],[education_Basic]]=1,"High School",(IF(ifood_data[[#This Row],[education_Graduation]]=1,"Undergraduate Degree",(IF(SUM(AM1423,AL1423,AI1423)&gt;0,"Master's Degree or Higher","Other")))))</f>
        <v>Master's Degree or Higher</v>
      </c>
      <c r="AV1423" t="str">
        <f>IF(ifood_data[[#All],[Income]]&gt;75000,"75K+",(IF(ifood_data[[#All],[Income]]&gt;50000,"50K-75K",(IF(ifood_data[[#All],[Income]]&gt;35000,"35K-50K","&lt;35K")))))</f>
        <v>35K-50K</v>
      </c>
      <c r="AW1423" t="str">
        <f>IF(ifood_data[[#All],[Age]]&gt;60,"60+",(IF(ifood_data[[#All],[Age]]&gt;50,"50-60",(IF(ifood_data[[#All],[Age]]&gt;40,"40-50",(IF(ifood_data[[#All],[Age]]&gt;30,"30-40","&lt;30")))))))</f>
        <v>60+</v>
      </c>
      <c r="AX1423">
        <f t="shared" si="88"/>
        <v>12</v>
      </c>
      <c r="AY1423">
        <f t="shared" si="89"/>
        <v>8</v>
      </c>
      <c r="AZ1423">
        <f t="shared" si="90"/>
        <v>1</v>
      </c>
      <c r="BA1423">
        <f t="shared" si="91"/>
        <v>0</v>
      </c>
      <c r="BB1423">
        <f>SUM(ifood_data[[#This Row],[Recency Score]:[Monetary Score]])</f>
        <v>9</v>
      </c>
      <c r="BC1423">
        <f>(_xlfn.PERCENTRANK.INC(ifood_data[[#All],[RFM]],ifood_data[[#This Row],[RFM]],1))*10</f>
        <v>1</v>
      </c>
      <c r="BD1423" t="str">
        <f>VLOOKUP(ifood_data[[#This Row],[RFM Score]],'RFM Analysis'!$A$3:$B$14,2,FALSE)</f>
        <v>At Risk</v>
      </c>
      <c r="BE1423">
        <f>'Regression Models'!$B$101+'Regression Models'!$B$102*ifood_data[[#This Row],[Income]]+'Regression Models'!$B$103*ifood_data[[#This Row],[Age]]+'Regression Models'!$B$104*ifood_data[[#This Row],[Family]]</f>
        <v>237.45269856018808</v>
      </c>
      <c r="BF1423" t="str">
        <f>IF(ifood_data[[#This Row],[AcceptedCmpOverall]]=1,"Campaign Respondent","Non-respondent")</f>
        <v>Non-respondent</v>
      </c>
    </row>
    <row r="1424" spans="1:58" x14ac:dyDescent="0.35">
      <c r="A1424">
        <v>1714</v>
      </c>
      <c r="B1424">
        <v>23830</v>
      </c>
      <c r="C1424">
        <v>0</v>
      </c>
      <c r="D1424">
        <v>0</v>
      </c>
      <c r="E1424">
        <v>3</v>
      </c>
      <c r="F1424">
        <v>1</v>
      </c>
      <c r="G1424">
        <v>8</v>
      </c>
      <c r="H1424">
        <v>6</v>
      </c>
      <c r="I1424">
        <v>4</v>
      </c>
      <c r="J1424">
        <v>8</v>
      </c>
      <c r="K1424">
        <v>16</v>
      </c>
      <c r="L1424">
        <v>1</v>
      </c>
      <c r="M1424">
        <v>1</v>
      </c>
      <c r="N1424">
        <v>0</v>
      </c>
      <c r="O1424">
        <v>3</v>
      </c>
      <c r="P1424">
        <v>7</v>
      </c>
      <c r="Q1424">
        <v>0</v>
      </c>
      <c r="R1424">
        <v>0</v>
      </c>
      <c r="S1424">
        <v>0</v>
      </c>
      <c r="T1424">
        <v>0</v>
      </c>
      <c r="U1424">
        <v>0</v>
      </c>
      <c r="V1424">
        <f>IF(SUM(ifood_data[[#This Row],[AcceptedCmp1]:[AcceptedCmp5]])&gt;0,1,0)</f>
        <v>0</v>
      </c>
      <c r="W1424">
        <v>0</v>
      </c>
      <c r="X1424">
        <v>3</v>
      </c>
      <c r="Y1424">
        <v>11</v>
      </c>
      <c r="Z1424">
        <v>0</v>
      </c>
      <c r="AA1424">
        <v>33</v>
      </c>
      <c r="AB1424">
        <v>2301</v>
      </c>
      <c r="AC1424" s="28">
        <f>ifood_data[[#This Row],[Customer_Days]]/365</f>
        <v>6.3041095890410963</v>
      </c>
      <c r="AD1424">
        <v>0</v>
      </c>
      <c r="AE1424">
        <v>0</v>
      </c>
      <c r="AF1424">
        <v>1</v>
      </c>
      <c r="AG1424">
        <v>0</v>
      </c>
      <c r="AH1424">
        <v>0</v>
      </c>
      <c r="AI1424">
        <v>1</v>
      </c>
      <c r="AJ1424">
        <v>0</v>
      </c>
      <c r="AK1424">
        <v>0</v>
      </c>
      <c r="AL1424">
        <v>0</v>
      </c>
      <c r="AM1424">
        <v>0</v>
      </c>
      <c r="AN1424">
        <v>27</v>
      </c>
      <c r="AO1424">
        <v>11</v>
      </c>
      <c r="AP1424">
        <f>ifood_data[[#This Row],[MntTotal]]-ifood_data[[#This Row],[MntRegularProds]]</f>
        <v>16</v>
      </c>
      <c r="AQ1424">
        <v>0</v>
      </c>
      <c r="AR1424">
        <f>IF(SUM(ifood_data[[#This Row],[Kidhome]:[Teenhome]])&gt;0,1,0)</f>
        <v>0</v>
      </c>
      <c r="AS1424" t="str">
        <f>IF(SUM(ifood_data[[#This Row],[Kidhome]:[Teenhome]])&gt;0,"Has Family","No Family")</f>
        <v>No Family</v>
      </c>
      <c r="AT1424" t="str">
        <f>IF(ifood_data[[#This Row],[marital_Married]]=1,"Married", (IF(ifood_data[[#This Row],[marital_Single]]=1,"Single",(IF(ifood_data[[#This Row],[marital_Divorced]]=1,"Divorced",(IF(ifood_data[[#This Row],[marital_Together]]=1,"Living Together",(IF(ifood_data[[#This Row],[marital_Widow]]=1,"Widow","Other")))))))))</f>
        <v>Single</v>
      </c>
      <c r="AU1424" t="str">
        <f>IF(ifood_data[[#This Row],[education_Basic]]=1,"High School",(IF(ifood_data[[#This Row],[education_Graduation]]=1,"Undergraduate Degree",(IF(SUM(AM1424,AL1424,AI1424)&gt;0,"Master's Degree or Higher","Other")))))</f>
        <v>Master's Degree or Higher</v>
      </c>
      <c r="AV1424" t="str">
        <f>IF(ifood_data[[#All],[Income]]&gt;75000,"75K+",(IF(ifood_data[[#All],[Income]]&gt;50000,"50K-75K",(IF(ifood_data[[#All],[Income]]&gt;35000,"35K-50K","&lt;35K")))))</f>
        <v>&lt;35K</v>
      </c>
      <c r="AW1424" t="str">
        <f>IF(ifood_data[[#All],[Age]]&gt;60,"60+",(IF(ifood_data[[#All],[Age]]&gt;50,"50-60",(IF(ifood_data[[#All],[Age]]&gt;40,"40-50",(IF(ifood_data[[#All],[Age]]&gt;30,"30-40","&lt;30")))))))</f>
        <v>30-40</v>
      </c>
      <c r="AX1424">
        <f t="shared" si="88"/>
        <v>12</v>
      </c>
      <c r="AY1424">
        <f t="shared" si="89"/>
        <v>10</v>
      </c>
      <c r="AZ1424">
        <f t="shared" si="90"/>
        <v>1</v>
      </c>
      <c r="BA1424">
        <f t="shared" si="91"/>
        <v>0</v>
      </c>
      <c r="BB1424">
        <f>SUM(ifood_data[[#This Row],[Recency Score]:[Monetary Score]])</f>
        <v>11</v>
      </c>
      <c r="BC1424">
        <f>(_xlfn.PERCENTRANK.INC(ifood_data[[#All],[RFM]],ifood_data[[#This Row],[RFM]],1))*10</f>
        <v>2</v>
      </c>
      <c r="BD1424" t="str">
        <f>VLOOKUP(ifood_data[[#This Row],[RFM Score]],'RFM Analysis'!$A$3:$B$14,2,FALSE)</f>
        <v>At Risk</v>
      </c>
      <c r="BE1424">
        <f>'Regression Models'!$B$101+'Regression Models'!$B$102*ifood_data[[#This Row],[Income]]+'Regression Models'!$B$103*ifood_data[[#This Row],[Age]]+'Regression Models'!$B$104*ifood_data[[#This Row],[Family]]</f>
        <v>237.44659899113327</v>
      </c>
      <c r="BF1424" t="str">
        <f>IF(ifood_data[[#This Row],[AcceptedCmpOverall]]=1,"Campaign Respondent","Non-respondent")</f>
        <v>Non-respondent</v>
      </c>
    </row>
    <row r="1425" spans="1:58" x14ac:dyDescent="0.35">
      <c r="A1425">
        <v>1032</v>
      </c>
      <c r="B1425">
        <v>39190</v>
      </c>
      <c r="C1425">
        <v>1</v>
      </c>
      <c r="D1425">
        <v>0</v>
      </c>
      <c r="E1425">
        <v>91</v>
      </c>
      <c r="F1425">
        <v>68</v>
      </c>
      <c r="G1425">
        <v>8</v>
      </c>
      <c r="H1425">
        <v>18</v>
      </c>
      <c r="I1425">
        <v>19</v>
      </c>
      <c r="J1425">
        <v>8</v>
      </c>
      <c r="K1425">
        <v>12</v>
      </c>
      <c r="L1425">
        <v>2</v>
      </c>
      <c r="M1425">
        <v>2</v>
      </c>
      <c r="N1425">
        <v>1</v>
      </c>
      <c r="O1425">
        <v>4</v>
      </c>
      <c r="P1425">
        <v>5</v>
      </c>
      <c r="Q1425">
        <v>0</v>
      </c>
      <c r="R1425">
        <v>0</v>
      </c>
      <c r="S1425">
        <v>0</v>
      </c>
      <c r="T1425">
        <v>0</v>
      </c>
      <c r="U1425">
        <v>0</v>
      </c>
      <c r="V1425">
        <f>IF(SUM(ifood_data[[#This Row],[AcceptedCmp1]:[AcceptedCmp5]])&gt;0,1,0)</f>
        <v>0</v>
      </c>
      <c r="W1425">
        <v>0</v>
      </c>
      <c r="X1425">
        <v>3</v>
      </c>
      <c r="Y1425">
        <v>11</v>
      </c>
      <c r="Z1425">
        <v>0</v>
      </c>
      <c r="AA1425">
        <v>46</v>
      </c>
      <c r="AB1425">
        <v>2223</v>
      </c>
      <c r="AC1425" s="28">
        <f>ifood_data[[#This Row],[Customer_Days]]/365</f>
        <v>6.0904109589041093</v>
      </c>
      <c r="AD1425">
        <v>0</v>
      </c>
      <c r="AE1425">
        <v>0</v>
      </c>
      <c r="AF1425">
        <v>1</v>
      </c>
      <c r="AG1425">
        <v>0</v>
      </c>
      <c r="AH1425">
        <v>0</v>
      </c>
      <c r="AI1425">
        <v>0</v>
      </c>
      <c r="AJ1425">
        <v>0</v>
      </c>
      <c r="AK1425">
        <v>0</v>
      </c>
      <c r="AL1425">
        <v>0</v>
      </c>
      <c r="AM1425">
        <v>1</v>
      </c>
      <c r="AN1425">
        <v>121</v>
      </c>
      <c r="AO1425">
        <v>109</v>
      </c>
      <c r="AP1425">
        <f>ifood_data[[#This Row],[MntTotal]]-ifood_data[[#This Row],[MntRegularProds]]</f>
        <v>12</v>
      </c>
      <c r="AQ1425">
        <v>0</v>
      </c>
      <c r="AR1425">
        <f>IF(SUM(ifood_data[[#This Row],[Kidhome]:[Teenhome]])&gt;0,1,0)</f>
        <v>1</v>
      </c>
      <c r="AS1425" t="str">
        <f>IF(SUM(ifood_data[[#This Row],[Kidhome]:[Teenhome]])&gt;0,"Has Family","No Family")</f>
        <v>Has Family</v>
      </c>
      <c r="AT1425" t="str">
        <f>IF(ifood_data[[#This Row],[marital_Married]]=1,"Married", (IF(ifood_data[[#This Row],[marital_Single]]=1,"Single",(IF(ifood_data[[#This Row],[marital_Divorced]]=1,"Divorced",(IF(ifood_data[[#This Row],[marital_Together]]=1,"Living Together",(IF(ifood_data[[#This Row],[marital_Widow]]=1,"Widow","Other")))))))))</f>
        <v>Single</v>
      </c>
      <c r="AU1425" t="str">
        <f>IF(ifood_data[[#This Row],[education_Basic]]=1,"High School",(IF(ifood_data[[#This Row],[education_Graduation]]=1,"Undergraduate Degree",(IF(SUM(AM1425,AL1425,AI1425)&gt;0,"Master's Degree or Higher","Other")))))</f>
        <v>Master's Degree or Higher</v>
      </c>
      <c r="AV1425" t="str">
        <f>IF(ifood_data[[#All],[Income]]&gt;75000,"75K+",(IF(ifood_data[[#All],[Income]]&gt;50000,"50K-75K",(IF(ifood_data[[#All],[Income]]&gt;35000,"35K-50K","&lt;35K")))))</f>
        <v>35K-50K</v>
      </c>
      <c r="AW1425" t="str">
        <f>IF(ifood_data[[#All],[Age]]&gt;60,"60+",(IF(ifood_data[[#All],[Age]]&gt;50,"50-60",(IF(ifood_data[[#All],[Age]]&gt;40,"40-50",(IF(ifood_data[[#All],[Age]]&gt;30,"30-40","&lt;30")))))))</f>
        <v>40-50</v>
      </c>
      <c r="AX1425">
        <f t="shared" si="88"/>
        <v>14</v>
      </c>
      <c r="AY1425">
        <f t="shared" si="89"/>
        <v>0.99999999999999978</v>
      </c>
      <c r="AZ1425">
        <f t="shared" si="90"/>
        <v>2</v>
      </c>
      <c r="BA1425">
        <f t="shared" si="91"/>
        <v>3</v>
      </c>
      <c r="BB1425">
        <f>SUM(ifood_data[[#This Row],[Recency Score]:[Monetary Score]])</f>
        <v>6</v>
      </c>
      <c r="BC1425">
        <f>(_xlfn.PERCENTRANK.INC(ifood_data[[#All],[RFM]],ifood_data[[#This Row],[RFM]],1))*10</f>
        <v>0</v>
      </c>
      <c r="BD1425" t="str">
        <f>VLOOKUP(ifood_data[[#This Row],[RFM Score]],'RFM Analysis'!$A$3:$B$14,2,FALSE)</f>
        <v>Lost</v>
      </c>
      <c r="BE1425">
        <f>'Regression Models'!$B$101+'Regression Models'!$B$102*ifood_data[[#This Row],[Income]]+'Regression Models'!$B$103*ifood_data[[#This Row],[Age]]+'Regression Models'!$B$104*ifood_data[[#This Row],[Family]]</f>
        <v>237.13073858277926</v>
      </c>
      <c r="BF1425" t="str">
        <f>IF(ifood_data[[#This Row],[AcceptedCmpOverall]]=1,"Campaign Respondent","Non-respondent")</f>
        <v>Non-respondent</v>
      </c>
    </row>
    <row r="1426" spans="1:58" x14ac:dyDescent="0.35">
      <c r="A1426">
        <v>136</v>
      </c>
      <c r="B1426">
        <v>38547</v>
      </c>
      <c r="C1426">
        <v>1</v>
      </c>
      <c r="D1426">
        <v>0</v>
      </c>
      <c r="E1426">
        <v>49</v>
      </c>
      <c r="F1426">
        <v>6</v>
      </c>
      <c r="G1426">
        <v>1</v>
      </c>
      <c r="H1426">
        <v>10</v>
      </c>
      <c r="I1426">
        <v>0</v>
      </c>
      <c r="J1426">
        <v>1</v>
      </c>
      <c r="K1426">
        <v>4</v>
      </c>
      <c r="L1426">
        <v>1</v>
      </c>
      <c r="M1426">
        <v>1</v>
      </c>
      <c r="N1426">
        <v>0</v>
      </c>
      <c r="O1426">
        <v>2</v>
      </c>
      <c r="P1426">
        <v>8</v>
      </c>
      <c r="Q1426">
        <v>0</v>
      </c>
      <c r="R1426">
        <v>0</v>
      </c>
      <c r="S1426">
        <v>0</v>
      </c>
      <c r="T1426">
        <v>0</v>
      </c>
      <c r="U1426">
        <v>0</v>
      </c>
      <c r="V1426">
        <f>IF(SUM(ifood_data[[#This Row],[AcceptedCmp1]:[AcceptedCmp5]])&gt;0,1,0)</f>
        <v>0</v>
      </c>
      <c r="W1426">
        <v>1</v>
      </c>
      <c r="X1426">
        <v>3</v>
      </c>
      <c r="Y1426">
        <v>11</v>
      </c>
      <c r="Z1426">
        <v>0</v>
      </c>
      <c r="AA1426">
        <v>39</v>
      </c>
      <c r="AB1426">
        <v>2464</v>
      </c>
      <c r="AC1426" s="28">
        <f>ifood_data[[#This Row],[Customer_Days]]/365</f>
        <v>6.7506849315068491</v>
      </c>
      <c r="AD1426">
        <v>0</v>
      </c>
      <c r="AE1426">
        <v>0</v>
      </c>
      <c r="AF1426">
        <v>0</v>
      </c>
      <c r="AG1426">
        <v>1</v>
      </c>
      <c r="AH1426">
        <v>0</v>
      </c>
      <c r="AI1426">
        <v>0</v>
      </c>
      <c r="AJ1426">
        <v>0</v>
      </c>
      <c r="AK1426">
        <v>1</v>
      </c>
      <c r="AL1426">
        <v>0</v>
      </c>
      <c r="AM1426">
        <v>0</v>
      </c>
      <c r="AN1426">
        <v>18</v>
      </c>
      <c r="AO1426">
        <v>14</v>
      </c>
      <c r="AP1426">
        <f>ifood_data[[#This Row],[MntTotal]]-ifood_data[[#This Row],[MntRegularProds]]</f>
        <v>4</v>
      </c>
      <c r="AQ1426">
        <v>0</v>
      </c>
      <c r="AR1426">
        <f>IF(SUM(ifood_data[[#This Row],[Kidhome]:[Teenhome]])&gt;0,1,0)</f>
        <v>1</v>
      </c>
      <c r="AS1426" t="str">
        <f>IF(SUM(ifood_data[[#This Row],[Kidhome]:[Teenhome]])&gt;0,"Has Family","No Family")</f>
        <v>Has Family</v>
      </c>
      <c r="AT1426" t="str">
        <f>IF(ifood_data[[#This Row],[marital_Married]]=1,"Married", (IF(ifood_data[[#This Row],[marital_Single]]=1,"Single",(IF(ifood_data[[#This Row],[marital_Divorced]]=1,"Divorced",(IF(ifood_data[[#This Row],[marital_Together]]=1,"Living Together",(IF(ifood_data[[#This Row],[marital_Widow]]=1,"Widow","Other")))))))))</f>
        <v>Living Together</v>
      </c>
      <c r="AU1426" t="str">
        <f>IF(ifood_data[[#This Row],[education_Basic]]=1,"High School",(IF(ifood_data[[#This Row],[education_Graduation]]=1,"Undergraduate Degree",(IF(SUM(AM1426,AL1426,AI1426)&gt;0,"Master's Degree or Higher","Other")))))</f>
        <v>Undergraduate Degree</v>
      </c>
      <c r="AV1426" t="str">
        <f>IF(ifood_data[[#All],[Income]]&gt;75000,"75K+",(IF(ifood_data[[#All],[Income]]&gt;50000,"50K-75K",(IF(ifood_data[[#All],[Income]]&gt;35000,"35K-50K","&lt;35K")))))</f>
        <v>35K-50K</v>
      </c>
      <c r="AW1426" t="str">
        <f>IF(ifood_data[[#All],[Age]]&gt;60,"60+",(IF(ifood_data[[#All],[Age]]&gt;50,"50-60",(IF(ifood_data[[#All],[Age]]&gt;40,"40-50",(IF(ifood_data[[#All],[Age]]&gt;30,"30-40","&lt;30")))))))</f>
        <v>30-40</v>
      </c>
      <c r="AX1426">
        <f t="shared" si="88"/>
        <v>12</v>
      </c>
      <c r="AY1426">
        <f t="shared" si="89"/>
        <v>6</v>
      </c>
      <c r="AZ1426">
        <f t="shared" si="90"/>
        <v>1</v>
      </c>
      <c r="BA1426">
        <f t="shared" si="91"/>
        <v>0</v>
      </c>
      <c r="BB1426">
        <f>SUM(ifood_data[[#This Row],[Recency Score]:[Monetary Score]])</f>
        <v>7</v>
      </c>
      <c r="BC1426">
        <f>(_xlfn.PERCENTRANK.INC(ifood_data[[#All],[RFM]],ifood_data[[#This Row],[RFM]],1))*10</f>
        <v>1</v>
      </c>
      <c r="BD1426" t="str">
        <f>VLOOKUP(ifood_data[[#This Row],[RFM Score]],'RFM Analysis'!$A$3:$B$14,2,FALSE)</f>
        <v>At Risk</v>
      </c>
      <c r="BE1426">
        <f>'Regression Models'!$B$101+'Regression Models'!$B$102*ifood_data[[#This Row],[Income]]+'Regression Models'!$B$103*ifood_data[[#This Row],[Age]]+'Regression Models'!$B$104*ifood_data[[#This Row],[Family]]</f>
        <v>236.87583421851218</v>
      </c>
      <c r="BF1426" t="str">
        <f>IF(ifood_data[[#This Row],[AcceptedCmpOverall]]=1,"Campaign Respondent","Non-respondent")</f>
        <v>Non-respondent</v>
      </c>
    </row>
    <row r="1427" spans="1:58" x14ac:dyDescent="0.35">
      <c r="A1427">
        <v>1209</v>
      </c>
      <c r="B1427">
        <v>26997</v>
      </c>
      <c r="C1427">
        <v>0</v>
      </c>
      <c r="D1427">
        <v>0</v>
      </c>
      <c r="E1427">
        <v>89</v>
      </c>
      <c r="F1427">
        <v>7</v>
      </c>
      <c r="G1427">
        <v>23</v>
      </c>
      <c r="H1427">
        <v>78</v>
      </c>
      <c r="I1427">
        <v>133</v>
      </c>
      <c r="J1427">
        <v>49</v>
      </c>
      <c r="K1427">
        <v>144</v>
      </c>
      <c r="L1427">
        <v>2</v>
      </c>
      <c r="M1427">
        <v>4</v>
      </c>
      <c r="N1427">
        <v>2</v>
      </c>
      <c r="O1427">
        <v>5</v>
      </c>
      <c r="P1427">
        <v>7</v>
      </c>
      <c r="Q1427">
        <v>0</v>
      </c>
      <c r="R1427">
        <v>0</v>
      </c>
      <c r="S1427">
        <v>0</v>
      </c>
      <c r="T1427">
        <v>0</v>
      </c>
      <c r="U1427">
        <v>0</v>
      </c>
      <c r="V1427">
        <f>IF(SUM(ifood_data[[#This Row],[AcceptedCmp1]:[AcceptedCmp5]])&gt;0,1,0)</f>
        <v>0</v>
      </c>
      <c r="W1427">
        <v>0</v>
      </c>
      <c r="X1427">
        <v>3</v>
      </c>
      <c r="Y1427">
        <v>11</v>
      </c>
      <c r="Z1427">
        <v>0</v>
      </c>
      <c r="AA1427">
        <v>69</v>
      </c>
      <c r="AB1427">
        <v>2760</v>
      </c>
      <c r="AC1427" s="28">
        <f>ifood_data[[#This Row],[Customer_Days]]/365</f>
        <v>7.5616438356164384</v>
      </c>
      <c r="AD1427">
        <v>0</v>
      </c>
      <c r="AE1427">
        <v>1</v>
      </c>
      <c r="AF1427">
        <v>0</v>
      </c>
      <c r="AG1427">
        <v>0</v>
      </c>
      <c r="AH1427">
        <v>0</v>
      </c>
      <c r="AI1427">
        <v>0</v>
      </c>
      <c r="AJ1427">
        <v>1</v>
      </c>
      <c r="AK1427">
        <v>0</v>
      </c>
      <c r="AL1427">
        <v>0</v>
      </c>
      <c r="AM1427">
        <v>0</v>
      </c>
      <c r="AN1427">
        <v>290</v>
      </c>
      <c r="AO1427">
        <v>146</v>
      </c>
      <c r="AP1427">
        <f>ifood_data[[#This Row],[MntTotal]]-ifood_data[[#This Row],[MntRegularProds]]</f>
        <v>144</v>
      </c>
      <c r="AQ1427">
        <v>0</v>
      </c>
      <c r="AR1427">
        <f>IF(SUM(ifood_data[[#This Row],[Kidhome]:[Teenhome]])&gt;0,1,0)</f>
        <v>0</v>
      </c>
      <c r="AS1427" t="str">
        <f>IF(SUM(ifood_data[[#This Row],[Kidhome]:[Teenhome]])&gt;0,"Has Family","No Family")</f>
        <v>No Family</v>
      </c>
      <c r="AT1427" t="str">
        <f>IF(ifood_data[[#This Row],[marital_Married]]=1,"Married", (IF(ifood_data[[#This Row],[marital_Single]]=1,"Single",(IF(ifood_data[[#This Row],[marital_Divorced]]=1,"Divorced",(IF(ifood_data[[#This Row],[marital_Together]]=1,"Living Together",(IF(ifood_data[[#This Row],[marital_Widow]]=1,"Widow","Other")))))))))</f>
        <v>Married</v>
      </c>
      <c r="AU1427" t="str">
        <f>IF(ifood_data[[#This Row],[education_Basic]]=1,"High School",(IF(ifood_data[[#This Row],[education_Graduation]]=1,"Undergraduate Degree",(IF(SUM(AM1427,AL1427,AI1427)&gt;0,"Master's Degree or Higher","Other")))))</f>
        <v>High School</v>
      </c>
      <c r="AV1427" t="str">
        <f>IF(ifood_data[[#All],[Income]]&gt;75000,"75K+",(IF(ifood_data[[#All],[Income]]&gt;50000,"50K-75K",(IF(ifood_data[[#All],[Income]]&gt;35000,"35K-50K","&lt;35K")))))</f>
        <v>&lt;35K</v>
      </c>
      <c r="AW1427" t="str">
        <f>IF(ifood_data[[#All],[Age]]&gt;60,"60+",(IF(ifood_data[[#All],[Age]]&gt;50,"50-60",(IF(ifood_data[[#All],[Age]]&gt;40,"40-50",(IF(ifood_data[[#All],[Age]]&gt;30,"30-40","&lt;30")))))))</f>
        <v>60+</v>
      </c>
      <c r="AX1427">
        <f t="shared" si="88"/>
        <v>20</v>
      </c>
      <c r="AY1427">
        <f t="shared" si="89"/>
        <v>1.9999999999999996</v>
      </c>
      <c r="AZ1427">
        <f t="shared" si="90"/>
        <v>4</v>
      </c>
      <c r="BA1427">
        <f t="shared" si="91"/>
        <v>4</v>
      </c>
      <c r="BB1427">
        <f>SUM(ifood_data[[#This Row],[Recency Score]:[Monetary Score]])</f>
        <v>10</v>
      </c>
      <c r="BC1427">
        <f>(_xlfn.PERCENTRANK.INC(ifood_data[[#All],[RFM]],ifood_data[[#This Row],[RFM]],1))*10</f>
        <v>2</v>
      </c>
      <c r="BD1427" t="str">
        <f>VLOOKUP(ifood_data[[#This Row],[RFM Score]],'RFM Analysis'!$A$3:$B$14,2,FALSE)</f>
        <v>At Risk</v>
      </c>
      <c r="BE1427">
        <f>'Regression Models'!$B$101+'Regression Models'!$B$102*ifood_data[[#This Row],[Income]]+'Regression Models'!$B$103*ifood_data[[#This Row],[Age]]+'Regression Models'!$B$104*ifood_data[[#This Row],[Family]]</f>
        <v>235.90602086266708</v>
      </c>
      <c r="BF1427" t="str">
        <f>IF(ifood_data[[#This Row],[AcceptedCmpOverall]]=1,"Campaign Respondent","Non-respondent")</f>
        <v>Non-respondent</v>
      </c>
    </row>
    <row r="1428" spans="1:58" x14ac:dyDescent="0.35">
      <c r="A1428">
        <v>1568</v>
      </c>
      <c r="B1428">
        <v>38175</v>
      </c>
      <c r="C1428">
        <v>1</v>
      </c>
      <c r="D1428">
        <v>0</v>
      </c>
      <c r="E1428">
        <v>6</v>
      </c>
      <c r="F1428">
        <v>70</v>
      </c>
      <c r="G1428">
        <v>6</v>
      </c>
      <c r="H1428">
        <v>69</v>
      </c>
      <c r="I1428">
        <v>2</v>
      </c>
      <c r="J1428">
        <v>3</v>
      </c>
      <c r="K1428">
        <v>3</v>
      </c>
      <c r="L1428">
        <v>3</v>
      </c>
      <c r="M1428">
        <v>3</v>
      </c>
      <c r="N1428">
        <v>1</v>
      </c>
      <c r="O1428">
        <v>4</v>
      </c>
      <c r="P1428">
        <v>7</v>
      </c>
      <c r="Q1428">
        <v>0</v>
      </c>
      <c r="R1428">
        <v>0</v>
      </c>
      <c r="S1428">
        <v>0</v>
      </c>
      <c r="T1428">
        <v>0</v>
      </c>
      <c r="U1428">
        <v>0</v>
      </c>
      <c r="V1428">
        <f>IF(SUM(ifood_data[[#This Row],[AcceptedCmp1]:[AcceptedCmp5]])&gt;0,1,0)</f>
        <v>0</v>
      </c>
      <c r="W1428">
        <v>0</v>
      </c>
      <c r="X1428">
        <v>3</v>
      </c>
      <c r="Y1428">
        <v>11</v>
      </c>
      <c r="Z1428">
        <v>0</v>
      </c>
      <c r="AA1428">
        <v>36</v>
      </c>
      <c r="AB1428">
        <v>2438</v>
      </c>
      <c r="AC1428" s="28">
        <f>ifood_data[[#This Row],[Customer_Days]]/365</f>
        <v>6.6794520547945204</v>
      </c>
      <c r="AD1428">
        <v>0</v>
      </c>
      <c r="AE1428">
        <v>1</v>
      </c>
      <c r="AF1428">
        <v>0</v>
      </c>
      <c r="AG1428">
        <v>0</v>
      </c>
      <c r="AH1428">
        <v>0</v>
      </c>
      <c r="AI1428">
        <v>0</v>
      </c>
      <c r="AJ1428">
        <v>0</v>
      </c>
      <c r="AK1428">
        <v>0</v>
      </c>
      <c r="AL1428">
        <v>0</v>
      </c>
      <c r="AM1428">
        <v>1</v>
      </c>
      <c r="AN1428">
        <v>150</v>
      </c>
      <c r="AO1428">
        <v>147</v>
      </c>
      <c r="AP1428">
        <f>ifood_data[[#This Row],[MntTotal]]-ifood_data[[#This Row],[MntRegularProds]]</f>
        <v>3</v>
      </c>
      <c r="AQ1428">
        <v>0</v>
      </c>
      <c r="AR1428">
        <f>IF(SUM(ifood_data[[#This Row],[Kidhome]:[Teenhome]])&gt;0,1,0)</f>
        <v>1</v>
      </c>
      <c r="AS1428" t="str">
        <f>IF(SUM(ifood_data[[#This Row],[Kidhome]:[Teenhome]])&gt;0,"Has Family","No Family")</f>
        <v>Has Family</v>
      </c>
      <c r="AT1428" t="str">
        <f>IF(ifood_data[[#This Row],[marital_Married]]=1,"Married", (IF(ifood_data[[#This Row],[marital_Single]]=1,"Single",(IF(ifood_data[[#This Row],[marital_Divorced]]=1,"Divorced",(IF(ifood_data[[#This Row],[marital_Together]]=1,"Living Together",(IF(ifood_data[[#This Row],[marital_Widow]]=1,"Widow","Other")))))))))</f>
        <v>Married</v>
      </c>
      <c r="AU1428" t="str">
        <f>IF(ifood_data[[#This Row],[education_Basic]]=1,"High School",(IF(ifood_data[[#This Row],[education_Graduation]]=1,"Undergraduate Degree",(IF(SUM(AM1428,AL1428,AI1428)&gt;0,"Master's Degree or Higher","Other")))))</f>
        <v>Master's Degree or Higher</v>
      </c>
      <c r="AV1428" t="str">
        <f>IF(ifood_data[[#All],[Income]]&gt;75000,"75K+",(IF(ifood_data[[#All],[Income]]&gt;50000,"50K-75K",(IF(ifood_data[[#All],[Income]]&gt;35000,"35K-50K","&lt;35K")))))</f>
        <v>35K-50K</v>
      </c>
      <c r="AW1428" t="str">
        <f>IF(ifood_data[[#All],[Age]]&gt;60,"60+",(IF(ifood_data[[#All],[Age]]&gt;50,"50-60",(IF(ifood_data[[#All],[Age]]&gt;40,"40-50",(IF(ifood_data[[#All],[Age]]&gt;30,"30-40","&lt;30")))))))</f>
        <v>30-40</v>
      </c>
      <c r="AX1428">
        <f t="shared" si="88"/>
        <v>18</v>
      </c>
      <c r="AY1428">
        <f t="shared" si="89"/>
        <v>10</v>
      </c>
      <c r="AZ1428">
        <f t="shared" si="90"/>
        <v>4</v>
      </c>
      <c r="BA1428">
        <f t="shared" si="91"/>
        <v>3</v>
      </c>
      <c r="BB1428">
        <f>SUM(ifood_data[[#This Row],[Recency Score]:[Monetary Score]])</f>
        <v>17</v>
      </c>
      <c r="BC1428">
        <f>(_xlfn.PERCENTRANK.INC(ifood_data[[#All],[RFM]],ifood_data[[#This Row],[RFM]],1))*10</f>
        <v>6</v>
      </c>
      <c r="BD1428" t="str">
        <f>VLOOKUP(ifood_data[[#This Row],[RFM Score]],'RFM Analysis'!$A$3:$B$14,2,FALSE)</f>
        <v>Promising</v>
      </c>
      <c r="BE1428">
        <f>'Regression Models'!$B$101+'Regression Models'!$B$102*ifood_data[[#This Row],[Income]]+'Regression Models'!$B$103*ifood_data[[#This Row],[Age]]+'Regression Models'!$B$104*ifood_data[[#This Row],[Family]]</f>
        <v>234.80052970566453</v>
      </c>
      <c r="BF1428" t="str">
        <f>IF(ifood_data[[#This Row],[AcceptedCmpOverall]]=1,"Campaign Respondent","Non-respondent")</f>
        <v>Non-respondent</v>
      </c>
    </row>
    <row r="1429" spans="1:58" x14ac:dyDescent="0.35">
      <c r="A1429">
        <v>702</v>
      </c>
      <c r="B1429">
        <v>38702</v>
      </c>
      <c r="C1429">
        <v>1</v>
      </c>
      <c r="D1429">
        <v>0</v>
      </c>
      <c r="E1429">
        <v>71</v>
      </c>
      <c r="F1429">
        <v>13</v>
      </c>
      <c r="G1429">
        <v>11</v>
      </c>
      <c r="H1429">
        <v>24</v>
      </c>
      <c r="I1429">
        <v>13</v>
      </c>
      <c r="J1429">
        <v>8</v>
      </c>
      <c r="K1429">
        <v>40</v>
      </c>
      <c r="L1429">
        <v>2</v>
      </c>
      <c r="M1429">
        <v>3</v>
      </c>
      <c r="N1429">
        <v>0</v>
      </c>
      <c r="O1429">
        <v>4</v>
      </c>
      <c r="P1429">
        <v>6</v>
      </c>
      <c r="Q1429">
        <v>0</v>
      </c>
      <c r="R1429">
        <v>0</v>
      </c>
      <c r="S1429">
        <v>0</v>
      </c>
      <c r="T1429">
        <v>0</v>
      </c>
      <c r="U1429">
        <v>0</v>
      </c>
      <c r="V1429">
        <f>IF(SUM(ifood_data[[#This Row],[AcceptedCmp1]:[AcceptedCmp5]])&gt;0,1,0)</f>
        <v>0</v>
      </c>
      <c r="W1429">
        <v>0</v>
      </c>
      <c r="X1429">
        <v>3</v>
      </c>
      <c r="Y1429">
        <v>11</v>
      </c>
      <c r="Z1429">
        <v>0</v>
      </c>
      <c r="AA1429">
        <v>42</v>
      </c>
      <c r="AB1429">
        <v>2491</v>
      </c>
      <c r="AC1429" s="28">
        <f>ifood_data[[#This Row],[Customer_Days]]/365</f>
        <v>6.8246575342465752</v>
      </c>
      <c r="AD1429">
        <v>0</v>
      </c>
      <c r="AE1429">
        <v>0</v>
      </c>
      <c r="AF1429">
        <v>0</v>
      </c>
      <c r="AG1429">
        <v>1</v>
      </c>
      <c r="AH1429">
        <v>0</v>
      </c>
      <c r="AI1429">
        <v>1</v>
      </c>
      <c r="AJ1429">
        <v>0</v>
      </c>
      <c r="AK1429">
        <v>0</v>
      </c>
      <c r="AL1429">
        <v>0</v>
      </c>
      <c r="AM1429">
        <v>0</v>
      </c>
      <c r="AN1429">
        <v>69</v>
      </c>
      <c r="AO1429">
        <v>29</v>
      </c>
      <c r="AP1429">
        <f>ifood_data[[#This Row],[MntTotal]]-ifood_data[[#This Row],[MntRegularProds]]</f>
        <v>40</v>
      </c>
      <c r="AQ1429">
        <v>0</v>
      </c>
      <c r="AR1429">
        <f>IF(SUM(ifood_data[[#This Row],[Kidhome]:[Teenhome]])&gt;0,1,0)</f>
        <v>1</v>
      </c>
      <c r="AS1429" t="str">
        <f>IF(SUM(ifood_data[[#This Row],[Kidhome]:[Teenhome]])&gt;0,"Has Family","No Family")</f>
        <v>Has Family</v>
      </c>
      <c r="AT1429" t="str">
        <f>IF(ifood_data[[#This Row],[marital_Married]]=1,"Married", (IF(ifood_data[[#This Row],[marital_Single]]=1,"Single",(IF(ifood_data[[#This Row],[marital_Divorced]]=1,"Divorced",(IF(ifood_data[[#This Row],[marital_Together]]=1,"Living Together",(IF(ifood_data[[#This Row],[marital_Widow]]=1,"Widow","Other")))))))))</f>
        <v>Living Together</v>
      </c>
      <c r="AU1429" t="str">
        <f>IF(ifood_data[[#This Row],[education_Basic]]=1,"High School",(IF(ifood_data[[#This Row],[education_Graduation]]=1,"Undergraduate Degree",(IF(SUM(AM1429,AL1429,AI1429)&gt;0,"Master's Degree or Higher","Other")))))</f>
        <v>Master's Degree or Higher</v>
      </c>
      <c r="AV1429" t="str">
        <f>IF(ifood_data[[#All],[Income]]&gt;75000,"75K+",(IF(ifood_data[[#All],[Income]]&gt;50000,"50K-75K",(IF(ifood_data[[#All],[Income]]&gt;35000,"35K-50K","&lt;35K")))))</f>
        <v>35K-50K</v>
      </c>
      <c r="AW1429" t="str">
        <f>IF(ifood_data[[#All],[Age]]&gt;60,"60+",(IF(ifood_data[[#All],[Age]]&gt;50,"50-60",(IF(ifood_data[[#All],[Age]]&gt;40,"40-50",(IF(ifood_data[[#All],[Age]]&gt;30,"30-40","&lt;30")))))))</f>
        <v>40-50</v>
      </c>
      <c r="AX1429">
        <f t="shared" si="88"/>
        <v>15</v>
      </c>
      <c r="AY1429">
        <f t="shared" si="89"/>
        <v>3.0000000000000004</v>
      </c>
      <c r="AZ1429">
        <f t="shared" si="90"/>
        <v>2</v>
      </c>
      <c r="BA1429">
        <f t="shared" si="91"/>
        <v>2</v>
      </c>
      <c r="BB1429">
        <f>SUM(ifood_data[[#This Row],[Recency Score]:[Monetary Score]])</f>
        <v>7</v>
      </c>
      <c r="BC1429">
        <f>(_xlfn.PERCENTRANK.INC(ifood_data[[#All],[RFM]],ifood_data[[#This Row],[RFM]],1))*10</f>
        <v>1</v>
      </c>
      <c r="BD1429" t="str">
        <f>VLOOKUP(ifood_data[[#This Row],[RFM Score]],'RFM Analysis'!$A$3:$B$14,2,FALSE)</f>
        <v>At Risk</v>
      </c>
      <c r="BE1429">
        <f>'Regression Models'!$B$101+'Regression Models'!$B$102*ifood_data[[#This Row],[Income]]+'Regression Models'!$B$103*ifood_data[[#This Row],[Age]]+'Regression Models'!$B$104*ifood_data[[#This Row],[Family]]</f>
        <v>234.52677604413361</v>
      </c>
      <c r="BF1429" t="str">
        <f>IF(ifood_data[[#This Row],[AcceptedCmpOverall]]=1,"Campaign Respondent","Non-respondent")</f>
        <v>Non-respondent</v>
      </c>
    </row>
    <row r="1430" spans="1:58" x14ac:dyDescent="0.35">
      <c r="A1430">
        <v>876</v>
      </c>
      <c r="B1430">
        <v>24401</v>
      </c>
      <c r="C1430">
        <v>0</v>
      </c>
      <c r="D1430">
        <v>0</v>
      </c>
      <c r="E1430">
        <v>98</v>
      </c>
      <c r="F1430">
        <v>73</v>
      </c>
      <c r="G1430">
        <v>28</v>
      </c>
      <c r="H1430">
        <v>217</v>
      </c>
      <c r="I1430">
        <v>10</v>
      </c>
      <c r="J1430">
        <v>24</v>
      </c>
      <c r="K1430">
        <v>115</v>
      </c>
      <c r="L1430">
        <v>3</v>
      </c>
      <c r="M1430">
        <v>6</v>
      </c>
      <c r="N1430">
        <v>1</v>
      </c>
      <c r="O1430">
        <v>6</v>
      </c>
      <c r="P1430">
        <v>8</v>
      </c>
      <c r="Q1430">
        <v>0</v>
      </c>
      <c r="R1430">
        <v>0</v>
      </c>
      <c r="S1430">
        <v>0</v>
      </c>
      <c r="T1430">
        <v>0</v>
      </c>
      <c r="U1430">
        <v>0</v>
      </c>
      <c r="V1430">
        <f>IF(SUM(ifood_data[[#This Row],[AcceptedCmp1]:[AcceptedCmp5]])&gt;0,1,0)</f>
        <v>0</v>
      </c>
      <c r="W1430">
        <v>0</v>
      </c>
      <c r="X1430">
        <v>3</v>
      </c>
      <c r="Y1430">
        <v>11</v>
      </c>
      <c r="Z1430">
        <v>0</v>
      </c>
      <c r="AA1430">
        <v>41</v>
      </c>
      <c r="AB1430">
        <v>2826</v>
      </c>
      <c r="AC1430" s="28">
        <f>ifood_data[[#This Row],[Customer_Days]]/365</f>
        <v>7.7424657534246579</v>
      </c>
      <c r="AD1430">
        <v>0</v>
      </c>
      <c r="AE1430">
        <v>0</v>
      </c>
      <c r="AF1430">
        <v>0</v>
      </c>
      <c r="AG1430">
        <v>1</v>
      </c>
      <c r="AH1430">
        <v>0</v>
      </c>
      <c r="AI1430">
        <v>0</v>
      </c>
      <c r="AJ1430">
        <v>0</v>
      </c>
      <c r="AK1430">
        <v>0</v>
      </c>
      <c r="AL1430">
        <v>1</v>
      </c>
      <c r="AM1430">
        <v>0</v>
      </c>
      <c r="AN1430">
        <v>352</v>
      </c>
      <c r="AO1430">
        <v>237</v>
      </c>
      <c r="AP1430">
        <f>ifood_data[[#This Row],[MntTotal]]-ifood_data[[#This Row],[MntRegularProds]]</f>
        <v>115</v>
      </c>
      <c r="AQ1430">
        <v>0</v>
      </c>
      <c r="AR1430">
        <f>IF(SUM(ifood_data[[#This Row],[Kidhome]:[Teenhome]])&gt;0,1,0)</f>
        <v>0</v>
      </c>
      <c r="AS1430" t="str">
        <f>IF(SUM(ifood_data[[#This Row],[Kidhome]:[Teenhome]])&gt;0,"Has Family","No Family")</f>
        <v>No Family</v>
      </c>
      <c r="AT1430" t="str">
        <f>IF(ifood_data[[#This Row],[marital_Married]]=1,"Married", (IF(ifood_data[[#This Row],[marital_Single]]=1,"Single",(IF(ifood_data[[#This Row],[marital_Divorced]]=1,"Divorced",(IF(ifood_data[[#This Row],[marital_Together]]=1,"Living Together",(IF(ifood_data[[#This Row],[marital_Widow]]=1,"Widow","Other")))))))))</f>
        <v>Living Together</v>
      </c>
      <c r="AU1430" t="str">
        <f>IF(ifood_data[[#This Row],[education_Basic]]=1,"High School",(IF(ifood_data[[#This Row],[education_Graduation]]=1,"Undergraduate Degree",(IF(SUM(AM1430,AL1430,AI1430)&gt;0,"Master's Degree or Higher","Other")))))</f>
        <v>Master's Degree or Higher</v>
      </c>
      <c r="AV1430" t="str">
        <f>IF(ifood_data[[#All],[Income]]&gt;75000,"75K+",(IF(ifood_data[[#All],[Income]]&gt;50000,"50K-75K",(IF(ifood_data[[#All],[Income]]&gt;35000,"35K-50K","&lt;35K")))))</f>
        <v>&lt;35K</v>
      </c>
      <c r="AW1430" t="str">
        <f>IF(ifood_data[[#All],[Age]]&gt;60,"60+",(IF(ifood_data[[#All],[Age]]&gt;50,"50-60",(IF(ifood_data[[#All],[Age]]&gt;40,"40-50",(IF(ifood_data[[#All],[Age]]&gt;30,"30-40","&lt;30")))))))</f>
        <v>40-50</v>
      </c>
      <c r="AX1430">
        <f t="shared" si="88"/>
        <v>24</v>
      </c>
      <c r="AY1430">
        <f t="shared" si="89"/>
        <v>0.99999999999999978</v>
      </c>
      <c r="AZ1430">
        <f t="shared" si="90"/>
        <v>6</v>
      </c>
      <c r="BA1430">
        <f t="shared" si="91"/>
        <v>5</v>
      </c>
      <c r="BB1430">
        <f>SUM(ifood_data[[#This Row],[Recency Score]:[Monetary Score]])</f>
        <v>12</v>
      </c>
      <c r="BC1430">
        <f>(_xlfn.PERCENTRANK.INC(ifood_data[[#All],[RFM]],ifood_data[[#This Row],[RFM]],1))*10</f>
        <v>3</v>
      </c>
      <c r="BD1430" t="str">
        <f>VLOOKUP(ifood_data[[#This Row],[RFM Score]],'RFM Analysis'!$A$3:$B$14,2,FALSE)</f>
        <v>At Risk</v>
      </c>
      <c r="BE1430">
        <f>'Regression Models'!$B$101+'Regression Models'!$B$102*ifood_data[[#This Row],[Income]]+'Regression Models'!$B$103*ifood_data[[#This Row],[Age]]+'Regression Models'!$B$104*ifood_data[[#This Row],[Family]]</f>
        <v>234.39707297014533</v>
      </c>
      <c r="BF1430" t="str">
        <f>IF(ifood_data[[#This Row],[AcceptedCmpOverall]]=1,"Campaign Respondent","Non-respondent")</f>
        <v>Non-respondent</v>
      </c>
    </row>
    <row r="1431" spans="1:58" x14ac:dyDescent="0.35">
      <c r="A1431">
        <v>335</v>
      </c>
      <c r="B1431">
        <v>38643</v>
      </c>
      <c r="C1431">
        <v>1</v>
      </c>
      <c r="D1431">
        <v>1</v>
      </c>
      <c r="E1431">
        <v>45</v>
      </c>
      <c r="F1431">
        <v>22</v>
      </c>
      <c r="G1431">
        <v>2</v>
      </c>
      <c r="H1431">
        <v>14</v>
      </c>
      <c r="I1431">
        <v>0</v>
      </c>
      <c r="J1431">
        <v>1</v>
      </c>
      <c r="K1431">
        <v>10</v>
      </c>
      <c r="L1431">
        <v>2</v>
      </c>
      <c r="M1431">
        <v>2</v>
      </c>
      <c r="N1431">
        <v>0</v>
      </c>
      <c r="O1431">
        <v>3</v>
      </c>
      <c r="P1431">
        <v>7</v>
      </c>
      <c r="Q1431">
        <v>0</v>
      </c>
      <c r="R1431">
        <v>0</v>
      </c>
      <c r="S1431">
        <v>0</v>
      </c>
      <c r="T1431">
        <v>0</v>
      </c>
      <c r="U1431">
        <v>0</v>
      </c>
      <c r="V1431">
        <f>IF(SUM(ifood_data[[#This Row],[AcceptedCmp1]:[AcceptedCmp5]])&gt;0,1,0)</f>
        <v>0</v>
      </c>
      <c r="W1431">
        <v>1</v>
      </c>
      <c r="X1431">
        <v>3</v>
      </c>
      <c r="Y1431">
        <v>11</v>
      </c>
      <c r="Z1431">
        <v>0</v>
      </c>
      <c r="AA1431">
        <v>42</v>
      </c>
      <c r="AB1431">
        <v>2371</v>
      </c>
      <c r="AC1431" s="28">
        <f>ifood_data[[#This Row],[Customer_Days]]/365</f>
        <v>6.4958904109589044</v>
      </c>
      <c r="AD1431">
        <v>0</v>
      </c>
      <c r="AE1431">
        <v>0</v>
      </c>
      <c r="AF1431">
        <v>1</v>
      </c>
      <c r="AG1431">
        <v>0</v>
      </c>
      <c r="AH1431">
        <v>0</v>
      </c>
      <c r="AI1431">
        <v>0</v>
      </c>
      <c r="AJ1431">
        <v>0</v>
      </c>
      <c r="AK1431">
        <v>1</v>
      </c>
      <c r="AL1431">
        <v>0</v>
      </c>
      <c r="AM1431">
        <v>0</v>
      </c>
      <c r="AN1431">
        <v>39</v>
      </c>
      <c r="AO1431">
        <v>29</v>
      </c>
      <c r="AP1431">
        <f>ifood_data[[#This Row],[MntTotal]]-ifood_data[[#This Row],[MntRegularProds]]</f>
        <v>10</v>
      </c>
      <c r="AQ1431">
        <v>0</v>
      </c>
      <c r="AR1431">
        <f>IF(SUM(ifood_data[[#This Row],[Kidhome]:[Teenhome]])&gt;0,1,0)</f>
        <v>1</v>
      </c>
      <c r="AS1431" t="str">
        <f>IF(SUM(ifood_data[[#This Row],[Kidhome]:[Teenhome]])&gt;0,"Has Family","No Family")</f>
        <v>Has Family</v>
      </c>
      <c r="AT1431" t="str">
        <f>IF(ifood_data[[#This Row],[marital_Married]]=1,"Married", (IF(ifood_data[[#This Row],[marital_Single]]=1,"Single",(IF(ifood_data[[#This Row],[marital_Divorced]]=1,"Divorced",(IF(ifood_data[[#This Row],[marital_Together]]=1,"Living Together",(IF(ifood_data[[#This Row],[marital_Widow]]=1,"Widow","Other")))))))))</f>
        <v>Single</v>
      </c>
      <c r="AU1431" t="str">
        <f>IF(ifood_data[[#This Row],[education_Basic]]=1,"High School",(IF(ifood_data[[#This Row],[education_Graduation]]=1,"Undergraduate Degree",(IF(SUM(AM1431,AL1431,AI1431)&gt;0,"Master's Degree or Higher","Other")))))</f>
        <v>Undergraduate Degree</v>
      </c>
      <c r="AV1431" t="str">
        <f>IF(ifood_data[[#All],[Income]]&gt;75000,"75K+",(IF(ifood_data[[#All],[Income]]&gt;50000,"50K-75K",(IF(ifood_data[[#All],[Income]]&gt;35000,"35K-50K","&lt;35K")))))</f>
        <v>35K-50K</v>
      </c>
      <c r="AW1431" t="str">
        <f>IF(ifood_data[[#All],[Age]]&gt;60,"60+",(IF(ifood_data[[#All],[Age]]&gt;50,"50-60",(IF(ifood_data[[#All],[Age]]&gt;40,"40-50",(IF(ifood_data[[#All],[Age]]&gt;30,"30-40","&lt;30")))))))</f>
        <v>40-50</v>
      </c>
      <c r="AX1431">
        <f t="shared" si="88"/>
        <v>14</v>
      </c>
      <c r="AY1431">
        <f t="shared" si="89"/>
        <v>6</v>
      </c>
      <c r="AZ1431">
        <f t="shared" si="90"/>
        <v>2</v>
      </c>
      <c r="BA1431">
        <f t="shared" si="91"/>
        <v>1</v>
      </c>
      <c r="BB1431">
        <f>SUM(ifood_data[[#This Row],[Recency Score]:[Monetary Score]])</f>
        <v>9</v>
      </c>
      <c r="BC1431">
        <f>(_xlfn.PERCENTRANK.INC(ifood_data[[#All],[RFM]],ifood_data[[#This Row],[RFM]],1))*10</f>
        <v>1</v>
      </c>
      <c r="BD1431" t="str">
        <f>VLOOKUP(ifood_data[[#This Row],[RFM Score]],'RFM Analysis'!$A$3:$B$14,2,FALSE)</f>
        <v>At Risk</v>
      </c>
      <c r="BE1431">
        <f>'Regression Models'!$B$101+'Regression Models'!$B$102*ifood_data[[#This Row],[Income]]+'Regression Models'!$B$103*ifood_data[[#This Row],[Age]]+'Regression Models'!$B$104*ifood_data[[#This Row],[Family]]</f>
        <v>233.32383872364358</v>
      </c>
      <c r="BF1431" t="str">
        <f>IF(ifood_data[[#This Row],[AcceptedCmpOverall]]=1,"Campaign Respondent","Non-respondent")</f>
        <v>Non-respondent</v>
      </c>
    </row>
    <row r="1432" spans="1:58" x14ac:dyDescent="0.35">
      <c r="A1432">
        <v>1365</v>
      </c>
      <c r="B1432">
        <v>41145</v>
      </c>
      <c r="C1432">
        <v>1</v>
      </c>
      <c r="D1432">
        <v>1</v>
      </c>
      <c r="E1432">
        <v>20</v>
      </c>
      <c r="F1432">
        <v>9</v>
      </c>
      <c r="G1432">
        <v>0</v>
      </c>
      <c r="H1432">
        <v>3</v>
      </c>
      <c r="I1432">
        <v>0</v>
      </c>
      <c r="J1432">
        <v>0</v>
      </c>
      <c r="K1432">
        <v>1</v>
      </c>
      <c r="L1432">
        <v>1</v>
      </c>
      <c r="M1432">
        <v>0</v>
      </c>
      <c r="N1432">
        <v>0</v>
      </c>
      <c r="O1432">
        <v>3</v>
      </c>
      <c r="P1432">
        <v>3</v>
      </c>
      <c r="Q1432">
        <v>0</v>
      </c>
      <c r="R1432">
        <v>0</v>
      </c>
      <c r="S1432">
        <v>0</v>
      </c>
      <c r="T1432">
        <v>0</v>
      </c>
      <c r="U1432">
        <v>0</v>
      </c>
      <c r="V1432">
        <f>IF(SUM(ifood_data[[#This Row],[AcceptedCmp1]:[AcceptedCmp5]])&gt;0,1,0)</f>
        <v>0</v>
      </c>
      <c r="W1432">
        <v>0</v>
      </c>
      <c r="X1432">
        <v>3</v>
      </c>
      <c r="Y1432">
        <v>11</v>
      </c>
      <c r="Z1432">
        <v>0</v>
      </c>
      <c r="AA1432">
        <v>70</v>
      </c>
      <c r="AB1432">
        <v>2300</v>
      </c>
      <c r="AC1432" s="28">
        <f>ifood_data[[#This Row],[Customer_Days]]/365</f>
        <v>6.3013698630136989</v>
      </c>
      <c r="AD1432">
        <v>0</v>
      </c>
      <c r="AE1432">
        <v>1</v>
      </c>
      <c r="AF1432">
        <v>0</v>
      </c>
      <c r="AG1432">
        <v>0</v>
      </c>
      <c r="AH1432">
        <v>0</v>
      </c>
      <c r="AI1432">
        <v>0</v>
      </c>
      <c r="AJ1432">
        <v>0</v>
      </c>
      <c r="AK1432">
        <v>0</v>
      </c>
      <c r="AL1432">
        <v>0</v>
      </c>
      <c r="AM1432">
        <v>1</v>
      </c>
      <c r="AN1432">
        <v>12</v>
      </c>
      <c r="AO1432">
        <v>11</v>
      </c>
      <c r="AP1432">
        <f>ifood_data[[#This Row],[MntTotal]]-ifood_data[[#This Row],[MntRegularProds]]</f>
        <v>1</v>
      </c>
      <c r="AQ1432">
        <v>0</v>
      </c>
      <c r="AR1432">
        <f>IF(SUM(ifood_data[[#This Row],[Kidhome]:[Teenhome]])&gt;0,1,0)</f>
        <v>1</v>
      </c>
      <c r="AS1432" t="str">
        <f>IF(SUM(ifood_data[[#This Row],[Kidhome]:[Teenhome]])&gt;0,"Has Family","No Family")</f>
        <v>Has Family</v>
      </c>
      <c r="AT1432" t="str">
        <f>IF(ifood_data[[#This Row],[marital_Married]]=1,"Married", (IF(ifood_data[[#This Row],[marital_Single]]=1,"Single",(IF(ifood_data[[#This Row],[marital_Divorced]]=1,"Divorced",(IF(ifood_data[[#This Row],[marital_Together]]=1,"Living Together",(IF(ifood_data[[#This Row],[marital_Widow]]=1,"Widow","Other")))))))))</f>
        <v>Married</v>
      </c>
      <c r="AU1432" t="str">
        <f>IF(ifood_data[[#This Row],[education_Basic]]=1,"High School",(IF(ifood_data[[#This Row],[education_Graduation]]=1,"Undergraduate Degree",(IF(SUM(AM1432,AL1432,AI1432)&gt;0,"Master's Degree or Higher","Other")))))</f>
        <v>Master's Degree or Higher</v>
      </c>
      <c r="AV1432" t="str">
        <f>IF(ifood_data[[#All],[Income]]&gt;75000,"75K+",(IF(ifood_data[[#All],[Income]]&gt;50000,"50K-75K",(IF(ifood_data[[#All],[Income]]&gt;35000,"35K-50K","&lt;35K")))))</f>
        <v>35K-50K</v>
      </c>
      <c r="AW1432" t="str">
        <f>IF(ifood_data[[#All],[Age]]&gt;60,"60+",(IF(ifood_data[[#All],[Age]]&gt;50,"50-60",(IF(ifood_data[[#All],[Age]]&gt;40,"40-50",(IF(ifood_data[[#All],[Age]]&gt;30,"30-40","&lt;30")))))))</f>
        <v>60+</v>
      </c>
      <c r="AX1432">
        <f t="shared" si="88"/>
        <v>7</v>
      </c>
      <c r="AY1432">
        <f t="shared" si="89"/>
        <v>8</v>
      </c>
      <c r="AZ1432">
        <f t="shared" si="90"/>
        <v>0</v>
      </c>
      <c r="BA1432">
        <f t="shared" si="91"/>
        <v>0</v>
      </c>
      <c r="BB1432">
        <f>SUM(ifood_data[[#This Row],[Recency Score]:[Monetary Score]])</f>
        <v>8</v>
      </c>
      <c r="BC1432">
        <f>(_xlfn.PERCENTRANK.INC(ifood_data[[#All],[RFM]],ifood_data[[#This Row],[RFM]],1))*10</f>
        <v>1</v>
      </c>
      <c r="BD1432" t="str">
        <f>VLOOKUP(ifood_data[[#This Row],[RFM Score]],'RFM Analysis'!$A$3:$B$14,2,FALSE)</f>
        <v>At Risk</v>
      </c>
      <c r="BE1432">
        <f>'Regression Models'!$B$101+'Regression Models'!$B$102*ifood_data[[#This Row],[Income]]+'Regression Models'!$B$103*ifood_data[[#This Row],[Age]]+'Regression Models'!$B$104*ifood_data[[#This Row],[Family]]</f>
        <v>232.91624241063892</v>
      </c>
      <c r="BF1432" t="str">
        <f>IF(ifood_data[[#This Row],[AcceptedCmpOverall]]=1,"Campaign Respondent","Non-respondent")</f>
        <v>Non-respondent</v>
      </c>
    </row>
    <row r="1433" spans="1:58" x14ac:dyDescent="0.35">
      <c r="A1433">
        <v>546</v>
      </c>
      <c r="B1433">
        <v>38593</v>
      </c>
      <c r="C1433">
        <v>1</v>
      </c>
      <c r="D1433">
        <v>0</v>
      </c>
      <c r="E1433">
        <v>42</v>
      </c>
      <c r="F1433">
        <v>51</v>
      </c>
      <c r="G1433">
        <v>12</v>
      </c>
      <c r="H1433">
        <v>49</v>
      </c>
      <c r="I1433">
        <v>17</v>
      </c>
      <c r="J1433">
        <v>24</v>
      </c>
      <c r="K1433">
        <v>24</v>
      </c>
      <c r="L1433">
        <v>3</v>
      </c>
      <c r="M1433">
        <v>4</v>
      </c>
      <c r="N1433">
        <v>1</v>
      </c>
      <c r="O1433">
        <v>3</v>
      </c>
      <c r="P1433">
        <v>8</v>
      </c>
      <c r="Q1433">
        <v>0</v>
      </c>
      <c r="R1433">
        <v>0</v>
      </c>
      <c r="S1433">
        <v>0</v>
      </c>
      <c r="T1433">
        <v>0</v>
      </c>
      <c r="U1433">
        <v>0</v>
      </c>
      <c r="V1433">
        <f>IF(SUM(ifood_data[[#This Row],[AcceptedCmp1]:[AcceptedCmp5]])&gt;0,1,0)</f>
        <v>0</v>
      </c>
      <c r="W1433">
        <v>0</v>
      </c>
      <c r="X1433">
        <v>3</v>
      </c>
      <c r="Y1433">
        <v>11</v>
      </c>
      <c r="Z1433">
        <v>0</v>
      </c>
      <c r="AA1433">
        <v>42</v>
      </c>
      <c r="AB1433">
        <v>2448</v>
      </c>
      <c r="AC1433" s="28">
        <f>ifood_data[[#This Row],[Customer_Days]]/365</f>
        <v>6.7068493150684931</v>
      </c>
      <c r="AD1433">
        <v>0</v>
      </c>
      <c r="AE1433">
        <v>0</v>
      </c>
      <c r="AF1433">
        <v>1</v>
      </c>
      <c r="AG1433">
        <v>0</v>
      </c>
      <c r="AH1433">
        <v>0</v>
      </c>
      <c r="AI1433">
        <v>1</v>
      </c>
      <c r="AJ1433">
        <v>0</v>
      </c>
      <c r="AK1433">
        <v>0</v>
      </c>
      <c r="AL1433">
        <v>0</v>
      </c>
      <c r="AM1433">
        <v>0</v>
      </c>
      <c r="AN1433">
        <v>153</v>
      </c>
      <c r="AO1433">
        <v>129</v>
      </c>
      <c r="AP1433">
        <f>ifood_data[[#This Row],[MntTotal]]-ifood_data[[#This Row],[MntRegularProds]]</f>
        <v>24</v>
      </c>
      <c r="AQ1433">
        <v>0</v>
      </c>
      <c r="AR1433">
        <f>IF(SUM(ifood_data[[#This Row],[Kidhome]:[Teenhome]])&gt;0,1,0)</f>
        <v>1</v>
      </c>
      <c r="AS1433" t="str">
        <f>IF(SUM(ifood_data[[#This Row],[Kidhome]:[Teenhome]])&gt;0,"Has Family","No Family")</f>
        <v>Has Family</v>
      </c>
      <c r="AT1433" t="str">
        <f>IF(ifood_data[[#This Row],[marital_Married]]=1,"Married", (IF(ifood_data[[#This Row],[marital_Single]]=1,"Single",(IF(ifood_data[[#This Row],[marital_Divorced]]=1,"Divorced",(IF(ifood_data[[#This Row],[marital_Together]]=1,"Living Together",(IF(ifood_data[[#This Row],[marital_Widow]]=1,"Widow","Other")))))))))</f>
        <v>Single</v>
      </c>
      <c r="AU1433" t="str">
        <f>IF(ifood_data[[#This Row],[education_Basic]]=1,"High School",(IF(ifood_data[[#This Row],[education_Graduation]]=1,"Undergraduate Degree",(IF(SUM(AM1433,AL1433,AI1433)&gt;0,"Master's Degree or Higher","Other")))))</f>
        <v>Master's Degree or Higher</v>
      </c>
      <c r="AV1433" t="str">
        <f>IF(ifood_data[[#All],[Income]]&gt;75000,"75K+",(IF(ifood_data[[#All],[Income]]&gt;50000,"50K-75K",(IF(ifood_data[[#All],[Income]]&gt;35000,"35K-50K","&lt;35K")))))</f>
        <v>35K-50K</v>
      </c>
      <c r="AW1433" t="str">
        <f>IF(ifood_data[[#All],[Age]]&gt;60,"60+",(IF(ifood_data[[#All],[Age]]&gt;50,"50-60",(IF(ifood_data[[#All],[Age]]&gt;40,"40-50",(IF(ifood_data[[#All],[Age]]&gt;30,"30-40","&lt;30")))))))</f>
        <v>40-50</v>
      </c>
      <c r="AX1433">
        <f t="shared" si="88"/>
        <v>19</v>
      </c>
      <c r="AY1433">
        <f t="shared" si="89"/>
        <v>6</v>
      </c>
      <c r="AZ1433">
        <f t="shared" si="90"/>
        <v>4</v>
      </c>
      <c r="BA1433">
        <f t="shared" si="91"/>
        <v>3</v>
      </c>
      <c r="BB1433">
        <f>SUM(ifood_data[[#This Row],[Recency Score]:[Monetary Score]])</f>
        <v>13</v>
      </c>
      <c r="BC1433">
        <f>(_xlfn.PERCENTRANK.INC(ifood_data[[#All],[RFM]],ifood_data[[#This Row],[RFM]],1))*10</f>
        <v>3</v>
      </c>
      <c r="BD1433" t="str">
        <f>VLOOKUP(ifood_data[[#This Row],[RFM Score]],'RFM Analysis'!$A$3:$B$14,2,FALSE)</f>
        <v>At Risk</v>
      </c>
      <c r="BE1433">
        <f>'Regression Models'!$B$101+'Regression Models'!$B$102*ifood_data[[#This Row],[Income]]+'Regression Models'!$B$103*ifood_data[[#This Row],[Age]]+'Regression Models'!$B$104*ifood_data[[#This Row],[Family]]</f>
        <v>232.30440031644866</v>
      </c>
      <c r="BF1433" t="str">
        <f>IF(ifood_data[[#This Row],[AcceptedCmpOverall]]=1,"Campaign Respondent","Non-respondent")</f>
        <v>Non-respondent</v>
      </c>
    </row>
    <row r="1434" spans="1:58" x14ac:dyDescent="0.35">
      <c r="A1434">
        <v>1138</v>
      </c>
      <c r="B1434">
        <v>40451</v>
      </c>
      <c r="C1434">
        <v>0</v>
      </c>
      <c r="D1434">
        <v>2</v>
      </c>
      <c r="E1434">
        <v>54</v>
      </c>
      <c r="F1434">
        <v>35</v>
      </c>
      <c r="G1434">
        <v>0</v>
      </c>
      <c r="H1434">
        <v>4</v>
      </c>
      <c r="I1434">
        <v>0</v>
      </c>
      <c r="J1434">
        <v>0</v>
      </c>
      <c r="K1434">
        <v>10</v>
      </c>
      <c r="L1434">
        <v>1</v>
      </c>
      <c r="M1434">
        <v>1</v>
      </c>
      <c r="N1434">
        <v>1</v>
      </c>
      <c r="O1434">
        <v>2</v>
      </c>
      <c r="P1434">
        <v>5</v>
      </c>
      <c r="Q1434">
        <v>0</v>
      </c>
      <c r="R1434">
        <v>0</v>
      </c>
      <c r="S1434">
        <v>1</v>
      </c>
      <c r="T1434">
        <v>0</v>
      </c>
      <c r="U1434">
        <v>0</v>
      </c>
      <c r="V1434">
        <f>IF(SUM(ifood_data[[#This Row],[AcceptedCmp1]:[AcceptedCmp5]])&gt;0,1,0)</f>
        <v>1</v>
      </c>
      <c r="W1434">
        <v>0</v>
      </c>
      <c r="X1434">
        <v>3</v>
      </c>
      <c r="Y1434">
        <v>11</v>
      </c>
      <c r="Z1434">
        <v>0</v>
      </c>
      <c r="AA1434">
        <v>63</v>
      </c>
      <c r="AB1434">
        <v>2292</v>
      </c>
      <c r="AC1434" s="28">
        <f>ifood_data[[#This Row],[Customer_Days]]/365</f>
        <v>6.279452054794521</v>
      </c>
      <c r="AD1434">
        <v>0</v>
      </c>
      <c r="AE1434">
        <v>0</v>
      </c>
      <c r="AF1434">
        <v>0</v>
      </c>
      <c r="AG1434">
        <v>1</v>
      </c>
      <c r="AH1434">
        <v>0</v>
      </c>
      <c r="AI1434">
        <v>0</v>
      </c>
      <c r="AJ1434">
        <v>0</v>
      </c>
      <c r="AK1434">
        <v>0</v>
      </c>
      <c r="AL1434">
        <v>0</v>
      </c>
      <c r="AM1434">
        <v>1</v>
      </c>
      <c r="AN1434">
        <v>39</v>
      </c>
      <c r="AO1434">
        <v>29</v>
      </c>
      <c r="AP1434">
        <f>ifood_data[[#This Row],[MntTotal]]-ifood_data[[#This Row],[MntRegularProds]]</f>
        <v>10</v>
      </c>
      <c r="AQ1434">
        <v>1</v>
      </c>
      <c r="AR1434">
        <f>IF(SUM(ifood_data[[#This Row],[Kidhome]:[Teenhome]])&gt;0,1,0)</f>
        <v>1</v>
      </c>
      <c r="AS1434" t="str">
        <f>IF(SUM(ifood_data[[#This Row],[Kidhome]:[Teenhome]])&gt;0,"Has Family","No Family")</f>
        <v>Has Family</v>
      </c>
      <c r="AT1434" t="str">
        <f>IF(ifood_data[[#This Row],[marital_Married]]=1,"Married", (IF(ifood_data[[#This Row],[marital_Single]]=1,"Single",(IF(ifood_data[[#This Row],[marital_Divorced]]=1,"Divorced",(IF(ifood_data[[#This Row],[marital_Together]]=1,"Living Together",(IF(ifood_data[[#This Row],[marital_Widow]]=1,"Widow","Other")))))))))</f>
        <v>Living Together</v>
      </c>
      <c r="AU1434" t="str">
        <f>IF(ifood_data[[#This Row],[education_Basic]]=1,"High School",(IF(ifood_data[[#This Row],[education_Graduation]]=1,"Undergraduate Degree",(IF(SUM(AM1434,AL1434,AI1434)&gt;0,"Master's Degree or Higher","Other")))))</f>
        <v>Master's Degree or Higher</v>
      </c>
      <c r="AV1434" t="str">
        <f>IF(ifood_data[[#All],[Income]]&gt;75000,"75K+",(IF(ifood_data[[#All],[Income]]&gt;50000,"50K-75K",(IF(ifood_data[[#All],[Income]]&gt;35000,"35K-50K","&lt;35K")))))</f>
        <v>35K-50K</v>
      </c>
      <c r="AW1434" t="str">
        <f>IF(ifood_data[[#All],[Age]]&gt;60,"60+",(IF(ifood_data[[#All],[Age]]&gt;50,"50-60",(IF(ifood_data[[#All],[Age]]&gt;40,"40-50",(IF(ifood_data[[#All],[Age]]&gt;30,"30-40","&lt;30")))))))</f>
        <v>60+</v>
      </c>
      <c r="AX1434">
        <f t="shared" si="88"/>
        <v>10</v>
      </c>
      <c r="AY1434">
        <f t="shared" si="89"/>
        <v>5</v>
      </c>
      <c r="AZ1434">
        <f t="shared" si="90"/>
        <v>0</v>
      </c>
      <c r="BA1434">
        <f t="shared" si="91"/>
        <v>1</v>
      </c>
      <c r="BB1434">
        <f>SUM(ifood_data[[#This Row],[Recency Score]:[Monetary Score]])</f>
        <v>6</v>
      </c>
      <c r="BC1434">
        <f>(_xlfn.PERCENTRANK.INC(ifood_data[[#All],[RFM]],ifood_data[[#This Row],[RFM]],1))*10</f>
        <v>0</v>
      </c>
      <c r="BD1434" t="str">
        <f>VLOOKUP(ifood_data[[#This Row],[RFM Score]],'RFM Analysis'!$A$3:$B$14,2,FALSE)</f>
        <v>Lost</v>
      </c>
      <c r="BE1434">
        <f>'Regression Models'!$B$101+'Regression Models'!$B$102*ifood_data[[#This Row],[Income]]+'Regression Models'!$B$103*ifood_data[[#This Row],[Age]]+'Regression Models'!$B$104*ifood_data[[#This Row],[Family]]</f>
        <v>231.62151087103302</v>
      </c>
      <c r="BF1434" t="str">
        <f>IF(ifood_data[[#This Row],[AcceptedCmpOverall]]=1,"Campaign Respondent","Non-respondent")</f>
        <v>Campaign Respondent</v>
      </c>
    </row>
    <row r="1435" spans="1:58" x14ac:dyDescent="0.35">
      <c r="A1435">
        <v>99</v>
      </c>
      <c r="B1435">
        <v>38557</v>
      </c>
      <c r="C1435">
        <v>1</v>
      </c>
      <c r="D1435">
        <v>0</v>
      </c>
      <c r="E1435">
        <v>17</v>
      </c>
      <c r="F1435">
        <v>76</v>
      </c>
      <c r="G1435">
        <v>3</v>
      </c>
      <c r="H1435">
        <v>31</v>
      </c>
      <c r="I1435">
        <v>4</v>
      </c>
      <c r="J1435">
        <v>4</v>
      </c>
      <c r="K1435">
        <v>27</v>
      </c>
      <c r="L1435">
        <v>2</v>
      </c>
      <c r="M1435">
        <v>3</v>
      </c>
      <c r="N1435">
        <v>1</v>
      </c>
      <c r="O1435">
        <v>3</v>
      </c>
      <c r="P1435">
        <v>7</v>
      </c>
      <c r="Q1435">
        <v>0</v>
      </c>
      <c r="R1435">
        <v>0</v>
      </c>
      <c r="S1435">
        <v>0</v>
      </c>
      <c r="T1435">
        <v>0</v>
      </c>
      <c r="U1435">
        <v>0</v>
      </c>
      <c r="V1435">
        <f>IF(SUM(ifood_data[[#This Row],[AcceptedCmp1]:[AcceptedCmp5]])&gt;0,1,0)</f>
        <v>0</v>
      </c>
      <c r="W1435">
        <v>0</v>
      </c>
      <c r="X1435">
        <v>3</v>
      </c>
      <c r="Y1435">
        <v>11</v>
      </c>
      <c r="Z1435">
        <v>0</v>
      </c>
      <c r="AA1435">
        <v>42</v>
      </c>
      <c r="AB1435">
        <v>2716</v>
      </c>
      <c r="AC1435" s="28">
        <f>ifood_data[[#This Row],[Customer_Days]]/365</f>
        <v>7.441095890410959</v>
      </c>
      <c r="AD1435">
        <v>0</v>
      </c>
      <c r="AE1435">
        <v>0</v>
      </c>
      <c r="AF1435">
        <v>1</v>
      </c>
      <c r="AG1435">
        <v>0</v>
      </c>
      <c r="AH1435">
        <v>0</v>
      </c>
      <c r="AI1435">
        <v>0</v>
      </c>
      <c r="AJ1435">
        <v>0</v>
      </c>
      <c r="AK1435">
        <v>1</v>
      </c>
      <c r="AL1435">
        <v>0</v>
      </c>
      <c r="AM1435">
        <v>0</v>
      </c>
      <c r="AN1435">
        <v>118</v>
      </c>
      <c r="AO1435">
        <v>91</v>
      </c>
      <c r="AP1435">
        <f>ifood_data[[#This Row],[MntTotal]]-ifood_data[[#This Row],[MntRegularProds]]</f>
        <v>27</v>
      </c>
      <c r="AQ1435">
        <v>0</v>
      </c>
      <c r="AR1435">
        <f>IF(SUM(ifood_data[[#This Row],[Kidhome]:[Teenhome]])&gt;0,1,0)</f>
        <v>1</v>
      </c>
      <c r="AS1435" t="str">
        <f>IF(SUM(ifood_data[[#This Row],[Kidhome]:[Teenhome]])&gt;0,"Has Family","No Family")</f>
        <v>Has Family</v>
      </c>
      <c r="AT1435" t="str">
        <f>IF(ifood_data[[#This Row],[marital_Married]]=1,"Married", (IF(ifood_data[[#This Row],[marital_Single]]=1,"Single",(IF(ifood_data[[#This Row],[marital_Divorced]]=1,"Divorced",(IF(ifood_data[[#This Row],[marital_Together]]=1,"Living Together",(IF(ifood_data[[#This Row],[marital_Widow]]=1,"Widow","Other")))))))))</f>
        <v>Single</v>
      </c>
      <c r="AU1435" t="str">
        <f>IF(ifood_data[[#This Row],[education_Basic]]=1,"High School",(IF(ifood_data[[#This Row],[education_Graduation]]=1,"Undergraduate Degree",(IF(SUM(AM1435,AL1435,AI1435)&gt;0,"Master's Degree or Higher","Other")))))</f>
        <v>Undergraduate Degree</v>
      </c>
      <c r="AV1435" t="str">
        <f>IF(ifood_data[[#All],[Income]]&gt;75000,"75K+",(IF(ifood_data[[#All],[Income]]&gt;50000,"50K-75K",(IF(ifood_data[[#All],[Income]]&gt;35000,"35K-50K","&lt;35K")))))</f>
        <v>35K-50K</v>
      </c>
      <c r="AW1435" t="str">
        <f>IF(ifood_data[[#All],[Age]]&gt;60,"60+",(IF(ifood_data[[#All],[Age]]&gt;50,"50-60",(IF(ifood_data[[#All],[Age]]&gt;40,"40-50",(IF(ifood_data[[#All],[Age]]&gt;30,"30-40","&lt;30")))))))</f>
        <v>40-50</v>
      </c>
      <c r="AX1435">
        <f t="shared" si="88"/>
        <v>16</v>
      </c>
      <c r="AY1435">
        <f t="shared" si="89"/>
        <v>9</v>
      </c>
      <c r="AZ1435">
        <f t="shared" si="90"/>
        <v>3</v>
      </c>
      <c r="BA1435">
        <f t="shared" si="91"/>
        <v>3</v>
      </c>
      <c r="BB1435">
        <f>SUM(ifood_data[[#This Row],[Recency Score]:[Monetary Score]])</f>
        <v>15</v>
      </c>
      <c r="BC1435">
        <f>(_xlfn.PERCENTRANK.INC(ifood_data[[#All],[RFM]],ifood_data[[#This Row],[RFM]],1))*10</f>
        <v>4</v>
      </c>
      <c r="BD1435" t="str">
        <f>VLOOKUP(ifood_data[[#This Row],[RFM Score]],'RFM Analysis'!$A$3:$B$14,2,FALSE)</f>
        <v>At Risk</v>
      </c>
      <c r="BE1435">
        <f>'Regression Models'!$B$101+'Regression Models'!$B$102*ifood_data[[#This Row],[Income]]+'Regression Models'!$B$103*ifood_data[[#This Row],[Age]]+'Regression Models'!$B$104*ifood_data[[#This Row],[Family]]</f>
        <v>231.57040466326828</v>
      </c>
      <c r="BF1435" t="str">
        <f>IF(ifood_data[[#This Row],[AcceptedCmpOverall]]=1,"Campaign Respondent","Non-respondent")</f>
        <v>Non-respondent</v>
      </c>
    </row>
    <row r="1436" spans="1:58" x14ac:dyDescent="0.35">
      <c r="A1436">
        <v>1791</v>
      </c>
      <c r="B1436">
        <v>40887</v>
      </c>
      <c r="C1436">
        <v>1</v>
      </c>
      <c r="D1436">
        <v>1</v>
      </c>
      <c r="E1436">
        <v>32</v>
      </c>
      <c r="F1436">
        <v>50</v>
      </c>
      <c r="G1436">
        <v>4</v>
      </c>
      <c r="H1436">
        <v>44</v>
      </c>
      <c r="I1436">
        <v>10</v>
      </c>
      <c r="J1436">
        <v>10</v>
      </c>
      <c r="K1436">
        <v>43</v>
      </c>
      <c r="L1436">
        <v>3</v>
      </c>
      <c r="M1436">
        <v>3</v>
      </c>
      <c r="N1436">
        <v>1</v>
      </c>
      <c r="O1436">
        <v>3</v>
      </c>
      <c r="P1436">
        <v>9</v>
      </c>
      <c r="Q1436">
        <v>0</v>
      </c>
      <c r="R1436">
        <v>0</v>
      </c>
      <c r="S1436">
        <v>0</v>
      </c>
      <c r="T1436">
        <v>0</v>
      </c>
      <c r="U1436">
        <v>0</v>
      </c>
      <c r="V1436">
        <f>IF(SUM(ifood_data[[#This Row],[AcceptedCmp1]:[AcceptedCmp5]])&gt;0,1,0)</f>
        <v>0</v>
      </c>
      <c r="W1436">
        <v>0</v>
      </c>
      <c r="X1436">
        <v>3</v>
      </c>
      <c r="Y1436">
        <v>11</v>
      </c>
      <c r="Z1436">
        <v>1</v>
      </c>
      <c r="AA1436">
        <v>68</v>
      </c>
      <c r="AB1436">
        <v>2578</v>
      </c>
      <c r="AC1436" s="28">
        <f>ifood_data[[#This Row],[Customer_Days]]/365</f>
        <v>7.0630136986301366</v>
      </c>
      <c r="AD1436">
        <v>0</v>
      </c>
      <c r="AE1436">
        <v>0</v>
      </c>
      <c r="AF1436">
        <v>1</v>
      </c>
      <c r="AG1436">
        <v>0</v>
      </c>
      <c r="AH1436">
        <v>0</v>
      </c>
      <c r="AI1436">
        <v>0</v>
      </c>
      <c r="AJ1436">
        <v>0</v>
      </c>
      <c r="AK1436">
        <v>1</v>
      </c>
      <c r="AL1436">
        <v>0</v>
      </c>
      <c r="AM1436">
        <v>0</v>
      </c>
      <c r="AN1436">
        <v>118</v>
      </c>
      <c r="AO1436">
        <v>75</v>
      </c>
      <c r="AP1436">
        <f>ifood_data[[#This Row],[MntTotal]]-ifood_data[[#This Row],[MntRegularProds]]</f>
        <v>43</v>
      </c>
      <c r="AQ1436">
        <v>0</v>
      </c>
      <c r="AR1436">
        <f>IF(SUM(ifood_data[[#This Row],[Kidhome]:[Teenhome]])&gt;0,1,0)</f>
        <v>1</v>
      </c>
      <c r="AS1436" t="str">
        <f>IF(SUM(ifood_data[[#This Row],[Kidhome]:[Teenhome]])&gt;0,"Has Family","No Family")</f>
        <v>Has Family</v>
      </c>
      <c r="AT1436" t="str">
        <f>IF(ifood_data[[#This Row],[marital_Married]]=1,"Married", (IF(ifood_data[[#This Row],[marital_Single]]=1,"Single",(IF(ifood_data[[#This Row],[marital_Divorced]]=1,"Divorced",(IF(ifood_data[[#This Row],[marital_Together]]=1,"Living Together",(IF(ifood_data[[#This Row],[marital_Widow]]=1,"Widow","Other")))))))))</f>
        <v>Single</v>
      </c>
      <c r="AU1436" t="str">
        <f>IF(ifood_data[[#This Row],[education_Basic]]=1,"High School",(IF(ifood_data[[#This Row],[education_Graduation]]=1,"Undergraduate Degree",(IF(SUM(AM1436,AL1436,AI1436)&gt;0,"Master's Degree or Higher","Other")))))</f>
        <v>Undergraduate Degree</v>
      </c>
      <c r="AV1436" t="str">
        <f>IF(ifood_data[[#All],[Income]]&gt;75000,"75K+",(IF(ifood_data[[#All],[Income]]&gt;50000,"50K-75K",(IF(ifood_data[[#All],[Income]]&gt;35000,"35K-50K","&lt;35K")))))</f>
        <v>35K-50K</v>
      </c>
      <c r="AW1436" t="str">
        <f>IF(ifood_data[[#All],[Age]]&gt;60,"60+",(IF(ifood_data[[#All],[Age]]&gt;50,"50-60",(IF(ifood_data[[#All],[Age]]&gt;40,"40-50",(IF(ifood_data[[#All],[Age]]&gt;30,"30-40","&lt;30")))))))</f>
        <v>60+</v>
      </c>
      <c r="AX1436">
        <f t="shared" si="88"/>
        <v>19</v>
      </c>
      <c r="AY1436">
        <f t="shared" si="89"/>
        <v>7</v>
      </c>
      <c r="AZ1436">
        <f t="shared" si="90"/>
        <v>4</v>
      </c>
      <c r="BA1436">
        <f t="shared" si="91"/>
        <v>3</v>
      </c>
      <c r="BB1436">
        <f>SUM(ifood_data[[#This Row],[Recency Score]:[Monetary Score]])</f>
        <v>14</v>
      </c>
      <c r="BC1436">
        <f>(_xlfn.PERCENTRANK.INC(ifood_data[[#All],[RFM]],ifood_data[[#This Row],[RFM]],1))*10</f>
        <v>4</v>
      </c>
      <c r="BD1436" t="str">
        <f>VLOOKUP(ifood_data[[#This Row],[RFM Score]],'RFM Analysis'!$A$3:$B$14,2,FALSE)</f>
        <v>At Risk</v>
      </c>
      <c r="BE1436">
        <f>'Regression Models'!$B$101+'Regression Models'!$B$102*ifood_data[[#This Row],[Income]]+'Regression Models'!$B$103*ifood_data[[#This Row],[Age]]+'Regression Models'!$B$104*ifood_data[[#This Row],[Family]]</f>
        <v>231.32881838730157</v>
      </c>
      <c r="BF1436" t="str">
        <f>IF(ifood_data[[#This Row],[AcceptedCmpOverall]]=1,"Campaign Respondent","Non-respondent")</f>
        <v>Non-respondent</v>
      </c>
    </row>
    <row r="1437" spans="1:58" x14ac:dyDescent="0.35">
      <c r="A1437">
        <v>455</v>
      </c>
      <c r="B1437">
        <v>38961</v>
      </c>
      <c r="C1437">
        <v>1</v>
      </c>
      <c r="D1437">
        <v>0</v>
      </c>
      <c r="E1437">
        <v>60</v>
      </c>
      <c r="F1437">
        <v>19</v>
      </c>
      <c r="G1437">
        <v>7</v>
      </c>
      <c r="H1437">
        <v>19</v>
      </c>
      <c r="I1437">
        <v>0</v>
      </c>
      <c r="J1437">
        <v>1</v>
      </c>
      <c r="K1437">
        <v>24</v>
      </c>
      <c r="L1437">
        <v>1</v>
      </c>
      <c r="M1437">
        <v>2</v>
      </c>
      <c r="N1437">
        <v>1</v>
      </c>
      <c r="O1437">
        <v>2</v>
      </c>
      <c r="P1437">
        <v>7</v>
      </c>
      <c r="Q1437">
        <v>0</v>
      </c>
      <c r="R1437">
        <v>0</v>
      </c>
      <c r="S1437">
        <v>0</v>
      </c>
      <c r="T1437">
        <v>0</v>
      </c>
      <c r="U1437">
        <v>0</v>
      </c>
      <c r="V1437">
        <f>IF(SUM(ifood_data[[#This Row],[AcceptedCmp1]:[AcceptedCmp5]])&gt;0,1,0)</f>
        <v>0</v>
      </c>
      <c r="W1437">
        <v>0</v>
      </c>
      <c r="X1437">
        <v>3</v>
      </c>
      <c r="Y1437">
        <v>11</v>
      </c>
      <c r="Z1437">
        <v>0</v>
      </c>
      <c r="AA1437">
        <v>47</v>
      </c>
      <c r="AB1437">
        <v>2340</v>
      </c>
      <c r="AC1437" s="28">
        <f>ifood_data[[#This Row],[Customer_Days]]/365</f>
        <v>6.4109589041095889</v>
      </c>
      <c r="AD1437">
        <v>0</v>
      </c>
      <c r="AE1437">
        <v>1</v>
      </c>
      <c r="AF1437">
        <v>0</v>
      </c>
      <c r="AG1437">
        <v>0</v>
      </c>
      <c r="AH1437">
        <v>0</v>
      </c>
      <c r="AI1437">
        <v>0</v>
      </c>
      <c r="AJ1437">
        <v>0</v>
      </c>
      <c r="AK1437">
        <v>0</v>
      </c>
      <c r="AL1437">
        <v>1</v>
      </c>
      <c r="AM1437">
        <v>0</v>
      </c>
      <c r="AN1437">
        <v>46</v>
      </c>
      <c r="AO1437">
        <v>22</v>
      </c>
      <c r="AP1437">
        <f>ifood_data[[#This Row],[MntTotal]]-ifood_data[[#This Row],[MntRegularProds]]</f>
        <v>24</v>
      </c>
      <c r="AQ1437">
        <v>0</v>
      </c>
      <c r="AR1437">
        <f>IF(SUM(ifood_data[[#This Row],[Kidhome]:[Teenhome]])&gt;0,1,0)</f>
        <v>1</v>
      </c>
      <c r="AS1437" t="str">
        <f>IF(SUM(ifood_data[[#This Row],[Kidhome]:[Teenhome]])&gt;0,"Has Family","No Family")</f>
        <v>Has Family</v>
      </c>
      <c r="AT1437" t="str">
        <f>IF(ifood_data[[#This Row],[marital_Married]]=1,"Married", (IF(ifood_data[[#This Row],[marital_Single]]=1,"Single",(IF(ifood_data[[#This Row],[marital_Divorced]]=1,"Divorced",(IF(ifood_data[[#This Row],[marital_Together]]=1,"Living Together",(IF(ifood_data[[#This Row],[marital_Widow]]=1,"Widow","Other")))))))))</f>
        <v>Married</v>
      </c>
      <c r="AU1437" t="str">
        <f>IF(ifood_data[[#This Row],[education_Basic]]=1,"High School",(IF(ifood_data[[#This Row],[education_Graduation]]=1,"Undergraduate Degree",(IF(SUM(AM1437,AL1437,AI1437)&gt;0,"Master's Degree or Higher","Other")))))</f>
        <v>Master's Degree or Higher</v>
      </c>
      <c r="AV1437" t="str">
        <f>IF(ifood_data[[#All],[Income]]&gt;75000,"75K+",(IF(ifood_data[[#All],[Income]]&gt;50000,"50K-75K",(IF(ifood_data[[#All],[Income]]&gt;35000,"35K-50K","&lt;35K")))))</f>
        <v>35K-50K</v>
      </c>
      <c r="AW1437" t="str">
        <f>IF(ifood_data[[#All],[Age]]&gt;60,"60+",(IF(ifood_data[[#All],[Age]]&gt;50,"50-60",(IF(ifood_data[[#All],[Age]]&gt;40,"40-50",(IF(ifood_data[[#All],[Age]]&gt;30,"30-40","&lt;30")))))))</f>
        <v>40-50</v>
      </c>
      <c r="AX1437">
        <f t="shared" si="88"/>
        <v>13</v>
      </c>
      <c r="AY1437">
        <f t="shared" si="89"/>
        <v>4</v>
      </c>
      <c r="AZ1437">
        <f t="shared" si="90"/>
        <v>1</v>
      </c>
      <c r="BA1437">
        <f t="shared" si="91"/>
        <v>2</v>
      </c>
      <c r="BB1437">
        <f>SUM(ifood_data[[#This Row],[Recency Score]:[Monetary Score]])</f>
        <v>7</v>
      </c>
      <c r="BC1437">
        <f>(_xlfn.PERCENTRANK.INC(ifood_data[[#All],[RFM]],ifood_data[[#This Row],[RFM]],1))*10</f>
        <v>1</v>
      </c>
      <c r="BD1437" t="str">
        <f>VLOOKUP(ifood_data[[#This Row],[RFM Score]],'RFM Analysis'!$A$3:$B$14,2,FALSE)</f>
        <v>At Risk</v>
      </c>
      <c r="BE1437">
        <f>'Regression Models'!$B$101+'Regression Models'!$B$102*ifood_data[[#This Row],[Income]]+'Regression Models'!$B$103*ifood_data[[#This Row],[Age]]+'Regression Models'!$B$104*ifood_data[[#This Row],[Family]]</f>
        <v>230.62527159893204</v>
      </c>
      <c r="BF1437" t="str">
        <f>IF(ifood_data[[#This Row],[AcceptedCmpOverall]]=1,"Campaign Respondent","Non-respondent")</f>
        <v>Non-respondent</v>
      </c>
    </row>
    <row r="1438" spans="1:58" x14ac:dyDescent="0.35">
      <c r="A1438">
        <v>431</v>
      </c>
      <c r="B1438">
        <v>38988</v>
      </c>
      <c r="C1438">
        <v>1</v>
      </c>
      <c r="D1438">
        <v>2</v>
      </c>
      <c r="E1438">
        <v>90</v>
      </c>
      <c r="F1438">
        <v>164</v>
      </c>
      <c r="G1438">
        <v>24</v>
      </c>
      <c r="H1438">
        <v>103</v>
      </c>
      <c r="I1438">
        <v>12</v>
      </c>
      <c r="J1438">
        <v>3</v>
      </c>
      <c r="K1438">
        <v>42</v>
      </c>
      <c r="L1438">
        <v>7</v>
      </c>
      <c r="M1438">
        <v>5</v>
      </c>
      <c r="N1438">
        <v>1</v>
      </c>
      <c r="O1438">
        <v>6</v>
      </c>
      <c r="P1438">
        <v>8</v>
      </c>
      <c r="Q1438">
        <v>0</v>
      </c>
      <c r="R1438">
        <v>0</v>
      </c>
      <c r="S1438">
        <v>0</v>
      </c>
      <c r="T1438">
        <v>0</v>
      </c>
      <c r="U1438">
        <v>0</v>
      </c>
      <c r="V1438">
        <f>IF(SUM(ifood_data[[#This Row],[AcceptedCmp1]:[AcceptedCmp5]])&gt;0,1,0)</f>
        <v>0</v>
      </c>
      <c r="W1438">
        <v>0</v>
      </c>
      <c r="X1438">
        <v>3</v>
      </c>
      <c r="Y1438">
        <v>11</v>
      </c>
      <c r="Z1438">
        <v>0</v>
      </c>
      <c r="AA1438">
        <v>48</v>
      </c>
      <c r="AB1438">
        <v>2837</v>
      </c>
      <c r="AC1438" s="28">
        <f>ifood_data[[#This Row],[Customer_Days]]/365</f>
        <v>7.7726027397260271</v>
      </c>
      <c r="AD1438">
        <v>0</v>
      </c>
      <c r="AE1438">
        <v>1</v>
      </c>
      <c r="AF1438">
        <v>0</v>
      </c>
      <c r="AG1438">
        <v>0</v>
      </c>
      <c r="AH1438">
        <v>0</v>
      </c>
      <c r="AI1438">
        <v>0</v>
      </c>
      <c r="AJ1438">
        <v>0</v>
      </c>
      <c r="AK1438">
        <v>1</v>
      </c>
      <c r="AL1438">
        <v>0</v>
      </c>
      <c r="AM1438">
        <v>0</v>
      </c>
      <c r="AN1438">
        <v>306</v>
      </c>
      <c r="AO1438">
        <v>264</v>
      </c>
      <c r="AP1438">
        <f>ifood_data[[#This Row],[MntTotal]]-ifood_data[[#This Row],[MntRegularProds]]</f>
        <v>42</v>
      </c>
      <c r="AQ1438">
        <v>0</v>
      </c>
      <c r="AR1438">
        <f>IF(SUM(ifood_data[[#This Row],[Kidhome]:[Teenhome]])&gt;0,1,0)</f>
        <v>1</v>
      </c>
      <c r="AS1438" t="str">
        <f>IF(SUM(ifood_data[[#This Row],[Kidhome]:[Teenhome]])&gt;0,"Has Family","No Family")</f>
        <v>Has Family</v>
      </c>
      <c r="AT1438" t="str">
        <f>IF(ifood_data[[#This Row],[marital_Married]]=1,"Married", (IF(ifood_data[[#This Row],[marital_Single]]=1,"Single",(IF(ifood_data[[#This Row],[marital_Divorced]]=1,"Divorced",(IF(ifood_data[[#This Row],[marital_Together]]=1,"Living Together",(IF(ifood_data[[#This Row],[marital_Widow]]=1,"Widow","Other")))))))))</f>
        <v>Married</v>
      </c>
      <c r="AU1438" t="str">
        <f>IF(ifood_data[[#This Row],[education_Basic]]=1,"High School",(IF(ifood_data[[#This Row],[education_Graduation]]=1,"Undergraduate Degree",(IF(SUM(AM1438,AL1438,AI1438)&gt;0,"Master's Degree or Higher","Other")))))</f>
        <v>Undergraduate Degree</v>
      </c>
      <c r="AV1438" t="str">
        <f>IF(ifood_data[[#All],[Income]]&gt;75000,"75K+",(IF(ifood_data[[#All],[Income]]&gt;50000,"50K-75K",(IF(ifood_data[[#All],[Income]]&gt;35000,"35K-50K","&lt;35K")))))</f>
        <v>35K-50K</v>
      </c>
      <c r="AW1438" t="str">
        <f>IF(ifood_data[[#All],[Age]]&gt;60,"60+",(IF(ifood_data[[#All],[Age]]&gt;50,"50-60",(IF(ifood_data[[#All],[Age]]&gt;40,"40-50",(IF(ifood_data[[#All],[Age]]&gt;30,"30-40","&lt;30")))))))</f>
        <v>40-50</v>
      </c>
      <c r="AX1438">
        <f t="shared" si="88"/>
        <v>27</v>
      </c>
      <c r="AY1438">
        <f t="shared" si="89"/>
        <v>0.99999999999999978</v>
      </c>
      <c r="AZ1438">
        <f t="shared" si="90"/>
        <v>7</v>
      </c>
      <c r="BA1438">
        <f t="shared" si="91"/>
        <v>4</v>
      </c>
      <c r="BB1438">
        <f>SUM(ifood_data[[#This Row],[Recency Score]:[Monetary Score]])</f>
        <v>12</v>
      </c>
      <c r="BC1438">
        <f>(_xlfn.PERCENTRANK.INC(ifood_data[[#All],[RFM]],ifood_data[[#This Row],[RFM]],1))*10</f>
        <v>3</v>
      </c>
      <c r="BD1438" t="str">
        <f>VLOOKUP(ifood_data[[#This Row],[RFM Score]],'RFM Analysis'!$A$3:$B$14,2,FALSE)</f>
        <v>At Risk</v>
      </c>
      <c r="BE1438">
        <f>'Regression Models'!$B$101+'Regression Models'!$B$102*ifood_data[[#This Row],[Income]]+'Regression Models'!$B$103*ifood_data[[#This Row],[Age]]+'Regression Models'!$B$104*ifood_data[[#This Row],[Family]]</f>
        <v>229.33932925992303</v>
      </c>
      <c r="BF1438" t="str">
        <f>IF(ifood_data[[#This Row],[AcceptedCmpOverall]]=1,"Campaign Respondent","Non-respondent")</f>
        <v>Non-respondent</v>
      </c>
    </row>
    <row r="1439" spans="1:58" x14ac:dyDescent="0.35">
      <c r="A1439">
        <v>448</v>
      </c>
      <c r="B1439">
        <v>38415</v>
      </c>
      <c r="C1439">
        <v>1</v>
      </c>
      <c r="D1439">
        <v>1</v>
      </c>
      <c r="E1439">
        <v>91</v>
      </c>
      <c r="F1439">
        <v>22</v>
      </c>
      <c r="G1439">
        <v>1</v>
      </c>
      <c r="H1439">
        <v>13</v>
      </c>
      <c r="I1439">
        <v>4</v>
      </c>
      <c r="J1439">
        <v>0</v>
      </c>
      <c r="K1439">
        <v>4</v>
      </c>
      <c r="L1439">
        <v>2</v>
      </c>
      <c r="M1439">
        <v>1</v>
      </c>
      <c r="N1439">
        <v>0</v>
      </c>
      <c r="O1439">
        <v>3</v>
      </c>
      <c r="P1439">
        <v>7</v>
      </c>
      <c r="Q1439">
        <v>0</v>
      </c>
      <c r="R1439">
        <v>0</v>
      </c>
      <c r="S1439">
        <v>0</v>
      </c>
      <c r="T1439">
        <v>0</v>
      </c>
      <c r="U1439">
        <v>0</v>
      </c>
      <c r="V1439">
        <f>IF(SUM(ifood_data[[#This Row],[AcceptedCmp1]:[AcceptedCmp5]])&gt;0,1,0)</f>
        <v>0</v>
      </c>
      <c r="W1439">
        <v>0</v>
      </c>
      <c r="X1439">
        <v>3</v>
      </c>
      <c r="Y1439">
        <v>11</v>
      </c>
      <c r="Z1439">
        <v>0</v>
      </c>
      <c r="AA1439">
        <v>42</v>
      </c>
      <c r="AB1439">
        <v>2702</v>
      </c>
      <c r="AC1439" s="28">
        <f>ifood_data[[#This Row],[Customer_Days]]/365</f>
        <v>7.4027397260273968</v>
      </c>
      <c r="AD1439">
        <v>0</v>
      </c>
      <c r="AE1439">
        <v>1</v>
      </c>
      <c r="AF1439">
        <v>0</v>
      </c>
      <c r="AG1439">
        <v>0</v>
      </c>
      <c r="AH1439">
        <v>0</v>
      </c>
      <c r="AI1439">
        <v>0</v>
      </c>
      <c r="AJ1439">
        <v>0</v>
      </c>
      <c r="AK1439">
        <v>1</v>
      </c>
      <c r="AL1439">
        <v>0</v>
      </c>
      <c r="AM1439">
        <v>0</v>
      </c>
      <c r="AN1439">
        <v>40</v>
      </c>
      <c r="AO1439">
        <v>36</v>
      </c>
      <c r="AP1439">
        <f>ifood_data[[#This Row],[MntTotal]]-ifood_data[[#This Row],[MntRegularProds]]</f>
        <v>4</v>
      </c>
      <c r="AQ1439">
        <v>0</v>
      </c>
      <c r="AR1439">
        <f>IF(SUM(ifood_data[[#This Row],[Kidhome]:[Teenhome]])&gt;0,1,0)</f>
        <v>1</v>
      </c>
      <c r="AS1439" t="str">
        <f>IF(SUM(ifood_data[[#This Row],[Kidhome]:[Teenhome]])&gt;0,"Has Family","No Family")</f>
        <v>Has Family</v>
      </c>
      <c r="AT1439" t="str">
        <f>IF(ifood_data[[#This Row],[marital_Married]]=1,"Married", (IF(ifood_data[[#This Row],[marital_Single]]=1,"Single",(IF(ifood_data[[#This Row],[marital_Divorced]]=1,"Divorced",(IF(ifood_data[[#This Row],[marital_Together]]=1,"Living Together",(IF(ifood_data[[#This Row],[marital_Widow]]=1,"Widow","Other")))))))))</f>
        <v>Married</v>
      </c>
      <c r="AU1439" t="str">
        <f>IF(ifood_data[[#This Row],[education_Basic]]=1,"High School",(IF(ifood_data[[#This Row],[education_Graduation]]=1,"Undergraduate Degree",(IF(SUM(AM1439,AL1439,AI1439)&gt;0,"Master's Degree or Higher","Other")))))</f>
        <v>Undergraduate Degree</v>
      </c>
      <c r="AV1439" t="str">
        <f>IF(ifood_data[[#All],[Income]]&gt;75000,"75K+",(IF(ifood_data[[#All],[Income]]&gt;50000,"50K-75K",(IF(ifood_data[[#All],[Income]]&gt;35000,"35K-50K","&lt;35K")))))</f>
        <v>35K-50K</v>
      </c>
      <c r="AW1439" t="str">
        <f>IF(ifood_data[[#All],[Age]]&gt;60,"60+",(IF(ifood_data[[#All],[Age]]&gt;50,"50-60",(IF(ifood_data[[#All],[Age]]&gt;40,"40-50",(IF(ifood_data[[#All],[Age]]&gt;30,"30-40","&lt;30")))))))</f>
        <v>40-50</v>
      </c>
      <c r="AX1439">
        <f t="shared" si="88"/>
        <v>13</v>
      </c>
      <c r="AY1439">
        <f t="shared" si="89"/>
        <v>0.99999999999999978</v>
      </c>
      <c r="AZ1439">
        <f t="shared" si="90"/>
        <v>1</v>
      </c>
      <c r="BA1439">
        <f t="shared" si="91"/>
        <v>1</v>
      </c>
      <c r="BB1439">
        <f>SUM(ifood_data[[#This Row],[Recency Score]:[Monetary Score]])</f>
        <v>3</v>
      </c>
      <c r="BC1439">
        <f>(_xlfn.PERCENTRANK.INC(ifood_data[[#All],[RFM]],ifood_data[[#This Row],[RFM]],1))*10</f>
        <v>0</v>
      </c>
      <c r="BD1439" t="str">
        <f>VLOOKUP(ifood_data[[#This Row],[RFM Score]],'RFM Analysis'!$A$3:$B$14,2,FALSE)</f>
        <v>Lost</v>
      </c>
      <c r="BE1439">
        <f>'Regression Models'!$B$101+'Regression Models'!$B$102*ifood_data[[#This Row],[Income]]+'Regression Models'!$B$103*ifood_data[[#This Row],[Age]]+'Regression Models'!$B$104*ifood_data[[#This Row],[Family]]</f>
        <v>228.67519958683465</v>
      </c>
      <c r="BF1439" t="str">
        <f>IF(ifood_data[[#This Row],[AcceptedCmpOverall]]=1,"Campaign Respondent","Non-respondent")</f>
        <v>Non-respondent</v>
      </c>
    </row>
    <row r="1440" spans="1:58" x14ac:dyDescent="0.35">
      <c r="A1440">
        <v>1302</v>
      </c>
      <c r="B1440">
        <v>38887</v>
      </c>
      <c r="C1440">
        <v>1</v>
      </c>
      <c r="D1440">
        <v>0</v>
      </c>
      <c r="E1440">
        <v>17</v>
      </c>
      <c r="F1440">
        <v>25</v>
      </c>
      <c r="G1440">
        <v>1</v>
      </c>
      <c r="H1440">
        <v>13</v>
      </c>
      <c r="I1440">
        <v>0</v>
      </c>
      <c r="J1440">
        <v>0</v>
      </c>
      <c r="K1440">
        <v>3</v>
      </c>
      <c r="L1440">
        <v>1</v>
      </c>
      <c r="M1440">
        <v>1</v>
      </c>
      <c r="N1440">
        <v>0</v>
      </c>
      <c r="O1440">
        <v>3</v>
      </c>
      <c r="P1440">
        <v>7</v>
      </c>
      <c r="Q1440">
        <v>0</v>
      </c>
      <c r="R1440">
        <v>0</v>
      </c>
      <c r="S1440">
        <v>0</v>
      </c>
      <c r="T1440">
        <v>0</v>
      </c>
      <c r="U1440">
        <v>0</v>
      </c>
      <c r="V1440">
        <f>IF(SUM(ifood_data[[#This Row],[AcceptedCmp1]:[AcceptedCmp5]])&gt;0,1,0)</f>
        <v>0</v>
      </c>
      <c r="W1440">
        <v>0</v>
      </c>
      <c r="X1440">
        <v>3</v>
      </c>
      <c r="Y1440">
        <v>11</v>
      </c>
      <c r="Z1440">
        <v>0</v>
      </c>
      <c r="AA1440">
        <v>48</v>
      </c>
      <c r="AB1440">
        <v>2278</v>
      </c>
      <c r="AC1440" s="28">
        <f>ifood_data[[#This Row],[Customer_Days]]/365</f>
        <v>6.2410958904109588</v>
      </c>
      <c r="AD1440">
        <v>0</v>
      </c>
      <c r="AE1440">
        <v>0</v>
      </c>
      <c r="AF1440">
        <v>0</v>
      </c>
      <c r="AG1440">
        <v>1</v>
      </c>
      <c r="AH1440">
        <v>0</v>
      </c>
      <c r="AI1440">
        <v>0</v>
      </c>
      <c r="AJ1440">
        <v>0</v>
      </c>
      <c r="AK1440">
        <v>0</v>
      </c>
      <c r="AL1440">
        <v>0</v>
      </c>
      <c r="AM1440">
        <v>1</v>
      </c>
      <c r="AN1440">
        <v>39</v>
      </c>
      <c r="AO1440">
        <v>36</v>
      </c>
      <c r="AP1440">
        <f>ifood_data[[#This Row],[MntTotal]]-ifood_data[[#This Row],[MntRegularProds]]</f>
        <v>3</v>
      </c>
      <c r="AQ1440">
        <v>0</v>
      </c>
      <c r="AR1440">
        <f>IF(SUM(ifood_data[[#This Row],[Kidhome]:[Teenhome]])&gt;0,1,0)</f>
        <v>1</v>
      </c>
      <c r="AS1440" t="str">
        <f>IF(SUM(ifood_data[[#This Row],[Kidhome]:[Teenhome]])&gt;0,"Has Family","No Family")</f>
        <v>Has Family</v>
      </c>
      <c r="AT1440" t="str">
        <f>IF(ifood_data[[#This Row],[marital_Married]]=1,"Married", (IF(ifood_data[[#This Row],[marital_Single]]=1,"Single",(IF(ifood_data[[#This Row],[marital_Divorced]]=1,"Divorced",(IF(ifood_data[[#This Row],[marital_Together]]=1,"Living Together",(IF(ifood_data[[#This Row],[marital_Widow]]=1,"Widow","Other")))))))))</f>
        <v>Living Together</v>
      </c>
      <c r="AU1440" t="str">
        <f>IF(ifood_data[[#This Row],[education_Basic]]=1,"High School",(IF(ifood_data[[#This Row],[education_Graduation]]=1,"Undergraduate Degree",(IF(SUM(AM1440,AL1440,AI1440)&gt;0,"Master's Degree or Higher","Other")))))</f>
        <v>Master's Degree or Higher</v>
      </c>
      <c r="AV1440" t="str">
        <f>IF(ifood_data[[#All],[Income]]&gt;75000,"75K+",(IF(ifood_data[[#All],[Income]]&gt;50000,"50K-75K",(IF(ifood_data[[#All],[Income]]&gt;35000,"35K-50K","&lt;35K")))))</f>
        <v>35K-50K</v>
      </c>
      <c r="AW1440" t="str">
        <f>IF(ifood_data[[#All],[Age]]&gt;60,"60+",(IF(ifood_data[[#All],[Age]]&gt;50,"50-60",(IF(ifood_data[[#All],[Age]]&gt;40,"40-50",(IF(ifood_data[[#All],[Age]]&gt;30,"30-40","&lt;30")))))))</f>
        <v>40-50</v>
      </c>
      <c r="AX1440">
        <f t="shared" si="88"/>
        <v>12</v>
      </c>
      <c r="AY1440">
        <f t="shared" si="89"/>
        <v>9</v>
      </c>
      <c r="AZ1440">
        <f t="shared" si="90"/>
        <v>1</v>
      </c>
      <c r="BA1440">
        <f t="shared" si="91"/>
        <v>1</v>
      </c>
      <c r="BB1440">
        <f>SUM(ifood_data[[#This Row],[Recency Score]:[Monetary Score]])</f>
        <v>11</v>
      </c>
      <c r="BC1440">
        <f>(_xlfn.PERCENTRANK.INC(ifood_data[[#All],[RFM]],ifood_data[[#This Row],[RFM]],1))*10</f>
        <v>2</v>
      </c>
      <c r="BD1440" t="str">
        <f>VLOOKUP(ifood_data[[#This Row],[RFM Score]],'RFM Analysis'!$A$3:$B$14,2,FALSE)</f>
        <v>At Risk</v>
      </c>
      <c r="BE1440">
        <f>'Regression Models'!$B$101+'Regression Models'!$B$102*ifood_data[[#This Row],[Income]]+'Regression Models'!$B$103*ifood_data[[#This Row],[Age]]+'Regression Models'!$B$104*ifood_data[[#This Row],[Family]]</f>
        <v>227.28006367738931</v>
      </c>
      <c r="BF1440" t="str">
        <f>IF(ifood_data[[#This Row],[AcceptedCmpOverall]]=1,"Campaign Respondent","Non-respondent")</f>
        <v>Non-respondent</v>
      </c>
    </row>
    <row r="1441" spans="1:58" x14ac:dyDescent="0.35">
      <c r="A1441">
        <v>1197</v>
      </c>
      <c r="B1441">
        <v>38808</v>
      </c>
      <c r="C1441">
        <v>1</v>
      </c>
      <c r="D1441">
        <v>0</v>
      </c>
      <c r="E1441">
        <v>21</v>
      </c>
      <c r="F1441">
        <v>125</v>
      </c>
      <c r="G1441">
        <v>17</v>
      </c>
      <c r="H1441">
        <v>52</v>
      </c>
      <c r="I1441">
        <v>3</v>
      </c>
      <c r="J1441">
        <v>19</v>
      </c>
      <c r="K1441">
        <v>30</v>
      </c>
      <c r="L1441">
        <v>4</v>
      </c>
      <c r="M1441">
        <v>5</v>
      </c>
      <c r="N1441">
        <v>1</v>
      </c>
      <c r="O1441">
        <v>4</v>
      </c>
      <c r="P1441">
        <v>8</v>
      </c>
      <c r="Q1441">
        <v>0</v>
      </c>
      <c r="R1441">
        <v>0</v>
      </c>
      <c r="S1441">
        <v>1</v>
      </c>
      <c r="T1441">
        <v>0</v>
      </c>
      <c r="U1441">
        <v>0</v>
      </c>
      <c r="V1441">
        <f>IF(SUM(ifood_data[[#This Row],[AcceptedCmp1]:[AcceptedCmp5]])&gt;0,1,0)</f>
        <v>1</v>
      </c>
      <c r="W1441">
        <v>0</v>
      </c>
      <c r="X1441">
        <v>3</v>
      </c>
      <c r="Y1441">
        <v>11</v>
      </c>
      <c r="Z1441">
        <v>1</v>
      </c>
      <c r="AA1441">
        <v>48</v>
      </c>
      <c r="AB1441">
        <v>2831</v>
      </c>
      <c r="AC1441" s="28">
        <f>ifood_data[[#This Row],[Customer_Days]]/365</f>
        <v>7.7561643835616438</v>
      </c>
      <c r="AD1441">
        <v>0</v>
      </c>
      <c r="AE1441">
        <v>0</v>
      </c>
      <c r="AF1441">
        <v>1</v>
      </c>
      <c r="AG1441">
        <v>0</v>
      </c>
      <c r="AH1441">
        <v>0</v>
      </c>
      <c r="AI1441">
        <v>0</v>
      </c>
      <c r="AJ1441">
        <v>0</v>
      </c>
      <c r="AK1441">
        <v>1</v>
      </c>
      <c r="AL1441">
        <v>0</v>
      </c>
      <c r="AM1441">
        <v>0</v>
      </c>
      <c r="AN1441">
        <v>216</v>
      </c>
      <c r="AO1441">
        <v>186</v>
      </c>
      <c r="AP1441">
        <f>ifood_data[[#This Row],[MntTotal]]-ifood_data[[#This Row],[MntRegularProds]]</f>
        <v>30</v>
      </c>
      <c r="AQ1441">
        <v>1</v>
      </c>
      <c r="AR1441">
        <f>IF(SUM(ifood_data[[#This Row],[Kidhome]:[Teenhome]])&gt;0,1,0)</f>
        <v>1</v>
      </c>
      <c r="AS1441" t="str">
        <f>IF(SUM(ifood_data[[#This Row],[Kidhome]:[Teenhome]])&gt;0,"Has Family","No Family")</f>
        <v>Has Family</v>
      </c>
      <c r="AT1441" t="str">
        <f>IF(ifood_data[[#This Row],[marital_Married]]=1,"Married", (IF(ifood_data[[#This Row],[marital_Single]]=1,"Single",(IF(ifood_data[[#This Row],[marital_Divorced]]=1,"Divorced",(IF(ifood_data[[#This Row],[marital_Together]]=1,"Living Together",(IF(ifood_data[[#This Row],[marital_Widow]]=1,"Widow","Other")))))))))</f>
        <v>Single</v>
      </c>
      <c r="AU1441" t="str">
        <f>IF(ifood_data[[#This Row],[education_Basic]]=1,"High School",(IF(ifood_data[[#This Row],[education_Graduation]]=1,"Undergraduate Degree",(IF(SUM(AM1441,AL1441,AI1441)&gt;0,"Master's Degree or Higher","Other")))))</f>
        <v>Undergraduate Degree</v>
      </c>
      <c r="AV1441" t="str">
        <f>IF(ifood_data[[#All],[Income]]&gt;75000,"75K+",(IF(ifood_data[[#All],[Income]]&gt;50000,"50K-75K",(IF(ifood_data[[#All],[Income]]&gt;35000,"35K-50K","&lt;35K")))))</f>
        <v>35K-50K</v>
      </c>
      <c r="AW1441" t="str">
        <f>IF(ifood_data[[#All],[Age]]&gt;60,"60+",(IF(ifood_data[[#All],[Age]]&gt;50,"50-60",(IF(ifood_data[[#All],[Age]]&gt;40,"40-50",(IF(ifood_data[[#All],[Age]]&gt;30,"30-40","&lt;30")))))))</f>
        <v>40-50</v>
      </c>
      <c r="AX1441">
        <f t="shared" si="88"/>
        <v>22</v>
      </c>
      <c r="AY1441">
        <f t="shared" si="89"/>
        <v>8</v>
      </c>
      <c r="AZ1441">
        <f t="shared" si="90"/>
        <v>5</v>
      </c>
      <c r="BA1441">
        <f t="shared" si="91"/>
        <v>4</v>
      </c>
      <c r="BB1441">
        <f>SUM(ifood_data[[#This Row],[Recency Score]:[Monetary Score]])</f>
        <v>17</v>
      </c>
      <c r="BC1441">
        <f>(_xlfn.PERCENTRANK.INC(ifood_data[[#All],[RFM]],ifood_data[[#This Row],[RFM]],1))*10</f>
        <v>6</v>
      </c>
      <c r="BD1441" t="str">
        <f>VLOOKUP(ifood_data[[#This Row],[RFM Score]],'RFM Analysis'!$A$3:$B$14,2,FALSE)</f>
        <v>Promising</v>
      </c>
      <c r="BE1441">
        <f>'Regression Models'!$B$101+'Regression Models'!$B$102*ifood_data[[#This Row],[Income]]+'Regression Models'!$B$103*ifood_data[[#This Row],[Age]]+'Regression Models'!$B$104*ifood_data[[#This Row],[Family]]</f>
        <v>225.66935099402133</v>
      </c>
      <c r="BF1441" t="str">
        <f>IF(ifood_data[[#This Row],[AcceptedCmpOverall]]=1,"Campaign Respondent","Non-respondent")</f>
        <v>Campaign Respondent</v>
      </c>
    </row>
    <row r="1442" spans="1:58" x14ac:dyDescent="0.35">
      <c r="A1442">
        <v>24</v>
      </c>
      <c r="B1442">
        <v>40689</v>
      </c>
      <c r="C1442">
        <v>0</v>
      </c>
      <c r="D1442">
        <v>1</v>
      </c>
      <c r="E1442">
        <v>69</v>
      </c>
      <c r="F1442">
        <v>270</v>
      </c>
      <c r="G1442">
        <v>3</v>
      </c>
      <c r="H1442">
        <v>27</v>
      </c>
      <c r="I1442">
        <v>39</v>
      </c>
      <c r="J1442">
        <v>6</v>
      </c>
      <c r="K1442">
        <v>99</v>
      </c>
      <c r="L1442">
        <v>7</v>
      </c>
      <c r="M1442">
        <v>7</v>
      </c>
      <c r="N1442">
        <v>1</v>
      </c>
      <c r="O1442">
        <v>5</v>
      </c>
      <c r="P1442">
        <v>8</v>
      </c>
      <c r="Q1442">
        <v>0</v>
      </c>
      <c r="R1442">
        <v>0</v>
      </c>
      <c r="S1442">
        <v>0</v>
      </c>
      <c r="T1442">
        <v>0</v>
      </c>
      <c r="U1442">
        <v>0</v>
      </c>
      <c r="V1442">
        <f>IF(SUM(ifood_data[[#This Row],[AcceptedCmp1]:[AcceptedCmp5]])&gt;0,1,0)</f>
        <v>0</v>
      </c>
      <c r="W1442">
        <v>0</v>
      </c>
      <c r="X1442">
        <v>3</v>
      </c>
      <c r="Y1442">
        <v>11</v>
      </c>
      <c r="Z1442">
        <v>0</v>
      </c>
      <c r="AA1442">
        <v>69</v>
      </c>
      <c r="AB1442">
        <v>2627</v>
      </c>
      <c r="AC1442" s="28">
        <f>ifood_data[[#This Row],[Customer_Days]]/365</f>
        <v>7.1972602739726028</v>
      </c>
      <c r="AD1442">
        <v>0</v>
      </c>
      <c r="AE1442">
        <v>0</v>
      </c>
      <c r="AF1442">
        <v>0</v>
      </c>
      <c r="AG1442">
        <v>1</v>
      </c>
      <c r="AH1442">
        <v>0</v>
      </c>
      <c r="AI1442">
        <v>0</v>
      </c>
      <c r="AJ1442">
        <v>0</v>
      </c>
      <c r="AK1442">
        <v>1</v>
      </c>
      <c r="AL1442">
        <v>0</v>
      </c>
      <c r="AM1442">
        <v>0</v>
      </c>
      <c r="AN1442">
        <v>345</v>
      </c>
      <c r="AO1442">
        <v>246</v>
      </c>
      <c r="AP1442">
        <f>ifood_data[[#This Row],[MntTotal]]-ifood_data[[#This Row],[MntRegularProds]]</f>
        <v>99</v>
      </c>
      <c r="AQ1442">
        <v>0</v>
      </c>
      <c r="AR1442">
        <f>IF(SUM(ifood_data[[#This Row],[Kidhome]:[Teenhome]])&gt;0,1,0)</f>
        <v>1</v>
      </c>
      <c r="AS1442" t="str">
        <f>IF(SUM(ifood_data[[#This Row],[Kidhome]:[Teenhome]])&gt;0,"Has Family","No Family")</f>
        <v>Has Family</v>
      </c>
      <c r="AT1442" t="str">
        <f>IF(ifood_data[[#This Row],[marital_Married]]=1,"Married", (IF(ifood_data[[#This Row],[marital_Single]]=1,"Single",(IF(ifood_data[[#This Row],[marital_Divorced]]=1,"Divorced",(IF(ifood_data[[#This Row],[marital_Together]]=1,"Living Together",(IF(ifood_data[[#This Row],[marital_Widow]]=1,"Widow","Other")))))))))</f>
        <v>Living Together</v>
      </c>
      <c r="AU1442" t="str">
        <f>IF(ifood_data[[#This Row],[education_Basic]]=1,"High School",(IF(ifood_data[[#This Row],[education_Graduation]]=1,"Undergraduate Degree",(IF(SUM(AM1442,AL1442,AI1442)&gt;0,"Master's Degree or Higher","Other")))))</f>
        <v>Undergraduate Degree</v>
      </c>
      <c r="AV1442" t="str">
        <f>IF(ifood_data[[#All],[Income]]&gt;75000,"75K+",(IF(ifood_data[[#All],[Income]]&gt;50000,"50K-75K",(IF(ifood_data[[#All],[Income]]&gt;35000,"35K-50K","&lt;35K")))))</f>
        <v>35K-50K</v>
      </c>
      <c r="AW1442" t="str">
        <f>IF(ifood_data[[#All],[Age]]&gt;60,"60+",(IF(ifood_data[[#All],[Age]]&gt;50,"50-60",(IF(ifood_data[[#All],[Age]]&gt;40,"40-50",(IF(ifood_data[[#All],[Age]]&gt;30,"30-40","&lt;30")))))))</f>
        <v>60+</v>
      </c>
      <c r="AX1442">
        <f t="shared" si="88"/>
        <v>28</v>
      </c>
      <c r="AY1442">
        <f t="shared" si="89"/>
        <v>4</v>
      </c>
      <c r="AZ1442">
        <f t="shared" si="90"/>
        <v>8</v>
      </c>
      <c r="BA1442">
        <f t="shared" si="91"/>
        <v>5</v>
      </c>
      <c r="BB1442">
        <f>SUM(ifood_data[[#This Row],[Recency Score]:[Monetary Score]])</f>
        <v>17</v>
      </c>
      <c r="BC1442">
        <f>(_xlfn.PERCENTRANK.INC(ifood_data[[#All],[RFM]],ifood_data[[#This Row],[RFM]],1))*10</f>
        <v>6</v>
      </c>
      <c r="BD1442" t="str">
        <f>VLOOKUP(ifood_data[[#This Row],[RFM Score]],'RFM Analysis'!$A$3:$B$14,2,FALSE)</f>
        <v>Promising</v>
      </c>
      <c r="BE1442">
        <f>'Regression Models'!$B$101+'Regression Models'!$B$102*ifood_data[[#This Row],[Income]]+'Regression Models'!$B$103*ifood_data[[#This Row],[Age]]+'Regression Models'!$B$104*ifood_data[[#This Row],[Family]]</f>
        <v>225.45540321591534</v>
      </c>
      <c r="BF1442" t="str">
        <f>IF(ifood_data[[#This Row],[AcceptedCmpOverall]]=1,"Campaign Respondent","Non-respondent")</f>
        <v>Non-respondent</v>
      </c>
    </row>
    <row r="1443" spans="1:58" x14ac:dyDescent="0.35">
      <c r="A1443">
        <v>305</v>
      </c>
      <c r="B1443">
        <v>40464</v>
      </c>
      <c r="C1443">
        <v>0</v>
      </c>
      <c r="D1443">
        <v>1</v>
      </c>
      <c r="E1443">
        <v>78</v>
      </c>
      <c r="F1443">
        <v>424</v>
      </c>
      <c r="G1443">
        <v>17</v>
      </c>
      <c r="H1443">
        <v>118</v>
      </c>
      <c r="I1443">
        <v>7</v>
      </c>
      <c r="J1443">
        <v>23</v>
      </c>
      <c r="K1443">
        <v>41</v>
      </c>
      <c r="L1443">
        <v>6</v>
      </c>
      <c r="M1443">
        <v>8</v>
      </c>
      <c r="N1443">
        <v>2</v>
      </c>
      <c r="O1443">
        <v>8</v>
      </c>
      <c r="P1443">
        <v>8</v>
      </c>
      <c r="Q1443">
        <v>0</v>
      </c>
      <c r="R1443">
        <v>0</v>
      </c>
      <c r="S1443">
        <v>0</v>
      </c>
      <c r="T1443">
        <v>0</v>
      </c>
      <c r="U1443">
        <v>0</v>
      </c>
      <c r="V1443">
        <f>IF(SUM(ifood_data[[#This Row],[AcceptedCmp1]:[AcceptedCmp5]])&gt;0,1,0)</f>
        <v>0</v>
      </c>
      <c r="W1443">
        <v>0</v>
      </c>
      <c r="X1443">
        <v>3</v>
      </c>
      <c r="Y1443">
        <v>11</v>
      </c>
      <c r="Z1443">
        <v>0</v>
      </c>
      <c r="AA1443">
        <v>67</v>
      </c>
      <c r="AB1443">
        <v>2693</v>
      </c>
      <c r="AC1443" s="28">
        <f>ifood_data[[#This Row],[Customer_Days]]/365</f>
        <v>7.3780821917808215</v>
      </c>
      <c r="AD1443">
        <v>0</v>
      </c>
      <c r="AE1443">
        <v>0</v>
      </c>
      <c r="AF1443">
        <v>1</v>
      </c>
      <c r="AG1443">
        <v>0</v>
      </c>
      <c r="AH1443">
        <v>0</v>
      </c>
      <c r="AI1443">
        <v>0</v>
      </c>
      <c r="AJ1443">
        <v>0</v>
      </c>
      <c r="AK1443">
        <v>1</v>
      </c>
      <c r="AL1443">
        <v>0</v>
      </c>
      <c r="AM1443">
        <v>0</v>
      </c>
      <c r="AN1443">
        <v>589</v>
      </c>
      <c r="AO1443">
        <v>548</v>
      </c>
      <c r="AP1443">
        <f>ifood_data[[#This Row],[MntTotal]]-ifood_data[[#This Row],[MntRegularProds]]</f>
        <v>41</v>
      </c>
      <c r="AQ1443">
        <v>0</v>
      </c>
      <c r="AR1443">
        <f>IF(SUM(ifood_data[[#This Row],[Kidhome]:[Teenhome]])&gt;0,1,0)</f>
        <v>1</v>
      </c>
      <c r="AS1443" t="str">
        <f>IF(SUM(ifood_data[[#This Row],[Kidhome]:[Teenhome]])&gt;0,"Has Family","No Family")</f>
        <v>Has Family</v>
      </c>
      <c r="AT1443" t="str">
        <f>IF(ifood_data[[#This Row],[marital_Married]]=1,"Married", (IF(ifood_data[[#This Row],[marital_Single]]=1,"Single",(IF(ifood_data[[#This Row],[marital_Divorced]]=1,"Divorced",(IF(ifood_data[[#This Row],[marital_Together]]=1,"Living Together",(IF(ifood_data[[#This Row],[marital_Widow]]=1,"Widow","Other")))))))))</f>
        <v>Single</v>
      </c>
      <c r="AU1443" t="str">
        <f>IF(ifood_data[[#This Row],[education_Basic]]=1,"High School",(IF(ifood_data[[#This Row],[education_Graduation]]=1,"Undergraduate Degree",(IF(SUM(AM1443,AL1443,AI1443)&gt;0,"Master's Degree or Higher","Other")))))</f>
        <v>Undergraduate Degree</v>
      </c>
      <c r="AV1443" t="str">
        <f>IF(ifood_data[[#All],[Income]]&gt;75000,"75K+",(IF(ifood_data[[#All],[Income]]&gt;50000,"50K-75K",(IF(ifood_data[[#All],[Income]]&gt;35000,"35K-50K","&lt;35K")))))</f>
        <v>35K-50K</v>
      </c>
      <c r="AW1443" t="str">
        <f>IF(ifood_data[[#All],[Age]]&gt;60,"60+",(IF(ifood_data[[#All],[Age]]&gt;50,"50-60",(IF(ifood_data[[#All],[Age]]&gt;40,"40-50",(IF(ifood_data[[#All],[Age]]&gt;30,"30-40","&lt;30")))))))</f>
        <v>60+</v>
      </c>
      <c r="AX1443">
        <f t="shared" si="88"/>
        <v>32</v>
      </c>
      <c r="AY1443">
        <f t="shared" si="89"/>
        <v>3.0000000000000004</v>
      </c>
      <c r="AZ1443">
        <f t="shared" si="90"/>
        <v>9</v>
      </c>
      <c r="BA1443">
        <f t="shared" si="91"/>
        <v>6</v>
      </c>
      <c r="BB1443">
        <f>SUM(ifood_data[[#This Row],[Recency Score]:[Monetary Score]])</f>
        <v>18</v>
      </c>
      <c r="BC1443">
        <f>(_xlfn.PERCENTRANK.INC(ifood_data[[#All],[RFM]],ifood_data[[#This Row],[RFM]],1))*10</f>
        <v>6</v>
      </c>
      <c r="BD1443" t="str">
        <f>VLOOKUP(ifood_data[[#This Row],[RFM Score]],'RFM Analysis'!$A$3:$B$14,2,FALSE)</f>
        <v>Promising</v>
      </c>
      <c r="BE1443">
        <f>'Regression Models'!$B$101+'Regression Models'!$B$102*ifood_data[[#This Row],[Income]]+'Regression Models'!$B$103*ifood_data[[#This Row],[Age]]+'Regression Models'!$B$104*ifood_data[[#This Row],[Family]]</f>
        <v>224.54080854132667</v>
      </c>
      <c r="BF1443" t="str">
        <f>IF(ifood_data[[#This Row],[AcceptedCmpOverall]]=1,"Campaign Respondent","Non-respondent")</f>
        <v>Non-respondent</v>
      </c>
    </row>
    <row r="1444" spans="1:58" x14ac:dyDescent="0.35">
      <c r="A1444">
        <v>524</v>
      </c>
      <c r="B1444">
        <v>39548</v>
      </c>
      <c r="C1444">
        <v>1</v>
      </c>
      <c r="D1444">
        <v>1</v>
      </c>
      <c r="E1444">
        <v>87</v>
      </c>
      <c r="F1444">
        <v>15</v>
      </c>
      <c r="G1444">
        <v>4</v>
      </c>
      <c r="H1444">
        <v>10</v>
      </c>
      <c r="I1444">
        <v>3</v>
      </c>
      <c r="J1444">
        <v>4</v>
      </c>
      <c r="K1444">
        <v>18</v>
      </c>
      <c r="L1444">
        <v>2</v>
      </c>
      <c r="M1444">
        <v>1</v>
      </c>
      <c r="N1444">
        <v>1</v>
      </c>
      <c r="O1444">
        <v>3</v>
      </c>
      <c r="P1444">
        <v>3</v>
      </c>
      <c r="Q1444">
        <v>0</v>
      </c>
      <c r="R1444">
        <v>0</v>
      </c>
      <c r="S1444">
        <v>0</v>
      </c>
      <c r="T1444">
        <v>0</v>
      </c>
      <c r="U1444">
        <v>0</v>
      </c>
      <c r="V1444">
        <f>IF(SUM(ifood_data[[#This Row],[AcceptedCmp1]:[AcceptedCmp5]])&gt;0,1,0)</f>
        <v>0</v>
      </c>
      <c r="W1444">
        <v>0</v>
      </c>
      <c r="X1444">
        <v>3</v>
      </c>
      <c r="Y1444">
        <v>11</v>
      </c>
      <c r="Z1444">
        <v>0</v>
      </c>
      <c r="AA1444">
        <v>57</v>
      </c>
      <c r="AB1444">
        <v>2249</v>
      </c>
      <c r="AC1444" s="28">
        <f>ifood_data[[#This Row],[Customer_Days]]/365</f>
        <v>6.161643835616438</v>
      </c>
      <c r="AD1444">
        <v>0</v>
      </c>
      <c r="AE1444">
        <v>0</v>
      </c>
      <c r="AF1444">
        <v>1</v>
      </c>
      <c r="AG1444">
        <v>0</v>
      </c>
      <c r="AH1444">
        <v>0</v>
      </c>
      <c r="AI1444">
        <v>1</v>
      </c>
      <c r="AJ1444">
        <v>0</v>
      </c>
      <c r="AK1444">
        <v>0</v>
      </c>
      <c r="AL1444">
        <v>0</v>
      </c>
      <c r="AM1444">
        <v>0</v>
      </c>
      <c r="AN1444">
        <v>36</v>
      </c>
      <c r="AO1444">
        <v>18</v>
      </c>
      <c r="AP1444">
        <f>ifood_data[[#This Row],[MntTotal]]-ifood_data[[#This Row],[MntRegularProds]]</f>
        <v>18</v>
      </c>
      <c r="AQ1444">
        <v>0</v>
      </c>
      <c r="AR1444">
        <f>IF(SUM(ifood_data[[#This Row],[Kidhome]:[Teenhome]])&gt;0,1,0)</f>
        <v>1</v>
      </c>
      <c r="AS1444" t="str">
        <f>IF(SUM(ifood_data[[#This Row],[Kidhome]:[Teenhome]])&gt;0,"Has Family","No Family")</f>
        <v>Has Family</v>
      </c>
      <c r="AT1444" t="str">
        <f>IF(ifood_data[[#This Row],[marital_Married]]=1,"Married", (IF(ifood_data[[#This Row],[marital_Single]]=1,"Single",(IF(ifood_data[[#This Row],[marital_Divorced]]=1,"Divorced",(IF(ifood_data[[#This Row],[marital_Together]]=1,"Living Together",(IF(ifood_data[[#This Row],[marital_Widow]]=1,"Widow","Other")))))))))</f>
        <v>Single</v>
      </c>
      <c r="AU1444" t="str">
        <f>IF(ifood_data[[#This Row],[education_Basic]]=1,"High School",(IF(ifood_data[[#This Row],[education_Graduation]]=1,"Undergraduate Degree",(IF(SUM(AM1444,AL1444,AI1444)&gt;0,"Master's Degree or Higher","Other")))))</f>
        <v>Master's Degree or Higher</v>
      </c>
      <c r="AV1444" t="str">
        <f>IF(ifood_data[[#All],[Income]]&gt;75000,"75K+",(IF(ifood_data[[#All],[Income]]&gt;50000,"50K-75K",(IF(ifood_data[[#All],[Income]]&gt;35000,"35K-50K","&lt;35K")))))</f>
        <v>35K-50K</v>
      </c>
      <c r="AW1444" t="str">
        <f>IF(ifood_data[[#All],[Age]]&gt;60,"60+",(IF(ifood_data[[#All],[Age]]&gt;50,"50-60",(IF(ifood_data[[#All],[Age]]&gt;40,"40-50",(IF(ifood_data[[#All],[Age]]&gt;30,"30-40","&lt;30")))))))</f>
        <v>50-60</v>
      </c>
      <c r="AX1444">
        <f t="shared" si="88"/>
        <v>10</v>
      </c>
      <c r="AY1444">
        <f t="shared" si="89"/>
        <v>1.9999999999999996</v>
      </c>
      <c r="AZ1444">
        <f t="shared" si="90"/>
        <v>0</v>
      </c>
      <c r="BA1444">
        <f t="shared" si="91"/>
        <v>1</v>
      </c>
      <c r="BB1444">
        <f>SUM(ifood_data[[#This Row],[Recency Score]:[Monetary Score]])</f>
        <v>2.9999999999999996</v>
      </c>
      <c r="BC1444">
        <f>(_xlfn.PERCENTRANK.INC(ifood_data[[#All],[RFM]],ifood_data[[#This Row],[RFM]],1))*10</f>
        <v>0</v>
      </c>
      <c r="BD1444" t="str">
        <f>VLOOKUP(ifood_data[[#This Row],[RFM Score]],'RFM Analysis'!$A$3:$B$14,2,FALSE)</f>
        <v>Lost</v>
      </c>
      <c r="BE1444">
        <f>'Regression Models'!$B$101+'Regression Models'!$B$102*ifood_data[[#This Row],[Income]]+'Regression Models'!$B$103*ifood_data[[#This Row],[Age]]+'Regression Models'!$B$104*ifood_data[[#This Row],[Family]]</f>
        <v>224.22908771045797</v>
      </c>
      <c r="BF1444" t="str">
        <f>IF(ifood_data[[#This Row],[AcceptedCmpOverall]]=1,"Campaign Respondent","Non-respondent")</f>
        <v>Non-respondent</v>
      </c>
    </row>
    <row r="1445" spans="1:58" x14ac:dyDescent="0.35">
      <c r="A1445">
        <v>1077</v>
      </c>
      <c r="B1445">
        <v>37155</v>
      </c>
      <c r="C1445">
        <v>1</v>
      </c>
      <c r="D1445">
        <v>0</v>
      </c>
      <c r="E1445">
        <v>51</v>
      </c>
      <c r="F1445">
        <v>23</v>
      </c>
      <c r="G1445">
        <v>0</v>
      </c>
      <c r="H1445">
        <v>26</v>
      </c>
      <c r="I1445">
        <v>7</v>
      </c>
      <c r="J1445">
        <v>15</v>
      </c>
      <c r="K1445">
        <v>3</v>
      </c>
      <c r="L1445">
        <v>1</v>
      </c>
      <c r="M1445">
        <v>2</v>
      </c>
      <c r="N1445">
        <v>0</v>
      </c>
      <c r="O1445">
        <v>4</v>
      </c>
      <c r="P1445">
        <v>5</v>
      </c>
      <c r="Q1445">
        <v>0</v>
      </c>
      <c r="R1445">
        <v>0</v>
      </c>
      <c r="S1445">
        <v>0</v>
      </c>
      <c r="T1445">
        <v>0</v>
      </c>
      <c r="U1445">
        <v>0</v>
      </c>
      <c r="V1445">
        <f>IF(SUM(ifood_data[[#This Row],[AcceptedCmp1]:[AcceptedCmp5]])&gt;0,1,0)</f>
        <v>0</v>
      </c>
      <c r="W1445">
        <v>0</v>
      </c>
      <c r="X1445">
        <v>3</v>
      </c>
      <c r="Y1445">
        <v>11</v>
      </c>
      <c r="Z1445">
        <v>0</v>
      </c>
      <c r="AA1445">
        <v>31</v>
      </c>
      <c r="AB1445">
        <v>2673</v>
      </c>
      <c r="AC1445" s="28">
        <f>ifood_data[[#This Row],[Customer_Days]]/365</f>
        <v>7.3232876712328769</v>
      </c>
      <c r="AD1445">
        <v>0</v>
      </c>
      <c r="AE1445">
        <v>1</v>
      </c>
      <c r="AF1445">
        <v>0</v>
      </c>
      <c r="AG1445">
        <v>0</v>
      </c>
      <c r="AH1445">
        <v>0</v>
      </c>
      <c r="AI1445">
        <v>0</v>
      </c>
      <c r="AJ1445">
        <v>0</v>
      </c>
      <c r="AK1445">
        <v>1</v>
      </c>
      <c r="AL1445">
        <v>0</v>
      </c>
      <c r="AM1445">
        <v>0</v>
      </c>
      <c r="AN1445">
        <v>71</v>
      </c>
      <c r="AO1445">
        <v>68</v>
      </c>
      <c r="AP1445">
        <f>ifood_data[[#This Row],[MntTotal]]-ifood_data[[#This Row],[MntRegularProds]]</f>
        <v>3</v>
      </c>
      <c r="AQ1445">
        <v>0</v>
      </c>
      <c r="AR1445">
        <f>IF(SUM(ifood_data[[#This Row],[Kidhome]:[Teenhome]])&gt;0,1,0)</f>
        <v>1</v>
      </c>
      <c r="AS1445" t="str">
        <f>IF(SUM(ifood_data[[#This Row],[Kidhome]:[Teenhome]])&gt;0,"Has Family","No Family")</f>
        <v>Has Family</v>
      </c>
      <c r="AT1445" t="str">
        <f>IF(ifood_data[[#This Row],[marital_Married]]=1,"Married", (IF(ifood_data[[#This Row],[marital_Single]]=1,"Single",(IF(ifood_data[[#This Row],[marital_Divorced]]=1,"Divorced",(IF(ifood_data[[#This Row],[marital_Together]]=1,"Living Together",(IF(ifood_data[[#This Row],[marital_Widow]]=1,"Widow","Other")))))))))</f>
        <v>Married</v>
      </c>
      <c r="AU1445" t="str">
        <f>IF(ifood_data[[#This Row],[education_Basic]]=1,"High School",(IF(ifood_data[[#This Row],[education_Graduation]]=1,"Undergraduate Degree",(IF(SUM(AM1445,AL1445,AI1445)&gt;0,"Master's Degree or Higher","Other")))))</f>
        <v>Undergraduate Degree</v>
      </c>
      <c r="AV1445" t="str">
        <f>IF(ifood_data[[#All],[Income]]&gt;75000,"75K+",(IF(ifood_data[[#All],[Income]]&gt;50000,"50K-75K",(IF(ifood_data[[#All],[Income]]&gt;35000,"35K-50K","&lt;35K")))))</f>
        <v>35K-50K</v>
      </c>
      <c r="AW1445" t="str">
        <f>IF(ifood_data[[#All],[Age]]&gt;60,"60+",(IF(ifood_data[[#All],[Age]]&gt;50,"50-60",(IF(ifood_data[[#All],[Age]]&gt;40,"40-50",(IF(ifood_data[[#All],[Age]]&gt;30,"30-40","&lt;30")))))))</f>
        <v>30-40</v>
      </c>
      <c r="AX1445">
        <f t="shared" si="88"/>
        <v>12</v>
      </c>
      <c r="AY1445">
        <f t="shared" si="89"/>
        <v>5</v>
      </c>
      <c r="AZ1445">
        <f t="shared" si="90"/>
        <v>1</v>
      </c>
      <c r="BA1445">
        <f t="shared" si="91"/>
        <v>3</v>
      </c>
      <c r="BB1445">
        <f>SUM(ifood_data[[#This Row],[Recency Score]:[Monetary Score]])</f>
        <v>9</v>
      </c>
      <c r="BC1445">
        <f>(_xlfn.PERCENTRANK.INC(ifood_data[[#All],[RFM]],ifood_data[[#This Row],[RFM]],1))*10</f>
        <v>1</v>
      </c>
      <c r="BD1445" t="str">
        <f>VLOOKUP(ifood_data[[#This Row],[RFM Score]],'RFM Analysis'!$A$3:$B$14,2,FALSE)</f>
        <v>At Risk</v>
      </c>
      <c r="BE1445">
        <f>'Regression Models'!$B$101+'Regression Models'!$B$102*ifood_data[[#This Row],[Income]]+'Regression Models'!$B$103*ifood_data[[#This Row],[Age]]+'Regression Models'!$B$104*ifood_data[[#This Row],[Family]]</f>
        <v>223.18618159335904</v>
      </c>
      <c r="BF1445" t="str">
        <f>IF(ifood_data[[#This Row],[AcceptedCmpOverall]]=1,"Campaign Respondent","Non-respondent")</f>
        <v>Non-respondent</v>
      </c>
    </row>
    <row r="1446" spans="1:58" x14ac:dyDescent="0.35">
      <c r="A1446">
        <v>1274</v>
      </c>
      <c r="B1446">
        <v>38136</v>
      </c>
      <c r="C1446">
        <v>1</v>
      </c>
      <c r="D1446">
        <v>0</v>
      </c>
      <c r="E1446">
        <v>69</v>
      </c>
      <c r="F1446">
        <v>8</v>
      </c>
      <c r="G1446">
        <v>15</v>
      </c>
      <c r="H1446">
        <v>27</v>
      </c>
      <c r="I1446">
        <v>0</v>
      </c>
      <c r="J1446">
        <v>20</v>
      </c>
      <c r="K1446">
        <v>33</v>
      </c>
      <c r="L1446">
        <v>2</v>
      </c>
      <c r="M1446">
        <v>3</v>
      </c>
      <c r="N1446">
        <v>1</v>
      </c>
      <c r="O1446">
        <v>2</v>
      </c>
      <c r="P1446">
        <v>8</v>
      </c>
      <c r="Q1446">
        <v>0</v>
      </c>
      <c r="R1446">
        <v>0</v>
      </c>
      <c r="S1446">
        <v>1</v>
      </c>
      <c r="T1446">
        <v>0</v>
      </c>
      <c r="U1446">
        <v>0</v>
      </c>
      <c r="V1446">
        <f>IF(SUM(ifood_data[[#This Row],[AcceptedCmp1]:[AcceptedCmp5]])&gt;0,1,0)</f>
        <v>1</v>
      </c>
      <c r="W1446">
        <v>0</v>
      </c>
      <c r="X1446">
        <v>3</v>
      </c>
      <c r="Y1446">
        <v>11</v>
      </c>
      <c r="Z1446">
        <v>0</v>
      </c>
      <c r="AA1446">
        <v>42</v>
      </c>
      <c r="AB1446">
        <v>2592</v>
      </c>
      <c r="AC1446" s="28">
        <f>ifood_data[[#This Row],[Customer_Days]]/365</f>
        <v>7.1013698630136988</v>
      </c>
      <c r="AD1446">
        <v>0</v>
      </c>
      <c r="AE1446">
        <v>1</v>
      </c>
      <c r="AF1446">
        <v>0</v>
      </c>
      <c r="AG1446">
        <v>0</v>
      </c>
      <c r="AH1446">
        <v>0</v>
      </c>
      <c r="AI1446">
        <v>0</v>
      </c>
      <c r="AJ1446">
        <v>0</v>
      </c>
      <c r="AK1446">
        <v>1</v>
      </c>
      <c r="AL1446">
        <v>0</v>
      </c>
      <c r="AM1446">
        <v>0</v>
      </c>
      <c r="AN1446">
        <v>70</v>
      </c>
      <c r="AO1446">
        <v>37</v>
      </c>
      <c r="AP1446">
        <f>ifood_data[[#This Row],[MntTotal]]-ifood_data[[#This Row],[MntRegularProds]]</f>
        <v>33</v>
      </c>
      <c r="AQ1446">
        <v>1</v>
      </c>
      <c r="AR1446">
        <f>IF(SUM(ifood_data[[#This Row],[Kidhome]:[Teenhome]])&gt;0,1,0)</f>
        <v>1</v>
      </c>
      <c r="AS1446" t="str">
        <f>IF(SUM(ifood_data[[#This Row],[Kidhome]:[Teenhome]])&gt;0,"Has Family","No Family")</f>
        <v>Has Family</v>
      </c>
      <c r="AT1446" t="str">
        <f>IF(ifood_data[[#This Row],[marital_Married]]=1,"Married", (IF(ifood_data[[#This Row],[marital_Single]]=1,"Single",(IF(ifood_data[[#This Row],[marital_Divorced]]=1,"Divorced",(IF(ifood_data[[#This Row],[marital_Together]]=1,"Living Together",(IF(ifood_data[[#This Row],[marital_Widow]]=1,"Widow","Other")))))))))</f>
        <v>Married</v>
      </c>
      <c r="AU1446" t="str">
        <f>IF(ifood_data[[#This Row],[education_Basic]]=1,"High School",(IF(ifood_data[[#This Row],[education_Graduation]]=1,"Undergraduate Degree",(IF(SUM(AM1446,AL1446,AI1446)&gt;0,"Master's Degree or Higher","Other")))))</f>
        <v>Undergraduate Degree</v>
      </c>
      <c r="AV1446" t="str">
        <f>IF(ifood_data[[#All],[Income]]&gt;75000,"75K+",(IF(ifood_data[[#All],[Income]]&gt;50000,"50K-75K",(IF(ifood_data[[#All],[Income]]&gt;35000,"35K-50K","&lt;35K")))))</f>
        <v>35K-50K</v>
      </c>
      <c r="AW1446" t="str">
        <f>IF(ifood_data[[#All],[Age]]&gt;60,"60+",(IF(ifood_data[[#All],[Age]]&gt;50,"50-60",(IF(ifood_data[[#All],[Age]]&gt;40,"40-50",(IF(ifood_data[[#All],[Age]]&gt;30,"30-40","&lt;30")))))))</f>
        <v>40-50</v>
      </c>
      <c r="AX1446">
        <f t="shared" si="88"/>
        <v>16</v>
      </c>
      <c r="AY1446">
        <f t="shared" si="89"/>
        <v>4</v>
      </c>
      <c r="AZ1446">
        <f t="shared" si="90"/>
        <v>3</v>
      </c>
      <c r="BA1446">
        <f t="shared" si="91"/>
        <v>3</v>
      </c>
      <c r="BB1446">
        <f>SUM(ifood_data[[#This Row],[Recency Score]:[Monetary Score]])</f>
        <v>10</v>
      </c>
      <c r="BC1446">
        <f>(_xlfn.PERCENTRANK.INC(ifood_data[[#All],[RFM]],ifood_data[[#This Row],[RFM]],1))*10</f>
        <v>2</v>
      </c>
      <c r="BD1446" t="str">
        <f>VLOOKUP(ifood_data[[#This Row],[RFM Score]],'RFM Analysis'!$A$3:$B$14,2,FALSE)</f>
        <v>At Risk</v>
      </c>
      <c r="BE1446">
        <f>'Regression Models'!$B$101+'Regression Models'!$B$102*ifood_data[[#This Row],[Income]]+'Regression Models'!$B$103*ifood_data[[#This Row],[Age]]+'Regression Models'!$B$104*ifood_data[[#This Row],[Family]]</f>
        <v>222.98673327468691</v>
      </c>
      <c r="BF1446" t="str">
        <f>IF(ifood_data[[#This Row],[AcceptedCmpOverall]]=1,"Campaign Respondent","Non-respondent")</f>
        <v>Campaign Respondent</v>
      </c>
    </row>
    <row r="1447" spans="1:58" x14ac:dyDescent="0.35">
      <c r="A1447">
        <v>165</v>
      </c>
      <c r="B1447">
        <v>38853</v>
      </c>
      <c r="C1447">
        <v>1</v>
      </c>
      <c r="D1447">
        <v>1</v>
      </c>
      <c r="E1447">
        <v>90</v>
      </c>
      <c r="F1447">
        <v>29</v>
      </c>
      <c r="G1447">
        <v>0</v>
      </c>
      <c r="H1447">
        <v>14</v>
      </c>
      <c r="I1447">
        <v>0</v>
      </c>
      <c r="J1447">
        <v>0</v>
      </c>
      <c r="K1447">
        <v>2</v>
      </c>
      <c r="L1447">
        <v>2</v>
      </c>
      <c r="M1447">
        <v>2</v>
      </c>
      <c r="N1447">
        <v>0</v>
      </c>
      <c r="O1447">
        <v>3</v>
      </c>
      <c r="P1447">
        <v>7</v>
      </c>
      <c r="Q1447">
        <v>0</v>
      </c>
      <c r="R1447">
        <v>0</v>
      </c>
      <c r="S1447">
        <v>0</v>
      </c>
      <c r="T1447">
        <v>0</v>
      </c>
      <c r="U1447">
        <v>0</v>
      </c>
      <c r="V1447">
        <f>IF(SUM(ifood_data[[#This Row],[AcceptedCmp1]:[AcceptedCmp5]])&gt;0,1,0)</f>
        <v>0</v>
      </c>
      <c r="W1447">
        <v>0</v>
      </c>
      <c r="X1447">
        <v>3</v>
      </c>
      <c r="Y1447">
        <v>11</v>
      </c>
      <c r="Z1447">
        <v>0</v>
      </c>
      <c r="AA1447">
        <v>50</v>
      </c>
      <c r="AB1447">
        <v>2196</v>
      </c>
      <c r="AC1447" s="28">
        <f>ifood_data[[#This Row],[Customer_Days]]/365</f>
        <v>6.0164383561643833</v>
      </c>
      <c r="AD1447">
        <v>0</v>
      </c>
      <c r="AE1447">
        <v>1</v>
      </c>
      <c r="AF1447">
        <v>0</v>
      </c>
      <c r="AG1447">
        <v>0</v>
      </c>
      <c r="AH1447">
        <v>0</v>
      </c>
      <c r="AI1447">
        <v>0</v>
      </c>
      <c r="AJ1447">
        <v>0</v>
      </c>
      <c r="AK1447">
        <v>0</v>
      </c>
      <c r="AL1447">
        <v>0</v>
      </c>
      <c r="AM1447">
        <v>1</v>
      </c>
      <c r="AN1447">
        <v>43</v>
      </c>
      <c r="AO1447">
        <v>41</v>
      </c>
      <c r="AP1447">
        <f>ifood_data[[#This Row],[MntTotal]]-ifood_data[[#This Row],[MntRegularProds]]</f>
        <v>2</v>
      </c>
      <c r="AQ1447">
        <v>0</v>
      </c>
      <c r="AR1447">
        <f>IF(SUM(ifood_data[[#This Row],[Kidhome]:[Teenhome]])&gt;0,1,0)</f>
        <v>1</v>
      </c>
      <c r="AS1447" t="str">
        <f>IF(SUM(ifood_data[[#This Row],[Kidhome]:[Teenhome]])&gt;0,"Has Family","No Family")</f>
        <v>Has Family</v>
      </c>
      <c r="AT1447" t="str">
        <f>IF(ifood_data[[#This Row],[marital_Married]]=1,"Married", (IF(ifood_data[[#This Row],[marital_Single]]=1,"Single",(IF(ifood_data[[#This Row],[marital_Divorced]]=1,"Divorced",(IF(ifood_data[[#This Row],[marital_Together]]=1,"Living Together",(IF(ifood_data[[#This Row],[marital_Widow]]=1,"Widow","Other")))))))))</f>
        <v>Married</v>
      </c>
      <c r="AU1447" t="str">
        <f>IF(ifood_data[[#This Row],[education_Basic]]=1,"High School",(IF(ifood_data[[#This Row],[education_Graduation]]=1,"Undergraduate Degree",(IF(SUM(AM1447,AL1447,AI1447)&gt;0,"Master's Degree or Higher","Other")))))</f>
        <v>Master's Degree or Higher</v>
      </c>
      <c r="AV1447" t="str">
        <f>IF(ifood_data[[#All],[Income]]&gt;75000,"75K+",(IF(ifood_data[[#All],[Income]]&gt;50000,"50K-75K",(IF(ifood_data[[#All],[Income]]&gt;35000,"35K-50K","&lt;35K")))))</f>
        <v>35K-50K</v>
      </c>
      <c r="AW1447" t="str">
        <f>IF(ifood_data[[#All],[Age]]&gt;60,"60+",(IF(ifood_data[[#All],[Age]]&gt;50,"50-60",(IF(ifood_data[[#All],[Age]]&gt;40,"40-50",(IF(ifood_data[[#All],[Age]]&gt;30,"30-40","&lt;30")))))))</f>
        <v>40-50</v>
      </c>
      <c r="AX1447">
        <f t="shared" si="88"/>
        <v>14</v>
      </c>
      <c r="AY1447">
        <f t="shared" si="89"/>
        <v>0.99999999999999978</v>
      </c>
      <c r="AZ1447">
        <f t="shared" si="90"/>
        <v>2</v>
      </c>
      <c r="BA1447">
        <f t="shared" si="91"/>
        <v>1</v>
      </c>
      <c r="BB1447">
        <f>SUM(ifood_data[[#This Row],[Recency Score]:[Monetary Score]])</f>
        <v>4</v>
      </c>
      <c r="BC1447">
        <f>(_xlfn.PERCENTRANK.INC(ifood_data[[#All],[RFM]],ifood_data[[#This Row],[RFM]],1))*10</f>
        <v>0</v>
      </c>
      <c r="BD1447" t="str">
        <f>VLOOKUP(ifood_data[[#This Row],[RFM Score]],'RFM Analysis'!$A$3:$B$14,2,FALSE)</f>
        <v>Lost</v>
      </c>
      <c r="BE1447">
        <f>'Regression Models'!$B$101+'Regression Models'!$B$102*ifood_data[[#This Row],[Income]]+'Regression Models'!$B$103*ifood_data[[#This Row],[Age]]+'Regression Models'!$B$104*ifood_data[[#This Row],[Family]]</f>
        <v>222.91396740270818</v>
      </c>
      <c r="BF1447" t="str">
        <f>IF(ifood_data[[#This Row],[AcceptedCmpOverall]]=1,"Campaign Respondent","Non-respondent")</f>
        <v>Non-respondent</v>
      </c>
    </row>
    <row r="1448" spans="1:58" x14ac:dyDescent="0.35">
      <c r="A1448">
        <v>810</v>
      </c>
      <c r="B1448">
        <v>38576</v>
      </c>
      <c r="C1448">
        <v>0</v>
      </c>
      <c r="D1448">
        <v>1</v>
      </c>
      <c r="E1448">
        <v>2</v>
      </c>
      <c r="F1448">
        <v>34</v>
      </c>
      <c r="G1448">
        <v>0</v>
      </c>
      <c r="H1448">
        <v>7</v>
      </c>
      <c r="I1448">
        <v>0</v>
      </c>
      <c r="J1448">
        <v>0</v>
      </c>
      <c r="K1448">
        <v>0</v>
      </c>
      <c r="L1448">
        <v>1</v>
      </c>
      <c r="M1448">
        <v>1</v>
      </c>
      <c r="N1448">
        <v>0</v>
      </c>
      <c r="O1448">
        <v>3</v>
      </c>
      <c r="P1448">
        <v>7</v>
      </c>
      <c r="Q1448">
        <v>0</v>
      </c>
      <c r="R1448">
        <v>0</v>
      </c>
      <c r="S1448">
        <v>0</v>
      </c>
      <c r="T1448">
        <v>0</v>
      </c>
      <c r="U1448">
        <v>0</v>
      </c>
      <c r="V1448">
        <f>IF(SUM(ifood_data[[#This Row],[AcceptedCmp1]:[AcceptedCmp5]])&gt;0,1,0)</f>
        <v>0</v>
      </c>
      <c r="W1448">
        <v>0</v>
      </c>
      <c r="X1448">
        <v>3</v>
      </c>
      <c r="Y1448">
        <v>11</v>
      </c>
      <c r="Z1448">
        <v>0</v>
      </c>
      <c r="AA1448">
        <v>47</v>
      </c>
      <c r="AB1448">
        <v>2276</v>
      </c>
      <c r="AC1448" s="28">
        <f>ifood_data[[#This Row],[Customer_Days]]/365</f>
        <v>6.2356164383561641</v>
      </c>
      <c r="AD1448">
        <v>0</v>
      </c>
      <c r="AE1448">
        <v>1</v>
      </c>
      <c r="AF1448">
        <v>0</v>
      </c>
      <c r="AG1448">
        <v>0</v>
      </c>
      <c r="AH1448">
        <v>0</v>
      </c>
      <c r="AI1448">
        <v>0</v>
      </c>
      <c r="AJ1448">
        <v>0</v>
      </c>
      <c r="AK1448">
        <v>0</v>
      </c>
      <c r="AL1448">
        <v>1</v>
      </c>
      <c r="AM1448">
        <v>0</v>
      </c>
      <c r="AN1448">
        <v>41</v>
      </c>
      <c r="AO1448">
        <v>41</v>
      </c>
      <c r="AP1448">
        <f>ifood_data[[#This Row],[MntTotal]]-ifood_data[[#This Row],[MntRegularProds]]</f>
        <v>0</v>
      </c>
      <c r="AQ1448">
        <v>0</v>
      </c>
      <c r="AR1448">
        <f>IF(SUM(ifood_data[[#This Row],[Kidhome]:[Teenhome]])&gt;0,1,0)</f>
        <v>1</v>
      </c>
      <c r="AS1448" t="str">
        <f>IF(SUM(ifood_data[[#This Row],[Kidhome]:[Teenhome]])&gt;0,"Has Family","No Family")</f>
        <v>Has Family</v>
      </c>
      <c r="AT1448" t="str">
        <f>IF(ifood_data[[#This Row],[marital_Married]]=1,"Married", (IF(ifood_data[[#This Row],[marital_Single]]=1,"Single",(IF(ifood_data[[#This Row],[marital_Divorced]]=1,"Divorced",(IF(ifood_data[[#This Row],[marital_Together]]=1,"Living Together",(IF(ifood_data[[#This Row],[marital_Widow]]=1,"Widow","Other")))))))))</f>
        <v>Married</v>
      </c>
      <c r="AU1448" t="str">
        <f>IF(ifood_data[[#This Row],[education_Basic]]=1,"High School",(IF(ifood_data[[#This Row],[education_Graduation]]=1,"Undergraduate Degree",(IF(SUM(AM1448,AL1448,AI1448)&gt;0,"Master's Degree or Higher","Other")))))</f>
        <v>Master's Degree or Higher</v>
      </c>
      <c r="AV1448" t="str">
        <f>IF(ifood_data[[#All],[Income]]&gt;75000,"75K+",(IF(ifood_data[[#All],[Income]]&gt;50000,"50K-75K",(IF(ifood_data[[#All],[Income]]&gt;35000,"35K-50K","&lt;35K")))))</f>
        <v>35K-50K</v>
      </c>
      <c r="AW1448" t="str">
        <f>IF(ifood_data[[#All],[Age]]&gt;60,"60+",(IF(ifood_data[[#All],[Age]]&gt;50,"50-60",(IF(ifood_data[[#All],[Age]]&gt;40,"40-50",(IF(ifood_data[[#All],[Age]]&gt;30,"30-40","&lt;30")))))))</f>
        <v>40-50</v>
      </c>
      <c r="AX1448">
        <f t="shared" si="88"/>
        <v>12</v>
      </c>
      <c r="AY1448">
        <f t="shared" si="89"/>
        <v>10</v>
      </c>
      <c r="AZ1448">
        <f t="shared" si="90"/>
        <v>1</v>
      </c>
      <c r="BA1448">
        <f t="shared" si="91"/>
        <v>1</v>
      </c>
      <c r="BB1448">
        <f>SUM(ifood_data[[#This Row],[Recency Score]:[Monetary Score]])</f>
        <v>12</v>
      </c>
      <c r="BC1448">
        <f>(_xlfn.PERCENTRANK.INC(ifood_data[[#All],[RFM]],ifood_data[[#This Row],[RFM]],1))*10</f>
        <v>3</v>
      </c>
      <c r="BD1448" t="str">
        <f>VLOOKUP(ifood_data[[#This Row],[RFM Score]],'RFM Analysis'!$A$3:$B$14,2,FALSE)</f>
        <v>At Risk</v>
      </c>
      <c r="BE1448">
        <f>'Regression Models'!$B$101+'Regression Models'!$B$102*ifood_data[[#This Row],[Income]]+'Regression Models'!$B$103*ifood_data[[#This Row],[Age]]+'Regression Models'!$B$104*ifood_data[[#This Row],[Family]]</f>
        <v>222.77559586353107</v>
      </c>
      <c r="BF1448" t="str">
        <f>IF(ifood_data[[#This Row],[AcceptedCmpOverall]]=1,"Campaign Respondent","Non-respondent")</f>
        <v>Non-respondent</v>
      </c>
    </row>
    <row r="1449" spans="1:58" x14ac:dyDescent="0.35">
      <c r="A1449">
        <v>1063</v>
      </c>
      <c r="B1449">
        <v>39552</v>
      </c>
      <c r="C1449">
        <v>1</v>
      </c>
      <c r="D1449">
        <v>1</v>
      </c>
      <c r="E1449">
        <v>54</v>
      </c>
      <c r="F1449">
        <v>165</v>
      </c>
      <c r="G1449">
        <v>3</v>
      </c>
      <c r="H1449">
        <v>147</v>
      </c>
      <c r="I1449">
        <v>4</v>
      </c>
      <c r="J1449">
        <v>24</v>
      </c>
      <c r="K1449">
        <v>41</v>
      </c>
      <c r="L1449">
        <v>7</v>
      </c>
      <c r="M1449">
        <v>6</v>
      </c>
      <c r="N1449">
        <v>2</v>
      </c>
      <c r="O1449">
        <v>5</v>
      </c>
      <c r="P1449">
        <v>8</v>
      </c>
      <c r="Q1449">
        <v>0</v>
      </c>
      <c r="R1449">
        <v>0</v>
      </c>
      <c r="S1449">
        <v>0</v>
      </c>
      <c r="T1449">
        <v>0</v>
      </c>
      <c r="U1449">
        <v>0</v>
      </c>
      <c r="V1449">
        <f>IF(SUM(ifood_data[[#This Row],[AcceptedCmp1]:[AcceptedCmp5]])&gt;0,1,0)</f>
        <v>0</v>
      </c>
      <c r="W1449">
        <v>0</v>
      </c>
      <c r="X1449">
        <v>3</v>
      </c>
      <c r="Y1449">
        <v>11</v>
      </c>
      <c r="Z1449">
        <v>1</v>
      </c>
      <c r="AA1449">
        <v>58</v>
      </c>
      <c r="AB1449">
        <v>2717</v>
      </c>
      <c r="AC1449" s="28">
        <f>ifood_data[[#This Row],[Customer_Days]]/365</f>
        <v>7.4438356164383563</v>
      </c>
      <c r="AD1449">
        <v>1</v>
      </c>
      <c r="AE1449">
        <v>0</v>
      </c>
      <c r="AF1449">
        <v>0</v>
      </c>
      <c r="AG1449">
        <v>0</v>
      </c>
      <c r="AH1449">
        <v>0</v>
      </c>
      <c r="AI1449">
        <v>0</v>
      </c>
      <c r="AJ1449">
        <v>0</v>
      </c>
      <c r="AK1449">
        <v>1</v>
      </c>
      <c r="AL1449">
        <v>0</v>
      </c>
      <c r="AM1449">
        <v>0</v>
      </c>
      <c r="AN1449">
        <v>343</v>
      </c>
      <c r="AO1449">
        <v>302</v>
      </c>
      <c r="AP1449">
        <f>ifood_data[[#This Row],[MntTotal]]-ifood_data[[#This Row],[MntRegularProds]]</f>
        <v>41</v>
      </c>
      <c r="AQ1449">
        <v>0</v>
      </c>
      <c r="AR1449">
        <f>IF(SUM(ifood_data[[#This Row],[Kidhome]:[Teenhome]])&gt;0,1,0)</f>
        <v>1</v>
      </c>
      <c r="AS1449" t="str">
        <f>IF(SUM(ifood_data[[#This Row],[Kidhome]:[Teenhome]])&gt;0,"Has Family","No Family")</f>
        <v>Has Family</v>
      </c>
      <c r="AT1449" t="str">
        <f>IF(ifood_data[[#This Row],[marital_Married]]=1,"Married", (IF(ifood_data[[#This Row],[marital_Single]]=1,"Single",(IF(ifood_data[[#This Row],[marital_Divorced]]=1,"Divorced",(IF(ifood_data[[#This Row],[marital_Together]]=1,"Living Together",(IF(ifood_data[[#This Row],[marital_Widow]]=1,"Widow","Other")))))))))</f>
        <v>Divorced</v>
      </c>
      <c r="AU1449" t="str">
        <f>IF(ifood_data[[#This Row],[education_Basic]]=1,"High School",(IF(ifood_data[[#This Row],[education_Graduation]]=1,"Undergraduate Degree",(IF(SUM(AM1449,AL1449,AI1449)&gt;0,"Master's Degree or Higher","Other")))))</f>
        <v>Undergraduate Degree</v>
      </c>
      <c r="AV1449" t="str">
        <f>IF(ifood_data[[#All],[Income]]&gt;75000,"75K+",(IF(ifood_data[[#All],[Income]]&gt;50000,"50K-75K",(IF(ifood_data[[#All],[Income]]&gt;35000,"35K-50K","&lt;35K")))))</f>
        <v>35K-50K</v>
      </c>
      <c r="AW1449" t="str">
        <f>IF(ifood_data[[#All],[Age]]&gt;60,"60+",(IF(ifood_data[[#All],[Age]]&gt;50,"50-60",(IF(ifood_data[[#All],[Age]]&gt;40,"40-50",(IF(ifood_data[[#All],[Age]]&gt;30,"30-40","&lt;30")))))))</f>
        <v>50-60</v>
      </c>
      <c r="AX1449">
        <f t="shared" si="88"/>
        <v>28</v>
      </c>
      <c r="AY1449">
        <f t="shared" si="89"/>
        <v>5</v>
      </c>
      <c r="AZ1449">
        <f t="shared" si="90"/>
        <v>8</v>
      </c>
      <c r="BA1449">
        <f t="shared" si="91"/>
        <v>4</v>
      </c>
      <c r="BB1449">
        <f>SUM(ifood_data[[#This Row],[Recency Score]:[Monetary Score]])</f>
        <v>17</v>
      </c>
      <c r="BC1449">
        <f>(_xlfn.PERCENTRANK.INC(ifood_data[[#All],[RFM]],ifood_data[[#This Row],[RFM]],1))*10</f>
        <v>6</v>
      </c>
      <c r="BD1449" t="str">
        <f>VLOOKUP(ifood_data[[#This Row],[RFM Score]],'RFM Analysis'!$A$3:$B$14,2,FALSE)</f>
        <v>Promising</v>
      </c>
      <c r="BE1449">
        <f>'Regression Models'!$B$101+'Regression Models'!$B$102*ifood_data[[#This Row],[Income]]+'Regression Models'!$B$103*ifood_data[[#This Row],[Age]]+'Regression Models'!$B$104*ifood_data[[#This Row],[Family]]</f>
        <v>222.47420370413931</v>
      </c>
      <c r="BF1449" t="str">
        <f>IF(ifood_data[[#This Row],[AcceptedCmpOverall]]=1,"Campaign Respondent","Non-respondent")</f>
        <v>Non-respondent</v>
      </c>
    </row>
    <row r="1450" spans="1:58" x14ac:dyDescent="0.35">
      <c r="A1450">
        <v>1466</v>
      </c>
      <c r="B1450">
        <v>40442</v>
      </c>
      <c r="C1450">
        <v>1</v>
      </c>
      <c r="D1450">
        <v>1</v>
      </c>
      <c r="E1450">
        <v>52</v>
      </c>
      <c r="F1450">
        <v>45</v>
      </c>
      <c r="G1450">
        <v>12</v>
      </c>
      <c r="H1450">
        <v>52</v>
      </c>
      <c r="I1450">
        <v>25</v>
      </c>
      <c r="J1450">
        <v>22</v>
      </c>
      <c r="K1450">
        <v>13</v>
      </c>
      <c r="L1450">
        <v>4</v>
      </c>
      <c r="M1450">
        <v>3</v>
      </c>
      <c r="N1450">
        <v>1</v>
      </c>
      <c r="O1450">
        <v>4</v>
      </c>
      <c r="P1450">
        <v>7</v>
      </c>
      <c r="Q1450">
        <v>0</v>
      </c>
      <c r="R1450">
        <v>0</v>
      </c>
      <c r="S1450">
        <v>0</v>
      </c>
      <c r="T1450">
        <v>0</v>
      </c>
      <c r="U1450">
        <v>0</v>
      </c>
      <c r="V1450">
        <f>IF(SUM(ifood_data[[#This Row],[AcceptedCmp1]:[AcceptedCmp5]])&gt;0,1,0)</f>
        <v>0</v>
      </c>
      <c r="W1450">
        <v>0</v>
      </c>
      <c r="X1450">
        <v>3</v>
      </c>
      <c r="Y1450">
        <v>11</v>
      </c>
      <c r="Z1450">
        <v>1</v>
      </c>
      <c r="AA1450">
        <v>68</v>
      </c>
      <c r="AB1450">
        <v>2838</v>
      </c>
      <c r="AC1450" s="28">
        <f>ifood_data[[#This Row],[Customer_Days]]/365</f>
        <v>7.7753424657534245</v>
      </c>
      <c r="AD1450">
        <v>0</v>
      </c>
      <c r="AE1450">
        <v>0</v>
      </c>
      <c r="AF1450">
        <v>0</v>
      </c>
      <c r="AG1450">
        <v>1</v>
      </c>
      <c r="AH1450">
        <v>0</v>
      </c>
      <c r="AI1450">
        <v>0</v>
      </c>
      <c r="AJ1450">
        <v>0</v>
      </c>
      <c r="AK1450">
        <v>0</v>
      </c>
      <c r="AL1450">
        <v>1</v>
      </c>
      <c r="AM1450">
        <v>0</v>
      </c>
      <c r="AN1450">
        <v>156</v>
      </c>
      <c r="AO1450">
        <v>143</v>
      </c>
      <c r="AP1450">
        <f>ifood_data[[#This Row],[MntTotal]]-ifood_data[[#This Row],[MntRegularProds]]</f>
        <v>13</v>
      </c>
      <c r="AQ1450">
        <v>0</v>
      </c>
      <c r="AR1450">
        <f>IF(SUM(ifood_data[[#This Row],[Kidhome]:[Teenhome]])&gt;0,1,0)</f>
        <v>1</v>
      </c>
      <c r="AS1450" t="str">
        <f>IF(SUM(ifood_data[[#This Row],[Kidhome]:[Teenhome]])&gt;0,"Has Family","No Family")</f>
        <v>Has Family</v>
      </c>
      <c r="AT1450" t="str">
        <f>IF(ifood_data[[#This Row],[marital_Married]]=1,"Married", (IF(ifood_data[[#This Row],[marital_Single]]=1,"Single",(IF(ifood_data[[#This Row],[marital_Divorced]]=1,"Divorced",(IF(ifood_data[[#This Row],[marital_Together]]=1,"Living Together",(IF(ifood_data[[#This Row],[marital_Widow]]=1,"Widow","Other")))))))))</f>
        <v>Living Together</v>
      </c>
      <c r="AU1450" t="str">
        <f>IF(ifood_data[[#This Row],[education_Basic]]=1,"High School",(IF(ifood_data[[#This Row],[education_Graduation]]=1,"Undergraduate Degree",(IF(SUM(AM1450,AL1450,AI1450)&gt;0,"Master's Degree or Higher","Other")))))</f>
        <v>Master's Degree or Higher</v>
      </c>
      <c r="AV1450" t="str">
        <f>IF(ifood_data[[#All],[Income]]&gt;75000,"75K+",(IF(ifood_data[[#All],[Income]]&gt;50000,"50K-75K",(IF(ifood_data[[#All],[Income]]&gt;35000,"35K-50K","&lt;35K")))))</f>
        <v>35K-50K</v>
      </c>
      <c r="AW1450" t="str">
        <f>IF(ifood_data[[#All],[Age]]&gt;60,"60+",(IF(ifood_data[[#All],[Age]]&gt;50,"50-60",(IF(ifood_data[[#All],[Age]]&gt;40,"40-50",(IF(ifood_data[[#All],[Age]]&gt;30,"30-40","&lt;30")))))))</f>
        <v>60+</v>
      </c>
      <c r="AX1450">
        <f t="shared" si="88"/>
        <v>19</v>
      </c>
      <c r="AY1450">
        <f t="shared" si="89"/>
        <v>5</v>
      </c>
      <c r="AZ1450">
        <f t="shared" si="90"/>
        <v>4</v>
      </c>
      <c r="BA1450">
        <f t="shared" si="91"/>
        <v>3</v>
      </c>
      <c r="BB1450">
        <f>SUM(ifood_data[[#This Row],[Recency Score]:[Monetary Score]])</f>
        <v>12</v>
      </c>
      <c r="BC1450">
        <f>(_xlfn.PERCENTRANK.INC(ifood_data[[#All],[RFM]],ifood_data[[#This Row],[RFM]],1))*10</f>
        <v>3</v>
      </c>
      <c r="BD1450" t="str">
        <f>VLOOKUP(ifood_data[[#This Row],[RFM Score]],'RFM Analysis'!$A$3:$B$14,2,FALSE)</f>
        <v>At Risk</v>
      </c>
      <c r="BE1450">
        <f>'Regression Models'!$B$101+'Regression Models'!$B$102*ifood_data[[#This Row],[Income]]+'Regression Models'!$B$103*ifood_data[[#This Row],[Age]]+'Regression Models'!$B$104*ifood_data[[#This Row],[Family]]</f>
        <v>222.25581656326665</v>
      </c>
      <c r="BF1450" t="str">
        <f>IF(ifood_data[[#This Row],[AcceptedCmpOverall]]=1,"Campaign Respondent","Non-respondent")</f>
        <v>Non-respondent</v>
      </c>
    </row>
    <row r="1451" spans="1:58" x14ac:dyDescent="0.35">
      <c r="A1451">
        <v>353</v>
      </c>
      <c r="B1451">
        <v>38578</v>
      </c>
      <c r="C1451">
        <v>1</v>
      </c>
      <c r="D1451">
        <v>1</v>
      </c>
      <c r="E1451">
        <v>2</v>
      </c>
      <c r="F1451">
        <v>38</v>
      </c>
      <c r="G1451">
        <v>4</v>
      </c>
      <c r="H1451">
        <v>22</v>
      </c>
      <c r="I1451">
        <v>3</v>
      </c>
      <c r="J1451">
        <v>3</v>
      </c>
      <c r="K1451">
        <v>3</v>
      </c>
      <c r="L1451">
        <v>3</v>
      </c>
      <c r="M1451">
        <v>3</v>
      </c>
      <c r="N1451">
        <v>0</v>
      </c>
      <c r="O1451">
        <v>3</v>
      </c>
      <c r="P1451">
        <v>8</v>
      </c>
      <c r="Q1451">
        <v>0</v>
      </c>
      <c r="R1451">
        <v>0</v>
      </c>
      <c r="S1451">
        <v>0</v>
      </c>
      <c r="T1451">
        <v>0</v>
      </c>
      <c r="U1451">
        <v>0</v>
      </c>
      <c r="V1451">
        <f>IF(SUM(ifood_data[[#This Row],[AcceptedCmp1]:[AcceptedCmp5]])&gt;0,1,0)</f>
        <v>0</v>
      </c>
      <c r="W1451">
        <v>0</v>
      </c>
      <c r="X1451">
        <v>3</v>
      </c>
      <c r="Y1451">
        <v>11</v>
      </c>
      <c r="Z1451">
        <v>1</v>
      </c>
      <c r="AA1451">
        <v>48</v>
      </c>
      <c r="AB1451">
        <v>2531</v>
      </c>
      <c r="AC1451" s="28">
        <f>ifood_data[[#This Row],[Customer_Days]]/365</f>
        <v>6.934246575342466</v>
      </c>
      <c r="AD1451">
        <v>0</v>
      </c>
      <c r="AE1451">
        <v>0</v>
      </c>
      <c r="AF1451">
        <v>1</v>
      </c>
      <c r="AG1451">
        <v>0</v>
      </c>
      <c r="AH1451">
        <v>0</v>
      </c>
      <c r="AI1451">
        <v>0</v>
      </c>
      <c r="AJ1451">
        <v>0</v>
      </c>
      <c r="AK1451">
        <v>0</v>
      </c>
      <c r="AL1451">
        <v>0</v>
      </c>
      <c r="AM1451">
        <v>1</v>
      </c>
      <c r="AN1451">
        <v>70</v>
      </c>
      <c r="AO1451">
        <v>67</v>
      </c>
      <c r="AP1451">
        <f>ifood_data[[#This Row],[MntTotal]]-ifood_data[[#This Row],[MntRegularProds]]</f>
        <v>3</v>
      </c>
      <c r="AQ1451">
        <v>0</v>
      </c>
      <c r="AR1451">
        <f>IF(SUM(ifood_data[[#This Row],[Kidhome]:[Teenhome]])&gt;0,1,0)</f>
        <v>1</v>
      </c>
      <c r="AS1451" t="str">
        <f>IF(SUM(ifood_data[[#This Row],[Kidhome]:[Teenhome]])&gt;0,"Has Family","No Family")</f>
        <v>Has Family</v>
      </c>
      <c r="AT1451" t="str">
        <f>IF(ifood_data[[#This Row],[marital_Married]]=1,"Married", (IF(ifood_data[[#This Row],[marital_Single]]=1,"Single",(IF(ifood_data[[#This Row],[marital_Divorced]]=1,"Divorced",(IF(ifood_data[[#This Row],[marital_Together]]=1,"Living Together",(IF(ifood_data[[#This Row],[marital_Widow]]=1,"Widow","Other")))))))))</f>
        <v>Single</v>
      </c>
      <c r="AU1451" t="str">
        <f>IF(ifood_data[[#This Row],[education_Basic]]=1,"High School",(IF(ifood_data[[#This Row],[education_Graduation]]=1,"Undergraduate Degree",(IF(SUM(AM1451,AL1451,AI1451)&gt;0,"Master's Degree or Higher","Other")))))</f>
        <v>Master's Degree or Higher</v>
      </c>
      <c r="AV1451" t="str">
        <f>IF(ifood_data[[#All],[Income]]&gt;75000,"75K+",(IF(ifood_data[[#All],[Income]]&gt;50000,"50K-75K",(IF(ifood_data[[#All],[Income]]&gt;35000,"35K-50K","&lt;35K")))))</f>
        <v>35K-50K</v>
      </c>
      <c r="AW1451" t="str">
        <f>IF(ifood_data[[#All],[Age]]&gt;60,"60+",(IF(ifood_data[[#All],[Age]]&gt;50,"50-60",(IF(ifood_data[[#All],[Age]]&gt;40,"40-50",(IF(ifood_data[[#All],[Age]]&gt;30,"30-40","&lt;30")))))))</f>
        <v>40-50</v>
      </c>
      <c r="AX1451">
        <f t="shared" si="88"/>
        <v>17</v>
      </c>
      <c r="AY1451">
        <f t="shared" si="89"/>
        <v>10</v>
      </c>
      <c r="AZ1451">
        <f t="shared" si="90"/>
        <v>3</v>
      </c>
      <c r="BA1451">
        <f t="shared" si="91"/>
        <v>3</v>
      </c>
      <c r="BB1451">
        <f>SUM(ifood_data[[#This Row],[Recency Score]:[Monetary Score]])</f>
        <v>16</v>
      </c>
      <c r="BC1451">
        <f>(_xlfn.PERCENTRANK.INC(ifood_data[[#All],[RFM]],ifood_data[[#This Row],[RFM]],1))*10</f>
        <v>5</v>
      </c>
      <c r="BD1451" t="str">
        <f>VLOOKUP(ifood_data[[#This Row],[RFM Score]],'RFM Analysis'!$A$3:$B$14,2,FALSE)</f>
        <v>Promising</v>
      </c>
      <c r="BE1451">
        <f>'Regression Models'!$B$101+'Regression Models'!$B$102*ifood_data[[#This Row],[Income]]+'Regression Models'!$B$103*ifood_data[[#This Row],[Age]]+'Regression Models'!$B$104*ifood_data[[#This Row],[Family]]</f>
        <v>220.9799343209246</v>
      </c>
      <c r="BF1451" t="str">
        <f>IF(ifood_data[[#This Row],[AcceptedCmpOverall]]=1,"Campaign Respondent","Non-respondent")</f>
        <v>Non-respondent</v>
      </c>
    </row>
    <row r="1452" spans="1:58" x14ac:dyDescent="0.35">
      <c r="A1452">
        <v>1033</v>
      </c>
      <c r="B1452">
        <v>38578</v>
      </c>
      <c r="C1452">
        <v>1</v>
      </c>
      <c r="D1452">
        <v>1</v>
      </c>
      <c r="E1452">
        <v>2</v>
      </c>
      <c r="F1452">
        <v>38</v>
      </c>
      <c r="G1452">
        <v>4</v>
      </c>
      <c r="H1452">
        <v>22</v>
      </c>
      <c r="I1452">
        <v>3</v>
      </c>
      <c r="J1452">
        <v>3</v>
      </c>
      <c r="K1452">
        <v>3</v>
      </c>
      <c r="L1452">
        <v>3</v>
      </c>
      <c r="M1452">
        <v>3</v>
      </c>
      <c r="N1452">
        <v>0</v>
      </c>
      <c r="O1452">
        <v>3</v>
      </c>
      <c r="P1452">
        <v>8</v>
      </c>
      <c r="Q1452">
        <v>0</v>
      </c>
      <c r="R1452">
        <v>0</v>
      </c>
      <c r="S1452">
        <v>0</v>
      </c>
      <c r="T1452">
        <v>0</v>
      </c>
      <c r="U1452">
        <v>0</v>
      </c>
      <c r="V1452">
        <f>IF(SUM(ifood_data[[#This Row],[AcceptedCmp1]:[AcceptedCmp5]])&gt;0,1,0)</f>
        <v>0</v>
      </c>
      <c r="W1452">
        <v>0</v>
      </c>
      <c r="X1452">
        <v>3</v>
      </c>
      <c r="Y1452">
        <v>11</v>
      </c>
      <c r="Z1452">
        <v>0</v>
      </c>
      <c r="AA1452">
        <v>48</v>
      </c>
      <c r="AB1452">
        <v>2531</v>
      </c>
      <c r="AC1452" s="28">
        <f>ifood_data[[#This Row],[Customer_Days]]/365</f>
        <v>6.934246575342466</v>
      </c>
      <c r="AD1452">
        <v>0</v>
      </c>
      <c r="AE1452">
        <v>0</v>
      </c>
      <c r="AF1452">
        <v>1</v>
      </c>
      <c r="AG1452">
        <v>0</v>
      </c>
      <c r="AH1452">
        <v>0</v>
      </c>
      <c r="AI1452">
        <v>0</v>
      </c>
      <c r="AJ1452">
        <v>0</v>
      </c>
      <c r="AK1452">
        <v>0</v>
      </c>
      <c r="AL1452">
        <v>0</v>
      </c>
      <c r="AM1452">
        <v>1</v>
      </c>
      <c r="AN1452">
        <v>70</v>
      </c>
      <c r="AO1452">
        <v>67</v>
      </c>
      <c r="AP1452">
        <f>ifood_data[[#This Row],[MntTotal]]-ifood_data[[#This Row],[MntRegularProds]]</f>
        <v>3</v>
      </c>
      <c r="AQ1452">
        <v>0</v>
      </c>
      <c r="AR1452">
        <f>IF(SUM(ifood_data[[#This Row],[Kidhome]:[Teenhome]])&gt;0,1,0)</f>
        <v>1</v>
      </c>
      <c r="AS1452" t="str">
        <f>IF(SUM(ifood_data[[#This Row],[Kidhome]:[Teenhome]])&gt;0,"Has Family","No Family")</f>
        <v>Has Family</v>
      </c>
      <c r="AT1452" t="str">
        <f>IF(ifood_data[[#This Row],[marital_Married]]=1,"Married", (IF(ifood_data[[#This Row],[marital_Single]]=1,"Single",(IF(ifood_data[[#This Row],[marital_Divorced]]=1,"Divorced",(IF(ifood_data[[#This Row],[marital_Together]]=1,"Living Together",(IF(ifood_data[[#This Row],[marital_Widow]]=1,"Widow","Other")))))))))</f>
        <v>Single</v>
      </c>
      <c r="AU1452" t="str">
        <f>IF(ifood_data[[#This Row],[education_Basic]]=1,"High School",(IF(ifood_data[[#This Row],[education_Graduation]]=1,"Undergraduate Degree",(IF(SUM(AM1452,AL1452,AI1452)&gt;0,"Master's Degree or Higher","Other")))))</f>
        <v>Master's Degree or Higher</v>
      </c>
      <c r="AV1452" t="str">
        <f>IF(ifood_data[[#All],[Income]]&gt;75000,"75K+",(IF(ifood_data[[#All],[Income]]&gt;50000,"50K-75K",(IF(ifood_data[[#All],[Income]]&gt;35000,"35K-50K","&lt;35K")))))</f>
        <v>35K-50K</v>
      </c>
      <c r="AW1452" t="str">
        <f>IF(ifood_data[[#All],[Age]]&gt;60,"60+",(IF(ifood_data[[#All],[Age]]&gt;50,"50-60",(IF(ifood_data[[#All],[Age]]&gt;40,"40-50",(IF(ifood_data[[#All],[Age]]&gt;30,"30-40","&lt;30")))))))</f>
        <v>40-50</v>
      </c>
      <c r="AX1452">
        <f t="shared" si="88"/>
        <v>17</v>
      </c>
      <c r="AY1452">
        <f t="shared" si="89"/>
        <v>10</v>
      </c>
      <c r="AZ1452">
        <f t="shared" si="90"/>
        <v>3</v>
      </c>
      <c r="BA1452">
        <f t="shared" si="91"/>
        <v>3</v>
      </c>
      <c r="BB1452">
        <f>SUM(ifood_data[[#This Row],[Recency Score]:[Monetary Score]])</f>
        <v>16</v>
      </c>
      <c r="BC1452">
        <f>(_xlfn.PERCENTRANK.INC(ifood_data[[#All],[RFM]],ifood_data[[#This Row],[RFM]],1))*10</f>
        <v>5</v>
      </c>
      <c r="BD1452" t="str">
        <f>VLOOKUP(ifood_data[[#This Row],[RFM Score]],'RFM Analysis'!$A$3:$B$14,2,FALSE)</f>
        <v>Promising</v>
      </c>
      <c r="BE1452">
        <f>'Regression Models'!$B$101+'Regression Models'!$B$102*ifood_data[[#This Row],[Income]]+'Regression Models'!$B$103*ifood_data[[#This Row],[Age]]+'Regression Models'!$B$104*ifood_data[[#This Row],[Family]]</f>
        <v>220.9799343209246</v>
      </c>
      <c r="BF1452" t="str">
        <f>IF(ifood_data[[#This Row],[AcceptedCmpOverall]]=1,"Campaign Respondent","Non-respondent")</f>
        <v>Non-respondent</v>
      </c>
    </row>
    <row r="1453" spans="1:58" x14ac:dyDescent="0.35">
      <c r="A1453">
        <v>1224</v>
      </c>
      <c r="B1453">
        <v>23148</v>
      </c>
      <c r="C1453">
        <v>0</v>
      </c>
      <c r="D1453">
        <v>0</v>
      </c>
      <c r="E1453">
        <v>83</v>
      </c>
      <c r="F1453">
        <v>4</v>
      </c>
      <c r="G1453">
        <v>6</v>
      </c>
      <c r="H1453">
        <v>8</v>
      </c>
      <c r="I1453">
        <v>6</v>
      </c>
      <c r="J1453">
        <v>3</v>
      </c>
      <c r="K1453">
        <v>10</v>
      </c>
      <c r="L1453">
        <v>1</v>
      </c>
      <c r="M1453">
        <v>2</v>
      </c>
      <c r="N1453">
        <v>0</v>
      </c>
      <c r="O1453">
        <v>3</v>
      </c>
      <c r="P1453">
        <v>7</v>
      </c>
      <c r="Q1453">
        <v>0</v>
      </c>
      <c r="R1453">
        <v>0</v>
      </c>
      <c r="S1453">
        <v>0</v>
      </c>
      <c r="T1453">
        <v>0</v>
      </c>
      <c r="U1453">
        <v>0</v>
      </c>
      <c r="V1453">
        <f>IF(SUM(ifood_data[[#This Row],[AcceptedCmp1]:[AcceptedCmp5]])&gt;0,1,0)</f>
        <v>0</v>
      </c>
      <c r="W1453">
        <v>0</v>
      </c>
      <c r="X1453">
        <v>3</v>
      </c>
      <c r="Y1453">
        <v>11</v>
      </c>
      <c r="Z1453">
        <v>0</v>
      </c>
      <c r="AA1453">
        <v>35</v>
      </c>
      <c r="AB1453">
        <v>2290</v>
      </c>
      <c r="AC1453" s="28">
        <f>ifood_data[[#This Row],[Customer_Days]]/365</f>
        <v>6.2739726027397262</v>
      </c>
      <c r="AD1453">
        <v>0</v>
      </c>
      <c r="AE1453">
        <v>1</v>
      </c>
      <c r="AF1453">
        <v>0</v>
      </c>
      <c r="AG1453">
        <v>0</v>
      </c>
      <c r="AH1453">
        <v>0</v>
      </c>
      <c r="AI1453">
        <v>1</v>
      </c>
      <c r="AJ1453">
        <v>0</v>
      </c>
      <c r="AK1453">
        <v>0</v>
      </c>
      <c r="AL1453">
        <v>0</v>
      </c>
      <c r="AM1453">
        <v>0</v>
      </c>
      <c r="AN1453">
        <v>27</v>
      </c>
      <c r="AO1453">
        <v>17</v>
      </c>
      <c r="AP1453">
        <f>ifood_data[[#This Row],[MntTotal]]-ifood_data[[#This Row],[MntRegularProds]]</f>
        <v>10</v>
      </c>
      <c r="AQ1453">
        <v>0</v>
      </c>
      <c r="AR1453">
        <f>IF(SUM(ifood_data[[#This Row],[Kidhome]:[Teenhome]])&gt;0,1,0)</f>
        <v>0</v>
      </c>
      <c r="AS1453" t="str">
        <f>IF(SUM(ifood_data[[#This Row],[Kidhome]:[Teenhome]])&gt;0,"Has Family","No Family")</f>
        <v>No Family</v>
      </c>
      <c r="AT1453" t="str">
        <f>IF(ifood_data[[#This Row],[marital_Married]]=1,"Married", (IF(ifood_data[[#This Row],[marital_Single]]=1,"Single",(IF(ifood_data[[#This Row],[marital_Divorced]]=1,"Divorced",(IF(ifood_data[[#This Row],[marital_Together]]=1,"Living Together",(IF(ifood_data[[#This Row],[marital_Widow]]=1,"Widow","Other")))))))))</f>
        <v>Married</v>
      </c>
      <c r="AU1453" t="str">
        <f>IF(ifood_data[[#This Row],[education_Basic]]=1,"High School",(IF(ifood_data[[#This Row],[education_Graduation]]=1,"Undergraduate Degree",(IF(SUM(AM1453,AL1453,AI1453)&gt;0,"Master's Degree or Higher","Other")))))</f>
        <v>Master's Degree or Higher</v>
      </c>
      <c r="AV1453" t="str">
        <f>IF(ifood_data[[#All],[Income]]&gt;75000,"75K+",(IF(ifood_data[[#All],[Income]]&gt;50000,"50K-75K",(IF(ifood_data[[#All],[Income]]&gt;35000,"35K-50K","&lt;35K")))))</f>
        <v>&lt;35K</v>
      </c>
      <c r="AW1453" t="str">
        <f>IF(ifood_data[[#All],[Age]]&gt;60,"60+",(IF(ifood_data[[#All],[Age]]&gt;50,"50-60",(IF(ifood_data[[#All],[Age]]&gt;40,"40-50",(IF(ifood_data[[#All],[Age]]&gt;30,"30-40","&lt;30")))))))</f>
        <v>30-40</v>
      </c>
      <c r="AX1453">
        <f t="shared" si="88"/>
        <v>13</v>
      </c>
      <c r="AY1453">
        <f t="shared" si="89"/>
        <v>1.9999999999999996</v>
      </c>
      <c r="AZ1453">
        <f t="shared" si="90"/>
        <v>1</v>
      </c>
      <c r="BA1453">
        <f t="shared" si="91"/>
        <v>0</v>
      </c>
      <c r="BB1453">
        <f>SUM(ifood_data[[#This Row],[Recency Score]:[Monetary Score]])</f>
        <v>2.9999999999999996</v>
      </c>
      <c r="BC1453">
        <f>(_xlfn.PERCENTRANK.INC(ifood_data[[#All],[RFM]],ifood_data[[#This Row],[RFM]],1))*10</f>
        <v>0</v>
      </c>
      <c r="BD1453" t="str">
        <f>VLOOKUP(ifood_data[[#This Row],[RFM Score]],'RFM Analysis'!$A$3:$B$14,2,FALSE)</f>
        <v>Lost</v>
      </c>
      <c r="BE1453">
        <f>'Regression Models'!$B$101+'Regression Models'!$B$102*ifood_data[[#This Row],[Income]]+'Regression Models'!$B$103*ifood_data[[#This Row],[Age]]+'Regression Models'!$B$104*ifood_data[[#This Row],[Family]]</f>
        <v>219.8685809592057</v>
      </c>
      <c r="BF1453" t="str">
        <f>IF(ifood_data[[#This Row],[AcceptedCmpOverall]]=1,"Campaign Respondent","Non-respondent")</f>
        <v>Non-respondent</v>
      </c>
    </row>
    <row r="1454" spans="1:58" x14ac:dyDescent="0.35">
      <c r="A1454">
        <v>218</v>
      </c>
      <c r="B1454">
        <v>38590</v>
      </c>
      <c r="C1454">
        <v>1</v>
      </c>
      <c r="D1454">
        <v>0</v>
      </c>
      <c r="E1454">
        <v>65</v>
      </c>
      <c r="F1454">
        <v>3</v>
      </c>
      <c r="G1454">
        <v>1</v>
      </c>
      <c r="H1454">
        <v>8</v>
      </c>
      <c r="I1454">
        <v>4</v>
      </c>
      <c r="J1454">
        <v>3</v>
      </c>
      <c r="K1454">
        <v>3</v>
      </c>
      <c r="L1454">
        <v>1</v>
      </c>
      <c r="M1454">
        <v>1</v>
      </c>
      <c r="N1454">
        <v>0</v>
      </c>
      <c r="O1454">
        <v>2</v>
      </c>
      <c r="P1454">
        <v>8</v>
      </c>
      <c r="Q1454">
        <v>0</v>
      </c>
      <c r="R1454">
        <v>0</v>
      </c>
      <c r="S1454">
        <v>0</v>
      </c>
      <c r="T1454">
        <v>0</v>
      </c>
      <c r="U1454">
        <v>0</v>
      </c>
      <c r="V1454">
        <f>IF(SUM(ifood_data[[#This Row],[AcceptedCmp1]:[AcceptedCmp5]])&gt;0,1,0)</f>
        <v>0</v>
      </c>
      <c r="W1454">
        <v>0</v>
      </c>
      <c r="X1454">
        <v>3</v>
      </c>
      <c r="Y1454">
        <v>11</v>
      </c>
      <c r="Z1454">
        <v>0</v>
      </c>
      <c r="AA1454">
        <v>49</v>
      </c>
      <c r="AB1454">
        <v>2569</v>
      </c>
      <c r="AC1454" s="28">
        <f>ifood_data[[#This Row],[Customer_Days]]/365</f>
        <v>7.0383561643835613</v>
      </c>
      <c r="AD1454">
        <v>0</v>
      </c>
      <c r="AE1454">
        <v>0</v>
      </c>
      <c r="AF1454">
        <v>0</v>
      </c>
      <c r="AG1454">
        <v>1</v>
      </c>
      <c r="AH1454">
        <v>0</v>
      </c>
      <c r="AI1454">
        <v>0</v>
      </c>
      <c r="AJ1454">
        <v>0</v>
      </c>
      <c r="AK1454">
        <v>1</v>
      </c>
      <c r="AL1454">
        <v>0</v>
      </c>
      <c r="AM1454">
        <v>0</v>
      </c>
      <c r="AN1454">
        <v>19</v>
      </c>
      <c r="AO1454">
        <v>16</v>
      </c>
      <c r="AP1454">
        <f>ifood_data[[#This Row],[MntTotal]]-ifood_data[[#This Row],[MntRegularProds]]</f>
        <v>3</v>
      </c>
      <c r="AQ1454">
        <v>0</v>
      </c>
      <c r="AR1454">
        <f>IF(SUM(ifood_data[[#This Row],[Kidhome]:[Teenhome]])&gt;0,1,0)</f>
        <v>1</v>
      </c>
      <c r="AS1454" t="str">
        <f>IF(SUM(ifood_data[[#This Row],[Kidhome]:[Teenhome]])&gt;0,"Has Family","No Family")</f>
        <v>Has Family</v>
      </c>
      <c r="AT1454" t="str">
        <f>IF(ifood_data[[#This Row],[marital_Married]]=1,"Married", (IF(ifood_data[[#This Row],[marital_Single]]=1,"Single",(IF(ifood_data[[#This Row],[marital_Divorced]]=1,"Divorced",(IF(ifood_data[[#This Row],[marital_Together]]=1,"Living Together",(IF(ifood_data[[#This Row],[marital_Widow]]=1,"Widow","Other")))))))))</f>
        <v>Living Together</v>
      </c>
      <c r="AU1454" t="str">
        <f>IF(ifood_data[[#This Row],[education_Basic]]=1,"High School",(IF(ifood_data[[#This Row],[education_Graduation]]=1,"Undergraduate Degree",(IF(SUM(AM1454,AL1454,AI1454)&gt;0,"Master's Degree or Higher","Other")))))</f>
        <v>Undergraduate Degree</v>
      </c>
      <c r="AV1454" t="str">
        <f>IF(ifood_data[[#All],[Income]]&gt;75000,"75K+",(IF(ifood_data[[#All],[Income]]&gt;50000,"50K-75K",(IF(ifood_data[[#All],[Income]]&gt;35000,"35K-50K","&lt;35K")))))</f>
        <v>35K-50K</v>
      </c>
      <c r="AW1454" t="str">
        <f>IF(ifood_data[[#All],[Age]]&gt;60,"60+",(IF(ifood_data[[#All],[Age]]&gt;50,"50-60",(IF(ifood_data[[#All],[Age]]&gt;40,"40-50",(IF(ifood_data[[#All],[Age]]&gt;30,"30-40","&lt;30")))))))</f>
        <v>40-50</v>
      </c>
      <c r="AX1454">
        <f t="shared" si="88"/>
        <v>12</v>
      </c>
      <c r="AY1454">
        <f t="shared" si="89"/>
        <v>4</v>
      </c>
      <c r="AZ1454">
        <f t="shared" si="90"/>
        <v>1</v>
      </c>
      <c r="BA1454">
        <f t="shared" si="91"/>
        <v>0</v>
      </c>
      <c r="BB1454">
        <f>SUM(ifood_data[[#This Row],[Recency Score]:[Monetary Score]])</f>
        <v>5</v>
      </c>
      <c r="BC1454">
        <f>(_xlfn.PERCENTRANK.INC(ifood_data[[#All],[RFM]],ifood_data[[#This Row],[RFM]],1))*10</f>
        <v>0</v>
      </c>
      <c r="BD1454" t="str">
        <f>VLOOKUP(ifood_data[[#This Row],[RFM Score]],'RFM Analysis'!$A$3:$B$14,2,FALSE)</f>
        <v>Lost</v>
      </c>
      <c r="BE1454">
        <f>'Regression Models'!$B$101+'Regression Models'!$B$102*ifood_data[[#This Row],[Income]]+'Regression Models'!$B$103*ifood_data[[#This Row],[Age]]+'Regression Models'!$B$104*ifood_data[[#This Row],[Family]]</f>
        <v>219.38816045975705</v>
      </c>
      <c r="BF1454" t="str">
        <f>IF(ifood_data[[#This Row],[AcceptedCmpOverall]]=1,"Campaign Respondent","Non-respondent")</f>
        <v>Non-respondent</v>
      </c>
    </row>
    <row r="1455" spans="1:58" x14ac:dyDescent="0.35">
      <c r="A1455">
        <v>1240</v>
      </c>
      <c r="B1455">
        <v>37235</v>
      </c>
      <c r="C1455">
        <v>1</v>
      </c>
      <c r="D1455">
        <v>0</v>
      </c>
      <c r="E1455">
        <v>68</v>
      </c>
      <c r="F1455">
        <v>20</v>
      </c>
      <c r="G1455">
        <v>2</v>
      </c>
      <c r="H1455">
        <v>9</v>
      </c>
      <c r="I1455">
        <v>4</v>
      </c>
      <c r="J1455">
        <v>6</v>
      </c>
      <c r="K1455">
        <v>20</v>
      </c>
      <c r="L1455">
        <v>1</v>
      </c>
      <c r="M1455">
        <v>1</v>
      </c>
      <c r="N1455">
        <v>1</v>
      </c>
      <c r="O1455">
        <v>2</v>
      </c>
      <c r="P1455">
        <v>4</v>
      </c>
      <c r="Q1455">
        <v>0</v>
      </c>
      <c r="R1455">
        <v>0</v>
      </c>
      <c r="S1455">
        <v>0</v>
      </c>
      <c r="T1455">
        <v>0</v>
      </c>
      <c r="U1455">
        <v>0</v>
      </c>
      <c r="V1455">
        <f>IF(SUM(ifood_data[[#This Row],[AcceptedCmp1]:[AcceptedCmp5]])&gt;0,1,0)</f>
        <v>0</v>
      </c>
      <c r="W1455">
        <v>0</v>
      </c>
      <c r="X1455">
        <v>3</v>
      </c>
      <c r="Y1455">
        <v>11</v>
      </c>
      <c r="Z1455">
        <v>0</v>
      </c>
      <c r="AA1455">
        <v>36</v>
      </c>
      <c r="AB1455">
        <v>2307</v>
      </c>
      <c r="AC1455" s="28">
        <f>ifood_data[[#This Row],[Customer_Days]]/365</f>
        <v>6.3205479452054796</v>
      </c>
      <c r="AD1455">
        <v>0</v>
      </c>
      <c r="AE1455">
        <v>0</v>
      </c>
      <c r="AF1455">
        <v>0</v>
      </c>
      <c r="AG1455">
        <v>1</v>
      </c>
      <c r="AH1455">
        <v>0</v>
      </c>
      <c r="AI1455">
        <v>0</v>
      </c>
      <c r="AJ1455">
        <v>0</v>
      </c>
      <c r="AK1455">
        <v>1</v>
      </c>
      <c r="AL1455">
        <v>0</v>
      </c>
      <c r="AM1455">
        <v>0</v>
      </c>
      <c r="AN1455">
        <v>41</v>
      </c>
      <c r="AO1455">
        <v>21</v>
      </c>
      <c r="AP1455">
        <f>ifood_data[[#This Row],[MntTotal]]-ifood_data[[#This Row],[MntRegularProds]]</f>
        <v>20</v>
      </c>
      <c r="AQ1455">
        <v>0</v>
      </c>
      <c r="AR1455">
        <f>IF(SUM(ifood_data[[#This Row],[Kidhome]:[Teenhome]])&gt;0,1,0)</f>
        <v>1</v>
      </c>
      <c r="AS1455" t="str">
        <f>IF(SUM(ifood_data[[#This Row],[Kidhome]:[Teenhome]])&gt;0,"Has Family","No Family")</f>
        <v>Has Family</v>
      </c>
      <c r="AT1455" t="str">
        <f>IF(ifood_data[[#This Row],[marital_Married]]=1,"Married", (IF(ifood_data[[#This Row],[marital_Single]]=1,"Single",(IF(ifood_data[[#This Row],[marital_Divorced]]=1,"Divorced",(IF(ifood_data[[#This Row],[marital_Together]]=1,"Living Together",(IF(ifood_data[[#This Row],[marital_Widow]]=1,"Widow","Other")))))))))</f>
        <v>Living Together</v>
      </c>
      <c r="AU1455" t="str">
        <f>IF(ifood_data[[#This Row],[education_Basic]]=1,"High School",(IF(ifood_data[[#This Row],[education_Graduation]]=1,"Undergraduate Degree",(IF(SUM(AM1455,AL1455,AI1455)&gt;0,"Master's Degree or Higher","Other")))))</f>
        <v>Undergraduate Degree</v>
      </c>
      <c r="AV1455" t="str">
        <f>IF(ifood_data[[#All],[Income]]&gt;75000,"75K+",(IF(ifood_data[[#All],[Income]]&gt;50000,"50K-75K",(IF(ifood_data[[#All],[Income]]&gt;35000,"35K-50K","&lt;35K")))))</f>
        <v>35K-50K</v>
      </c>
      <c r="AW1455" t="str">
        <f>IF(ifood_data[[#All],[Age]]&gt;60,"60+",(IF(ifood_data[[#All],[Age]]&gt;50,"50-60",(IF(ifood_data[[#All],[Age]]&gt;40,"40-50",(IF(ifood_data[[#All],[Age]]&gt;30,"30-40","&lt;30")))))))</f>
        <v>30-40</v>
      </c>
      <c r="AX1455">
        <f t="shared" si="88"/>
        <v>9</v>
      </c>
      <c r="AY1455">
        <f t="shared" si="89"/>
        <v>4</v>
      </c>
      <c r="AZ1455">
        <f t="shared" si="90"/>
        <v>0</v>
      </c>
      <c r="BA1455">
        <f t="shared" si="91"/>
        <v>1</v>
      </c>
      <c r="BB1455">
        <f>SUM(ifood_data[[#This Row],[Recency Score]:[Monetary Score]])</f>
        <v>5</v>
      </c>
      <c r="BC1455">
        <f>(_xlfn.PERCENTRANK.INC(ifood_data[[#All],[RFM]],ifood_data[[#This Row],[RFM]],1))*10</f>
        <v>0</v>
      </c>
      <c r="BD1455" t="str">
        <f>VLOOKUP(ifood_data[[#This Row],[RFM Score]],'RFM Analysis'!$A$3:$B$14,2,FALSE)</f>
        <v>Lost</v>
      </c>
      <c r="BE1455">
        <f>'Regression Models'!$B$101+'Regression Models'!$B$102*ifood_data[[#This Row],[Income]]+'Regression Models'!$B$103*ifood_data[[#This Row],[Age]]+'Regression Models'!$B$104*ifood_data[[#This Row],[Family]]</f>
        <v>215.63508765039973</v>
      </c>
      <c r="BF1455" t="str">
        <f>IF(ifood_data[[#This Row],[AcceptedCmpOverall]]=1,"Campaign Respondent","Non-respondent")</f>
        <v>Non-respondent</v>
      </c>
    </row>
    <row r="1456" spans="1:58" x14ac:dyDescent="0.35">
      <c r="A1456">
        <v>1601</v>
      </c>
      <c r="B1456">
        <v>37292</v>
      </c>
      <c r="C1456">
        <v>1</v>
      </c>
      <c r="D1456">
        <v>0</v>
      </c>
      <c r="E1456">
        <v>32</v>
      </c>
      <c r="F1456">
        <v>275</v>
      </c>
      <c r="G1456">
        <v>0</v>
      </c>
      <c r="H1456">
        <v>86</v>
      </c>
      <c r="I1456">
        <v>10</v>
      </c>
      <c r="J1456">
        <v>23</v>
      </c>
      <c r="K1456">
        <v>66</v>
      </c>
      <c r="L1456">
        <v>5</v>
      </c>
      <c r="M1456">
        <v>6</v>
      </c>
      <c r="N1456">
        <v>3</v>
      </c>
      <c r="O1456">
        <v>5</v>
      </c>
      <c r="P1456">
        <v>8</v>
      </c>
      <c r="Q1456">
        <v>0</v>
      </c>
      <c r="R1456">
        <v>0</v>
      </c>
      <c r="S1456">
        <v>0</v>
      </c>
      <c r="T1456">
        <v>0</v>
      </c>
      <c r="U1456">
        <v>0</v>
      </c>
      <c r="V1456">
        <f>IF(SUM(ifood_data[[#This Row],[AcceptedCmp1]:[AcceptedCmp5]])&gt;0,1,0)</f>
        <v>0</v>
      </c>
      <c r="W1456">
        <v>0</v>
      </c>
      <c r="X1456">
        <v>3</v>
      </c>
      <c r="Y1456">
        <v>11</v>
      </c>
      <c r="Z1456">
        <v>0</v>
      </c>
      <c r="AA1456">
        <v>37</v>
      </c>
      <c r="AB1456">
        <v>2596</v>
      </c>
      <c r="AC1456" s="28">
        <f>ifood_data[[#This Row],[Customer_Days]]/365</f>
        <v>7.1123287671232873</v>
      </c>
      <c r="AD1456">
        <v>0</v>
      </c>
      <c r="AE1456">
        <v>0</v>
      </c>
      <c r="AF1456">
        <v>0</v>
      </c>
      <c r="AG1456">
        <v>1</v>
      </c>
      <c r="AH1456">
        <v>0</v>
      </c>
      <c r="AI1456">
        <v>0</v>
      </c>
      <c r="AJ1456">
        <v>0</v>
      </c>
      <c r="AK1456">
        <v>1</v>
      </c>
      <c r="AL1456">
        <v>0</v>
      </c>
      <c r="AM1456">
        <v>0</v>
      </c>
      <c r="AN1456">
        <v>394</v>
      </c>
      <c r="AO1456">
        <v>328</v>
      </c>
      <c r="AP1456">
        <f>ifood_data[[#This Row],[MntTotal]]-ifood_data[[#This Row],[MntRegularProds]]</f>
        <v>66</v>
      </c>
      <c r="AQ1456">
        <v>0</v>
      </c>
      <c r="AR1456">
        <f>IF(SUM(ifood_data[[#This Row],[Kidhome]:[Teenhome]])&gt;0,1,0)</f>
        <v>1</v>
      </c>
      <c r="AS1456" t="str">
        <f>IF(SUM(ifood_data[[#This Row],[Kidhome]:[Teenhome]])&gt;0,"Has Family","No Family")</f>
        <v>Has Family</v>
      </c>
      <c r="AT1456" t="str">
        <f>IF(ifood_data[[#This Row],[marital_Married]]=1,"Married", (IF(ifood_data[[#This Row],[marital_Single]]=1,"Single",(IF(ifood_data[[#This Row],[marital_Divorced]]=1,"Divorced",(IF(ifood_data[[#This Row],[marital_Together]]=1,"Living Together",(IF(ifood_data[[#This Row],[marital_Widow]]=1,"Widow","Other")))))))))</f>
        <v>Living Together</v>
      </c>
      <c r="AU1456" t="str">
        <f>IF(ifood_data[[#This Row],[education_Basic]]=1,"High School",(IF(ifood_data[[#This Row],[education_Graduation]]=1,"Undergraduate Degree",(IF(SUM(AM1456,AL1456,AI1456)&gt;0,"Master's Degree or Higher","Other")))))</f>
        <v>Undergraduate Degree</v>
      </c>
      <c r="AV1456" t="str">
        <f>IF(ifood_data[[#All],[Income]]&gt;75000,"75K+",(IF(ifood_data[[#All],[Income]]&gt;50000,"50K-75K",(IF(ifood_data[[#All],[Income]]&gt;35000,"35K-50K","&lt;35K")))))</f>
        <v>35K-50K</v>
      </c>
      <c r="AW1456" t="str">
        <f>IF(ifood_data[[#All],[Age]]&gt;60,"60+",(IF(ifood_data[[#All],[Age]]&gt;50,"50-60",(IF(ifood_data[[#All],[Age]]&gt;40,"40-50",(IF(ifood_data[[#All],[Age]]&gt;30,"30-40","&lt;30")))))))</f>
        <v>30-40</v>
      </c>
      <c r="AX1456">
        <f t="shared" si="88"/>
        <v>27</v>
      </c>
      <c r="AY1456">
        <f t="shared" si="89"/>
        <v>7</v>
      </c>
      <c r="AZ1456">
        <f t="shared" si="90"/>
        <v>7</v>
      </c>
      <c r="BA1456">
        <f t="shared" si="91"/>
        <v>5</v>
      </c>
      <c r="BB1456">
        <f>SUM(ifood_data[[#This Row],[Recency Score]:[Monetary Score]])</f>
        <v>19</v>
      </c>
      <c r="BC1456">
        <f>(_xlfn.PERCENTRANK.INC(ifood_data[[#All],[RFM]],ifood_data[[#This Row],[RFM]],1))*10</f>
        <v>7</v>
      </c>
      <c r="BD1456" t="str">
        <f>VLOOKUP(ifood_data[[#This Row],[RFM Score]],'RFM Analysis'!$A$3:$B$14,2,FALSE)</f>
        <v>Loyal Customer</v>
      </c>
      <c r="BE1456">
        <f>'Regression Models'!$B$101+'Regression Models'!$B$102*ifood_data[[#This Row],[Income]]+'Regression Models'!$B$103*ifood_data[[#This Row],[Age]]+'Regression Models'!$B$104*ifood_data[[#This Row],[Family]]</f>
        <v>214.96080835570768</v>
      </c>
      <c r="BF1456" t="str">
        <f>IF(ifood_data[[#This Row],[AcceptedCmpOverall]]=1,"Campaign Respondent","Non-respondent")</f>
        <v>Non-respondent</v>
      </c>
    </row>
    <row r="1457" spans="1:58" x14ac:dyDescent="0.35">
      <c r="A1457">
        <v>1372</v>
      </c>
      <c r="B1457">
        <v>39898</v>
      </c>
      <c r="C1457">
        <v>0</v>
      </c>
      <c r="D1457">
        <v>1</v>
      </c>
      <c r="E1457">
        <v>20</v>
      </c>
      <c r="F1457">
        <v>69</v>
      </c>
      <c r="G1457">
        <v>8</v>
      </c>
      <c r="H1457">
        <v>26</v>
      </c>
      <c r="I1457">
        <v>12</v>
      </c>
      <c r="J1457">
        <v>7</v>
      </c>
      <c r="K1457">
        <v>12</v>
      </c>
      <c r="L1457">
        <v>2</v>
      </c>
      <c r="M1457">
        <v>3</v>
      </c>
      <c r="N1457">
        <v>0</v>
      </c>
      <c r="O1457">
        <v>4</v>
      </c>
      <c r="P1457">
        <v>7</v>
      </c>
      <c r="Q1457">
        <v>0</v>
      </c>
      <c r="R1457">
        <v>0</v>
      </c>
      <c r="S1457">
        <v>0</v>
      </c>
      <c r="T1457">
        <v>0</v>
      </c>
      <c r="U1457">
        <v>0</v>
      </c>
      <c r="V1457">
        <f>IF(SUM(ifood_data[[#This Row],[AcceptedCmp1]:[AcceptedCmp5]])&gt;0,1,0)</f>
        <v>0</v>
      </c>
      <c r="W1457">
        <v>0</v>
      </c>
      <c r="X1457">
        <v>3</v>
      </c>
      <c r="Y1457">
        <v>11</v>
      </c>
      <c r="Z1457">
        <v>0</v>
      </c>
      <c r="AA1457">
        <v>66</v>
      </c>
      <c r="AB1457">
        <v>2661</v>
      </c>
      <c r="AC1457" s="28">
        <f>ifood_data[[#This Row],[Customer_Days]]/365</f>
        <v>7.2904109589041095</v>
      </c>
      <c r="AD1457">
        <v>0</v>
      </c>
      <c r="AE1457">
        <v>0</v>
      </c>
      <c r="AF1457">
        <v>0</v>
      </c>
      <c r="AG1457">
        <v>1</v>
      </c>
      <c r="AH1457">
        <v>0</v>
      </c>
      <c r="AI1457">
        <v>0</v>
      </c>
      <c r="AJ1457">
        <v>0</v>
      </c>
      <c r="AK1457">
        <v>1</v>
      </c>
      <c r="AL1457">
        <v>0</v>
      </c>
      <c r="AM1457">
        <v>0</v>
      </c>
      <c r="AN1457">
        <v>122</v>
      </c>
      <c r="AO1457">
        <v>110</v>
      </c>
      <c r="AP1457">
        <f>ifood_data[[#This Row],[MntTotal]]-ifood_data[[#This Row],[MntRegularProds]]</f>
        <v>12</v>
      </c>
      <c r="AQ1457">
        <v>0</v>
      </c>
      <c r="AR1457">
        <f>IF(SUM(ifood_data[[#This Row],[Kidhome]:[Teenhome]])&gt;0,1,0)</f>
        <v>1</v>
      </c>
      <c r="AS1457" t="str">
        <f>IF(SUM(ifood_data[[#This Row],[Kidhome]:[Teenhome]])&gt;0,"Has Family","No Family")</f>
        <v>Has Family</v>
      </c>
      <c r="AT1457" t="str">
        <f>IF(ifood_data[[#This Row],[marital_Married]]=1,"Married", (IF(ifood_data[[#This Row],[marital_Single]]=1,"Single",(IF(ifood_data[[#This Row],[marital_Divorced]]=1,"Divorced",(IF(ifood_data[[#This Row],[marital_Together]]=1,"Living Together",(IF(ifood_data[[#This Row],[marital_Widow]]=1,"Widow","Other")))))))))</f>
        <v>Living Together</v>
      </c>
      <c r="AU1457" t="str">
        <f>IF(ifood_data[[#This Row],[education_Basic]]=1,"High School",(IF(ifood_data[[#This Row],[education_Graduation]]=1,"Undergraduate Degree",(IF(SUM(AM1457,AL1457,AI1457)&gt;0,"Master's Degree or Higher","Other")))))</f>
        <v>Undergraduate Degree</v>
      </c>
      <c r="AV1457" t="str">
        <f>IF(ifood_data[[#All],[Income]]&gt;75000,"75K+",(IF(ifood_data[[#All],[Income]]&gt;50000,"50K-75K",(IF(ifood_data[[#All],[Income]]&gt;35000,"35K-50K","&lt;35K")))))</f>
        <v>35K-50K</v>
      </c>
      <c r="AW1457" t="str">
        <f>IF(ifood_data[[#All],[Age]]&gt;60,"60+",(IF(ifood_data[[#All],[Age]]&gt;50,"50-60",(IF(ifood_data[[#All],[Age]]&gt;40,"40-50",(IF(ifood_data[[#All],[Age]]&gt;30,"30-40","&lt;30")))))))</f>
        <v>60+</v>
      </c>
      <c r="AX1457">
        <f t="shared" si="88"/>
        <v>16</v>
      </c>
      <c r="AY1457">
        <f t="shared" si="89"/>
        <v>8</v>
      </c>
      <c r="AZ1457">
        <f t="shared" si="90"/>
        <v>3</v>
      </c>
      <c r="BA1457">
        <f t="shared" si="91"/>
        <v>3</v>
      </c>
      <c r="BB1457">
        <f>SUM(ifood_data[[#This Row],[Recency Score]:[Monetary Score]])</f>
        <v>14</v>
      </c>
      <c r="BC1457">
        <f>(_xlfn.PERCENTRANK.INC(ifood_data[[#All],[RFM]],ifood_data[[#This Row],[RFM]],1))*10</f>
        <v>4</v>
      </c>
      <c r="BD1457" t="str">
        <f>VLOOKUP(ifood_data[[#This Row],[RFM Score]],'RFM Analysis'!$A$3:$B$14,2,FALSE)</f>
        <v>At Risk</v>
      </c>
      <c r="BE1457">
        <f>'Regression Models'!$B$101+'Regression Models'!$B$102*ifood_data[[#This Row],[Income]]+'Regression Models'!$B$103*ifood_data[[#This Row],[Age]]+'Regression Models'!$B$104*ifood_data[[#This Row],[Family]]</f>
        <v>214.83720485077413</v>
      </c>
      <c r="BF1457" t="str">
        <f>IF(ifood_data[[#This Row],[AcceptedCmpOverall]]=1,"Campaign Respondent","Non-respondent")</f>
        <v>Non-respondent</v>
      </c>
    </row>
    <row r="1458" spans="1:58" x14ac:dyDescent="0.35">
      <c r="A1458">
        <v>248</v>
      </c>
      <c r="B1458">
        <v>37717</v>
      </c>
      <c r="C1458">
        <v>1</v>
      </c>
      <c r="D1458">
        <v>0</v>
      </c>
      <c r="E1458">
        <v>31</v>
      </c>
      <c r="F1458">
        <v>9</v>
      </c>
      <c r="G1458">
        <v>0</v>
      </c>
      <c r="H1458">
        <v>6</v>
      </c>
      <c r="I1458">
        <v>4</v>
      </c>
      <c r="J1458">
        <v>1</v>
      </c>
      <c r="K1458">
        <v>5</v>
      </c>
      <c r="L1458">
        <v>1</v>
      </c>
      <c r="M1458">
        <v>1</v>
      </c>
      <c r="N1458">
        <v>0</v>
      </c>
      <c r="O1458">
        <v>2</v>
      </c>
      <c r="P1458">
        <v>9</v>
      </c>
      <c r="Q1458">
        <v>0</v>
      </c>
      <c r="R1458">
        <v>0</v>
      </c>
      <c r="S1458">
        <v>0</v>
      </c>
      <c r="T1458">
        <v>0</v>
      </c>
      <c r="U1458">
        <v>0</v>
      </c>
      <c r="V1458">
        <f>IF(SUM(ifood_data[[#This Row],[AcceptedCmp1]:[AcceptedCmp5]])&gt;0,1,0)</f>
        <v>0</v>
      </c>
      <c r="W1458">
        <v>0</v>
      </c>
      <c r="X1458">
        <v>3</v>
      </c>
      <c r="Y1458">
        <v>11</v>
      </c>
      <c r="Z1458">
        <v>0</v>
      </c>
      <c r="AA1458">
        <v>42</v>
      </c>
      <c r="AB1458">
        <v>2742</v>
      </c>
      <c r="AC1458" s="28">
        <f>ifood_data[[#This Row],[Customer_Days]]/365</f>
        <v>7.5123287671232877</v>
      </c>
      <c r="AD1458">
        <v>0</v>
      </c>
      <c r="AE1458">
        <v>1</v>
      </c>
      <c r="AF1458">
        <v>0</v>
      </c>
      <c r="AG1458">
        <v>0</v>
      </c>
      <c r="AH1458">
        <v>0</v>
      </c>
      <c r="AI1458">
        <v>0</v>
      </c>
      <c r="AJ1458">
        <v>0</v>
      </c>
      <c r="AK1458">
        <v>0</v>
      </c>
      <c r="AL1458">
        <v>0</v>
      </c>
      <c r="AM1458">
        <v>1</v>
      </c>
      <c r="AN1458">
        <v>20</v>
      </c>
      <c r="AO1458">
        <v>15</v>
      </c>
      <c r="AP1458">
        <f>ifood_data[[#This Row],[MntTotal]]-ifood_data[[#This Row],[MntRegularProds]]</f>
        <v>5</v>
      </c>
      <c r="AQ1458">
        <v>0</v>
      </c>
      <c r="AR1458">
        <f>IF(SUM(ifood_data[[#This Row],[Kidhome]:[Teenhome]])&gt;0,1,0)</f>
        <v>1</v>
      </c>
      <c r="AS1458" t="str">
        <f>IF(SUM(ifood_data[[#This Row],[Kidhome]:[Teenhome]])&gt;0,"Has Family","No Family")</f>
        <v>Has Family</v>
      </c>
      <c r="AT1458" t="str">
        <f>IF(ifood_data[[#This Row],[marital_Married]]=1,"Married", (IF(ifood_data[[#This Row],[marital_Single]]=1,"Single",(IF(ifood_data[[#This Row],[marital_Divorced]]=1,"Divorced",(IF(ifood_data[[#This Row],[marital_Together]]=1,"Living Together",(IF(ifood_data[[#This Row],[marital_Widow]]=1,"Widow","Other")))))))))</f>
        <v>Married</v>
      </c>
      <c r="AU1458" t="str">
        <f>IF(ifood_data[[#This Row],[education_Basic]]=1,"High School",(IF(ifood_data[[#This Row],[education_Graduation]]=1,"Undergraduate Degree",(IF(SUM(AM1458,AL1458,AI1458)&gt;0,"Master's Degree or Higher","Other")))))</f>
        <v>Master's Degree or Higher</v>
      </c>
      <c r="AV1458" t="str">
        <f>IF(ifood_data[[#All],[Income]]&gt;75000,"75K+",(IF(ifood_data[[#All],[Income]]&gt;50000,"50K-75K",(IF(ifood_data[[#All],[Income]]&gt;35000,"35K-50K","&lt;35K")))))</f>
        <v>35K-50K</v>
      </c>
      <c r="AW1458" t="str">
        <f>IF(ifood_data[[#All],[Age]]&gt;60,"60+",(IF(ifood_data[[#All],[Age]]&gt;50,"50-60",(IF(ifood_data[[#All],[Age]]&gt;40,"40-50",(IF(ifood_data[[#All],[Age]]&gt;30,"30-40","&lt;30")))))))</f>
        <v>40-50</v>
      </c>
      <c r="AX1458">
        <f t="shared" si="88"/>
        <v>13</v>
      </c>
      <c r="AY1458">
        <f t="shared" si="89"/>
        <v>7</v>
      </c>
      <c r="AZ1458">
        <f t="shared" si="90"/>
        <v>1</v>
      </c>
      <c r="BA1458">
        <f t="shared" si="91"/>
        <v>0</v>
      </c>
      <c r="BB1458">
        <f>SUM(ifood_data[[#This Row],[Recency Score]:[Monetary Score]])</f>
        <v>8</v>
      </c>
      <c r="BC1458">
        <f>(_xlfn.PERCENTRANK.INC(ifood_data[[#All],[RFM]],ifood_data[[#This Row],[RFM]],1))*10</f>
        <v>1</v>
      </c>
      <c r="BD1458" t="str">
        <f>VLOOKUP(ifood_data[[#This Row],[RFM Score]],'RFM Analysis'!$A$3:$B$14,2,FALSE)</f>
        <v>At Risk</v>
      </c>
      <c r="BE1458">
        <f>'Regression Models'!$B$101+'Regression Models'!$B$102*ifood_data[[#This Row],[Income]]+'Regression Models'!$B$103*ifood_data[[#This Row],[Age]]+'Regression Models'!$B$104*ifood_data[[#This Row],[Family]]</f>
        <v>214.44383942239324</v>
      </c>
      <c r="BF1458" t="str">
        <f>IF(ifood_data[[#This Row],[AcceptedCmpOverall]]=1,"Campaign Respondent","Non-respondent")</f>
        <v>Non-respondent</v>
      </c>
    </row>
    <row r="1459" spans="1:58" x14ac:dyDescent="0.35">
      <c r="A1459">
        <v>1259</v>
      </c>
      <c r="B1459">
        <v>40049</v>
      </c>
      <c r="C1459">
        <v>0</v>
      </c>
      <c r="D1459">
        <v>1</v>
      </c>
      <c r="E1459">
        <v>23</v>
      </c>
      <c r="F1459">
        <v>13</v>
      </c>
      <c r="G1459">
        <v>6</v>
      </c>
      <c r="H1459">
        <v>7</v>
      </c>
      <c r="I1459">
        <v>0</v>
      </c>
      <c r="J1459">
        <v>3</v>
      </c>
      <c r="K1459">
        <v>3</v>
      </c>
      <c r="L1459">
        <v>1</v>
      </c>
      <c r="M1459">
        <v>1</v>
      </c>
      <c r="N1459">
        <v>0</v>
      </c>
      <c r="O1459">
        <v>3</v>
      </c>
      <c r="P1459">
        <v>6</v>
      </c>
      <c r="Q1459">
        <v>0</v>
      </c>
      <c r="R1459">
        <v>0</v>
      </c>
      <c r="S1459">
        <v>0</v>
      </c>
      <c r="T1459">
        <v>0</v>
      </c>
      <c r="U1459">
        <v>0</v>
      </c>
      <c r="V1459">
        <f>IF(SUM(ifood_data[[#This Row],[AcceptedCmp1]:[AcceptedCmp5]])&gt;0,1,0)</f>
        <v>0</v>
      </c>
      <c r="W1459">
        <v>0</v>
      </c>
      <c r="X1459">
        <v>3</v>
      </c>
      <c r="Y1459">
        <v>11</v>
      </c>
      <c r="Z1459">
        <v>0</v>
      </c>
      <c r="AA1459">
        <v>68</v>
      </c>
      <c r="AB1459">
        <v>2415</v>
      </c>
      <c r="AC1459" s="28">
        <f>ifood_data[[#This Row],[Customer_Days]]/365</f>
        <v>6.6164383561643838</v>
      </c>
      <c r="AD1459">
        <v>0</v>
      </c>
      <c r="AE1459">
        <v>0</v>
      </c>
      <c r="AF1459">
        <v>0</v>
      </c>
      <c r="AG1459">
        <v>0</v>
      </c>
      <c r="AH1459">
        <v>1</v>
      </c>
      <c r="AI1459">
        <v>0</v>
      </c>
      <c r="AJ1459">
        <v>0</v>
      </c>
      <c r="AK1459">
        <v>1</v>
      </c>
      <c r="AL1459">
        <v>0</v>
      </c>
      <c r="AM1459">
        <v>0</v>
      </c>
      <c r="AN1459">
        <v>29</v>
      </c>
      <c r="AO1459">
        <v>26</v>
      </c>
      <c r="AP1459">
        <f>ifood_data[[#This Row],[MntTotal]]-ifood_data[[#This Row],[MntRegularProds]]</f>
        <v>3</v>
      </c>
      <c r="AQ1459">
        <v>0</v>
      </c>
      <c r="AR1459">
        <f>IF(SUM(ifood_data[[#This Row],[Kidhome]:[Teenhome]])&gt;0,1,0)</f>
        <v>1</v>
      </c>
      <c r="AS1459" t="str">
        <f>IF(SUM(ifood_data[[#This Row],[Kidhome]:[Teenhome]])&gt;0,"Has Family","No Family")</f>
        <v>Has Family</v>
      </c>
      <c r="AT1459" t="str">
        <f>IF(ifood_data[[#This Row],[marital_Married]]=1,"Married", (IF(ifood_data[[#This Row],[marital_Single]]=1,"Single",(IF(ifood_data[[#This Row],[marital_Divorced]]=1,"Divorced",(IF(ifood_data[[#This Row],[marital_Together]]=1,"Living Together",(IF(ifood_data[[#This Row],[marital_Widow]]=1,"Widow","Other")))))))))</f>
        <v>Widow</v>
      </c>
      <c r="AU1459" t="str">
        <f>IF(ifood_data[[#This Row],[education_Basic]]=1,"High School",(IF(ifood_data[[#This Row],[education_Graduation]]=1,"Undergraduate Degree",(IF(SUM(AM1459,AL1459,AI1459)&gt;0,"Master's Degree or Higher","Other")))))</f>
        <v>Undergraduate Degree</v>
      </c>
      <c r="AV1459" t="str">
        <f>IF(ifood_data[[#All],[Income]]&gt;75000,"75K+",(IF(ifood_data[[#All],[Income]]&gt;50000,"50K-75K",(IF(ifood_data[[#All],[Income]]&gt;35000,"35K-50K","&lt;35K")))))</f>
        <v>35K-50K</v>
      </c>
      <c r="AW1459" t="str">
        <f>IF(ifood_data[[#All],[Age]]&gt;60,"60+",(IF(ifood_data[[#All],[Age]]&gt;50,"50-60",(IF(ifood_data[[#All],[Age]]&gt;40,"40-50",(IF(ifood_data[[#All],[Age]]&gt;30,"30-40","&lt;30")))))))</f>
        <v>60+</v>
      </c>
      <c r="AX1459">
        <f t="shared" si="88"/>
        <v>11</v>
      </c>
      <c r="AY1459">
        <f t="shared" si="89"/>
        <v>8</v>
      </c>
      <c r="AZ1459">
        <f t="shared" si="90"/>
        <v>0</v>
      </c>
      <c r="BA1459">
        <f t="shared" si="91"/>
        <v>1</v>
      </c>
      <c r="BB1459">
        <f>SUM(ifood_data[[#This Row],[Recency Score]:[Monetary Score]])</f>
        <v>9</v>
      </c>
      <c r="BC1459">
        <f>(_xlfn.PERCENTRANK.INC(ifood_data[[#All],[RFM]],ifood_data[[#This Row],[RFM]],1))*10</f>
        <v>1</v>
      </c>
      <c r="BD1459" t="str">
        <f>VLOOKUP(ifood_data[[#This Row],[RFM Score]],'RFM Analysis'!$A$3:$B$14,2,FALSE)</f>
        <v>At Risk</v>
      </c>
      <c r="BE1459">
        <f>'Regression Models'!$B$101+'Regression Models'!$B$102*ifood_data[[#This Row],[Income]]+'Regression Models'!$B$103*ifood_data[[#This Row],[Age]]+'Regression Models'!$B$104*ifood_data[[#This Row],[Family]]</f>
        <v>214.24303068271433</v>
      </c>
      <c r="BF1459" t="str">
        <f>IF(ifood_data[[#This Row],[AcceptedCmpOverall]]=1,"Campaign Respondent","Non-respondent")</f>
        <v>Non-respondent</v>
      </c>
    </row>
    <row r="1460" spans="1:58" x14ac:dyDescent="0.35">
      <c r="A1460">
        <v>1244</v>
      </c>
      <c r="B1460">
        <v>37774</v>
      </c>
      <c r="C1460">
        <v>2</v>
      </c>
      <c r="D1460">
        <v>0</v>
      </c>
      <c r="E1460">
        <v>28</v>
      </c>
      <c r="F1460">
        <v>173</v>
      </c>
      <c r="G1460">
        <v>8</v>
      </c>
      <c r="H1460">
        <v>107</v>
      </c>
      <c r="I1460">
        <v>7</v>
      </c>
      <c r="J1460">
        <v>2</v>
      </c>
      <c r="K1460">
        <v>176</v>
      </c>
      <c r="L1460">
        <v>4</v>
      </c>
      <c r="M1460">
        <v>7</v>
      </c>
      <c r="N1460">
        <v>2</v>
      </c>
      <c r="O1460">
        <v>3</v>
      </c>
      <c r="P1460">
        <v>9</v>
      </c>
      <c r="Q1460">
        <v>0</v>
      </c>
      <c r="R1460">
        <v>0</v>
      </c>
      <c r="S1460">
        <v>1</v>
      </c>
      <c r="T1460">
        <v>0</v>
      </c>
      <c r="U1460">
        <v>0</v>
      </c>
      <c r="V1460">
        <f>IF(SUM(ifood_data[[#This Row],[AcceptedCmp1]:[AcceptedCmp5]])&gt;0,1,0)</f>
        <v>1</v>
      </c>
      <c r="W1460">
        <v>1</v>
      </c>
      <c r="X1460">
        <v>3</v>
      </c>
      <c r="Y1460">
        <v>11</v>
      </c>
      <c r="Z1460">
        <v>1</v>
      </c>
      <c r="AA1460">
        <v>43</v>
      </c>
      <c r="AB1460">
        <v>2823</v>
      </c>
      <c r="AC1460" s="28">
        <f>ifood_data[[#This Row],[Customer_Days]]/365</f>
        <v>7.7342465753424658</v>
      </c>
      <c r="AD1460">
        <v>0</v>
      </c>
      <c r="AE1460">
        <v>0</v>
      </c>
      <c r="AF1460">
        <v>1</v>
      </c>
      <c r="AG1460">
        <v>0</v>
      </c>
      <c r="AH1460">
        <v>0</v>
      </c>
      <c r="AI1460">
        <v>0</v>
      </c>
      <c r="AJ1460">
        <v>0</v>
      </c>
      <c r="AK1460">
        <v>1</v>
      </c>
      <c r="AL1460">
        <v>0</v>
      </c>
      <c r="AM1460">
        <v>0</v>
      </c>
      <c r="AN1460">
        <v>297</v>
      </c>
      <c r="AO1460">
        <v>121</v>
      </c>
      <c r="AP1460">
        <f>ifood_data[[#This Row],[MntTotal]]-ifood_data[[#This Row],[MntRegularProds]]</f>
        <v>176</v>
      </c>
      <c r="AQ1460">
        <v>1</v>
      </c>
      <c r="AR1460">
        <f>IF(SUM(ifood_data[[#This Row],[Kidhome]:[Teenhome]])&gt;0,1,0)</f>
        <v>1</v>
      </c>
      <c r="AS1460" t="str">
        <f>IF(SUM(ifood_data[[#This Row],[Kidhome]:[Teenhome]])&gt;0,"Has Family","No Family")</f>
        <v>Has Family</v>
      </c>
      <c r="AT1460" t="str">
        <f>IF(ifood_data[[#This Row],[marital_Married]]=1,"Married", (IF(ifood_data[[#This Row],[marital_Single]]=1,"Single",(IF(ifood_data[[#This Row],[marital_Divorced]]=1,"Divorced",(IF(ifood_data[[#This Row],[marital_Together]]=1,"Living Together",(IF(ifood_data[[#This Row],[marital_Widow]]=1,"Widow","Other")))))))))</f>
        <v>Single</v>
      </c>
      <c r="AU1460" t="str">
        <f>IF(ifood_data[[#This Row],[education_Basic]]=1,"High School",(IF(ifood_data[[#This Row],[education_Graduation]]=1,"Undergraduate Degree",(IF(SUM(AM1460,AL1460,AI1460)&gt;0,"Master's Degree or Higher","Other")))))</f>
        <v>Undergraduate Degree</v>
      </c>
      <c r="AV1460" t="str">
        <f>IF(ifood_data[[#All],[Income]]&gt;75000,"75K+",(IF(ifood_data[[#All],[Income]]&gt;50000,"50K-75K",(IF(ifood_data[[#All],[Income]]&gt;35000,"35K-50K","&lt;35K")))))</f>
        <v>35K-50K</v>
      </c>
      <c r="AW1460" t="str">
        <f>IF(ifood_data[[#All],[Age]]&gt;60,"60+",(IF(ifood_data[[#All],[Age]]&gt;50,"50-60",(IF(ifood_data[[#All],[Age]]&gt;40,"40-50",(IF(ifood_data[[#All],[Age]]&gt;30,"30-40","&lt;30")))))))</f>
        <v>40-50</v>
      </c>
      <c r="AX1460">
        <f t="shared" si="88"/>
        <v>25</v>
      </c>
      <c r="AY1460">
        <f t="shared" si="89"/>
        <v>8</v>
      </c>
      <c r="AZ1460">
        <f t="shared" si="90"/>
        <v>7</v>
      </c>
      <c r="BA1460">
        <f t="shared" si="91"/>
        <v>4</v>
      </c>
      <c r="BB1460">
        <f>SUM(ifood_data[[#This Row],[Recency Score]:[Monetary Score]])</f>
        <v>19</v>
      </c>
      <c r="BC1460">
        <f>(_xlfn.PERCENTRANK.INC(ifood_data[[#All],[RFM]],ifood_data[[#This Row],[RFM]],1))*10</f>
        <v>7</v>
      </c>
      <c r="BD1460" t="str">
        <f>VLOOKUP(ifood_data[[#This Row],[RFM Score]],'RFM Analysis'!$A$3:$B$14,2,FALSE)</f>
        <v>Loyal Customer</v>
      </c>
      <c r="BE1460">
        <f>'Regression Models'!$B$101+'Regression Models'!$B$102*ifood_data[[#This Row],[Income]]+'Regression Models'!$B$103*ifood_data[[#This Row],[Age]]+'Regression Models'!$B$104*ifood_data[[#This Row],[Family]]</f>
        <v>213.7695601277012</v>
      </c>
      <c r="BF1460" t="str">
        <f>IF(ifood_data[[#This Row],[AcceptedCmpOverall]]=1,"Campaign Respondent","Non-respondent")</f>
        <v>Campaign Respondent</v>
      </c>
    </row>
    <row r="1461" spans="1:58" x14ac:dyDescent="0.35">
      <c r="A1461">
        <v>1546</v>
      </c>
      <c r="B1461">
        <v>38232</v>
      </c>
      <c r="C1461">
        <v>1</v>
      </c>
      <c r="D1461">
        <v>1</v>
      </c>
      <c r="E1461">
        <v>84</v>
      </c>
      <c r="F1461">
        <v>43</v>
      </c>
      <c r="G1461">
        <v>5</v>
      </c>
      <c r="H1461">
        <v>28</v>
      </c>
      <c r="I1461">
        <v>7</v>
      </c>
      <c r="J1461">
        <v>6</v>
      </c>
      <c r="K1461">
        <v>33</v>
      </c>
      <c r="L1461">
        <v>4</v>
      </c>
      <c r="M1461">
        <v>3</v>
      </c>
      <c r="N1461">
        <v>1</v>
      </c>
      <c r="O1461">
        <v>3</v>
      </c>
      <c r="P1461">
        <v>5</v>
      </c>
      <c r="Q1461">
        <v>0</v>
      </c>
      <c r="R1461">
        <v>0</v>
      </c>
      <c r="S1461">
        <v>0</v>
      </c>
      <c r="T1461">
        <v>0</v>
      </c>
      <c r="U1461">
        <v>0</v>
      </c>
      <c r="V1461">
        <f>IF(SUM(ifood_data[[#This Row],[AcceptedCmp1]:[AcceptedCmp5]])&gt;0,1,0)</f>
        <v>0</v>
      </c>
      <c r="W1461">
        <v>0</v>
      </c>
      <c r="X1461">
        <v>3</v>
      </c>
      <c r="Y1461">
        <v>11</v>
      </c>
      <c r="Z1461">
        <v>0</v>
      </c>
      <c r="AA1461">
        <v>49</v>
      </c>
      <c r="AB1461">
        <v>2322</v>
      </c>
      <c r="AC1461" s="28">
        <f>ifood_data[[#This Row],[Customer_Days]]/365</f>
        <v>6.3616438356164382</v>
      </c>
      <c r="AD1461">
        <v>0</v>
      </c>
      <c r="AE1461">
        <v>0</v>
      </c>
      <c r="AF1461">
        <v>0</v>
      </c>
      <c r="AG1461">
        <v>1</v>
      </c>
      <c r="AH1461">
        <v>0</v>
      </c>
      <c r="AI1461">
        <v>0</v>
      </c>
      <c r="AJ1461">
        <v>0</v>
      </c>
      <c r="AK1461">
        <v>1</v>
      </c>
      <c r="AL1461">
        <v>0</v>
      </c>
      <c r="AM1461">
        <v>0</v>
      </c>
      <c r="AN1461">
        <v>89</v>
      </c>
      <c r="AO1461">
        <v>56</v>
      </c>
      <c r="AP1461">
        <f>ifood_data[[#This Row],[MntTotal]]-ifood_data[[#This Row],[MntRegularProds]]</f>
        <v>33</v>
      </c>
      <c r="AQ1461">
        <v>0</v>
      </c>
      <c r="AR1461">
        <f>IF(SUM(ifood_data[[#This Row],[Kidhome]:[Teenhome]])&gt;0,1,0)</f>
        <v>1</v>
      </c>
      <c r="AS1461" t="str">
        <f>IF(SUM(ifood_data[[#This Row],[Kidhome]:[Teenhome]])&gt;0,"Has Family","No Family")</f>
        <v>Has Family</v>
      </c>
      <c r="AT1461" t="str">
        <f>IF(ifood_data[[#This Row],[marital_Married]]=1,"Married", (IF(ifood_data[[#This Row],[marital_Single]]=1,"Single",(IF(ifood_data[[#This Row],[marital_Divorced]]=1,"Divorced",(IF(ifood_data[[#This Row],[marital_Together]]=1,"Living Together",(IF(ifood_data[[#This Row],[marital_Widow]]=1,"Widow","Other")))))))))</f>
        <v>Living Together</v>
      </c>
      <c r="AU1461" t="str">
        <f>IF(ifood_data[[#This Row],[education_Basic]]=1,"High School",(IF(ifood_data[[#This Row],[education_Graduation]]=1,"Undergraduate Degree",(IF(SUM(AM1461,AL1461,AI1461)&gt;0,"Master's Degree or Higher","Other")))))</f>
        <v>Undergraduate Degree</v>
      </c>
      <c r="AV1461" t="str">
        <f>IF(ifood_data[[#All],[Income]]&gt;75000,"75K+",(IF(ifood_data[[#All],[Income]]&gt;50000,"50K-75K",(IF(ifood_data[[#All],[Income]]&gt;35000,"35K-50K","&lt;35K")))))</f>
        <v>35K-50K</v>
      </c>
      <c r="AW1461" t="str">
        <f>IF(ifood_data[[#All],[Age]]&gt;60,"60+",(IF(ifood_data[[#All],[Age]]&gt;50,"50-60",(IF(ifood_data[[#All],[Age]]&gt;40,"40-50",(IF(ifood_data[[#All],[Age]]&gt;30,"30-40","&lt;30")))))))</f>
        <v>40-50</v>
      </c>
      <c r="AX1461">
        <f t="shared" si="88"/>
        <v>16</v>
      </c>
      <c r="AY1461">
        <f t="shared" si="89"/>
        <v>1.9999999999999996</v>
      </c>
      <c r="AZ1461">
        <f t="shared" si="90"/>
        <v>3</v>
      </c>
      <c r="BA1461">
        <f t="shared" si="91"/>
        <v>3</v>
      </c>
      <c r="BB1461">
        <f>SUM(ifood_data[[#This Row],[Recency Score]:[Monetary Score]])</f>
        <v>8</v>
      </c>
      <c r="BC1461">
        <f>(_xlfn.PERCENTRANK.INC(ifood_data[[#All],[RFM]],ifood_data[[#This Row],[RFM]],1))*10</f>
        <v>1</v>
      </c>
      <c r="BD1461" t="str">
        <f>VLOOKUP(ifood_data[[#This Row],[RFM Score]],'RFM Analysis'!$A$3:$B$14,2,FALSE)</f>
        <v>At Risk</v>
      </c>
      <c r="BE1461">
        <f>'Regression Models'!$B$101+'Regression Models'!$B$102*ifood_data[[#This Row],[Income]]+'Regression Models'!$B$103*ifood_data[[#This Row],[Age]]+'Regression Models'!$B$104*ifood_data[[#This Row],[Family]]</f>
        <v>212.08898146424121</v>
      </c>
      <c r="BF1461" t="str">
        <f>IF(ifood_data[[#This Row],[AcceptedCmpOverall]]=1,"Campaign Respondent","Non-respondent")</f>
        <v>Non-respondent</v>
      </c>
    </row>
    <row r="1462" spans="1:58" x14ac:dyDescent="0.35">
      <c r="A1462">
        <v>446</v>
      </c>
      <c r="B1462">
        <v>37406</v>
      </c>
      <c r="C1462">
        <v>1</v>
      </c>
      <c r="D1462">
        <v>0</v>
      </c>
      <c r="E1462">
        <v>18</v>
      </c>
      <c r="F1462">
        <v>2</v>
      </c>
      <c r="G1462">
        <v>0</v>
      </c>
      <c r="H1462">
        <v>8</v>
      </c>
      <c r="I1462">
        <v>2</v>
      </c>
      <c r="J1462">
        <v>2</v>
      </c>
      <c r="K1462">
        <v>3</v>
      </c>
      <c r="L1462">
        <v>1</v>
      </c>
      <c r="M1462">
        <v>1</v>
      </c>
      <c r="N1462">
        <v>0</v>
      </c>
      <c r="O1462">
        <v>2</v>
      </c>
      <c r="P1462">
        <v>8</v>
      </c>
      <c r="Q1462">
        <v>0</v>
      </c>
      <c r="R1462">
        <v>0</v>
      </c>
      <c r="S1462">
        <v>0</v>
      </c>
      <c r="T1462">
        <v>0</v>
      </c>
      <c r="U1462">
        <v>0</v>
      </c>
      <c r="V1462">
        <f>IF(SUM(ifood_data[[#This Row],[AcceptedCmp1]:[AcceptedCmp5]])&gt;0,1,0)</f>
        <v>0</v>
      </c>
      <c r="W1462">
        <v>0</v>
      </c>
      <c r="X1462">
        <v>3</v>
      </c>
      <c r="Y1462">
        <v>11</v>
      </c>
      <c r="Z1462">
        <v>1</v>
      </c>
      <c r="AA1462">
        <v>40</v>
      </c>
      <c r="AB1462">
        <v>2421</v>
      </c>
      <c r="AC1462" s="28">
        <f>ifood_data[[#This Row],[Customer_Days]]/365</f>
        <v>6.6328767123287671</v>
      </c>
      <c r="AD1462">
        <v>0</v>
      </c>
      <c r="AE1462">
        <v>1</v>
      </c>
      <c r="AF1462">
        <v>0</v>
      </c>
      <c r="AG1462">
        <v>0</v>
      </c>
      <c r="AH1462">
        <v>0</v>
      </c>
      <c r="AI1462">
        <v>0</v>
      </c>
      <c r="AJ1462">
        <v>0</v>
      </c>
      <c r="AK1462">
        <v>1</v>
      </c>
      <c r="AL1462">
        <v>0</v>
      </c>
      <c r="AM1462">
        <v>0</v>
      </c>
      <c r="AN1462">
        <v>14</v>
      </c>
      <c r="AO1462">
        <v>11</v>
      </c>
      <c r="AP1462">
        <f>ifood_data[[#This Row],[MntTotal]]-ifood_data[[#This Row],[MntRegularProds]]</f>
        <v>3</v>
      </c>
      <c r="AQ1462">
        <v>0</v>
      </c>
      <c r="AR1462">
        <f>IF(SUM(ifood_data[[#This Row],[Kidhome]:[Teenhome]])&gt;0,1,0)</f>
        <v>1</v>
      </c>
      <c r="AS1462" t="str">
        <f>IF(SUM(ifood_data[[#This Row],[Kidhome]:[Teenhome]])&gt;0,"Has Family","No Family")</f>
        <v>Has Family</v>
      </c>
      <c r="AT1462" t="str">
        <f>IF(ifood_data[[#This Row],[marital_Married]]=1,"Married", (IF(ifood_data[[#This Row],[marital_Single]]=1,"Single",(IF(ifood_data[[#This Row],[marital_Divorced]]=1,"Divorced",(IF(ifood_data[[#This Row],[marital_Together]]=1,"Living Together",(IF(ifood_data[[#This Row],[marital_Widow]]=1,"Widow","Other")))))))))</f>
        <v>Married</v>
      </c>
      <c r="AU1462" t="str">
        <f>IF(ifood_data[[#This Row],[education_Basic]]=1,"High School",(IF(ifood_data[[#This Row],[education_Graduation]]=1,"Undergraduate Degree",(IF(SUM(AM1462,AL1462,AI1462)&gt;0,"Master's Degree or Higher","Other")))))</f>
        <v>Undergraduate Degree</v>
      </c>
      <c r="AV1462" t="str">
        <f>IF(ifood_data[[#All],[Income]]&gt;75000,"75K+",(IF(ifood_data[[#All],[Income]]&gt;50000,"50K-75K",(IF(ifood_data[[#All],[Income]]&gt;35000,"35K-50K","&lt;35K")))))</f>
        <v>35K-50K</v>
      </c>
      <c r="AW1462" t="str">
        <f>IF(ifood_data[[#All],[Age]]&gt;60,"60+",(IF(ifood_data[[#All],[Age]]&gt;50,"50-60",(IF(ifood_data[[#All],[Age]]&gt;40,"40-50",(IF(ifood_data[[#All],[Age]]&gt;30,"30-40","&lt;30")))))))</f>
        <v>30-40</v>
      </c>
      <c r="AX1462">
        <f t="shared" si="88"/>
        <v>12</v>
      </c>
      <c r="AY1462">
        <f t="shared" si="89"/>
        <v>9</v>
      </c>
      <c r="AZ1462">
        <f t="shared" si="90"/>
        <v>1</v>
      </c>
      <c r="BA1462">
        <f t="shared" si="91"/>
        <v>0</v>
      </c>
      <c r="BB1462">
        <f>SUM(ifood_data[[#This Row],[Recency Score]:[Monetary Score]])</f>
        <v>10</v>
      </c>
      <c r="BC1462">
        <f>(_xlfn.PERCENTRANK.INC(ifood_data[[#All],[RFM]],ifood_data[[#This Row],[RFM]],1))*10</f>
        <v>2</v>
      </c>
      <c r="BD1462" t="str">
        <f>VLOOKUP(ifood_data[[#This Row],[RFM Score]],'RFM Analysis'!$A$3:$B$14,2,FALSE)</f>
        <v>At Risk</v>
      </c>
      <c r="BE1462">
        <f>'Regression Models'!$B$101+'Regression Models'!$B$102*ifood_data[[#This Row],[Income]]+'Regression Models'!$B$103*ifood_data[[#This Row],[Age]]+'Regression Models'!$B$104*ifood_data[[#This Row],[Family]]</f>
        <v>211.77581068742927</v>
      </c>
      <c r="BF1462" t="str">
        <f>IF(ifood_data[[#This Row],[AcceptedCmpOverall]]=1,"Campaign Respondent","Non-respondent")</f>
        <v>Non-respondent</v>
      </c>
    </row>
    <row r="1463" spans="1:58" x14ac:dyDescent="0.35">
      <c r="A1463">
        <v>958</v>
      </c>
      <c r="B1463">
        <v>38196</v>
      </c>
      <c r="C1463">
        <v>1</v>
      </c>
      <c r="D1463">
        <v>1</v>
      </c>
      <c r="E1463">
        <v>20</v>
      </c>
      <c r="F1463">
        <v>30</v>
      </c>
      <c r="G1463">
        <v>0</v>
      </c>
      <c r="H1463">
        <v>11</v>
      </c>
      <c r="I1463">
        <v>0</v>
      </c>
      <c r="J1463">
        <v>0</v>
      </c>
      <c r="K1463">
        <v>3</v>
      </c>
      <c r="L1463">
        <v>3</v>
      </c>
      <c r="M1463">
        <v>2</v>
      </c>
      <c r="N1463">
        <v>0</v>
      </c>
      <c r="O1463">
        <v>4</v>
      </c>
      <c r="P1463">
        <v>5</v>
      </c>
      <c r="Q1463">
        <v>0</v>
      </c>
      <c r="R1463">
        <v>0</v>
      </c>
      <c r="S1463">
        <v>0</v>
      </c>
      <c r="T1463">
        <v>0</v>
      </c>
      <c r="U1463">
        <v>0</v>
      </c>
      <c r="V1463">
        <f>IF(SUM(ifood_data[[#This Row],[AcceptedCmp1]:[AcceptedCmp5]])&gt;0,1,0)</f>
        <v>0</v>
      </c>
      <c r="W1463">
        <v>0</v>
      </c>
      <c r="X1463">
        <v>3</v>
      </c>
      <c r="Y1463">
        <v>11</v>
      </c>
      <c r="Z1463">
        <v>0</v>
      </c>
      <c r="AA1463">
        <v>49</v>
      </c>
      <c r="AB1463">
        <v>2231</v>
      </c>
      <c r="AC1463" s="28">
        <f>ifood_data[[#This Row],[Customer_Days]]/365</f>
        <v>6.1123287671232873</v>
      </c>
      <c r="AD1463">
        <v>0</v>
      </c>
      <c r="AE1463">
        <v>1</v>
      </c>
      <c r="AF1463">
        <v>0</v>
      </c>
      <c r="AG1463">
        <v>0</v>
      </c>
      <c r="AH1463">
        <v>0</v>
      </c>
      <c r="AI1463">
        <v>0</v>
      </c>
      <c r="AJ1463">
        <v>0</v>
      </c>
      <c r="AK1463">
        <v>0</v>
      </c>
      <c r="AL1463">
        <v>1</v>
      </c>
      <c r="AM1463">
        <v>0</v>
      </c>
      <c r="AN1463">
        <v>41</v>
      </c>
      <c r="AO1463">
        <v>38</v>
      </c>
      <c r="AP1463">
        <f>ifood_data[[#This Row],[MntTotal]]-ifood_data[[#This Row],[MntRegularProds]]</f>
        <v>3</v>
      </c>
      <c r="AQ1463">
        <v>0</v>
      </c>
      <c r="AR1463">
        <f>IF(SUM(ifood_data[[#This Row],[Kidhome]:[Teenhome]])&gt;0,1,0)</f>
        <v>1</v>
      </c>
      <c r="AS1463" t="str">
        <f>IF(SUM(ifood_data[[#This Row],[Kidhome]:[Teenhome]])&gt;0,"Has Family","No Family")</f>
        <v>Has Family</v>
      </c>
      <c r="AT1463" t="str">
        <f>IF(ifood_data[[#This Row],[marital_Married]]=1,"Married", (IF(ifood_data[[#This Row],[marital_Single]]=1,"Single",(IF(ifood_data[[#This Row],[marital_Divorced]]=1,"Divorced",(IF(ifood_data[[#This Row],[marital_Together]]=1,"Living Together",(IF(ifood_data[[#This Row],[marital_Widow]]=1,"Widow","Other")))))))))</f>
        <v>Married</v>
      </c>
      <c r="AU1463" t="str">
        <f>IF(ifood_data[[#This Row],[education_Basic]]=1,"High School",(IF(ifood_data[[#This Row],[education_Graduation]]=1,"Undergraduate Degree",(IF(SUM(AM1463,AL1463,AI1463)&gt;0,"Master's Degree or Higher","Other")))))</f>
        <v>Master's Degree or Higher</v>
      </c>
      <c r="AV1463" t="str">
        <f>IF(ifood_data[[#All],[Income]]&gt;75000,"75K+",(IF(ifood_data[[#All],[Income]]&gt;50000,"50K-75K",(IF(ifood_data[[#All],[Income]]&gt;35000,"35K-50K","&lt;35K")))))</f>
        <v>35K-50K</v>
      </c>
      <c r="AW1463" t="str">
        <f>IF(ifood_data[[#All],[Age]]&gt;60,"60+",(IF(ifood_data[[#All],[Age]]&gt;50,"50-60",(IF(ifood_data[[#All],[Age]]&gt;40,"40-50",(IF(ifood_data[[#All],[Age]]&gt;30,"30-40","&lt;30")))))))</f>
        <v>40-50</v>
      </c>
      <c r="AX1463">
        <f t="shared" si="88"/>
        <v>14</v>
      </c>
      <c r="AY1463">
        <f t="shared" si="89"/>
        <v>8</v>
      </c>
      <c r="AZ1463">
        <f t="shared" si="90"/>
        <v>2</v>
      </c>
      <c r="BA1463">
        <f t="shared" si="91"/>
        <v>1</v>
      </c>
      <c r="BB1463">
        <f>SUM(ifood_data[[#This Row],[Recency Score]:[Monetary Score]])</f>
        <v>11</v>
      </c>
      <c r="BC1463">
        <f>(_xlfn.PERCENTRANK.INC(ifood_data[[#All],[RFM]],ifood_data[[#This Row],[RFM]],1))*10</f>
        <v>2</v>
      </c>
      <c r="BD1463" t="str">
        <f>VLOOKUP(ifood_data[[#This Row],[RFM Score]],'RFM Analysis'!$A$3:$B$14,2,FALSE)</f>
        <v>At Risk</v>
      </c>
      <c r="BE1463">
        <f>'Regression Models'!$B$101+'Regression Models'!$B$102*ifood_data[[#This Row],[Income]]+'Regression Models'!$B$103*ifood_data[[#This Row],[Age]]+'Regression Models'!$B$104*ifood_data[[#This Row],[Family]]</f>
        <v>211.35498581106094</v>
      </c>
      <c r="BF1463" t="str">
        <f>IF(ifood_data[[#This Row],[AcceptedCmpOverall]]=1,"Campaign Respondent","Non-respondent")</f>
        <v>Non-respondent</v>
      </c>
    </row>
    <row r="1464" spans="1:58" x14ac:dyDescent="0.35">
      <c r="A1464">
        <v>274</v>
      </c>
      <c r="B1464">
        <v>38361</v>
      </c>
      <c r="C1464">
        <v>1</v>
      </c>
      <c r="D1464">
        <v>0</v>
      </c>
      <c r="E1464">
        <v>74</v>
      </c>
      <c r="F1464">
        <v>39</v>
      </c>
      <c r="G1464">
        <v>0</v>
      </c>
      <c r="H1464">
        <v>56</v>
      </c>
      <c r="I1464">
        <v>20</v>
      </c>
      <c r="J1464">
        <v>8</v>
      </c>
      <c r="K1464">
        <v>14</v>
      </c>
      <c r="L1464">
        <v>3</v>
      </c>
      <c r="M1464">
        <v>3</v>
      </c>
      <c r="N1464">
        <v>1</v>
      </c>
      <c r="O1464">
        <v>3</v>
      </c>
      <c r="P1464">
        <v>7</v>
      </c>
      <c r="Q1464">
        <v>0</v>
      </c>
      <c r="R1464">
        <v>0</v>
      </c>
      <c r="S1464">
        <v>0</v>
      </c>
      <c r="T1464">
        <v>0</v>
      </c>
      <c r="U1464">
        <v>0</v>
      </c>
      <c r="V1464">
        <f>IF(SUM(ifood_data[[#This Row],[AcceptedCmp1]:[AcceptedCmp5]])&gt;0,1,0)</f>
        <v>0</v>
      </c>
      <c r="W1464">
        <v>0</v>
      </c>
      <c r="X1464">
        <v>3</v>
      </c>
      <c r="Y1464">
        <v>11</v>
      </c>
      <c r="Z1464">
        <v>0</v>
      </c>
      <c r="AA1464">
        <v>51</v>
      </c>
      <c r="AB1464">
        <v>2343</v>
      </c>
      <c r="AC1464" s="28">
        <f>ifood_data[[#This Row],[Customer_Days]]/365</f>
        <v>6.419178082191781</v>
      </c>
      <c r="AD1464">
        <v>0</v>
      </c>
      <c r="AE1464">
        <v>0</v>
      </c>
      <c r="AF1464">
        <v>0</v>
      </c>
      <c r="AG1464">
        <v>1</v>
      </c>
      <c r="AH1464">
        <v>0</v>
      </c>
      <c r="AI1464">
        <v>0</v>
      </c>
      <c r="AJ1464">
        <v>0</v>
      </c>
      <c r="AK1464">
        <v>1</v>
      </c>
      <c r="AL1464">
        <v>0</v>
      </c>
      <c r="AM1464">
        <v>0</v>
      </c>
      <c r="AN1464">
        <v>123</v>
      </c>
      <c r="AO1464">
        <v>109</v>
      </c>
      <c r="AP1464">
        <f>ifood_data[[#This Row],[MntTotal]]-ifood_data[[#This Row],[MntRegularProds]]</f>
        <v>14</v>
      </c>
      <c r="AQ1464">
        <v>0</v>
      </c>
      <c r="AR1464">
        <f>IF(SUM(ifood_data[[#This Row],[Kidhome]:[Teenhome]])&gt;0,1,0)</f>
        <v>1</v>
      </c>
      <c r="AS1464" t="str">
        <f>IF(SUM(ifood_data[[#This Row],[Kidhome]:[Teenhome]])&gt;0,"Has Family","No Family")</f>
        <v>Has Family</v>
      </c>
      <c r="AT1464" t="str">
        <f>IF(ifood_data[[#This Row],[marital_Married]]=1,"Married", (IF(ifood_data[[#This Row],[marital_Single]]=1,"Single",(IF(ifood_data[[#This Row],[marital_Divorced]]=1,"Divorced",(IF(ifood_data[[#This Row],[marital_Together]]=1,"Living Together",(IF(ifood_data[[#This Row],[marital_Widow]]=1,"Widow","Other")))))))))</f>
        <v>Living Together</v>
      </c>
      <c r="AU1464" t="str">
        <f>IF(ifood_data[[#This Row],[education_Basic]]=1,"High School",(IF(ifood_data[[#This Row],[education_Graduation]]=1,"Undergraduate Degree",(IF(SUM(AM1464,AL1464,AI1464)&gt;0,"Master's Degree or Higher","Other")))))</f>
        <v>Undergraduate Degree</v>
      </c>
      <c r="AV1464" t="str">
        <f>IF(ifood_data[[#All],[Income]]&gt;75000,"75K+",(IF(ifood_data[[#All],[Income]]&gt;50000,"50K-75K",(IF(ifood_data[[#All],[Income]]&gt;35000,"35K-50K","&lt;35K")))))</f>
        <v>35K-50K</v>
      </c>
      <c r="AW1464" t="str">
        <f>IF(ifood_data[[#All],[Age]]&gt;60,"60+",(IF(ifood_data[[#All],[Age]]&gt;50,"50-60",(IF(ifood_data[[#All],[Age]]&gt;40,"40-50",(IF(ifood_data[[#All],[Age]]&gt;30,"30-40","&lt;30")))))))</f>
        <v>50-60</v>
      </c>
      <c r="AX1464">
        <f t="shared" si="88"/>
        <v>17</v>
      </c>
      <c r="AY1464">
        <f t="shared" si="89"/>
        <v>3.0000000000000004</v>
      </c>
      <c r="AZ1464">
        <f t="shared" si="90"/>
        <v>3</v>
      </c>
      <c r="BA1464">
        <f t="shared" si="91"/>
        <v>3</v>
      </c>
      <c r="BB1464">
        <f>SUM(ifood_data[[#This Row],[Recency Score]:[Monetary Score]])</f>
        <v>9</v>
      </c>
      <c r="BC1464">
        <f>(_xlfn.PERCENTRANK.INC(ifood_data[[#All],[RFM]],ifood_data[[#This Row],[RFM]],1))*10</f>
        <v>1</v>
      </c>
      <c r="BD1464" t="str">
        <f>VLOOKUP(ifood_data[[#This Row],[RFM Score]],'RFM Analysis'!$A$3:$B$14,2,FALSE)</f>
        <v>At Risk</v>
      </c>
      <c r="BE1464">
        <f>'Regression Models'!$B$101+'Regression Models'!$B$102*ifood_data[[#This Row],[Income]]+'Regression Models'!$B$103*ifood_data[[#This Row],[Age]]+'Regression Models'!$B$104*ifood_data[[#This Row],[Family]]</f>
        <v>211.04625439701567</v>
      </c>
      <c r="BF1464" t="str">
        <f>IF(ifood_data[[#This Row],[AcceptedCmpOverall]]=1,"Campaign Respondent","Non-respondent")</f>
        <v>Non-respondent</v>
      </c>
    </row>
    <row r="1465" spans="1:58" x14ac:dyDescent="0.35">
      <c r="A1465">
        <v>545</v>
      </c>
      <c r="B1465">
        <v>38443</v>
      </c>
      <c r="C1465">
        <v>1</v>
      </c>
      <c r="D1465">
        <v>1</v>
      </c>
      <c r="E1465">
        <v>58</v>
      </c>
      <c r="F1465">
        <v>32</v>
      </c>
      <c r="G1465">
        <v>0</v>
      </c>
      <c r="H1465">
        <v>5</v>
      </c>
      <c r="I1465">
        <v>0</v>
      </c>
      <c r="J1465">
        <v>0</v>
      </c>
      <c r="K1465">
        <v>1</v>
      </c>
      <c r="L1465">
        <v>2</v>
      </c>
      <c r="M1465">
        <v>1</v>
      </c>
      <c r="N1465">
        <v>0</v>
      </c>
      <c r="O1465">
        <v>3</v>
      </c>
      <c r="P1465">
        <v>7</v>
      </c>
      <c r="Q1465">
        <v>0</v>
      </c>
      <c r="R1465">
        <v>0</v>
      </c>
      <c r="S1465">
        <v>0</v>
      </c>
      <c r="T1465">
        <v>0</v>
      </c>
      <c r="U1465">
        <v>0</v>
      </c>
      <c r="V1465">
        <f>IF(SUM(ifood_data[[#This Row],[AcceptedCmp1]:[AcceptedCmp5]])&gt;0,1,0)</f>
        <v>0</v>
      </c>
      <c r="W1465">
        <v>0</v>
      </c>
      <c r="X1465">
        <v>3</v>
      </c>
      <c r="Y1465">
        <v>11</v>
      </c>
      <c r="Z1465">
        <v>0</v>
      </c>
      <c r="AA1465">
        <v>52</v>
      </c>
      <c r="AB1465">
        <v>2312</v>
      </c>
      <c r="AC1465" s="28">
        <f>ifood_data[[#This Row],[Customer_Days]]/365</f>
        <v>6.3342465753424655</v>
      </c>
      <c r="AD1465">
        <v>0</v>
      </c>
      <c r="AE1465">
        <v>1</v>
      </c>
      <c r="AF1465">
        <v>0</v>
      </c>
      <c r="AG1465">
        <v>0</v>
      </c>
      <c r="AH1465">
        <v>0</v>
      </c>
      <c r="AI1465">
        <v>0</v>
      </c>
      <c r="AJ1465">
        <v>0</v>
      </c>
      <c r="AK1465">
        <v>0</v>
      </c>
      <c r="AL1465">
        <v>0</v>
      </c>
      <c r="AM1465">
        <v>1</v>
      </c>
      <c r="AN1465">
        <v>37</v>
      </c>
      <c r="AO1465">
        <v>36</v>
      </c>
      <c r="AP1465">
        <f>ifood_data[[#This Row],[MntTotal]]-ifood_data[[#This Row],[MntRegularProds]]</f>
        <v>1</v>
      </c>
      <c r="AQ1465">
        <v>0</v>
      </c>
      <c r="AR1465">
        <f>IF(SUM(ifood_data[[#This Row],[Kidhome]:[Teenhome]])&gt;0,1,0)</f>
        <v>1</v>
      </c>
      <c r="AS1465" t="str">
        <f>IF(SUM(ifood_data[[#This Row],[Kidhome]:[Teenhome]])&gt;0,"Has Family","No Family")</f>
        <v>Has Family</v>
      </c>
      <c r="AT1465" t="str">
        <f>IF(ifood_data[[#This Row],[marital_Married]]=1,"Married", (IF(ifood_data[[#This Row],[marital_Single]]=1,"Single",(IF(ifood_data[[#This Row],[marital_Divorced]]=1,"Divorced",(IF(ifood_data[[#This Row],[marital_Together]]=1,"Living Together",(IF(ifood_data[[#This Row],[marital_Widow]]=1,"Widow","Other")))))))))</f>
        <v>Married</v>
      </c>
      <c r="AU1465" t="str">
        <f>IF(ifood_data[[#This Row],[education_Basic]]=1,"High School",(IF(ifood_data[[#This Row],[education_Graduation]]=1,"Undergraduate Degree",(IF(SUM(AM1465,AL1465,AI1465)&gt;0,"Master's Degree or Higher","Other")))))</f>
        <v>Master's Degree or Higher</v>
      </c>
      <c r="AV1465" t="str">
        <f>IF(ifood_data[[#All],[Income]]&gt;75000,"75K+",(IF(ifood_data[[#All],[Income]]&gt;50000,"50K-75K",(IF(ifood_data[[#All],[Income]]&gt;35000,"35K-50K","&lt;35K")))))</f>
        <v>35K-50K</v>
      </c>
      <c r="AW1465" t="str">
        <f>IF(ifood_data[[#All],[Age]]&gt;60,"60+",(IF(ifood_data[[#All],[Age]]&gt;50,"50-60",(IF(ifood_data[[#All],[Age]]&gt;40,"40-50",(IF(ifood_data[[#All],[Age]]&gt;30,"30-40","&lt;30")))))))</f>
        <v>50-60</v>
      </c>
      <c r="AX1465">
        <f t="shared" si="88"/>
        <v>13</v>
      </c>
      <c r="AY1465">
        <f t="shared" si="89"/>
        <v>5</v>
      </c>
      <c r="AZ1465">
        <f t="shared" si="90"/>
        <v>1</v>
      </c>
      <c r="BA1465">
        <f t="shared" si="91"/>
        <v>1</v>
      </c>
      <c r="BB1465">
        <f>SUM(ifood_data[[#This Row],[Recency Score]:[Monetary Score]])</f>
        <v>7</v>
      </c>
      <c r="BC1465">
        <f>(_xlfn.PERCENTRANK.INC(ifood_data[[#All],[RFM]],ifood_data[[#This Row],[RFM]],1))*10</f>
        <v>1</v>
      </c>
      <c r="BD1465" t="str">
        <f>VLOOKUP(ifood_data[[#This Row],[RFM Score]],'RFM Analysis'!$A$3:$B$14,2,FALSE)</f>
        <v>At Risk</v>
      </c>
      <c r="BE1465">
        <f>'Regression Models'!$B$101+'Regression Models'!$B$102*ifood_data[[#This Row],[Income]]+'Regression Models'!$B$103*ifood_data[[#This Row],[Age]]+'Regression Models'!$B$104*ifood_data[[#This Row],[Family]]</f>
        <v>210.88169430592109</v>
      </c>
      <c r="BF1465" t="str">
        <f>IF(ifood_data[[#This Row],[AcceptedCmpOverall]]=1,"Campaign Respondent","Non-respondent")</f>
        <v>Non-respondent</v>
      </c>
    </row>
    <row r="1466" spans="1:58" x14ac:dyDescent="0.35">
      <c r="A1466">
        <v>1285</v>
      </c>
      <c r="B1466">
        <v>37971</v>
      </c>
      <c r="C1466">
        <v>1</v>
      </c>
      <c r="D1466">
        <v>0</v>
      </c>
      <c r="E1466">
        <v>97</v>
      </c>
      <c r="F1466">
        <v>5</v>
      </c>
      <c r="G1466">
        <v>4</v>
      </c>
      <c r="H1466">
        <v>10</v>
      </c>
      <c r="I1466">
        <v>2</v>
      </c>
      <c r="J1466">
        <v>2</v>
      </c>
      <c r="K1466">
        <v>7</v>
      </c>
      <c r="L1466">
        <v>1</v>
      </c>
      <c r="M1466">
        <v>1</v>
      </c>
      <c r="N1466">
        <v>0</v>
      </c>
      <c r="O1466">
        <v>3</v>
      </c>
      <c r="P1466">
        <v>8</v>
      </c>
      <c r="Q1466">
        <v>0</v>
      </c>
      <c r="R1466">
        <v>0</v>
      </c>
      <c r="S1466">
        <v>0</v>
      </c>
      <c r="T1466">
        <v>0</v>
      </c>
      <c r="U1466">
        <v>0</v>
      </c>
      <c r="V1466">
        <f>IF(SUM(ifood_data[[#This Row],[AcceptedCmp1]:[AcceptedCmp5]])&gt;0,1,0)</f>
        <v>0</v>
      </c>
      <c r="W1466">
        <v>0</v>
      </c>
      <c r="X1466">
        <v>3</v>
      </c>
      <c r="Y1466">
        <v>11</v>
      </c>
      <c r="Z1466">
        <v>0</v>
      </c>
      <c r="AA1466">
        <v>47</v>
      </c>
      <c r="AB1466">
        <v>2375</v>
      </c>
      <c r="AC1466" s="28">
        <f>ifood_data[[#This Row],[Customer_Days]]/365</f>
        <v>6.506849315068493</v>
      </c>
      <c r="AD1466">
        <v>0</v>
      </c>
      <c r="AE1466">
        <v>1</v>
      </c>
      <c r="AF1466">
        <v>0</v>
      </c>
      <c r="AG1466">
        <v>0</v>
      </c>
      <c r="AH1466">
        <v>0</v>
      </c>
      <c r="AI1466">
        <v>0</v>
      </c>
      <c r="AJ1466">
        <v>0</v>
      </c>
      <c r="AK1466">
        <v>1</v>
      </c>
      <c r="AL1466">
        <v>0</v>
      </c>
      <c r="AM1466">
        <v>0</v>
      </c>
      <c r="AN1466">
        <v>23</v>
      </c>
      <c r="AO1466">
        <v>16</v>
      </c>
      <c r="AP1466">
        <f>ifood_data[[#This Row],[MntTotal]]-ifood_data[[#This Row],[MntRegularProds]]</f>
        <v>7</v>
      </c>
      <c r="AQ1466">
        <v>0</v>
      </c>
      <c r="AR1466">
        <f>IF(SUM(ifood_data[[#This Row],[Kidhome]:[Teenhome]])&gt;0,1,0)</f>
        <v>1</v>
      </c>
      <c r="AS1466" t="str">
        <f>IF(SUM(ifood_data[[#This Row],[Kidhome]:[Teenhome]])&gt;0,"Has Family","No Family")</f>
        <v>Has Family</v>
      </c>
      <c r="AT1466" t="str">
        <f>IF(ifood_data[[#This Row],[marital_Married]]=1,"Married", (IF(ifood_data[[#This Row],[marital_Single]]=1,"Single",(IF(ifood_data[[#This Row],[marital_Divorced]]=1,"Divorced",(IF(ifood_data[[#This Row],[marital_Together]]=1,"Living Together",(IF(ifood_data[[#This Row],[marital_Widow]]=1,"Widow","Other")))))))))</f>
        <v>Married</v>
      </c>
      <c r="AU1466" t="str">
        <f>IF(ifood_data[[#This Row],[education_Basic]]=1,"High School",(IF(ifood_data[[#This Row],[education_Graduation]]=1,"Undergraduate Degree",(IF(SUM(AM1466,AL1466,AI1466)&gt;0,"Master's Degree or Higher","Other")))))</f>
        <v>Undergraduate Degree</v>
      </c>
      <c r="AV1466" t="str">
        <f>IF(ifood_data[[#All],[Income]]&gt;75000,"75K+",(IF(ifood_data[[#All],[Income]]&gt;50000,"50K-75K",(IF(ifood_data[[#All],[Income]]&gt;35000,"35K-50K","&lt;35K")))))</f>
        <v>35K-50K</v>
      </c>
      <c r="AW1466" t="str">
        <f>IF(ifood_data[[#All],[Age]]&gt;60,"60+",(IF(ifood_data[[#All],[Age]]&gt;50,"50-60",(IF(ifood_data[[#All],[Age]]&gt;40,"40-50",(IF(ifood_data[[#All],[Age]]&gt;30,"30-40","&lt;30")))))))</f>
        <v>40-50</v>
      </c>
      <c r="AX1466">
        <f t="shared" si="88"/>
        <v>13</v>
      </c>
      <c r="AY1466">
        <f t="shared" si="89"/>
        <v>0.99999999999999978</v>
      </c>
      <c r="AZ1466">
        <f t="shared" si="90"/>
        <v>1</v>
      </c>
      <c r="BA1466">
        <f t="shared" si="91"/>
        <v>0</v>
      </c>
      <c r="BB1466">
        <f>SUM(ifood_data[[#This Row],[Recency Score]:[Monetary Score]])</f>
        <v>1.9999999999999998</v>
      </c>
      <c r="BC1466">
        <f>(_xlfn.PERCENTRANK.INC(ifood_data[[#All],[RFM]],ifood_data[[#This Row],[RFM]],1))*10</f>
        <v>0</v>
      </c>
      <c r="BD1466" t="str">
        <f>VLOOKUP(ifood_data[[#This Row],[RFM Score]],'RFM Analysis'!$A$3:$B$14,2,FALSE)</f>
        <v>Lost</v>
      </c>
      <c r="BE1466">
        <f>'Regression Models'!$B$101+'Regression Models'!$B$102*ifood_data[[#This Row],[Income]]+'Regression Models'!$B$103*ifood_data[[#This Row],[Age]]+'Regression Models'!$B$104*ifood_data[[#This Row],[Family]]</f>
        <v>210.44039113647216</v>
      </c>
      <c r="BF1466" t="str">
        <f>IF(ifood_data[[#This Row],[AcceptedCmpOverall]]=1,"Campaign Respondent","Non-respondent")</f>
        <v>Non-respondent</v>
      </c>
    </row>
    <row r="1467" spans="1:58" x14ac:dyDescent="0.35">
      <c r="A1467">
        <v>1412</v>
      </c>
      <c r="B1467">
        <v>37697</v>
      </c>
      <c r="C1467">
        <v>1</v>
      </c>
      <c r="D1467">
        <v>0</v>
      </c>
      <c r="E1467">
        <v>82</v>
      </c>
      <c r="F1467">
        <v>34</v>
      </c>
      <c r="G1467">
        <v>6</v>
      </c>
      <c r="H1467">
        <v>21</v>
      </c>
      <c r="I1467">
        <v>11</v>
      </c>
      <c r="J1467">
        <v>4</v>
      </c>
      <c r="K1467">
        <v>8</v>
      </c>
      <c r="L1467">
        <v>1</v>
      </c>
      <c r="M1467">
        <v>2</v>
      </c>
      <c r="N1467">
        <v>1</v>
      </c>
      <c r="O1467">
        <v>3</v>
      </c>
      <c r="P1467">
        <v>6</v>
      </c>
      <c r="Q1467">
        <v>0</v>
      </c>
      <c r="R1467">
        <v>0</v>
      </c>
      <c r="S1467">
        <v>0</v>
      </c>
      <c r="T1467">
        <v>0</v>
      </c>
      <c r="U1467">
        <v>0</v>
      </c>
      <c r="V1467">
        <f>IF(SUM(ifood_data[[#This Row],[AcceptedCmp1]:[AcceptedCmp5]])&gt;0,1,0)</f>
        <v>0</v>
      </c>
      <c r="W1467">
        <v>0</v>
      </c>
      <c r="X1467">
        <v>3</v>
      </c>
      <c r="Y1467">
        <v>11</v>
      </c>
      <c r="Z1467">
        <v>0</v>
      </c>
      <c r="AA1467">
        <v>44</v>
      </c>
      <c r="AB1467">
        <v>2301</v>
      </c>
      <c r="AC1467" s="28">
        <f>ifood_data[[#This Row],[Customer_Days]]/365</f>
        <v>6.3041095890410963</v>
      </c>
      <c r="AD1467">
        <v>0</v>
      </c>
      <c r="AE1467">
        <v>0</v>
      </c>
      <c r="AF1467">
        <v>1</v>
      </c>
      <c r="AG1467">
        <v>0</v>
      </c>
      <c r="AH1467">
        <v>0</v>
      </c>
      <c r="AI1467">
        <v>0</v>
      </c>
      <c r="AJ1467">
        <v>0</v>
      </c>
      <c r="AK1467">
        <v>1</v>
      </c>
      <c r="AL1467">
        <v>0</v>
      </c>
      <c r="AM1467">
        <v>0</v>
      </c>
      <c r="AN1467">
        <v>76</v>
      </c>
      <c r="AO1467">
        <v>68</v>
      </c>
      <c r="AP1467">
        <f>ifood_data[[#This Row],[MntTotal]]-ifood_data[[#This Row],[MntRegularProds]]</f>
        <v>8</v>
      </c>
      <c r="AQ1467">
        <v>0</v>
      </c>
      <c r="AR1467">
        <f>IF(SUM(ifood_data[[#This Row],[Kidhome]:[Teenhome]])&gt;0,1,0)</f>
        <v>1</v>
      </c>
      <c r="AS1467" t="str">
        <f>IF(SUM(ifood_data[[#This Row],[Kidhome]:[Teenhome]])&gt;0,"Has Family","No Family")</f>
        <v>Has Family</v>
      </c>
      <c r="AT1467" t="str">
        <f>IF(ifood_data[[#This Row],[marital_Married]]=1,"Married", (IF(ifood_data[[#This Row],[marital_Single]]=1,"Single",(IF(ifood_data[[#This Row],[marital_Divorced]]=1,"Divorced",(IF(ifood_data[[#This Row],[marital_Together]]=1,"Living Together",(IF(ifood_data[[#This Row],[marital_Widow]]=1,"Widow","Other")))))))))</f>
        <v>Single</v>
      </c>
      <c r="AU1467" t="str">
        <f>IF(ifood_data[[#This Row],[education_Basic]]=1,"High School",(IF(ifood_data[[#This Row],[education_Graduation]]=1,"Undergraduate Degree",(IF(SUM(AM1467,AL1467,AI1467)&gt;0,"Master's Degree or Higher","Other")))))</f>
        <v>Undergraduate Degree</v>
      </c>
      <c r="AV1467" t="str">
        <f>IF(ifood_data[[#All],[Income]]&gt;75000,"75K+",(IF(ifood_data[[#All],[Income]]&gt;50000,"50K-75K",(IF(ifood_data[[#All],[Income]]&gt;35000,"35K-50K","&lt;35K")))))</f>
        <v>35K-50K</v>
      </c>
      <c r="AW1467" t="str">
        <f>IF(ifood_data[[#All],[Age]]&gt;60,"60+",(IF(ifood_data[[#All],[Age]]&gt;50,"50-60",(IF(ifood_data[[#All],[Age]]&gt;40,"40-50",(IF(ifood_data[[#All],[Age]]&gt;30,"30-40","&lt;30")))))))</f>
        <v>40-50</v>
      </c>
      <c r="AX1467">
        <f t="shared" si="88"/>
        <v>13</v>
      </c>
      <c r="AY1467">
        <f t="shared" si="89"/>
        <v>1.9999999999999996</v>
      </c>
      <c r="AZ1467">
        <f t="shared" si="90"/>
        <v>1</v>
      </c>
      <c r="BA1467">
        <f t="shared" si="91"/>
        <v>3</v>
      </c>
      <c r="BB1467">
        <f>SUM(ifood_data[[#This Row],[Recency Score]:[Monetary Score]])</f>
        <v>6</v>
      </c>
      <c r="BC1467">
        <f>(_xlfn.PERCENTRANK.INC(ifood_data[[#All],[RFM]],ifood_data[[#This Row],[RFM]],1))*10</f>
        <v>0</v>
      </c>
      <c r="BD1467" t="str">
        <f>VLOOKUP(ifood_data[[#This Row],[RFM Score]],'RFM Analysis'!$A$3:$B$14,2,FALSE)</f>
        <v>Lost</v>
      </c>
      <c r="BE1467">
        <f>'Regression Models'!$B$101+'Regression Models'!$B$102*ifood_data[[#This Row],[Income]]+'Regression Models'!$B$103*ifood_data[[#This Row],[Age]]+'Regression Models'!$B$104*ifood_data[[#This Row],[Family]]</f>
        <v>210.36318590172675</v>
      </c>
      <c r="BF1467" t="str">
        <f>IF(ifood_data[[#This Row],[AcceptedCmpOverall]]=1,"Campaign Respondent","Non-respondent")</f>
        <v>Non-respondent</v>
      </c>
    </row>
    <row r="1468" spans="1:58" x14ac:dyDescent="0.35">
      <c r="A1468">
        <v>543</v>
      </c>
      <c r="B1468">
        <v>38200</v>
      </c>
      <c r="C1468">
        <v>1</v>
      </c>
      <c r="D1468">
        <v>1</v>
      </c>
      <c r="E1468">
        <v>19</v>
      </c>
      <c r="F1468">
        <v>12</v>
      </c>
      <c r="G1468">
        <v>0</v>
      </c>
      <c r="H1468">
        <v>4</v>
      </c>
      <c r="I1468">
        <v>0</v>
      </c>
      <c r="J1468">
        <v>0</v>
      </c>
      <c r="K1468">
        <v>1</v>
      </c>
      <c r="L1468">
        <v>1</v>
      </c>
      <c r="M1468">
        <v>1</v>
      </c>
      <c r="N1468">
        <v>0</v>
      </c>
      <c r="O1468">
        <v>2</v>
      </c>
      <c r="P1468">
        <v>7</v>
      </c>
      <c r="Q1468">
        <v>0</v>
      </c>
      <c r="R1468">
        <v>0</v>
      </c>
      <c r="S1468">
        <v>0</v>
      </c>
      <c r="T1468">
        <v>0</v>
      </c>
      <c r="U1468">
        <v>0</v>
      </c>
      <c r="V1468">
        <f>IF(SUM(ifood_data[[#This Row],[AcceptedCmp1]:[AcceptedCmp5]])&gt;0,1,0)</f>
        <v>0</v>
      </c>
      <c r="W1468">
        <v>0</v>
      </c>
      <c r="X1468">
        <v>3</v>
      </c>
      <c r="Y1468">
        <v>11</v>
      </c>
      <c r="Z1468">
        <v>0</v>
      </c>
      <c r="AA1468">
        <v>50</v>
      </c>
      <c r="AB1468">
        <v>2728</v>
      </c>
      <c r="AC1468" s="28">
        <f>ifood_data[[#This Row],[Customer_Days]]/365</f>
        <v>7.4739726027397264</v>
      </c>
      <c r="AD1468">
        <v>0</v>
      </c>
      <c r="AE1468">
        <v>0</v>
      </c>
      <c r="AF1468">
        <v>0</v>
      </c>
      <c r="AG1468">
        <v>1</v>
      </c>
      <c r="AH1468">
        <v>0</v>
      </c>
      <c r="AI1468">
        <v>0</v>
      </c>
      <c r="AJ1468">
        <v>0</v>
      </c>
      <c r="AK1468">
        <v>1</v>
      </c>
      <c r="AL1468">
        <v>0</v>
      </c>
      <c r="AM1468">
        <v>0</v>
      </c>
      <c r="AN1468">
        <v>16</v>
      </c>
      <c r="AO1468">
        <v>15</v>
      </c>
      <c r="AP1468">
        <f>ifood_data[[#This Row],[MntTotal]]-ifood_data[[#This Row],[MntRegularProds]]</f>
        <v>1</v>
      </c>
      <c r="AQ1468">
        <v>0</v>
      </c>
      <c r="AR1468">
        <f>IF(SUM(ifood_data[[#This Row],[Kidhome]:[Teenhome]])&gt;0,1,0)</f>
        <v>1</v>
      </c>
      <c r="AS1468" t="str">
        <f>IF(SUM(ifood_data[[#This Row],[Kidhome]:[Teenhome]])&gt;0,"Has Family","No Family")</f>
        <v>Has Family</v>
      </c>
      <c r="AT1468" t="str">
        <f>IF(ifood_data[[#This Row],[marital_Married]]=1,"Married", (IF(ifood_data[[#This Row],[marital_Single]]=1,"Single",(IF(ifood_data[[#This Row],[marital_Divorced]]=1,"Divorced",(IF(ifood_data[[#This Row],[marital_Together]]=1,"Living Together",(IF(ifood_data[[#This Row],[marital_Widow]]=1,"Widow","Other")))))))))</f>
        <v>Living Together</v>
      </c>
      <c r="AU1468" t="str">
        <f>IF(ifood_data[[#This Row],[education_Basic]]=1,"High School",(IF(ifood_data[[#This Row],[education_Graduation]]=1,"Undergraduate Degree",(IF(SUM(AM1468,AL1468,AI1468)&gt;0,"Master's Degree or Higher","Other")))))</f>
        <v>Undergraduate Degree</v>
      </c>
      <c r="AV1468" t="str">
        <f>IF(ifood_data[[#All],[Income]]&gt;75000,"75K+",(IF(ifood_data[[#All],[Income]]&gt;50000,"50K-75K",(IF(ifood_data[[#All],[Income]]&gt;35000,"35K-50K","&lt;35K")))))</f>
        <v>35K-50K</v>
      </c>
      <c r="AW1468" t="str">
        <f>IF(ifood_data[[#All],[Age]]&gt;60,"60+",(IF(ifood_data[[#All],[Age]]&gt;50,"50-60",(IF(ifood_data[[#All],[Age]]&gt;40,"40-50",(IF(ifood_data[[#All],[Age]]&gt;30,"30-40","&lt;30")))))))</f>
        <v>40-50</v>
      </c>
      <c r="AX1468">
        <f t="shared" si="88"/>
        <v>11</v>
      </c>
      <c r="AY1468">
        <f t="shared" si="89"/>
        <v>9</v>
      </c>
      <c r="AZ1468">
        <f t="shared" si="90"/>
        <v>0</v>
      </c>
      <c r="BA1468">
        <f t="shared" si="91"/>
        <v>0</v>
      </c>
      <c r="BB1468">
        <f>SUM(ifood_data[[#This Row],[Recency Score]:[Monetary Score]])</f>
        <v>9</v>
      </c>
      <c r="BC1468">
        <f>(_xlfn.PERCENTRANK.INC(ifood_data[[#All],[RFM]],ifood_data[[#This Row],[RFM]],1))*10</f>
        <v>1</v>
      </c>
      <c r="BD1468" t="str">
        <f>VLOOKUP(ifood_data[[#This Row],[RFM Score]],'RFM Analysis'!$A$3:$B$14,2,FALSE)</f>
        <v>At Risk</v>
      </c>
      <c r="BE1468">
        <f>'Regression Models'!$B$101+'Regression Models'!$B$102*ifood_data[[#This Row],[Income]]+'Regression Models'!$B$103*ifood_data[[#This Row],[Age]]+'Regression Models'!$B$104*ifood_data[[#This Row],[Family]]</f>
        <v>209.60010180474228</v>
      </c>
      <c r="BF1468" t="str">
        <f>IF(ifood_data[[#This Row],[AcceptedCmpOverall]]=1,"Campaign Respondent","Non-respondent")</f>
        <v>Non-respondent</v>
      </c>
    </row>
    <row r="1469" spans="1:58" x14ac:dyDescent="0.35">
      <c r="A1469">
        <v>1014</v>
      </c>
      <c r="B1469">
        <v>39722</v>
      </c>
      <c r="C1469">
        <v>0</v>
      </c>
      <c r="D1469">
        <v>1</v>
      </c>
      <c r="E1469">
        <v>92</v>
      </c>
      <c r="F1469">
        <v>32</v>
      </c>
      <c r="G1469">
        <v>0</v>
      </c>
      <c r="H1469">
        <v>5</v>
      </c>
      <c r="I1469">
        <v>2</v>
      </c>
      <c r="J1469">
        <v>0</v>
      </c>
      <c r="K1469">
        <v>8</v>
      </c>
      <c r="L1469">
        <v>2</v>
      </c>
      <c r="M1469">
        <v>2</v>
      </c>
      <c r="N1469">
        <v>0</v>
      </c>
      <c r="O1469">
        <v>3</v>
      </c>
      <c r="P1469">
        <v>5</v>
      </c>
      <c r="Q1469">
        <v>0</v>
      </c>
      <c r="R1469">
        <v>0</v>
      </c>
      <c r="S1469">
        <v>0</v>
      </c>
      <c r="T1469">
        <v>0</v>
      </c>
      <c r="U1469">
        <v>0</v>
      </c>
      <c r="V1469">
        <f>IF(SUM(ifood_data[[#This Row],[AcceptedCmp1]:[AcceptedCmp5]])&gt;0,1,0)</f>
        <v>0</v>
      </c>
      <c r="W1469">
        <v>0</v>
      </c>
      <c r="X1469">
        <v>3</v>
      </c>
      <c r="Y1469">
        <v>11</v>
      </c>
      <c r="Z1469">
        <v>0</v>
      </c>
      <c r="AA1469">
        <v>67</v>
      </c>
      <c r="AB1469">
        <v>2284</v>
      </c>
      <c r="AC1469" s="28">
        <f>ifood_data[[#This Row],[Customer_Days]]/365</f>
        <v>6.2575342465753421</v>
      </c>
      <c r="AD1469">
        <v>0</v>
      </c>
      <c r="AE1469">
        <v>1</v>
      </c>
      <c r="AF1469">
        <v>0</v>
      </c>
      <c r="AG1469">
        <v>0</v>
      </c>
      <c r="AH1469">
        <v>0</v>
      </c>
      <c r="AI1469">
        <v>0</v>
      </c>
      <c r="AJ1469">
        <v>0</v>
      </c>
      <c r="AK1469">
        <v>1</v>
      </c>
      <c r="AL1469">
        <v>0</v>
      </c>
      <c r="AM1469">
        <v>0</v>
      </c>
      <c r="AN1469">
        <v>39</v>
      </c>
      <c r="AO1469">
        <v>31</v>
      </c>
      <c r="AP1469">
        <f>ifood_data[[#This Row],[MntTotal]]-ifood_data[[#This Row],[MntRegularProds]]</f>
        <v>8</v>
      </c>
      <c r="AQ1469">
        <v>0</v>
      </c>
      <c r="AR1469">
        <f>IF(SUM(ifood_data[[#This Row],[Kidhome]:[Teenhome]])&gt;0,1,0)</f>
        <v>1</v>
      </c>
      <c r="AS1469" t="str">
        <f>IF(SUM(ifood_data[[#This Row],[Kidhome]:[Teenhome]])&gt;0,"Has Family","No Family")</f>
        <v>Has Family</v>
      </c>
      <c r="AT1469" t="str">
        <f>IF(ifood_data[[#This Row],[marital_Married]]=1,"Married", (IF(ifood_data[[#This Row],[marital_Single]]=1,"Single",(IF(ifood_data[[#This Row],[marital_Divorced]]=1,"Divorced",(IF(ifood_data[[#This Row],[marital_Together]]=1,"Living Together",(IF(ifood_data[[#This Row],[marital_Widow]]=1,"Widow","Other")))))))))</f>
        <v>Married</v>
      </c>
      <c r="AU1469" t="str">
        <f>IF(ifood_data[[#This Row],[education_Basic]]=1,"High School",(IF(ifood_data[[#This Row],[education_Graduation]]=1,"Undergraduate Degree",(IF(SUM(AM1469,AL1469,AI1469)&gt;0,"Master's Degree or Higher","Other")))))</f>
        <v>Undergraduate Degree</v>
      </c>
      <c r="AV1469" t="str">
        <f>IF(ifood_data[[#All],[Income]]&gt;75000,"75K+",(IF(ifood_data[[#All],[Income]]&gt;50000,"50K-75K",(IF(ifood_data[[#All],[Income]]&gt;35000,"35K-50K","&lt;35K")))))</f>
        <v>35K-50K</v>
      </c>
      <c r="AW1469" t="str">
        <f>IF(ifood_data[[#All],[Age]]&gt;60,"60+",(IF(ifood_data[[#All],[Age]]&gt;50,"50-60",(IF(ifood_data[[#All],[Age]]&gt;40,"40-50",(IF(ifood_data[[#All],[Age]]&gt;30,"30-40","&lt;30")))))))</f>
        <v>60+</v>
      </c>
      <c r="AX1469">
        <f t="shared" si="88"/>
        <v>12</v>
      </c>
      <c r="AY1469">
        <f t="shared" si="89"/>
        <v>0.99999999999999978</v>
      </c>
      <c r="AZ1469">
        <f t="shared" si="90"/>
        <v>1</v>
      </c>
      <c r="BA1469">
        <f t="shared" si="91"/>
        <v>1</v>
      </c>
      <c r="BB1469">
        <f>SUM(ifood_data[[#This Row],[Recency Score]:[Monetary Score]])</f>
        <v>3</v>
      </c>
      <c r="BC1469">
        <f>(_xlfn.PERCENTRANK.INC(ifood_data[[#All],[RFM]],ifood_data[[#This Row],[RFM]],1))*10</f>
        <v>0</v>
      </c>
      <c r="BD1469" t="str">
        <f>VLOOKUP(ifood_data[[#This Row],[RFM Score]],'RFM Analysis'!$A$3:$B$14,2,FALSE)</f>
        <v>Lost</v>
      </c>
      <c r="BE1469">
        <f>'Regression Models'!$B$101+'Regression Models'!$B$102*ifood_data[[#This Row],[Income]]+'Regression Models'!$B$103*ifood_data[[#This Row],[Age]]+'Regression Models'!$B$104*ifood_data[[#This Row],[Family]]</f>
        <v>209.41234257855365</v>
      </c>
      <c r="BF1469" t="str">
        <f>IF(ifood_data[[#This Row],[AcceptedCmpOverall]]=1,"Campaign Respondent","Non-respondent")</f>
        <v>Non-respondent</v>
      </c>
    </row>
    <row r="1470" spans="1:58" x14ac:dyDescent="0.35">
      <c r="A1470">
        <v>252</v>
      </c>
      <c r="B1470">
        <v>38097</v>
      </c>
      <c r="C1470">
        <v>1</v>
      </c>
      <c r="D1470">
        <v>1</v>
      </c>
      <c r="E1470">
        <v>70</v>
      </c>
      <c r="F1470">
        <v>77</v>
      </c>
      <c r="G1470">
        <v>2</v>
      </c>
      <c r="H1470">
        <v>35</v>
      </c>
      <c r="I1470">
        <v>0</v>
      </c>
      <c r="J1470">
        <v>1</v>
      </c>
      <c r="K1470">
        <v>69</v>
      </c>
      <c r="L1470">
        <v>4</v>
      </c>
      <c r="M1470">
        <v>3</v>
      </c>
      <c r="N1470">
        <v>2</v>
      </c>
      <c r="O1470">
        <v>2</v>
      </c>
      <c r="P1470">
        <v>7</v>
      </c>
      <c r="Q1470">
        <v>0</v>
      </c>
      <c r="R1470">
        <v>0</v>
      </c>
      <c r="S1470">
        <v>1</v>
      </c>
      <c r="T1470">
        <v>0</v>
      </c>
      <c r="U1470">
        <v>0</v>
      </c>
      <c r="V1470">
        <f>IF(SUM(ifood_data[[#This Row],[AcceptedCmp1]:[AcceptedCmp5]])&gt;0,1,0)</f>
        <v>1</v>
      </c>
      <c r="W1470">
        <v>0</v>
      </c>
      <c r="X1470">
        <v>3</v>
      </c>
      <c r="Y1470">
        <v>11</v>
      </c>
      <c r="Z1470">
        <v>1</v>
      </c>
      <c r="AA1470">
        <v>50</v>
      </c>
      <c r="AB1470">
        <v>2781</v>
      </c>
      <c r="AC1470" s="28">
        <f>ifood_data[[#This Row],[Customer_Days]]/365</f>
        <v>7.6191780821917812</v>
      </c>
      <c r="AD1470">
        <v>0</v>
      </c>
      <c r="AE1470">
        <v>1</v>
      </c>
      <c r="AF1470">
        <v>0</v>
      </c>
      <c r="AG1470">
        <v>0</v>
      </c>
      <c r="AH1470">
        <v>0</v>
      </c>
      <c r="AI1470">
        <v>0</v>
      </c>
      <c r="AJ1470">
        <v>0</v>
      </c>
      <c r="AK1470">
        <v>0</v>
      </c>
      <c r="AL1470">
        <v>0</v>
      </c>
      <c r="AM1470">
        <v>1</v>
      </c>
      <c r="AN1470">
        <v>115</v>
      </c>
      <c r="AO1470">
        <v>46</v>
      </c>
      <c r="AP1470">
        <f>ifood_data[[#This Row],[MntTotal]]-ifood_data[[#This Row],[MntRegularProds]]</f>
        <v>69</v>
      </c>
      <c r="AQ1470">
        <v>1</v>
      </c>
      <c r="AR1470">
        <f>IF(SUM(ifood_data[[#This Row],[Kidhome]:[Teenhome]])&gt;0,1,0)</f>
        <v>1</v>
      </c>
      <c r="AS1470" t="str">
        <f>IF(SUM(ifood_data[[#This Row],[Kidhome]:[Teenhome]])&gt;0,"Has Family","No Family")</f>
        <v>Has Family</v>
      </c>
      <c r="AT1470" t="str">
        <f>IF(ifood_data[[#This Row],[marital_Married]]=1,"Married", (IF(ifood_data[[#This Row],[marital_Single]]=1,"Single",(IF(ifood_data[[#This Row],[marital_Divorced]]=1,"Divorced",(IF(ifood_data[[#This Row],[marital_Together]]=1,"Living Together",(IF(ifood_data[[#This Row],[marital_Widow]]=1,"Widow","Other")))))))))</f>
        <v>Married</v>
      </c>
      <c r="AU1470" t="str">
        <f>IF(ifood_data[[#This Row],[education_Basic]]=1,"High School",(IF(ifood_data[[#This Row],[education_Graduation]]=1,"Undergraduate Degree",(IF(SUM(AM1470,AL1470,AI1470)&gt;0,"Master's Degree or Higher","Other")))))</f>
        <v>Master's Degree or Higher</v>
      </c>
      <c r="AV1470" t="str">
        <f>IF(ifood_data[[#All],[Income]]&gt;75000,"75K+",(IF(ifood_data[[#All],[Income]]&gt;50000,"50K-75K",(IF(ifood_data[[#All],[Income]]&gt;35000,"35K-50K","&lt;35K")))))</f>
        <v>35K-50K</v>
      </c>
      <c r="AW1470" t="str">
        <f>IF(ifood_data[[#All],[Age]]&gt;60,"60+",(IF(ifood_data[[#All],[Age]]&gt;50,"50-60",(IF(ifood_data[[#All],[Age]]&gt;40,"40-50",(IF(ifood_data[[#All],[Age]]&gt;30,"30-40","&lt;30")))))))</f>
        <v>40-50</v>
      </c>
      <c r="AX1470">
        <f t="shared" si="88"/>
        <v>18</v>
      </c>
      <c r="AY1470">
        <f t="shared" si="89"/>
        <v>3.0000000000000004</v>
      </c>
      <c r="AZ1470">
        <f t="shared" si="90"/>
        <v>4</v>
      </c>
      <c r="BA1470">
        <f t="shared" si="91"/>
        <v>3</v>
      </c>
      <c r="BB1470">
        <f>SUM(ifood_data[[#This Row],[Recency Score]:[Monetary Score]])</f>
        <v>10</v>
      </c>
      <c r="BC1470">
        <f>(_xlfn.PERCENTRANK.INC(ifood_data[[#All],[RFM]],ifood_data[[#This Row],[RFM]],1))*10</f>
        <v>2</v>
      </c>
      <c r="BD1470" t="str">
        <f>VLOOKUP(ifood_data[[#This Row],[RFM Score]],'RFM Analysis'!$A$3:$B$14,2,FALSE)</f>
        <v>At Risk</v>
      </c>
      <c r="BE1470">
        <f>'Regression Models'!$B$101+'Regression Models'!$B$102*ifood_data[[#This Row],[Income]]+'Regression Models'!$B$103*ifood_data[[#This Row],[Age]]+'Regression Models'!$B$104*ifood_data[[#This Row],[Family]]</f>
        <v>207.50005868592064</v>
      </c>
      <c r="BF1470" t="str">
        <f>IF(ifood_data[[#This Row],[AcceptedCmpOverall]]=1,"Campaign Respondent","Non-respondent")</f>
        <v>Campaign Respondent</v>
      </c>
    </row>
    <row r="1471" spans="1:58" x14ac:dyDescent="0.35">
      <c r="A1471">
        <v>1803</v>
      </c>
      <c r="B1471">
        <v>38236</v>
      </c>
      <c r="C1471">
        <v>1</v>
      </c>
      <c r="D1471">
        <v>1</v>
      </c>
      <c r="E1471">
        <v>2</v>
      </c>
      <c r="F1471">
        <v>58</v>
      </c>
      <c r="G1471">
        <v>0</v>
      </c>
      <c r="H1471">
        <v>18</v>
      </c>
      <c r="I1471">
        <v>2</v>
      </c>
      <c r="J1471">
        <v>0</v>
      </c>
      <c r="K1471">
        <v>10</v>
      </c>
      <c r="L1471">
        <v>4</v>
      </c>
      <c r="M1471">
        <v>3</v>
      </c>
      <c r="N1471">
        <v>0</v>
      </c>
      <c r="O1471">
        <v>4</v>
      </c>
      <c r="P1471">
        <v>7</v>
      </c>
      <c r="Q1471">
        <v>0</v>
      </c>
      <c r="R1471">
        <v>0</v>
      </c>
      <c r="S1471">
        <v>0</v>
      </c>
      <c r="T1471">
        <v>0</v>
      </c>
      <c r="U1471">
        <v>0</v>
      </c>
      <c r="V1471">
        <f>IF(SUM(ifood_data[[#This Row],[AcceptedCmp1]:[AcceptedCmp5]])&gt;0,1,0)</f>
        <v>0</v>
      </c>
      <c r="W1471">
        <v>0</v>
      </c>
      <c r="X1471">
        <v>3</v>
      </c>
      <c r="Y1471">
        <v>11</v>
      </c>
      <c r="Z1471">
        <v>0</v>
      </c>
      <c r="AA1471">
        <v>52</v>
      </c>
      <c r="AB1471">
        <v>2441</v>
      </c>
      <c r="AC1471" s="28">
        <f>ifood_data[[#This Row],[Customer_Days]]/365</f>
        <v>6.6876712328767125</v>
      </c>
      <c r="AD1471">
        <v>0</v>
      </c>
      <c r="AE1471">
        <v>0</v>
      </c>
      <c r="AF1471">
        <v>1</v>
      </c>
      <c r="AG1471">
        <v>0</v>
      </c>
      <c r="AH1471">
        <v>0</v>
      </c>
      <c r="AI1471">
        <v>0</v>
      </c>
      <c r="AJ1471">
        <v>0</v>
      </c>
      <c r="AK1471">
        <v>0</v>
      </c>
      <c r="AL1471">
        <v>0</v>
      </c>
      <c r="AM1471">
        <v>1</v>
      </c>
      <c r="AN1471">
        <v>78</v>
      </c>
      <c r="AO1471">
        <v>68</v>
      </c>
      <c r="AP1471">
        <f>ifood_data[[#This Row],[MntTotal]]-ifood_data[[#This Row],[MntRegularProds]]</f>
        <v>10</v>
      </c>
      <c r="AQ1471">
        <v>0</v>
      </c>
      <c r="AR1471">
        <f>IF(SUM(ifood_data[[#This Row],[Kidhome]:[Teenhome]])&gt;0,1,0)</f>
        <v>1</v>
      </c>
      <c r="AS1471" t="str">
        <f>IF(SUM(ifood_data[[#This Row],[Kidhome]:[Teenhome]])&gt;0,"Has Family","No Family")</f>
        <v>Has Family</v>
      </c>
      <c r="AT1471" t="str">
        <f>IF(ifood_data[[#This Row],[marital_Married]]=1,"Married", (IF(ifood_data[[#This Row],[marital_Single]]=1,"Single",(IF(ifood_data[[#This Row],[marital_Divorced]]=1,"Divorced",(IF(ifood_data[[#This Row],[marital_Together]]=1,"Living Together",(IF(ifood_data[[#This Row],[marital_Widow]]=1,"Widow","Other")))))))))</f>
        <v>Single</v>
      </c>
      <c r="AU1471" t="str">
        <f>IF(ifood_data[[#This Row],[education_Basic]]=1,"High School",(IF(ifood_data[[#This Row],[education_Graduation]]=1,"Undergraduate Degree",(IF(SUM(AM1471,AL1471,AI1471)&gt;0,"Master's Degree or Higher","Other")))))</f>
        <v>Master's Degree or Higher</v>
      </c>
      <c r="AV1471" t="str">
        <f>IF(ifood_data[[#All],[Income]]&gt;75000,"75K+",(IF(ifood_data[[#All],[Income]]&gt;50000,"50K-75K",(IF(ifood_data[[#All],[Income]]&gt;35000,"35K-50K","&lt;35K")))))</f>
        <v>35K-50K</v>
      </c>
      <c r="AW1471" t="str">
        <f>IF(ifood_data[[#All],[Age]]&gt;60,"60+",(IF(ifood_data[[#All],[Age]]&gt;50,"50-60",(IF(ifood_data[[#All],[Age]]&gt;40,"40-50",(IF(ifood_data[[#All],[Age]]&gt;30,"30-40","&lt;30")))))))</f>
        <v>50-60</v>
      </c>
      <c r="AX1471">
        <f t="shared" si="88"/>
        <v>18</v>
      </c>
      <c r="AY1471">
        <f t="shared" si="89"/>
        <v>10</v>
      </c>
      <c r="AZ1471">
        <f t="shared" si="90"/>
        <v>4</v>
      </c>
      <c r="BA1471">
        <f t="shared" si="91"/>
        <v>3</v>
      </c>
      <c r="BB1471">
        <f>SUM(ifood_data[[#This Row],[Recency Score]:[Monetary Score]])</f>
        <v>17</v>
      </c>
      <c r="BC1471">
        <f>(_xlfn.PERCENTRANK.INC(ifood_data[[#All],[RFM]],ifood_data[[#This Row],[RFM]],1))*10</f>
        <v>6</v>
      </c>
      <c r="BD1471" t="str">
        <f>VLOOKUP(ifood_data[[#This Row],[RFM Score]],'RFM Analysis'!$A$3:$B$14,2,FALSE)</f>
        <v>Promising</v>
      </c>
      <c r="BE1471">
        <f>'Regression Models'!$B$101+'Regression Models'!$B$102*ifood_data[[#This Row],[Income]]+'Regression Models'!$B$103*ifood_data[[#This Row],[Age]]+'Regression Models'!$B$104*ifood_data[[#This Row],[Family]]</f>
        <v>206.66121930013401</v>
      </c>
      <c r="BF1471" t="str">
        <f>IF(ifood_data[[#This Row],[AcceptedCmpOverall]]=1,"Campaign Respondent","Non-respondent")</f>
        <v>Non-respondent</v>
      </c>
    </row>
    <row r="1472" spans="1:58" x14ac:dyDescent="0.35">
      <c r="A1472">
        <v>1923</v>
      </c>
      <c r="B1472">
        <v>37509</v>
      </c>
      <c r="C1472">
        <v>1</v>
      </c>
      <c r="D1472">
        <v>0</v>
      </c>
      <c r="E1472">
        <v>24</v>
      </c>
      <c r="F1472">
        <v>37</v>
      </c>
      <c r="G1472">
        <v>5</v>
      </c>
      <c r="H1472">
        <v>56</v>
      </c>
      <c r="I1472">
        <v>12</v>
      </c>
      <c r="J1472">
        <v>8</v>
      </c>
      <c r="K1472">
        <v>5</v>
      </c>
      <c r="L1472">
        <v>2</v>
      </c>
      <c r="M1472">
        <v>3</v>
      </c>
      <c r="N1472">
        <v>0</v>
      </c>
      <c r="O1472">
        <v>4</v>
      </c>
      <c r="P1472">
        <v>7</v>
      </c>
      <c r="Q1472">
        <v>0</v>
      </c>
      <c r="R1472">
        <v>0</v>
      </c>
      <c r="S1472">
        <v>0</v>
      </c>
      <c r="T1472">
        <v>0</v>
      </c>
      <c r="U1472">
        <v>0</v>
      </c>
      <c r="V1472">
        <f>IF(SUM(ifood_data[[#This Row],[AcceptedCmp1]:[AcceptedCmp5]])&gt;0,1,0)</f>
        <v>0</v>
      </c>
      <c r="W1472">
        <v>0</v>
      </c>
      <c r="X1472">
        <v>3</v>
      </c>
      <c r="Y1472">
        <v>11</v>
      </c>
      <c r="Z1472">
        <v>0</v>
      </c>
      <c r="AA1472">
        <v>44</v>
      </c>
      <c r="AB1472">
        <v>2814</v>
      </c>
      <c r="AC1472" s="28">
        <f>ifood_data[[#This Row],[Customer_Days]]/365</f>
        <v>7.7095890410958905</v>
      </c>
      <c r="AD1472">
        <v>0</v>
      </c>
      <c r="AE1472">
        <v>0</v>
      </c>
      <c r="AF1472">
        <v>0</v>
      </c>
      <c r="AG1472">
        <v>1</v>
      </c>
      <c r="AH1472">
        <v>0</v>
      </c>
      <c r="AI1472">
        <v>0</v>
      </c>
      <c r="AJ1472">
        <v>0</v>
      </c>
      <c r="AK1472">
        <v>0</v>
      </c>
      <c r="AL1472">
        <v>1</v>
      </c>
      <c r="AM1472">
        <v>0</v>
      </c>
      <c r="AN1472">
        <v>118</v>
      </c>
      <c r="AO1472">
        <v>113</v>
      </c>
      <c r="AP1472">
        <f>ifood_data[[#This Row],[MntTotal]]-ifood_data[[#This Row],[MntRegularProds]]</f>
        <v>5</v>
      </c>
      <c r="AQ1472">
        <v>0</v>
      </c>
      <c r="AR1472">
        <f>IF(SUM(ifood_data[[#This Row],[Kidhome]:[Teenhome]])&gt;0,1,0)</f>
        <v>1</v>
      </c>
      <c r="AS1472" t="str">
        <f>IF(SUM(ifood_data[[#This Row],[Kidhome]:[Teenhome]])&gt;0,"Has Family","No Family")</f>
        <v>Has Family</v>
      </c>
      <c r="AT1472" t="str">
        <f>IF(ifood_data[[#This Row],[marital_Married]]=1,"Married", (IF(ifood_data[[#This Row],[marital_Single]]=1,"Single",(IF(ifood_data[[#This Row],[marital_Divorced]]=1,"Divorced",(IF(ifood_data[[#This Row],[marital_Together]]=1,"Living Together",(IF(ifood_data[[#This Row],[marital_Widow]]=1,"Widow","Other")))))))))</f>
        <v>Living Together</v>
      </c>
      <c r="AU1472" t="str">
        <f>IF(ifood_data[[#This Row],[education_Basic]]=1,"High School",(IF(ifood_data[[#This Row],[education_Graduation]]=1,"Undergraduate Degree",(IF(SUM(AM1472,AL1472,AI1472)&gt;0,"Master's Degree or Higher","Other")))))</f>
        <v>Master's Degree or Higher</v>
      </c>
      <c r="AV1472" t="str">
        <f>IF(ifood_data[[#All],[Income]]&gt;75000,"75K+",(IF(ifood_data[[#All],[Income]]&gt;50000,"50K-75K",(IF(ifood_data[[#All],[Income]]&gt;35000,"35K-50K","&lt;35K")))))</f>
        <v>35K-50K</v>
      </c>
      <c r="AW1472" t="str">
        <f>IF(ifood_data[[#All],[Age]]&gt;60,"60+",(IF(ifood_data[[#All],[Age]]&gt;50,"50-60",(IF(ifood_data[[#All],[Age]]&gt;40,"40-50",(IF(ifood_data[[#All],[Age]]&gt;30,"30-40","&lt;30")))))))</f>
        <v>40-50</v>
      </c>
      <c r="AX1472">
        <f t="shared" si="88"/>
        <v>16</v>
      </c>
      <c r="AY1472">
        <f t="shared" si="89"/>
        <v>8</v>
      </c>
      <c r="AZ1472">
        <f t="shared" si="90"/>
        <v>3</v>
      </c>
      <c r="BA1472">
        <f t="shared" si="91"/>
        <v>3</v>
      </c>
      <c r="BB1472">
        <f>SUM(ifood_data[[#This Row],[Recency Score]:[Monetary Score]])</f>
        <v>14</v>
      </c>
      <c r="BC1472">
        <f>(_xlfn.PERCENTRANK.INC(ifood_data[[#All],[RFM]],ifood_data[[#This Row],[RFM]],1))*10</f>
        <v>4</v>
      </c>
      <c r="BD1472" t="str">
        <f>VLOOKUP(ifood_data[[#This Row],[RFM Score]],'RFM Analysis'!$A$3:$B$14,2,FALSE)</f>
        <v>At Risk</v>
      </c>
      <c r="BE1472">
        <f>'Regression Models'!$B$101+'Regression Models'!$B$102*ifood_data[[#This Row],[Income]]+'Regression Models'!$B$103*ifood_data[[#This Row],[Age]]+'Regression Models'!$B$104*ifood_data[[#This Row],[Family]]</f>
        <v>206.53009749067371</v>
      </c>
      <c r="BF1472" t="str">
        <f>IF(ifood_data[[#This Row],[AcceptedCmpOverall]]=1,"Campaign Respondent","Non-respondent")</f>
        <v>Non-respondent</v>
      </c>
    </row>
    <row r="1473" spans="1:58" x14ac:dyDescent="0.35">
      <c r="A1473">
        <v>1408</v>
      </c>
      <c r="B1473">
        <v>37787</v>
      </c>
      <c r="C1473">
        <v>1</v>
      </c>
      <c r="D1473">
        <v>0</v>
      </c>
      <c r="E1473">
        <v>50</v>
      </c>
      <c r="F1473">
        <v>40</v>
      </c>
      <c r="G1473">
        <v>1</v>
      </c>
      <c r="H1473">
        <v>40</v>
      </c>
      <c r="I1473">
        <v>4</v>
      </c>
      <c r="J1473">
        <v>3</v>
      </c>
      <c r="K1473">
        <v>18</v>
      </c>
      <c r="L1473">
        <v>1</v>
      </c>
      <c r="M1473">
        <v>3</v>
      </c>
      <c r="N1473">
        <v>0</v>
      </c>
      <c r="O1473">
        <v>3</v>
      </c>
      <c r="P1473">
        <v>8</v>
      </c>
      <c r="Q1473">
        <v>0</v>
      </c>
      <c r="R1473">
        <v>0</v>
      </c>
      <c r="S1473">
        <v>0</v>
      </c>
      <c r="T1473">
        <v>0</v>
      </c>
      <c r="U1473">
        <v>0</v>
      </c>
      <c r="V1473">
        <f>IF(SUM(ifood_data[[#This Row],[AcceptedCmp1]:[AcceptedCmp5]])&gt;0,1,0)</f>
        <v>0</v>
      </c>
      <c r="W1473">
        <v>0</v>
      </c>
      <c r="X1473">
        <v>3</v>
      </c>
      <c r="Y1473">
        <v>11</v>
      </c>
      <c r="Z1473">
        <v>0</v>
      </c>
      <c r="AA1473">
        <v>48</v>
      </c>
      <c r="AB1473">
        <v>2441</v>
      </c>
      <c r="AC1473" s="28">
        <f>ifood_data[[#This Row],[Customer_Days]]/365</f>
        <v>6.6876712328767125</v>
      </c>
      <c r="AD1473">
        <v>0</v>
      </c>
      <c r="AE1473">
        <v>1</v>
      </c>
      <c r="AF1473">
        <v>0</v>
      </c>
      <c r="AG1473">
        <v>0</v>
      </c>
      <c r="AH1473">
        <v>0</v>
      </c>
      <c r="AI1473">
        <v>0</v>
      </c>
      <c r="AJ1473">
        <v>0</v>
      </c>
      <c r="AK1473">
        <v>0</v>
      </c>
      <c r="AL1473">
        <v>1</v>
      </c>
      <c r="AM1473">
        <v>0</v>
      </c>
      <c r="AN1473">
        <v>88</v>
      </c>
      <c r="AO1473">
        <v>70</v>
      </c>
      <c r="AP1473">
        <f>ifood_data[[#This Row],[MntTotal]]-ifood_data[[#This Row],[MntRegularProds]]</f>
        <v>18</v>
      </c>
      <c r="AQ1473">
        <v>0</v>
      </c>
      <c r="AR1473">
        <f>IF(SUM(ifood_data[[#This Row],[Kidhome]:[Teenhome]])&gt;0,1,0)</f>
        <v>1</v>
      </c>
      <c r="AS1473" t="str">
        <f>IF(SUM(ifood_data[[#This Row],[Kidhome]:[Teenhome]])&gt;0,"Has Family","No Family")</f>
        <v>Has Family</v>
      </c>
      <c r="AT1473" t="str">
        <f>IF(ifood_data[[#This Row],[marital_Married]]=1,"Married", (IF(ifood_data[[#This Row],[marital_Single]]=1,"Single",(IF(ifood_data[[#This Row],[marital_Divorced]]=1,"Divorced",(IF(ifood_data[[#This Row],[marital_Together]]=1,"Living Together",(IF(ifood_data[[#This Row],[marital_Widow]]=1,"Widow","Other")))))))))</f>
        <v>Married</v>
      </c>
      <c r="AU1473" t="str">
        <f>IF(ifood_data[[#This Row],[education_Basic]]=1,"High School",(IF(ifood_data[[#This Row],[education_Graduation]]=1,"Undergraduate Degree",(IF(SUM(AM1473,AL1473,AI1473)&gt;0,"Master's Degree or Higher","Other")))))</f>
        <v>Master's Degree or Higher</v>
      </c>
      <c r="AV1473" t="str">
        <f>IF(ifood_data[[#All],[Income]]&gt;75000,"75K+",(IF(ifood_data[[#All],[Income]]&gt;50000,"50K-75K",(IF(ifood_data[[#All],[Income]]&gt;35000,"35K-50K","&lt;35K")))))</f>
        <v>35K-50K</v>
      </c>
      <c r="AW1473" t="str">
        <f>IF(ifood_data[[#All],[Age]]&gt;60,"60+",(IF(ifood_data[[#All],[Age]]&gt;50,"50-60",(IF(ifood_data[[#All],[Age]]&gt;40,"40-50",(IF(ifood_data[[#All],[Age]]&gt;30,"30-40","&lt;30")))))))</f>
        <v>40-50</v>
      </c>
      <c r="AX1473">
        <f t="shared" si="88"/>
        <v>15</v>
      </c>
      <c r="AY1473">
        <f t="shared" si="89"/>
        <v>5</v>
      </c>
      <c r="AZ1473">
        <f t="shared" si="90"/>
        <v>2</v>
      </c>
      <c r="BA1473">
        <f t="shared" si="91"/>
        <v>3</v>
      </c>
      <c r="BB1473">
        <f>SUM(ifood_data[[#This Row],[Recency Score]:[Monetary Score]])</f>
        <v>10</v>
      </c>
      <c r="BC1473">
        <f>(_xlfn.PERCENTRANK.INC(ifood_data[[#All],[RFM]],ifood_data[[#This Row],[RFM]],1))*10</f>
        <v>2</v>
      </c>
      <c r="BD1473" t="str">
        <f>VLOOKUP(ifood_data[[#This Row],[RFM Score]],'RFM Analysis'!$A$3:$B$14,2,FALSE)</f>
        <v>At Risk</v>
      </c>
      <c r="BE1473">
        <f>'Regression Models'!$B$101+'Regression Models'!$B$102*ifood_data[[#This Row],[Income]]+'Regression Models'!$B$103*ifood_data[[#This Row],[Age]]+'Regression Models'!$B$104*ifood_data[[#This Row],[Family]]</f>
        <v>204.85241871910057</v>
      </c>
      <c r="BF1473" t="str">
        <f>IF(ifood_data[[#This Row],[AcceptedCmpOverall]]=1,"Campaign Respondent","Non-respondent")</f>
        <v>Non-respondent</v>
      </c>
    </row>
    <row r="1474" spans="1:58" x14ac:dyDescent="0.35">
      <c r="A1474">
        <v>548</v>
      </c>
      <c r="B1474">
        <v>36959</v>
      </c>
      <c r="C1474">
        <v>1</v>
      </c>
      <c r="D1474">
        <v>0</v>
      </c>
      <c r="E1474">
        <v>56</v>
      </c>
      <c r="F1474">
        <v>25</v>
      </c>
      <c r="G1474">
        <v>6</v>
      </c>
      <c r="H1474">
        <v>25</v>
      </c>
      <c r="I1474">
        <v>6</v>
      </c>
      <c r="J1474">
        <v>0</v>
      </c>
      <c r="K1474">
        <v>0</v>
      </c>
      <c r="L1474">
        <v>2</v>
      </c>
      <c r="M1474">
        <v>2</v>
      </c>
      <c r="N1474">
        <v>0</v>
      </c>
      <c r="O1474">
        <v>3</v>
      </c>
      <c r="P1474">
        <v>8</v>
      </c>
      <c r="Q1474">
        <v>0</v>
      </c>
      <c r="R1474">
        <v>0</v>
      </c>
      <c r="S1474">
        <v>0</v>
      </c>
      <c r="T1474">
        <v>0</v>
      </c>
      <c r="U1474">
        <v>0</v>
      </c>
      <c r="V1474">
        <f>IF(SUM(ifood_data[[#This Row],[AcceptedCmp1]:[AcceptedCmp5]])&gt;0,1,0)</f>
        <v>0</v>
      </c>
      <c r="W1474">
        <v>0</v>
      </c>
      <c r="X1474">
        <v>3</v>
      </c>
      <c r="Y1474">
        <v>11</v>
      </c>
      <c r="Z1474">
        <v>0</v>
      </c>
      <c r="AA1474">
        <v>39</v>
      </c>
      <c r="AB1474">
        <v>2429</v>
      </c>
      <c r="AC1474" s="28">
        <f>ifood_data[[#This Row],[Customer_Days]]/365</f>
        <v>6.6547945205479451</v>
      </c>
      <c r="AD1474">
        <v>0</v>
      </c>
      <c r="AE1474">
        <v>1</v>
      </c>
      <c r="AF1474">
        <v>0</v>
      </c>
      <c r="AG1474">
        <v>0</v>
      </c>
      <c r="AH1474">
        <v>0</v>
      </c>
      <c r="AI1474">
        <v>0</v>
      </c>
      <c r="AJ1474">
        <v>0</v>
      </c>
      <c r="AK1474">
        <v>0</v>
      </c>
      <c r="AL1474">
        <v>1</v>
      </c>
      <c r="AM1474">
        <v>0</v>
      </c>
      <c r="AN1474">
        <v>62</v>
      </c>
      <c r="AO1474">
        <v>62</v>
      </c>
      <c r="AP1474">
        <f>ifood_data[[#This Row],[MntTotal]]-ifood_data[[#This Row],[MntRegularProds]]</f>
        <v>0</v>
      </c>
      <c r="AQ1474">
        <v>0</v>
      </c>
      <c r="AR1474">
        <f>IF(SUM(ifood_data[[#This Row],[Kidhome]:[Teenhome]])&gt;0,1,0)</f>
        <v>1</v>
      </c>
      <c r="AS1474" t="str">
        <f>IF(SUM(ifood_data[[#This Row],[Kidhome]:[Teenhome]])&gt;0,"Has Family","No Family")</f>
        <v>Has Family</v>
      </c>
      <c r="AT1474" t="str">
        <f>IF(ifood_data[[#This Row],[marital_Married]]=1,"Married", (IF(ifood_data[[#This Row],[marital_Single]]=1,"Single",(IF(ifood_data[[#This Row],[marital_Divorced]]=1,"Divorced",(IF(ifood_data[[#This Row],[marital_Together]]=1,"Living Together",(IF(ifood_data[[#This Row],[marital_Widow]]=1,"Widow","Other")))))))))</f>
        <v>Married</v>
      </c>
      <c r="AU1474" t="str">
        <f>IF(ifood_data[[#This Row],[education_Basic]]=1,"High School",(IF(ifood_data[[#This Row],[education_Graduation]]=1,"Undergraduate Degree",(IF(SUM(AM1474,AL1474,AI1474)&gt;0,"Master's Degree or Higher","Other")))))</f>
        <v>Master's Degree or Higher</v>
      </c>
      <c r="AV1474" t="str">
        <f>IF(ifood_data[[#All],[Income]]&gt;75000,"75K+",(IF(ifood_data[[#All],[Income]]&gt;50000,"50K-75K",(IF(ifood_data[[#All],[Income]]&gt;35000,"35K-50K","&lt;35K")))))</f>
        <v>35K-50K</v>
      </c>
      <c r="AW1474" t="str">
        <f>IF(ifood_data[[#All],[Age]]&gt;60,"60+",(IF(ifood_data[[#All],[Age]]&gt;50,"50-60",(IF(ifood_data[[#All],[Age]]&gt;40,"40-50",(IF(ifood_data[[#All],[Age]]&gt;30,"30-40","&lt;30")))))))</f>
        <v>30-40</v>
      </c>
      <c r="AX1474">
        <f t="shared" ref="AX1474:AX1537" si="92">SUM(L1474:P1474)</f>
        <v>15</v>
      </c>
      <c r="AY1474">
        <f t="shared" ref="AY1474:AY1537" si="93">(1-_xlfn.PERCENTRANK.INC($E$2:$E$2022,E1474,1))*10</f>
        <v>5</v>
      </c>
      <c r="AZ1474">
        <f t="shared" ref="AZ1474:AZ1537" si="94">_xlfn.PERCENTRANK.INC($AX$2:$AX$2022,AX1474,1)*10</f>
        <v>2</v>
      </c>
      <c r="BA1474">
        <f t="shared" ref="BA1474:BA1537" si="95">_xlfn.PERCENTRANK.INC($AN$2:$AN$2022,AN1474,1)*10</f>
        <v>2</v>
      </c>
      <c r="BB1474">
        <f>SUM(ifood_data[[#This Row],[Recency Score]:[Monetary Score]])</f>
        <v>9</v>
      </c>
      <c r="BC1474">
        <f>(_xlfn.PERCENTRANK.INC(ifood_data[[#All],[RFM]],ifood_data[[#This Row],[RFM]],1))*10</f>
        <v>1</v>
      </c>
      <c r="BD1474" t="str">
        <f>VLOOKUP(ifood_data[[#This Row],[RFM Score]],'RFM Analysis'!$A$3:$B$14,2,FALSE)</f>
        <v>At Risk</v>
      </c>
      <c r="BE1474">
        <f>'Regression Models'!$B$101+'Regression Models'!$B$102*ifood_data[[#This Row],[Income]]+'Regression Models'!$B$103*ifood_data[[#This Row],[Age]]+'Regression Models'!$B$104*ifood_data[[#This Row],[Family]]</f>
        <v>204.49847040600076</v>
      </c>
      <c r="BF1474" t="str">
        <f>IF(ifood_data[[#This Row],[AcceptedCmpOverall]]=1,"Campaign Respondent","Non-respondent")</f>
        <v>Non-respondent</v>
      </c>
    </row>
    <row r="1475" spans="1:58" x14ac:dyDescent="0.35">
      <c r="A1475">
        <v>456</v>
      </c>
      <c r="B1475">
        <v>37760</v>
      </c>
      <c r="C1475">
        <v>1</v>
      </c>
      <c r="D1475">
        <v>0</v>
      </c>
      <c r="E1475">
        <v>54</v>
      </c>
      <c r="F1475">
        <v>26</v>
      </c>
      <c r="G1475">
        <v>3</v>
      </c>
      <c r="H1475">
        <v>13</v>
      </c>
      <c r="I1475">
        <v>2</v>
      </c>
      <c r="J1475">
        <v>10</v>
      </c>
      <c r="K1475">
        <v>0</v>
      </c>
      <c r="L1475">
        <v>1</v>
      </c>
      <c r="M1475">
        <v>2</v>
      </c>
      <c r="N1475">
        <v>0</v>
      </c>
      <c r="O1475">
        <v>3</v>
      </c>
      <c r="P1475">
        <v>6</v>
      </c>
      <c r="Q1475">
        <v>0</v>
      </c>
      <c r="R1475">
        <v>0</v>
      </c>
      <c r="S1475">
        <v>0</v>
      </c>
      <c r="T1475">
        <v>0</v>
      </c>
      <c r="U1475">
        <v>0</v>
      </c>
      <c r="V1475">
        <f>IF(SUM(ifood_data[[#This Row],[AcceptedCmp1]:[AcceptedCmp5]])&gt;0,1,0)</f>
        <v>0</v>
      </c>
      <c r="W1475">
        <v>0</v>
      </c>
      <c r="X1475">
        <v>3</v>
      </c>
      <c r="Y1475">
        <v>11</v>
      </c>
      <c r="Z1475">
        <v>0</v>
      </c>
      <c r="AA1475">
        <v>48</v>
      </c>
      <c r="AB1475">
        <v>2481</v>
      </c>
      <c r="AC1475" s="28">
        <f>ifood_data[[#This Row],[Customer_Days]]/365</f>
        <v>6.7972602739726025</v>
      </c>
      <c r="AD1475">
        <v>1</v>
      </c>
      <c r="AE1475">
        <v>0</v>
      </c>
      <c r="AF1475">
        <v>0</v>
      </c>
      <c r="AG1475">
        <v>0</v>
      </c>
      <c r="AH1475">
        <v>0</v>
      </c>
      <c r="AI1475">
        <v>0</v>
      </c>
      <c r="AJ1475">
        <v>0</v>
      </c>
      <c r="AK1475">
        <v>0</v>
      </c>
      <c r="AL1475">
        <v>1</v>
      </c>
      <c r="AM1475">
        <v>0</v>
      </c>
      <c r="AN1475">
        <v>54</v>
      </c>
      <c r="AO1475">
        <v>54</v>
      </c>
      <c r="AP1475">
        <f>ifood_data[[#This Row],[MntTotal]]-ifood_data[[#This Row],[MntRegularProds]]</f>
        <v>0</v>
      </c>
      <c r="AQ1475">
        <v>0</v>
      </c>
      <c r="AR1475">
        <f>IF(SUM(ifood_data[[#This Row],[Kidhome]:[Teenhome]])&gt;0,1,0)</f>
        <v>1</v>
      </c>
      <c r="AS1475" t="str">
        <f>IF(SUM(ifood_data[[#This Row],[Kidhome]:[Teenhome]])&gt;0,"Has Family","No Family")</f>
        <v>Has Family</v>
      </c>
      <c r="AT1475" t="str">
        <f>IF(ifood_data[[#This Row],[marital_Married]]=1,"Married", (IF(ifood_data[[#This Row],[marital_Single]]=1,"Single",(IF(ifood_data[[#This Row],[marital_Divorced]]=1,"Divorced",(IF(ifood_data[[#This Row],[marital_Together]]=1,"Living Together",(IF(ifood_data[[#This Row],[marital_Widow]]=1,"Widow","Other")))))))))</f>
        <v>Divorced</v>
      </c>
      <c r="AU1475" t="str">
        <f>IF(ifood_data[[#This Row],[education_Basic]]=1,"High School",(IF(ifood_data[[#This Row],[education_Graduation]]=1,"Undergraduate Degree",(IF(SUM(AM1475,AL1475,AI1475)&gt;0,"Master's Degree or Higher","Other")))))</f>
        <v>Master's Degree or Higher</v>
      </c>
      <c r="AV1475" t="str">
        <f>IF(ifood_data[[#All],[Income]]&gt;75000,"75K+",(IF(ifood_data[[#All],[Income]]&gt;50000,"50K-75K",(IF(ifood_data[[#All],[Income]]&gt;35000,"35K-50K","&lt;35K")))))</f>
        <v>35K-50K</v>
      </c>
      <c r="AW1475" t="str">
        <f>IF(ifood_data[[#All],[Age]]&gt;60,"60+",(IF(ifood_data[[#All],[Age]]&gt;50,"50-60",(IF(ifood_data[[#All],[Age]]&gt;40,"40-50",(IF(ifood_data[[#All],[Age]]&gt;30,"30-40","&lt;30")))))))</f>
        <v>40-50</v>
      </c>
      <c r="AX1475">
        <f t="shared" si="92"/>
        <v>12</v>
      </c>
      <c r="AY1475">
        <f t="shared" si="93"/>
        <v>5</v>
      </c>
      <c r="AZ1475">
        <f t="shared" si="94"/>
        <v>1</v>
      </c>
      <c r="BA1475">
        <f t="shared" si="95"/>
        <v>2</v>
      </c>
      <c r="BB1475">
        <f>SUM(ifood_data[[#This Row],[Recency Score]:[Monetary Score]])</f>
        <v>8</v>
      </c>
      <c r="BC1475">
        <f>(_xlfn.PERCENTRANK.INC(ifood_data[[#All],[RFM]],ifood_data[[#This Row],[RFM]],1))*10</f>
        <v>1</v>
      </c>
      <c r="BD1475" t="str">
        <f>VLOOKUP(ifood_data[[#This Row],[RFM Score]],'RFM Analysis'!$A$3:$B$14,2,FALSE)</f>
        <v>At Risk</v>
      </c>
      <c r="BE1475">
        <f>'Regression Models'!$B$101+'Regression Models'!$B$102*ifood_data[[#This Row],[Income]]+'Regression Models'!$B$103*ifood_data[[#This Row],[Age]]+'Regression Models'!$B$104*ifood_data[[#This Row],[Family]]</f>
        <v>204.30192197921531</v>
      </c>
      <c r="BF1475" t="str">
        <f>IF(ifood_data[[#This Row],[AcceptedCmpOverall]]=1,"Campaign Respondent","Non-respondent")</f>
        <v>Non-respondent</v>
      </c>
    </row>
    <row r="1476" spans="1:58" x14ac:dyDescent="0.35">
      <c r="A1476">
        <v>1163</v>
      </c>
      <c r="B1476">
        <v>37395</v>
      </c>
      <c r="C1476">
        <v>1</v>
      </c>
      <c r="D1476">
        <v>0</v>
      </c>
      <c r="E1476">
        <v>47</v>
      </c>
      <c r="F1476">
        <v>18</v>
      </c>
      <c r="G1476">
        <v>0</v>
      </c>
      <c r="H1476">
        <v>9</v>
      </c>
      <c r="I1476">
        <v>0</v>
      </c>
      <c r="J1476">
        <v>1</v>
      </c>
      <c r="K1476">
        <v>11</v>
      </c>
      <c r="L1476">
        <v>1</v>
      </c>
      <c r="M1476">
        <v>1</v>
      </c>
      <c r="N1476">
        <v>0</v>
      </c>
      <c r="O1476">
        <v>3</v>
      </c>
      <c r="P1476">
        <v>6</v>
      </c>
      <c r="Q1476">
        <v>0</v>
      </c>
      <c r="R1476">
        <v>0</v>
      </c>
      <c r="S1476">
        <v>0</v>
      </c>
      <c r="T1476">
        <v>0</v>
      </c>
      <c r="U1476">
        <v>0</v>
      </c>
      <c r="V1476">
        <f>IF(SUM(ifood_data[[#This Row],[AcceptedCmp1]:[AcceptedCmp5]])&gt;0,1,0)</f>
        <v>0</v>
      </c>
      <c r="W1476">
        <v>0</v>
      </c>
      <c r="X1476">
        <v>3</v>
      </c>
      <c r="Y1476">
        <v>11</v>
      </c>
      <c r="Z1476">
        <v>0</v>
      </c>
      <c r="AA1476">
        <v>44</v>
      </c>
      <c r="AB1476">
        <v>2217</v>
      </c>
      <c r="AC1476" s="28">
        <f>ifood_data[[#This Row],[Customer_Days]]/365</f>
        <v>6.0739726027397261</v>
      </c>
      <c r="AD1476">
        <v>0</v>
      </c>
      <c r="AE1476">
        <v>0</v>
      </c>
      <c r="AF1476">
        <v>0</v>
      </c>
      <c r="AG1476">
        <v>1</v>
      </c>
      <c r="AH1476">
        <v>0</v>
      </c>
      <c r="AI1476">
        <v>0</v>
      </c>
      <c r="AJ1476">
        <v>0</v>
      </c>
      <c r="AK1476">
        <v>0</v>
      </c>
      <c r="AL1476">
        <v>0</v>
      </c>
      <c r="AM1476">
        <v>1</v>
      </c>
      <c r="AN1476">
        <v>28</v>
      </c>
      <c r="AO1476">
        <v>17</v>
      </c>
      <c r="AP1476">
        <f>ifood_data[[#This Row],[MntTotal]]-ifood_data[[#This Row],[MntRegularProds]]</f>
        <v>11</v>
      </c>
      <c r="AQ1476">
        <v>0</v>
      </c>
      <c r="AR1476">
        <f>IF(SUM(ifood_data[[#This Row],[Kidhome]:[Teenhome]])&gt;0,1,0)</f>
        <v>1</v>
      </c>
      <c r="AS1476" t="str">
        <f>IF(SUM(ifood_data[[#This Row],[Kidhome]:[Teenhome]])&gt;0,"Has Family","No Family")</f>
        <v>Has Family</v>
      </c>
      <c r="AT1476" t="str">
        <f>IF(ifood_data[[#This Row],[marital_Married]]=1,"Married", (IF(ifood_data[[#This Row],[marital_Single]]=1,"Single",(IF(ifood_data[[#This Row],[marital_Divorced]]=1,"Divorced",(IF(ifood_data[[#This Row],[marital_Together]]=1,"Living Together",(IF(ifood_data[[#This Row],[marital_Widow]]=1,"Widow","Other")))))))))</f>
        <v>Living Together</v>
      </c>
      <c r="AU1476" t="str">
        <f>IF(ifood_data[[#This Row],[education_Basic]]=1,"High School",(IF(ifood_data[[#This Row],[education_Graduation]]=1,"Undergraduate Degree",(IF(SUM(AM1476,AL1476,AI1476)&gt;0,"Master's Degree or Higher","Other")))))</f>
        <v>Master's Degree or Higher</v>
      </c>
      <c r="AV1476" t="str">
        <f>IF(ifood_data[[#All],[Income]]&gt;75000,"75K+",(IF(ifood_data[[#All],[Income]]&gt;50000,"50K-75K",(IF(ifood_data[[#All],[Income]]&gt;35000,"35K-50K","&lt;35K")))))</f>
        <v>35K-50K</v>
      </c>
      <c r="AW1476" t="str">
        <f>IF(ifood_data[[#All],[Age]]&gt;60,"60+",(IF(ifood_data[[#All],[Age]]&gt;50,"50-60",(IF(ifood_data[[#All],[Age]]&gt;40,"40-50",(IF(ifood_data[[#All],[Age]]&gt;30,"30-40","&lt;30")))))))</f>
        <v>40-50</v>
      </c>
      <c r="AX1476">
        <f t="shared" si="92"/>
        <v>11</v>
      </c>
      <c r="AY1476">
        <f t="shared" si="93"/>
        <v>6</v>
      </c>
      <c r="AZ1476">
        <f t="shared" si="94"/>
        <v>0</v>
      </c>
      <c r="BA1476">
        <f t="shared" si="95"/>
        <v>0</v>
      </c>
      <c r="BB1476">
        <f>SUM(ifood_data[[#This Row],[Recency Score]:[Monetary Score]])</f>
        <v>6</v>
      </c>
      <c r="BC1476">
        <f>(_xlfn.PERCENTRANK.INC(ifood_data[[#All],[RFM]],ifood_data[[#This Row],[RFM]],1))*10</f>
        <v>0</v>
      </c>
      <c r="BD1476" t="str">
        <f>VLOOKUP(ifood_data[[#This Row],[RFM Score]],'RFM Analysis'!$A$3:$B$14,2,FALSE)</f>
        <v>Lost</v>
      </c>
      <c r="BE1476">
        <f>'Regression Models'!$B$101+'Regression Models'!$B$102*ifood_data[[#This Row],[Income]]+'Regression Models'!$B$103*ifood_data[[#This Row],[Age]]+'Regression Models'!$B$104*ifood_data[[#This Row],[Family]]</f>
        <v>204.20577792226925</v>
      </c>
      <c r="BF1476" t="str">
        <f>IF(ifood_data[[#This Row],[AcceptedCmpOverall]]=1,"Campaign Respondent","Non-respondent")</f>
        <v>Non-respondent</v>
      </c>
    </row>
    <row r="1477" spans="1:58" x14ac:dyDescent="0.35">
      <c r="A1477">
        <v>717</v>
      </c>
      <c r="B1477">
        <v>38829</v>
      </c>
      <c r="C1477">
        <v>0</v>
      </c>
      <c r="D1477">
        <v>1</v>
      </c>
      <c r="E1477">
        <v>86</v>
      </c>
      <c r="F1477">
        <v>76</v>
      </c>
      <c r="G1477">
        <v>0</v>
      </c>
      <c r="H1477">
        <v>7</v>
      </c>
      <c r="I1477">
        <v>0</v>
      </c>
      <c r="J1477">
        <v>0</v>
      </c>
      <c r="K1477">
        <v>16</v>
      </c>
      <c r="L1477">
        <v>1</v>
      </c>
      <c r="M1477">
        <v>3</v>
      </c>
      <c r="N1477">
        <v>2</v>
      </c>
      <c r="O1477">
        <v>2</v>
      </c>
      <c r="P1477">
        <v>5</v>
      </c>
      <c r="Q1477">
        <v>0</v>
      </c>
      <c r="R1477">
        <v>0</v>
      </c>
      <c r="S1477">
        <v>0</v>
      </c>
      <c r="T1477">
        <v>0</v>
      </c>
      <c r="U1477">
        <v>0</v>
      </c>
      <c r="V1477">
        <f>IF(SUM(ifood_data[[#This Row],[AcceptedCmp1]:[AcceptedCmp5]])&gt;0,1,0)</f>
        <v>0</v>
      </c>
      <c r="W1477">
        <v>0</v>
      </c>
      <c r="X1477">
        <v>3</v>
      </c>
      <c r="Y1477">
        <v>11</v>
      </c>
      <c r="Z1477">
        <v>0</v>
      </c>
      <c r="AA1477">
        <v>61</v>
      </c>
      <c r="AB1477">
        <v>2243</v>
      </c>
      <c r="AC1477" s="28">
        <f>ifood_data[[#This Row],[Customer_Days]]/365</f>
        <v>6.1452054794520548</v>
      </c>
      <c r="AD1477">
        <v>0</v>
      </c>
      <c r="AE1477">
        <v>1</v>
      </c>
      <c r="AF1477">
        <v>0</v>
      </c>
      <c r="AG1477">
        <v>0</v>
      </c>
      <c r="AH1477">
        <v>0</v>
      </c>
      <c r="AI1477">
        <v>0</v>
      </c>
      <c r="AJ1477">
        <v>0</v>
      </c>
      <c r="AK1477">
        <v>0</v>
      </c>
      <c r="AL1477">
        <v>0</v>
      </c>
      <c r="AM1477">
        <v>1</v>
      </c>
      <c r="AN1477">
        <v>83</v>
      </c>
      <c r="AO1477">
        <v>67</v>
      </c>
      <c r="AP1477">
        <f>ifood_data[[#This Row],[MntTotal]]-ifood_data[[#This Row],[MntRegularProds]]</f>
        <v>16</v>
      </c>
      <c r="AQ1477">
        <v>0</v>
      </c>
      <c r="AR1477">
        <f>IF(SUM(ifood_data[[#This Row],[Kidhome]:[Teenhome]])&gt;0,1,0)</f>
        <v>1</v>
      </c>
      <c r="AS1477" t="str">
        <f>IF(SUM(ifood_data[[#This Row],[Kidhome]:[Teenhome]])&gt;0,"Has Family","No Family")</f>
        <v>Has Family</v>
      </c>
      <c r="AT1477" t="str">
        <f>IF(ifood_data[[#This Row],[marital_Married]]=1,"Married", (IF(ifood_data[[#This Row],[marital_Single]]=1,"Single",(IF(ifood_data[[#This Row],[marital_Divorced]]=1,"Divorced",(IF(ifood_data[[#This Row],[marital_Together]]=1,"Living Together",(IF(ifood_data[[#This Row],[marital_Widow]]=1,"Widow","Other")))))))))</f>
        <v>Married</v>
      </c>
      <c r="AU1477" t="str">
        <f>IF(ifood_data[[#This Row],[education_Basic]]=1,"High School",(IF(ifood_data[[#This Row],[education_Graduation]]=1,"Undergraduate Degree",(IF(SUM(AM1477,AL1477,AI1477)&gt;0,"Master's Degree or Higher","Other")))))</f>
        <v>Master's Degree or Higher</v>
      </c>
      <c r="AV1477" t="str">
        <f>IF(ifood_data[[#All],[Income]]&gt;75000,"75K+",(IF(ifood_data[[#All],[Income]]&gt;50000,"50K-75K",(IF(ifood_data[[#All],[Income]]&gt;35000,"35K-50K","&lt;35K")))))</f>
        <v>35K-50K</v>
      </c>
      <c r="AW1477" t="str">
        <f>IF(ifood_data[[#All],[Age]]&gt;60,"60+",(IF(ifood_data[[#All],[Age]]&gt;50,"50-60",(IF(ifood_data[[#All],[Age]]&gt;40,"40-50",(IF(ifood_data[[#All],[Age]]&gt;30,"30-40","&lt;30")))))))</f>
        <v>60+</v>
      </c>
      <c r="AX1477">
        <f t="shared" si="92"/>
        <v>13</v>
      </c>
      <c r="AY1477">
        <f t="shared" si="93"/>
        <v>1.9999999999999996</v>
      </c>
      <c r="AZ1477">
        <f t="shared" si="94"/>
        <v>1</v>
      </c>
      <c r="BA1477">
        <f t="shared" si="95"/>
        <v>3</v>
      </c>
      <c r="BB1477">
        <f>SUM(ifood_data[[#This Row],[Recency Score]:[Monetary Score]])</f>
        <v>6</v>
      </c>
      <c r="BC1477">
        <f>(_xlfn.PERCENTRANK.INC(ifood_data[[#All],[RFM]],ifood_data[[#This Row],[RFM]],1))*10</f>
        <v>0</v>
      </c>
      <c r="BD1477" t="str">
        <f>VLOOKUP(ifood_data[[#This Row],[RFM Score]],'RFM Analysis'!$A$3:$B$14,2,FALSE)</f>
        <v>Lost</v>
      </c>
      <c r="BE1477">
        <f>'Regression Models'!$B$101+'Regression Models'!$B$102*ifood_data[[#This Row],[Income]]+'Regression Models'!$B$103*ifood_data[[#This Row],[Age]]+'Regression Models'!$B$104*ifood_data[[#This Row],[Family]]</f>
        <v>202.22380709941763</v>
      </c>
      <c r="BF1477" t="str">
        <f>IF(ifood_data[[#This Row],[AcceptedCmpOverall]]=1,"Campaign Respondent","Non-respondent")</f>
        <v>Non-respondent</v>
      </c>
    </row>
    <row r="1478" spans="1:58" x14ac:dyDescent="0.35">
      <c r="A1478">
        <v>250</v>
      </c>
      <c r="B1478">
        <v>38179</v>
      </c>
      <c r="C1478">
        <v>1</v>
      </c>
      <c r="D1478">
        <v>1</v>
      </c>
      <c r="E1478">
        <v>30</v>
      </c>
      <c r="F1478">
        <v>38</v>
      </c>
      <c r="G1478">
        <v>4</v>
      </c>
      <c r="H1478">
        <v>22</v>
      </c>
      <c r="I1478">
        <v>4</v>
      </c>
      <c r="J1478">
        <v>2</v>
      </c>
      <c r="K1478">
        <v>20</v>
      </c>
      <c r="L1478">
        <v>4</v>
      </c>
      <c r="M1478">
        <v>3</v>
      </c>
      <c r="N1478">
        <v>1</v>
      </c>
      <c r="O1478">
        <v>3</v>
      </c>
      <c r="P1478">
        <v>7</v>
      </c>
      <c r="Q1478">
        <v>0</v>
      </c>
      <c r="R1478">
        <v>0</v>
      </c>
      <c r="S1478">
        <v>0</v>
      </c>
      <c r="T1478">
        <v>0</v>
      </c>
      <c r="U1478">
        <v>0</v>
      </c>
      <c r="V1478">
        <f>IF(SUM(ifood_data[[#This Row],[AcceptedCmp1]:[AcceptedCmp5]])&gt;0,1,0)</f>
        <v>0</v>
      </c>
      <c r="W1478">
        <v>0</v>
      </c>
      <c r="X1478">
        <v>3</v>
      </c>
      <c r="Y1478">
        <v>11</v>
      </c>
      <c r="Z1478">
        <v>0</v>
      </c>
      <c r="AA1478">
        <v>54</v>
      </c>
      <c r="AB1478">
        <v>2631</v>
      </c>
      <c r="AC1478" s="28">
        <f>ifood_data[[#This Row],[Customer_Days]]/365</f>
        <v>7.2082191780821914</v>
      </c>
      <c r="AD1478">
        <v>0</v>
      </c>
      <c r="AE1478">
        <v>1</v>
      </c>
      <c r="AF1478">
        <v>0</v>
      </c>
      <c r="AG1478">
        <v>0</v>
      </c>
      <c r="AH1478">
        <v>0</v>
      </c>
      <c r="AI1478">
        <v>0</v>
      </c>
      <c r="AJ1478">
        <v>0</v>
      </c>
      <c r="AK1478">
        <v>0</v>
      </c>
      <c r="AL1478">
        <v>1</v>
      </c>
      <c r="AM1478">
        <v>0</v>
      </c>
      <c r="AN1478">
        <v>70</v>
      </c>
      <c r="AO1478">
        <v>50</v>
      </c>
      <c r="AP1478">
        <f>ifood_data[[#This Row],[MntTotal]]-ifood_data[[#This Row],[MntRegularProds]]</f>
        <v>20</v>
      </c>
      <c r="AQ1478">
        <v>0</v>
      </c>
      <c r="AR1478">
        <f>IF(SUM(ifood_data[[#This Row],[Kidhome]:[Teenhome]])&gt;0,1,0)</f>
        <v>1</v>
      </c>
      <c r="AS1478" t="str">
        <f>IF(SUM(ifood_data[[#This Row],[Kidhome]:[Teenhome]])&gt;0,"Has Family","No Family")</f>
        <v>Has Family</v>
      </c>
      <c r="AT1478" t="str">
        <f>IF(ifood_data[[#This Row],[marital_Married]]=1,"Married", (IF(ifood_data[[#This Row],[marital_Single]]=1,"Single",(IF(ifood_data[[#This Row],[marital_Divorced]]=1,"Divorced",(IF(ifood_data[[#This Row],[marital_Together]]=1,"Living Together",(IF(ifood_data[[#This Row],[marital_Widow]]=1,"Widow","Other")))))))))</f>
        <v>Married</v>
      </c>
      <c r="AU1478" t="str">
        <f>IF(ifood_data[[#This Row],[education_Basic]]=1,"High School",(IF(ifood_data[[#This Row],[education_Graduation]]=1,"Undergraduate Degree",(IF(SUM(AM1478,AL1478,AI1478)&gt;0,"Master's Degree or Higher","Other")))))</f>
        <v>Master's Degree or Higher</v>
      </c>
      <c r="AV1478" t="str">
        <f>IF(ifood_data[[#All],[Income]]&gt;75000,"75K+",(IF(ifood_data[[#All],[Income]]&gt;50000,"50K-75K",(IF(ifood_data[[#All],[Income]]&gt;35000,"35K-50K","&lt;35K")))))</f>
        <v>35K-50K</v>
      </c>
      <c r="AW1478" t="str">
        <f>IF(ifood_data[[#All],[Age]]&gt;60,"60+",(IF(ifood_data[[#All],[Age]]&gt;50,"50-60",(IF(ifood_data[[#All],[Age]]&gt;40,"40-50",(IF(ifood_data[[#All],[Age]]&gt;30,"30-40","&lt;30")))))))</f>
        <v>50-60</v>
      </c>
      <c r="AX1478">
        <f t="shared" si="92"/>
        <v>18</v>
      </c>
      <c r="AY1478">
        <f t="shared" si="93"/>
        <v>7</v>
      </c>
      <c r="AZ1478">
        <f t="shared" si="94"/>
        <v>4</v>
      </c>
      <c r="BA1478">
        <f t="shared" si="95"/>
        <v>3</v>
      </c>
      <c r="BB1478">
        <f>SUM(ifood_data[[#This Row],[Recency Score]:[Monetary Score]])</f>
        <v>14</v>
      </c>
      <c r="BC1478">
        <f>(_xlfn.PERCENTRANK.INC(ifood_data[[#All],[RFM]],ifood_data[[#This Row],[RFM]],1))*10</f>
        <v>4</v>
      </c>
      <c r="BD1478" t="str">
        <f>VLOOKUP(ifood_data[[#This Row],[RFM Score]],'RFM Analysis'!$A$3:$B$14,2,FALSE)</f>
        <v>At Risk</v>
      </c>
      <c r="BE1478">
        <f>'Regression Models'!$B$101+'Regression Models'!$B$102*ifood_data[[#This Row],[Income]]+'Regression Models'!$B$103*ifood_data[[#This Row],[Age]]+'Regression Models'!$B$104*ifood_data[[#This Row],[Family]]</f>
        <v>201.82618135814323</v>
      </c>
      <c r="BF1478" t="str">
        <f>IF(ifood_data[[#This Row],[AcceptedCmpOverall]]=1,"Campaign Respondent","Non-respondent")</f>
        <v>Non-respondent</v>
      </c>
    </row>
    <row r="1479" spans="1:58" x14ac:dyDescent="0.35">
      <c r="A1479">
        <v>1201</v>
      </c>
      <c r="B1479">
        <v>37368</v>
      </c>
      <c r="C1479">
        <v>1</v>
      </c>
      <c r="D1479">
        <v>0</v>
      </c>
      <c r="E1479">
        <v>4</v>
      </c>
      <c r="F1479">
        <v>3</v>
      </c>
      <c r="G1479">
        <v>2</v>
      </c>
      <c r="H1479">
        <v>11</v>
      </c>
      <c r="I1479">
        <v>2</v>
      </c>
      <c r="J1479">
        <v>2</v>
      </c>
      <c r="K1479">
        <v>10</v>
      </c>
      <c r="L1479">
        <v>1</v>
      </c>
      <c r="M1479">
        <v>1</v>
      </c>
      <c r="N1479">
        <v>0</v>
      </c>
      <c r="O1479">
        <v>2</v>
      </c>
      <c r="P1479">
        <v>6</v>
      </c>
      <c r="Q1479">
        <v>0</v>
      </c>
      <c r="R1479">
        <v>0</v>
      </c>
      <c r="S1479">
        <v>1</v>
      </c>
      <c r="T1479">
        <v>0</v>
      </c>
      <c r="U1479">
        <v>0</v>
      </c>
      <c r="V1479">
        <f>IF(SUM(ifood_data[[#This Row],[AcceptedCmp1]:[AcceptedCmp5]])&gt;0,1,0)</f>
        <v>1</v>
      </c>
      <c r="W1479">
        <v>0</v>
      </c>
      <c r="X1479">
        <v>3</v>
      </c>
      <c r="Y1479">
        <v>11</v>
      </c>
      <c r="Z1479">
        <v>0</v>
      </c>
      <c r="AA1479">
        <v>45</v>
      </c>
      <c r="AB1479">
        <v>2354</v>
      </c>
      <c r="AC1479" s="28">
        <f>ifood_data[[#This Row],[Customer_Days]]/365</f>
        <v>6.4493150684931511</v>
      </c>
      <c r="AD1479">
        <v>0</v>
      </c>
      <c r="AE1479">
        <v>1</v>
      </c>
      <c r="AF1479">
        <v>0</v>
      </c>
      <c r="AG1479">
        <v>0</v>
      </c>
      <c r="AH1479">
        <v>0</v>
      </c>
      <c r="AI1479">
        <v>0</v>
      </c>
      <c r="AJ1479">
        <v>0</v>
      </c>
      <c r="AK1479">
        <v>0</v>
      </c>
      <c r="AL1479">
        <v>1</v>
      </c>
      <c r="AM1479">
        <v>0</v>
      </c>
      <c r="AN1479">
        <v>20</v>
      </c>
      <c r="AO1479">
        <v>10</v>
      </c>
      <c r="AP1479">
        <f>ifood_data[[#This Row],[MntTotal]]-ifood_data[[#This Row],[MntRegularProds]]</f>
        <v>10</v>
      </c>
      <c r="AQ1479">
        <v>1</v>
      </c>
      <c r="AR1479">
        <f>IF(SUM(ifood_data[[#This Row],[Kidhome]:[Teenhome]])&gt;0,1,0)</f>
        <v>1</v>
      </c>
      <c r="AS1479" t="str">
        <f>IF(SUM(ifood_data[[#This Row],[Kidhome]:[Teenhome]])&gt;0,"Has Family","No Family")</f>
        <v>Has Family</v>
      </c>
      <c r="AT1479" t="str">
        <f>IF(ifood_data[[#This Row],[marital_Married]]=1,"Married", (IF(ifood_data[[#This Row],[marital_Single]]=1,"Single",(IF(ifood_data[[#This Row],[marital_Divorced]]=1,"Divorced",(IF(ifood_data[[#This Row],[marital_Together]]=1,"Living Together",(IF(ifood_data[[#This Row],[marital_Widow]]=1,"Widow","Other")))))))))</f>
        <v>Married</v>
      </c>
      <c r="AU1479" t="str">
        <f>IF(ifood_data[[#This Row],[education_Basic]]=1,"High School",(IF(ifood_data[[#This Row],[education_Graduation]]=1,"Undergraduate Degree",(IF(SUM(AM1479,AL1479,AI1479)&gt;0,"Master's Degree or Higher","Other")))))</f>
        <v>Master's Degree or Higher</v>
      </c>
      <c r="AV1479" t="str">
        <f>IF(ifood_data[[#All],[Income]]&gt;75000,"75K+",(IF(ifood_data[[#All],[Income]]&gt;50000,"50K-75K",(IF(ifood_data[[#All],[Income]]&gt;35000,"35K-50K","&lt;35K")))))</f>
        <v>35K-50K</v>
      </c>
      <c r="AW1479" t="str">
        <f>IF(ifood_data[[#All],[Age]]&gt;60,"60+",(IF(ifood_data[[#All],[Age]]&gt;50,"50-60",(IF(ifood_data[[#All],[Age]]&gt;40,"40-50",(IF(ifood_data[[#All],[Age]]&gt;30,"30-40","&lt;30")))))))</f>
        <v>40-50</v>
      </c>
      <c r="AX1479">
        <f t="shared" si="92"/>
        <v>10</v>
      </c>
      <c r="AY1479">
        <f t="shared" si="93"/>
        <v>10</v>
      </c>
      <c r="AZ1479">
        <f t="shared" si="94"/>
        <v>0</v>
      </c>
      <c r="BA1479">
        <f t="shared" si="95"/>
        <v>0</v>
      </c>
      <c r="BB1479">
        <f>SUM(ifood_data[[#This Row],[Recency Score]:[Monetary Score]])</f>
        <v>10</v>
      </c>
      <c r="BC1479">
        <f>(_xlfn.PERCENTRANK.INC(ifood_data[[#All],[RFM]],ifood_data[[#This Row],[RFM]],1))*10</f>
        <v>2</v>
      </c>
      <c r="BD1479" t="str">
        <f>VLOOKUP(ifood_data[[#This Row],[RFM Score]],'RFM Analysis'!$A$3:$B$14,2,FALSE)</f>
        <v>At Risk</v>
      </c>
      <c r="BE1479">
        <f>'Regression Models'!$B$101+'Regression Models'!$B$102*ifood_data[[#This Row],[Income]]+'Regression Models'!$B$103*ifood_data[[#This Row],[Age]]+'Regression Models'!$B$104*ifood_data[[#This Row],[Family]]</f>
        <v>201.81884210348971</v>
      </c>
      <c r="BF1479" t="str">
        <f>IF(ifood_data[[#This Row],[AcceptedCmpOverall]]=1,"Campaign Respondent","Non-respondent")</f>
        <v>Campaign Respondent</v>
      </c>
    </row>
    <row r="1480" spans="1:58" x14ac:dyDescent="0.35">
      <c r="A1480">
        <v>1437</v>
      </c>
      <c r="B1480">
        <v>37284</v>
      </c>
      <c r="C1480">
        <v>1</v>
      </c>
      <c r="D1480">
        <v>1</v>
      </c>
      <c r="E1480">
        <v>46</v>
      </c>
      <c r="F1480">
        <v>11</v>
      </c>
      <c r="G1480">
        <v>1</v>
      </c>
      <c r="H1480">
        <v>2</v>
      </c>
      <c r="I1480">
        <v>2</v>
      </c>
      <c r="J1480">
        <v>1</v>
      </c>
      <c r="K1480">
        <v>6</v>
      </c>
      <c r="L1480">
        <v>1</v>
      </c>
      <c r="M1480">
        <v>0</v>
      </c>
      <c r="N1480">
        <v>0</v>
      </c>
      <c r="O1480">
        <v>3</v>
      </c>
      <c r="P1480">
        <v>6</v>
      </c>
      <c r="Q1480">
        <v>0</v>
      </c>
      <c r="R1480">
        <v>0</v>
      </c>
      <c r="S1480">
        <v>0</v>
      </c>
      <c r="T1480">
        <v>0</v>
      </c>
      <c r="U1480">
        <v>0</v>
      </c>
      <c r="V1480">
        <f>IF(SUM(ifood_data[[#This Row],[AcceptedCmp1]:[AcceptedCmp5]])&gt;0,1,0)</f>
        <v>0</v>
      </c>
      <c r="W1480">
        <v>0</v>
      </c>
      <c r="X1480">
        <v>3</v>
      </c>
      <c r="Y1480">
        <v>11</v>
      </c>
      <c r="Z1480">
        <v>0</v>
      </c>
      <c r="AA1480">
        <v>45</v>
      </c>
      <c r="AB1480">
        <v>2616</v>
      </c>
      <c r="AC1480" s="28">
        <f>ifood_data[[#This Row],[Customer_Days]]/365</f>
        <v>7.1671232876712327</v>
      </c>
      <c r="AD1480">
        <v>0</v>
      </c>
      <c r="AE1480">
        <v>1</v>
      </c>
      <c r="AF1480">
        <v>0</v>
      </c>
      <c r="AG1480">
        <v>0</v>
      </c>
      <c r="AH1480">
        <v>0</v>
      </c>
      <c r="AI1480">
        <v>1</v>
      </c>
      <c r="AJ1480">
        <v>0</v>
      </c>
      <c r="AK1480">
        <v>0</v>
      </c>
      <c r="AL1480">
        <v>0</v>
      </c>
      <c r="AM1480">
        <v>0</v>
      </c>
      <c r="AN1480">
        <v>17</v>
      </c>
      <c r="AO1480">
        <v>11</v>
      </c>
      <c r="AP1480">
        <f>ifood_data[[#This Row],[MntTotal]]-ifood_data[[#This Row],[MntRegularProds]]</f>
        <v>6</v>
      </c>
      <c r="AQ1480">
        <v>0</v>
      </c>
      <c r="AR1480">
        <f>IF(SUM(ifood_data[[#This Row],[Kidhome]:[Teenhome]])&gt;0,1,0)</f>
        <v>1</v>
      </c>
      <c r="AS1480" t="str">
        <f>IF(SUM(ifood_data[[#This Row],[Kidhome]:[Teenhome]])&gt;0,"Has Family","No Family")</f>
        <v>Has Family</v>
      </c>
      <c r="AT1480" t="str">
        <f>IF(ifood_data[[#This Row],[marital_Married]]=1,"Married", (IF(ifood_data[[#This Row],[marital_Single]]=1,"Single",(IF(ifood_data[[#This Row],[marital_Divorced]]=1,"Divorced",(IF(ifood_data[[#This Row],[marital_Together]]=1,"Living Together",(IF(ifood_data[[#This Row],[marital_Widow]]=1,"Widow","Other")))))))))</f>
        <v>Married</v>
      </c>
      <c r="AU1480" t="str">
        <f>IF(ifood_data[[#This Row],[education_Basic]]=1,"High School",(IF(ifood_data[[#This Row],[education_Graduation]]=1,"Undergraduate Degree",(IF(SUM(AM1480,AL1480,AI1480)&gt;0,"Master's Degree or Higher","Other")))))</f>
        <v>Master's Degree or Higher</v>
      </c>
      <c r="AV1480" t="str">
        <f>IF(ifood_data[[#All],[Income]]&gt;75000,"75K+",(IF(ifood_data[[#All],[Income]]&gt;50000,"50K-75K",(IF(ifood_data[[#All],[Income]]&gt;35000,"35K-50K","&lt;35K")))))</f>
        <v>35K-50K</v>
      </c>
      <c r="AW1480" t="str">
        <f>IF(ifood_data[[#All],[Age]]&gt;60,"60+",(IF(ifood_data[[#All],[Age]]&gt;50,"50-60",(IF(ifood_data[[#All],[Age]]&gt;40,"40-50",(IF(ifood_data[[#All],[Age]]&gt;30,"30-40","&lt;30")))))))</f>
        <v>40-50</v>
      </c>
      <c r="AX1480">
        <f t="shared" si="92"/>
        <v>10</v>
      </c>
      <c r="AY1480">
        <f t="shared" si="93"/>
        <v>6</v>
      </c>
      <c r="AZ1480">
        <f t="shared" si="94"/>
        <v>0</v>
      </c>
      <c r="BA1480">
        <f t="shared" si="95"/>
        <v>0</v>
      </c>
      <c r="BB1480">
        <f>SUM(ifood_data[[#This Row],[Recency Score]:[Monetary Score]])</f>
        <v>6</v>
      </c>
      <c r="BC1480">
        <f>(_xlfn.PERCENTRANK.INC(ifood_data[[#All],[RFM]],ifood_data[[#This Row],[RFM]],1))*10</f>
        <v>0</v>
      </c>
      <c r="BD1480" t="str">
        <f>VLOOKUP(ifood_data[[#This Row],[RFM Score]],'RFM Analysis'!$A$3:$B$14,2,FALSE)</f>
        <v>Lost</v>
      </c>
      <c r="BE1480">
        <f>'Regression Models'!$B$101+'Regression Models'!$B$102*ifood_data[[#This Row],[Income]]+'Regression Models'!$B$103*ifood_data[[#This Row],[Age]]+'Regression Models'!$B$104*ifood_data[[#This Row],[Family]]</f>
        <v>200.10618557940222</v>
      </c>
      <c r="BF1480" t="str">
        <f>IF(ifood_data[[#This Row],[AcceptedCmpOverall]]=1,"Campaign Respondent","Non-respondent")</f>
        <v>Non-respondent</v>
      </c>
    </row>
    <row r="1481" spans="1:58" x14ac:dyDescent="0.35">
      <c r="A1481">
        <v>1623</v>
      </c>
      <c r="B1481">
        <v>36802</v>
      </c>
      <c r="C1481">
        <v>1</v>
      </c>
      <c r="D1481">
        <v>0</v>
      </c>
      <c r="E1481">
        <v>23</v>
      </c>
      <c r="F1481">
        <v>16</v>
      </c>
      <c r="G1481">
        <v>1</v>
      </c>
      <c r="H1481">
        <v>2</v>
      </c>
      <c r="I1481">
        <v>0</v>
      </c>
      <c r="J1481">
        <v>0</v>
      </c>
      <c r="K1481">
        <v>1</v>
      </c>
      <c r="L1481">
        <v>1</v>
      </c>
      <c r="M1481">
        <v>1</v>
      </c>
      <c r="N1481">
        <v>0</v>
      </c>
      <c r="O1481">
        <v>3</v>
      </c>
      <c r="P1481">
        <v>5</v>
      </c>
      <c r="Q1481">
        <v>0</v>
      </c>
      <c r="R1481">
        <v>0</v>
      </c>
      <c r="S1481">
        <v>0</v>
      </c>
      <c r="T1481">
        <v>0</v>
      </c>
      <c r="U1481">
        <v>0</v>
      </c>
      <c r="V1481">
        <f>IF(SUM(ifood_data[[#This Row],[AcceptedCmp1]:[AcceptedCmp5]])&gt;0,1,0)</f>
        <v>0</v>
      </c>
      <c r="W1481">
        <v>0</v>
      </c>
      <c r="X1481">
        <v>3</v>
      </c>
      <c r="Y1481">
        <v>11</v>
      </c>
      <c r="Z1481">
        <v>0</v>
      </c>
      <c r="AA1481">
        <v>40</v>
      </c>
      <c r="AB1481">
        <v>2172</v>
      </c>
      <c r="AC1481" s="28">
        <f>ifood_data[[#This Row],[Customer_Days]]/365</f>
        <v>5.9506849315068493</v>
      </c>
      <c r="AD1481">
        <v>0</v>
      </c>
      <c r="AE1481">
        <v>0</v>
      </c>
      <c r="AF1481">
        <v>1</v>
      </c>
      <c r="AG1481">
        <v>0</v>
      </c>
      <c r="AH1481">
        <v>0</v>
      </c>
      <c r="AI1481">
        <v>0</v>
      </c>
      <c r="AJ1481">
        <v>0</v>
      </c>
      <c r="AK1481">
        <v>0</v>
      </c>
      <c r="AL1481">
        <v>0</v>
      </c>
      <c r="AM1481">
        <v>1</v>
      </c>
      <c r="AN1481">
        <v>19</v>
      </c>
      <c r="AO1481">
        <v>18</v>
      </c>
      <c r="AP1481">
        <f>ifood_data[[#This Row],[MntTotal]]-ifood_data[[#This Row],[MntRegularProds]]</f>
        <v>1</v>
      </c>
      <c r="AQ1481">
        <v>0</v>
      </c>
      <c r="AR1481">
        <f>IF(SUM(ifood_data[[#This Row],[Kidhome]:[Teenhome]])&gt;0,1,0)</f>
        <v>1</v>
      </c>
      <c r="AS1481" t="str">
        <f>IF(SUM(ifood_data[[#This Row],[Kidhome]:[Teenhome]])&gt;0,"Has Family","No Family")</f>
        <v>Has Family</v>
      </c>
      <c r="AT1481" t="str">
        <f>IF(ifood_data[[#This Row],[marital_Married]]=1,"Married", (IF(ifood_data[[#This Row],[marital_Single]]=1,"Single",(IF(ifood_data[[#This Row],[marital_Divorced]]=1,"Divorced",(IF(ifood_data[[#This Row],[marital_Together]]=1,"Living Together",(IF(ifood_data[[#This Row],[marital_Widow]]=1,"Widow","Other")))))))))</f>
        <v>Single</v>
      </c>
      <c r="AU1481" t="str">
        <f>IF(ifood_data[[#This Row],[education_Basic]]=1,"High School",(IF(ifood_data[[#This Row],[education_Graduation]]=1,"Undergraduate Degree",(IF(SUM(AM1481,AL1481,AI1481)&gt;0,"Master's Degree or Higher","Other")))))</f>
        <v>Master's Degree or Higher</v>
      </c>
      <c r="AV1481" t="str">
        <f>IF(ifood_data[[#All],[Income]]&gt;75000,"75K+",(IF(ifood_data[[#All],[Income]]&gt;50000,"50K-75K",(IF(ifood_data[[#All],[Income]]&gt;35000,"35K-50K","&lt;35K")))))</f>
        <v>35K-50K</v>
      </c>
      <c r="AW1481" t="str">
        <f>IF(ifood_data[[#All],[Age]]&gt;60,"60+",(IF(ifood_data[[#All],[Age]]&gt;50,"50-60",(IF(ifood_data[[#All],[Age]]&gt;40,"40-50",(IF(ifood_data[[#All],[Age]]&gt;30,"30-40","&lt;30")))))))</f>
        <v>30-40</v>
      </c>
      <c r="AX1481">
        <f t="shared" si="92"/>
        <v>10</v>
      </c>
      <c r="AY1481">
        <f t="shared" si="93"/>
        <v>8</v>
      </c>
      <c r="AZ1481">
        <f t="shared" si="94"/>
        <v>0</v>
      </c>
      <c r="BA1481">
        <f t="shared" si="95"/>
        <v>0</v>
      </c>
      <c r="BB1481">
        <f>SUM(ifood_data[[#This Row],[Recency Score]:[Monetary Score]])</f>
        <v>8</v>
      </c>
      <c r="BC1481">
        <f>(_xlfn.PERCENTRANK.INC(ifood_data[[#All],[RFM]],ifood_data[[#This Row],[RFM]],1))*10</f>
        <v>1</v>
      </c>
      <c r="BD1481" t="str">
        <f>VLOOKUP(ifood_data[[#This Row],[RFM Score]],'RFM Analysis'!$A$3:$B$14,2,FALSE)</f>
        <v>At Risk</v>
      </c>
      <c r="BE1481">
        <f>'Regression Models'!$B$101+'Regression Models'!$B$102*ifood_data[[#This Row],[Income]]+'Regression Models'!$B$103*ifood_data[[#This Row],[Age]]+'Regression Models'!$B$104*ifood_data[[#This Row],[Family]]</f>
        <v>199.46099472851438</v>
      </c>
      <c r="BF1481" t="str">
        <f>IF(ifood_data[[#This Row],[AcceptedCmpOverall]]=1,"Campaign Respondent","Non-respondent")</f>
        <v>Non-respondent</v>
      </c>
    </row>
    <row r="1482" spans="1:58" x14ac:dyDescent="0.35">
      <c r="A1482">
        <v>593</v>
      </c>
      <c r="B1482">
        <v>36975</v>
      </c>
      <c r="C1482">
        <v>1</v>
      </c>
      <c r="D1482">
        <v>0</v>
      </c>
      <c r="E1482">
        <v>50</v>
      </c>
      <c r="F1482">
        <v>10</v>
      </c>
      <c r="G1482">
        <v>6</v>
      </c>
      <c r="H1482">
        <v>11</v>
      </c>
      <c r="I1482">
        <v>0</v>
      </c>
      <c r="J1482">
        <v>4</v>
      </c>
      <c r="K1482">
        <v>2</v>
      </c>
      <c r="L1482">
        <v>1</v>
      </c>
      <c r="M1482">
        <v>1</v>
      </c>
      <c r="N1482">
        <v>0</v>
      </c>
      <c r="O1482">
        <v>3</v>
      </c>
      <c r="P1482">
        <v>7</v>
      </c>
      <c r="Q1482">
        <v>0</v>
      </c>
      <c r="R1482">
        <v>0</v>
      </c>
      <c r="S1482">
        <v>0</v>
      </c>
      <c r="T1482">
        <v>0</v>
      </c>
      <c r="U1482">
        <v>0</v>
      </c>
      <c r="V1482">
        <f>IF(SUM(ifood_data[[#This Row],[AcceptedCmp1]:[AcceptedCmp5]])&gt;0,1,0)</f>
        <v>0</v>
      </c>
      <c r="W1482">
        <v>0</v>
      </c>
      <c r="X1482">
        <v>3</v>
      </c>
      <c r="Y1482">
        <v>11</v>
      </c>
      <c r="Z1482">
        <v>0</v>
      </c>
      <c r="AA1482">
        <v>42</v>
      </c>
      <c r="AB1482">
        <v>2342</v>
      </c>
      <c r="AC1482" s="28">
        <f>ifood_data[[#This Row],[Customer_Days]]/365</f>
        <v>6.4164383561643836</v>
      </c>
      <c r="AD1482">
        <v>0</v>
      </c>
      <c r="AE1482">
        <v>0</v>
      </c>
      <c r="AF1482">
        <v>1</v>
      </c>
      <c r="AG1482">
        <v>0</v>
      </c>
      <c r="AH1482">
        <v>0</v>
      </c>
      <c r="AI1482">
        <v>1</v>
      </c>
      <c r="AJ1482">
        <v>0</v>
      </c>
      <c r="AK1482">
        <v>0</v>
      </c>
      <c r="AL1482">
        <v>0</v>
      </c>
      <c r="AM1482">
        <v>0</v>
      </c>
      <c r="AN1482">
        <v>31</v>
      </c>
      <c r="AO1482">
        <v>29</v>
      </c>
      <c r="AP1482">
        <f>ifood_data[[#This Row],[MntTotal]]-ifood_data[[#This Row],[MntRegularProds]]</f>
        <v>2</v>
      </c>
      <c r="AQ1482">
        <v>0</v>
      </c>
      <c r="AR1482">
        <f>IF(SUM(ifood_data[[#This Row],[Kidhome]:[Teenhome]])&gt;0,1,0)</f>
        <v>1</v>
      </c>
      <c r="AS1482" t="str">
        <f>IF(SUM(ifood_data[[#This Row],[Kidhome]:[Teenhome]])&gt;0,"Has Family","No Family")</f>
        <v>Has Family</v>
      </c>
      <c r="AT1482" t="str">
        <f>IF(ifood_data[[#This Row],[marital_Married]]=1,"Married", (IF(ifood_data[[#This Row],[marital_Single]]=1,"Single",(IF(ifood_data[[#This Row],[marital_Divorced]]=1,"Divorced",(IF(ifood_data[[#This Row],[marital_Together]]=1,"Living Together",(IF(ifood_data[[#This Row],[marital_Widow]]=1,"Widow","Other")))))))))</f>
        <v>Single</v>
      </c>
      <c r="AU1482" t="str">
        <f>IF(ifood_data[[#This Row],[education_Basic]]=1,"High School",(IF(ifood_data[[#This Row],[education_Graduation]]=1,"Undergraduate Degree",(IF(SUM(AM1482,AL1482,AI1482)&gt;0,"Master's Degree or Higher","Other")))))</f>
        <v>Master's Degree or Higher</v>
      </c>
      <c r="AV1482" t="str">
        <f>IF(ifood_data[[#All],[Income]]&gt;75000,"75K+",(IF(ifood_data[[#All],[Income]]&gt;50000,"50K-75K",(IF(ifood_data[[#All],[Income]]&gt;35000,"35K-50K","&lt;35K")))))</f>
        <v>35K-50K</v>
      </c>
      <c r="AW1482" t="str">
        <f>IF(ifood_data[[#All],[Age]]&gt;60,"60+",(IF(ifood_data[[#All],[Age]]&gt;50,"50-60",(IF(ifood_data[[#All],[Age]]&gt;40,"40-50",(IF(ifood_data[[#All],[Age]]&gt;30,"30-40","&lt;30")))))))</f>
        <v>40-50</v>
      </c>
      <c r="AX1482">
        <f t="shared" si="92"/>
        <v>12</v>
      </c>
      <c r="AY1482">
        <f t="shared" si="93"/>
        <v>5</v>
      </c>
      <c r="AZ1482">
        <f t="shared" si="94"/>
        <v>1</v>
      </c>
      <c r="BA1482">
        <f t="shared" si="95"/>
        <v>1</v>
      </c>
      <c r="BB1482">
        <f>SUM(ifood_data[[#This Row],[Recency Score]:[Monetary Score]])</f>
        <v>7</v>
      </c>
      <c r="BC1482">
        <f>(_xlfn.PERCENTRANK.INC(ifood_data[[#All],[RFM]],ifood_data[[#This Row],[RFM]],1))*10</f>
        <v>1</v>
      </c>
      <c r="BD1482" t="str">
        <f>VLOOKUP(ifood_data[[#This Row],[RFM Score]],'RFM Analysis'!$A$3:$B$14,2,FALSE)</f>
        <v>At Risk</v>
      </c>
      <c r="BE1482">
        <f>'Regression Models'!$B$101+'Regression Models'!$B$102*ifood_data[[#This Row],[Income]]+'Regression Models'!$B$103*ifood_data[[#This Row],[Age]]+'Regression Models'!$B$104*ifood_data[[#This Row],[Family]]</f>
        <v>199.31537345962033</v>
      </c>
      <c r="BF1482" t="str">
        <f>IF(ifood_data[[#This Row],[AcceptedCmpOverall]]=1,"Campaign Respondent","Non-respondent")</f>
        <v>Non-respondent</v>
      </c>
    </row>
    <row r="1483" spans="1:58" x14ac:dyDescent="0.35">
      <c r="A1483">
        <v>398</v>
      </c>
      <c r="B1483">
        <v>37401</v>
      </c>
      <c r="C1483">
        <v>1</v>
      </c>
      <c r="D1483">
        <v>0</v>
      </c>
      <c r="E1483">
        <v>14</v>
      </c>
      <c r="F1483">
        <v>19</v>
      </c>
      <c r="G1483">
        <v>3</v>
      </c>
      <c r="H1483">
        <v>19</v>
      </c>
      <c r="I1483">
        <v>3</v>
      </c>
      <c r="J1483">
        <v>1</v>
      </c>
      <c r="K1483">
        <v>3</v>
      </c>
      <c r="L1483">
        <v>2</v>
      </c>
      <c r="M1483">
        <v>2</v>
      </c>
      <c r="N1483">
        <v>0</v>
      </c>
      <c r="O1483">
        <v>3</v>
      </c>
      <c r="P1483">
        <v>7</v>
      </c>
      <c r="Q1483">
        <v>0</v>
      </c>
      <c r="R1483">
        <v>0</v>
      </c>
      <c r="S1483">
        <v>0</v>
      </c>
      <c r="T1483">
        <v>0</v>
      </c>
      <c r="U1483">
        <v>0</v>
      </c>
      <c r="V1483">
        <f>IF(SUM(ifood_data[[#This Row],[AcceptedCmp1]:[AcceptedCmp5]])&gt;0,1,0)</f>
        <v>0</v>
      </c>
      <c r="W1483">
        <v>0</v>
      </c>
      <c r="X1483">
        <v>3</v>
      </c>
      <c r="Y1483">
        <v>11</v>
      </c>
      <c r="Z1483">
        <v>0</v>
      </c>
      <c r="AA1483">
        <v>47</v>
      </c>
      <c r="AB1483">
        <v>2213</v>
      </c>
      <c r="AC1483" s="28">
        <f>ifood_data[[#This Row],[Customer_Days]]/365</f>
        <v>6.0630136986301366</v>
      </c>
      <c r="AD1483">
        <v>0</v>
      </c>
      <c r="AE1483">
        <v>1</v>
      </c>
      <c r="AF1483">
        <v>0</v>
      </c>
      <c r="AG1483">
        <v>0</v>
      </c>
      <c r="AH1483">
        <v>0</v>
      </c>
      <c r="AI1483">
        <v>0</v>
      </c>
      <c r="AJ1483">
        <v>0</v>
      </c>
      <c r="AK1483">
        <v>0</v>
      </c>
      <c r="AL1483">
        <v>0</v>
      </c>
      <c r="AM1483">
        <v>1</v>
      </c>
      <c r="AN1483">
        <v>45</v>
      </c>
      <c r="AO1483">
        <v>42</v>
      </c>
      <c r="AP1483">
        <f>ifood_data[[#This Row],[MntTotal]]-ifood_data[[#This Row],[MntRegularProds]]</f>
        <v>3</v>
      </c>
      <c r="AQ1483">
        <v>0</v>
      </c>
      <c r="AR1483">
        <f>IF(SUM(ifood_data[[#This Row],[Kidhome]:[Teenhome]])&gt;0,1,0)</f>
        <v>1</v>
      </c>
      <c r="AS1483" t="str">
        <f>IF(SUM(ifood_data[[#This Row],[Kidhome]:[Teenhome]])&gt;0,"Has Family","No Family")</f>
        <v>Has Family</v>
      </c>
      <c r="AT1483" t="str">
        <f>IF(ifood_data[[#This Row],[marital_Married]]=1,"Married", (IF(ifood_data[[#This Row],[marital_Single]]=1,"Single",(IF(ifood_data[[#This Row],[marital_Divorced]]=1,"Divorced",(IF(ifood_data[[#This Row],[marital_Together]]=1,"Living Together",(IF(ifood_data[[#This Row],[marital_Widow]]=1,"Widow","Other")))))))))</f>
        <v>Married</v>
      </c>
      <c r="AU1483" t="str">
        <f>IF(ifood_data[[#This Row],[education_Basic]]=1,"High School",(IF(ifood_data[[#This Row],[education_Graduation]]=1,"Undergraduate Degree",(IF(SUM(AM1483,AL1483,AI1483)&gt;0,"Master's Degree or Higher","Other")))))</f>
        <v>Master's Degree or Higher</v>
      </c>
      <c r="AV1483" t="str">
        <f>IF(ifood_data[[#All],[Income]]&gt;75000,"75K+",(IF(ifood_data[[#All],[Income]]&gt;50000,"50K-75K",(IF(ifood_data[[#All],[Income]]&gt;35000,"35K-50K","&lt;35K")))))</f>
        <v>35K-50K</v>
      </c>
      <c r="AW1483" t="str">
        <f>IF(ifood_data[[#All],[Age]]&gt;60,"60+",(IF(ifood_data[[#All],[Age]]&gt;50,"50-60",(IF(ifood_data[[#All],[Age]]&gt;40,"40-50",(IF(ifood_data[[#All],[Age]]&gt;30,"30-40","&lt;30")))))))</f>
        <v>40-50</v>
      </c>
      <c r="AX1483">
        <f t="shared" si="92"/>
        <v>14</v>
      </c>
      <c r="AY1483">
        <f t="shared" si="93"/>
        <v>9</v>
      </c>
      <c r="AZ1483">
        <f t="shared" si="94"/>
        <v>2</v>
      </c>
      <c r="BA1483">
        <f t="shared" si="95"/>
        <v>2</v>
      </c>
      <c r="BB1483">
        <f>SUM(ifood_data[[#This Row],[Recency Score]:[Monetary Score]])</f>
        <v>13</v>
      </c>
      <c r="BC1483">
        <f>(_xlfn.PERCENTRANK.INC(ifood_data[[#All],[RFM]],ifood_data[[#This Row],[RFM]],1))*10</f>
        <v>3</v>
      </c>
      <c r="BD1483" t="str">
        <f>VLOOKUP(ifood_data[[#This Row],[RFM Score]],'RFM Analysis'!$A$3:$B$14,2,FALSE)</f>
        <v>At Risk</v>
      </c>
      <c r="BE1483">
        <f>'Regression Models'!$B$101+'Regression Models'!$B$102*ifood_data[[#This Row],[Income]]+'Regression Models'!$B$103*ifood_data[[#This Row],[Age]]+'Regression Models'!$B$104*ifood_data[[#This Row],[Family]]</f>
        <v>198.81879329444985</v>
      </c>
      <c r="BF1483" t="str">
        <f>IF(ifood_data[[#This Row],[AcceptedCmpOverall]]=1,"Campaign Respondent","Non-respondent")</f>
        <v>Non-respondent</v>
      </c>
    </row>
    <row r="1484" spans="1:58" x14ac:dyDescent="0.35">
      <c r="A1484">
        <v>1331</v>
      </c>
      <c r="B1484">
        <v>38741</v>
      </c>
      <c r="C1484">
        <v>1</v>
      </c>
      <c r="D1484">
        <v>1</v>
      </c>
      <c r="E1484">
        <v>60</v>
      </c>
      <c r="F1484">
        <v>7</v>
      </c>
      <c r="G1484">
        <v>10</v>
      </c>
      <c r="H1484">
        <v>17</v>
      </c>
      <c r="I1484">
        <v>8</v>
      </c>
      <c r="J1484">
        <v>6</v>
      </c>
      <c r="K1484">
        <v>13</v>
      </c>
      <c r="L1484">
        <v>2</v>
      </c>
      <c r="M1484">
        <v>2</v>
      </c>
      <c r="N1484">
        <v>0</v>
      </c>
      <c r="O1484">
        <v>3</v>
      </c>
      <c r="P1484">
        <v>7</v>
      </c>
      <c r="Q1484">
        <v>0</v>
      </c>
      <c r="R1484">
        <v>0</v>
      </c>
      <c r="S1484">
        <v>0</v>
      </c>
      <c r="T1484">
        <v>0</v>
      </c>
      <c r="U1484">
        <v>0</v>
      </c>
      <c r="V1484">
        <f>IF(SUM(ifood_data[[#This Row],[AcceptedCmp1]:[AcceptedCmp5]])&gt;0,1,0)</f>
        <v>0</v>
      </c>
      <c r="W1484">
        <v>0</v>
      </c>
      <c r="X1484">
        <v>3</v>
      </c>
      <c r="Y1484">
        <v>11</v>
      </c>
      <c r="Z1484">
        <v>0</v>
      </c>
      <c r="AA1484">
        <v>62</v>
      </c>
      <c r="AB1484">
        <v>2250</v>
      </c>
      <c r="AC1484" s="28">
        <f>ifood_data[[#This Row],[Customer_Days]]/365</f>
        <v>6.1643835616438354</v>
      </c>
      <c r="AD1484">
        <v>0</v>
      </c>
      <c r="AE1484">
        <v>0</v>
      </c>
      <c r="AF1484">
        <v>1</v>
      </c>
      <c r="AG1484">
        <v>0</v>
      </c>
      <c r="AH1484">
        <v>0</v>
      </c>
      <c r="AI1484">
        <v>1</v>
      </c>
      <c r="AJ1484">
        <v>0</v>
      </c>
      <c r="AK1484">
        <v>0</v>
      </c>
      <c r="AL1484">
        <v>0</v>
      </c>
      <c r="AM1484">
        <v>0</v>
      </c>
      <c r="AN1484">
        <v>48</v>
      </c>
      <c r="AO1484">
        <v>35</v>
      </c>
      <c r="AP1484">
        <f>ifood_data[[#This Row],[MntTotal]]-ifood_data[[#This Row],[MntRegularProds]]</f>
        <v>13</v>
      </c>
      <c r="AQ1484">
        <v>0</v>
      </c>
      <c r="AR1484">
        <f>IF(SUM(ifood_data[[#This Row],[Kidhome]:[Teenhome]])&gt;0,1,0)</f>
        <v>1</v>
      </c>
      <c r="AS1484" t="str">
        <f>IF(SUM(ifood_data[[#This Row],[Kidhome]:[Teenhome]])&gt;0,"Has Family","No Family")</f>
        <v>Has Family</v>
      </c>
      <c r="AT1484" t="str">
        <f>IF(ifood_data[[#This Row],[marital_Married]]=1,"Married", (IF(ifood_data[[#This Row],[marital_Single]]=1,"Single",(IF(ifood_data[[#This Row],[marital_Divorced]]=1,"Divorced",(IF(ifood_data[[#This Row],[marital_Together]]=1,"Living Together",(IF(ifood_data[[#This Row],[marital_Widow]]=1,"Widow","Other")))))))))</f>
        <v>Single</v>
      </c>
      <c r="AU1484" t="str">
        <f>IF(ifood_data[[#This Row],[education_Basic]]=1,"High School",(IF(ifood_data[[#This Row],[education_Graduation]]=1,"Undergraduate Degree",(IF(SUM(AM1484,AL1484,AI1484)&gt;0,"Master's Degree or Higher","Other")))))</f>
        <v>Master's Degree or Higher</v>
      </c>
      <c r="AV1484" t="str">
        <f>IF(ifood_data[[#All],[Income]]&gt;75000,"75K+",(IF(ifood_data[[#All],[Income]]&gt;50000,"50K-75K",(IF(ifood_data[[#All],[Income]]&gt;35000,"35K-50K","&lt;35K")))))</f>
        <v>35K-50K</v>
      </c>
      <c r="AW1484" t="str">
        <f>IF(ifood_data[[#All],[Age]]&gt;60,"60+",(IF(ifood_data[[#All],[Age]]&gt;50,"50-60",(IF(ifood_data[[#All],[Age]]&gt;40,"40-50",(IF(ifood_data[[#All],[Age]]&gt;30,"30-40","&lt;30")))))))</f>
        <v>60+</v>
      </c>
      <c r="AX1484">
        <f t="shared" si="92"/>
        <v>14</v>
      </c>
      <c r="AY1484">
        <f t="shared" si="93"/>
        <v>4</v>
      </c>
      <c r="AZ1484">
        <f t="shared" si="94"/>
        <v>2</v>
      </c>
      <c r="BA1484">
        <f t="shared" si="95"/>
        <v>2</v>
      </c>
      <c r="BB1484">
        <f>SUM(ifood_data[[#This Row],[Recency Score]:[Monetary Score]])</f>
        <v>8</v>
      </c>
      <c r="BC1484">
        <f>(_xlfn.PERCENTRANK.INC(ifood_data[[#All],[RFM]],ifood_data[[#This Row],[RFM]],1))*10</f>
        <v>1</v>
      </c>
      <c r="BD1484" t="str">
        <f>VLOOKUP(ifood_data[[#This Row],[RFM Score]],'RFM Analysis'!$A$3:$B$14,2,FALSE)</f>
        <v>At Risk</v>
      </c>
      <c r="BE1484">
        <f>'Regression Models'!$B$101+'Regression Models'!$B$102*ifood_data[[#This Row],[Income]]+'Regression Models'!$B$103*ifood_data[[#This Row],[Age]]+'Regression Models'!$B$104*ifood_data[[#This Row],[Family]]</f>
        <v>198.59315642386025</v>
      </c>
      <c r="BF1484" t="str">
        <f>IF(ifood_data[[#This Row],[AcceptedCmpOverall]]=1,"Campaign Respondent","Non-respondent")</f>
        <v>Non-respondent</v>
      </c>
    </row>
    <row r="1485" spans="1:58" x14ac:dyDescent="0.35">
      <c r="A1485">
        <v>647</v>
      </c>
      <c r="B1485">
        <v>38946</v>
      </c>
      <c r="C1485">
        <v>0</v>
      </c>
      <c r="D1485">
        <v>1</v>
      </c>
      <c r="E1485">
        <v>84</v>
      </c>
      <c r="F1485">
        <v>116</v>
      </c>
      <c r="G1485">
        <v>6</v>
      </c>
      <c r="H1485">
        <v>82</v>
      </c>
      <c r="I1485">
        <v>6</v>
      </c>
      <c r="J1485">
        <v>6</v>
      </c>
      <c r="K1485">
        <v>41</v>
      </c>
      <c r="L1485">
        <v>2</v>
      </c>
      <c r="M1485">
        <v>3</v>
      </c>
      <c r="N1485">
        <v>1</v>
      </c>
      <c r="O1485">
        <v>6</v>
      </c>
      <c r="P1485">
        <v>5</v>
      </c>
      <c r="Q1485">
        <v>0</v>
      </c>
      <c r="R1485">
        <v>0</v>
      </c>
      <c r="S1485">
        <v>0</v>
      </c>
      <c r="T1485">
        <v>0</v>
      </c>
      <c r="U1485">
        <v>0</v>
      </c>
      <c r="V1485">
        <f>IF(SUM(ifood_data[[#This Row],[AcceptedCmp1]:[AcceptedCmp5]])&gt;0,1,0)</f>
        <v>0</v>
      </c>
      <c r="W1485">
        <v>0</v>
      </c>
      <c r="X1485">
        <v>3</v>
      </c>
      <c r="Y1485">
        <v>11</v>
      </c>
      <c r="Z1485">
        <v>0</v>
      </c>
      <c r="AA1485">
        <v>65</v>
      </c>
      <c r="AB1485">
        <v>2407</v>
      </c>
      <c r="AC1485" s="28">
        <f>ifood_data[[#This Row],[Customer_Days]]/365</f>
        <v>6.5945205479452058</v>
      </c>
      <c r="AD1485">
        <v>0</v>
      </c>
      <c r="AE1485">
        <v>0</v>
      </c>
      <c r="AF1485">
        <v>0</v>
      </c>
      <c r="AG1485">
        <v>1</v>
      </c>
      <c r="AH1485">
        <v>0</v>
      </c>
      <c r="AI1485">
        <v>0</v>
      </c>
      <c r="AJ1485">
        <v>0</v>
      </c>
      <c r="AK1485">
        <v>1</v>
      </c>
      <c r="AL1485">
        <v>0</v>
      </c>
      <c r="AM1485">
        <v>0</v>
      </c>
      <c r="AN1485">
        <v>216</v>
      </c>
      <c r="AO1485">
        <v>175</v>
      </c>
      <c r="AP1485">
        <f>ifood_data[[#This Row],[MntTotal]]-ifood_data[[#This Row],[MntRegularProds]]</f>
        <v>41</v>
      </c>
      <c r="AQ1485">
        <v>0</v>
      </c>
      <c r="AR1485">
        <f>IF(SUM(ifood_data[[#This Row],[Kidhome]:[Teenhome]])&gt;0,1,0)</f>
        <v>1</v>
      </c>
      <c r="AS1485" t="str">
        <f>IF(SUM(ifood_data[[#This Row],[Kidhome]:[Teenhome]])&gt;0,"Has Family","No Family")</f>
        <v>Has Family</v>
      </c>
      <c r="AT1485" t="str">
        <f>IF(ifood_data[[#This Row],[marital_Married]]=1,"Married", (IF(ifood_data[[#This Row],[marital_Single]]=1,"Single",(IF(ifood_data[[#This Row],[marital_Divorced]]=1,"Divorced",(IF(ifood_data[[#This Row],[marital_Together]]=1,"Living Together",(IF(ifood_data[[#This Row],[marital_Widow]]=1,"Widow","Other")))))))))</f>
        <v>Living Together</v>
      </c>
      <c r="AU1485" t="str">
        <f>IF(ifood_data[[#This Row],[education_Basic]]=1,"High School",(IF(ifood_data[[#This Row],[education_Graduation]]=1,"Undergraduate Degree",(IF(SUM(AM1485,AL1485,AI1485)&gt;0,"Master's Degree or Higher","Other")))))</f>
        <v>Undergraduate Degree</v>
      </c>
      <c r="AV1485" t="str">
        <f>IF(ifood_data[[#All],[Income]]&gt;75000,"75K+",(IF(ifood_data[[#All],[Income]]&gt;50000,"50K-75K",(IF(ifood_data[[#All],[Income]]&gt;35000,"35K-50K","&lt;35K")))))</f>
        <v>35K-50K</v>
      </c>
      <c r="AW1485" t="str">
        <f>IF(ifood_data[[#All],[Age]]&gt;60,"60+",(IF(ifood_data[[#All],[Age]]&gt;50,"50-60",(IF(ifood_data[[#All],[Age]]&gt;40,"40-50",(IF(ifood_data[[#All],[Age]]&gt;30,"30-40","&lt;30")))))))</f>
        <v>60+</v>
      </c>
      <c r="AX1485">
        <f t="shared" si="92"/>
        <v>17</v>
      </c>
      <c r="AY1485">
        <f t="shared" si="93"/>
        <v>1.9999999999999996</v>
      </c>
      <c r="AZ1485">
        <f t="shared" si="94"/>
        <v>3</v>
      </c>
      <c r="BA1485">
        <f t="shared" si="95"/>
        <v>4</v>
      </c>
      <c r="BB1485">
        <f>SUM(ifood_data[[#This Row],[Recency Score]:[Monetary Score]])</f>
        <v>9</v>
      </c>
      <c r="BC1485">
        <f>(_xlfn.PERCENTRANK.INC(ifood_data[[#All],[RFM]],ifood_data[[#This Row],[RFM]],1))*10</f>
        <v>1</v>
      </c>
      <c r="BD1485" t="str">
        <f>VLOOKUP(ifood_data[[#This Row],[RFM Score]],'RFM Analysis'!$A$3:$B$14,2,FALSE)</f>
        <v>At Risk</v>
      </c>
      <c r="BE1485">
        <f>'Regression Models'!$B$101+'Regression Models'!$B$102*ifood_data[[#This Row],[Income]]+'Regression Models'!$B$103*ifood_data[[#This Row],[Age]]+'Regression Models'!$B$104*ifood_data[[#This Row],[Family]]</f>
        <v>197.26353665667671</v>
      </c>
      <c r="BF1485" t="str">
        <f>IF(ifood_data[[#This Row],[AcceptedCmpOverall]]=1,"Campaign Respondent","Non-respondent")</f>
        <v>Non-respondent</v>
      </c>
    </row>
    <row r="1486" spans="1:58" x14ac:dyDescent="0.35">
      <c r="A1486">
        <v>1804</v>
      </c>
      <c r="B1486">
        <v>36781</v>
      </c>
      <c r="C1486">
        <v>1</v>
      </c>
      <c r="D1486">
        <v>0</v>
      </c>
      <c r="E1486">
        <v>16</v>
      </c>
      <c r="F1486">
        <v>29</v>
      </c>
      <c r="G1486">
        <v>1</v>
      </c>
      <c r="H1486">
        <v>17</v>
      </c>
      <c r="I1486">
        <v>0</v>
      </c>
      <c r="J1486">
        <v>3</v>
      </c>
      <c r="K1486">
        <v>13</v>
      </c>
      <c r="L1486">
        <v>1</v>
      </c>
      <c r="M1486">
        <v>2</v>
      </c>
      <c r="N1486">
        <v>1</v>
      </c>
      <c r="O1486">
        <v>2</v>
      </c>
      <c r="P1486">
        <v>8</v>
      </c>
      <c r="Q1486">
        <v>0</v>
      </c>
      <c r="R1486">
        <v>0</v>
      </c>
      <c r="S1486">
        <v>0</v>
      </c>
      <c r="T1486">
        <v>0</v>
      </c>
      <c r="U1486">
        <v>0</v>
      </c>
      <c r="V1486">
        <f>IF(SUM(ifood_data[[#This Row],[AcceptedCmp1]:[AcceptedCmp5]])&gt;0,1,0)</f>
        <v>0</v>
      </c>
      <c r="W1486">
        <v>0</v>
      </c>
      <c r="X1486">
        <v>3</v>
      </c>
      <c r="Y1486">
        <v>11</v>
      </c>
      <c r="Z1486">
        <v>1</v>
      </c>
      <c r="AA1486">
        <v>41</v>
      </c>
      <c r="AB1486">
        <v>2239</v>
      </c>
      <c r="AC1486" s="28">
        <f>ifood_data[[#This Row],[Customer_Days]]/365</f>
        <v>6.1342465753424653</v>
      </c>
      <c r="AD1486">
        <v>0</v>
      </c>
      <c r="AE1486">
        <v>1</v>
      </c>
      <c r="AF1486">
        <v>0</v>
      </c>
      <c r="AG1486">
        <v>0</v>
      </c>
      <c r="AH1486">
        <v>0</v>
      </c>
      <c r="AI1486">
        <v>0</v>
      </c>
      <c r="AJ1486">
        <v>0</v>
      </c>
      <c r="AK1486">
        <v>1</v>
      </c>
      <c r="AL1486">
        <v>0</v>
      </c>
      <c r="AM1486">
        <v>0</v>
      </c>
      <c r="AN1486">
        <v>50</v>
      </c>
      <c r="AO1486">
        <v>37</v>
      </c>
      <c r="AP1486">
        <f>ifood_data[[#This Row],[MntTotal]]-ifood_data[[#This Row],[MntRegularProds]]</f>
        <v>13</v>
      </c>
      <c r="AQ1486">
        <v>0</v>
      </c>
      <c r="AR1486">
        <f>IF(SUM(ifood_data[[#This Row],[Kidhome]:[Teenhome]])&gt;0,1,0)</f>
        <v>1</v>
      </c>
      <c r="AS1486" t="str">
        <f>IF(SUM(ifood_data[[#This Row],[Kidhome]:[Teenhome]])&gt;0,"Has Family","No Family")</f>
        <v>Has Family</v>
      </c>
      <c r="AT1486" t="str">
        <f>IF(ifood_data[[#This Row],[marital_Married]]=1,"Married", (IF(ifood_data[[#This Row],[marital_Single]]=1,"Single",(IF(ifood_data[[#This Row],[marital_Divorced]]=1,"Divorced",(IF(ifood_data[[#This Row],[marital_Together]]=1,"Living Together",(IF(ifood_data[[#This Row],[marital_Widow]]=1,"Widow","Other")))))))))</f>
        <v>Married</v>
      </c>
      <c r="AU1486" t="str">
        <f>IF(ifood_data[[#This Row],[education_Basic]]=1,"High School",(IF(ifood_data[[#This Row],[education_Graduation]]=1,"Undergraduate Degree",(IF(SUM(AM1486,AL1486,AI1486)&gt;0,"Master's Degree or Higher","Other")))))</f>
        <v>Undergraduate Degree</v>
      </c>
      <c r="AV1486" t="str">
        <f>IF(ifood_data[[#All],[Income]]&gt;75000,"75K+",(IF(ifood_data[[#All],[Income]]&gt;50000,"50K-75K",(IF(ifood_data[[#All],[Income]]&gt;35000,"35K-50K","&lt;35K")))))</f>
        <v>35K-50K</v>
      </c>
      <c r="AW1486" t="str">
        <f>IF(ifood_data[[#All],[Age]]&gt;60,"60+",(IF(ifood_data[[#All],[Age]]&gt;50,"50-60",(IF(ifood_data[[#All],[Age]]&gt;40,"40-50",(IF(ifood_data[[#All],[Age]]&gt;30,"30-40","&lt;30")))))))</f>
        <v>40-50</v>
      </c>
      <c r="AX1486">
        <f t="shared" si="92"/>
        <v>14</v>
      </c>
      <c r="AY1486">
        <f t="shared" si="93"/>
        <v>9</v>
      </c>
      <c r="AZ1486">
        <f t="shared" si="94"/>
        <v>2</v>
      </c>
      <c r="BA1486">
        <f t="shared" si="95"/>
        <v>2</v>
      </c>
      <c r="BB1486">
        <f>SUM(ifood_data[[#This Row],[Recency Score]:[Monetary Score]])</f>
        <v>13</v>
      </c>
      <c r="BC1486">
        <f>(_xlfn.PERCENTRANK.INC(ifood_data[[#All],[RFM]],ifood_data[[#This Row],[RFM]],1))*10</f>
        <v>3</v>
      </c>
      <c r="BD1486" t="str">
        <f>VLOOKUP(ifood_data[[#This Row],[RFM Score]],'RFM Analysis'!$A$3:$B$14,2,FALSE)</f>
        <v>At Risk</v>
      </c>
      <c r="BE1486">
        <f>'Regression Models'!$B$101+'Regression Models'!$B$102*ifood_data[[#This Row],[Income]]+'Regression Models'!$B$103*ifood_data[[#This Row],[Age]]+'Regression Models'!$B$104*ifood_data[[#This Row],[Family]]</f>
        <v>197.19639151859815</v>
      </c>
      <c r="BF1486" t="str">
        <f>IF(ifood_data[[#This Row],[AcceptedCmpOverall]]=1,"Campaign Respondent","Non-respondent")</f>
        <v>Non-respondent</v>
      </c>
    </row>
    <row r="1487" spans="1:58" x14ac:dyDescent="0.35">
      <c r="A1487">
        <v>1388</v>
      </c>
      <c r="B1487">
        <v>35765</v>
      </c>
      <c r="C1487">
        <v>1</v>
      </c>
      <c r="D1487">
        <v>0</v>
      </c>
      <c r="E1487">
        <v>86</v>
      </c>
      <c r="F1487">
        <v>22</v>
      </c>
      <c r="G1487">
        <v>3</v>
      </c>
      <c r="H1487">
        <v>30</v>
      </c>
      <c r="I1487">
        <v>0</v>
      </c>
      <c r="J1487">
        <v>5</v>
      </c>
      <c r="K1487">
        <v>15</v>
      </c>
      <c r="L1487">
        <v>2</v>
      </c>
      <c r="M1487">
        <v>2</v>
      </c>
      <c r="N1487">
        <v>0</v>
      </c>
      <c r="O1487">
        <v>4</v>
      </c>
      <c r="P1487">
        <v>6</v>
      </c>
      <c r="Q1487">
        <v>0</v>
      </c>
      <c r="R1487">
        <v>0</v>
      </c>
      <c r="S1487">
        <v>0</v>
      </c>
      <c r="T1487">
        <v>0</v>
      </c>
      <c r="U1487">
        <v>0</v>
      </c>
      <c r="V1487">
        <f>IF(SUM(ifood_data[[#This Row],[AcceptedCmp1]:[AcceptedCmp5]])&gt;0,1,0)</f>
        <v>0</v>
      </c>
      <c r="W1487">
        <v>0</v>
      </c>
      <c r="X1487">
        <v>3</v>
      </c>
      <c r="Y1487">
        <v>11</v>
      </c>
      <c r="Z1487">
        <v>0</v>
      </c>
      <c r="AA1487">
        <v>30</v>
      </c>
      <c r="AB1487">
        <v>2359</v>
      </c>
      <c r="AC1487" s="28">
        <f>ifood_data[[#This Row],[Customer_Days]]/365</f>
        <v>6.463013698630137</v>
      </c>
      <c r="AD1487">
        <v>0</v>
      </c>
      <c r="AE1487">
        <v>1</v>
      </c>
      <c r="AF1487">
        <v>0</v>
      </c>
      <c r="AG1487">
        <v>0</v>
      </c>
      <c r="AH1487">
        <v>0</v>
      </c>
      <c r="AI1487">
        <v>0</v>
      </c>
      <c r="AJ1487">
        <v>0</v>
      </c>
      <c r="AK1487">
        <v>1</v>
      </c>
      <c r="AL1487">
        <v>0</v>
      </c>
      <c r="AM1487">
        <v>0</v>
      </c>
      <c r="AN1487">
        <v>60</v>
      </c>
      <c r="AO1487">
        <v>45</v>
      </c>
      <c r="AP1487">
        <f>ifood_data[[#This Row],[MntTotal]]-ifood_data[[#This Row],[MntRegularProds]]</f>
        <v>15</v>
      </c>
      <c r="AQ1487">
        <v>0</v>
      </c>
      <c r="AR1487">
        <f>IF(SUM(ifood_data[[#This Row],[Kidhome]:[Teenhome]])&gt;0,1,0)</f>
        <v>1</v>
      </c>
      <c r="AS1487" t="str">
        <f>IF(SUM(ifood_data[[#This Row],[Kidhome]:[Teenhome]])&gt;0,"Has Family","No Family")</f>
        <v>Has Family</v>
      </c>
      <c r="AT1487" t="str">
        <f>IF(ifood_data[[#This Row],[marital_Married]]=1,"Married", (IF(ifood_data[[#This Row],[marital_Single]]=1,"Single",(IF(ifood_data[[#This Row],[marital_Divorced]]=1,"Divorced",(IF(ifood_data[[#This Row],[marital_Together]]=1,"Living Together",(IF(ifood_data[[#This Row],[marital_Widow]]=1,"Widow","Other")))))))))</f>
        <v>Married</v>
      </c>
      <c r="AU1487" t="str">
        <f>IF(ifood_data[[#This Row],[education_Basic]]=1,"High School",(IF(ifood_data[[#This Row],[education_Graduation]]=1,"Undergraduate Degree",(IF(SUM(AM1487,AL1487,AI1487)&gt;0,"Master's Degree or Higher","Other")))))</f>
        <v>Undergraduate Degree</v>
      </c>
      <c r="AV1487" t="str">
        <f>IF(ifood_data[[#All],[Income]]&gt;75000,"75K+",(IF(ifood_data[[#All],[Income]]&gt;50000,"50K-75K",(IF(ifood_data[[#All],[Income]]&gt;35000,"35K-50K","&lt;35K")))))</f>
        <v>35K-50K</v>
      </c>
      <c r="AW1487" t="str">
        <f>IF(ifood_data[[#All],[Age]]&gt;60,"60+",(IF(ifood_data[[#All],[Age]]&gt;50,"50-60",(IF(ifood_data[[#All],[Age]]&gt;40,"40-50",(IF(ifood_data[[#All],[Age]]&gt;30,"30-40","&lt;30")))))))</f>
        <v>&lt;30</v>
      </c>
      <c r="AX1487">
        <f t="shared" si="92"/>
        <v>14</v>
      </c>
      <c r="AY1487">
        <f t="shared" si="93"/>
        <v>1.9999999999999996</v>
      </c>
      <c r="AZ1487">
        <f t="shared" si="94"/>
        <v>2</v>
      </c>
      <c r="BA1487">
        <f t="shared" si="95"/>
        <v>2</v>
      </c>
      <c r="BB1487">
        <f>SUM(ifood_data[[#This Row],[Recency Score]:[Monetary Score]])</f>
        <v>6</v>
      </c>
      <c r="BC1487">
        <f>(_xlfn.PERCENTRANK.INC(ifood_data[[#All],[RFM]],ifood_data[[#This Row],[RFM]],1))*10</f>
        <v>0</v>
      </c>
      <c r="BD1487" t="str">
        <f>VLOOKUP(ifood_data[[#This Row],[RFM Score]],'RFM Analysis'!$A$3:$B$14,2,FALSE)</f>
        <v>Lost</v>
      </c>
      <c r="BE1487">
        <f>'Regression Models'!$B$101+'Regression Models'!$B$102*ifood_data[[#This Row],[Income]]+'Regression Models'!$B$103*ifood_data[[#This Row],[Age]]+'Regression Models'!$B$104*ifood_data[[#This Row],[Family]]</f>
        <v>196.68223295223396</v>
      </c>
      <c r="BF1487" t="str">
        <f>IF(ifood_data[[#This Row],[AcceptedCmpOverall]]=1,"Campaign Respondent","Non-respondent")</f>
        <v>Non-respondent</v>
      </c>
    </row>
    <row r="1488" spans="1:58" x14ac:dyDescent="0.35">
      <c r="A1488">
        <v>984</v>
      </c>
      <c r="B1488">
        <v>38998</v>
      </c>
      <c r="C1488">
        <v>1</v>
      </c>
      <c r="D1488">
        <v>1</v>
      </c>
      <c r="E1488">
        <v>92</v>
      </c>
      <c r="F1488">
        <v>34</v>
      </c>
      <c r="G1488">
        <v>1</v>
      </c>
      <c r="H1488">
        <v>14</v>
      </c>
      <c r="I1488">
        <v>0</v>
      </c>
      <c r="J1488">
        <v>0</v>
      </c>
      <c r="K1488">
        <v>5</v>
      </c>
      <c r="L1488">
        <v>3</v>
      </c>
      <c r="M1488">
        <v>2</v>
      </c>
      <c r="N1488">
        <v>0</v>
      </c>
      <c r="O1488">
        <v>3</v>
      </c>
      <c r="P1488">
        <v>8</v>
      </c>
      <c r="Q1488">
        <v>0</v>
      </c>
      <c r="R1488">
        <v>0</v>
      </c>
      <c r="S1488">
        <v>0</v>
      </c>
      <c r="T1488">
        <v>0</v>
      </c>
      <c r="U1488">
        <v>0</v>
      </c>
      <c r="V1488">
        <f>IF(SUM(ifood_data[[#This Row],[AcceptedCmp1]:[AcceptedCmp5]])&gt;0,1,0)</f>
        <v>0</v>
      </c>
      <c r="W1488">
        <v>1</v>
      </c>
      <c r="X1488">
        <v>3</v>
      </c>
      <c r="Y1488">
        <v>11</v>
      </c>
      <c r="Z1488">
        <v>0</v>
      </c>
      <c r="AA1488">
        <v>66</v>
      </c>
      <c r="AB1488">
        <v>2762</v>
      </c>
      <c r="AC1488" s="28">
        <f>ifood_data[[#This Row],[Customer_Days]]/365</f>
        <v>7.5671232876712331</v>
      </c>
      <c r="AD1488">
        <v>0</v>
      </c>
      <c r="AE1488">
        <v>1</v>
      </c>
      <c r="AF1488">
        <v>0</v>
      </c>
      <c r="AG1488">
        <v>0</v>
      </c>
      <c r="AH1488">
        <v>0</v>
      </c>
      <c r="AI1488">
        <v>0</v>
      </c>
      <c r="AJ1488">
        <v>0</v>
      </c>
      <c r="AK1488">
        <v>1</v>
      </c>
      <c r="AL1488">
        <v>0</v>
      </c>
      <c r="AM1488">
        <v>0</v>
      </c>
      <c r="AN1488">
        <v>49</v>
      </c>
      <c r="AO1488">
        <v>44</v>
      </c>
      <c r="AP1488">
        <f>ifood_data[[#This Row],[MntTotal]]-ifood_data[[#This Row],[MntRegularProds]]</f>
        <v>5</v>
      </c>
      <c r="AQ1488">
        <v>0</v>
      </c>
      <c r="AR1488">
        <f>IF(SUM(ifood_data[[#This Row],[Kidhome]:[Teenhome]])&gt;0,1,0)</f>
        <v>1</v>
      </c>
      <c r="AS1488" t="str">
        <f>IF(SUM(ifood_data[[#This Row],[Kidhome]:[Teenhome]])&gt;0,"Has Family","No Family")</f>
        <v>Has Family</v>
      </c>
      <c r="AT1488" t="str">
        <f>IF(ifood_data[[#This Row],[marital_Married]]=1,"Married", (IF(ifood_data[[#This Row],[marital_Single]]=1,"Single",(IF(ifood_data[[#This Row],[marital_Divorced]]=1,"Divorced",(IF(ifood_data[[#This Row],[marital_Together]]=1,"Living Together",(IF(ifood_data[[#This Row],[marital_Widow]]=1,"Widow","Other")))))))))</f>
        <v>Married</v>
      </c>
      <c r="AU1488" t="str">
        <f>IF(ifood_data[[#This Row],[education_Basic]]=1,"High School",(IF(ifood_data[[#This Row],[education_Graduation]]=1,"Undergraduate Degree",(IF(SUM(AM1488,AL1488,AI1488)&gt;0,"Master's Degree or Higher","Other")))))</f>
        <v>Undergraduate Degree</v>
      </c>
      <c r="AV1488" t="str">
        <f>IF(ifood_data[[#All],[Income]]&gt;75000,"75K+",(IF(ifood_data[[#All],[Income]]&gt;50000,"50K-75K",(IF(ifood_data[[#All],[Income]]&gt;35000,"35K-50K","&lt;35K")))))</f>
        <v>35K-50K</v>
      </c>
      <c r="AW1488" t="str">
        <f>IF(ifood_data[[#All],[Age]]&gt;60,"60+",(IF(ifood_data[[#All],[Age]]&gt;50,"50-60",(IF(ifood_data[[#All],[Age]]&gt;40,"40-50",(IF(ifood_data[[#All],[Age]]&gt;30,"30-40","&lt;30")))))))</f>
        <v>60+</v>
      </c>
      <c r="AX1488">
        <f t="shared" si="92"/>
        <v>16</v>
      </c>
      <c r="AY1488">
        <f t="shared" si="93"/>
        <v>0.99999999999999978</v>
      </c>
      <c r="AZ1488">
        <f t="shared" si="94"/>
        <v>3</v>
      </c>
      <c r="BA1488">
        <f t="shared" si="95"/>
        <v>2</v>
      </c>
      <c r="BB1488">
        <f>SUM(ifood_data[[#This Row],[Recency Score]:[Monetary Score]])</f>
        <v>6</v>
      </c>
      <c r="BC1488">
        <f>(_xlfn.PERCENTRANK.INC(ifood_data[[#All],[RFM]],ifood_data[[#This Row],[RFM]],1))*10</f>
        <v>0</v>
      </c>
      <c r="BD1488" t="str">
        <f>VLOOKUP(ifood_data[[#This Row],[RFM Score]],'RFM Analysis'!$A$3:$B$14,2,FALSE)</f>
        <v>Lost</v>
      </c>
      <c r="BE1488">
        <f>'Regression Models'!$B$101+'Regression Models'!$B$102*ifood_data[[#This Row],[Income]]+'Regression Models'!$B$103*ifood_data[[#This Row],[Age]]+'Regression Models'!$B$104*ifood_data[[#This Row],[Family]]</f>
        <v>196.48731352126515</v>
      </c>
      <c r="BF1488" t="str">
        <f>IF(ifood_data[[#This Row],[AcceptedCmpOverall]]=1,"Campaign Respondent","Non-respondent")</f>
        <v>Non-respondent</v>
      </c>
    </row>
    <row r="1489" spans="1:58" x14ac:dyDescent="0.35">
      <c r="A1489">
        <v>1992</v>
      </c>
      <c r="B1489">
        <v>37085</v>
      </c>
      <c r="C1489">
        <v>1</v>
      </c>
      <c r="D1489">
        <v>1</v>
      </c>
      <c r="E1489">
        <v>65</v>
      </c>
      <c r="F1489">
        <v>39</v>
      </c>
      <c r="G1489">
        <v>1</v>
      </c>
      <c r="H1489">
        <v>16</v>
      </c>
      <c r="I1489">
        <v>2</v>
      </c>
      <c r="J1489">
        <v>0</v>
      </c>
      <c r="K1489">
        <v>3</v>
      </c>
      <c r="L1489">
        <v>4</v>
      </c>
      <c r="M1489">
        <v>3</v>
      </c>
      <c r="N1489">
        <v>0</v>
      </c>
      <c r="O1489">
        <v>3</v>
      </c>
      <c r="P1489">
        <v>8</v>
      </c>
      <c r="Q1489">
        <v>0</v>
      </c>
      <c r="R1489">
        <v>0</v>
      </c>
      <c r="S1489">
        <v>0</v>
      </c>
      <c r="T1489">
        <v>0</v>
      </c>
      <c r="U1489">
        <v>0</v>
      </c>
      <c r="V1489">
        <f>IF(SUM(ifood_data[[#This Row],[AcceptedCmp1]:[AcceptedCmp5]])&gt;0,1,0)</f>
        <v>0</v>
      </c>
      <c r="W1489">
        <v>0</v>
      </c>
      <c r="X1489">
        <v>3</v>
      </c>
      <c r="Y1489">
        <v>11</v>
      </c>
      <c r="Z1489">
        <v>0</v>
      </c>
      <c r="AA1489">
        <v>45</v>
      </c>
      <c r="AB1489">
        <v>2162</v>
      </c>
      <c r="AC1489" s="28">
        <f>ifood_data[[#This Row],[Customer_Days]]/365</f>
        <v>5.9232876712328766</v>
      </c>
      <c r="AD1489">
        <v>0</v>
      </c>
      <c r="AE1489">
        <v>1</v>
      </c>
      <c r="AF1489">
        <v>0</v>
      </c>
      <c r="AG1489">
        <v>0</v>
      </c>
      <c r="AH1489">
        <v>0</v>
      </c>
      <c r="AI1489">
        <v>0</v>
      </c>
      <c r="AJ1489">
        <v>0</v>
      </c>
      <c r="AK1489">
        <v>1</v>
      </c>
      <c r="AL1489">
        <v>0</v>
      </c>
      <c r="AM1489">
        <v>0</v>
      </c>
      <c r="AN1489">
        <v>58</v>
      </c>
      <c r="AO1489">
        <v>55</v>
      </c>
      <c r="AP1489">
        <f>ifood_data[[#This Row],[MntTotal]]-ifood_data[[#This Row],[MntRegularProds]]</f>
        <v>3</v>
      </c>
      <c r="AQ1489">
        <v>0</v>
      </c>
      <c r="AR1489">
        <f>IF(SUM(ifood_data[[#This Row],[Kidhome]:[Teenhome]])&gt;0,1,0)</f>
        <v>1</v>
      </c>
      <c r="AS1489" t="str">
        <f>IF(SUM(ifood_data[[#This Row],[Kidhome]:[Teenhome]])&gt;0,"Has Family","No Family")</f>
        <v>Has Family</v>
      </c>
      <c r="AT1489" t="str">
        <f>IF(ifood_data[[#This Row],[marital_Married]]=1,"Married", (IF(ifood_data[[#This Row],[marital_Single]]=1,"Single",(IF(ifood_data[[#This Row],[marital_Divorced]]=1,"Divorced",(IF(ifood_data[[#This Row],[marital_Together]]=1,"Living Together",(IF(ifood_data[[#This Row],[marital_Widow]]=1,"Widow","Other")))))))))</f>
        <v>Married</v>
      </c>
      <c r="AU1489" t="str">
        <f>IF(ifood_data[[#This Row],[education_Basic]]=1,"High School",(IF(ifood_data[[#This Row],[education_Graduation]]=1,"Undergraduate Degree",(IF(SUM(AM1489,AL1489,AI1489)&gt;0,"Master's Degree or Higher","Other")))))</f>
        <v>Undergraduate Degree</v>
      </c>
      <c r="AV1489" t="str">
        <f>IF(ifood_data[[#All],[Income]]&gt;75000,"75K+",(IF(ifood_data[[#All],[Income]]&gt;50000,"50K-75K",(IF(ifood_data[[#All],[Income]]&gt;35000,"35K-50K","&lt;35K")))))</f>
        <v>35K-50K</v>
      </c>
      <c r="AW1489" t="str">
        <f>IF(ifood_data[[#All],[Age]]&gt;60,"60+",(IF(ifood_data[[#All],[Age]]&gt;50,"50-60",(IF(ifood_data[[#All],[Age]]&gt;40,"40-50",(IF(ifood_data[[#All],[Age]]&gt;30,"30-40","&lt;30")))))))</f>
        <v>40-50</v>
      </c>
      <c r="AX1489">
        <f t="shared" si="92"/>
        <v>18</v>
      </c>
      <c r="AY1489">
        <f t="shared" si="93"/>
        <v>4</v>
      </c>
      <c r="AZ1489">
        <f t="shared" si="94"/>
        <v>4</v>
      </c>
      <c r="BA1489">
        <f t="shared" si="95"/>
        <v>2</v>
      </c>
      <c r="BB1489">
        <f>SUM(ifood_data[[#This Row],[Recency Score]:[Monetary Score]])</f>
        <v>10</v>
      </c>
      <c r="BC1489">
        <f>(_xlfn.PERCENTRANK.INC(ifood_data[[#All],[RFM]],ifood_data[[#This Row],[RFM]],1))*10</f>
        <v>2</v>
      </c>
      <c r="BD1489" t="str">
        <f>VLOOKUP(ifood_data[[#This Row],[RFM Score]],'RFM Analysis'!$A$3:$B$14,2,FALSE)</f>
        <v>At Risk</v>
      </c>
      <c r="BE1489">
        <f>'Regression Models'!$B$101+'Regression Models'!$B$102*ifood_data[[#This Row],[Income]]+'Regression Models'!$B$103*ifood_data[[#This Row],[Age]]+'Regression Models'!$B$104*ifood_data[[#This Row],[Family]]</f>
        <v>196.04882071876636</v>
      </c>
      <c r="BF1489" t="str">
        <f>IF(ifood_data[[#This Row],[AcceptedCmpOverall]]=1,"Campaign Respondent","Non-respondent")</f>
        <v>Non-respondent</v>
      </c>
    </row>
    <row r="1490" spans="1:58" x14ac:dyDescent="0.35">
      <c r="A1490">
        <v>1736</v>
      </c>
      <c r="B1490">
        <v>22148</v>
      </c>
      <c r="C1490">
        <v>0</v>
      </c>
      <c r="D1490">
        <v>0</v>
      </c>
      <c r="E1490">
        <v>16</v>
      </c>
      <c r="F1490">
        <v>15</v>
      </c>
      <c r="G1490">
        <v>5</v>
      </c>
      <c r="H1490">
        <v>14</v>
      </c>
      <c r="I1490">
        <v>0</v>
      </c>
      <c r="J1490">
        <v>4</v>
      </c>
      <c r="K1490">
        <v>11</v>
      </c>
      <c r="L1490">
        <v>1</v>
      </c>
      <c r="M1490">
        <v>1</v>
      </c>
      <c r="N1490">
        <v>0</v>
      </c>
      <c r="O1490">
        <v>3</v>
      </c>
      <c r="P1490">
        <v>7</v>
      </c>
      <c r="Q1490">
        <v>0</v>
      </c>
      <c r="R1490">
        <v>0</v>
      </c>
      <c r="S1490">
        <v>0</v>
      </c>
      <c r="T1490">
        <v>0</v>
      </c>
      <c r="U1490">
        <v>0</v>
      </c>
      <c r="V1490">
        <f>IF(SUM(ifood_data[[#This Row],[AcceptedCmp1]:[AcceptedCmp5]])&gt;0,1,0)</f>
        <v>0</v>
      </c>
      <c r="W1490">
        <v>0</v>
      </c>
      <c r="X1490">
        <v>3</v>
      </c>
      <c r="Y1490">
        <v>11</v>
      </c>
      <c r="Z1490">
        <v>0</v>
      </c>
      <c r="AA1490">
        <v>37</v>
      </c>
      <c r="AB1490">
        <v>2236</v>
      </c>
      <c r="AC1490" s="28">
        <f>ifood_data[[#This Row],[Customer_Days]]/365</f>
        <v>6.1260273972602741</v>
      </c>
      <c r="AD1490">
        <v>0</v>
      </c>
      <c r="AE1490">
        <v>0</v>
      </c>
      <c r="AF1490">
        <v>1</v>
      </c>
      <c r="AG1490">
        <v>0</v>
      </c>
      <c r="AH1490">
        <v>0</v>
      </c>
      <c r="AI1490">
        <v>0</v>
      </c>
      <c r="AJ1490">
        <v>0</v>
      </c>
      <c r="AK1490">
        <v>1</v>
      </c>
      <c r="AL1490">
        <v>0</v>
      </c>
      <c r="AM1490">
        <v>0</v>
      </c>
      <c r="AN1490">
        <v>38</v>
      </c>
      <c r="AO1490">
        <v>27</v>
      </c>
      <c r="AP1490">
        <f>ifood_data[[#This Row],[MntTotal]]-ifood_data[[#This Row],[MntRegularProds]]</f>
        <v>11</v>
      </c>
      <c r="AQ1490">
        <v>0</v>
      </c>
      <c r="AR1490">
        <f>IF(SUM(ifood_data[[#This Row],[Kidhome]:[Teenhome]])&gt;0,1,0)</f>
        <v>0</v>
      </c>
      <c r="AS1490" t="str">
        <f>IF(SUM(ifood_data[[#This Row],[Kidhome]:[Teenhome]])&gt;0,"Has Family","No Family")</f>
        <v>No Family</v>
      </c>
      <c r="AT1490" t="str">
        <f>IF(ifood_data[[#This Row],[marital_Married]]=1,"Married", (IF(ifood_data[[#This Row],[marital_Single]]=1,"Single",(IF(ifood_data[[#This Row],[marital_Divorced]]=1,"Divorced",(IF(ifood_data[[#This Row],[marital_Together]]=1,"Living Together",(IF(ifood_data[[#This Row],[marital_Widow]]=1,"Widow","Other")))))))))</f>
        <v>Single</v>
      </c>
      <c r="AU1490" t="str">
        <f>IF(ifood_data[[#This Row],[education_Basic]]=1,"High School",(IF(ifood_data[[#This Row],[education_Graduation]]=1,"Undergraduate Degree",(IF(SUM(AM1490,AL1490,AI1490)&gt;0,"Master's Degree or Higher","Other")))))</f>
        <v>Undergraduate Degree</v>
      </c>
      <c r="AV1490" t="str">
        <f>IF(ifood_data[[#All],[Income]]&gt;75000,"75K+",(IF(ifood_data[[#All],[Income]]&gt;50000,"50K-75K",(IF(ifood_data[[#All],[Income]]&gt;35000,"35K-50K","&lt;35K")))))</f>
        <v>&lt;35K</v>
      </c>
      <c r="AW1490" t="str">
        <f>IF(ifood_data[[#All],[Age]]&gt;60,"60+",(IF(ifood_data[[#All],[Age]]&gt;50,"50-60",(IF(ifood_data[[#All],[Age]]&gt;40,"40-50",(IF(ifood_data[[#All],[Age]]&gt;30,"30-40","&lt;30")))))))</f>
        <v>30-40</v>
      </c>
      <c r="AX1490">
        <f t="shared" si="92"/>
        <v>12</v>
      </c>
      <c r="AY1490">
        <f t="shared" si="93"/>
        <v>9</v>
      </c>
      <c r="AZ1490">
        <f t="shared" si="94"/>
        <v>1</v>
      </c>
      <c r="BA1490">
        <f t="shared" si="95"/>
        <v>1</v>
      </c>
      <c r="BB1490">
        <f>SUM(ifood_data[[#This Row],[Recency Score]:[Monetary Score]])</f>
        <v>11</v>
      </c>
      <c r="BC1490">
        <f>(_xlfn.PERCENTRANK.INC(ifood_data[[#All],[RFM]],ifood_data[[#This Row],[RFM]],1))*10</f>
        <v>2</v>
      </c>
      <c r="BD1490" t="str">
        <f>VLOOKUP(ifood_data[[#This Row],[RFM Score]],'RFM Analysis'!$A$3:$B$14,2,FALSE)</f>
        <v>At Risk</v>
      </c>
      <c r="BE1490">
        <f>'Regression Models'!$B$101+'Regression Models'!$B$102*ifood_data[[#This Row],[Income]]+'Regression Models'!$B$103*ifood_data[[#This Row],[Age]]+'Regression Models'!$B$104*ifood_data[[#This Row],[Family]]</f>
        <v>195.80693465751824</v>
      </c>
      <c r="BF1490" t="str">
        <f>IF(ifood_data[[#This Row],[AcceptedCmpOverall]]=1,"Campaign Respondent","Non-respondent")</f>
        <v>Non-respondent</v>
      </c>
    </row>
    <row r="1491" spans="1:58" x14ac:dyDescent="0.35">
      <c r="A1491">
        <v>642</v>
      </c>
      <c r="B1491">
        <v>36145</v>
      </c>
      <c r="C1491">
        <v>1</v>
      </c>
      <c r="D1491">
        <v>0</v>
      </c>
      <c r="E1491">
        <v>13</v>
      </c>
      <c r="F1491">
        <v>56</v>
      </c>
      <c r="G1491">
        <v>4</v>
      </c>
      <c r="H1491">
        <v>76</v>
      </c>
      <c r="I1491">
        <v>17</v>
      </c>
      <c r="J1491">
        <v>1</v>
      </c>
      <c r="K1491">
        <v>18</v>
      </c>
      <c r="L1491">
        <v>4</v>
      </c>
      <c r="M1491">
        <v>4</v>
      </c>
      <c r="N1491">
        <v>1</v>
      </c>
      <c r="O1491">
        <v>3</v>
      </c>
      <c r="P1491">
        <v>9</v>
      </c>
      <c r="Q1491">
        <v>0</v>
      </c>
      <c r="R1491">
        <v>0</v>
      </c>
      <c r="S1491">
        <v>1</v>
      </c>
      <c r="T1491">
        <v>0</v>
      </c>
      <c r="U1491">
        <v>0</v>
      </c>
      <c r="V1491">
        <f>IF(SUM(ifood_data[[#This Row],[AcceptedCmp1]:[AcceptedCmp5]])&gt;0,1,0)</f>
        <v>1</v>
      </c>
      <c r="W1491">
        <v>0</v>
      </c>
      <c r="X1491">
        <v>3</v>
      </c>
      <c r="Y1491">
        <v>11</v>
      </c>
      <c r="Z1491">
        <v>1</v>
      </c>
      <c r="AA1491">
        <v>35</v>
      </c>
      <c r="AB1491">
        <v>2537</v>
      </c>
      <c r="AC1491" s="28">
        <f>ifood_data[[#This Row],[Customer_Days]]/365</f>
        <v>6.9506849315068493</v>
      </c>
      <c r="AD1491">
        <v>0</v>
      </c>
      <c r="AE1491">
        <v>1</v>
      </c>
      <c r="AF1491">
        <v>0</v>
      </c>
      <c r="AG1491">
        <v>0</v>
      </c>
      <c r="AH1491">
        <v>0</v>
      </c>
      <c r="AI1491">
        <v>1</v>
      </c>
      <c r="AJ1491">
        <v>0</v>
      </c>
      <c r="AK1491">
        <v>0</v>
      </c>
      <c r="AL1491">
        <v>0</v>
      </c>
      <c r="AM1491">
        <v>0</v>
      </c>
      <c r="AN1491">
        <v>154</v>
      </c>
      <c r="AO1491">
        <v>136</v>
      </c>
      <c r="AP1491">
        <f>ifood_data[[#This Row],[MntTotal]]-ifood_data[[#This Row],[MntRegularProds]]</f>
        <v>18</v>
      </c>
      <c r="AQ1491">
        <v>1</v>
      </c>
      <c r="AR1491">
        <f>IF(SUM(ifood_data[[#This Row],[Kidhome]:[Teenhome]])&gt;0,1,0)</f>
        <v>1</v>
      </c>
      <c r="AS1491" t="str">
        <f>IF(SUM(ifood_data[[#This Row],[Kidhome]:[Teenhome]])&gt;0,"Has Family","No Family")</f>
        <v>Has Family</v>
      </c>
      <c r="AT1491" t="str">
        <f>IF(ifood_data[[#This Row],[marital_Married]]=1,"Married", (IF(ifood_data[[#This Row],[marital_Single]]=1,"Single",(IF(ifood_data[[#This Row],[marital_Divorced]]=1,"Divorced",(IF(ifood_data[[#This Row],[marital_Together]]=1,"Living Together",(IF(ifood_data[[#This Row],[marital_Widow]]=1,"Widow","Other")))))))))</f>
        <v>Married</v>
      </c>
      <c r="AU1491" t="str">
        <f>IF(ifood_data[[#This Row],[education_Basic]]=1,"High School",(IF(ifood_data[[#This Row],[education_Graduation]]=1,"Undergraduate Degree",(IF(SUM(AM1491,AL1491,AI1491)&gt;0,"Master's Degree or Higher","Other")))))</f>
        <v>Master's Degree or Higher</v>
      </c>
      <c r="AV1491" t="str">
        <f>IF(ifood_data[[#All],[Income]]&gt;75000,"75K+",(IF(ifood_data[[#All],[Income]]&gt;50000,"50K-75K",(IF(ifood_data[[#All],[Income]]&gt;35000,"35K-50K","&lt;35K")))))</f>
        <v>35K-50K</v>
      </c>
      <c r="AW1491" t="str">
        <f>IF(ifood_data[[#All],[Age]]&gt;60,"60+",(IF(ifood_data[[#All],[Age]]&gt;50,"50-60",(IF(ifood_data[[#All],[Age]]&gt;40,"40-50",(IF(ifood_data[[#All],[Age]]&gt;30,"30-40","&lt;30")))))))</f>
        <v>30-40</v>
      </c>
      <c r="AX1491">
        <f t="shared" si="92"/>
        <v>21</v>
      </c>
      <c r="AY1491">
        <f t="shared" si="93"/>
        <v>9</v>
      </c>
      <c r="AZ1491">
        <f t="shared" si="94"/>
        <v>5</v>
      </c>
      <c r="BA1491">
        <f t="shared" si="95"/>
        <v>3</v>
      </c>
      <c r="BB1491">
        <f>SUM(ifood_data[[#This Row],[Recency Score]:[Monetary Score]])</f>
        <v>17</v>
      </c>
      <c r="BC1491">
        <f>(_xlfn.PERCENTRANK.INC(ifood_data[[#All],[RFM]],ifood_data[[#This Row],[RFM]],1))*10</f>
        <v>6</v>
      </c>
      <c r="BD1491" t="str">
        <f>VLOOKUP(ifood_data[[#This Row],[RFM Score]],'RFM Analysis'!$A$3:$B$14,2,FALSE)</f>
        <v>Promising</v>
      </c>
      <c r="BE1491">
        <f>'Regression Models'!$B$101+'Regression Models'!$B$102*ifood_data[[#This Row],[Income]]+'Regression Models'!$B$103*ifood_data[[#This Row],[Age]]+'Regression Models'!$B$104*ifood_data[[#This Row],[Family]]</f>
        <v>195.24776945244417</v>
      </c>
      <c r="BF1491" t="str">
        <f>IF(ifood_data[[#This Row],[AcceptedCmpOverall]]=1,"Campaign Respondent","Non-respondent")</f>
        <v>Campaign Respondent</v>
      </c>
    </row>
    <row r="1492" spans="1:58" x14ac:dyDescent="0.35">
      <c r="A1492">
        <v>850</v>
      </c>
      <c r="B1492">
        <v>37087</v>
      </c>
      <c r="C1492">
        <v>1</v>
      </c>
      <c r="D1492">
        <v>0</v>
      </c>
      <c r="E1492">
        <v>50</v>
      </c>
      <c r="F1492">
        <v>194</v>
      </c>
      <c r="G1492">
        <v>55</v>
      </c>
      <c r="H1492">
        <v>134</v>
      </c>
      <c r="I1492">
        <v>15</v>
      </c>
      <c r="J1492">
        <v>0</v>
      </c>
      <c r="K1492">
        <v>3</v>
      </c>
      <c r="L1492">
        <v>3</v>
      </c>
      <c r="M1492">
        <v>4</v>
      </c>
      <c r="N1492">
        <v>2</v>
      </c>
      <c r="O1492">
        <v>8</v>
      </c>
      <c r="P1492">
        <v>6</v>
      </c>
      <c r="Q1492">
        <v>0</v>
      </c>
      <c r="R1492">
        <v>0</v>
      </c>
      <c r="S1492">
        <v>0</v>
      </c>
      <c r="T1492">
        <v>0</v>
      </c>
      <c r="U1492">
        <v>0</v>
      </c>
      <c r="V1492">
        <f>IF(SUM(ifood_data[[#This Row],[AcceptedCmp1]:[AcceptedCmp5]])&gt;0,1,0)</f>
        <v>0</v>
      </c>
      <c r="W1492">
        <v>0</v>
      </c>
      <c r="X1492">
        <v>3</v>
      </c>
      <c r="Y1492">
        <v>11</v>
      </c>
      <c r="Z1492">
        <v>0</v>
      </c>
      <c r="AA1492">
        <v>46</v>
      </c>
      <c r="AB1492">
        <v>2481</v>
      </c>
      <c r="AC1492" s="28">
        <f>ifood_data[[#This Row],[Customer_Days]]/365</f>
        <v>6.7972602739726025</v>
      </c>
      <c r="AD1492">
        <v>0</v>
      </c>
      <c r="AE1492">
        <v>1</v>
      </c>
      <c r="AF1492">
        <v>0</v>
      </c>
      <c r="AG1492">
        <v>0</v>
      </c>
      <c r="AH1492">
        <v>0</v>
      </c>
      <c r="AI1492">
        <v>0</v>
      </c>
      <c r="AJ1492">
        <v>0</v>
      </c>
      <c r="AK1492">
        <v>0</v>
      </c>
      <c r="AL1492">
        <v>0</v>
      </c>
      <c r="AM1492">
        <v>1</v>
      </c>
      <c r="AN1492">
        <v>398</v>
      </c>
      <c r="AO1492">
        <v>395</v>
      </c>
      <c r="AP1492">
        <f>ifood_data[[#This Row],[MntTotal]]-ifood_data[[#This Row],[MntRegularProds]]</f>
        <v>3</v>
      </c>
      <c r="AQ1492">
        <v>0</v>
      </c>
      <c r="AR1492">
        <f>IF(SUM(ifood_data[[#This Row],[Kidhome]:[Teenhome]])&gt;0,1,0)</f>
        <v>1</v>
      </c>
      <c r="AS1492" t="str">
        <f>IF(SUM(ifood_data[[#This Row],[Kidhome]:[Teenhome]])&gt;0,"Has Family","No Family")</f>
        <v>Has Family</v>
      </c>
      <c r="AT1492" t="str">
        <f>IF(ifood_data[[#This Row],[marital_Married]]=1,"Married", (IF(ifood_data[[#This Row],[marital_Single]]=1,"Single",(IF(ifood_data[[#This Row],[marital_Divorced]]=1,"Divorced",(IF(ifood_data[[#This Row],[marital_Together]]=1,"Living Together",(IF(ifood_data[[#This Row],[marital_Widow]]=1,"Widow","Other")))))))))</f>
        <v>Married</v>
      </c>
      <c r="AU1492" t="str">
        <f>IF(ifood_data[[#This Row],[education_Basic]]=1,"High School",(IF(ifood_data[[#This Row],[education_Graduation]]=1,"Undergraduate Degree",(IF(SUM(AM1492,AL1492,AI1492)&gt;0,"Master's Degree or Higher","Other")))))</f>
        <v>Master's Degree or Higher</v>
      </c>
      <c r="AV1492" t="str">
        <f>IF(ifood_data[[#All],[Income]]&gt;75000,"75K+",(IF(ifood_data[[#All],[Income]]&gt;50000,"50K-75K",(IF(ifood_data[[#All],[Income]]&gt;35000,"35K-50K","&lt;35K")))))</f>
        <v>35K-50K</v>
      </c>
      <c r="AW1492" t="str">
        <f>IF(ifood_data[[#All],[Age]]&gt;60,"60+",(IF(ifood_data[[#All],[Age]]&gt;50,"50-60",(IF(ifood_data[[#All],[Age]]&gt;40,"40-50",(IF(ifood_data[[#All],[Age]]&gt;30,"30-40","&lt;30")))))))</f>
        <v>40-50</v>
      </c>
      <c r="AX1492">
        <f t="shared" si="92"/>
        <v>23</v>
      </c>
      <c r="AY1492">
        <f t="shared" si="93"/>
        <v>5</v>
      </c>
      <c r="AZ1492">
        <f t="shared" si="94"/>
        <v>6</v>
      </c>
      <c r="BA1492">
        <f t="shared" si="95"/>
        <v>5</v>
      </c>
      <c r="BB1492">
        <f>SUM(ifood_data[[#This Row],[Recency Score]:[Monetary Score]])</f>
        <v>16</v>
      </c>
      <c r="BC1492">
        <f>(_xlfn.PERCENTRANK.INC(ifood_data[[#All],[RFM]],ifood_data[[#This Row],[RFM]],1))*10</f>
        <v>5</v>
      </c>
      <c r="BD1492" t="str">
        <f>VLOOKUP(ifood_data[[#This Row],[RFM Score]],'RFM Analysis'!$A$3:$B$14,2,FALSE)</f>
        <v>Promising</v>
      </c>
      <c r="BE1492">
        <f>'Regression Models'!$B$101+'Regression Models'!$B$102*ifood_data[[#This Row],[Income]]+'Regression Models'!$B$103*ifood_data[[#This Row],[Age]]+'Regression Models'!$B$104*ifood_data[[#This Row],[Family]]</f>
        <v>194.2531591761599</v>
      </c>
      <c r="BF1492" t="str">
        <f>IF(ifood_data[[#This Row],[AcceptedCmpOverall]]=1,"Campaign Respondent","Non-respondent")</f>
        <v>Non-respondent</v>
      </c>
    </row>
    <row r="1493" spans="1:58" x14ac:dyDescent="0.35">
      <c r="A1493">
        <v>562</v>
      </c>
      <c r="B1493">
        <v>24221</v>
      </c>
      <c r="C1493">
        <v>0</v>
      </c>
      <c r="D1493">
        <v>0</v>
      </c>
      <c r="E1493">
        <v>94</v>
      </c>
      <c r="F1493">
        <v>8</v>
      </c>
      <c r="G1493">
        <v>9</v>
      </c>
      <c r="H1493">
        <v>9</v>
      </c>
      <c r="I1493">
        <v>2</v>
      </c>
      <c r="J1493">
        <v>5</v>
      </c>
      <c r="K1493">
        <v>22</v>
      </c>
      <c r="L1493">
        <v>1</v>
      </c>
      <c r="M1493">
        <v>1</v>
      </c>
      <c r="N1493">
        <v>1</v>
      </c>
      <c r="O1493">
        <v>3</v>
      </c>
      <c r="P1493">
        <v>4</v>
      </c>
      <c r="Q1493">
        <v>0</v>
      </c>
      <c r="R1493">
        <v>0</v>
      </c>
      <c r="S1493">
        <v>0</v>
      </c>
      <c r="T1493">
        <v>0</v>
      </c>
      <c r="U1493">
        <v>0</v>
      </c>
      <c r="V1493">
        <f>IF(SUM(ifood_data[[#This Row],[AcceptedCmp1]:[AcceptedCmp5]])&gt;0,1,0)</f>
        <v>0</v>
      </c>
      <c r="W1493">
        <v>0</v>
      </c>
      <c r="X1493">
        <v>3</v>
      </c>
      <c r="Y1493">
        <v>11</v>
      </c>
      <c r="Z1493">
        <v>0</v>
      </c>
      <c r="AA1493">
        <v>61</v>
      </c>
      <c r="AB1493">
        <v>2472</v>
      </c>
      <c r="AC1493" s="28">
        <f>ifood_data[[#This Row],[Customer_Days]]/365</f>
        <v>6.7726027397260271</v>
      </c>
      <c r="AD1493">
        <v>0</v>
      </c>
      <c r="AE1493">
        <v>0</v>
      </c>
      <c r="AF1493">
        <v>0</v>
      </c>
      <c r="AG1493">
        <v>1</v>
      </c>
      <c r="AH1493">
        <v>0</v>
      </c>
      <c r="AI1493">
        <v>0</v>
      </c>
      <c r="AJ1493">
        <v>0</v>
      </c>
      <c r="AK1493">
        <v>1</v>
      </c>
      <c r="AL1493">
        <v>0</v>
      </c>
      <c r="AM1493">
        <v>0</v>
      </c>
      <c r="AN1493">
        <v>33</v>
      </c>
      <c r="AO1493">
        <v>11</v>
      </c>
      <c r="AP1493">
        <f>ifood_data[[#This Row],[MntTotal]]-ifood_data[[#This Row],[MntRegularProds]]</f>
        <v>22</v>
      </c>
      <c r="AQ1493">
        <v>0</v>
      </c>
      <c r="AR1493">
        <f>IF(SUM(ifood_data[[#This Row],[Kidhome]:[Teenhome]])&gt;0,1,0)</f>
        <v>0</v>
      </c>
      <c r="AS1493" t="str">
        <f>IF(SUM(ifood_data[[#This Row],[Kidhome]:[Teenhome]])&gt;0,"Has Family","No Family")</f>
        <v>No Family</v>
      </c>
      <c r="AT1493" t="str">
        <f>IF(ifood_data[[#This Row],[marital_Married]]=1,"Married", (IF(ifood_data[[#This Row],[marital_Single]]=1,"Single",(IF(ifood_data[[#This Row],[marital_Divorced]]=1,"Divorced",(IF(ifood_data[[#This Row],[marital_Together]]=1,"Living Together",(IF(ifood_data[[#This Row],[marital_Widow]]=1,"Widow","Other")))))))))</f>
        <v>Living Together</v>
      </c>
      <c r="AU1493" t="str">
        <f>IF(ifood_data[[#This Row],[education_Basic]]=1,"High School",(IF(ifood_data[[#This Row],[education_Graduation]]=1,"Undergraduate Degree",(IF(SUM(AM1493,AL1493,AI1493)&gt;0,"Master's Degree or Higher","Other")))))</f>
        <v>Undergraduate Degree</v>
      </c>
      <c r="AV1493" t="str">
        <f>IF(ifood_data[[#All],[Income]]&gt;75000,"75K+",(IF(ifood_data[[#All],[Income]]&gt;50000,"50K-75K",(IF(ifood_data[[#All],[Income]]&gt;35000,"35K-50K","&lt;35K")))))</f>
        <v>&lt;35K</v>
      </c>
      <c r="AW1493" t="str">
        <f>IF(ifood_data[[#All],[Age]]&gt;60,"60+",(IF(ifood_data[[#All],[Age]]&gt;50,"50-60",(IF(ifood_data[[#All],[Age]]&gt;40,"40-50",(IF(ifood_data[[#All],[Age]]&gt;30,"30-40","&lt;30")))))))</f>
        <v>60+</v>
      </c>
      <c r="AX1493">
        <f t="shared" si="92"/>
        <v>10</v>
      </c>
      <c r="AY1493">
        <f t="shared" si="93"/>
        <v>0.99999999999999978</v>
      </c>
      <c r="AZ1493">
        <f t="shared" si="94"/>
        <v>0</v>
      </c>
      <c r="BA1493">
        <f t="shared" si="95"/>
        <v>1</v>
      </c>
      <c r="BB1493">
        <f>SUM(ifood_data[[#This Row],[Recency Score]:[Monetary Score]])</f>
        <v>1.9999999999999998</v>
      </c>
      <c r="BC1493">
        <f>(_xlfn.PERCENTRANK.INC(ifood_data[[#All],[RFM]],ifood_data[[#This Row],[RFM]],1))*10</f>
        <v>0</v>
      </c>
      <c r="BD1493" t="str">
        <f>VLOOKUP(ifood_data[[#This Row],[RFM Score]],'RFM Analysis'!$A$3:$B$14,2,FALSE)</f>
        <v>Lost</v>
      </c>
      <c r="BE1493">
        <f>'Regression Models'!$B$101+'Regression Models'!$B$102*ifood_data[[#This Row],[Income]]+'Regression Models'!$B$103*ifood_data[[#This Row],[Age]]+'Regression Models'!$B$104*ifood_data[[#This Row],[Family]]</f>
        <v>193.99831312635803</v>
      </c>
      <c r="BF1493" t="str">
        <f>IF(ifood_data[[#This Row],[AcceptedCmpOverall]]=1,"Campaign Respondent","Non-respondent")</f>
        <v>Non-respondent</v>
      </c>
    </row>
    <row r="1494" spans="1:58" x14ac:dyDescent="0.35">
      <c r="A1494">
        <v>812</v>
      </c>
      <c r="B1494">
        <v>37758</v>
      </c>
      <c r="C1494">
        <v>1</v>
      </c>
      <c r="D1494">
        <v>1</v>
      </c>
      <c r="E1494">
        <v>49</v>
      </c>
      <c r="F1494">
        <v>27</v>
      </c>
      <c r="G1494">
        <v>2</v>
      </c>
      <c r="H1494">
        <v>10</v>
      </c>
      <c r="I1494">
        <v>0</v>
      </c>
      <c r="J1494">
        <v>0</v>
      </c>
      <c r="K1494">
        <v>1</v>
      </c>
      <c r="L1494">
        <v>2</v>
      </c>
      <c r="M1494">
        <v>1</v>
      </c>
      <c r="N1494">
        <v>0</v>
      </c>
      <c r="O1494">
        <v>3</v>
      </c>
      <c r="P1494">
        <v>8</v>
      </c>
      <c r="Q1494">
        <v>0</v>
      </c>
      <c r="R1494">
        <v>0</v>
      </c>
      <c r="S1494">
        <v>0</v>
      </c>
      <c r="T1494">
        <v>0</v>
      </c>
      <c r="U1494">
        <v>0</v>
      </c>
      <c r="V1494">
        <f>IF(SUM(ifood_data[[#This Row],[AcceptedCmp1]:[AcceptedCmp5]])&gt;0,1,0)</f>
        <v>0</v>
      </c>
      <c r="W1494">
        <v>0</v>
      </c>
      <c r="X1494">
        <v>3</v>
      </c>
      <c r="Y1494">
        <v>11</v>
      </c>
      <c r="Z1494">
        <v>0</v>
      </c>
      <c r="AA1494">
        <v>54</v>
      </c>
      <c r="AB1494">
        <v>2792</v>
      </c>
      <c r="AC1494" s="28">
        <f>ifood_data[[#This Row],[Customer_Days]]/365</f>
        <v>7.6493150684931503</v>
      </c>
      <c r="AD1494">
        <v>0</v>
      </c>
      <c r="AE1494">
        <v>0</v>
      </c>
      <c r="AF1494">
        <v>0</v>
      </c>
      <c r="AG1494">
        <v>1</v>
      </c>
      <c r="AH1494">
        <v>0</v>
      </c>
      <c r="AI1494">
        <v>0</v>
      </c>
      <c r="AJ1494">
        <v>0</v>
      </c>
      <c r="AK1494">
        <v>1</v>
      </c>
      <c r="AL1494">
        <v>0</v>
      </c>
      <c r="AM1494">
        <v>0</v>
      </c>
      <c r="AN1494">
        <v>39</v>
      </c>
      <c r="AO1494">
        <v>38</v>
      </c>
      <c r="AP1494">
        <f>ifood_data[[#This Row],[MntTotal]]-ifood_data[[#This Row],[MntRegularProds]]</f>
        <v>1</v>
      </c>
      <c r="AQ1494">
        <v>0</v>
      </c>
      <c r="AR1494">
        <f>IF(SUM(ifood_data[[#This Row],[Kidhome]:[Teenhome]])&gt;0,1,0)</f>
        <v>1</v>
      </c>
      <c r="AS1494" t="str">
        <f>IF(SUM(ifood_data[[#This Row],[Kidhome]:[Teenhome]])&gt;0,"Has Family","No Family")</f>
        <v>Has Family</v>
      </c>
      <c r="AT1494" t="str">
        <f>IF(ifood_data[[#This Row],[marital_Married]]=1,"Married", (IF(ifood_data[[#This Row],[marital_Single]]=1,"Single",(IF(ifood_data[[#This Row],[marital_Divorced]]=1,"Divorced",(IF(ifood_data[[#This Row],[marital_Together]]=1,"Living Together",(IF(ifood_data[[#This Row],[marital_Widow]]=1,"Widow","Other")))))))))</f>
        <v>Living Together</v>
      </c>
      <c r="AU1494" t="str">
        <f>IF(ifood_data[[#This Row],[education_Basic]]=1,"High School",(IF(ifood_data[[#This Row],[education_Graduation]]=1,"Undergraduate Degree",(IF(SUM(AM1494,AL1494,AI1494)&gt;0,"Master's Degree or Higher","Other")))))</f>
        <v>Undergraduate Degree</v>
      </c>
      <c r="AV1494" t="str">
        <f>IF(ifood_data[[#All],[Income]]&gt;75000,"75K+",(IF(ifood_data[[#All],[Income]]&gt;50000,"50K-75K",(IF(ifood_data[[#All],[Income]]&gt;35000,"35K-50K","&lt;35K")))))</f>
        <v>35K-50K</v>
      </c>
      <c r="AW1494" t="str">
        <f>IF(ifood_data[[#All],[Age]]&gt;60,"60+",(IF(ifood_data[[#All],[Age]]&gt;50,"50-60",(IF(ifood_data[[#All],[Age]]&gt;40,"40-50",(IF(ifood_data[[#All],[Age]]&gt;30,"30-40","&lt;30")))))))</f>
        <v>50-60</v>
      </c>
      <c r="AX1494">
        <f t="shared" si="92"/>
        <v>14</v>
      </c>
      <c r="AY1494">
        <f t="shared" si="93"/>
        <v>6</v>
      </c>
      <c r="AZ1494">
        <f t="shared" si="94"/>
        <v>2</v>
      </c>
      <c r="BA1494">
        <f t="shared" si="95"/>
        <v>1</v>
      </c>
      <c r="BB1494">
        <f>SUM(ifood_data[[#This Row],[Recency Score]:[Monetary Score]])</f>
        <v>9</v>
      </c>
      <c r="BC1494">
        <f>(_xlfn.PERCENTRANK.INC(ifood_data[[#All],[RFM]],ifood_data[[#This Row],[RFM]],1))*10</f>
        <v>1</v>
      </c>
      <c r="BD1494" t="str">
        <f>VLOOKUP(ifood_data[[#This Row],[RFM Score]],'RFM Analysis'!$A$3:$B$14,2,FALSE)</f>
        <v>At Risk</v>
      </c>
      <c r="BE1494">
        <f>'Regression Models'!$B$101+'Regression Models'!$B$102*ifood_data[[#This Row],[Income]]+'Regression Models'!$B$103*ifood_data[[#This Row],[Age]]+'Regression Models'!$B$104*ifood_data[[#This Row],[Family]]</f>
        <v>193.24250996956187</v>
      </c>
      <c r="BF1494" t="str">
        <f>IF(ifood_data[[#This Row],[AcceptedCmpOverall]]=1,"Campaign Respondent","Non-respondent")</f>
        <v>Non-respondent</v>
      </c>
    </row>
    <row r="1495" spans="1:58" x14ac:dyDescent="0.35">
      <c r="A1495">
        <v>1615</v>
      </c>
      <c r="B1495">
        <v>38725</v>
      </c>
      <c r="C1495">
        <v>1</v>
      </c>
      <c r="D1495">
        <v>1</v>
      </c>
      <c r="E1495">
        <v>52</v>
      </c>
      <c r="F1495">
        <v>31</v>
      </c>
      <c r="G1495">
        <v>0</v>
      </c>
      <c r="H1495">
        <v>6</v>
      </c>
      <c r="I1495">
        <v>2</v>
      </c>
      <c r="J1495">
        <v>1</v>
      </c>
      <c r="K1495">
        <v>5</v>
      </c>
      <c r="L1495">
        <v>2</v>
      </c>
      <c r="M1495">
        <v>1</v>
      </c>
      <c r="N1495">
        <v>0</v>
      </c>
      <c r="O1495">
        <v>4</v>
      </c>
      <c r="P1495">
        <v>4</v>
      </c>
      <c r="Q1495">
        <v>0</v>
      </c>
      <c r="R1495">
        <v>0</v>
      </c>
      <c r="S1495">
        <v>0</v>
      </c>
      <c r="T1495">
        <v>0</v>
      </c>
      <c r="U1495">
        <v>0</v>
      </c>
      <c r="V1495">
        <f>IF(SUM(ifood_data[[#This Row],[AcceptedCmp1]:[AcceptedCmp5]])&gt;0,1,0)</f>
        <v>0</v>
      </c>
      <c r="W1495">
        <v>0</v>
      </c>
      <c r="X1495">
        <v>3</v>
      </c>
      <c r="Y1495">
        <v>11</v>
      </c>
      <c r="Z1495">
        <v>0</v>
      </c>
      <c r="AA1495">
        <v>65</v>
      </c>
      <c r="AB1495">
        <v>2209</v>
      </c>
      <c r="AC1495" s="28">
        <f>ifood_data[[#This Row],[Customer_Days]]/365</f>
        <v>6.0520547945205481</v>
      </c>
      <c r="AD1495">
        <v>0</v>
      </c>
      <c r="AE1495">
        <v>1</v>
      </c>
      <c r="AF1495">
        <v>0</v>
      </c>
      <c r="AG1495">
        <v>0</v>
      </c>
      <c r="AH1495">
        <v>0</v>
      </c>
      <c r="AI1495">
        <v>0</v>
      </c>
      <c r="AJ1495">
        <v>0</v>
      </c>
      <c r="AK1495">
        <v>0</v>
      </c>
      <c r="AL1495">
        <v>0</v>
      </c>
      <c r="AM1495">
        <v>1</v>
      </c>
      <c r="AN1495">
        <v>40</v>
      </c>
      <c r="AO1495">
        <v>35</v>
      </c>
      <c r="AP1495">
        <f>ifood_data[[#This Row],[MntTotal]]-ifood_data[[#This Row],[MntRegularProds]]</f>
        <v>5</v>
      </c>
      <c r="AQ1495">
        <v>0</v>
      </c>
      <c r="AR1495">
        <f>IF(SUM(ifood_data[[#This Row],[Kidhome]:[Teenhome]])&gt;0,1,0)</f>
        <v>1</v>
      </c>
      <c r="AS1495" t="str">
        <f>IF(SUM(ifood_data[[#This Row],[Kidhome]:[Teenhome]])&gt;0,"Has Family","No Family")</f>
        <v>Has Family</v>
      </c>
      <c r="AT1495" t="str">
        <f>IF(ifood_data[[#This Row],[marital_Married]]=1,"Married", (IF(ifood_data[[#This Row],[marital_Single]]=1,"Single",(IF(ifood_data[[#This Row],[marital_Divorced]]=1,"Divorced",(IF(ifood_data[[#This Row],[marital_Together]]=1,"Living Together",(IF(ifood_data[[#This Row],[marital_Widow]]=1,"Widow","Other")))))))))</f>
        <v>Married</v>
      </c>
      <c r="AU1495" t="str">
        <f>IF(ifood_data[[#This Row],[education_Basic]]=1,"High School",(IF(ifood_data[[#This Row],[education_Graduation]]=1,"Undergraduate Degree",(IF(SUM(AM1495,AL1495,AI1495)&gt;0,"Master's Degree or Higher","Other")))))</f>
        <v>Master's Degree or Higher</v>
      </c>
      <c r="AV1495" t="str">
        <f>IF(ifood_data[[#All],[Income]]&gt;75000,"75K+",(IF(ifood_data[[#All],[Income]]&gt;50000,"50K-75K",(IF(ifood_data[[#All],[Income]]&gt;35000,"35K-50K","&lt;35K")))))</f>
        <v>35K-50K</v>
      </c>
      <c r="AW1495" t="str">
        <f>IF(ifood_data[[#All],[Age]]&gt;60,"60+",(IF(ifood_data[[#All],[Age]]&gt;50,"50-60",(IF(ifood_data[[#All],[Age]]&gt;40,"40-50",(IF(ifood_data[[#All],[Age]]&gt;30,"30-40","&lt;30")))))))</f>
        <v>60+</v>
      </c>
      <c r="AX1495">
        <f t="shared" si="92"/>
        <v>11</v>
      </c>
      <c r="AY1495">
        <f t="shared" si="93"/>
        <v>5</v>
      </c>
      <c r="AZ1495">
        <f t="shared" si="94"/>
        <v>0</v>
      </c>
      <c r="BA1495">
        <f t="shared" si="95"/>
        <v>1</v>
      </c>
      <c r="BB1495">
        <f>SUM(ifood_data[[#This Row],[Recency Score]:[Monetary Score]])</f>
        <v>6</v>
      </c>
      <c r="BC1495">
        <f>(_xlfn.PERCENTRANK.INC(ifood_data[[#All],[RFM]],ifood_data[[#This Row],[RFM]],1))*10</f>
        <v>0</v>
      </c>
      <c r="BD1495" t="str">
        <f>VLOOKUP(ifood_data[[#This Row],[RFM Score]],'RFM Analysis'!$A$3:$B$14,2,FALSE)</f>
        <v>Lost</v>
      </c>
      <c r="BE1495">
        <f>'Regression Models'!$B$101+'Regression Models'!$B$102*ifood_data[[#This Row],[Income]]+'Regression Models'!$B$103*ifood_data[[#This Row],[Age]]+'Regression Models'!$B$104*ifood_data[[#This Row],[Family]]</f>
        <v>192.75761889687499</v>
      </c>
      <c r="BF1495" t="str">
        <f>IF(ifood_data[[#This Row],[AcceptedCmpOverall]]=1,"Campaign Respondent","Non-respondent")</f>
        <v>Non-respondent</v>
      </c>
    </row>
    <row r="1496" spans="1:58" x14ac:dyDescent="0.35">
      <c r="A1496">
        <v>1474</v>
      </c>
      <c r="B1496">
        <v>36108</v>
      </c>
      <c r="C1496">
        <v>1</v>
      </c>
      <c r="D1496">
        <v>0</v>
      </c>
      <c r="E1496">
        <v>68</v>
      </c>
      <c r="F1496">
        <v>141</v>
      </c>
      <c r="G1496">
        <v>8</v>
      </c>
      <c r="H1496">
        <v>129</v>
      </c>
      <c r="I1496">
        <v>3</v>
      </c>
      <c r="J1496">
        <v>11</v>
      </c>
      <c r="K1496">
        <v>47</v>
      </c>
      <c r="L1496">
        <v>3</v>
      </c>
      <c r="M1496">
        <v>7</v>
      </c>
      <c r="N1496">
        <v>1</v>
      </c>
      <c r="O1496">
        <v>4</v>
      </c>
      <c r="P1496">
        <v>9</v>
      </c>
      <c r="Q1496">
        <v>0</v>
      </c>
      <c r="R1496">
        <v>0</v>
      </c>
      <c r="S1496">
        <v>1</v>
      </c>
      <c r="T1496">
        <v>0</v>
      </c>
      <c r="U1496">
        <v>0</v>
      </c>
      <c r="V1496">
        <f>IF(SUM(ifood_data[[#This Row],[AcceptedCmp1]:[AcceptedCmp5]])&gt;0,1,0)</f>
        <v>1</v>
      </c>
      <c r="W1496">
        <v>0</v>
      </c>
      <c r="X1496">
        <v>3</v>
      </c>
      <c r="Y1496">
        <v>11</v>
      </c>
      <c r="Z1496">
        <v>0</v>
      </c>
      <c r="AA1496">
        <v>36</v>
      </c>
      <c r="AB1496">
        <v>2416</v>
      </c>
      <c r="AC1496" s="28">
        <f>ifood_data[[#This Row],[Customer_Days]]/365</f>
        <v>6.6191780821917812</v>
      </c>
      <c r="AD1496">
        <v>0</v>
      </c>
      <c r="AE1496">
        <v>0</v>
      </c>
      <c r="AF1496">
        <v>1</v>
      </c>
      <c r="AG1496">
        <v>0</v>
      </c>
      <c r="AH1496">
        <v>0</v>
      </c>
      <c r="AI1496">
        <v>0</v>
      </c>
      <c r="AJ1496">
        <v>0</v>
      </c>
      <c r="AK1496">
        <v>1</v>
      </c>
      <c r="AL1496">
        <v>0</v>
      </c>
      <c r="AM1496">
        <v>0</v>
      </c>
      <c r="AN1496">
        <v>292</v>
      </c>
      <c r="AO1496">
        <v>245</v>
      </c>
      <c r="AP1496">
        <f>ifood_data[[#This Row],[MntTotal]]-ifood_data[[#This Row],[MntRegularProds]]</f>
        <v>47</v>
      </c>
      <c r="AQ1496">
        <v>1</v>
      </c>
      <c r="AR1496">
        <f>IF(SUM(ifood_data[[#This Row],[Kidhome]:[Teenhome]])&gt;0,1,0)</f>
        <v>1</v>
      </c>
      <c r="AS1496" t="str">
        <f>IF(SUM(ifood_data[[#This Row],[Kidhome]:[Teenhome]])&gt;0,"Has Family","No Family")</f>
        <v>Has Family</v>
      </c>
      <c r="AT1496" t="str">
        <f>IF(ifood_data[[#This Row],[marital_Married]]=1,"Married", (IF(ifood_data[[#This Row],[marital_Single]]=1,"Single",(IF(ifood_data[[#This Row],[marital_Divorced]]=1,"Divorced",(IF(ifood_data[[#This Row],[marital_Together]]=1,"Living Together",(IF(ifood_data[[#This Row],[marital_Widow]]=1,"Widow","Other")))))))))</f>
        <v>Single</v>
      </c>
      <c r="AU1496" t="str">
        <f>IF(ifood_data[[#This Row],[education_Basic]]=1,"High School",(IF(ifood_data[[#This Row],[education_Graduation]]=1,"Undergraduate Degree",(IF(SUM(AM1496,AL1496,AI1496)&gt;0,"Master's Degree or Higher","Other")))))</f>
        <v>Undergraduate Degree</v>
      </c>
      <c r="AV1496" t="str">
        <f>IF(ifood_data[[#All],[Income]]&gt;75000,"75K+",(IF(ifood_data[[#All],[Income]]&gt;50000,"50K-75K",(IF(ifood_data[[#All],[Income]]&gt;35000,"35K-50K","&lt;35K")))))</f>
        <v>35K-50K</v>
      </c>
      <c r="AW1496" t="str">
        <f>IF(ifood_data[[#All],[Age]]&gt;60,"60+",(IF(ifood_data[[#All],[Age]]&gt;50,"50-60",(IF(ifood_data[[#All],[Age]]&gt;40,"40-50",(IF(ifood_data[[#All],[Age]]&gt;30,"30-40","&lt;30")))))))</f>
        <v>30-40</v>
      </c>
      <c r="AX1496">
        <f t="shared" si="92"/>
        <v>24</v>
      </c>
      <c r="AY1496">
        <f t="shared" si="93"/>
        <v>4</v>
      </c>
      <c r="AZ1496">
        <f t="shared" si="94"/>
        <v>6</v>
      </c>
      <c r="BA1496">
        <f t="shared" si="95"/>
        <v>4</v>
      </c>
      <c r="BB1496">
        <f>SUM(ifood_data[[#This Row],[Recency Score]:[Monetary Score]])</f>
        <v>14</v>
      </c>
      <c r="BC1496">
        <f>(_xlfn.PERCENTRANK.INC(ifood_data[[#All],[RFM]],ifood_data[[#This Row],[RFM]],1))*10</f>
        <v>4</v>
      </c>
      <c r="BD1496" t="str">
        <f>VLOOKUP(ifood_data[[#This Row],[RFM Score]],'RFM Analysis'!$A$3:$B$14,2,FALSE)</f>
        <v>At Risk</v>
      </c>
      <c r="BE1496">
        <f>'Regression Models'!$B$101+'Regression Models'!$B$102*ifood_data[[#This Row],[Income]]+'Regression Models'!$B$103*ifood_data[[#This Row],[Age]]+'Regression Models'!$B$104*ifood_data[[#This Row],[Family]]</f>
        <v>192.65694595222561</v>
      </c>
      <c r="BF1496" t="str">
        <f>IF(ifood_data[[#This Row],[AcceptedCmpOverall]]=1,"Campaign Respondent","Non-respondent")</f>
        <v>Campaign Respondent</v>
      </c>
    </row>
    <row r="1497" spans="1:58" x14ac:dyDescent="0.35">
      <c r="A1497">
        <v>1456</v>
      </c>
      <c r="B1497">
        <v>38201</v>
      </c>
      <c r="C1497">
        <v>0</v>
      </c>
      <c r="D1497">
        <v>1</v>
      </c>
      <c r="E1497">
        <v>19</v>
      </c>
      <c r="F1497">
        <v>233</v>
      </c>
      <c r="G1497">
        <v>0</v>
      </c>
      <c r="H1497">
        <v>23</v>
      </c>
      <c r="I1497">
        <v>0</v>
      </c>
      <c r="J1497">
        <v>0</v>
      </c>
      <c r="K1497">
        <v>12</v>
      </c>
      <c r="L1497">
        <v>4</v>
      </c>
      <c r="M1497">
        <v>5</v>
      </c>
      <c r="N1497">
        <v>1</v>
      </c>
      <c r="O1497">
        <v>5</v>
      </c>
      <c r="P1497">
        <v>8</v>
      </c>
      <c r="Q1497">
        <v>0</v>
      </c>
      <c r="R1497">
        <v>0</v>
      </c>
      <c r="S1497">
        <v>0</v>
      </c>
      <c r="T1497">
        <v>0</v>
      </c>
      <c r="U1497">
        <v>0</v>
      </c>
      <c r="V1497">
        <f>IF(SUM(ifood_data[[#This Row],[AcceptedCmp1]:[AcceptedCmp5]])&gt;0,1,0)</f>
        <v>0</v>
      </c>
      <c r="W1497">
        <v>0</v>
      </c>
      <c r="X1497">
        <v>3</v>
      </c>
      <c r="Y1497">
        <v>11</v>
      </c>
      <c r="Z1497">
        <v>0</v>
      </c>
      <c r="AA1497">
        <v>60</v>
      </c>
      <c r="AB1497">
        <v>2616</v>
      </c>
      <c r="AC1497" s="28">
        <f>ifood_data[[#This Row],[Customer_Days]]/365</f>
        <v>7.1671232876712327</v>
      </c>
      <c r="AD1497">
        <v>0</v>
      </c>
      <c r="AE1497">
        <v>0</v>
      </c>
      <c r="AF1497">
        <v>0</v>
      </c>
      <c r="AG1497">
        <v>1</v>
      </c>
      <c r="AH1497">
        <v>0</v>
      </c>
      <c r="AI1497">
        <v>0</v>
      </c>
      <c r="AJ1497">
        <v>0</v>
      </c>
      <c r="AK1497">
        <v>0</v>
      </c>
      <c r="AL1497">
        <v>0</v>
      </c>
      <c r="AM1497">
        <v>1</v>
      </c>
      <c r="AN1497">
        <v>256</v>
      </c>
      <c r="AO1497">
        <v>244</v>
      </c>
      <c r="AP1497">
        <f>ifood_data[[#This Row],[MntTotal]]-ifood_data[[#This Row],[MntRegularProds]]</f>
        <v>12</v>
      </c>
      <c r="AQ1497">
        <v>0</v>
      </c>
      <c r="AR1497">
        <f>IF(SUM(ifood_data[[#This Row],[Kidhome]:[Teenhome]])&gt;0,1,0)</f>
        <v>1</v>
      </c>
      <c r="AS1497" t="str">
        <f>IF(SUM(ifood_data[[#This Row],[Kidhome]:[Teenhome]])&gt;0,"Has Family","No Family")</f>
        <v>Has Family</v>
      </c>
      <c r="AT1497" t="str">
        <f>IF(ifood_data[[#This Row],[marital_Married]]=1,"Married", (IF(ifood_data[[#This Row],[marital_Single]]=1,"Single",(IF(ifood_data[[#This Row],[marital_Divorced]]=1,"Divorced",(IF(ifood_data[[#This Row],[marital_Together]]=1,"Living Together",(IF(ifood_data[[#This Row],[marital_Widow]]=1,"Widow","Other")))))))))</f>
        <v>Living Together</v>
      </c>
      <c r="AU1497" t="str">
        <f>IF(ifood_data[[#This Row],[education_Basic]]=1,"High School",(IF(ifood_data[[#This Row],[education_Graduation]]=1,"Undergraduate Degree",(IF(SUM(AM1497,AL1497,AI1497)&gt;0,"Master's Degree or Higher","Other")))))</f>
        <v>Master's Degree or Higher</v>
      </c>
      <c r="AV1497" t="str">
        <f>IF(ifood_data[[#All],[Income]]&gt;75000,"75K+",(IF(ifood_data[[#All],[Income]]&gt;50000,"50K-75K",(IF(ifood_data[[#All],[Income]]&gt;35000,"35K-50K","&lt;35K")))))</f>
        <v>35K-50K</v>
      </c>
      <c r="AW1497" t="str">
        <f>IF(ifood_data[[#All],[Age]]&gt;60,"60+",(IF(ifood_data[[#All],[Age]]&gt;50,"50-60",(IF(ifood_data[[#All],[Age]]&gt;40,"40-50",(IF(ifood_data[[#All],[Age]]&gt;30,"30-40","&lt;30")))))))</f>
        <v>50-60</v>
      </c>
      <c r="AX1497">
        <f t="shared" si="92"/>
        <v>23</v>
      </c>
      <c r="AY1497">
        <f t="shared" si="93"/>
        <v>9</v>
      </c>
      <c r="AZ1497">
        <f t="shared" si="94"/>
        <v>6</v>
      </c>
      <c r="BA1497">
        <f t="shared" si="95"/>
        <v>4</v>
      </c>
      <c r="BB1497">
        <f>SUM(ifood_data[[#This Row],[Recency Score]:[Monetary Score]])</f>
        <v>19</v>
      </c>
      <c r="BC1497">
        <f>(_xlfn.PERCENTRANK.INC(ifood_data[[#All],[RFM]],ifood_data[[#This Row],[RFM]],1))*10</f>
        <v>7</v>
      </c>
      <c r="BD1497" t="str">
        <f>VLOOKUP(ifood_data[[#This Row],[RFM Score]],'RFM Analysis'!$A$3:$B$14,2,FALSE)</f>
        <v>Loyal Customer</v>
      </c>
      <c r="BE1497">
        <f>'Regression Models'!$B$101+'Regression Models'!$B$102*ifood_data[[#This Row],[Income]]+'Regression Models'!$B$103*ifood_data[[#This Row],[Age]]+'Regression Models'!$B$104*ifood_data[[#This Row],[Family]]</f>
        <v>191.25609978394334</v>
      </c>
      <c r="BF1497" t="str">
        <f>IF(ifood_data[[#This Row],[AcceptedCmpOverall]]=1,"Campaign Respondent","Non-respondent")</f>
        <v>Non-respondent</v>
      </c>
    </row>
    <row r="1498" spans="1:58" x14ac:dyDescent="0.35">
      <c r="A1498">
        <v>166</v>
      </c>
      <c r="B1498">
        <v>38285</v>
      </c>
      <c r="C1498">
        <v>2</v>
      </c>
      <c r="D1498">
        <v>1</v>
      </c>
      <c r="E1498">
        <v>96</v>
      </c>
      <c r="F1498">
        <v>2</v>
      </c>
      <c r="G1498">
        <v>0</v>
      </c>
      <c r="H1498">
        <v>5</v>
      </c>
      <c r="I1498">
        <v>2</v>
      </c>
      <c r="J1498">
        <v>0</v>
      </c>
      <c r="K1498">
        <v>1</v>
      </c>
      <c r="L1498">
        <v>1</v>
      </c>
      <c r="M1498">
        <v>0</v>
      </c>
      <c r="N1498">
        <v>0</v>
      </c>
      <c r="O1498">
        <v>3</v>
      </c>
      <c r="P1498">
        <v>2</v>
      </c>
      <c r="Q1498">
        <v>0</v>
      </c>
      <c r="R1498">
        <v>0</v>
      </c>
      <c r="S1498">
        <v>0</v>
      </c>
      <c r="T1498">
        <v>0</v>
      </c>
      <c r="U1498">
        <v>0</v>
      </c>
      <c r="V1498">
        <f>IF(SUM(ifood_data[[#This Row],[AcceptedCmp1]:[AcceptedCmp5]])&gt;0,1,0)</f>
        <v>0</v>
      </c>
      <c r="W1498">
        <v>0</v>
      </c>
      <c r="X1498">
        <v>3</v>
      </c>
      <c r="Y1498">
        <v>11</v>
      </c>
      <c r="Z1498">
        <v>0</v>
      </c>
      <c r="AA1498">
        <v>61</v>
      </c>
      <c r="AB1498">
        <v>2164</v>
      </c>
      <c r="AC1498" s="28">
        <f>ifood_data[[#This Row],[Customer_Days]]/365</f>
        <v>5.9287671232876713</v>
      </c>
      <c r="AD1498">
        <v>0</v>
      </c>
      <c r="AE1498">
        <v>0</v>
      </c>
      <c r="AF1498">
        <v>0</v>
      </c>
      <c r="AG1498">
        <v>1</v>
      </c>
      <c r="AH1498">
        <v>0</v>
      </c>
      <c r="AI1498">
        <v>0</v>
      </c>
      <c r="AJ1498">
        <v>0</v>
      </c>
      <c r="AK1498">
        <v>1</v>
      </c>
      <c r="AL1498">
        <v>0</v>
      </c>
      <c r="AM1498">
        <v>0</v>
      </c>
      <c r="AN1498">
        <v>9</v>
      </c>
      <c r="AO1498">
        <v>8</v>
      </c>
      <c r="AP1498">
        <f>ifood_data[[#This Row],[MntTotal]]-ifood_data[[#This Row],[MntRegularProds]]</f>
        <v>1</v>
      </c>
      <c r="AQ1498">
        <v>0</v>
      </c>
      <c r="AR1498">
        <f>IF(SUM(ifood_data[[#This Row],[Kidhome]:[Teenhome]])&gt;0,1,0)</f>
        <v>1</v>
      </c>
      <c r="AS1498" t="str">
        <f>IF(SUM(ifood_data[[#This Row],[Kidhome]:[Teenhome]])&gt;0,"Has Family","No Family")</f>
        <v>Has Family</v>
      </c>
      <c r="AT1498" t="str">
        <f>IF(ifood_data[[#This Row],[marital_Married]]=1,"Married", (IF(ifood_data[[#This Row],[marital_Single]]=1,"Single",(IF(ifood_data[[#This Row],[marital_Divorced]]=1,"Divorced",(IF(ifood_data[[#This Row],[marital_Together]]=1,"Living Together",(IF(ifood_data[[#This Row],[marital_Widow]]=1,"Widow","Other")))))))))</f>
        <v>Living Together</v>
      </c>
      <c r="AU1498" t="str">
        <f>IF(ifood_data[[#This Row],[education_Basic]]=1,"High School",(IF(ifood_data[[#This Row],[education_Graduation]]=1,"Undergraduate Degree",(IF(SUM(AM1498,AL1498,AI1498)&gt;0,"Master's Degree or Higher","Other")))))</f>
        <v>Undergraduate Degree</v>
      </c>
      <c r="AV1498" t="str">
        <f>IF(ifood_data[[#All],[Income]]&gt;75000,"75K+",(IF(ifood_data[[#All],[Income]]&gt;50000,"50K-75K",(IF(ifood_data[[#All],[Income]]&gt;35000,"35K-50K","&lt;35K")))))</f>
        <v>35K-50K</v>
      </c>
      <c r="AW1498" t="str">
        <f>IF(ifood_data[[#All],[Age]]&gt;60,"60+",(IF(ifood_data[[#All],[Age]]&gt;50,"50-60",(IF(ifood_data[[#All],[Age]]&gt;40,"40-50",(IF(ifood_data[[#All],[Age]]&gt;30,"30-40","&lt;30")))))))</f>
        <v>60+</v>
      </c>
      <c r="AX1498">
        <f t="shared" si="92"/>
        <v>6</v>
      </c>
      <c r="AY1498">
        <f t="shared" si="93"/>
        <v>0.99999999999999978</v>
      </c>
      <c r="AZ1498">
        <f t="shared" si="94"/>
        <v>0</v>
      </c>
      <c r="BA1498">
        <f t="shared" si="95"/>
        <v>0</v>
      </c>
      <c r="BB1498">
        <f>SUM(ifood_data[[#This Row],[Recency Score]:[Monetary Score]])</f>
        <v>0.99999999999999978</v>
      </c>
      <c r="BC1498">
        <f>(_xlfn.PERCENTRANK.INC(ifood_data[[#All],[RFM]],ifood_data[[#This Row],[RFM]],1))*10</f>
        <v>0</v>
      </c>
      <c r="BD1498" t="str">
        <f>VLOOKUP(ifood_data[[#This Row],[RFM Score]],'RFM Analysis'!$A$3:$B$14,2,FALSE)</f>
        <v>Lost</v>
      </c>
      <c r="BE1498">
        <f>'Regression Models'!$B$101+'Regression Models'!$B$102*ifood_data[[#This Row],[Income]]+'Regression Models'!$B$103*ifood_data[[#This Row],[Age]]+'Regression Models'!$B$104*ifood_data[[#This Row],[Family]]</f>
        <v>191.13231722913667</v>
      </c>
      <c r="BF1498" t="str">
        <f>IF(ifood_data[[#This Row],[AcceptedCmpOverall]]=1,"Campaign Respondent","Non-respondent")</f>
        <v>Non-respondent</v>
      </c>
    </row>
    <row r="1499" spans="1:58" x14ac:dyDescent="0.35">
      <c r="A1499">
        <v>108</v>
      </c>
      <c r="B1499">
        <v>36550</v>
      </c>
      <c r="C1499">
        <v>1</v>
      </c>
      <c r="D1499">
        <v>0</v>
      </c>
      <c r="E1499">
        <v>74</v>
      </c>
      <c r="F1499">
        <v>47</v>
      </c>
      <c r="G1499">
        <v>90</v>
      </c>
      <c r="H1499">
        <v>94</v>
      </c>
      <c r="I1499">
        <v>123</v>
      </c>
      <c r="J1499">
        <v>103</v>
      </c>
      <c r="K1499">
        <v>120</v>
      </c>
      <c r="L1499">
        <v>5</v>
      </c>
      <c r="M1499">
        <v>9</v>
      </c>
      <c r="N1499">
        <v>1</v>
      </c>
      <c r="O1499">
        <v>5</v>
      </c>
      <c r="P1499">
        <v>9</v>
      </c>
      <c r="Q1499">
        <v>0</v>
      </c>
      <c r="R1499">
        <v>0</v>
      </c>
      <c r="S1499">
        <v>0</v>
      </c>
      <c r="T1499">
        <v>0</v>
      </c>
      <c r="U1499">
        <v>0</v>
      </c>
      <c r="V1499">
        <f>IF(SUM(ifood_data[[#This Row],[AcceptedCmp1]:[AcceptedCmp5]])&gt;0,1,0)</f>
        <v>0</v>
      </c>
      <c r="W1499">
        <v>0</v>
      </c>
      <c r="X1499">
        <v>3</v>
      </c>
      <c r="Y1499">
        <v>11</v>
      </c>
      <c r="Z1499">
        <v>0</v>
      </c>
      <c r="AA1499">
        <v>42</v>
      </c>
      <c r="AB1499">
        <v>2654</v>
      </c>
      <c r="AC1499" s="28">
        <f>ifood_data[[#This Row],[Customer_Days]]/365</f>
        <v>7.2712328767123289</v>
      </c>
      <c r="AD1499">
        <v>0</v>
      </c>
      <c r="AE1499">
        <v>1</v>
      </c>
      <c r="AF1499">
        <v>0</v>
      </c>
      <c r="AG1499">
        <v>0</v>
      </c>
      <c r="AH1499">
        <v>0</v>
      </c>
      <c r="AI1499">
        <v>1</v>
      </c>
      <c r="AJ1499">
        <v>0</v>
      </c>
      <c r="AK1499">
        <v>0</v>
      </c>
      <c r="AL1499">
        <v>0</v>
      </c>
      <c r="AM1499">
        <v>0</v>
      </c>
      <c r="AN1499">
        <v>457</v>
      </c>
      <c r="AO1499">
        <v>337</v>
      </c>
      <c r="AP1499">
        <f>ifood_data[[#This Row],[MntTotal]]-ifood_data[[#This Row],[MntRegularProds]]</f>
        <v>120</v>
      </c>
      <c r="AQ1499">
        <v>0</v>
      </c>
      <c r="AR1499">
        <f>IF(SUM(ifood_data[[#This Row],[Kidhome]:[Teenhome]])&gt;0,1,0)</f>
        <v>1</v>
      </c>
      <c r="AS1499" t="str">
        <f>IF(SUM(ifood_data[[#This Row],[Kidhome]:[Teenhome]])&gt;0,"Has Family","No Family")</f>
        <v>Has Family</v>
      </c>
      <c r="AT1499" t="str">
        <f>IF(ifood_data[[#This Row],[marital_Married]]=1,"Married", (IF(ifood_data[[#This Row],[marital_Single]]=1,"Single",(IF(ifood_data[[#This Row],[marital_Divorced]]=1,"Divorced",(IF(ifood_data[[#This Row],[marital_Together]]=1,"Living Together",(IF(ifood_data[[#This Row],[marital_Widow]]=1,"Widow","Other")))))))))</f>
        <v>Married</v>
      </c>
      <c r="AU1499" t="str">
        <f>IF(ifood_data[[#This Row],[education_Basic]]=1,"High School",(IF(ifood_data[[#This Row],[education_Graduation]]=1,"Undergraduate Degree",(IF(SUM(AM1499,AL1499,AI1499)&gt;0,"Master's Degree or Higher","Other")))))</f>
        <v>Master's Degree or Higher</v>
      </c>
      <c r="AV1499" t="str">
        <f>IF(ifood_data[[#All],[Income]]&gt;75000,"75K+",(IF(ifood_data[[#All],[Income]]&gt;50000,"50K-75K",(IF(ifood_data[[#All],[Income]]&gt;35000,"35K-50K","&lt;35K")))))</f>
        <v>35K-50K</v>
      </c>
      <c r="AW1499" t="str">
        <f>IF(ifood_data[[#All],[Age]]&gt;60,"60+",(IF(ifood_data[[#All],[Age]]&gt;50,"50-60",(IF(ifood_data[[#All],[Age]]&gt;40,"40-50",(IF(ifood_data[[#All],[Age]]&gt;30,"30-40","&lt;30")))))))</f>
        <v>40-50</v>
      </c>
      <c r="AX1499">
        <f t="shared" si="92"/>
        <v>29</v>
      </c>
      <c r="AY1499">
        <f t="shared" si="93"/>
        <v>3.0000000000000004</v>
      </c>
      <c r="AZ1499">
        <f t="shared" si="94"/>
        <v>8</v>
      </c>
      <c r="BA1499">
        <f t="shared" si="95"/>
        <v>5</v>
      </c>
      <c r="BB1499">
        <f>SUM(ifood_data[[#This Row],[Recency Score]:[Monetary Score]])</f>
        <v>16</v>
      </c>
      <c r="BC1499">
        <f>(_xlfn.PERCENTRANK.INC(ifood_data[[#All],[RFM]],ifood_data[[#This Row],[RFM]],1))*10</f>
        <v>5</v>
      </c>
      <c r="BD1499" t="str">
        <f>VLOOKUP(ifood_data[[#This Row],[RFM Score]],'RFM Analysis'!$A$3:$B$14,2,FALSE)</f>
        <v>Promising</v>
      </c>
      <c r="BE1499">
        <f>'Regression Models'!$B$101+'Regression Models'!$B$102*ifood_data[[#This Row],[Income]]+'Regression Models'!$B$103*ifood_data[[#This Row],[Age]]+'Regression Models'!$B$104*ifood_data[[#This Row],[Family]]</f>
        <v>190.65014699846324</v>
      </c>
      <c r="BF1499" t="str">
        <f>IF(ifood_data[[#This Row],[AcceptedCmpOverall]]=1,"Campaign Respondent","Non-respondent")</f>
        <v>Non-respondent</v>
      </c>
    </row>
    <row r="1500" spans="1:58" x14ac:dyDescent="0.35">
      <c r="A1500">
        <v>1638</v>
      </c>
      <c r="B1500">
        <v>36075</v>
      </c>
      <c r="C1500">
        <v>1</v>
      </c>
      <c r="D1500">
        <v>0</v>
      </c>
      <c r="E1500">
        <v>54</v>
      </c>
      <c r="F1500">
        <v>46</v>
      </c>
      <c r="G1500">
        <v>0</v>
      </c>
      <c r="H1500">
        <v>30</v>
      </c>
      <c r="I1500">
        <v>12</v>
      </c>
      <c r="J1500">
        <v>1</v>
      </c>
      <c r="K1500">
        <v>30</v>
      </c>
      <c r="L1500">
        <v>1</v>
      </c>
      <c r="M1500">
        <v>2</v>
      </c>
      <c r="N1500">
        <v>0</v>
      </c>
      <c r="O1500">
        <v>4</v>
      </c>
      <c r="P1500">
        <v>6</v>
      </c>
      <c r="Q1500">
        <v>0</v>
      </c>
      <c r="R1500">
        <v>0</v>
      </c>
      <c r="S1500">
        <v>0</v>
      </c>
      <c r="T1500">
        <v>0</v>
      </c>
      <c r="U1500">
        <v>0</v>
      </c>
      <c r="V1500">
        <f>IF(SUM(ifood_data[[#This Row],[AcceptedCmp1]:[AcceptedCmp5]])&gt;0,1,0)</f>
        <v>0</v>
      </c>
      <c r="W1500">
        <v>0</v>
      </c>
      <c r="X1500">
        <v>3</v>
      </c>
      <c r="Y1500">
        <v>11</v>
      </c>
      <c r="Z1500">
        <v>0</v>
      </c>
      <c r="AA1500">
        <v>37</v>
      </c>
      <c r="AB1500">
        <v>2361</v>
      </c>
      <c r="AC1500" s="28">
        <f>ifood_data[[#This Row],[Customer_Days]]/365</f>
        <v>6.4684931506849317</v>
      </c>
      <c r="AD1500">
        <v>0</v>
      </c>
      <c r="AE1500">
        <v>0</v>
      </c>
      <c r="AF1500">
        <v>0</v>
      </c>
      <c r="AG1500">
        <v>1</v>
      </c>
      <c r="AH1500">
        <v>0</v>
      </c>
      <c r="AI1500">
        <v>0</v>
      </c>
      <c r="AJ1500">
        <v>0</v>
      </c>
      <c r="AK1500">
        <v>1</v>
      </c>
      <c r="AL1500">
        <v>0</v>
      </c>
      <c r="AM1500">
        <v>0</v>
      </c>
      <c r="AN1500">
        <v>89</v>
      </c>
      <c r="AO1500">
        <v>59</v>
      </c>
      <c r="AP1500">
        <f>ifood_data[[#This Row],[MntTotal]]-ifood_data[[#This Row],[MntRegularProds]]</f>
        <v>30</v>
      </c>
      <c r="AQ1500">
        <v>0</v>
      </c>
      <c r="AR1500">
        <f>IF(SUM(ifood_data[[#This Row],[Kidhome]:[Teenhome]])&gt;0,1,0)</f>
        <v>1</v>
      </c>
      <c r="AS1500" t="str">
        <f>IF(SUM(ifood_data[[#This Row],[Kidhome]:[Teenhome]])&gt;0,"Has Family","No Family")</f>
        <v>Has Family</v>
      </c>
      <c r="AT1500" t="str">
        <f>IF(ifood_data[[#This Row],[marital_Married]]=1,"Married", (IF(ifood_data[[#This Row],[marital_Single]]=1,"Single",(IF(ifood_data[[#This Row],[marital_Divorced]]=1,"Divorced",(IF(ifood_data[[#This Row],[marital_Together]]=1,"Living Together",(IF(ifood_data[[#This Row],[marital_Widow]]=1,"Widow","Other")))))))))</f>
        <v>Living Together</v>
      </c>
      <c r="AU1500" t="str">
        <f>IF(ifood_data[[#This Row],[education_Basic]]=1,"High School",(IF(ifood_data[[#This Row],[education_Graduation]]=1,"Undergraduate Degree",(IF(SUM(AM1500,AL1500,AI1500)&gt;0,"Master's Degree or Higher","Other")))))</f>
        <v>Undergraduate Degree</v>
      </c>
      <c r="AV1500" t="str">
        <f>IF(ifood_data[[#All],[Income]]&gt;75000,"75K+",(IF(ifood_data[[#All],[Income]]&gt;50000,"50K-75K",(IF(ifood_data[[#All],[Income]]&gt;35000,"35K-50K","&lt;35K")))))</f>
        <v>35K-50K</v>
      </c>
      <c r="AW1500" t="str">
        <f>IF(ifood_data[[#All],[Age]]&gt;60,"60+",(IF(ifood_data[[#All],[Age]]&gt;50,"50-60",(IF(ifood_data[[#All],[Age]]&gt;40,"40-50",(IF(ifood_data[[#All],[Age]]&gt;30,"30-40","&lt;30")))))))</f>
        <v>30-40</v>
      </c>
      <c r="AX1500">
        <f t="shared" si="92"/>
        <v>13</v>
      </c>
      <c r="AY1500">
        <f t="shared" si="93"/>
        <v>5</v>
      </c>
      <c r="AZ1500">
        <f t="shared" si="94"/>
        <v>1</v>
      </c>
      <c r="BA1500">
        <f t="shared" si="95"/>
        <v>3</v>
      </c>
      <c r="BB1500">
        <f>SUM(ifood_data[[#This Row],[Recency Score]:[Monetary Score]])</f>
        <v>9</v>
      </c>
      <c r="BC1500">
        <f>(_xlfn.PERCENTRANK.INC(ifood_data[[#All],[RFM]],ifood_data[[#This Row],[RFM]],1))*10</f>
        <v>1</v>
      </c>
      <c r="BD1500" t="str">
        <f>VLOOKUP(ifood_data[[#This Row],[RFM Score]],'RFM Analysis'!$A$3:$B$14,2,FALSE)</f>
        <v>At Risk</v>
      </c>
      <c r="BE1500">
        <f>'Regression Models'!$B$101+'Regression Models'!$B$102*ifood_data[[#This Row],[Income]]+'Regression Models'!$B$103*ifood_data[[#This Row],[Age]]+'Regression Models'!$B$104*ifood_data[[#This Row],[Family]]</f>
        <v>190.14767752458266</v>
      </c>
      <c r="BF1500" t="str">
        <f>IF(ifood_data[[#This Row],[AcceptedCmpOverall]]=1,"Campaign Respondent","Non-respondent")</f>
        <v>Non-respondent</v>
      </c>
    </row>
    <row r="1501" spans="1:58" x14ac:dyDescent="0.35">
      <c r="A1501">
        <v>1865</v>
      </c>
      <c r="B1501">
        <v>37150</v>
      </c>
      <c r="C1501">
        <v>1</v>
      </c>
      <c r="D1501">
        <v>0</v>
      </c>
      <c r="E1501">
        <v>80</v>
      </c>
      <c r="F1501">
        <v>167</v>
      </c>
      <c r="G1501">
        <v>37</v>
      </c>
      <c r="H1501">
        <v>64</v>
      </c>
      <c r="I1501">
        <v>49</v>
      </c>
      <c r="J1501">
        <v>34</v>
      </c>
      <c r="K1501">
        <v>116</v>
      </c>
      <c r="L1501">
        <v>8</v>
      </c>
      <c r="M1501">
        <v>4</v>
      </c>
      <c r="N1501">
        <v>3</v>
      </c>
      <c r="O1501">
        <v>6</v>
      </c>
      <c r="P1501">
        <v>7</v>
      </c>
      <c r="Q1501">
        <v>0</v>
      </c>
      <c r="R1501">
        <v>0</v>
      </c>
      <c r="S1501">
        <v>0</v>
      </c>
      <c r="T1501">
        <v>0</v>
      </c>
      <c r="U1501">
        <v>0</v>
      </c>
      <c r="V1501">
        <f>IF(SUM(ifood_data[[#This Row],[AcceptedCmp1]:[AcceptedCmp5]])&gt;0,1,0)</f>
        <v>0</v>
      </c>
      <c r="W1501">
        <v>0</v>
      </c>
      <c r="X1501">
        <v>3</v>
      </c>
      <c r="Y1501">
        <v>11</v>
      </c>
      <c r="Z1501">
        <v>0</v>
      </c>
      <c r="AA1501">
        <v>49</v>
      </c>
      <c r="AB1501">
        <v>2815</v>
      </c>
      <c r="AC1501" s="28">
        <f>ifood_data[[#This Row],[Customer_Days]]/365</f>
        <v>7.7123287671232879</v>
      </c>
      <c r="AD1501">
        <v>0</v>
      </c>
      <c r="AE1501">
        <v>1</v>
      </c>
      <c r="AF1501">
        <v>0</v>
      </c>
      <c r="AG1501">
        <v>0</v>
      </c>
      <c r="AH1501">
        <v>0</v>
      </c>
      <c r="AI1501">
        <v>0</v>
      </c>
      <c r="AJ1501">
        <v>0</v>
      </c>
      <c r="AK1501">
        <v>1</v>
      </c>
      <c r="AL1501">
        <v>0</v>
      </c>
      <c r="AM1501">
        <v>0</v>
      </c>
      <c r="AN1501">
        <v>351</v>
      </c>
      <c r="AO1501">
        <v>235</v>
      </c>
      <c r="AP1501">
        <f>ifood_data[[#This Row],[MntTotal]]-ifood_data[[#This Row],[MntRegularProds]]</f>
        <v>116</v>
      </c>
      <c r="AQ1501">
        <v>0</v>
      </c>
      <c r="AR1501">
        <f>IF(SUM(ifood_data[[#This Row],[Kidhome]:[Teenhome]])&gt;0,1,0)</f>
        <v>1</v>
      </c>
      <c r="AS1501" t="str">
        <f>IF(SUM(ifood_data[[#This Row],[Kidhome]:[Teenhome]])&gt;0,"Has Family","No Family")</f>
        <v>Has Family</v>
      </c>
      <c r="AT1501" t="str">
        <f>IF(ifood_data[[#This Row],[marital_Married]]=1,"Married", (IF(ifood_data[[#This Row],[marital_Single]]=1,"Single",(IF(ifood_data[[#This Row],[marital_Divorced]]=1,"Divorced",(IF(ifood_data[[#This Row],[marital_Together]]=1,"Living Together",(IF(ifood_data[[#This Row],[marital_Widow]]=1,"Widow","Other")))))))))</f>
        <v>Married</v>
      </c>
      <c r="AU1501" t="str">
        <f>IF(ifood_data[[#This Row],[education_Basic]]=1,"High School",(IF(ifood_data[[#This Row],[education_Graduation]]=1,"Undergraduate Degree",(IF(SUM(AM1501,AL1501,AI1501)&gt;0,"Master's Degree or Higher","Other")))))</f>
        <v>Undergraduate Degree</v>
      </c>
      <c r="AV1501" t="str">
        <f>IF(ifood_data[[#All],[Income]]&gt;75000,"75K+",(IF(ifood_data[[#All],[Income]]&gt;50000,"50K-75K",(IF(ifood_data[[#All],[Income]]&gt;35000,"35K-50K","&lt;35K")))))</f>
        <v>35K-50K</v>
      </c>
      <c r="AW1501" t="str">
        <f>IF(ifood_data[[#All],[Age]]&gt;60,"60+",(IF(ifood_data[[#All],[Age]]&gt;50,"50-60",(IF(ifood_data[[#All],[Age]]&gt;40,"40-50",(IF(ifood_data[[#All],[Age]]&gt;30,"30-40","&lt;30")))))))</f>
        <v>40-50</v>
      </c>
      <c r="AX1501">
        <f t="shared" si="92"/>
        <v>28</v>
      </c>
      <c r="AY1501">
        <f t="shared" si="93"/>
        <v>1.9999999999999996</v>
      </c>
      <c r="AZ1501">
        <f t="shared" si="94"/>
        <v>8</v>
      </c>
      <c r="BA1501">
        <f t="shared" si="95"/>
        <v>5</v>
      </c>
      <c r="BB1501">
        <f>SUM(ifood_data[[#This Row],[Recency Score]:[Monetary Score]])</f>
        <v>15</v>
      </c>
      <c r="BC1501">
        <f>(_xlfn.PERCENTRANK.INC(ifood_data[[#All],[RFM]],ifood_data[[#This Row],[RFM]],1))*10</f>
        <v>4</v>
      </c>
      <c r="BD1501" t="str">
        <f>VLOOKUP(ifood_data[[#This Row],[RFM Score]],'RFM Analysis'!$A$3:$B$14,2,FALSE)</f>
        <v>At Risk</v>
      </c>
      <c r="BE1501">
        <f>'Regression Models'!$B$101+'Regression Models'!$B$102*ifood_data[[#This Row],[Income]]+'Regression Models'!$B$103*ifood_data[[#This Row],[Age]]+'Regression Models'!$B$104*ifood_data[[#This Row],[Family]]</f>
        <v>190.02833433254273</v>
      </c>
      <c r="BF1501" t="str">
        <f>IF(ifood_data[[#This Row],[AcceptedCmpOverall]]=1,"Campaign Respondent","Non-respondent")</f>
        <v>Non-respondent</v>
      </c>
    </row>
    <row r="1502" spans="1:58" x14ac:dyDescent="0.35">
      <c r="A1502">
        <v>1876</v>
      </c>
      <c r="B1502">
        <v>23478</v>
      </c>
      <c r="C1502">
        <v>0</v>
      </c>
      <c r="D1502">
        <v>0</v>
      </c>
      <c r="E1502">
        <v>51</v>
      </c>
      <c r="F1502">
        <v>28</v>
      </c>
      <c r="G1502">
        <v>6</v>
      </c>
      <c r="H1502">
        <v>27</v>
      </c>
      <c r="I1502">
        <v>12</v>
      </c>
      <c r="J1502">
        <v>17</v>
      </c>
      <c r="K1502">
        <v>39</v>
      </c>
      <c r="L1502">
        <v>1</v>
      </c>
      <c r="M1502">
        <v>3</v>
      </c>
      <c r="N1502">
        <v>0</v>
      </c>
      <c r="O1502">
        <v>3</v>
      </c>
      <c r="P1502">
        <v>8</v>
      </c>
      <c r="Q1502">
        <v>0</v>
      </c>
      <c r="R1502">
        <v>0</v>
      </c>
      <c r="S1502">
        <v>0</v>
      </c>
      <c r="T1502">
        <v>0</v>
      </c>
      <c r="U1502">
        <v>0</v>
      </c>
      <c r="V1502">
        <f>IF(SUM(ifood_data[[#This Row],[AcceptedCmp1]:[AcceptedCmp5]])&gt;0,1,0)</f>
        <v>0</v>
      </c>
      <c r="W1502">
        <v>0</v>
      </c>
      <c r="X1502">
        <v>3</v>
      </c>
      <c r="Y1502">
        <v>11</v>
      </c>
      <c r="Z1502">
        <v>0</v>
      </c>
      <c r="AA1502">
        <v>55</v>
      </c>
      <c r="AB1502">
        <v>2626</v>
      </c>
      <c r="AC1502" s="28">
        <f>ifood_data[[#This Row],[Customer_Days]]/365</f>
        <v>7.1945205479452055</v>
      </c>
      <c r="AD1502">
        <v>0</v>
      </c>
      <c r="AE1502">
        <v>0</v>
      </c>
      <c r="AF1502">
        <v>1</v>
      </c>
      <c r="AG1502">
        <v>0</v>
      </c>
      <c r="AH1502">
        <v>0</v>
      </c>
      <c r="AI1502">
        <v>0</v>
      </c>
      <c r="AJ1502">
        <v>0</v>
      </c>
      <c r="AK1502">
        <v>1</v>
      </c>
      <c r="AL1502">
        <v>0</v>
      </c>
      <c r="AM1502">
        <v>0</v>
      </c>
      <c r="AN1502">
        <v>90</v>
      </c>
      <c r="AO1502">
        <v>51</v>
      </c>
      <c r="AP1502">
        <f>ifood_data[[#This Row],[MntTotal]]-ifood_data[[#This Row],[MntRegularProds]]</f>
        <v>39</v>
      </c>
      <c r="AQ1502">
        <v>0</v>
      </c>
      <c r="AR1502">
        <f>IF(SUM(ifood_data[[#This Row],[Kidhome]:[Teenhome]])&gt;0,1,0)</f>
        <v>0</v>
      </c>
      <c r="AS1502" t="str">
        <f>IF(SUM(ifood_data[[#This Row],[Kidhome]:[Teenhome]])&gt;0,"Has Family","No Family")</f>
        <v>No Family</v>
      </c>
      <c r="AT1502" t="str">
        <f>IF(ifood_data[[#This Row],[marital_Married]]=1,"Married", (IF(ifood_data[[#This Row],[marital_Single]]=1,"Single",(IF(ifood_data[[#This Row],[marital_Divorced]]=1,"Divorced",(IF(ifood_data[[#This Row],[marital_Together]]=1,"Living Together",(IF(ifood_data[[#This Row],[marital_Widow]]=1,"Widow","Other")))))))))</f>
        <v>Single</v>
      </c>
      <c r="AU1502" t="str">
        <f>IF(ifood_data[[#This Row],[education_Basic]]=1,"High School",(IF(ifood_data[[#This Row],[education_Graduation]]=1,"Undergraduate Degree",(IF(SUM(AM1502,AL1502,AI1502)&gt;0,"Master's Degree or Higher","Other")))))</f>
        <v>Undergraduate Degree</v>
      </c>
      <c r="AV1502" t="str">
        <f>IF(ifood_data[[#All],[Income]]&gt;75000,"75K+",(IF(ifood_data[[#All],[Income]]&gt;50000,"50K-75K",(IF(ifood_data[[#All],[Income]]&gt;35000,"35K-50K","&lt;35K")))))</f>
        <v>&lt;35K</v>
      </c>
      <c r="AW1502" t="str">
        <f>IF(ifood_data[[#All],[Age]]&gt;60,"60+",(IF(ifood_data[[#All],[Age]]&gt;50,"50-60",(IF(ifood_data[[#All],[Age]]&gt;40,"40-50",(IF(ifood_data[[#All],[Age]]&gt;30,"30-40","&lt;30")))))))</f>
        <v>50-60</v>
      </c>
      <c r="AX1502">
        <f t="shared" si="92"/>
        <v>15</v>
      </c>
      <c r="AY1502">
        <f t="shared" si="93"/>
        <v>5</v>
      </c>
      <c r="AZ1502">
        <f t="shared" si="94"/>
        <v>2</v>
      </c>
      <c r="BA1502">
        <f t="shared" si="95"/>
        <v>3</v>
      </c>
      <c r="BB1502">
        <f>SUM(ifood_data[[#This Row],[Recency Score]:[Monetary Score]])</f>
        <v>10</v>
      </c>
      <c r="BC1502">
        <f>(_xlfn.PERCENTRANK.INC(ifood_data[[#All],[RFM]],ifood_data[[#This Row],[RFM]],1))*10</f>
        <v>2</v>
      </c>
      <c r="BD1502" t="str">
        <f>VLOOKUP(ifood_data[[#This Row],[RFM Score]],'RFM Analysis'!$A$3:$B$14,2,FALSE)</f>
        <v>At Risk</v>
      </c>
      <c r="BE1502">
        <f>'Regression Models'!$B$101+'Regression Models'!$B$102*ifood_data[[#This Row],[Income]]+'Regression Models'!$B$103*ifood_data[[#This Row],[Age]]+'Regression Models'!$B$104*ifood_data[[#This Row],[Family]]</f>
        <v>189.8680928688068</v>
      </c>
      <c r="BF1502" t="str">
        <f>IF(ifood_data[[#This Row],[AcceptedCmpOverall]]=1,"Campaign Respondent","Non-respondent")</f>
        <v>Non-respondent</v>
      </c>
    </row>
    <row r="1503" spans="1:58" x14ac:dyDescent="0.35">
      <c r="A1503">
        <v>981</v>
      </c>
      <c r="B1503">
        <v>37126</v>
      </c>
      <c r="C1503">
        <v>1</v>
      </c>
      <c r="D1503">
        <v>0</v>
      </c>
      <c r="E1503">
        <v>9</v>
      </c>
      <c r="F1503">
        <v>45</v>
      </c>
      <c r="G1503">
        <v>3</v>
      </c>
      <c r="H1503">
        <v>9</v>
      </c>
      <c r="I1503">
        <v>4</v>
      </c>
      <c r="J1503">
        <v>4</v>
      </c>
      <c r="K1503">
        <v>7</v>
      </c>
      <c r="L1503">
        <v>1</v>
      </c>
      <c r="M1503">
        <v>1</v>
      </c>
      <c r="N1503">
        <v>2</v>
      </c>
      <c r="O1503">
        <v>2</v>
      </c>
      <c r="P1503">
        <v>6</v>
      </c>
      <c r="Q1503">
        <v>0</v>
      </c>
      <c r="R1503">
        <v>0</v>
      </c>
      <c r="S1503">
        <v>1</v>
      </c>
      <c r="T1503">
        <v>0</v>
      </c>
      <c r="U1503">
        <v>0</v>
      </c>
      <c r="V1503">
        <f>IF(SUM(ifood_data[[#This Row],[AcceptedCmp1]:[AcceptedCmp5]])&gt;0,1,0)</f>
        <v>1</v>
      </c>
      <c r="W1503">
        <v>0</v>
      </c>
      <c r="X1503">
        <v>3</v>
      </c>
      <c r="Y1503">
        <v>11</v>
      </c>
      <c r="Z1503">
        <v>1</v>
      </c>
      <c r="AA1503">
        <v>49</v>
      </c>
      <c r="AB1503">
        <v>2250</v>
      </c>
      <c r="AC1503" s="28">
        <f>ifood_data[[#This Row],[Customer_Days]]/365</f>
        <v>6.1643835616438354</v>
      </c>
      <c r="AD1503">
        <v>0</v>
      </c>
      <c r="AE1503">
        <v>1</v>
      </c>
      <c r="AF1503">
        <v>0</v>
      </c>
      <c r="AG1503">
        <v>0</v>
      </c>
      <c r="AH1503">
        <v>0</v>
      </c>
      <c r="AI1503">
        <v>0</v>
      </c>
      <c r="AJ1503">
        <v>0</v>
      </c>
      <c r="AK1503">
        <v>0</v>
      </c>
      <c r="AL1503">
        <v>0</v>
      </c>
      <c r="AM1503">
        <v>1</v>
      </c>
      <c r="AN1503">
        <v>65</v>
      </c>
      <c r="AO1503">
        <v>58</v>
      </c>
      <c r="AP1503">
        <f>ifood_data[[#This Row],[MntTotal]]-ifood_data[[#This Row],[MntRegularProds]]</f>
        <v>7</v>
      </c>
      <c r="AQ1503">
        <v>1</v>
      </c>
      <c r="AR1503">
        <f>IF(SUM(ifood_data[[#This Row],[Kidhome]:[Teenhome]])&gt;0,1,0)</f>
        <v>1</v>
      </c>
      <c r="AS1503" t="str">
        <f>IF(SUM(ifood_data[[#This Row],[Kidhome]:[Teenhome]])&gt;0,"Has Family","No Family")</f>
        <v>Has Family</v>
      </c>
      <c r="AT1503" t="str">
        <f>IF(ifood_data[[#This Row],[marital_Married]]=1,"Married", (IF(ifood_data[[#This Row],[marital_Single]]=1,"Single",(IF(ifood_data[[#This Row],[marital_Divorced]]=1,"Divorced",(IF(ifood_data[[#This Row],[marital_Together]]=1,"Living Together",(IF(ifood_data[[#This Row],[marital_Widow]]=1,"Widow","Other")))))))))</f>
        <v>Married</v>
      </c>
      <c r="AU1503" t="str">
        <f>IF(ifood_data[[#This Row],[education_Basic]]=1,"High School",(IF(ifood_data[[#This Row],[education_Graduation]]=1,"Undergraduate Degree",(IF(SUM(AM1503,AL1503,AI1503)&gt;0,"Master's Degree or Higher","Other")))))</f>
        <v>Master's Degree or Higher</v>
      </c>
      <c r="AV1503" t="str">
        <f>IF(ifood_data[[#All],[Income]]&gt;75000,"75K+",(IF(ifood_data[[#All],[Income]]&gt;50000,"50K-75K",(IF(ifood_data[[#All],[Income]]&gt;35000,"35K-50K","&lt;35K")))))</f>
        <v>35K-50K</v>
      </c>
      <c r="AW1503" t="str">
        <f>IF(ifood_data[[#All],[Age]]&gt;60,"60+",(IF(ifood_data[[#All],[Age]]&gt;50,"50-60",(IF(ifood_data[[#All],[Age]]&gt;40,"40-50",(IF(ifood_data[[#All],[Age]]&gt;30,"30-40","&lt;30")))))))</f>
        <v>40-50</v>
      </c>
      <c r="AX1503">
        <f t="shared" si="92"/>
        <v>12</v>
      </c>
      <c r="AY1503">
        <f t="shared" si="93"/>
        <v>10</v>
      </c>
      <c r="AZ1503">
        <f t="shared" si="94"/>
        <v>1</v>
      </c>
      <c r="BA1503">
        <f t="shared" si="95"/>
        <v>2</v>
      </c>
      <c r="BB1503">
        <f>SUM(ifood_data[[#This Row],[Recency Score]:[Monetary Score]])</f>
        <v>13</v>
      </c>
      <c r="BC1503">
        <f>(_xlfn.PERCENTRANK.INC(ifood_data[[#All],[RFM]],ifood_data[[#This Row],[RFM]],1))*10</f>
        <v>3</v>
      </c>
      <c r="BD1503" t="str">
        <f>VLOOKUP(ifood_data[[#This Row],[RFM Score]],'RFM Analysis'!$A$3:$B$14,2,FALSE)</f>
        <v>At Risk</v>
      </c>
      <c r="BE1503">
        <f>'Regression Models'!$B$101+'Regression Models'!$B$102*ifood_data[[#This Row],[Income]]+'Regression Models'!$B$103*ifood_data[[#This Row],[Age]]+'Regression Models'!$B$104*ifood_data[[#This Row],[Family]]</f>
        <v>189.53900389708906</v>
      </c>
      <c r="BF1503" t="str">
        <f>IF(ifood_data[[#This Row],[AcceptedCmpOverall]]=1,"Campaign Respondent","Non-respondent")</f>
        <v>Campaign Respondent</v>
      </c>
    </row>
    <row r="1504" spans="1:58" x14ac:dyDescent="0.35">
      <c r="A1504">
        <v>783</v>
      </c>
      <c r="B1504">
        <v>37859</v>
      </c>
      <c r="C1504">
        <v>1</v>
      </c>
      <c r="D1504">
        <v>2</v>
      </c>
      <c r="E1504">
        <v>75</v>
      </c>
      <c r="F1504">
        <v>22</v>
      </c>
      <c r="G1504">
        <v>1</v>
      </c>
      <c r="H1504">
        <v>8</v>
      </c>
      <c r="I1504">
        <v>2</v>
      </c>
      <c r="J1504">
        <v>1</v>
      </c>
      <c r="K1504">
        <v>2</v>
      </c>
      <c r="L1504">
        <v>2</v>
      </c>
      <c r="M1504">
        <v>1</v>
      </c>
      <c r="N1504">
        <v>0</v>
      </c>
      <c r="O1504">
        <v>3</v>
      </c>
      <c r="P1504">
        <v>8</v>
      </c>
      <c r="Q1504">
        <v>0</v>
      </c>
      <c r="R1504">
        <v>0</v>
      </c>
      <c r="S1504">
        <v>0</v>
      </c>
      <c r="T1504">
        <v>0</v>
      </c>
      <c r="U1504">
        <v>0</v>
      </c>
      <c r="V1504">
        <f>IF(SUM(ifood_data[[#This Row],[AcceptedCmp1]:[AcceptedCmp5]])&gt;0,1,0)</f>
        <v>0</v>
      </c>
      <c r="W1504">
        <v>0</v>
      </c>
      <c r="X1504">
        <v>3</v>
      </c>
      <c r="Y1504">
        <v>11</v>
      </c>
      <c r="Z1504">
        <v>0</v>
      </c>
      <c r="AA1504">
        <v>58</v>
      </c>
      <c r="AB1504">
        <v>2692</v>
      </c>
      <c r="AC1504" s="28">
        <f>ifood_data[[#This Row],[Customer_Days]]/365</f>
        <v>7.375342465753425</v>
      </c>
      <c r="AD1504">
        <v>1</v>
      </c>
      <c r="AE1504">
        <v>0</v>
      </c>
      <c r="AF1504">
        <v>0</v>
      </c>
      <c r="AG1504">
        <v>0</v>
      </c>
      <c r="AH1504">
        <v>0</v>
      </c>
      <c r="AI1504">
        <v>0</v>
      </c>
      <c r="AJ1504">
        <v>0</v>
      </c>
      <c r="AK1504">
        <v>1</v>
      </c>
      <c r="AL1504">
        <v>0</v>
      </c>
      <c r="AM1504">
        <v>0</v>
      </c>
      <c r="AN1504">
        <v>34</v>
      </c>
      <c r="AO1504">
        <v>32</v>
      </c>
      <c r="AP1504">
        <f>ifood_data[[#This Row],[MntTotal]]-ifood_data[[#This Row],[MntRegularProds]]</f>
        <v>2</v>
      </c>
      <c r="AQ1504">
        <v>0</v>
      </c>
      <c r="AR1504">
        <f>IF(SUM(ifood_data[[#This Row],[Kidhome]:[Teenhome]])&gt;0,1,0)</f>
        <v>1</v>
      </c>
      <c r="AS1504" t="str">
        <f>IF(SUM(ifood_data[[#This Row],[Kidhome]:[Teenhome]])&gt;0,"Has Family","No Family")</f>
        <v>Has Family</v>
      </c>
      <c r="AT1504" t="str">
        <f>IF(ifood_data[[#This Row],[marital_Married]]=1,"Married", (IF(ifood_data[[#This Row],[marital_Single]]=1,"Single",(IF(ifood_data[[#This Row],[marital_Divorced]]=1,"Divorced",(IF(ifood_data[[#This Row],[marital_Together]]=1,"Living Together",(IF(ifood_data[[#This Row],[marital_Widow]]=1,"Widow","Other")))))))))</f>
        <v>Divorced</v>
      </c>
      <c r="AU1504" t="str">
        <f>IF(ifood_data[[#This Row],[education_Basic]]=1,"High School",(IF(ifood_data[[#This Row],[education_Graduation]]=1,"Undergraduate Degree",(IF(SUM(AM1504,AL1504,AI1504)&gt;0,"Master's Degree or Higher","Other")))))</f>
        <v>Undergraduate Degree</v>
      </c>
      <c r="AV1504" t="str">
        <f>IF(ifood_data[[#All],[Income]]&gt;75000,"75K+",(IF(ifood_data[[#All],[Income]]&gt;50000,"50K-75K",(IF(ifood_data[[#All],[Income]]&gt;35000,"35K-50K","&lt;35K")))))</f>
        <v>35K-50K</v>
      </c>
      <c r="AW1504" t="str">
        <f>IF(ifood_data[[#All],[Age]]&gt;60,"60+",(IF(ifood_data[[#All],[Age]]&gt;50,"50-60",(IF(ifood_data[[#All],[Age]]&gt;40,"40-50",(IF(ifood_data[[#All],[Age]]&gt;30,"30-40","&lt;30")))))))</f>
        <v>50-60</v>
      </c>
      <c r="AX1504">
        <f t="shared" si="92"/>
        <v>14</v>
      </c>
      <c r="AY1504">
        <f t="shared" si="93"/>
        <v>3.0000000000000004</v>
      </c>
      <c r="AZ1504">
        <f t="shared" si="94"/>
        <v>2</v>
      </c>
      <c r="BA1504">
        <f t="shared" si="95"/>
        <v>1</v>
      </c>
      <c r="BB1504">
        <f>SUM(ifood_data[[#This Row],[Recency Score]:[Monetary Score]])</f>
        <v>6</v>
      </c>
      <c r="BC1504">
        <f>(_xlfn.PERCENTRANK.INC(ifood_data[[#All],[RFM]],ifood_data[[#This Row],[RFM]],1))*10</f>
        <v>0</v>
      </c>
      <c r="BD1504" t="str">
        <f>VLOOKUP(ifood_data[[#This Row],[RFM Score]],'RFM Analysis'!$A$3:$B$14,2,FALSE)</f>
        <v>Lost</v>
      </c>
      <c r="BE1504">
        <f>'Regression Models'!$B$101+'Regression Models'!$B$102*ifood_data[[#This Row],[Income]]+'Regression Models'!$B$103*ifood_data[[#This Row],[Age]]+'Regression Models'!$B$104*ifood_data[[#This Row],[Family]]</f>
        <v>187.9560192365185</v>
      </c>
      <c r="BF1504" t="str">
        <f>IF(ifood_data[[#This Row],[AcceptedCmpOverall]]=1,"Campaign Respondent","Non-respondent")</f>
        <v>Non-respondent</v>
      </c>
    </row>
    <row r="1505" spans="1:58" x14ac:dyDescent="0.35">
      <c r="A1505">
        <v>362</v>
      </c>
      <c r="B1505">
        <v>36143</v>
      </c>
      <c r="C1505">
        <v>1</v>
      </c>
      <c r="D1505">
        <v>0</v>
      </c>
      <c r="E1505">
        <v>33</v>
      </c>
      <c r="F1505">
        <v>12</v>
      </c>
      <c r="G1505">
        <v>0</v>
      </c>
      <c r="H1505">
        <v>1</v>
      </c>
      <c r="I1505">
        <v>0</v>
      </c>
      <c r="J1505">
        <v>0</v>
      </c>
      <c r="K1505">
        <v>6</v>
      </c>
      <c r="L1505">
        <v>1</v>
      </c>
      <c r="M1505">
        <v>0</v>
      </c>
      <c r="N1505">
        <v>1</v>
      </c>
      <c r="O1505">
        <v>2</v>
      </c>
      <c r="P1505">
        <v>3</v>
      </c>
      <c r="Q1505">
        <v>0</v>
      </c>
      <c r="R1505">
        <v>0</v>
      </c>
      <c r="S1505">
        <v>0</v>
      </c>
      <c r="T1505">
        <v>0</v>
      </c>
      <c r="U1505">
        <v>0</v>
      </c>
      <c r="V1505">
        <f>IF(SUM(ifood_data[[#This Row],[AcceptedCmp1]:[AcceptedCmp5]])&gt;0,1,0)</f>
        <v>0</v>
      </c>
      <c r="W1505">
        <v>0</v>
      </c>
      <c r="X1505">
        <v>3</v>
      </c>
      <c r="Y1505">
        <v>11</v>
      </c>
      <c r="Z1505">
        <v>0</v>
      </c>
      <c r="AA1505">
        <v>39</v>
      </c>
      <c r="AB1505">
        <v>2250</v>
      </c>
      <c r="AC1505" s="28">
        <f>ifood_data[[#This Row],[Customer_Days]]/365</f>
        <v>6.1643835616438354</v>
      </c>
      <c r="AD1505">
        <v>0</v>
      </c>
      <c r="AE1505">
        <v>0</v>
      </c>
      <c r="AF1505">
        <v>1</v>
      </c>
      <c r="AG1505">
        <v>0</v>
      </c>
      <c r="AH1505">
        <v>0</v>
      </c>
      <c r="AI1505">
        <v>0</v>
      </c>
      <c r="AJ1505">
        <v>0</v>
      </c>
      <c r="AK1505">
        <v>0</v>
      </c>
      <c r="AL1505">
        <v>1</v>
      </c>
      <c r="AM1505">
        <v>0</v>
      </c>
      <c r="AN1505">
        <v>13</v>
      </c>
      <c r="AO1505">
        <v>7</v>
      </c>
      <c r="AP1505">
        <f>ifood_data[[#This Row],[MntTotal]]-ifood_data[[#This Row],[MntRegularProds]]</f>
        <v>6</v>
      </c>
      <c r="AQ1505">
        <v>0</v>
      </c>
      <c r="AR1505">
        <f>IF(SUM(ifood_data[[#This Row],[Kidhome]:[Teenhome]])&gt;0,1,0)</f>
        <v>1</v>
      </c>
      <c r="AS1505" t="str">
        <f>IF(SUM(ifood_data[[#This Row],[Kidhome]:[Teenhome]])&gt;0,"Has Family","No Family")</f>
        <v>Has Family</v>
      </c>
      <c r="AT1505" t="str">
        <f>IF(ifood_data[[#This Row],[marital_Married]]=1,"Married", (IF(ifood_data[[#This Row],[marital_Single]]=1,"Single",(IF(ifood_data[[#This Row],[marital_Divorced]]=1,"Divorced",(IF(ifood_data[[#This Row],[marital_Together]]=1,"Living Together",(IF(ifood_data[[#This Row],[marital_Widow]]=1,"Widow","Other")))))))))</f>
        <v>Single</v>
      </c>
      <c r="AU1505" t="str">
        <f>IF(ifood_data[[#This Row],[education_Basic]]=1,"High School",(IF(ifood_data[[#This Row],[education_Graduation]]=1,"Undergraduate Degree",(IF(SUM(AM1505,AL1505,AI1505)&gt;0,"Master's Degree or Higher","Other")))))</f>
        <v>Master's Degree or Higher</v>
      </c>
      <c r="AV1505" t="str">
        <f>IF(ifood_data[[#All],[Income]]&gt;75000,"75K+",(IF(ifood_data[[#All],[Income]]&gt;50000,"50K-75K",(IF(ifood_data[[#All],[Income]]&gt;35000,"35K-50K","&lt;35K")))))</f>
        <v>35K-50K</v>
      </c>
      <c r="AW1505" t="str">
        <f>IF(ifood_data[[#All],[Age]]&gt;60,"60+",(IF(ifood_data[[#All],[Age]]&gt;50,"50-60",(IF(ifood_data[[#All],[Age]]&gt;40,"40-50",(IF(ifood_data[[#All],[Age]]&gt;30,"30-40","&lt;30")))))))</f>
        <v>30-40</v>
      </c>
      <c r="AX1505">
        <f t="shared" si="92"/>
        <v>7</v>
      </c>
      <c r="AY1505">
        <f t="shared" si="93"/>
        <v>7</v>
      </c>
      <c r="AZ1505">
        <f t="shared" si="94"/>
        <v>0</v>
      </c>
      <c r="BA1505">
        <f t="shared" si="95"/>
        <v>0</v>
      </c>
      <c r="BB1505">
        <f>SUM(ifood_data[[#This Row],[Recency Score]:[Monetary Score]])</f>
        <v>7</v>
      </c>
      <c r="BC1505">
        <f>(_xlfn.PERCENTRANK.INC(ifood_data[[#All],[RFM]],ifood_data[[#This Row],[RFM]],1))*10</f>
        <v>1</v>
      </c>
      <c r="BD1505" t="str">
        <f>VLOOKUP(ifood_data[[#This Row],[RFM Score]],'RFM Analysis'!$A$3:$B$14,2,FALSE)</f>
        <v>At Risk</v>
      </c>
      <c r="BE1505">
        <f>'Regression Models'!$B$101+'Regression Models'!$B$102*ifood_data[[#This Row],[Income]]+'Regression Models'!$B$103*ifood_data[[#This Row],[Age]]+'Regression Models'!$B$104*ifood_data[[#This Row],[Family]]</f>
        <v>187.86123560057928</v>
      </c>
      <c r="BF1505" t="str">
        <f>IF(ifood_data[[#This Row],[AcceptedCmpOverall]]=1,"Campaign Respondent","Non-respondent")</f>
        <v>Non-respondent</v>
      </c>
    </row>
    <row r="1506" spans="1:58" x14ac:dyDescent="0.35">
      <c r="A1506">
        <v>1476</v>
      </c>
      <c r="B1506">
        <v>36663</v>
      </c>
      <c r="C1506">
        <v>1</v>
      </c>
      <c r="D1506">
        <v>0</v>
      </c>
      <c r="E1506">
        <v>40</v>
      </c>
      <c r="F1506">
        <v>18</v>
      </c>
      <c r="G1506">
        <v>0</v>
      </c>
      <c r="H1506">
        <v>6</v>
      </c>
      <c r="I1506">
        <v>3</v>
      </c>
      <c r="J1506">
        <v>3</v>
      </c>
      <c r="K1506">
        <v>5</v>
      </c>
      <c r="L1506">
        <v>1</v>
      </c>
      <c r="M1506">
        <v>1</v>
      </c>
      <c r="N1506">
        <v>1</v>
      </c>
      <c r="O1506">
        <v>3</v>
      </c>
      <c r="P1506">
        <v>2</v>
      </c>
      <c r="Q1506">
        <v>0</v>
      </c>
      <c r="R1506">
        <v>0</v>
      </c>
      <c r="S1506">
        <v>0</v>
      </c>
      <c r="T1506">
        <v>0</v>
      </c>
      <c r="U1506">
        <v>0</v>
      </c>
      <c r="V1506">
        <f>IF(SUM(ifood_data[[#This Row],[AcceptedCmp1]:[AcceptedCmp5]])&gt;0,1,0)</f>
        <v>0</v>
      </c>
      <c r="W1506">
        <v>0</v>
      </c>
      <c r="X1506">
        <v>3</v>
      </c>
      <c r="Y1506">
        <v>11</v>
      </c>
      <c r="Z1506">
        <v>0</v>
      </c>
      <c r="AA1506">
        <v>45</v>
      </c>
      <c r="AB1506">
        <v>2224</v>
      </c>
      <c r="AC1506" s="28">
        <f>ifood_data[[#This Row],[Customer_Days]]/365</f>
        <v>6.0931506849315067</v>
      </c>
      <c r="AD1506">
        <v>0</v>
      </c>
      <c r="AE1506">
        <v>1</v>
      </c>
      <c r="AF1506">
        <v>0</v>
      </c>
      <c r="AG1506">
        <v>0</v>
      </c>
      <c r="AH1506">
        <v>0</v>
      </c>
      <c r="AI1506">
        <v>0</v>
      </c>
      <c r="AJ1506">
        <v>0</v>
      </c>
      <c r="AK1506">
        <v>0</v>
      </c>
      <c r="AL1506">
        <v>0</v>
      </c>
      <c r="AM1506">
        <v>1</v>
      </c>
      <c r="AN1506">
        <v>30</v>
      </c>
      <c r="AO1506">
        <v>25</v>
      </c>
      <c r="AP1506">
        <f>ifood_data[[#This Row],[MntTotal]]-ifood_data[[#This Row],[MntRegularProds]]</f>
        <v>5</v>
      </c>
      <c r="AQ1506">
        <v>0</v>
      </c>
      <c r="AR1506">
        <f>IF(SUM(ifood_data[[#This Row],[Kidhome]:[Teenhome]])&gt;0,1,0)</f>
        <v>1</v>
      </c>
      <c r="AS1506" t="str">
        <f>IF(SUM(ifood_data[[#This Row],[Kidhome]:[Teenhome]])&gt;0,"Has Family","No Family")</f>
        <v>Has Family</v>
      </c>
      <c r="AT1506" t="str">
        <f>IF(ifood_data[[#This Row],[marital_Married]]=1,"Married", (IF(ifood_data[[#This Row],[marital_Single]]=1,"Single",(IF(ifood_data[[#This Row],[marital_Divorced]]=1,"Divorced",(IF(ifood_data[[#This Row],[marital_Together]]=1,"Living Together",(IF(ifood_data[[#This Row],[marital_Widow]]=1,"Widow","Other")))))))))</f>
        <v>Married</v>
      </c>
      <c r="AU1506" t="str">
        <f>IF(ifood_data[[#This Row],[education_Basic]]=1,"High School",(IF(ifood_data[[#This Row],[education_Graduation]]=1,"Undergraduate Degree",(IF(SUM(AM1506,AL1506,AI1506)&gt;0,"Master's Degree or Higher","Other")))))</f>
        <v>Master's Degree or Higher</v>
      </c>
      <c r="AV1506" t="str">
        <f>IF(ifood_data[[#All],[Income]]&gt;75000,"75K+",(IF(ifood_data[[#All],[Income]]&gt;50000,"50K-75K",(IF(ifood_data[[#All],[Income]]&gt;35000,"35K-50K","&lt;35K")))))</f>
        <v>35K-50K</v>
      </c>
      <c r="AW1506" t="str">
        <f>IF(ifood_data[[#All],[Age]]&gt;60,"60+",(IF(ifood_data[[#All],[Age]]&gt;50,"50-60",(IF(ifood_data[[#All],[Age]]&gt;40,"40-50",(IF(ifood_data[[#All],[Age]]&gt;30,"30-40","&lt;30")))))))</f>
        <v>40-50</v>
      </c>
      <c r="AX1506">
        <f t="shared" si="92"/>
        <v>8</v>
      </c>
      <c r="AY1506">
        <f t="shared" si="93"/>
        <v>6</v>
      </c>
      <c r="AZ1506">
        <f t="shared" si="94"/>
        <v>0</v>
      </c>
      <c r="BA1506">
        <f t="shared" si="95"/>
        <v>1</v>
      </c>
      <c r="BB1506">
        <f>SUM(ifood_data[[#This Row],[Recency Score]:[Monetary Score]])</f>
        <v>7</v>
      </c>
      <c r="BC1506">
        <f>(_xlfn.PERCENTRANK.INC(ifood_data[[#All],[RFM]],ifood_data[[#This Row],[RFM]],1))*10</f>
        <v>1</v>
      </c>
      <c r="BD1506" t="str">
        <f>VLOOKUP(ifood_data[[#This Row],[RFM Score]],'RFM Analysis'!$A$3:$B$14,2,FALSE)</f>
        <v>At Risk</v>
      </c>
      <c r="BE1506">
        <f>'Regression Models'!$B$101+'Regression Models'!$B$102*ifood_data[[#This Row],[Income]]+'Regression Models'!$B$103*ifood_data[[#This Row],[Age]]+'Regression Models'!$B$104*ifood_data[[#This Row],[Family]]</f>
        <v>187.44476056204098</v>
      </c>
      <c r="BF1506" t="str">
        <f>IF(ifood_data[[#This Row],[AcceptedCmpOverall]]=1,"Campaign Respondent","Non-respondent")</f>
        <v>Non-respondent</v>
      </c>
    </row>
    <row r="1507" spans="1:58" x14ac:dyDescent="0.35">
      <c r="A1507">
        <v>1158</v>
      </c>
      <c r="B1507">
        <v>38452</v>
      </c>
      <c r="C1507">
        <v>1</v>
      </c>
      <c r="D1507">
        <v>1</v>
      </c>
      <c r="E1507">
        <v>62</v>
      </c>
      <c r="F1507">
        <v>56</v>
      </c>
      <c r="G1507">
        <v>0</v>
      </c>
      <c r="H1507">
        <v>14</v>
      </c>
      <c r="I1507">
        <v>0</v>
      </c>
      <c r="J1507">
        <v>0</v>
      </c>
      <c r="K1507">
        <v>2</v>
      </c>
      <c r="L1507">
        <v>3</v>
      </c>
      <c r="M1507">
        <v>3</v>
      </c>
      <c r="N1507">
        <v>0</v>
      </c>
      <c r="O1507">
        <v>3</v>
      </c>
      <c r="P1507">
        <v>7</v>
      </c>
      <c r="Q1507">
        <v>0</v>
      </c>
      <c r="R1507">
        <v>0</v>
      </c>
      <c r="S1507">
        <v>0</v>
      </c>
      <c r="T1507">
        <v>0</v>
      </c>
      <c r="U1507">
        <v>0</v>
      </c>
      <c r="V1507">
        <f>IF(SUM(ifood_data[[#This Row],[AcceptedCmp1]:[AcceptedCmp5]])&gt;0,1,0)</f>
        <v>0</v>
      </c>
      <c r="W1507">
        <v>0</v>
      </c>
      <c r="X1507">
        <v>3</v>
      </c>
      <c r="Y1507">
        <v>11</v>
      </c>
      <c r="Z1507">
        <v>0</v>
      </c>
      <c r="AA1507">
        <v>65</v>
      </c>
      <c r="AB1507">
        <v>2250</v>
      </c>
      <c r="AC1507" s="28">
        <f>ifood_data[[#This Row],[Customer_Days]]/365</f>
        <v>6.1643835616438354</v>
      </c>
      <c r="AD1507">
        <v>0</v>
      </c>
      <c r="AE1507">
        <v>1</v>
      </c>
      <c r="AF1507">
        <v>0</v>
      </c>
      <c r="AG1507">
        <v>0</v>
      </c>
      <c r="AH1507">
        <v>0</v>
      </c>
      <c r="AI1507">
        <v>0</v>
      </c>
      <c r="AJ1507">
        <v>0</v>
      </c>
      <c r="AK1507">
        <v>0</v>
      </c>
      <c r="AL1507">
        <v>1</v>
      </c>
      <c r="AM1507">
        <v>0</v>
      </c>
      <c r="AN1507">
        <v>70</v>
      </c>
      <c r="AO1507">
        <v>68</v>
      </c>
      <c r="AP1507">
        <f>ifood_data[[#This Row],[MntTotal]]-ifood_data[[#This Row],[MntRegularProds]]</f>
        <v>2</v>
      </c>
      <c r="AQ1507">
        <v>0</v>
      </c>
      <c r="AR1507">
        <f>IF(SUM(ifood_data[[#This Row],[Kidhome]:[Teenhome]])&gt;0,1,0)</f>
        <v>1</v>
      </c>
      <c r="AS1507" t="str">
        <f>IF(SUM(ifood_data[[#This Row],[Kidhome]:[Teenhome]])&gt;0,"Has Family","No Family")</f>
        <v>Has Family</v>
      </c>
      <c r="AT1507" t="str">
        <f>IF(ifood_data[[#This Row],[marital_Married]]=1,"Married", (IF(ifood_data[[#This Row],[marital_Single]]=1,"Single",(IF(ifood_data[[#This Row],[marital_Divorced]]=1,"Divorced",(IF(ifood_data[[#This Row],[marital_Together]]=1,"Living Together",(IF(ifood_data[[#This Row],[marital_Widow]]=1,"Widow","Other")))))))))</f>
        <v>Married</v>
      </c>
      <c r="AU1507" t="str">
        <f>IF(ifood_data[[#This Row],[education_Basic]]=1,"High School",(IF(ifood_data[[#This Row],[education_Graduation]]=1,"Undergraduate Degree",(IF(SUM(AM1507,AL1507,AI1507)&gt;0,"Master's Degree or Higher","Other")))))</f>
        <v>Master's Degree or Higher</v>
      </c>
      <c r="AV1507" t="str">
        <f>IF(ifood_data[[#All],[Income]]&gt;75000,"75K+",(IF(ifood_data[[#All],[Income]]&gt;50000,"50K-75K",(IF(ifood_data[[#All],[Income]]&gt;35000,"35K-50K","&lt;35K")))))</f>
        <v>35K-50K</v>
      </c>
      <c r="AW1507" t="str">
        <f>IF(ifood_data[[#All],[Age]]&gt;60,"60+",(IF(ifood_data[[#All],[Age]]&gt;50,"50-60",(IF(ifood_data[[#All],[Age]]&gt;40,"40-50",(IF(ifood_data[[#All],[Age]]&gt;30,"30-40","&lt;30")))))))</f>
        <v>60+</v>
      </c>
      <c r="AX1507">
        <f t="shared" si="92"/>
        <v>16</v>
      </c>
      <c r="AY1507">
        <f t="shared" si="93"/>
        <v>4</v>
      </c>
      <c r="AZ1507">
        <f t="shared" si="94"/>
        <v>3</v>
      </c>
      <c r="BA1507">
        <f t="shared" si="95"/>
        <v>3</v>
      </c>
      <c r="BB1507">
        <f>SUM(ifood_data[[#This Row],[Recency Score]:[Monetary Score]])</f>
        <v>10</v>
      </c>
      <c r="BC1507">
        <f>(_xlfn.PERCENTRANK.INC(ifood_data[[#All],[RFM]],ifood_data[[#This Row],[RFM]],1))*10</f>
        <v>2</v>
      </c>
      <c r="BD1507" t="str">
        <f>VLOOKUP(ifood_data[[#This Row],[RFM Score]],'RFM Analysis'!$A$3:$B$14,2,FALSE)</f>
        <v>At Risk</v>
      </c>
      <c r="BE1507">
        <f>'Regression Models'!$B$101+'Regression Models'!$B$102*ifood_data[[#This Row],[Income]]+'Regression Models'!$B$103*ifood_data[[#This Row],[Age]]+'Regression Models'!$B$104*ifood_data[[#This Row],[Family]]</f>
        <v>187.19148519359067</v>
      </c>
      <c r="BF1507" t="str">
        <f>IF(ifood_data[[#This Row],[AcceptedCmpOverall]]=1,"Campaign Respondent","Non-respondent")</f>
        <v>Non-respondent</v>
      </c>
    </row>
    <row r="1508" spans="1:58" x14ac:dyDescent="0.35">
      <c r="A1508">
        <v>836</v>
      </c>
      <c r="B1508">
        <v>36627</v>
      </c>
      <c r="C1508">
        <v>2</v>
      </c>
      <c r="D1508">
        <v>0</v>
      </c>
      <c r="E1508">
        <v>78</v>
      </c>
      <c r="F1508">
        <v>9</v>
      </c>
      <c r="G1508">
        <v>1</v>
      </c>
      <c r="H1508">
        <v>5</v>
      </c>
      <c r="I1508">
        <v>0</v>
      </c>
      <c r="J1508">
        <v>0</v>
      </c>
      <c r="K1508">
        <v>1</v>
      </c>
      <c r="L1508">
        <v>1</v>
      </c>
      <c r="M1508">
        <v>0</v>
      </c>
      <c r="N1508">
        <v>0</v>
      </c>
      <c r="O1508">
        <v>3</v>
      </c>
      <c r="P1508">
        <v>5</v>
      </c>
      <c r="Q1508">
        <v>0</v>
      </c>
      <c r="R1508">
        <v>0</v>
      </c>
      <c r="S1508">
        <v>0</v>
      </c>
      <c r="T1508">
        <v>0</v>
      </c>
      <c r="U1508">
        <v>0</v>
      </c>
      <c r="V1508">
        <f>IF(SUM(ifood_data[[#This Row],[AcceptedCmp1]:[AcceptedCmp5]])&gt;0,1,0)</f>
        <v>0</v>
      </c>
      <c r="W1508">
        <v>0</v>
      </c>
      <c r="X1508">
        <v>3</v>
      </c>
      <c r="Y1508">
        <v>11</v>
      </c>
      <c r="Z1508">
        <v>0</v>
      </c>
      <c r="AA1508">
        <v>45</v>
      </c>
      <c r="AB1508">
        <v>2500</v>
      </c>
      <c r="AC1508" s="28">
        <f>ifood_data[[#This Row],[Customer_Days]]/365</f>
        <v>6.8493150684931505</v>
      </c>
      <c r="AD1508">
        <v>1</v>
      </c>
      <c r="AE1508">
        <v>0</v>
      </c>
      <c r="AF1508">
        <v>0</v>
      </c>
      <c r="AG1508">
        <v>0</v>
      </c>
      <c r="AH1508">
        <v>0</v>
      </c>
      <c r="AI1508">
        <v>0</v>
      </c>
      <c r="AJ1508">
        <v>0</v>
      </c>
      <c r="AK1508">
        <v>1</v>
      </c>
      <c r="AL1508">
        <v>0</v>
      </c>
      <c r="AM1508">
        <v>0</v>
      </c>
      <c r="AN1508">
        <v>15</v>
      </c>
      <c r="AO1508">
        <v>14</v>
      </c>
      <c r="AP1508">
        <f>ifood_data[[#This Row],[MntTotal]]-ifood_data[[#This Row],[MntRegularProds]]</f>
        <v>1</v>
      </c>
      <c r="AQ1508">
        <v>0</v>
      </c>
      <c r="AR1508">
        <f>IF(SUM(ifood_data[[#This Row],[Kidhome]:[Teenhome]])&gt;0,1,0)</f>
        <v>1</v>
      </c>
      <c r="AS1508" t="str">
        <f>IF(SUM(ifood_data[[#This Row],[Kidhome]:[Teenhome]])&gt;0,"Has Family","No Family")</f>
        <v>Has Family</v>
      </c>
      <c r="AT1508" t="str">
        <f>IF(ifood_data[[#This Row],[marital_Married]]=1,"Married", (IF(ifood_data[[#This Row],[marital_Single]]=1,"Single",(IF(ifood_data[[#This Row],[marital_Divorced]]=1,"Divorced",(IF(ifood_data[[#This Row],[marital_Together]]=1,"Living Together",(IF(ifood_data[[#This Row],[marital_Widow]]=1,"Widow","Other")))))))))</f>
        <v>Divorced</v>
      </c>
      <c r="AU1508" t="str">
        <f>IF(ifood_data[[#This Row],[education_Basic]]=1,"High School",(IF(ifood_data[[#This Row],[education_Graduation]]=1,"Undergraduate Degree",(IF(SUM(AM1508,AL1508,AI1508)&gt;0,"Master's Degree or Higher","Other")))))</f>
        <v>Undergraduate Degree</v>
      </c>
      <c r="AV1508" t="str">
        <f>IF(ifood_data[[#All],[Income]]&gt;75000,"75K+",(IF(ifood_data[[#All],[Income]]&gt;50000,"50K-75K",(IF(ifood_data[[#All],[Income]]&gt;35000,"35K-50K","&lt;35K")))))</f>
        <v>35K-50K</v>
      </c>
      <c r="AW1508" t="str">
        <f>IF(ifood_data[[#All],[Age]]&gt;60,"60+",(IF(ifood_data[[#All],[Age]]&gt;50,"50-60",(IF(ifood_data[[#All],[Age]]&gt;40,"40-50",(IF(ifood_data[[#All],[Age]]&gt;30,"30-40","&lt;30")))))))</f>
        <v>40-50</v>
      </c>
      <c r="AX1508">
        <f t="shared" si="92"/>
        <v>9</v>
      </c>
      <c r="AY1508">
        <f t="shared" si="93"/>
        <v>3.0000000000000004</v>
      </c>
      <c r="AZ1508">
        <f t="shared" si="94"/>
        <v>0</v>
      </c>
      <c r="BA1508">
        <f t="shared" si="95"/>
        <v>0</v>
      </c>
      <c r="BB1508">
        <f>SUM(ifood_data[[#This Row],[Recency Score]:[Monetary Score]])</f>
        <v>3.0000000000000004</v>
      </c>
      <c r="BC1508">
        <f>(_xlfn.PERCENTRANK.INC(ifood_data[[#All],[RFM]],ifood_data[[#This Row],[RFM]],1))*10</f>
        <v>0</v>
      </c>
      <c r="BD1508" t="str">
        <f>VLOOKUP(ifood_data[[#This Row],[RFM Score]],'RFM Analysis'!$A$3:$B$14,2,FALSE)</f>
        <v>Lost</v>
      </c>
      <c r="BE1508">
        <f>'Regression Models'!$B$101+'Regression Models'!$B$102*ifood_data[[#This Row],[Income]]+'Regression Models'!$B$103*ifood_data[[#This Row],[Age]]+'Regression Models'!$B$104*ifood_data[[#This Row],[Family]]</f>
        <v>186.71076490886071</v>
      </c>
      <c r="BF1508" t="str">
        <f>IF(ifood_data[[#This Row],[AcceptedCmpOverall]]=1,"Campaign Respondent","Non-respondent")</f>
        <v>Non-respondent</v>
      </c>
    </row>
    <row r="1509" spans="1:58" x14ac:dyDescent="0.35">
      <c r="A1509">
        <v>1749</v>
      </c>
      <c r="B1509">
        <v>36038</v>
      </c>
      <c r="C1509">
        <v>1</v>
      </c>
      <c r="D1509">
        <v>0</v>
      </c>
      <c r="E1509">
        <v>82</v>
      </c>
      <c r="F1509">
        <v>23</v>
      </c>
      <c r="G1509">
        <v>0</v>
      </c>
      <c r="H1509">
        <v>15</v>
      </c>
      <c r="I1509">
        <v>0</v>
      </c>
      <c r="J1509">
        <v>2</v>
      </c>
      <c r="K1509">
        <v>7</v>
      </c>
      <c r="L1509">
        <v>2</v>
      </c>
      <c r="M1509">
        <v>3</v>
      </c>
      <c r="N1509">
        <v>0</v>
      </c>
      <c r="O1509">
        <v>3</v>
      </c>
      <c r="P1509">
        <v>6</v>
      </c>
      <c r="Q1509">
        <v>0</v>
      </c>
      <c r="R1509">
        <v>0</v>
      </c>
      <c r="S1509">
        <v>0</v>
      </c>
      <c r="T1509">
        <v>0</v>
      </c>
      <c r="U1509">
        <v>0</v>
      </c>
      <c r="V1509">
        <f>IF(SUM(ifood_data[[#This Row],[AcceptedCmp1]:[AcceptedCmp5]])&gt;0,1,0)</f>
        <v>0</v>
      </c>
      <c r="W1509">
        <v>0</v>
      </c>
      <c r="X1509">
        <v>3</v>
      </c>
      <c r="Y1509">
        <v>11</v>
      </c>
      <c r="Z1509">
        <v>0</v>
      </c>
      <c r="AA1509">
        <v>39</v>
      </c>
      <c r="AB1509">
        <v>2553</v>
      </c>
      <c r="AC1509" s="28">
        <f>ifood_data[[#This Row],[Customer_Days]]/365</f>
        <v>6.9945205479452053</v>
      </c>
      <c r="AD1509">
        <v>0</v>
      </c>
      <c r="AE1509">
        <v>0</v>
      </c>
      <c r="AF1509">
        <v>1</v>
      </c>
      <c r="AG1509">
        <v>0</v>
      </c>
      <c r="AH1509">
        <v>0</v>
      </c>
      <c r="AI1509">
        <v>0</v>
      </c>
      <c r="AJ1509">
        <v>0</v>
      </c>
      <c r="AK1509">
        <v>0</v>
      </c>
      <c r="AL1509">
        <v>0</v>
      </c>
      <c r="AM1509">
        <v>1</v>
      </c>
      <c r="AN1509">
        <v>40</v>
      </c>
      <c r="AO1509">
        <v>33</v>
      </c>
      <c r="AP1509">
        <f>ifood_data[[#This Row],[MntTotal]]-ifood_data[[#This Row],[MntRegularProds]]</f>
        <v>7</v>
      </c>
      <c r="AQ1509">
        <v>0</v>
      </c>
      <c r="AR1509">
        <f>IF(SUM(ifood_data[[#This Row],[Kidhome]:[Teenhome]])&gt;0,1,0)</f>
        <v>1</v>
      </c>
      <c r="AS1509" t="str">
        <f>IF(SUM(ifood_data[[#This Row],[Kidhome]:[Teenhome]])&gt;0,"Has Family","No Family")</f>
        <v>Has Family</v>
      </c>
      <c r="AT1509" t="str">
        <f>IF(ifood_data[[#This Row],[marital_Married]]=1,"Married", (IF(ifood_data[[#This Row],[marital_Single]]=1,"Single",(IF(ifood_data[[#This Row],[marital_Divorced]]=1,"Divorced",(IF(ifood_data[[#This Row],[marital_Together]]=1,"Living Together",(IF(ifood_data[[#This Row],[marital_Widow]]=1,"Widow","Other")))))))))</f>
        <v>Single</v>
      </c>
      <c r="AU1509" t="str">
        <f>IF(ifood_data[[#This Row],[education_Basic]]=1,"High School",(IF(ifood_data[[#This Row],[education_Graduation]]=1,"Undergraduate Degree",(IF(SUM(AM1509,AL1509,AI1509)&gt;0,"Master's Degree or Higher","Other")))))</f>
        <v>Master's Degree or Higher</v>
      </c>
      <c r="AV1509" t="str">
        <f>IF(ifood_data[[#All],[Income]]&gt;75000,"75K+",(IF(ifood_data[[#All],[Income]]&gt;50000,"50K-75K",(IF(ifood_data[[#All],[Income]]&gt;35000,"35K-50K","&lt;35K")))))</f>
        <v>35K-50K</v>
      </c>
      <c r="AW1509" t="str">
        <f>IF(ifood_data[[#All],[Age]]&gt;60,"60+",(IF(ifood_data[[#All],[Age]]&gt;50,"50-60",(IF(ifood_data[[#All],[Age]]&gt;40,"40-50",(IF(ifood_data[[#All],[Age]]&gt;30,"30-40","&lt;30")))))))</f>
        <v>30-40</v>
      </c>
      <c r="AX1509">
        <f t="shared" si="92"/>
        <v>14</v>
      </c>
      <c r="AY1509">
        <f t="shared" si="93"/>
        <v>1.9999999999999996</v>
      </c>
      <c r="AZ1509">
        <f t="shared" si="94"/>
        <v>2</v>
      </c>
      <c r="BA1509">
        <f t="shared" si="95"/>
        <v>1</v>
      </c>
      <c r="BB1509">
        <f>SUM(ifood_data[[#This Row],[Recency Score]:[Monetary Score]])</f>
        <v>5</v>
      </c>
      <c r="BC1509">
        <f>(_xlfn.PERCENTRANK.INC(ifood_data[[#All],[RFM]],ifood_data[[#This Row],[RFM]],1))*10</f>
        <v>0</v>
      </c>
      <c r="BD1509" t="str">
        <f>VLOOKUP(ifood_data[[#This Row],[RFM Score]],'RFM Analysis'!$A$3:$B$14,2,FALSE)</f>
        <v>Lost</v>
      </c>
      <c r="BE1509">
        <f>'Regression Models'!$B$101+'Regression Models'!$B$102*ifood_data[[#This Row],[Income]]+'Regression Models'!$B$103*ifood_data[[#This Row],[Age]]+'Regression Models'!$B$104*ifood_data[[#This Row],[Family]]</f>
        <v>185.72041494546994</v>
      </c>
      <c r="BF1509" t="str">
        <f>IF(ifood_data[[#This Row],[AcceptedCmpOverall]]=1,"Campaign Respondent","Non-respondent")</f>
        <v>Non-respondent</v>
      </c>
    </row>
    <row r="1510" spans="1:58" x14ac:dyDescent="0.35">
      <c r="A1510">
        <v>279</v>
      </c>
      <c r="B1510">
        <v>35388</v>
      </c>
      <c r="C1510">
        <v>1</v>
      </c>
      <c r="D1510">
        <v>0</v>
      </c>
      <c r="E1510">
        <v>20</v>
      </c>
      <c r="F1510">
        <v>6</v>
      </c>
      <c r="G1510">
        <v>4</v>
      </c>
      <c r="H1510">
        <v>7</v>
      </c>
      <c r="I1510">
        <v>4</v>
      </c>
      <c r="J1510">
        <v>3</v>
      </c>
      <c r="K1510">
        <v>8</v>
      </c>
      <c r="L1510">
        <v>1</v>
      </c>
      <c r="M1510">
        <v>1</v>
      </c>
      <c r="N1510">
        <v>0</v>
      </c>
      <c r="O1510">
        <v>3</v>
      </c>
      <c r="P1510">
        <v>7</v>
      </c>
      <c r="Q1510">
        <v>0</v>
      </c>
      <c r="R1510">
        <v>0</v>
      </c>
      <c r="S1510">
        <v>0</v>
      </c>
      <c r="T1510">
        <v>0</v>
      </c>
      <c r="U1510">
        <v>0</v>
      </c>
      <c r="V1510">
        <f>IF(SUM(ifood_data[[#This Row],[AcceptedCmp1]:[AcceptedCmp5]])&gt;0,1,0)</f>
        <v>0</v>
      </c>
      <c r="W1510">
        <v>0</v>
      </c>
      <c r="X1510">
        <v>3</v>
      </c>
      <c r="Y1510">
        <v>11</v>
      </c>
      <c r="Z1510">
        <v>0</v>
      </c>
      <c r="AA1510">
        <v>32</v>
      </c>
      <c r="AB1510">
        <v>2638</v>
      </c>
      <c r="AC1510" s="28">
        <f>ifood_data[[#This Row],[Customer_Days]]/365</f>
        <v>7.2273972602739729</v>
      </c>
      <c r="AD1510">
        <v>1</v>
      </c>
      <c r="AE1510">
        <v>0</v>
      </c>
      <c r="AF1510">
        <v>0</v>
      </c>
      <c r="AG1510">
        <v>0</v>
      </c>
      <c r="AH1510">
        <v>0</v>
      </c>
      <c r="AI1510">
        <v>1</v>
      </c>
      <c r="AJ1510">
        <v>0</v>
      </c>
      <c r="AK1510">
        <v>0</v>
      </c>
      <c r="AL1510">
        <v>0</v>
      </c>
      <c r="AM1510">
        <v>0</v>
      </c>
      <c r="AN1510">
        <v>24</v>
      </c>
      <c r="AO1510">
        <v>16</v>
      </c>
      <c r="AP1510">
        <f>ifood_data[[#This Row],[MntTotal]]-ifood_data[[#This Row],[MntRegularProds]]</f>
        <v>8</v>
      </c>
      <c r="AQ1510">
        <v>0</v>
      </c>
      <c r="AR1510">
        <f>IF(SUM(ifood_data[[#This Row],[Kidhome]:[Teenhome]])&gt;0,1,0)</f>
        <v>1</v>
      </c>
      <c r="AS1510" t="str">
        <f>IF(SUM(ifood_data[[#This Row],[Kidhome]:[Teenhome]])&gt;0,"Has Family","No Family")</f>
        <v>Has Family</v>
      </c>
      <c r="AT1510" t="str">
        <f>IF(ifood_data[[#This Row],[marital_Married]]=1,"Married", (IF(ifood_data[[#This Row],[marital_Single]]=1,"Single",(IF(ifood_data[[#This Row],[marital_Divorced]]=1,"Divorced",(IF(ifood_data[[#This Row],[marital_Together]]=1,"Living Together",(IF(ifood_data[[#This Row],[marital_Widow]]=1,"Widow","Other")))))))))</f>
        <v>Divorced</v>
      </c>
      <c r="AU1510" t="str">
        <f>IF(ifood_data[[#This Row],[education_Basic]]=1,"High School",(IF(ifood_data[[#This Row],[education_Graduation]]=1,"Undergraduate Degree",(IF(SUM(AM1510,AL1510,AI1510)&gt;0,"Master's Degree or Higher","Other")))))</f>
        <v>Master's Degree or Higher</v>
      </c>
      <c r="AV1510" t="str">
        <f>IF(ifood_data[[#All],[Income]]&gt;75000,"75K+",(IF(ifood_data[[#All],[Income]]&gt;50000,"50K-75K",(IF(ifood_data[[#All],[Income]]&gt;35000,"35K-50K","&lt;35K")))))</f>
        <v>35K-50K</v>
      </c>
      <c r="AW1510" t="str">
        <f>IF(ifood_data[[#All],[Age]]&gt;60,"60+",(IF(ifood_data[[#All],[Age]]&gt;50,"50-60",(IF(ifood_data[[#All],[Age]]&gt;40,"40-50",(IF(ifood_data[[#All],[Age]]&gt;30,"30-40","&lt;30")))))))</f>
        <v>30-40</v>
      </c>
      <c r="AX1510">
        <f t="shared" si="92"/>
        <v>12</v>
      </c>
      <c r="AY1510">
        <f t="shared" si="93"/>
        <v>8</v>
      </c>
      <c r="AZ1510">
        <f t="shared" si="94"/>
        <v>1</v>
      </c>
      <c r="BA1510">
        <f t="shared" si="95"/>
        <v>0</v>
      </c>
      <c r="BB1510">
        <f>SUM(ifood_data[[#This Row],[Recency Score]:[Monetary Score]])</f>
        <v>9</v>
      </c>
      <c r="BC1510">
        <f>(_xlfn.PERCENTRANK.INC(ifood_data[[#All],[RFM]],ifood_data[[#This Row],[RFM]],1))*10</f>
        <v>1</v>
      </c>
      <c r="BD1510" t="str">
        <f>VLOOKUP(ifood_data[[#This Row],[RFM Score]],'RFM Analysis'!$A$3:$B$14,2,FALSE)</f>
        <v>At Risk</v>
      </c>
      <c r="BE1510">
        <f>'Regression Models'!$B$101+'Regression Models'!$B$102*ifood_data[[#This Row],[Income]]+'Regression Models'!$B$103*ifood_data[[#This Row],[Age]]+'Regression Models'!$B$104*ifood_data[[#This Row],[Family]]</f>
        <v>185.32278920419554</v>
      </c>
      <c r="BF1510" t="str">
        <f>IF(ifood_data[[#This Row],[AcceptedCmpOverall]]=1,"Campaign Respondent","Non-respondent")</f>
        <v>Non-respondent</v>
      </c>
    </row>
    <row r="1511" spans="1:58" x14ac:dyDescent="0.35">
      <c r="A1511">
        <v>349</v>
      </c>
      <c r="B1511">
        <v>35684</v>
      </c>
      <c r="C1511">
        <v>1</v>
      </c>
      <c r="D1511">
        <v>0</v>
      </c>
      <c r="E1511">
        <v>66</v>
      </c>
      <c r="F1511">
        <v>10</v>
      </c>
      <c r="G1511">
        <v>4</v>
      </c>
      <c r="H1511">
        <v>7</v>
      </c>
      <c r="I1511">
        <v>0</v>
      </c>
      <c r="J1511">
        <v>6</v>
      </c>
      <c r="K1511">
        <v>3</v>
      </c>
      <c r="L1511">
        <v>1</v>
      </c>
      <c r="M1511">
        <v>1</v>
      </c>
      <c r="N1511">
        <v>0</v>
      </c>
      <c r="O1511">
        <v>3</v>
      </c>
      <c r="P1511">
        <v>6</v>
      </c>
      <c r="Q1511">
        <v>0</v>
      </c>
      <c r="R1511">
        <v>0</v>
      </c>
      <c r="S1511">
        <v>0</v>
      </c>
      <c r="T1511">
        <v>0</v>
      </c>
      <c r="U1511">
        <v>0</v>
      </c>
      <c r="V1511">
        <f>IF(SUM(ifood_data[[#This Row],[AcceptedCmp1]:[AcceptedCmp5]])&gt;0,1,0)</f>
        <v>0</v>
      </c>
      <c r="W1511">
        <v>0</v>
      </c>
      <c r="X1511">
        <v>3</v>
      </c>
      <c r="Y1511">
        <v>11</v>
      </c>
      <c r="Z1511">
        <v>0</v>
      </c>
      <c r="AA1511">
        <v>36</v>
      </c>
      <c r="AB1511">
        <v>2227</v>
      </c>
      <c r="AC1511" s="28">
        <f>ifood_data[[#This Row],[Customer_Days]]/365</f>
        <v>6.1013698630136988</v>
      </c>
      <c r="AD1511">
        <v>0</v>
      </c>
      <c r="AE1511">
        <v>1</v>
      </c>
      <c r="AF1511">
        <v>0</v>
      </c>
      <c r="AG1511">
        <v>0</v>
      </c>
      <c r="AH1511">
        <v>0</v>
      </c>
      <c r="AI1511">
        <v>1</v>
      </c>
      <c r="AJ1511">
        <v>0</v>
      </c>
      <c r="AK1511">
        <v>0</v>
      </c>
      <c r="AL1511">
        <v>0</v>
      </c>
      <c r="AM1511">
        <v>0</v>
      </c>
      <c r="AN1511">
        <v>27</v>
      </c>
      <c r="AO1511">
        <v>24</v>
      </c>
      <c r="AP1511">
        <f>ifood_data[[#This Row],[MntTotal]]-ifood_data[[#This Row],[MntRegularProds]]</f>
        <v>3</v>
      </c>
      <c r="AQ1511">
        <v>0</v>
      </c>
      <c r="AR1511">
        <f>IF(SUM(ifood_data[[#This Row],[Kidhome]:[Teenhome]])&gt;0,1,0)</f>
        <v>1</v>
      </c>
      <c r="AS1511" t="str">
        <f>IF(SUM(ifood_data[[#This Row],[Kidhome]:[Teenhome]])&gt;0,"Has Family","No Family")</f>
        <v>Has Family</v>
      </c>
      <c r="AT1511" t="str">
        <f>IF(ifood_data[[#This Row],[marital_Married]]=1,"Married", (IF(ifood_data[[#This Row],[marital_Single]]=1,"Single",(IF(ifood_data[[#This Row],[marital_Divorced]]=1,"Divorced",(IF(ifood_data[[#This Row],[marital_Together]]=1,"Living Together",(IF(ifood_data[[#This Row],[marital_Widow]]=1,"Widow","Other")))))))))</f>
        <v>Married</v>
      </c>
      <c r="AU1511" t="str">
        <f>IF(ifood_data[[#This Row],[education_Basic]]=1,"High School",(IF(ifood_data[[#This Row],[education_Graduation]]=1,"Undergraduate Degree",(IF(SUM(AM1511,AL1511,AI1511)&gt;0,"Master's Degree or Higher","Other")))))</f>
        <v>Master's Degree or Higher</v>
      </c>
      <c r="AV1511" t="str">
        <f>IF(ifood_data[[#All],[Income]]&gt;75000,"75K+",(IF(ifood_data[[#All],[Income]]&gt;50000,"50K-75K",(IF(ifood_data[[#All],[Income]]&gt;35000,"35K-50K","&lt;35K")))))</f>
        <v>35K-50K</v>
      </c>
      <c r="AW1511" t="str">
        <f>IF(ifood_data[[#All],[Age]]&gt;60,"60+",(IF(ifood_data[[#All],[Age]]&gt;50,"50-60",(IF(ifood_data[[#All],[Age]]&gt;40,"40-50",(IF(ifood_data[[#All],[Age]]&gt;30,"30-40","&lt;30")))))))</f>
        <v>30-40</v>
      </c>
      <c r="AX1511">
        <f t="shared" si="92"/>
        <v>11</v>
      </c>
      <c r="AY1511">
        <f t="shared" si="93"/>
        <v>4</v>
      </c>
      <c r="AZ1511">
        <f t="shared" si="94"/>
        <v>0</v>
      </c>
      <c r="BA1511">
        <f t="shared" si="95"/>
        <v>0</v>
      </c>
      <c r="BB1511">
        <f>SUM(ifood_data[[#This Row],[Recency Score]:[Monetary Score]])</f>
        <v>4</v>
      </c>
      <c r="BC1511">
        <f>(_xlfn.PERCENTRANK.INC(ifood_data[[#All],[RFM]],ifood_data[[#This Row],[RFM]],1))*10</f>
        <v>0</v>
      </c>
      <c r="BD1511" t="str">
        <f>VLOOKUP(ifood_data[[#This Row],[RFM Score]],'RFM Analysis'!$A$3:$B$14,2,FALSE)</f>
        <v>Lost</v>
      </c>
      <c r="BE1511">
        <f>'Regression Models'!$B$101+'Regression Models'!$B$102*ifood_data[[#This Row],[Income]]+'Regression Models'!$B$103*ifood_data[[#This Row],[Age]]+'Regression Models'!$B$104*ifood_data[[#This Row],[Family]]</f>
        <v>184.01210825921254</v>
      </c>
      <c r="BF1511" t="str">
        <f>IF(ifood_data[[#This Row],[AcceptedCmpOverall]]=1,"Campaign Respondent","Non-respondent")</f>
        <v>Non-respondent</v>
      </c>
    </row>
    <row r="1512" spans="1:58" x14ac:dyDescent="0.35">
      <c r="A1512">
        <v>366</v>
      </c>
      <c r="B1512">
        <v>38823</v>
      </c>
      <c r="C1512">
        <v>0</v>
      </c>
      <c r="D1512">
        <v>1</v>
      </c>
      <c r="E1512">
        <v>56</v>
      </c>
      <c r="F1512">
        <v>70</v>
      </c>
      <c r="G1512">
        <v>0</v>
      </c>
      <c r="H1512">
        <v>11</v>
      </c>
      <c r="I1512">
        <v>2</v>
      </c>
      <c r="J1512">
        <v>8</v>
      </c>
      <c r="K1512">
        <v>23</v>
      </c>
      <c r="L1512">
        <v>1</v>
      </c>
      <c r="M1512">
        <v>2</v>
      </c>
      <c r="N1512">
        <v>1</v>
      </c>
      <c r="O1512">
        <v>3</v>
      </c>
      <c r="P1512">
        <v>6</v>
      </c>
      <c r="Q1512">
        <v>0</v>
      </c>
      <c r="R1512">
        <v>0</v>
      </c>
      <c r="S1512">
        <v>0</v>
      </c>
      <c r="T1512">
        <v>0</v>
      </c>
      <c r="U1512">
        <v>0</v>
      </c>
      <c r="V1512">
        <f>IF(SUM(ifood_data[[#This Row],[AcceptedCmp1]:[AcceptedCmp5]])&gt;0,1,0)</f>
        <v>0</v>
      </c>
      <c r="W1512">
        <v>0</v>
      </c>
      <c r="X1512">
        <v>3</v>
      </c>
      <c r="Y1512">
        <v>11</v>
      </c>
      <c r="Z1512">
        <v>0</v>
      </c>
      <c r="AA1512">
        <v>71</v>
      </c>
      <c r="AB1512">
        <v>2827</v>
      </c>
      <c r="AC1512" s="28">
        <f>ifood_data[[#This Row],[Customer_Days]]/365</f>
        <v>7.7452054794520544</v>
      </c>
      <c r="AD1512">
        <v>0</v>
      </c>
      <c r="AE1512">
        <v>0</v>
      </c>
      <c r="AF1512">
        <v>0</v>
      </c>
      <c r="AG1512">
        <v>1</v>
      </c>
      <c r="AH1512">
        <v>0</v>
      </c>
      <c r="AI1512">
        <v>0</v>
      </c>
      <c r="AJ1512">
        <v>0</v>
      </c>
      <c r="AK1512">
        <v>1</v>
      </c>
      <c r="AL1512">
        <v>0</v>
      </c>
      <c r="AM1512">
        <v>0</v>
      </c>
      <c r="AN1512">
        <v>91</v>
      </c>
      <c r="AO1512">
        <v>68</v>
      </c>
      <c r="AP1512">
        <f>ifood_data[[#This Row],[MntTotal]]-ifood_data[[#This Row],[MntRegularProds]]</f>
        <v>23</v>
      </c>
      <c r="AQ1512">
        <v>0</v>
      </c>
      <c r="AR1512">
        <f>IF(SUM(ifood_data[[#This Row],[Kidhome]:[Teenhome]])&gt;0,1,0)</f>
        <v>1</v>
      </c>
      <c r="AS1512" t="str">
        <f>IF(SUM(ifood_data[[#This Row],[Kidhome]:[Teenhome]])&gt;0,"Has Family","No Family")</f>
        <v>Has Family</v>
      </c>
      <c r="AT1512" t="str">
        <f>IF(ifood_data[[#This Row],[marital_Married]]=1,"Married", (IF(ifood_data[[#This Row],[marital_Single]]=1,"Single",(IF(ifood_data[[#This Row],[marital_Divorced]]=1,"Divorced",(IF(ifood_data[[#This Row],[marital_Together]]=1,"Living Together",(IF(ifood_data[[#This Row],[marital_Widow]]=1,"Widow","Other")))))))))</f>
        <v>Living Together</v>
      </c>
      <c r="AU1512" t="str">
        <f>IF(ifood_data[[#This Row],[education_Basic]]=1,"High School",(IF(ifood_data[[#This Row],[education_Graduation]]=1,"Undergraduate Degree",(IF(SUM(AM1512,AL1512,AI1512)&gt;0,"Master's Degree or Higher","Other")))))</f>
        <v>Undergraduate Degree</v>
      </c>
      <c r="AV1512" t="str">
        <f>IF(ifood_data[[#All],[Income]]&gt;75000,"75K+",(IF(ifood_data[[#All],[Income]]&gt;50000,"50K-75K",(IF(ifood_data[[#All],[Income]]&gt;35000,"35K-50K","&lt;35K")))))</f>
        <v>35K-50K</v>
      </c>
      <c r="AW1512" t="str">
        <f>IF(ifood_data[[#All],[Age]]&gt;60,"60+",(IF(ifood_data[[#All],[Age]]&gt;50,"50-60",(IF(ifood_data[[#All],[Age]]&gt;40,"40-50",(IF(ifood_data[[#All],[Age]]&gt;30,"30-40","&lt;30")))))))</f>
        <v>60+</v>
      </c>
      <c r="AX1512">
        <f t="shared" si="92"/>
        <v>13</v>
      </c>
      <c r="AY1512">
        <f t="shared" si="93"/>
        <v>5</v>
      </c>
      <c r="AZ1512">
        <f t="shared" si="94"/>
        <v>1</v>
      </c>
      <c r="BA1512">
        <f t="shared" si="95"/>
        <v>3</v>
      </c>
      <c r="BB1512">
        <f>SUM(ifood_data[[#This Row],[Recency Score]:[Monetary Score]])</f>
        <v>9</v>
      </c>
      <c r="BC1512">
        <f>(_xlfn.PERCENTRANK.INC(ifood_data[[#All],[RFM]],ifood_data[[#This Row],[RFM]],1))*10</f>
        <v>1</v>
      </c>
      <c r="BD1512" t="str">
        <f>VLOOKUP(ifood_data[[#This Row],[RFM Score]],'RFM Analysis'!$A$3:$B$14,2,FALSE)</f>
        <v>At Risk</v>
      </c>
      <c r="BE1512">
        <f>'Regression Models'!$B$101+'Regression Models'!$B$102*ifood_data[[#This Row],[Income]]+'Regression Models'!$B$103*ifood_data[[#This Row],[Age]]+'Regression Models'!$B$104*ifood_data[[#This Row],[Family]]</f>
        <v>183.73708370161148</v>
      </c>
      <c r="BF1512" t="str">
        <f>IF(ifood_data[[#This Row],[AcceptedCmpOverall]]=1,"Campaign Respondent","Non-respondent")</f>
        <v>Non-respondent</v>
      </c>
    </row>
    <row r="1513" spans="1:58" x14ac:dyDescent="0.35">
      <c r="A1513">
        <v>1644</v>
      </c>
      <c r="B1513">
        <v>36273</v>
      </c>
      <c r="C1513">
        <v>1</v>
      </c>
      <c r="D1513">
        <v>0</v>
      </c>
      <c r="E1513">
        <v>80</v>
      </c>
      <c r="F1513">
        <v>29</v>
      </c>
      <c r="G1513">
        <v>3</v>
      </c>
      <c r="H1513">
        <v>30</v>
      </c>
      <c r="I1513">
        <v>3</v>
      </c>
      <c r="J1513">
        <v>2</v>
      </c>
      <c r="K1513">
        <v>9</v>
      </c>
      <c r="L1513">
        <v>2</v>
      </c>
      <c r="M1513">
        <v>3</v>
      </c>
      <c r="N1513">
        <v>0</v>
      </c>
      <c r="O1513">
        <v>3</v>
      </c>
      <c r="P1513">
        <v>6</v>
      </c>
      <c r="Q1513">
        <v>0</v>
      </c>
      <c r="R1513">
        <v>0</v>
      </c>
      <c r="S1513">
        <v>0</v>
      </c>
      <c r="T1513">
        <v>0</v>
      </c>
      <c r="U1513">
        <v>0</v>
      </c>
      <c r="V1513">
        <f>IF(SUM(ifood_data[[#This Row],[AcceptedCmp1]:[AcceptedCmp5]])&gt;0,1,0)</f>
        <v>0</v>
      </c>
      <c r="W1513">
        <v>0</v>
      </c>
      <c r="X1513">
        <v>3</v>
      </c>
      <c r="Y1513">
        <v>11</v>
      </c>
      <c r="Z1513">
        <v>0</v>
      </c>
      <c r="AA1513">
        <v>43</v>
      </c>
      <c r="AB1513">
        <v>2233</v>
      </c>
      <c r="AC1513" s="28">
        <f>ifood_data[[#This Row],[Customer_Days]]/365</f>
        <v>6.117808219178082</v>
      </c>
      <c r="AD1513">
        <v>0</v>
      </c>
      <c r="AE1513">
        <v>0</v>
      </c>
      <c r="AF1513">
        <v>1</v>
      </c>
      <c r="AG1513">
        <v>0</v>
      </c>
      <c r="AH1513">
        <v>0</v>
      </c>
      <c r="AI1513">
        <v>0</v>
      </c>
      <c r="AJ1513">
        <v>0</v>
      </c>
      <c r="AK1513">
        <v>0</v>
      </c>
      <c r="AL1513">
        <v>1</v>
      </c>
      <c r="AM1513">
        <v>0</v>
      </c>
      <c r="AN1513">
        <v>67</v>
      </c>
      <c r="AO1513">
        <v>58</v>
      </c>
      <c r="AP1513">
        <f>ifood_data[[#This Row],[MntTotal]]-ifood_data[[#This Row],[MntRegularProds]]</f>
        <v>9</v>
      </c>
      <c r="AQ1513">
        <v>0</v>
      </c>
      <c r="AR1513">
        <f>IF(SUM(ifood_data[[#This Row],[Kidhome]:[Teenhome]])&gt;0,1,0)</f>
        <v>1</v>
      </c>
      <c r="AS1513" t="str">
        <f>IF(SUM(ifood_data[[#This Row],[Kidhome]:[Teenhome]])&gt;0,"Has Family","No Family")</f>
        <v>Has Family</v>
      </c>
      <c r="AT1513" t="str">
        <f>IF(ifood_data[[#This Row],[marital_Married]]=1,"Married", (IF(ifood_data[[#This Row],[marital_Single]]=1,"Single",(IF(ifood_data[[#This Row],[marital_Divorced]]=1,"Divorced",(IF(ifood_data[[#This Row],[marital_Together]]=1,"Living Together",(IF(ifood_data[[#This Row],[marital_Widow]]=1,"Widow","Other")))))))))</f>
        <v>Single</v>
      </c>
      <c r="AU1513" t="str">
        <f>IF(ifood_data[[#This Row],[education_Basic]]=1,"High School",(IF(ifood_data[[#This Row],[education_Graduation]]=1,"Undergraduate Degree",(IF(SUM(AM1513,AL1513,AI1513)&gt;0,"Master's Degree or Higher","Other")))))</f>
        <v>Master's Degree or Higher</v>
      </c>
      <c r="AV1513" t="str">
        <f>IF(ifood_data[[#All],[Income]]&gt;75000,"75K+",(IF(ifood_data[[#All],[Income]]&gt;50000,"50K-75K",(IF(ifood_data[[#All],[Income]]&gt;35000,"35K-50K","&lt;35K")))))</f>
        <v>35K-50K</v>
      </c>
      <c r="AW1513" t="str">
        <f>IF(ifood_data[[#All],[Age]]&gt;60,"60+",(IF(ifood_data[[#All],[Age]]&gt;50,"50-60",(IF(ifood_data[[#All],[Age]]&gt;40,"40-50",(IF(ifood_data[[#All],[Age]]&gt;30,"30-40","&lt;30")))))))</f>
        <v>40-50</v>
      </c>
      <c r="AX1513">
        <f t="shared" si="92"/>
        <v>14</v>
      </c>
      <c r="AY1513">
        <f t="shared" si="93"/>
        <v>1.9999999999999996</v>
      </c>
      <c r="AZ1513">
        <f t="shared" si="94"/>
        <v>2</v>
      </c>
      <c r="BA1513">
        <f t="shared" si="95"/>
        <v>2</v>
      </c>
      <c r="BB1513">
        <f>SUM(ifood_data[[#This Row],[Recency Score]:[Monetary Score]])</f>
        <v>6</v>
      </c>
      <c r="BC1513">
        <f>(_xlfn.PERCENTRANK.INC(ifood_data[[#All],[RFM]],ifood_data[[#This Row],[RFM]],1))*10</f>
        <v>0</v>
      </c>
      <c r="BD1513" t="str">
        <f>VLOOKUP(ifood_data[[#This Row],[RFM Score]],'RFM Analysis'!$A$3:$B$14,2,FALSE)</f>
        <v>Lost</v>
      </c>
      <c r="BE1513">
        <f>'Regression Models'!$B$101+'Regression Models'!$B$102*ifood_data[[#This Row],[Income]]+'Regression Models'!$B$103*ifood_data[[#This Row],[Age]]+'Regression Models'!$B$104*ifood_data[[#This Row],[Family]]</f>
        <v>183.16601914370904</v>
      </c>
      <c r="BF1513" t="str">
        <f>IF(ifood_data[[#This Row],[AcceptedCmpOverall]]=1,"Campaign Respondent","Non-respondent")</f>
        <v>Non-respondent</v>
      </c>
    </row>
    <row r="1514" spans="1:58" x14ac:dyDescent="0.35">
      <c r="A1514">
        <v>1502</v>
      </c>
      <c r="B1514">
        <v>36301</v>
      </c>
      <c r="C1514">
        <v>1</v>
      </c>
      <c r="D1514">
        <v>0</v>
      </c>
      <c r="E1514">
        <v>53</v>
      </c>
      <c r="F1514">
        <v>11</v>
      </c>
      <c r="G1514">
        <v>12</v>
      </c>
      <c r="H1514">
        <v>35</v>
      </c>
      <c r="I1514">
        <v>3</v>
      </c>
      <c r="J1514">
        <v>5</v>
      </c>
      <c r="K1514">
        <v>12</v>
      </c>
      <c r="L1514">
        <v>1</v>
      </c>
      <c r="M1514">
        <v>3</v>
      </c>
      <c r="N1514">
        <v>0</v>
      </c>
      <c r="O1514">
        <v>3</v>
      </c>
      <c r="P1514">
        <v>7</v>
      </c>
      <c r="Q1514">
        <v>0</v>
      </c>
      <c r="R1514">
        <v>0</v>
      </c>
      <c r="S1514">
        <v>0</v>
      </c>
      <c r="T1514">
        <v>0</v>
      </c>
      <c r="U1514">
        <v>0</v>
      </c>
      <c r="V1514">
        <f>IF(SUM(ifood_data[[#This Row],[AcceptedCmp1]:[AcceptedCmp5]])&gt;0,1,0)</f>
        <v>0</v>
      </c>
      <c r="W1514">
        <v>0</v>
      </c>
      <c r="X1514">
        <v>3</v>
      </c>
      <c r="Y1514">
        <v>11</v>
      </c>
      <c r="Z1514">
        <v>0</v>
      </c>
      <c r="AA1514">
        <v>44</v>
      </c>
      <c r="AB1514">
        <v>2406</v>
      </c>
      <c r="AC1514" s="28">
        <f>ifood_data[[#This Row],[Customer_Days]]/365</f>
        <v>6.5917808219178085</v>
      </c>
      <c r="AD1514">
        <v>0</v>
      </c>
      <c r="AE1514">
        <v>0</v>
      </c>
      <c r="AF1514">
        <v>0</v>
      </c>
      <c r="AG1514">
        <v>1</v>
      </c>
      <c r="AH1514">
        <v>0</v>
      </c>
      <c r="AI1514">
        <v>1</v>
      </c>
      <c r="AJ1514">
        <v>0</v>
      </c>
      <c r="AK1514">
        <v>0</v>
      </c>
      <c r="AL1514">
        <v>0</v>
      </c>
      <c r="AM1514">
        <v>0</v>
      </c>
      <c r="AN1514">
        <v>66</v>
      </c>
      <c r="AO1514">
        <v>54</v>
      </c>
      <c r="AP1514">
        <f>ifood_data[[#This Row],[MntTotal]]-ifood_data[[#This Row],[MntRegularProds]]</f>
        <v>12</v>
      </c>
      <c r="AQ1514">
        <v>0</v>
      </c>
      <c r="AR1514">
        <f>IF(SUM(ifood_data[[#This Row],[Kidhome]:[Teenhome]])&gt;0,1,0)</f>
        <v>1</v>
      </c>
      <c r="AS1514" t="str">
        <f>IF(SUM(ifood_data[[#This Row],[Kidhome]:[Teenhome]])&gt;0,"Has Family","No Family")</f>
        <v>Has Family</v>
      </c>
      <c r="AT1514" t="str">
        <f>IF(ifood_data[[#This Row],[marital_Married]]=1,"Married", (IF(ifood_data[[#This Row],[marital_Single]]=1,"Single",(IF(ifood_data[[#This Row],[marital_Divorced]]=1,"Divorced",(IF(ifood_data[[#This Row],[marital_Together]]=1,"Living Together",(IF(ifood_data[[#This Row],[marital_Widow]]=1,"Widow","Other")))))))))</f>
        <v>Living Together</v>
      </c>
      <c r="AU1514" t="str">
        <f>IF(ifood_data[[#This Row],[education_Basic]]=1,"High School",(IF(ifood_data[[#This Row],[education_Graduation]]=1,"Undergraduate Degree",(IF(SUM(AM1514,AL1514,AI1514)&gt;0,"Master's Degree or Higher","Other")))))</f>
        <v>Master's Degree or Higher</v>
      </c>
      <c r="AV1514" t="str">
        <f>IF(ifood_data[[#All],[Income]]&gt;75000,"75K+",(IF(ifood_data[[#All],[Income]]&gt;50000,"50K-75K",(IF(ifood_data[[#All],[Income]]&gt;35000,"35K-50K","&lt;35K")))))</f>
        <v>35K-50K</v>
      </c>
      <c r="AW1514" t="str">
        <f>IF(ifood_data[[#All],[Age]]&gt;60,"60+",(IF(ifood_data[[#All],[Age]]&gt;50,"50-60",(IF(ifood_data[[#All],[Age]]&gt;40,"40-50",(IF(ifood_data[[#All],[Age]]&gt;30,"30-40","&lt;30")))))))</f>
        <v>40-50</v>
      </c>
      <c r="AX1514">
        <f t="shared" si="92"/>
        <v>14</v>
      </c>
      <c r="AY1514">
        <f t="shared" si="93"/>
        <v>5</v>
      </c>
      <c r="AZ1514">
        <f t="shared" si="94"/>
        <v>2</v>
      </c>
      <c r="BA1514">
        <f t="shared" si="95"/>
        <v>2</v>
      </c>
      <c r="BB1514">
        <f>SUM(ifood_data[[#This Row],[Recency Score]:[Monetary Score]])</f>
        <v>9</v>
      </c>
      <c r="BC1514">
        <f>(_xlfn.PERCENTRANK.INC(ifood_data[[#All],[RFM]],ifood_data[[#This Row],[RFM]],1))*10</f>
        <v>1</v>
      </c>
      <c r="BD1514" t="str">
        <f>VLOOKUP(ifood_data[[#This Row],[RFM Score]],'RFM Analysis'!$A$3:$B$14,2,FALSE)</f>
        <v>At Risk</v>
      </c>
      <c r="BE1514">
        <f>'Regression Models'!$B$101+'Regression Models'!$B$102*ifood_data[[#This Row],[Income]]+'Regression Models'!$B$103*ifood_data[[#This Row],[Age]]+'Regression Models'!$B$104*ifood_data[[#This Row],[Family]]</f>
        <v>181.90046557284393</v>
      </c>
      <c r="BF1514" t="str">
        <f>IF(ifood_data[[#This Row],[AcceptedCmpOverall]]=1,"Campaign Respondent","Non-respondent")</f>
        <v>Non-respondent</v>
      </c>
    </row>
    <row r="1515" spans="1:58" x14ac:dyDescent="0.35">
      <c r="A1515">
        <v>739</v>
      </c>
      <c r="B1515">
        <v>36283</v>
      </c>
      <c r="C1515">
        <v>1</v>
      </c>
      <c r="D1515">
        <v>1</v>
      </c>
      <c r="E1515">
        <v>42</v>
      </c>
      <c r="F1515">
        <v>6</v>
      </c>
      <c r="G1515">
        <v>5</v>
      </c>
      <c r="H1515">
        <v>5</v>
      </c>
      <c r="I1515">
        <v>8</v>
      </c>
      <c r="J1515">
        <v>0</v>
      </c>
      <c r="K1515">
        <v>5</v>
      </c>
      <c r="L1515">
        <v>2</v>
      </c>
      <c r="M1515">
        <v>1</v>
      </c>
      <c r="N1515">
        <v>0</v>
      </c>
      <c r="O1515">
        <v>3</v>
      </c>
      <c r="P1515">
        <v>4</v>
      </c>
      <c r="Q1515">
        <v>0</v>
      </c>
      <c r="R1515">
        <v>0</v>
      </c>
      <c r="S1515">
        <v>0</v>
      </c>
      <c r="T1515">
        <v>0</v>
      </c>
      <c r="U1515">
        <v>0</v>
      </c>
      <c r="V1515">
        <f>IF(SUM(ifood_data[[#This Row],[AcceptedCmp1]:[AcceptedCmp5]])&gt;0,1,0)</f>
        <v>0</v>
      </c>
      <c r="W1515">
        <v>0</v>
      </c>
      <c r="X1515">
        <v>3</v>
      </c>
      <c r="Y1515">
        <v>11</v>
      </c>
      <c r="Z1515">
        <v>0</v>
      </c>
      <c r="AA1515">
        <v>44</v>
      </c>
      <c r="AB1515">
        <v>2235</v>
      </c>
      <c r="AC1515" s="28">
        <f>ifood_data[[#This Row],[Customer_Days]]/365</f>
        <v>6.1232876712328768</v>
      </c>
      <c r="AD1515">
        <v>0</v>
      </c>
      <c r="AE1515">
        <v>0</v>
      </c>
      <c r="AF1515">
        <v>0</v>
      </c>
      <c r="AG1515">
        <v>1</v>
      </c>
      <c r="AH1515">
        <v>0</v>
      </c>
      <c r="AI1515">
        <v>0</v>
      </c>
      <c r="AJ1515">
        <v>0</v>
      </c>
      <c r="AK1515">
        <v>1</v>
      </c>
      <c r="AL1515">
        <v>0</v>
      </c>
      <c r="AM1515">
        <v>0</v>
      </c>
      <c r="AN1515">
        <v>24</v>
      </c>
      <c r="AO1515">
        <v>19</v>
      </c>
      <c r="AP1515">
        <f>ifood_data[[#This Row],[MntTotal]]-ifood_data[[#This Row],[MntRegularProds]]</f>
        <v>5</v>
      </c>
      <c r="AQ1515">
        <v>0</v>
      </c>
      <c r="AR1515">
        <f>IF(SUM(ifood_data[[#This Row],[Kidhome]:[Teenhome]])&gt;0,1,0)</f>
        <v>1</v>
      </c>
      <c r="AS1515" t="str">
        <f>IF(SUM(ifood_data[[#This Row],[Kidhome]:[Teenhome]])&gt;0,"Has Family","No Family")</f>
        <v>Has Family</v>
      </c>
      <c r="AT1515" t="str">
        <f>IF(ifood_data[[#This Row],[marital_Married]]=1,"Married", (IF(ifood_data[[#This Row],[marital_Single]]=1,"Single",(IF(ifood_data[[#This Row],[marital_Divorced]]=1,"Divorced",(IF(ifood_data[[#This Row],[marital_Together]]=1,"Living Together",(IF(ifood_data[[#This Row],[marital_Widow]]=1,"Widow","Other")))))))))</f>
        <v>Living Together</v>
      </c>
      <c r="AU1515" t="str">
        <f>IF(ifood_data[[#This Row],[education_Basic]]=1,"High School",(IF(ifood_data[[#This Row],[education_Graduation]]=1,"Undergraduate Degree",(IF(SUM(AM1515,AL1515,AI1515)&gt;0,"Master's Degree or Higher","Other")))))</f>
        <v>Undergraduate Degree</v>
      </c>
      <c r="AV1515" t="str">
        <f>IF(ifood_data[[#All],[Income]]&gt;75000,"75K+",(IF(ifood_data[[#All],[Income]]&gt;50000,"50K-75K",(IF(ifood_data[[#All],[Income]]&gt;35000,"35K-50K","&lt;35K")))))</f>
        <v>35K-50K</v>
      </c>
      <c r="AW1515" t="str">
        <f>IF(ifood_data[[#All],[Age]]&gt;60,"60+",(IF(ifood_data[[#All],[Age]]&gt;50,"50-60",(IF(ifood_data[[#All],[Age]]&gt;40,"40-50",(IF(ifood_data[[#All],[Age]]&gt;30,"30-40","&lt;30")))))))</f>
        <v>40-50</v>
      </c>
      <c r="AX1515">
        <f t="shared" si="92"/>
        <v>10</v>
      </c>
      <c r="AY1515">
        <f t="shared" si="93"/>
        <v>6</v>
      </c>
      <c r="AZ1515">
        <f t="shared" si="94"/>
        <v>0</v>
      </c>
      <c r="BA1515">
        <f t="shared" si="95"/>
        <v>0</v>
      </c>
      <c r="BB1515">
        <f>SUM(ifood_data[[#This Row],[Recency Score]:[Monetary Score]])</f>
        <v>6</v>
      </c>
      <c r="BC1515">
        <f>(_xlfn.PERCENTRANK.INC(ifood_data[[#All],[RFM]],ifood_data[[#This Row],[RFM]],1))*10</f>
        <v>0</v>
      </c>
      <c r="BD1515" t="str">
        <f>VLOOKUP(ifood_data[[#This Row],[RFM Score]],'RFM Analysis'!$A$3:$B$14,2,FALSE)</f>
        <v>Lost</v>
      </c>
      <c r="BE1515">
        <f>'Regression Models'!$B$101+'Regression Models'!$B$102*ifood_data[[#This Row],[Income]]+'Regression Models'!$B$103*ifood_data[[#This Row],[Age]]+'Regression Models'!$B$104*ifood_data[[#This Row],[Family]]</f>
        <v>181.53346774625368</v>
      </c>
      <c r="BF1515" t="str">
        <f>IF(ifood_data[[#This Row],[AcceptedCmpOverall]]=1,"Campaign Respondent","Non-respondent")</f>
        <v>Non-respondent</v>
      </c>
    </row>
    <row r="1516" spans="1:58" x14ac:dyDescent="0.35">
      <c r="A1516">
        <v>1940</v>
      </c>
      <c r="B1516">
        <v>36997</v>
      </c>
      <c r="C1516">
        <v>1</v>
      </c>
      <c r="D1516">
        <v>1</v>
      </c>
      <c r="E1516">
        <v>72</v>
      </c>
      <c r="F1516">
        <v>43</v>
      </c>
      <c r="G1516">
        <v>4</v>
      </c>
      <c r="H1516">
        <v>12</v>
      </c>
      <c r="I1516">
        <v>8</v>
      </c>
      <c r="J1516">
        <v>0</v>
      </c>
      <c r="K1516">
        <v>27</v>
      </c>
      <c r="L1516">
        <v>5</v>
      </c>
      <c r="M1516">
        <v>2</v>
      </c>
      <c r="N1516">
        <v>1</v>
      </c>
      <c r="O1516">
        <v>4</v>
      </c>
      <c r="P1516">
        <v>5</v>
      </c>
      <c r="Q1516">
        <v>0</v>
      </c>
      <c r="R1516">
        <v>0</v>
      </c>
      <c r="S1516">
        <v>0</v>
      </c>
      <c r="T1516">
        <v>0</v>
      </c>
      <c r="U1516">
        <v>0</v>
      </c>
      <c r="V1516">
        <f>IF(SUM(ifood_data[[#This Row],[AcceptedCmp1]:[AcceptedCmp5]])&gt;0,1,0)</f>
        <v>0</v>
      </c>
      <c r="W1516">
        <v>0</v>
      </c>
      <c r="X1516">
        <v>3</v>
      </c>
      <c r="Y1516">
        <v>11</v>
      </c>
      <c r="Z1516">
        <v>0</v>
      </c>
      <c r="AA1516">
        <v>52</v>
      </c>
      <c r="AB1516">
        <v>2672</v>
      </c>
      <c r="AC1516" s="28">
        <f>ifood_data[[#This Row],[Customer_Days]]/365</f>
        <v>7.3205479452054796</v>
      </c>
      <c r="AD1516">
        <v>1</v>
      </c>
      <c r="AE1516">
        <v>0</v>
      </c>
      <c r="AF1516">
        <v>0</v>
      </c>
      <c r="AG1516">
        <v>0</v>
      </c>
      <c r="AH1516">
        <v>0</v>
      </c>
      <c r="AI1516">
        <v>0</v>
      </c>
      <c r="AJ1516">
        <v>0</v>
      </c>
      <c r="AK1516">
        <v>1</v>
      </c>
      <c r="AL1516">
        <v>0</v>
      </c>
      <c r="AM1516">
        <v>0</v>
      </c>
      <c r="AN1516">
        <v>67</v>
      </c>
      <c r="AO1516">
        <v>40</v>
      </c>
      <c r="AP1516">
        <f>ifood_data[[#This Row],[MntTotal]]-ifood_data[[#This Row],[MntRegularProds]]</f>
        <v>27</v>
      </c>
      <c r="AQ1516">
        <v>0</v>
      </c>
      <c r="AR1516">
        <f>IF(SUM(ifood_data[[#This Row],[Kidhome]:[Teenhome]])&gt;0,1,0)</f>
        <v>1</v>
      </c>
      <c r="AS1516" t="str">
        <f>IF(SUM(ifood_data[[#This Row],[Kidhome]:[Teenhome]])&gt;0,"Has Family","No Family")</f>
        <v>Has Family</v>
      </c>
      <c r="AT1516" t="str">
        <f>IF(ifood_data[[#This Row],[marital_Married]]=1,"Married", (IF(ifood_data[[#This Row],[marital_Single]]=1,"Single",(IF(ifood_data[[#This Row],[marital_Divorced]]=1,"Divorced",(IF(ifood_data[[#This Row],[marital_Together]]=1,"Living Together",(IF(ifood_data[[#This Row],[marital_Widow]]=1,"Widow","Other")))))))))</f>
        <v>Divorced</v>
      </c>
      <c r="AU1516" t="str">
        <f>IF(ifood_data[[#This Row],[education_Basic]]=1,"High School",(IF(ifood_data[[#This Row],[education_Graduation]]=1,"Undergraduate Degree",(IF(SUM(AM1516,AL1516,AI1516)&gt;0,"Master's Degree or Higher","Other")))))</f>
        <v>Undergraduate Degree</v>
      </c>
      <c r="AV1516" t="str">
        <f>IF(ifood_data[[#All],[Income]]&gt;75000,"75K+",(IF(ifood_data[[#All],[Income]]&gt;50000,"50K-75K",(IF(ifood_data[[#All],[Income]]&gt;35000,"35K-50K","&lt;35K")))))</f>
        <v>35K-50K</v>
      </c>
      <c r="AW1516" t="str">
        <f>IF(ifood_data[[#All],[Age]]&gt;60,"60+",(IF(ifood_data[[#All],[Age]]&gt;50,"50-60",(IF(ifood_data[[#All],[Age]]&gt;40,"40-50",(IF(ifood_data[[#All],[Age]]&gt;30,"30-40","&lt;30")))))))</f>
        <v>50-60</v>
      </c>
      <c r="AX1516">
        <f t="shared" si="92"/>
        <v>17</v>
      </c>
      <c r="AY1516">
        <f t="shared" si="93"/>
        <v>3.0000000000000004</v>
      </c>
      <c r="AZ1516">
        <f t="shared" si="94"/>
        <v>3</v>
      </c>
      <c r="BA1516">
        <f t="shared" si="95"/>
        <v>2</v>
      </c>
      <c r="BB1516">
        <f>SUM(ifood_data[[#This Row],[Recency Score]:[Monetary Score]])</f>
        <v>8</v>
      </c>
      <c r="BC1516">
        <f>(_xlfn.PERCENTRANK.INC(ifood_data[[#All],[RFM]],ifood_data[[#This Row],[RFM]],1))*10</f>
        <v>1</v>
      </c>
      <c r="BD1516" t="str">
        <f>VLOOKUP(ifood_data[[#This Row],[RFM Score]],'RFM Analysis'!$A$3:$B$14,2,FALSE)</f>
        <v>At Risk</v>
      </c>
      <c r="BE1516">
        <f>'Regression Models'!$B$101+'Regression Models'!$B$102*ifood_data[[#This Row],[Income]]+'Regression Models'!$B$103*ifood_data[[#This Row],[Age]]+'Regression Models'!$B$104*ifood_data[[#This Row],[Family]]</f>
        <v>181.39953556984335</v>
      </c>
      <c r="BF1516" t="str">
        <f>IF(ifood_data[[#This Row],[AcceptedCmpOverall]]=1,"Campaign Respondent","Non-respondent")</f>
        <v>Non-respondent</v>
      </c>
    </row>
    <row r="1517" spans="1:58" x14ac:dyDescent="0.35">
      <c r="A1517">
        <v>1022</v>
      </c>
      <c r="B1517">
        <v>36715</v>
      </c>
      <c r="C1517">
        <v>1</v>
      </c>
      <c r="D1517">
        <v>0</v>
      </c>
      <c r="E1517">
        <v>16</v>
      </c>
      <c r="F1517">
        <v>172</v>
      </c>
      <c r="G1517">
        <v>10</v>
      </c>
      <c r="H1517">
        <v>125</v>
      </c>
      <c r="I1517">
        <v>21</v>
      </c>
      <c r="J1517">
        <v>13</v>
      </c>
      <c r="K1517">
        <v>16</v>
      </c>
      <c r="L1517">
        <v>6</v>
      </c>
      <c r="M1517">
        <v>7</v>
      </c>
      <c r="N1517">
        <v>2</v>
      </c>
      <c r="O1517">
        <v>4</v>
      </c>
      <c r="P1517">
        <v>9</v>
      </c>
      <c r="Q1517">
        <v>0</v>
      </c>
      <c r="R1517">
        <v>0</v>
      </c>
      <c r="S1517">
        <v>0</v>
      </c>
      <c r="T1517">
        <v>0</v>
      </c>
      <c r="U1517">
        <v>0</v>
      </c>
      <c r="V1517">
        <f>IF(SUM(ifood_data[[#This Row],[AcceptedCmp1]:[AcceptedCmp5]])&gt;0,1,0)</f>
        <v>0</v>
      </c>
      <c r="W1517">
        <v>0</v>
      </c>
      <c r="X1517">
        <v>3</v>
      </c>
      <c r="Y1517">
        <v>11</v>
      </c>
      <c r="Z1517">
        <v>1</v>
      </c>
      <c r="AA1517">
        <v>49</v>
      </c>
      <c r="AB1517">
        <v>2748</v>
      </c>
      <c r="AC1517" s="28">
        <f>ifood_data[[#This Row],[Customer_Days]]/365</f>
        <v>7.5287671232876709</v>
      </c>
      <c r="AD1517">
        <v>0</v>
      </c>
      <c r="AE1517">
        <v>1</v>
      </c>
      <c r="AF1517">
        <v>0</v>
      </c>
      <c r="AG1517">
        <v>0</v>
      </c>
      <c r="AH1517">
        <v>0</v>
      </c>
      <c r="AI1517">
        <v>0</v>
      </c>
      <c r="AJ1517">
        <v>0</v>
      </c>
      <c r="AK1517">
        <v>1</v>
      </c>
      <c r="AL1517">
        <v>0</v>
      </c>
      <c r="AM1517">
        <v>0</v>
      </c>
      <c r="AN1517">
        <v>341</v>
      </c>
      <c r="AO1517">
        <v>325</v>
      </c>
      <c r="AP1517">
        <f>ifood_data[[#This Row],[MntTotal]]-ifood_data[[#This Row],[MntRegularProds]]</f>
        <v>16</v>
      </c>
      <c r="AQ1517">
        <v>0</v>
      </c>
      <c r="AR1517">
        <f>IF(SUM(ifood_data[[#This Row],[Kidhome]:[Teenhome]])&gt;0,1,0)</f>
        <v>1</v>
      </c>
      <c r="AS1517" t="str">
        <f>IF(SUM(ifood_data[[#This Row],[Kidhome]:[Teenhome]])&gt;0,"Has Family","No Family")</f>
        <v>Has Family</v>
      </c>
      <c r="AT1517" t="str">
        <f>IF(ifood_data[[#This Row],[marital_Married]]=1,"Married", (IF(ifood_data[[#This Row],[marital_Single]]=1,"Single",(IF(ifood_data[[#This Row],[marital_Divorced]]=1,"Divorced",(IF(ifood_data[[#This Row],[marital_Together]]=1,"Living Together",(IF(ifood_data[[#This Row],[marital_Widow]]=1,"Widow","Other")))))))))</f>
        <v>Married</v>
      </c>
      <c r="AU1517" t="str">
        <f>IF(ifood_data[[#This Row],[education_Basic]]=1,"High School",(IF(ifood_data[[#This Row],[education_Graduation]]=1,"Undergraduate Degree",(IF(SUM(AM1517,AL1517,AI1517)&gt;0,"Master's Degree or Higher","Other")))))</f>
        <v>Undergraduate Degree</v>
      </c>
      <c r="AV1517" t="str">
        <f>IF(ifood_data[[#All],[Income]]&gt;75000,"75K+",(IF(ifood_data[[#All],[Income]]&gt;50000,"50K-75K",(IF(ifood_data[[#All],[Income]]&gt;35000,"35K-50K","&lt;35K")))))</f>
        <v>35K-50K</v>
      </c>
      <c r="AW1517" t="str">
        <f>IF(ifood_data[[#All],[Age]]&gt;60,"60+",(IF(ifood_data[[#All],[Age]]&gt;50,"50-60",(IF(ifood_data[[#All],[Age]]&gt;40,"40-50",(IF(ifood_data[[#All],[Age]]&gt;30,"30-40","&lt;30")))))))</f>
        <v>40-50</v>
      </c>
      <c r="AX1517">
        <f t="shared" si="92"/>
        <v>28</v>
      </c>
      <c r="AY1517">
        <f t="shared" si="93"/>
        <v>9</v>
      </c>
      <c r="AZ1517">
        <f t="shared" si="94"/>
        <v>8</v>
      </c>
      <c r="BA1517">
        <f t="shared" si="95"/>
        <v>4</v>
      </c>
      <c r="BB1517">
        <f>SUM(ifood_data[[#This Row],[Recency Score]:[Monetary Score]])</f>
        <v>21</v>
      </c>
      <c r="BC1517">
        <f>(_xlfn.PERCENTRANK.INC(ifood_data[[#All],[RFM]],ifood_data[[#This Row],[RFM]],1))*10</f>
        <v>8</v>
      </c>
      <c r="BD1517" t="str">
        <f>VLOOKUP(ifood_data[[#This Row],[RFM Score]],'RFM Analysis'!$A$3:$B$14,2,FALSE)</f>
        <v>Loyal Customer</v>
      </c>
      <c r="BE1517">
        <f>'Regression Models'!$B$101+'Regression Models'!$B$102*ifood_data[[#This Row],[Income]]+'Regression Models'!$B$103*ifood_data[[#This Row],[Age]]+'Regression Models'!$B$104*ifood_data[[#This Row],[Family]]</f>
        <v>181.15922018994661</v>
      </c>
      <c r="BF1517" t="str">
        <f>IF(ifood_data[[#This Row],[AcceptedCmpOverall]]=1,"Campaign Respondent","Non-respondent")</f>
        <v>Non-respondent</v>
      </c>
    </row>
    <row r="1518" spans="1:58" x14ac:dyDescent="0.35">
      <c r="A1518">
        <v>355</v>
      </c>
      <c r="B1518">
        <v>22585</v>
      </c>
      <c r="C1518">
        <v>0</v>
      </c>
      <c r="D1518">
        <v>0</v>
      </c>
      <c r="E1518">
        <v>23</v>
      </c>
      <c r="F1518">
        <v>3</v>
      </c>
      <c r="G1518">
        <v>9</v>
      </c>
      <c r="H1518">
        <v>15</v>
      </c>
      <c r="I1518">
        <v>13</v>
      </c>
      <c r="J1518">
        <v>2</v>
      </c>
      <c r="K1518">
        <v>39</v>
      </c>
      <c r="L1518">
        <v>1</v>
      </c>
      <c r="M1518">
        <v>1</v>
      </c>
      <c r="N1518">
        <v>1</v>
      </c>
      <c r="O1518">
        <v>2</v>
      </c>
      <c r="P1518">
        <v>9</v>
      </c>
      <c r="Q1518">
        <v>0</v>
      </c>
      <c r="R1518">
        <v>0</v>
      </c>
      <c r="S1518">
        <v>1</v>
      </c>
      <c r="T1518">
        <v>0</v>
      </c>
      <c r="U1518">
        <v>0</v>
      </c>
      <c r="V1518">
        <f>IF(SUM(ifood_data[[#This Row],[AcceptedCmp1]:[AcceptedCmp5]])&gt;0,1,0)</f>
        <v>1</v>
      </c>
      <c r="W1518">
        <v>0</v>
      </c>
      <c r="X1518">
        <v>3</v>
      </c>
      <c r="Y1518">
        <v>11</v>
      </c>
      <c r="Z1518">
        <v>1</v>
      </c>
      <c r="AA1518">
        <v>50</v>
      </c>
      <c r="AB1518">
        <v>2627</v>
      </c>
      <c r="AC1518" s="28">
        <f>ifood_data[[#This Row],[Customer_Days]]/365</f>
        <v>7.1972602739726028</v>
      </c>
      <c r="AD1518">
        <v>0</v>
      </c>
      <c r="AE1518">
        <v>0</v>
      </c>
      <c r="AF1518">
        <v>1</v>
      </c>
      <c r="AG1518">
        <v>0</v>
      </c>
      <c r="AH1518">
        <v>0</v>
      </c>
      <c r="AI1518">
        <v>0</v>
      </c>
      <c r="AJ1518">
        <v>0</v>
      </c>
      <c r="AK1518">
        <v>1</v>
      </c>
      <c r="AL1518">
        <v>0</v>
      </c>
      <c r="AM1518">
        <v>0</v>
      </c>
      <c r="AN1518">
        <v>42</v>
      </c>
      <c r="AO1518">
        <v>3</v>
      </c>
      <c r="AP1518">
        <f>ifood_data[[#This Row],[MntTotal]]-ifood_data[[#This Row],[MntRegularProds]]</f>
        <v>39</v>
      </c>
      <c r="AQ1518">
        <v>1</v>
      </c>
      <c r="AR1518">
        <f>IF(SUM(ifood_data[[#This Row],[Kidhome]:[Teenhome]])&gt;0,1,0)</f>
        <v>0</v>
      </c>
      <c r="AS1518" t="str">
        <f>IF(SUM(ifood_data[[#This Row],[Kidhome]:[Teenhome]])&gt;0,"Has Family","No Family")</f>
        <v>No Family</v>
      </c>
      <c r="AT1518" t="str">
        <f>IF(ifood_data[[#This Row],[marital_Married]]=1,"Married", (IF(ifood_data[[#This Row],[marital_Single]]=1,"Single",(IF(ifood_data[[#This Row],[marital_Divorced]]=1,"Divorced",(IF(ifood_data[[#This Row],[marital_Together]]=1,"Living Together",(IF(ifood_data[[#This Row],[marital_Widow]]=1,"Widow","Other")))))))))</f>
        <v>Single</v>
      </c>
      <c r="AU1518" t="str">
        <f>IF(ifood_data[[#This Row],[education_Basic]]=1,"High School",(IF(ifood_data[[#This Row],[education_Graduation]]=1,"Undergraduate Degree",(IF(SUM(AM1518,AL1518,AI1518)&gt;0,"Master's Degree or Higher","Other")))))</f>
        <v>Undergraduate Degree</v>
      </c>
      <c r="AV1518" t="str">
        <f>IF(ifood_data[[#All],[Income]]&gt;75000,"75K+",(IF(ifood_data[[#All],[Income]]&gt;50000,"50K-75K",(IF(ifood_data[[#All],[Income]]&gt;35000,"35K-50K","&lt;35K")))))</f>
        <v>&lt;35K</v>
      </c>
      <c r="AW1518" t="str">
        <f>IF(ifood_data[[#All],[Age]]&gt;60,"60+",(IF(ifood_data[[#All],[Age]]&gt;50,"50-60",(IF(ifood_data[[#All],[Age]]&gt;40,"40-50",(IF(ifood_data[[#All],[Age]]&gt;30,"30-40","&lt;30")))))))</f>
        <v>40-50</v>
      </c>
      <c r="AX1518">
        <f t="shared" si="92"/>
        <v>14</v>
      </c>
      <c r="AY1518">
        <f t="shared" si="93"/>
        <v>8</v>
      </c>
      <c r="AZ1518">
        <f t="shared" si="94"/>
        <v>2</v>
      </c>
      <c r="BA1518">
        <f t="shared" si="95"/>
        <v>1</v>
      </c>
      <c r="BB1518">
        <f>SUM(ifood_data[[#This Row],[Recency Score]:[Monetary Score]])</f>
        <v>11</v>
      </c>
      <c r="BC1518">
        <f>(_xlfn.PERCENTRANK.INC(ifood_data[[#All],[RFM]],ifood_data[[#This Row],[RFM]],1))*10</f>
        <v>2</v>
      </c>
      <c r="BD1518" t="str">
        <f>VLOOKUP(ifood_data[[#This Row],[RFM Score]],'RFM Analysis'!$A$3:$B$14,2,FALSE)</f>
        <v>At Risk</v>
      </c>
      <c r="BE1518">
        <f>'Regression Models'!$B$101+'Regression Models'!$B$102*ifood_data[[#This Row],[Income]]+'Regression Models'!$B$103*ifood_data[[#This Row],[Age]]+'Regression Models'!$B$104*ifood_data[[#This Row],[Family]]</f>
        <v>180.84311831077645</v>
      </c>
      <c r="BF1518" t="str">
        <f>IF(ifood_data[[#This Row],[AcceptedCmpOverall]]=1,"Campaign Respondent","Non-respondent")</f>
        <v>Campaign Respondent</v>
      </c>
    </row>
    <row r="1519" spans="1:58" x14ac:dyDescent="0.35">
      <c r="A1519">
        <v>1441</v>
      </c>
      <c r="B1519">
        <v>37054</v>
      </c>
      <c r="C1519">
        <v>1</v>
      </c>
      <c r="D1519">
        <v>1</v>
      </c>
      <c r="E1519">
        <v>89</v>
      </c>
      <c r="F1519">
        <v>12</v>
      </c>
      <c r="G1519">
        <v>1</v>
      </c>
      <c r="H1519">
        <v>6</v>
      </c>
      <c r="I1519">
        <v>0</v>
      </c>
      <c r="J1519">
        <v>1</v>
      </c>
      <c r="K1519">
        <v>5</v>
      </c>
      <c r="L1519">
        <v>2</v>
      </c>
      <c r="M1519">
        <v>1</v>
      </c>
      <c r="N1519">
        <v>0</v>
      </c>
      <c r="O1519">
        <v>3</v>
      </c>
      <c r="P1519">
        <v>7</v>
      </c>
      <c r="Q1519">
        <v>0</v>
      </c>
      <c r="R1519">
        <v>0</v>
      </c>
      <c r="S1519">
        <v>0</v>
      </c>
      <c r="T1519">
        <v>0</v>
      </c>
      <c r="U1519">
        <v>0</v>
      </c>
      <c r="V1519">
        <f>IF(SUM(ifood_data[[#This Row],[AcceptedCmp1]:[AcceptedCmp5]])&gt;0,1,0)</f>
        <v>0</v>
      </c>
      <c r="W1519">
        <v>0</v>
      </c>
      <c r="X1519">
        <v>3</v>
      </c>
      <c r="Y1519">
        <v>11</v>
      </c>
      <c r="Z1519">
        <v>0</v>
      </c>
      <c r="AA1519">
        <v>53</v>
      </c>
      <c r="AB1519">
        <v>2446</v>
      </c>
      <c r="AC1519" s="28">
        <f>ifood_data[[#This Row],[Customer_Days]]/365</f>
        <v>6.7013698630136984</v>
      </c>
      <c r="AD1519">
        <v>0</v>
      </c>
      <c r="AE1519">
        <v>1</v>
      </c>
      <c r="AF1519">
        <v>0</v>
      </c>
      <c r="AG1519">
        <v>0</v>
      </c>
      <c r="AH1519">
        <v>0</v>
      </c>
      <c r="AI1519">
        <v>0</v>
      </c>
      <c r="AJ1519">
        <v>0</v>
      </c>
      <c r="AK1519">
        <v>0</v>
      </c>
      <c r="AL1519">
        <v>1</v>
      </c>
      <c r="AM1519">
        <v>0</v>
      </c>
      <c r="AN1519">
        <v>20</v>
      </c>
      <c r="AO1519">
        <v>15</v>
      </c>
      <c r="AP1519">
        <f>ifood_data[[#This Row],[MntTotal]]-ifood_data[[#This Row],[MntRegularProds]]</f>
        <v>5</v>
      </c>
      <c r="AQ1519">
        <v>0</v>
      </c>
      <c r="AR1519">
        <f>IF(SUM(ifood_data[[#This Row],[Kidhome]:[Teenhome]])&gt;0,1,0)</f>
        <v>1</v>
      </c>
      <c r="AS1519" t="str">
        <f>IF(SUM(ifood_data[[#This Row],[Kidhome]:[Teenhome]])&gt;0,"Has Family","No Family")</f>
        <v>Has Family</v>
      </c>
      <c r="AT1519" t="str">
        <f>IF(ifood_data[[#This Row],[marital_Married]]=1,"Married", (IF(ifood_data[[#This Row],[marital_Single]]=1,"Single",(IF(ifood_data[[#This Row],[marital_Divorced]]=1,"Divorced",(IF(ifood_data[[#This Row],[marital_Together]]=1,"Living Together",(IF(ifood_data[[#This Row],[marital_Widow]]=1,"Widow","Other")))))))))</f>
        <v>Married</v>
      </c>
      <c r="AU1519" t="str">
        <f>IF(ifood_data[[#This Row],[education_Basic]]=1,"High School",(IF(ifood_data[[#This Row],[education_Graduation]]=1,"Undergraduate Degree",(IF(SUM(AM1519,AL1519,AI1519)&gt;0,"Master's Degree or Higher","Other")))))</f>
        <v>Master's Degree or Higher</v>
      </c>
      <c r="AV1519" t="str">
        <f>IF(ifood_data[[#All],[Income]]&gt;75000,"75K+",(IF(ifood_data[[#All],[Income]]&gt;50000,"50K-75K",(IF(ifood_data[[#All],[Income]]&gt;35000,"35K-50K","&lt;35K")))))</f>
        <v>35K-50K</v>
      </c>
      <c r="AW1519" t="str">
        <f>IF(ifood_data[[#All],[Age]]&gt;60,"60+",(IF(ifood_data[[#All],[Age]]&gt;50,"50-60",(IF(ifood_data[[#All],[Age]]&gt;40,"40-50",(IF(ifood_data[[#All],[Age]]&gt;30,"30-40","&lt;30")))))))</f>
        <v>50-60</v>
      </c>
      <c r="AX1519">
        <f t="shared" si="92"/>
        <v>13</v>
      </c>
      <c r="AY1519">
        <f t="shared" si="93"/>
        <v>1.9999999999999996</v>
      </c>
      <c r="AZ1519">
        <f t="shared" si="94"/>
        <v>1</v>
      </c>
      <c r="BA1519">
        <f t="shared" si="95"/>
        <v>0</v>
      </c>
      <c r="BB1519">
        <f>SUM(ifood_data[[#This Row],[Recency Score]:[Monetary Score]])</f>
        <v>2.9999999999999996</v>
      </c>
      <c r="BC1519">
        <f>(_xlfn.PERCENTRANK.INC(ifood_data[[#All],[RFM]],ifood_data[[#This Row],[RFM]],1))*10</f>
        <v>0</v>
      </c>
      <c r="BD1519" t="str">
        <f>VLOOKUP(ifood_data[[#This Row],[RFM Score]],'RFM Analysis'!$A$3:$B$14,2,FALSE)</f>
        <v>Lost</v>
      </c>
      <c r="BE1519">
        <f>'Regression Models'!$B$101+'Regression Models'!$B$102*ifood_data[[#This Row],[Income]]+'Regression Models'!$B$103*ifood_data[[#This Row],[Age]]+'Regression Models'!$B$104*ifood_data[[#This Row],[Family]]</f>
        <v>180.72525627515131</v>
      </c>
      <c r="BF1519" t="str">
        <f>IF(ifood_data[[#This Row],[AcceptedCmpOverall]]=1,"Campaign Respondent","Non-respondent")</f>
        <v>Non-respondent</v>
      </c>
    </row>
    <row r="1520" spans="1:58" x14ac:dyDescent="0.35">
      <c r="A1520">
        <v>216</v>
      </c>
      <c r="B1520">
        <v>37070</v>
      </c>
      <c r="C1520">
        <v>1</v>
      </c>
      <c r="D1520">
        <v>1</v>
      </c>
      <c r="E1520">
        <v>30</v>
      </c>
      <c r="F1520">
        <v>231</v>
      </c>
      <c r="G1520">
        <v>7</v>
      </c>
      <c r="H1520">
        <v>137</v>
      </c>
      <c r="I1520">
        <v>4</v>
      </c>
      <c r="J1520">
        <v>15</v>
      </c>
      <c r="K1520">
        <v>39</v>
      </c>
      <c r="L1520">
        <v>9</v>
      </c>
      <c r="M1520">
        <v>5</v>
      </c>
      <c r="N1520">
        <v>1</v>
      </c>
      <c r="O1520">
        <v>8</v>
      </c>
      <c r="P1520">
        <v>7</v>
      </c>
      <c r="Q1520">
        <v>0</v>
      </c>
      <c r="R1520">
        <v>0</v>
      </c>
      <c r="S1520">
        <v>0</v>
      </c>
      <c r="T1520">
        <v>0</v>
      </c>
      <c r="U1520">
        <v>0</v>
      </c>
      <c r="V1520">
        <f>IF(SUM(ifood_data[[#This Row],[AcceptedCmp1]:[AcceptedCmp5]])&gt;0,1,0)</f>
        <v>0</v>
      </c>
      <c r="W1520">
        <v>0</v>
      </c>
      <c r="X1520">
        <v>3</v>
      </c>
      <c r="Y1520">
        <v>11</v>
      </c>
      <c r="Z1520">
        <v>1</v>
      </c>
      <c r="AA1520">
        <v>54</v>
      </c>
      <c r="AB1520">
        <v>2625</v>
      </c>
      <c r="AC1520" s="28">
        <f>ifood_data[[#This Row],[Customer_Days]]/365</f>
        <v>7.1917808219178081</v>
      </c>
      <c r="AD1520">
        <v>0</v>
      </c>
      <c r="AE1520">
        <v>0</v>
      </c>
      <c r="AF1520">
        <v>1</v>
      </c>
      <c r="AG1520">
        <v>0</v>
      </c>
      <c r="AH1520">
        <v>0</v>
      </c>
      <c r="AI1520">
        <v>0</v>
      </c>
      <c r="AJ1520">
        <v>0</v>
      </c>
      <c r="AK1520">
        <v>1</v>
      </c>
      <c r="AL1520">
        <v>0</v>
      </c>
      <c r="AM1520">
        <v>0</v>
      </c>
      <c r="AN1520">
        <v>394</v>
      </c>
      <c r="AO1520">
        <v>355</v>
      </c>
      <c r="AP1520">
        <f>ifood_data[[#This Row],[MntTotal]]-ifood_data[[#This Row],[MntRegularProds]]</f>
        <v>39</v>
      </c>
      <c r="AQ1520">
        <v>0</v>
      </c>
      <c r="AR1520">
        <f>IF(SUM(ifood_data[[#This Row],[Kidhome]:[Teenhome]])&gt;0,1,0)</f>
        <v>1</v>
      </c>
      <c r="AS1520" t="str">
        <f>IF(SUM(ifood_data[[#This Row],[Kidhome]:[Teenhome]])&gt;0,"Has Family","No Family")</f>
        <v>Has Family</v>
      </c>
      <c r="AT1520" t="str">
        <f>IF(ifood_data[[#This Row],[marital_Married]]=1,"Married", (IF(ifood_data[[#This Row],[marital_Single]]=1,"Single",(IF(ifood_data[[#This Row],[marital_Divorced]]=1,"Divorced",(IF(ifood_data[[#This Row],[marital_Together]]=1,"Living Together",(IF(ifood_data[[#This Row],[marital_Widow]]=1,"Widow","Other")))))))))</f>
        <v>Single</v>
      </c>
      <c r="AU1520" t="str">
        <f>IF(ifood_data[[#This Row],[education_Basic]]=1,"High School",(IF(ifood_data[[#This Row],[education_Graduation]]=1,"Undergraduate Degree",(IF(SUM(AM1520,AL1520,AI1520)&gt;0,"Master's Degree or Higher","Other")))))</f>
        <v>Undergraduate Degree</v>
      </c>
      <c r="AV1520" t="str">
        <f>IF(ifood_data[[#All],[Income]]&gt;75000,"75K+",(IF(ifood_data[[#All],[Income]]&gt;50000,"50K-75K",(IF(ifood_data[[#All],[Income]]&gt;35000,"35K-50K","&lt;35K")))))</f>
        <v>35K-50K</v>
      </c>
      <c r="AW1520" t="str">
        <f>IF(ifood_data[[#All],[Age]]&gt;60,"60+",(IF(ifood_data[[#All],[Age]]&gt;50,"50-60",(IF(ifood_data[[#All],[Age]]&gt;40,"40-50",(IF(ifood_data[[#All],[Age]]&gt;30,"30-40","&lt;30")))))))</f>
        <v>50-60</v>
      </c>
      <c r="AX1520">
        <f t="shared" si="92"/>
        <v>30</v>
      </c>
      <c r="AY1520">
        <f t="shared" si="93"/>
        <v>7</v>
      </c>
      <c r="AZ1520">
        <f t="shared" si="94"/>
        <v>8</v>
      </c>
      <c r="BA1520">
        <f t="shared" si="95"/>
        <v>5</v>
      </c>
      <c r="BB1520">
        <f>SUM(ifood_data[[#This Row],[Recency Score]:[Monetary Score]])</f>
        <v>20</v>
      </c>
      <c r="BC1520">
        <f>(_xlfn.PERCENTRANK.INC(ifood_data[[#All],[RFM]],ifood_data[[#This Row],[RFM]],1))*10</f>
        <v>7</v>
      </c>
      <c r="BD1520" t="str">
        <f>VLOOKUP(ifood_data[[#This Row],[RFM Score]],'RFM Analysis'!$A$3:$B$14,2,FALSE)</f>
        <v>Loyal Customer</v>
      </c>
      <c r="BE1520">
        <f>'Regression Models'!$B$101+'Regression Models'!$B$102*ifood_data[[#This Row],[Income]]+'Regression Models'!$B$103*ifood_data[[#This Row],[Age]]+'Regression Models'!$B$104*ifood_data[[#This Row],[Family]]</f>
        <v>179.21503748655937</v>
      </c>
      <c r="BF1520" t="str">
        <f>IF(ifood_data[[#This Row],[AcceptedCmpOverall]]=1,"Campaign Respondent","Non-respondent")</f>
        <v>Non-respondent</v>
      </c>
    </row>
    <row r="1521" spans="1:58" x14ac:dyDescent="0.35">
      <c r="A1521">
        <v>1313</v>
      </c>
      <c r="B1521">
        <v>36947</v>
      </c>
      <c r="C1521">
        <v>1</v>
      </c>
      <c r="D1521">
        <v>1</v>
      </c>
      <c r="E1521">
        <v>49</v>
      </c>
      <c r="F1521">
        <v>88</v>
      </c>
      <c r="G1521">
        <v>3</v>
      </c>
      <c r="H1521">
        <v>21</v>
      </c>
      <c r="I1521">
        <v>4</v>
      </c>
      <c r="J1521">
        <v>1</v>
      </c>
      <c r="K1521">
        <v>29</v>
      </c>
      <c r="L1521">
        <v>4</v>
      </c>
      <c r="M1521">
        <v>3</v>
      </c>
      <c r="N1521">
        <v>0</v>
      </c>
      <c r="O1521">
        <v>4</v>
      </c>
      <c r="P1521">
        <v>9</v>
      </c>
      <c r="Q1521">
        <v>0</v>
      </c>
      <c r="R1521">
        <v>0</v>
      </c>
      <c r="S1521">
        <v>0</v>
      </c>
      <c r="T1521">
        <v>0</v>
      </c>
      <c r="U1521">
        <v>0</v>
      </c>
      <c r="V1521">
        <f>IF(SUM(ifood_data[[#This Row],[AcceptedCmp1]:[AcceptedCmp5]])&gt;0,1,0)</f>
        <v>0</v>
      </c>
      <c r="W1521">
        <v>0</v>
      </c>
      <c r="X1521">
        <v>3</v>
      </c>
      <c r="Y1521">
        <v>11</v>
      </c>
      <c r="Z1521">
        <v>0</v>
      </c>
      <c r="AA1521">
        <v>53</v>
      </c>
      <c r="AB1521">
        <v>2850</v>
      </c>
      <c r="AC1521" s="28">
        <f>ifood_data[[#This Row],[Customer_Days]]/365</f>
        <v>7.8082191780821919</v>
      </c>
      <c r="AD1521">
        <v>0</v>
      </c>
      <c r="AE1521">
        <v>1</v>
      </c>
      <c r="AF1521">
        <v>0</v>
      </c>
      <c r="AG1521">
        <v>0</v>
      </c>
      <c r="AH1521">
        <v>0</v>
      </c>
      <c r="AI1521">
        <v>0</v>
      </c>
      <c r="AJ1521">
        <v>0</v>
      </c>
      <c r="AK1521">
        <v>0</v>
      </c>
      <c r="AL1521">
        <v>0</v>
      </c>
      <c r="AM1521">
        <v>1</v>
      </c>
      <c r="AN1521">
        <v>117</v>
      </c>
      <c r="AO1521">
        <v>88</v>
      </c>
      <c r="AP1521">
        <f>ifood_data[[#This Row],[MntTotal]]-ifood_data[[#This Row],[MntRegularProds]]</f>
        <v>29</v>
      </c>
      <c r="AQ1521">
        <v>0</v>
      </c>
      <c r="AR1521">
        <f>IF(SUM(ifood_data[[#This Row],[Kidhome]:[Teenhome]])&gt;0,1,0)</f>
        <v>1</v>
      </c>
      <c r="AS1521" t="str">
        <f>IF(SUM(ifood_data[[#This Row],[Kidhome]:[Teenhome]])&gt;0,"Has Family","No Family")</f>
        <v>Has Family</v>
      </c>
      <c r="AT1521" t="str">
        <f>IF(ifood_data[[#This Row],[marital_Married]]=1,"Married", (IF(ifood_data[[#This Row],[marital_Single]]=1,"Single",(IF(ifood_data[[#This Row],[marital_Divorced]]=1,"Divorced",(IF(ifood_data[[#This Row],[marital_Together]]=1,"Living Together",(IF(ifood_data[[#This Row],[marital_Widow]]=1,"Widow","Other")))))))))</f>
        <v>Married</v>
      </c>
      <c r="AU1521" t="str">
        <f>IF(ifood_data[[#This Row],[education_Basic]]=1,"High School",(IF(ifood_data[[#This Row],[education_Graduation]]=1,"Undergraduate Degree",(IF(SUM(AM1521,AL1521,AI1521)&gt;0,"Master's Degree or Higher","Other")))))</f>
        <v>Master's Degree or Higher</v>
      </c>
      <c r="AV1521" t="str">
        <f>IF(ifood_data[[#All],[Income]]&gt;75000,"75K+",(IF(ifood_data[[#All],[Income]]&gt;50000,"50K-75K",(IF(ifood_data[[#All],[Income]]&gt;35000,"35K-50K","&lt;35K")))))</f>
        <v>35K-50K</v>
      </c>
      <c r="AW1521" t="str">
        <f>IF(ifood_data[[#All],[Age]]&gt;60,"60+",(IF(ifood_data[[#All],[Age]]&gt;50,"50-60",(IF(ifood_data[[#All],[Age]]&gt;40,"40-50",(IF(ifood_data[[#All],[Age]]&gt;30,"30-40","&lt;30")))))))</f>
        <v>50-60</v>
      </c>
      <c r="AX1521">
        <f t="shared" si="92"/>
        <v>20</v>
      </c>
      <c r="AY1521">
        <f t="shared" si="93"/>
        <v>6</v>
      </c>
      <c r="AZ1521">
        <f t="shared" si="94"/>
        <v>4</v>
      </c>
      <c r="BA1521">
        <f t="shared" si="95"/>
        <v>3</v>
      </c>
      <c r="BB1521">
        <f>SUM(ifood_data[[#This Row],[Recency Score]:[Monetary Score]])</f>
        <v>13</v>
      </c>
      <c r="BC1521">
        <f>(_xlfn.PERCENTRANK.INC(ifood_data[[#All],[RFM]],ifood_data[[#This Row],[RFM]],1))*10</f>
        <v>3</v>
      </c>
      <c r="BD1521" t="str">
        <f>VLOOKUP(ifood_data[[#This Row],[RFM Score]],'RFM Analysis'!$A$3:$B$14,2,FALSE)</f>
        <v>At Risk</v>
      </c>
      <c r="BE1521">
        <f>'Regression Models'!$B$101+'Regression Models'!$B$102*ifood_data[[#This Row],[Income]]+'Regression Models'!$B$103*ifood_data[[#This Row],[Age]]+'Regression Models'!$B$104*ifood_data[[#This Row],[Family]]</f>
        <v>178.54365808375417</v>
      </c>
      <c r="BF1521" t="str">
        <f>IF(ifood_data[[#This Row],[AcceptedCmpOverall]]=1,"Campaign Respondent","Non-respondent")</f>
        <v>Non-respondent</v>
      </c>
    </row>
    <row r="1522" spans="1:58" x14ac:dyDescent="0.35">
      <c r="A1522">
        <v>1074</v>
      </c>
      <c r="B1522">
        <v>36778</v>
      </c>
      <c r="C1522">
        <v>1</v>
      </c>
      <c r="D1522">
        <v>1</v>
      </c>
      <c r="E1522">
        <v>63</v>
      </c>
      <c r="F1522">
        <v>29</v>
      </c>
      <c r="G1522">
        <v>4</v>
      </c>
      <c r="H1522">
        <v>34</v>
      </c>
      <c r="I1522">
        <v>2</v>
      </c>
      <c r="J1522">
        <v>4</v>
      </c>
      <c r="K1522">
        <v>4</v>
      </c>
      <c r="L1522">
        <v>3</v>
      </c>
      <c r="M1522">
        <v>3</v>
      </c>
      <c r="N1522">
        <v>0</v>
      </c>
      <c r="O1522">
        <v>3</v>
      </c>
      <c r="P1522">
        <v>9</v>
      </c>
      <c r="Q1522">
        <v>0</v>
      </c>
      <c r="R1522">
        <v>0</v>
      </c>
      <c r="S1522">
        <v>0</v>
      </c>
      <c r="T1522">
        <v>0</v>
      </c>
      <c r="U1522">
        <v>0</v>
      </c>
      <c r="V1522">
        <f>IF(SUM(ifood_data[[#This Row],[AcceptedCmp1]:[AcceptedCmp5]])&gt;0,1,0)</f>
        <v>0</v>
      </c>
      <c r="W1522">
        <v>0</v>
      </c>
      <c r="X1522">
        <v>3</v>
      </c>
      <c r="Y1522">
        <v>11</v>
      </c>
      <c r="Z1522">
        <v>0</v>
      </c>
      <c r="AA1522">
        <v>52</v>
      </c>
      <c r="AB1522">
        <v>2852</v>
      </c>
      <c r="AC1522" s="28">
        <f>ifood_data[[#This Row],[Customer_Days]]/365</f>
        <v>7.8136986301369866</v>
      </c>
      <c r="AD1522">
        <v>0</v>
      </c>
      <c r="AE1522">
        <v>1</v>
      </c>
      <c r="AF1522">
        <v>0</v>
      </c>
      <c r="AG1522">
        <v>0</v>
      </c>
      <c r="AH1522">
        <v>0</v>
      </c>
      <c r="AI1522">
        <v>0</v>
      </c>
      <c r="AJ1522">
        <v>0</v>
      </c>
      <c r="AK1522">
        <v>0</v>
      </c>
      <c r="AL1522">
        <v>0</v>
      </c>
      <c r="AM1522">
        <v>1</v>
      </c>
      <c r="AN1522">
        <v>73</v>
      </c>
      <c r="AO1522">
        <v>69</v>
      </c>
      <c r="AP1522">
        <f>ifood_data[[#This Row],[MntTotal]]-ifood_data[[#This Row],[MntRegularProds]]</f>
        <v>4</v>
      </c>
      <c r="AQ1522">
        <v>0</v>
      </c>
      <c r="AR1522">
        <f>IF(SUM(ifood_data[[#This Row],[Kidhome]:[Teenhome]])&gt;0,1,0)</f>
        <v>1</v>
      </c>
      <c r="AS1522" t="str">
        <f>IF(SUM(ifood_data[[#This Row],[Kidhome]:[Teenhome]])&gt;0,"Has Family","No Family")</f>
        <v>Has Family</v>
      </c>
      <c r="AT1522" t="str">
        <f>IF(ifood_data[[#This Row],[marital_Married]]=1,"Married", (IF(ifood_data[[#This Row],[marital_Single]]=1,"Single",(IF(ifood_data[[#This Row],[marital_Divorced]]=1,"Divorced",(IF(ifood_data[[#This Row],[marital_Together]]=1,"Living Together",(IF(ifood_data[[#This Row],[marital_Widow]]=1,"Widow","Other")))))))))</f>
        <v>Married</v>
      </c>
      <c r="AU1522" t="str">
        <f>IF(ifood_data[[#This Row],[education_Basic]]=1,"High School",(IF(ifood_data[[#This Row],[education_Graduation]]=1,"Undergraduate Degree",(IF(SUM(AM1522,AL1522,AI1522)&gt;0,"Master's Degree or Higher","Other")))))</f>
        <v>Master's Degree or Higher</v>
      </c>
      <c r="AV1522" t="str">
        <f>IF(ifood_data[[#All],[Income]]&gt;75000,"75K+",(IF(ifood_data[[#All],[Income]]&gt;50000,"50K-75K",(IF(ifood_data[[#All],[Income]]&gt;35000,"35K-50K","&lt;35K")))))</f>
        <v>35K-50K</v>
      </c>
      <c r="AW1522" t="str">
        <f>IF(ifood_data[[#All],[Age]]&gt;60,"60+",(IF(ifood_data[[#All],[Age]]&gt;50,"50-60",(IF(ifood_data[[#All],[Age]]&gt;40,"40-50",(IF(ifood_data[[#All],[Age]]&gt;30,"30-40","&lt;30")))))))</f>
        <v>50-60</v>
      </c>
      <c r="AX1522">
        <f t="shared" si="92"/>
        <v>18</v>
      </c>
      <c r="AY1522">
        <f t="shared" si="93"/>
        <v>4</v>
      </c>
      <c r="AZ1522">
        <f t="shared" si="94"/>
        <v>4</v>
      </c>
      <c r="BA1522">
        <f t="shared" si="95"/>
        <v>3</v>
      </c>
      <c r="BB1522">
        <f>SUM(ifood_data[[#This Row],[Recency Score]:[Monetary Score]])</f>
        <v>11</v>
      </c>
      <c r="BC1522">
        <f>(_xlfn.PERCENTRANK.INC(ifood_data[[#All],[RFM]],ifood_data[[#This Row],[RFM]],1))*10</f>
        <v>2</v>
      </c>
      <c r="BD1522" t="str">
        <f>VLOOKUP(ifood_data[[#This Row],[RFM Score]],'RFM Analysis'!$A$3:$B$14,2,FALSE)</f>
        <v>At Risk</v>
      </c>
      <c r="BE1522">
        <f>'Regression Models'!$B$101+'Regression Models'!$B$102*ifood_data[[#This Row],[Income]]+'Regression Models'!$B$103*ifood_data[[#This Row],[Age]]+'Regression Models'!$B$104*ifood_data[[#This Row],[Family]]</f>
        <v>176.93439534632944</v>
      </c>
      <c r="BF1522" t="str">
        <f>IF(ifood_data[[#This Row],[AcceptedCmpOverall]]=1,"Campaign Respondent","Non-respondent")</f>
        <v>Non-respondent</v>
      </c>
    </row>
    <row r="1523" spans="1:58" x14ac:dyDescent="0.35">
      <c r="A1523">
        <v>1941</v>
      </c>
      <c r="B1523">
        <v>23539</v>
      </c>
      <c r="C1523">
        <v>0</v>
      </c>
      <c r="D1523">
        <v>0</v>
      </c>
      <c r="E1523">
        <v>13</v>
      </c>
      <c r="F1523">
        <v>4</v>
      </c>
      <c r="G1523">
        <v>24</v>
      </c>
      <c r="H1523">
        <v>11</v>
      </c>
      <c r="I1523">
        <v>16</v>
      </c>
      <c r="J1523">
        <v>1</v>
      </c>
      <c r="K1523">
        <v>25</v>
      </c>
      <c r="L1523">
        <v>1</v>
      </c>
      <c r="M1523">
        <v>2</v>
      </c>
      <c r="N1523">
        <v>0</v>
      </c>
      <c r="O1523">
        <v>4</v>
      </c>
      <c r="P1523">
        <v>6</v>
      </c>
      <c r="Q1523">
        <v>0</v>
      </c>
      <c r="R1523">
        <v>0</v>
      </c>
      <c r="S1523">
        <v>0</v>
      </c>
      <c r="T1523">
        <v>0</v>
      </c>
      <c r="U1523">
        <v>0</v>
      </c>
      <c r="V1523">
        <f>IF(SUM(ifood_data[[#This Row],[AcceptedCmp1]:[AcceptedCmp5]])&gt;0,1,0)</f>
        <v>0</v>
      </c>
      <c r="W1523">
        <v>0</v>
      </c>
      <c r="X1523">
        <v>3</v>
      </c>
      <c r="Y1523">
        <v>11</v>
      </c>
      <c r="Z1523">
        <v>0</v>
      </c>
      <c r="AA1523">
        <v>63</v>
      </c>
      <c r="AB1523">
        <v>2280</v>
      </c>
      <c r="AC1523" s="28">
        <f>ifood_data[[#This Row],[Customer_Days]]/365</f>
        <v>6.2465753424657535</v>
      </c>
      <c r="AD1523">
        <v>0</v>
      </c>
      <c r="AE1523">
        <v>1</v>
      </c>
      <c r="AF1523">
        <v>0</v>
      </c>
      <c r="AG1523">
        <v>0</v>
      </c>
      <c r="AH1523">
        <v>0</v>
      </c>
      <c r="AI1523">
        <v>0</v>
      </c>
      <c r="AJ1523">
        <v>0</v>
      </c>
      <c r="AK1523">
        <v>1</v>
      </c>
      <c r="AL1523">
        <v>0</v>
      </c>
      <c r="AM1523">
        <v>0</v>
      </c>
      <c r="AN1523">
        <v>56</v>
      </c>
      <c r="AO1523">
        <v>31</v>
      </c>
      <c r="AP1523">
        <f>ifood_data[[#This Row],[MntTotal]]-ifood_data[[#This Row],[MntRegularProds]]</f>
        <v>25</v>
      </c>
      <c r="AQ1523">
        <v>0</v>
      </c>
      <c r="AR1523">
        <f>IF(SUM(ifood_data[[#This Row],[Kidhome]:[Teenhome]])&gt;0,1,0)</f>
        <v>0</v>
      </c>
      <c r="AS1523" t="str">
        <f>IF(SUM(ifood_data[[#This Row],[Kidhome]:[Teenhome]])&gt;0,"Has Family","No Family")</f>
        <v>No Family</v>
      </c>
      <c r="AT1523" t="str">
        <f>IF(ifood_data[[#This Row],[marital_Married]]=1,"Married", (IF(ifood_data[[#This Row],[marital_Single]]=1,"Single",(IF(ifood_data[[#This Row],[marital_Divorced]]=1,"Divorced",(IF(ifood_data[[#This Row],[marital_Together]]=1,"Living Together",(IF(ifood_data[[#This Row],[marital_Widow]]=1,"Widow","Other")))))))))</f>
        <v>Married</v>
      </c>
      <c r="AU1523" t="str">
        <f>IF(ifood_data[[#This Row],[education_Basic]]=1,"High School",(IF(ifood_data[[#This Row],[education_Graduation]]=1,"Undergraduate Degree",(IF(SUM(AM1523,AL1523,AI1523)&gt;0,"Master's Degree or Higher","Other")))))</f>
        <v>Undergraduate Degree</v>
      </c>
      <c r="AV1523" t="str">
        <f>IF(ifood_data[[#All],[Income]]&gt;75000,"75K+",(IF(ifood_data[[#All],[Income]]&gt;50000,"50K-75K",(IF(ifood_data[[#All],[Income]]&gt;35000,"35K-50K","&lt;35K")))))</f>
        <v>&lt;35K</v>
      </c>
      <c r="AW1523" t="str">
        <f>IF(ifood_data[[#All],[Age]]&gt;60,"60+",(IF(ifood_data[[#All],[Age]]&gt;50,"50-60",(IF(ifood_data[[#All],[Age]]&gt;40,"40-50",(IF(ifood_data[[#All],[Age]]&gt;30,"30-40","&lt;30")))))))</f>
        <v>60+</v>
      </c>
      <c r="AX1523">
        <f t="shared" si="92"/>
        <v>13</v>
      </c>
      <c r="AY1523">
        <f t="shared" si="93"/>
        <v>9</v>
      </c>
      <c r="AZ1523">
        <f t="shared" si="94"/>
        <v>1</v>
      </c>
      <c r="BA1523">
        <f t="shared" si="95"/>
        <v>2</v>
      </c>
      <c r="BB1523">
        <f>SUM(ifood_data[[#This Row],[Recency Score]:[Monetary Score]])</f>
        <v>12</v>
      </c>
      <c r="BC1523">
        <f>(_xlfn.PERCENTRANK.INC(ifood_data[[#All],[RFM]],ifood_data[[#This Row],[RFM]],1))*10</f>
        <v>3</v>
      </c>
      <c r="BD1523" t="str">
        <f>VLOOKUP(ifood_data[[#This Row],[RFM Score]],'RFM Analysis'!$A$3:$B$14,2,FALSE)</f>
        <v>At Risk</v>
      </c>
      <c r="BE1523">
        <f>'Regression Models'!$B$101+'Regression Models'!$B$102*ifood_data[[#This Row],[Income]]+'Regression Models'!$B$103*ifood_data[[#This Row],[Age]]+'Regression Models'!$B$104*ifood_data[[#This Row],[Family]]</f>
        <v>176.42029509443046</v>
      </c>
      <c r="BF1523" t="str">
        <f>IF(ifood_data[[#This Row],[AcceptedCmpOverall]]=1,"Campaign Respondent","Non-respondent")</f>
        <v>Non-respondent</v>
      </c>
    </row>
    <row r="1524" spans="1:58" x14ac:dyDescent="0.35">
      <c r="A1524">
        <v>718</v>
      </c>
      <c r="B1524">
        <v>35523</v>
      </c>
      <c r="C1524">
        <v>1</v>
      </c>
      <c r="D1524">
        <v>0</v>
      </c>
      <c r="E1524">
        <v>8</v>
      </c>
      <c r="F1524">
        <v>11</v>
      </c>
      <c r="G1524">
        <v>5</v>
      </c>
      <c r="H1524">
        <v>22</v>
      </c>
      <c r="I1524">
        <v>12</v>
      </c>
      <c r="J1524">
        <v>5</v>
      </c>
      <c r="K1524">
        <v>11</v>
      </c>
      <c r="L1524">
        <v>2</v>
      </c>
      <c r="M1524">
        <v>3</v>
      </c>
      <c r="N1524">
        <v>0</v>
      </c>
      <c r="O1524">
        <v>3</v>
      </c>
      <c r="P1524">
        <v>7</v>
      </c>
      <c r="Q1524">
        <v>0</v>
      </c>
      <c r="R1524">
        <v>0</v>
      </c>
      <c r="S1524">
        <v>0</v>
      </c>
      <c r="T1524">
        <v>0</v>
      </c>
      <c r="U1524">
        <v>0</v>
      </c>
      <c r="V1524">
        <f>IF(SUM(ifood_data[[#This Row],[AcceptedCmp1]:[AcceptedCmp5]])&gt;0,1,0)</f>
        <v>0</v>
      </c>
      <c r="W1524">
        <v>0</v>
      </c>
      <c r="X1524">
        <v>3</v>
      </c>
      <c r="Y1524">
        <v>11</v>
      </c>
      <c r="Z1524">
        <v>0</v>
      </c>
      <c r="AA1524">
        <v>39</v>
      </c>
      <c r="AB1524">
        <v>2428</v>
      </c>
      <c r="AC1524" s="28">
        <f>ifood_data[[#This Row],[Customer_Days]]/365</f>
        <v>6.6520547945205477</v>
      </c>
      <c r="AD1524">
        <v>0</v>
      </c>
      <c r="AE1524">
        <v>1</v>
      </c>
      <c r="AF1524">
        <v>0</v>
      </c>
      <c r="AG1524">
        <v>0</v>
      </c>
      <c r="AH1524">
        <v>0</v>
      </c>
      <c r="AI1524">
        <v>1</v>
      </c>
      <c r="AJ1524">
        <v>0</v>
      </c>
      <c r="AK1524">
        <v>0</v>
      </c>
      <c r="AL1524">
        <v>0</v>
      </c>
      <c r="AM1524">
        <v>0</v>
      </c>
      <c r="AN1524">
        <v>55</v>
      </c>
      <c r="AO1524">
        <v>44</v>
      </c>
      <c r="AP1524">
        <f>ifood_data[[#This Row],[MntTotal]]-ifood_data[[#This Row],[MntRegularProds]]</f>
        <v>11</v>
      </c>
      <c r="AQ1524">
        <v>0</v>
      </c>
      <c r="AR1524">
        <f>IF(SUM(ifood_data[[#This Row],[Kidhome]:[Teenhome]])&gt;0,1,0)</f>
        <v>1</v>
      </c>
      <c r="AS1524" t="str">
        <f>IF(SUM(ifood_data[[#This Row],[Kidhome]:[Teenhome]])&gt;0,"Has Family","No Family")</f>
        <v>Has Family</v>
      </c>
      <c r="AT1524" t="str">
        <f>IF(ifood_data[[#This Row],[marital_Married]]=1,"Married", (IF(ifood_data[[#This Row],[marital_Single]]=1,"Single",(IF(ifood_data[[#This Row],[marital_Divorced]]=1,"Divorced",(IF(ifood_data[[#This Row],[marital_Together]]=1,"Living Together",(IF(ifood_data[[#This Row],[marital_Widow]]=1,"Widow","Other")))))))))</f>
        <v>Married</v>
      </c>
      <c r="AU1524" t="str">
        <f>IF(ifood_data[[#This Row],[education_Basic]]=1,"High School",(IF(ifood_data[[#This Row],[education_Graduation]]=1,"Undergraduate Degree",(IF(SUM(AM1524,AL1524,AI1524)&gt;0,"Master's Degree or Higher","Other")))))</f>
        <v>Master's Degree or Higher</v>
      </c>
      <c r="AV1524" t="str">
        <f>IF(ifood_data[[#All],[Income]]&gt;75000,"75K+",(IF(ifood_data[[#All],[Income]]&gt;50000,"50K-75K",(IF(ifood_data[[#All],[Income]]&gt;35000,"35K-50K","&lt;35K")))))</f>
        <v>35K-50K</v>
      </c>
      <c r="AW1524" t="str">
        <f>IF(ifood_data[[#All],[Age]]&gt;60,"60+",(IF(ifood_data[[#All],[Age]]&gt;50,"50-60",(IF(ifood_data[[#All],[Age]]&gt;40,"40-50",(IF(ifood_data[[#All],[Age]]&gt;30,"30-40","&lt;30")))))))</f>
        <v>30-40</v>
      </c>
      <c r="AX1524">
        <f t="shared" si="92"/>
        <v>15</v>
      </c>
      <c r="AY1524">
        <f t="shared" si="93"/>
        <v>10</v>
      </c>
      <c r="AZ1524">
        <f t="shared" si="94"/>
        <v>2</v>
      </c>
      <c r="BA1524">
        <f t="shared" si="95"/>
        <v>2</v>
      </c>
      <c r="BB1524">
        <f>SUM(ifood_data[[#This Row],[Recency Score]:[Monetary Score]])</f>
        <v>14</v>
      </c>
      <c r="BC1524">
        <f>(_xlfn.PERCENTRANK.INC(ifood_data[[#All],[RFM]],ifood_data[[#This Row],[RFM]],1))*10</f>
        <v>4</v>
      </c>
      <c r="BD1524" t="str">
        <f>VLOOKUP(ifood_data[[#This Row],[RFM Score]],'RFM Analysis'!$A$3:$B$14,2,FALSE)</f>
        <v>At Risk</v>
      </c>
      <c r="BE1524">
        <f>'Regression Models'!$B$101+'Regression Models'!$B$102*ifood_data[[#This Row],[Income]]+'Regression Models'!$B$103*ifood_data[[#This Row],[Age]]+'Regression Models'!$B$104*ifood_data[[#This Row],[Family]]</f>
        <v>175.22019935136194</v>
      </c>
      <c r="BF1524" t="str">
        <f>IF(ifood_data[[#This Row],[AcceptedCmpOverall]]=1,"Campaign Respondent","Non-respondent")</f>
        <v>Non-respondent</v>
      </c>
    </row>
    <row r="1525" spans="1:58" x14ac:dyDescent="0.35">
      <c r="A1525">
        <v>421</v>
      </c>
      <c r="B1525">
        <v>23295</v>
      </c>
      <c r="C1525">
        <v>0</v>
      </c>
      <c r="D1525">
        <v>0</v>
      </c>
      <c r="E1525">
        <v>72</v>
      </c>
      <c r="F1525">
        <v>0</v>
      </c>
      <c r="G1525">
        <v>0</v>
      </c>
      <c r="H1525">
        <v>1</v>
      </c>
      <c r="I1525">
        <v>2</v>
      </c>
      <c r="J1525">
        <v>12</v>
      </c>
      <c r="K1525">
        <v>5</v>
      </c>
      <c r="L1525">
        <v>1</v>
      </c>
      <c r="M1525">
        <v>1</v>
      </c>
      <c r="N1525">
        <v>0</v>
      </c>
      <c r="O1525">
        <v>2</v>
      </c>
      <c r="P1525">
        <v>8</v>
      </c>
      <c r="Q1525">
        <v>0</v>
      </c>
      <c r="R1525">
        <v>0</v>
      </c>
      <c r="S1525">
        <v>0</v>
      </c>
      <c r="T1525">
        <v>0</v>
      </c>
      <c r="U1525">
        <v>0</v>
      </c>
      <c r="V1525">
        <f>IF(SUM(ifood_data[[#This Row],[AcceptedCmp1]:[AcceptedCmp5]])&gt;0,1,0)</f>
        <v>0</v>
      </c>
      <c r="W1525">
        <v>0</v>
      </c>
      <c r="X1525">
        <v>3</v>
      </c>
      <c r="Y1525">
        <v>11</v>
      </c>
      <c r="Z1525">
        <v>0</v>
      </c>
      <c r="AA1525">
        <v>61</v>
      </c>
      <c r="AB1525">
        <v>2510</v>
      </c>
      <c r="AC1525" s="28">
        <f>ifood_data[[#This Row],[Customer_Days]]/365</f>
        <v>6.8767123287671232</v>
      </c>
      <c r="AD1525">
        <v>1</v>
      </c>
      <c r="AE1525">
        <v>0</v>
      </c>
      <c r="AF1525">
        <v>0</v>
      </c>
      <c r="AG1525">
        <v>0</v>
      </c>
      <c r="AH1525">
        <v>0</v>
      </c>
      <c r="AI1525">
        <v>0</v>
      </c>
      <c r="AJ1525">
        <v>0</v>
      </c>
      <c r="AK1525">
        <v>1</v>
      </c>
      <c r="AL1525">
        <v>0</v>
      </c>
      <c r="AM1525">
        <v>0</v>
      </c>
      <c r="AN1525">
        <v>15</v>
      </c>
      <c r="AO1525">
        <v>10</v>
      </c>
      <c r="AP1525">
        <f>ifood_data[[#This Row],[MntTotal]]-ifood_data[[#This Row],[MntRegularProds]]</f>
        <v>5</v>
      </c>
      <c r="AQ1525">
        <v>0</v>
      </c>
      <c r="AR1525">
        <f>IF(SUM(ifood_data[[#This Row],[Kidhome]:[Teenhome]])&gt;0,1,0)</f>
        <v>0</v>
      </c>
      <c r="AS1525" t="str">
        <f>IF(SUM(ifood_data[[#This Row],[Kidhome]:[Teenhome]])&gt;0,"Has Family","No Family")</f>
        <v>No Family</v>
      </c>
      <c r="AT1525" t="str">
        <f>IF(ifood_data[[#This Row],[marital_Married]]=1,"Married", (IF(ifood_data[[#This Row],[marital_Single]]=1,"Single",(IF(ifood_data[[#This Row],[marital_Divorced]]=1,"Divorced",(IF(ifood_data[[#This Row],[marital_Together]]=1,"Living Together",(IF(ifood_data[[#This Row],[marital_Widow]]=1,"Widow","Other")))))))))</f>
        <v>Divorced</v>
      </c>
      <c r="AU1525" t="str">
        <f>IF(ifood_data[[#This Row],[education_Basic]]=1,"High School",(IF(ifood_data[[#This Row],[education_Graduation]]=1,"Undergraduate Degree",(IF(SUM(AM1525,AL1525,AI1525)&gt;0,"Master's Degree or Higher","Other")))))</f>
        <v>Undergraduate Degree</v>
      </c>
      <c r="AV1525" t="str">
        <f>IF(ifood_data[[#All],[Income]]&gt;75000,"75K+",(IF(ifood_data[[#All],[Income]]&gt;50000,"50K-75K",(IF(ifood_data[[#All],[Income]]&gt;35000,"35K-50K","&lt;35K")))))</f>
        <v>&lt;35K</v>
      </c>
      <c r="AW1525" t="str">
        <f>IF(ifood_data[[#All],[Age]]&gt;60,"60+",(IF(ifood_data[[#All],[Age]]&gt;50,"50-60",(IF(ifood_data[[#All],[Age]]&gt;40,"40-50",(IF(ifood_data[[#All],[Age]]&gt;30,"30-40","&lt;30")))))))</f>
        <v>60+</v>
      </c>
      <c r="AX1525">
        <f t="shared" si="92"/>
        <v>12</v>
      </c>
      <c r="AY1525">
        <f t="shared" si="93"/>
        <v>3.0000000000000004</v>
      </c>
      <c r="AZ1525">
        <f t="shared" si="94"/>
        <v>1</v>
      </c>
      <c r="BA1525">
        <f t="shared" si="95"/>
        <v>0</v>
      </c>
      <c r="BB1525">
        <f>SUM(ifood_data[[#This Row],[Recency Score]:[Monetary Score]])</f>
        <v>4</v>
      </c>
      <c r="BC1525">
        <f>(_xlfn.PERCENTRANK.INC(ifood_data[[#All],[RFM]],ifood_data[[#This Row],[RFM]],1))*10</f>
        <v>0</v>
      </c>
      <c r="BD1525" t="str">
        <f>VLOOKUP(ifood_data[[#This Row],[RFM Score]],'RFM Analysis'!$A$3:$B$14,2,FALSE)</f>
        <v>Lost</v>
      </c>
      <c r="BE1525">
        <f>'Regression Models'!$B$101+'Regression Models'!$B$102*ifood_data[[#This Row],[Income]]+'Regression Models'!$B$103*ifood_data[[#This Row],[Age]]+'Regression Models'!$B$104*ifood_data[[#This Row],[Family]]</f>
        <v>175.11831382510763</v>
      </c>
      <c r="BF1525" t="str">
        <f>IF(ifood_data[[#This Row],[AcceptedCmpOverall]]=1,"Campaign Respondent","Non-respondent")</f>
        <v>Non-respondent</v>
      </c>
    </row>
    <row r="1526" spans="1:58" x14ac:dyDescent="0.35">
      <c r="A1526">
        <v>1898</v>
      </c>
      <c r="B1526">
        <v>22390</v>
      </c>
      <c r="C1526">
        <v>0</v>
      </c>
      <c r="D1526">
        <v>0</v>
      </c>
      <c r="E1526">
        <v>49</v>
      </c>
      <c r="F1526">
        <v>0</v>
      </c>
      <c r="G1526">
        <v>1</v>
      </c>
      <c r="H1526">
        <v>4</v>
      </c>
      <c r="I1526">
        <v>15</v>
      </c>
      <c r="J1526">
        <v>1</v>
      </c>
      <c r="K1526">
        <v>5</v>
      </c>
      <c r="L1526">
        <v>1</v>
      </c>
      <c r="M1526">
        <v>1</v>
      </c>
      <c r="N1526">
        <v>0</v>
      </c>
      <c r="O1526">
        <v>2</v>
      </c>
      <c r="P1526">
        <v>7</v>
      </c>
      <c r="Q1526">
        <v>0</v>
      </c>
      <c r="R1526">
        <v>0</v>
      </c>
      <c r="S1526">
        <v>0</v>
      </c>
      <c r="T1526">
        <v>0</v>
      </c>
      <c r="U1526">
        <v>0</v>
      </c>
      <c r="V1526">
        <f>IF(SUM(ifood_data[[#This Row],[AcceptedCmp1]:[AcceptedCmp5]])&gt;0,1,0)</f>
        <v>0</v>
      </c>
      <c r="W1526">
        <v>0</v>
      </c>
      <c r="X1526">
        <v>3</v>
      </c>
      <c r="Y1526">
        <v>11</v>
      </c>
      <c r="Z1526">
        <v>0</v>
      </c>
      <c r="AA1526">
        <v>51</v>
      </c>
      <c r="AB1526">
        <v>2410</v>
      </c>
      <c r="AC1526" s="28">
        <f>ifood_data[[#This Row],[Customer_Days]]/365</f>
        <v>6.602739726027397</v>
      </c>
      <c r="AD1526">
        <v>0</v>
      </c>
      <c r="AE1526">
        <v>0</v>
      </c>
      <c r="AF1526">
        <v>0</v>
      </c>
      <c r="AG1526">
        <v>1</v>
      </c>
      <c r="AH1526">
        <v>0</v>
      </c>
      <c r="AI1526">
        <v>0</v>
      </c>
      <c r="AJ1526">
        <v>1</v>
      </c>
      <c r="AK1526">
        <v>0</v>
      </c>
      <c r="AL1526">
        <v>0</v>
      </c>
      <c r="AM1526">
        <v>0</v>
      </c>
      <c r="AN1526">
        <v>21</v>
      </c>
      <c r="AO1526">
        <v>16</v>
      </c>
      <c r="AP1526">
        <f>ifood_data[[#This Row],[MntTotal]]-ifood_data[[#This Row],[MntRegularProds]]</f>
        <v>5</v>
      </c>
      <c r="AQ1526">
        <v>0</v>
      </c>
      <c r="AR1526">
        <f>IF(SUM(ifood_data[[#This Row],[Kidhome]:[Teenhome]])&gt;0,1,0)</f>
        <v>0</v>
      </c>
      <c r="AS1526" t="str">
        <f>IF(SUM(ifood_data[[#This Row],[Kidhome]:[Teenhome]])&gt;0,"Has Family","No Family")</f>
        <v>No Family</v>
      </c>
      <c r="AT1526" t="str">
        <f>IF(ifood_data[[#This Row],[marital_Married]]=1,"Married", (IF(ifood_data[[#This Row],[marital_Single]]=1,"Single",(IF(ifood_data[[#This Row],[marital_Divorced]]=1,"Divorced",(IF(ifood_data[[#This Row],[marital_Together]]=1,"Living Together",(IF(ifood_data[[#This Row],[marital_Widow]]=1,"Widow","Other")))))))))</f>
        <v>Living Together</v>
      </c>
      <c r="AU1526" t="str">
        <f>IF(ifood_data[[#This Row],[education_Basic]]=1,"High School",(IF(ifood_data[[#This Row],[education_Graduation]]=1,"Undergraduate Degree",(IF(SUM(AM1526,AL1526,AI1526)&gt;0,"Master's Degree or Higher","Other")))))</f>
        <v>High School</v>
      </c>
      <c r="AV1526" t="str">
        <f>IF(ifood_data[[#All],[Income]]&gt;75000,"75K+",(IF(ifood_data[[#All],[Income]]&gt;50000,"50K-75K",(IF(ifood_data[[#All],[Income]]&gt;35000,"35K-50K","&lt;35K")))))</f>
        <v>&lt;35K</v>
      </c>
      <c r="AW1526" t="str">
        <f>IF(ifood_data[[#All],[Age]]&gt;60,"60+",(IF(ifood_data[[#All],[Age]]&gt;50,"50-60",(IF(ifood_data[[#All],[Age]]&gt;40,"40-50",(IF(ifood_data[[#All],[Age]]&gt;30,"30-40","&lt;30")))))))</f>
        <v>50-60</v>
      </c>
      <c r="AX1526">
        <f t="shared" si="92"/>
        <v>11</v>
      </c>
      <c r="AY1526">
        <f t="shared" si="93"/>
        <v>6</v>
      </c>
      <c r="AZ1526">
        <f t="shared" si="94"/>
        <v>0</v>
      </c>
      <c r="BA1526">
        <f t="shared" si="95"/>
        <v>0</v>
      </c>
      <c r="BB1526">
        <f>SUM(ifood_data[[#This Row],[Recency Score]:[Monetary Score]])</f>
        <v>6</v>
      </c>
      <c r="BC1526">
        <f>(_xlfn.PERCENTRANK.INC(ifood_data[[#All],[RFM]],ifood_data[[#This Row],[RFM]],1))*10</f>
        <v>0</v>
      </c>
      <c r="BD1526" t="str">
        <f>VLOOKUP(ifood_data[[#This Row],[RFM Score]],'RFM Analysis'!$A$3:$B$14,2,FALSE)</f>
        <v>Lost</v>
      </c>
      <c r="BE1526">
        <f>'Regression Models'!$B$101+'Regression Models'!$B$102*ifood_data[[#This Row],[Income]]+'Regression Models'!$B$103*ifood_data[[#This Row],[Age]]+'Regression Models'!$B$104*ifood_data[[#This Row],[Family]]</f>
        <v>175.03086944382193</v>
      </c>
      <c r="BF1526" t="str">
        <f>IF(ifood_data[[#This Row],[AcceptedCmpOverall]]=1,"Campaign Respondent","Non-respondent")</f>
        <v>Non-respondent</v>
      </c>
    </row>
    <row r="1527" spans="1:58" x14ac:dyDescent="0.35">
      <c r="A1527">
        <v>1056</v>
      </c>
      <c r="B1527">
        <v>22634</v>
      </c>
      <c r="C1527">
        <v>0</v>
      </c>
      <c r="D1527">
        <v>0</v>
      </c>
      <c r="E1527">
        <v>47</v>
      </c>
      <c r="F1527">
        <v>2</v>
      </c>
      <c r="G1527">
        <v>23</v>
      </c>
      <c r="H1527">
        <v>11</v>
      </c>
      <c r="I1527">
        <v>8</v>
      </c>
      <c r="J1527">
        <v>6</v>
      </c>
      <c r="K1527">
        <v>46</v>
      </c>
      <c r="L1527">
        <v>1</v>
      </c>
      <c r="M1527">
        <v>2</v>
      </c>
      <c r="N1527">
        <v>1</v>
      </c>
      <c r="O1527">
        <v>2</v>
      </c>
      <c r="P1527">
        <v>8</v>
      </c>
      <c r="Q1527">
        <v>0</v>
      </c>
      <c r="R1527">
        <v>0</v>
      </c>
      <c r="S1527">
        <v>0</v>
      </c>
      <c r="T1527">
        <v>0</v>
      </c>
      <c r="U1527">
        <v>0</v>
      </c>
      <c r="V1527">
        <f>IF(SUM(ifood_data[[#This Row],[AcceptedCmp1]:[AcceptedCmp5]])&gt;0,1,0)</f>
        <v>0</v>
      </c>
      <c r="W1527">
        <v>0</v>
      </c>
      <c r="X1527">
        <v>3</v>
      </c>
      <c r="Y1527">
        <v>11</v>
      </c>
      <c r="Z1527">
        <v>0</v>
      </c>
      <c r="AA1527">
        <v>54</v>
      </c>
      <c r="AB1527">
        <v>2688</v>
      </c>
      <c r="AC1527" s="28">
        <f>ifood_data[[#This Row],[Customer_Days]]/365</f>
        <v>7.3643835616438356</v>
      </c>
      <c r="AD1527">
        <v>0</v>
      </c>
      <c r="AE1527">
        <v>0</v>
      </c>
      <c r="AF1527">
        <v>0</v>
      </c>
      <c r="AG1527">
        <v>1</v>
      </c>
      <c r="AH1527">
        <v>0</v>
      </c>
      <c r="AI1527">
        <v>0</v>
      </c>
      <c r="AJ1527">
        <v>1</v>
      </c>
      <c r="AK1527">
        <v>0</v>
      </c>
      <c r="AL1527">
        <v>0</v>
      </c>
      <c r="AM1527">
        <v>0</v>
      </c>
      <c r="AN1527">
        <v>50</v>
      </c>
      <c r="AO1527">
        <v>4</v>
      </c>
      <c r="AP1527">
        <f>ifood_data[[#This Row],[MntTotal]]-ifood_data[[#This Row],[MntRegularProds]]</f>
        <v>46</v>
      </c>
      <c r="AQ1527">
        <v>0</v>
      </c>
      <c r="AR1527">
        <f>IF(SUM(ifood_data[[#This Row],[Kidhome]:[Teenhome]])&gt;0,1,0)</f>
        <v>0</v>
      </c>
      <c r="AS1527" t="str">
        <f>IF(SUM(ifood_data[[#This Row],[Kidhome]:[Teenhome]])&gt;0,"Has Family","No Family")</f>
        <v>No Family</v>
      </c>
      <c r="AT1527" t="str">
        <f>IF(ifood_data[[#This Row],[marital_Married]]=1,"Married", (IF(ifood_data[[#This Row],[marital_Single]]=1,"Single",(IF(ifood_data[[#This Row],[marital_Divorced]]=1,"Divorced",(IF(ifood_data[[#This Row],[marital_Together]]=1,"Living Together",(IF(ifood_data[[#This Row],[marital_Widow]]=1,"Widow","Other")))))))))</f>
        <v>Living Together</v>
      </c>
      <c r="AU1527" t="str">
        <f>IF(ifood_data[[#This Row],[education_Basic]]=1,"High School",(IF(ifood_data[[#This Row],[education_Graduation]]=1,"Undergraduate Degree",(IF(SUM(AM1527,AL1527,AI1527)&gt;0,"Master's Degree or Higher","Other")))))</f>
        <v>High School</v>
      </c>
      <c r="AV1527" t="str">
        <f>IF(ifood_data[[#All],[Income]]&gt;75000,"75K+",(IF(ifood_data[[#All],[Income]]&gt;50000,"50K-75K",(IF(ifood_data[[#All],[Income]]&gt;35000,"35K-50K","&lt;35K")))))</f>
        <v>&lt;35K</v>
      </c>
      <c r="AW1527" t="str">
        <f>IF(ifood_data[[#All],[Age]]&gt;60,"60+",(IF(ifood_data[[#All],[Age]]&gt;50,"50-60",(IF(ifood_data[[#All],[Age]]&gt;40,"40-50",(IF(ifood_data[[#All],[Age]]&gt;30,"30-40","&lt;30")))))))</f>
        <v>50-60</v>
      </c>
      <c r="AX1527">
        <f t="shared" si="92"/>
        <v>14</v>
      </c>
      <c r="AY1527">
        <f t="shared" si="93"/>
        <v>6</v>
      </c>
      <c r="AZ1527">
        <f t="shared" si="94"/>
        <v>2</v>
      </c>
      <c r="BA1527">
        <f t="shared" si="95"/>
        <v>2</v>
      </c>
      <c r="BB1527">
        <f>SUM(ifood_data[[#This Row],[Recency Score]:[Monetary Score]])</f>
        <v>10</v>
      </c>
      <c r="BC1527">
        <f>(_xlfn.PERCENTRANK.INC(ifood_data[[#All],[RFM]],ifood_data[[#This Row],[RFM]],1))*10</f>
        <v>2</v>
      </c>
      <c r="BD1527" t="str">
        <f>VLOOKUP(ifood_data[[#This Row],[RFM Score]],'RFM Analysis'!$A$3:$B$14,2,FALSE)</f>
        <v>At Risk</v>
      </c>
      <c r="BE1527">
        <f>'Regression Models'!$B$101+'Regression Models'!$B$102*ifood_data[[#This Row],[Income]]+'Regression Models'!$B$103*ifood_data[[#This Row],[Age]]+'Regression Models'!$B$104*ifood_data[[#This Row],[Family]]</f>
        <v>174.49641163425042</v>
      </c>
      <c r="BF1527" t="str">
        <f>IF(ifood_data[[#This Row],[AcceptedCmpOverall]]=1,"Campaign Respondent","Non-respondent")</f>
        <v>Non-respondent</v>
      </c>
    </row>
    <row r="1528" spans="1:58" x14ac:dyDescent="0.35">
      <c r="A1528">
        <v>128</v>
      </c>
      <c r="B1528">
        <v>36921</v>
      </c>
      <c r="C1528">
        <v>1</v>
      </c>
      <c r="D1528">
        <v>1</v>
      </c>
      <c r="E1528">
        <v>74</v>
      </c>
      <c r="F1528">
        <v>17</v>
      </c>
      <c r="G1528">
        <v>1</v>
      </c>
      <c r="H1528">
        <v>12</v>
      </c>
      <c r="I1528">
        <v>3</v>
      </c>
      <c r="J1528">
        <v>1</v>
      </c>
      <c r="K1528">
        <v>4</v>
      </c>
      <c r="L1528">
        <v>2</v>
      </c>
      <c r="M1528">
        <v>2</v>
      </c>
      <c r="N1528">
        <v>0</v>
      </c>
      <c r="O1528">
        <v>3</v>
      </c>
      <c r="P1528">
        <v>7</v>
      </c>
      <c r="Q1528">
        <v>0</v>
      </c>
      <c r="R1528">
        <v>0</v>
      </c>
      <c r="S1528">
        <v>0</v>
      </c>
      <c r="T1528">
        <v>0</v>
      </c>
      <c r="U1528">
        <v>0</v>
      </c>
      <c r="V1528">
        <f>IF(SUM(ifood_data[[#This Row],[AcceptedCmp1]:[AcceptedCmp5]])&gt;0,1,0)</f>
        <v>0</v>
      </c>
      <c r="W1528">
        <v>0</v>
      </c>
      <c r="X1528">
        <v>3</v>
      </c>
      <c r="Y1528">
        <v>11</v>
      </c>
      <c r="Z1528">
        <v>0</v>
      </c>
      <c r="AA1528">
        <v>55</v>
      </c>
      <c r="AB1528">
        <v>2495</v>
      </c>
      <c r="AC1528" s="28">
        <f>ifood_data[[#This Row],[Customer_Days]]/365</f>
        <v>6.8356164383561646</v>
      </c>
      <c r="AD1528">
        <v>1</v>
      </c>
      <c r="AE1528">
        <v>0</v>
      </c>
      <c r="AF1528">
        <v>0</v>
      </c>
      <c r="AG1528">
        <v>0</v>
      </c>
      <c r="AH1528">
        <v>0</v>
      </c>
      <c r="AI1528">
        <v>0</v>
      </c>
      <c r="AJ1528">
        <v>0</v>
      </c>
      <c r="AK1528">
        <v>0</v>
      </c>
      <c r="AL1528">
        <v>0</v>
      </c>
      <c r="AM1528">
        <v>1</v>
      </c>
      <c r="AN1528">
        <v>34</v>
      </c>
      <c r="AO1528">
        <v>30</v>
      </c>
      <c r="AP1528">
        <f>ifood_data[[#This Row],[MntTotal]]-ifood_data[[#This Row],[MntRegularProds]]</f>
        <v>4</v>
      </c>
      <c r="AQ1528">
        <v>0</v>
      </c>
      <c r="AR1528">
        <f>IF(SUM(ifood_data[[#This Row],[Kidhome]:[Teenhome]])&gt;0,1,0)</f>
        <v>1</v>
      </c>
      <c r="AS1528" t="str">
        <f>IF(SUM(ifood_data[[#This Row],[Kidhome]:[Teenhome]])&gt;0,"Has Family","No Family")</f>
        <v>Has Family</v>
      </c>
      <c r="AT1528" t="str">
        <f>IF(ifood_data[[#This Row],[marital_Married]]=1,"Married", (IF(ifood_data[[#This Row],[marital_Single]]=1,"Single",(IF(ifood_data[[#This Row],[marital_Divorced]]=1,"Divorced",(IF(ifood_data[[#This Row],[marital_Together]]=1,"Living Together",(IF(ifood_data[[#This Row],[marital_Widow]]=1,"Widow","Other")))))))))</f>
        <v>Divorced</v>
      </c>
      <c r="AU1528" t="str">
        <f>IF(ifood_data[[#This Row],[education_Basic]]=1,"High School",(IF(ifood_data[[#This Row],[education_Graduation]]=1,"Undergraduate Degree",(IF(SUM(AM1528,AL1528,AI1528)&gt;0,"Master's Degree or Higher","Other")))))</f>
        <v>Master's Degree or Higher</v>
      </c>
      <c r="AV1528" t="str">
        <f>IF(ifood_data[[#All],[Income]]&gt;75000,"75K+",(IF(ifood_data[[#All],[Income]]&gt;50000,"50K-75K",(IF(ifood_data[[#All],[Income]]&gt;35000,"35K-50K","&lt;35K")))))</f>
        <v>35K-50K</v>
      </c>
      <c r="AW1528" t="str">
        <f>IF(ifood_data[[#All],[Age]]&gt;60,"60+",(IF(ifood_data[[#All],[Age]]&gt;50,"50-60",(IF(ifood_data[[#All],[Age]]&gt;40,"40-50",(IF(ifood_data[[#All],[Age]]&gt;30,"30-40","&lt;30")))))))</f>
        <v>50-60</v>
      </c>
      <c r="AX1528">
        <f t="shared" si="92"/>
        <v>14</v>
      </c>
      <c r="AY1528">
        <f t="shared" si="93"/>
        <v>3.0000000000000004</v>
      </c>
      <c r="AZ1528">
        <f t="shared" si="94"/>
        <v>2</v>
      </c>
      <c r="BA1528">
        <f t="shared" si="95"/>
        <v>1</v>
      </c>
      <c r="BB1528">
        <f>SUM(ifood_data[[#This Row],[Recency Score]:[Monetary Score]])</f>
        <v>6</v>
      </c>
      <c r="BC1528">
        <f>(_xlfn.PERCENTRANK.INC(ifood_data[[#All],[RFM]],ifood_data[[#This Row],[RFM]],1))*10</f>
        <v>0</v>
      </c>
      <c r="BD1528" t="str">
        <f>VLOOKUP(ifood_data[[#This Row],[RFM Score]],'RFM Analysis'!$A$3:$B$14,2,FALSE)</f>
        <v>Lost</v>
      </c>
      <c r="BE1528">
        <f>'Regression Models'!$B$101+'Regression Models'!$B$102*ifood_data[[#This Row],[Income]]+'Regression Models'!$B$103*ifood_data[[#This Row],[Age]]+'Regression Models'!$B$104*ifood_data[[#This Row],[Family]]</f>
        <v>174.34067195422415</v>
      </c>
      <c r="BF1528" t="str">
        <f>IF(ifood_data[[#This Row],[AcceptedCmpOverall]]=1,"Campaign Respondent","Non-respondent")</f>
        <v>Non-respondent</v>
      </c>
    </row>
    <row r="1529" spans="1:58" x14ac:dyDescent="0.35">
      <c r="A1529">
        <v>1207</v>
      </c>
      <c r="B1529">
        <v>37633</v>
      </c>
      <c r="C1529">
        <v>1</v>
      </c>
      <c r="D1529">
        <v>1</v>
      </c>
      <c r="E1529">
        <v>49</v>
      </c>
      <c r="F1529">
        <v>13</v>
      </c>
      <c r="G1529">
        <v>4</v>
      </c>
      <c r="H1529">
        <v>20</v>
      </c>
      <c r="I1529">
        <v>0</v>
      </c>
      <c r="J1529">
        <v>0</v>
      </c>
      <c r="K1529">
        <v>1</v>
      </c>
      <c r="L1529">
        <v>2</v>
      </c>
      <c r="M1529">
        <v>1</v>
      </c>
      <c r="N1529">
        <v>0</v>
      </c>
      <c r="O1529">
        <v>3</v>
      </c>
      <c r="P1529">
        <v>9</v>
      </c>
      <c r="Q1529">
        <v>0</v>
      </c>
      <c r="R1529">
        <v>0</v>
      </c>
      <c r="S1529">
        <v>0</v>
      </c>
      <c r="T1529">
        <v>0</v>
      </c>
      <c r="U1529">
        <v>0</v>
      </c>
      <c r="V1529">
        <f>IF(SUM(ifood_data[[#This Row],[AcceptedCmp1]:[AcceptedCmp5]])&gt;0,1,0)</f>
        <v>0</v>
      </c>
      <c r="W1529">
        <v>0</v>
      </c>
      <c r="X1529">
        <v>3</v>
      </c>
      <c r="Y1529">
        <v>11</v>
      </c>
      <c r="Z1529">
        <v>0</v>
      </c>
      <c r="AA1529">
        <v>63</v>
      </c>
      <c r="AB1529">
        <v>2806</v>
      </c>
      <c r="AC1529" s="28">
        <f>ifood_data[[#This Row],[Customer_Days]]/365</f>
        <v>7.6876712328767125</v>
      </c>
      <c r="AD1529">
        <v>0</v>
      </c>
      <c r="AE1529">
        <v>1</v>
      </c>
      <c r="AF1529">
        <v>0</v>
      </c>
      <c r="AG1529">
        <v>0</v>
      </c>
      <c r="AH1529">
        <v>0</v>
      </c>
      <c r="AI1529">
        <v>0</v>
      </c>
      <c r="AJ1529">
        <v>0</v>
      </c>
      <c r="AK1529">
        <v>0</v>
      </c>
      <c r="AL1529">
        <v>0</v>
      </c>
      <c r="AM1529">
        <v>1</v>
      </c>
      <c r="AN1529">
        <v>37</v>
      </c>
      <c r="AO1529">
        <v>36</v>
      </c>
      <c r="AP1529">
        <f>ifood_data[[#This Row],[MntTotal]]-ifood_data[[#This Row],[MntRegularProds]]</f>
        <v>1</v>
      </c>
      <c r="AQ1529">
        <v>0</v>
      </c>
      <c r="AR1529">
        <f>IF(SUM(ifood_data[[#This Row],[Kidhome]:[Teenhome]])&gt;0,1,0)</f>
        <v>1</v>
      </c>
      <c r="AS1529" t="str">
        <f>IF(SUM(ifood_data[[#This Row],[Kidhome]:[Teenhome]])&gt;0,"Has Family","No Family")</f>
        <v>Has Family</v>
      </c>
      <c r="AT1529" t="str">
        <f>IF(ifood_data[[#This Row],[marital_Married]]=1,"Married", (IF(ifood_data[[#This Row],[marital_Single]]=1,"Single",(IF(ifood_data[[#This Row],[marital_Divorced]]=1,"Divorced",(IF(ifood_data[[#This Row],[marital_Together]]=1,"Living Together",(IF(ifood_data[[#This Row],[marital_Widow]]=1,"Widow","Other")))))))))</f>
        <v>Married</v>
      </c>
      <c r="AU1529" t="str">
        <f>IF(ifood_data[[#This Row],[education_Basic]]=1,"High School",(IF(ifood_data[[#This Row],[education_Graduation]]=1,"Undergraduate Degree",(IF(SUM(AM1529,AL1529,AI1529)&gt;0,"Master's Degree or Higher","Other")))))</f>
        <v>Master's Degree or Higher</v>
      </c>
      <c r="AV1529" t="str">
        <f>IF(ifood_data[[#All],[Income]]&gt;75000,"75K+",(IF(ifood_data[[#All],[Income]]&gt;50000,"50K-75K",(IF(ifood_data[[#All],[Income]]&gt;35000,"35K-50K","&lt;35K")))))</f>
        <v>35K-50K</v>
      </c>
      <c r="AW1529" t="str">
        <f>IF(ifood_data[[#All],[Age]]&gt;60,"60+",(IF(ifood_data[[#All],[Age]]&gt;50,"50-60",(IF(ifood_data[[#All],[Age]]&gt;40,"40-50",(IF(ifood_data[[#All],[Age]]&gt;30,"30-40","&lt;30")))))))</f>
        <v>60+</v>
      </c>
      <c r="AX1529">
        <f t="shared" si="92"/>
        <v>15</v>
      </c>
      <c r="AY1529">
        <f t="shared" si="93"/>
        <v>6</v>
      </c>
      <c r="AZ1529">
        <f t="shared" si="94"/>
        <v>2</v>
      </c>
      <c r="BA1529">
        <f t="shared" si="95"/>
        <v>1</v>
      </c>
      <c r="BB1529">
        <f>SUM(ifood_data[[#This Row],[Recency Score]:[Monetary Score]])</f>
        <v>9</v>
      </c>
      <c r="BC1529">
        <f>(_xlfn.PERCENTRANK.INC(ifood_data[[#All],[RFM]],ifood_data[[#This Row],[RFM]],1))*10</f>
        <v>1</v>
      </c>
      <c r="BD1529" t="str">
        <f>VLOOKUP(ifood_data[[#This Row],[RFM Score]],'RFM Analysis'!$A$3:$B$14,2,FALSE)</f>
        <v>At Risk</v>
      </c>
      <c r="BE1529">
        <f>'Regression Models'!$B$101+'Regression Models'!$B$102*ifood_data[[#This Row],[Income]]+'Regression Models'!$B$103*ifood_data[[#This Row],[Age]]+'Regression Models'!$B$104*ifood_data[[#This Row],[Family]]</f>
        <v>174.16596224152602</v>
      </c>
      <c r="BF1529" t="str">
        <f>IF(ifood_data[[#This Row],[AcceptedCmpOverall]]=1,"Campaign Respondent","Non-respondent")</f>
        <v>Non-respondent</v>
      </c>
    </row>
    <row r="1530" spans="1:58" x14ac:dyDescent="0.35">
      <c r="A1530">
        <v>991</v>
      </c>
      <c r="B1530">
        <v>35196</v>
      </c>
      <c r="C1530">
        <v>1</v>
      </c>
      <c r="D1530">
        <v>0</v>
      </c>
      <c r="E1530">
        <v>68</v>
      </c>
      <c r="F1530">
        <v>75</v>
      </c>
      <c r="G1530">
        <v>12</v>
      </c>
      <c r="H1530">
        <v>141</v>
      </c>
      <c r="I1530">
        <v>43</v>
      </c>
      <c r="J1530">
        <v>39</v>
      </c>
      <c r="K1530">
        <v>187</v>
      </c>
      <c r="L1530">
        <v>6</v>
      </c>
      <c r="M1530">
        <v>6</v>
      </c>
      <c r="N1530">
        <v>1</v>
      </c>
      <c r="O1530">
        <v>5</v>
      </c>
      <c r="P1530">
        <v>8</v>
      </c>
      <c r="Q1530">
        <v>0</v>
      </c>
      <c r="R1530">
        <v>0</v>
      </c>
      <c r="S1530">
        <v>0</v>
      </c>
      <c r="T1530">
        <v>0</v>
      </c>
      <c r="U1530">
        <v>0</v>
      </c>
      <c r="V1530">
        <f>IF(SUM(ifood_data[[#This Row],[AcceptedCmp1]:[AcceptedCmp5]])&gt;0,1,0)</f>
        <v>0</v>
      </c>
      <c r="W1530">
        <v>0</v>
      </c>
      <c r="X1530">
        <v>3</v>
      </c>
      <c r="Y1530">
        <v>11</v>
      </c>
      <c r="Z1530">
        <v>1</v>
      </c>
      <c r="AA1530">
        <v>36</v>
      </c>
      <c r="AB1530">
        <v>2752</v>
      </c>
      <c r="AC1530" s="28">
        <f>ifood_data[[#This Row],[Customer_Days]]/365</f>
        <v>7.5397260273972604</v>
      </c>
      <c r="AD1530">
        <v>0</v>
      </c>
      <c r="AE1530">
        <v>0</v>
      </c>
      <c r="AF1530">
        <v>0</v>
      </c>
      <c r="AG1530">
        <v>1</v>
      </c>
      <c r="AH1530">
        <v>0</v>
      </c>
      <c r="AI1530">
        <v>0</v>
      </c>
      <c r="AJ1530">
        <v>0</v>
      </c>
      <c r="AK1530">
        <v>1</v>
      </c>
      <c r="AL1530">
        <v>0</v>
      </c>
      <c r="AM1530">
        <v>0</v>
      </c>
      <c r="AN1530">
        <v>310</v>
      </c>
      <c r="AO1530">
        <v>123</v>
      </c>
      <c r="AP1530">
        <f>ifood_data[[#This Row],[MntTotal]]-ifood_data[[#This Row],[MntRegularProds]]</f>
        <v>187</v>
      </c>
      <c r="AQ1530">
        <v>0</v>
      </c>
      <c r="AR1530">
        <f>IF(SUM(ifood_data[[#This Row],[Kidhome]:[Teenhome]])&gt;0,1,0)</f>
        <v>1</v>
      </c>
      <c r="AS1530" t="str">
        <f>IF(SUM(ifood_data[[#This Row],[Kidhome]:[Teenhome]])&gt;0,"Has Family","No Family")</f>
        <v>Has Family</v>
      </c>
      <c r="AT1530" t="str">
        <f>IF(ifood_data[[#This Row],[marital_Married]]=1,"Married", (IF(ifood_data[[#This Row],[marital_Single]]=1,"Single",(IF(ifood_data[[#This Row],[marital_Divorced]]=1,"Divorced",(IF(ifood_data[[#This Row],[marital_Together]]=1,"Living Together",(IF(ifood_data[[#This Row],[marital_Widow]]=1,"Widow","Other")))))))))</f>
        <v>Living Together</v>
      </c>
      <c r="AU1530" t="str">
        <f>IF(ifood_data[[#This Row],[education_Basic]]=1,"High School",(IF(ifood_data[[#This Row],[education_Graduation]]=1,"Undergraduate Degree",(IF(SUM(AM1530,AL1530,AI1530)&gt;0,"Master's Degree or Higher","Other")))))</f>
        <v>Undergraduate Degree</v>
      </c>
      <c r="AV1530" t="str">
        <f>IF(ifood_data[[#All],[Income]]&gt;75000,"75K+",(IF(ifood_data[[#All],[Income]]&gt;50000,"50K-75K",(IF(ifood_data[[#All],[Income]]&gt;35000,"35K-50K","&lt;35K")))))</f>
        <v>35K-50K</v>
      </c>
      <c r="AW1530" t="str">
        <f>IF(ifood_data[[#All],[Age]]&gt;60,"60+",(IF(ifood_data[[#All],[Age]]&gt;50,"50-60",(IF(ifood_data[[#All],[Age]]&gt;40,"40-50",(IF(ifood_data[[#All],[Age]]&gt;30,"30-40","&lt;30")))))))</f>
        <v>30-40</v>
      </c>
      <c r="AX1530">
        <f t="shared" si="92"/>
        <v>26</v>
      </c>
      <c r="AY1530">
        <f t="shared" si="93"/>
        <v>4</v>
      </c>
      <c r="AZ1530">
        <f t="shared" si="94"/>
        <v>7</v>
      </c>
      <c r="BA1530">
        <f t="shared" si="95"/>
        <v>4</v>
      </c>
      <c r="BB1530">
        <f>SUM(ifood_data[[#This Row],[Recency Score]:[Monetary Score]])</f>
        <v>15</v>
      </c>
      <c r="BC1530">
        <f>(_xlfn.PERCENTRANK.INC(ifood_data[[#All],[RFM]],ifood_data[[#This Row],[RFM]],1))*10</f>
        <v>4</v>
      </c>
      <c r="BD1530" t="str">
        <f>VLOOKUP(ifood_data[[#This Row],[RFM Score]],'RFM Analysis'!$A$3:$B$14,2,FALSE)</f>
        <v>At Risk</v>
      </c>
      <c r="BE1530">
        <f>'Regression Models'!$B$101+'Regression Models'!$B$102*ifood_data[[#This Row],[Income]]+'Regression Models'!$B$103*ifood_data[[#This Row],[Age]]+'Regression Models'!$B$104*ifood_data[[#This Row],[Family]]</f>
        <v>174.06238940498991</v>
      </c>
      <c r="BF1530" t="str">
        <f>IF(ifood_data[[#This Row],[AcceptedCmpOverall]]=1,"Campaign Respondent","Non-respondent")</f>
        <v>Non-respondent</v>
      </c>
    </row>
    <row r="1531" spans="1:58" x14ac:dyDescent="0.35">
      <c r="A1531">
        <v>1578</v>
      </c>
      <c r="B1531">
        <v>35196</v>
      </c>
      <c r="C1531">
        <v>1</v>
      </c>
      <c r="D1531">
        <v>0</v>
      </c>
      <c r="E1531">
        <v>68</v>
      </c>
      <c r="F1531">
        <v>75</v>
      </c>
      <c r="G1531">
        <v>12</v>
      </c>
      <c r="H1531">
        <v>141</v>
      </c>
      <c r="I1531">
        <v>43</v>
      </c>
      <c r="J1531">
        <v>39</v>
      </c>
      <c r="K1531">
        <v>187</v>
      </c>
      <c r="L1531">
        <v>6</v>
      </c>
      <c r="M1531">
        <v>6</v>
      </c>
      <c r="N1531">
        <v>1</v>
      </c>
      <c r="O1531">
        <v>5</v>
      </c>
      <c r="P1531">
        <v>8</v>
      </c>
      <c r="Q1531">
        <v>0</v>
      </c>
      <c r="R1531">
        <v>0</v>
      </c>
      <c r="S1531">
        <v>0</v>
      </c>
      <c r="T1531">
        <v>0</v>
      </c>
      <c r="U1531">
        <v>0</v>
      </c>
      <c r="V1531">
        <f>IF(SUM(ifood_data[[#This Row],[AcceptedCmp1]:[AcceptedCmp5]])&gt;0,1,0)</f>
        <v>0</v>
      </c>
      <c r="W1531">
        <v>0</v>
      </c>
      <c r="X1531">
        <v>3</v>
      </c>
      <c r="Y1531">
        <v>11</v>
      </c>
      <c r="Z1531">
        <v>0</v>
      </c>
      <c r="AA1531">
        <v>36</v>
      </c>
      <c r="AB1531">
        <v>2752</v>
      </c>
      <c r="AC1531" s="28">
        <f>ifood_data[[#This Row],[Customer_Days]]/365</f>
        <v>7.5397260273972604</v>
      </c>
      <c r="AD1531">
        <v>0</v>
      </c>
      <c r="AE1531">
        <v>0</v>
      </c>
      <c r="AF1531">
        <v>0</v>
      </c>
      <c r="AG1531">
        <v>1</v>
      </c>
      <c r="AH1531">
        <v>0</v>
      </c>
      <c r="AI1531">
        <v>0</v>
      </c>
      <c r="AJ1531">
        <v>0</v>
      </c>
      <c r="AK1531">
        <v>1</v>
      </c>
      <c r="AL1531">
        <v>0</v>
      </c>
      <c r="AM1531">
        <v>0</v>
      </c>
      <c r="AN1531">
        <v>310</v>
      </c>
      <c r="AO1531">
        <v>123</v>
      </c>
      <c r="AP1531">
        <f>ifood_data[[#This Row],[MntTotal]]-ifood_data[[#This Row],[MntRegularProds]]</f>
        <v>187</v>
      </c>
      <c r="AQ1531">
        <v>0</v>
      </c>
      <c r="AR1531">
        <f>IF(SUM(ifood_data[[#This Row],[Kidhome]:[Teenhome]])&gt;0,1,0)</f>
        <v>1</v>
      </c>
      <c r="AS1531" t="str">
        <f>IF(SUM(ifood_data[[#This Row],[Kidhome]:[Teenhome]])&gt;0,"Has Family","No Family")</f>
        <v>Has Family</v>
      </c>
      <c r="AT1531" t="str">
        <f>IF(ifood_data[[#This Row],[marital_Married]]=1,"Married", (IF(ifood_data[[#This Row],[marital_Single]]=1,"Single",(IF(ifood_data[[#This Row],[marital_Divorced]]=1,"Divorced",(IF(ifood_data[[#This Row],[marital_Together]]=1,"Living Together",(IF(ifood_data[[#This Row],[marital_Widow]]=1,"Widow","Other")))))))))</f>
        <v>Living Together</v>
      </c>
      <c r="AU1531" t="str">
        <f>IF(ifood_data[[#This Row],[education_Basic]]=1,"High School",(IF(ifood_data[[#This Row],[education_Graduation]]=1,"Undergraduate Degree",(IF(SUM(AM1531,AL1531,AI1531)&gt;0,"Master's Degree or Higher","Other")))))</f>
        <v>Undergraduate Degree</v>
      </c>
      <c r="AV1531" t="str">
        <f>IF(ifood_data[[#All],[Income]]&gt;75000,"75K+",(IF(ifood_data[[#All],[Income]]&gt;50000,"50K-75K",(IF(ifood_data[[#All],[Income]]&gt;35000,"35K-50K","&lt;35K")))))</f>
        <v>35K-50K</v>
      </c>
      <c r="AW1531" t="str">
        <f>IF(ifood_data[[#All],[Age]]&gt;60,"60+",(IF(ifood_data[[#All],[Age]]&gt;50,"50-60",(IF(ifood_data[[#All],[Age]]&gt;40,"40-50",(IF(ifood_data[[#All],[Age]]&gt;30,"30-40","&lt;30")))))))</f>
        <v>30-40</v>
      </c>
      <c r="AX1531">
        <f t="shared" si="92"/>
        <v>26</v>
      </c>
      <c r="AY1531">
        <f t="shared" si="93"/>
        <v>4</v>
      </c>
      <c r="AZ1531">
        <f t="shared" si="94"/>
        <v>7</v>
      </c>
      <c r="BA1531">
        <f t="shared" si="95"/>
        <v>4</v>
      </c>
      <c r="BB1531">
        <f>SUM(ifood_data[[#This Row],[Recency Score]:[Monetary Score]])</f>
        <v>15</v>
      </c>
      <c r="BC1531">
        <f>(_xlfn.PERCENTRANK.INC(ifood_data[[#All],[RFM]],ifood_data[[#This Row],[RFM]],1))*10</f>
        <v>4</v>
      </c>
      <c r="BD1531" t="str">
        <f>VLOOKUP(ifood_data[[#This Row],[RFM Score]],'RFM Analysis'!$A$3:$B$14,2,FALSE)</f>
        <v>At Risk</v>
      </c>
      <c r="BE1531">
        <f>'Regression Models'!$B$101+'Regression Models'!$B$102*ifood_data[[#This Row],[Income]]+'Regression Models'!$B$103*ifood_data[[#This Row],[Age]]+'Regression Models'!$B$104*ifood_data[[#This Row],[Family]]</f>
        <v>174.06238940498991</v>
      </c>
      <c r="BF1531" t="str">
        <f>IF(ifood_data[[#This Row],[AcceptedCmpOverall]]=1,"Campaign Respondent","Non-respondent")</f>
        <v>Non-respondent</v>
      </c>
    </row>
    <row r="1532" spans="1:58" x14ac:dyDescent="0.35">
      <c r="A1532">
        <v>49</v>
      </c>
      <c r="B1532">
        <v>35790</v>
      </c>
      <c r="C1532">
        <v>1</v>
      </c>
      <c r="D1532">
        <v>0</v>
      </c>
      <c r="E1532">
        <v>54</v>
      </c>
      <c r="F1532">
        <v>12</v>
      </c>
      <c r="G1532">
        <v>6</v>
      </c>
      <c r="H1532">
        <v>20</v>
      </c>
      <c r="I1532">
        <v>30</v>
      </c>
      <c r="J1532">
        <v>1</v>
      </c>
      <c r="K1532">
        <v>3</v>
      </c>
      <c r="L1532">
        <v>2</v>
      </c>
      <c r="M1532">
        <v>2</v>
      </c>
      <c r="N1532">
        <v>0</v>
      </c>
      <c r="O1532">
        <v>3</v>
      </c>
      <c r="P1532">
        <v>7</v>
      </c>
      <c r="Q1532">
        <v>0</v>
      </c>
      <c r="R1532">
        <v>0</v>
      </c>
      <c r="S1532">
        <v>0</v>
      </c>
      <c r="T1532">
        <v>0</v>
      </c>
      <c r="U1532">
        <v>0</v>
      </c>
      <c r="V1532">
        <f>IF(SUM(ifood_data[[#This Row],[AcceptedCmp1]:[AcceptedCmp5]])&gt;0,1,0)</f>
        <v>0</v>
      </c>
      <c r="W1532">
        <v>0</v>
      </c>
      <c r="X1532">
        <v>3</v>
      </c>
      <c r="Y1532">
        <v>11</v>
      </c>
      <c r="Z1532">
        <v>0</v>
      </c>
      <c r="AA1532">
        <v>43</v>
      </c>
      <c r="AB1532">
        <v>2702</v>
      </c>
      <c r="AC1532" s="28">
        <f>ifood_data[[#This Row],[Customer_Days]]/365</f>
        <v>7.4027397260273968</v>
      </c>
      <c r="AD1532">
        <v>0</v>
      </c>
      <c r="AE1532">
        <v>0</v>
      </c>
      <c r="AF1532">
        <v>1</v>
      </c>
      <c r="AG1532">
        <v>0</v>
      </c>
      <c r="AH1532">
        <v>0</v>
      </c>
      <c r="AI1532">
        <v>0</v>
      </c>
      <c r="AJ1532">
        <v>0</v>
      </c>
      <c r="AK1532">
        <v>1</v>
      </c>
      <c r="AL1532">
        <v>0</v>
      </c>
      <c r="AM1532">
        <v>0</v>
      </c>
      <c r="AN1532">
        <v>69</v>
      </c>
      <c r="AO1532">
        <v>66</v>
      </c>
      <c r="AP1532">
        <f>ifood_data[[#This Row],[MntTotal]]-ifood_data[[#This Row],[MntRegularProds]]</f>
        <v>3</v>
      </c>
      <c r="AQ1532">
        <v>0</v>
      </c>
      <c r="AR1532">
        <f>IF(SUM(ifood_data[[#This Row],[Kidhome]:[Teenhome]])&gt;0,1,0)</f>
        <v>1</v>
      </c>
      <c r="AS1532" t="str">
        <f>IF(SUM(ifood_data[[#This Row],[Kidhome]:[Teenhome]])&gt;0,"Has Family","No Family")</f>
        <v>Has Family</v>
      </c>
      <c r="AT1532" t="str">
        <f>IF(ifood_data[[#This Row],[marital_Married]]=1,"Married", (IF(ifood_data[[#This Row],[marital_Single]]=1,"Single",(IF(ifood_data[[#This Row],[marital_Divorced]]=1,"Divorced",(IF(ifood_data[[#This Row],[marital_Together]]=1,"Living Together",(IF(ifood_data[[#This Row],[marital_Widow]]=1,"Widow","Other")))))))))</f>
        <v>Single</v>
      </c>
      <c r="AU1532" t="str">
        <f>IF(ifood_data[[#This Row],[education_Basic]]=1,"High School",(IF(ifood_data[[#This Row],[education_Graduation]]=1,"Undergraduate Degree",(IF(SUM(AM1532,AL1532,AI1532)&gt;0,"Master's Degree or Higher","Other")))))</f>
        <v>Undergraduate Degree</v>
      </c>
      <c r="AV1532" t="str">
        <f>IF(ifood_data[[#All],[Income]]&gt;75000,"75K+",(IF(ifood_data[[#All],[Income]]&gt;50000,"50K-75K",(IF(ifood_data[[#All],[Income]]&gt;35000,"35K-50K","&lt;35K")))))</f>
        <v>35K-50K</v>
      </c>
      <c r="AW1532" t="str">
        <f>IF(ifood_data[[#All],[Age]]&gt;60,"60+",(IF(ifood_data[[#All],[Age]]&gt;50,"50-60",(IF(ifood_data[[#All],[Age]]&gt;40,"40-50",(IF(ifood_data[[#All],[Age]]&gt;30,"30-40","&lt;30")))))))</f>
        <v>40-50</v>
      </c>
      <c r="AX1532">
        <f t="shared" si="92"/>
        <v>14</v>
      </c>
      <c r="AY1532">
        <f t="shared" si="93"/>
        <v>5</v>
      </c>
      <c r="AZ1532">
        <f t="shared" si="94"/>
        <v>2</v>
      </c>
      <c r="BA1532">
        <f t="shared" si="95"/>
        <v>2</v>
      </c>
      <c r="BB1532">
        <f>SUM(ifood_data[[#This Row],[Recency Score]:[Monetary Score]])</f>
        <v>9</v>
      </c>
      <c r="BC1532">
        <f>(_xlfn.PERCENTRANK.INC(ifood_data[[#All],[RFM]],ifood_data[[#This Row],[RFM]],1))*10</f>
        <v>1</v>
      </c>
      <c r="BD1532" t="str">
        <f>VLOOKUP(ifood_data[[#This Row],[RFM Score]],'RFM Analysis'!$A$3:$B$14,2,FALSE)</f>
        <v>At Risk</v>
      </c>
      <c r="BE1532">
        <f>'Regression Models'!$B$101+'Regression Models'!$B$102*ifood_data[[#This Row],[Income]]+'Regression Models'!$B$103*ifood_data[[#This Row],[Age]]+'Regression Models'!$B$104*ifood_data[[#This Row],[Family]]</f>
        <v>173.31824413020581</v>
      </c>
      <c r="BF1532" t="str">
        <f>IF(ifood_data[[#This Row],[AcceptedCmpOverall]]=1,"Campaign Respondent","Non-respondent")</f>
        <v>Non-respondent</v>
      </c>
    </row>
    <row r="1533" spans="1:58" x14ac:dyDescent="0.35">
      <c r="A1533">
        <v>428</v>
      </c>
      <c r="B1533">
        <v>36230</v>
      </c>
      <c r="C1533">
        <v>1</v>
      </c>
      <c r="D1533">
        <v>0</v>
      </c>
      <c r="E1533">
        <v>17</v>
      </c>
      <c r="F1533">
        <v>14</v>
      </c>
      <c r="G1533">
        <v>2</v>
      </c>
      <c r="H1533">
        <v>30</v>
      </c>
      <c r="I1533">
        <v>8</v>
      </c>
      <c r="J1533">
        <v>2</v>
      </c>
      <c r="K1533">
        <v>3</v>
      </c>
      <c r="L1533">
        <v>1</v>
      </c>
      <c r="M1533">
        <v>2</v>
      </c>
      <c r="N1533">
        <v>0</v>
      </c>
      <c r="O1533">
        <v>4</v>
      </c>
      <c r="P1533">
        <v>5</v>
      </c>
      <c r="Q1533">
        <v>0</v>
      </c>
      <c r="R1533">
        <v>0</v>
      </c>
      <c r="S1533">
        <v>0</v>
      </c>
      <c r="T1533">
        <v>0</v>
      </c>
      <c r="U1533">
        <v>0</v>
      </c>
      <c r="V1533">
        <f>IF(SUM(ifood_data[[#This Row],[AcceptedCmp1]:[AcceptedCmp5]])&gt;0,1,0)</f>
        <v>0</v>
      </c>
      <c r="W1533">
        <v>0</v>
      </c>
      <c r="X1533">
        <v>3</v>
      </c>
      <c r="Y1533">
        <v>11</v>
      </c>
      <c r="Z1533">
        <v>0</v>
      </c>
      <c r="AA1533">
        <v>49</v>
      </c>
      <c r="AB1533">
        <v>2414</v>
      </c>
      <c r="AC1533" s="28">
        <f>ifood_data[[#This Row],[Customer_Days]]/365</f>
        <v>6.6136986301369864</v>
      </c>
      <c r="AD1533">
        <v>0</v>
      </c>
      <c r="AE1533">
        <v>0</v>
      </c>
      <c r="AF1533">
        <v>1</v>
      </c>
      <c r="AG1533">
        <v>0</v>
      </c>
      <c r="AH1533">
        <v>0</v>
      </c>
      <c r="AI1533">
        <v>0</v>
      </c>
      <c r="AJ1533">
        <v>0</v>
      </c>
      <c r="AK1533">
        <v>0</v>
      </c>
      <c r="AL1533">
        <v>1</v>
      </c>
      <c r="AM1533">
        <v>0</v>
      </c>
      <c r="AN1533">
        <v>56</v>
      </c>
      <c r="AO1533">
        <v>53</v>
      </c>
      <c r="AP1533">
        <f>ifood_data[[#This Row],[MntTotal]]-ifood_data[[#This Row],[MntRegularProds]]</f>
        <v>3</v>
      </c>
      <c r="AQ1533">
        <v>0</v>
      </c>
      <c r="AR1533">
        <f>IF(SUM(ifood_data[[#This Row],[Kidhome]:[Teenhome]])&gt;0,1,0)</f>
        <v>1</v>
      </c>
      <c r="AS1533" t="str">
        <f>IF(SUM(ifood_data[[#This Row],[Kidhome]:[Teenhome]])&gt;0,"Has Family","No Family")</f>
        <v>Has Family</v>
      </c>
      <c r="AT1533" t="str">
        <f>IF(ifood_data[[#This Row],[marital_Married]]=1,"Married", (IF(ifood_data[[#This Row],[marital_Single]]=1,"Single",(IF(ifood_data[[#This Row],[marital_Divorced]]=1,"Divorced",(IF(ifood_data[[#This Row],[marital_Together]]=1,"Living Together",(IF(ifood_data[[#This Row],[marital_Widow]]=1,"Widow","Other")))))))))</f>
        <v>Single</v>
      </c>
      <c r="AU1533" t="str">
        <f>IF(ifood_data[[#This Row],[education_Basic]]=1,"High School",(IF(ifood_data[[#This Row],[education_Graduation]]=1,"Undergraduate Degree",(IF(SUM(AM1533,AL1533,AI1533)&gt;0,"Master's Degree or Higher","Other")))))</f>
        <v>Master's Degree or Higher</v>
      </c>
      <c r="AV1533" t="str">
        <f>IF(ifood_data[[#All],[Income]]&gt;75000,"75K+",(IF(ifood_data[[#All],[Income]]&gt;50000,"50K-75K",(IF(ifood_data[[#All],[Income]]&gt;35000,"35K-50K","&lt;35K")))))</f>
        <v>35K-50K</v>
      </c>
      <c r="AW1533" t="str">
        <f>IF(ifood_data[[#All],[Age]]&gt;60,"60+",(IF(ifood_data[[#All],[Age]]&gt;50,"50-60",(IF(ifood_data[[#All],[Age]]&gt;40,"40-50",(IF(ifood_data[[#All],[Age]]&gt;30,"30-40","&lt;30")))))))</f>
        <v>40-50</v>
      </c>
      <c r="AX1533">
        <f t="shared" si="92"/>
        <v>12</v>
      </c>
      <c r="AY1533">
        <f t="shared" si="93"/>
        <v>9</v>
      </c>
      <c r="AZ1533">
        <f t="shared" si="94"/>
        <v>1</v>
      </c>
      <c r="BA1533">
        <f t="shared" si="95"/>
        <v>2</v>
      </c>
      <c r="BB1533">
        <f>SUM(ifood_data[[#This Row],[Recency Score]:[Monetary Score]])</f>
        <v>12</v>
      </c>
      <c r="BC1533">
        <f>(_xlfn.PERCENTRANK.INC(ifood_data[[#All],[RFM]],ifood_data[[#This Row],[RFM]],1))*10</f>
        <v>3</v>
      </c>
      <c r="BD1533" t="str">
        <f>VLOOKUP(ifood_data[[#This Row],[RFM Score]],'RFM Analysis'!$A$3:$B$14,2,FALSE)</f>
        <v>At Risk</v>
      </c>
      <c r="BE1533">
        <f>'Regression Models'!$B$101+'Regression Models'!$B$102*ifood_data[[#This Row],[Income]]+'Regression Models'!$B$103*ifood_data[[#This Row],[Age]]+'Regression Models'!$B$104*ifood_data[[#This Row],[Family]]</f>
        <v>171.27066764015569</v>
      </c>
      <c r="BF1533" t="str">
        <f>IF(ifood_data[[#This Row],[AcceptedCmpOverall]]=1,"Campaign Respondent","Non-respondent")</f>
        <v>Non-respondent</v>
      </c>
    </row>
    <row r="1534" spans="1:58" x14ac:dyDescent="0.35">
      <c r="A1534">
        <v>1540</v>
      </c>
      <c r="B1534">
        <v>20193</v>
      </c>
      <c r="C1534">
        <v>0</v>
      </c>
      <c r="D1534">
        <v>0</v>
      </c>
      <c r="E1534">
        <v>18</v>
      </c>
      <c r="F1534">
        <v>8</v>
      </c>
      <c r="G1534">
        <v>8</v>
      </c>
      <c r="H1534">
        <v>22</v>
      </c>
      <c r="I1534">
        <v>24</v>
      </c>
      <c r="J1534">
        <v>11</v>
      </c>
      <c r="K1534">
        <v>9</v>
      </c>
      <c r="L1534">
        <v>1</v>
      </c>
      <c r="M1534">
        <v>1</v>
      </c>
      <c r="N1534">
        <v>1</v>
      </c>
      <c r="O1534">
        <v>4</v>
      </c>
      <c r="P1534">
        <v>4</v>
      </c>
      <c r="Q1534">
        <v>0</v>
      </c>
      <c r="R1534">
        <v>0</v>
      </c>
      <c r="S1534">
        <v>0</v>
      </c>
      <c r="T1534">
        <v>0</v>
      </c>
      <c r="U1534">
        <v>0</v>
      </c>
      <c r="V1534">
        <f>IF(SUM(ifood_data[[#This Row],[AcceptedCmp1]:[AcceptedCmp5]])&gt;0,1,0)</f>
        <v>0</v>
      </c>
      <c r="W1534">
        <v>0</v>
      </c>
      <c r="X1534">
        <v>3</v>
      </c>
      <c r="Y1534">
        <v>11</v>
      </c>
      <c r="Z1534">
        <v>0</v>
      </c>
      <c r="AA1534">
        <v>29</v>
      </c>
      <c r="AB1534">
        <v>2737</v>
      </c>
      <c r="AC1534" s="28">
        <f>ifood_data[[#This Row],[Customer_Days]]/365</f>
        <v>7.4986301369863018</v>
      </c>
      <c r="AD1534">
        <v>0</v>
      </c>
      <c r="AE1534">
        <v>0</v>
      </c>
      <c r="AF1534">
        <v>0</v>
      </c>
      <c r="AG1534">
        <v>1</v>
      </c>
      <c r="AH1534">
        <v>0</v>
      </c>
      <c r="AI1534">
        <v>1</v>
      </c>
      <c r="AJ1534">
        <v>0</v>
      </c>
      <c r="AK1534">
        <v>0</v>
      </c>
      <c r="AL1534">
        <v>0</v>
      </c>
      <c r="AM1534">
        <v>0</v>
      </c>
      <c r="AN1534">
        <v>73</v>
      </c>
      <c r="AO1534">
        <v>64</v>
      </c>
      <c r="AP1534">
        <f>ifood_data[[#This Row],[MntTotal]]-ifood_data[[#This Row],[MntRegularProds]]</f>
        <v>9</v>
      </c>
      <c r="AQ1534">
        <v>0</v>
      </c>
      <c r="AR1534">
        <f>IF(SUM(ifood_data[[#This Row],[Kidhome]:[Teenhome]])&gt;0,1,0)</f>
        <v>0</v>
      </c>
      <c r="AS1534" t="str">
        <f>IF(SUM(ifood_data[[#This Row],[Kidhome]:[Teenhome]])&gt;0,"Has Family","No Family")</f>
        <v>No Family</v>
      </c>
      <c r="AT1534" t="str">
        <f>IF(ifood_data[[#This Row],[marital_Married]]=1,"Married", (IF(ifood_data[[#This Row],[marital_Single]]=1,"Single",(IF(ifood_data[[#This Row],[marital_Divorced]]=1,"Divorced",(IF(ifood_data[[#This Row],[marital_Together]]=1,"Living Together",(IF(ifood_data[[#This Row],[marital_Widow]]=1,"Widow","Other")))))))))</f>
        <v>Living Together</v>
      </c>
      <c r="AU1534" t="str">
        <f>IF(ifood_data[[#This Row],[education_Basic]]=1,"High School",(IF(ifood_data[[#This Row],[education_Graduation]]=1,"Undergraduate Degree",(IF(SUM(AM1534,AL1534,AI1534)&gt;0,"Master's Degree or Higher","Other")))))</f>
        <v>Master's Degree or Higher</v>
      </c>
      <c r="AV1534" t="str">
        <f>IF(ifood_data[[#All],[Income]]&gt;75000,"75K+",(IF(ifood_data[[#All],[Income]]&gt;50000,"50K-75K",(IF(ifood_data[[#All],[Income]]&gt;35000,"35K-50K","&lt;35K")))))</f>
        <v>&lt;35K</v>
      </c>
      <c r="AW1534" t="str">
        <f>IF(ifood_data[[#All],[Age]]&gt;60,"60+",(IF(ifood_data[[#All],[Age]]&gt;50,"50-60",(IF(ifood_data[[#All],[Age]]&gt;40,"40-50",(IF(ifood_data[[#All],[Age]]&gt;30,"30-40","&lt;30")))))))</f>
        <v>&lt;30</v>
      </c>
      <c r="AX1534">
        <f t="shared" si="92"/>
        <v>11</v>
      </c>
      <c r="AY1534">
        <f t="shared" si="93"/>
        <v>9</v>
      </c>
      <c r="AZ1534">
        <f t="shared" si="94"/>
        <v>0</v>
      </c>
      <c r="BA1534">
        <f t="shared" si="95"/>
        <v>3</v>
      </c>
      <c r="BB1534">
        <f>SUM(ifood_data[[#This Row],[Recency Score]:[Monetary Score]])</f>
        <v>12</v>
      </c>
      <c r="BC1534">
        <f>(_xlfn.PERCENTRANK.INC(ifood_data[[#All],[RFM]],ifood_data[[#This Row],[RFM]],1))*10</f>
        <v>3</v>
      </c>
      <c r="BD1534" t="str">
        <f>VLOOKUP(ifood_data[[#This Row],[RFM Score]],'RFM Analysis'!$A$3:$B$14,2,FALSE)</f>
        <v>At Risk</v>
      </c>
      <c r="BE1534">
        <f>'Regression Models'!$B$101+'Regression Models'!$B$102*ifood_data[[#This Row],[Income]]+'Regression Models'!$B$103*ifood_data[[#This Row],[Age]]+'Regression Models'!$B$104*ifood_data[[#This Row],[Family]]</f>
        <v>170.63840556735011</v>
      </c>
      <c r="BF1534" t="str">
        <f>IF(ifood_data[[#This Row],[AcceptedCmpOverall]]=1,"Campaign Respondent","Non-respondent")</f>
        <v>Non-respondent</v>
      </c>
    </row>
    <row r="1535" spans="1:58" x14ac:dyDescent="0.35">
      <c r="A1535">
        <v>1524</v>
      </c>
      <c r="B1535">
        <v>35544</v>
      </c>
      <c r="C1535">
        <v>1</v>
      </c>
      <c r="D1535">
        <v>0</v>
      </c>
      <c r="E1535">
        <v>77</v>
      </c>
      <c r="F1535">
        <v>30</v>
      </c>
      <c r="G1535">
        <v>5</v>
      </c>
      <c r="H1535">
        <v>23</v>
      </c>
      <c r="I1535">
        <v>4</v>
      </c>
      <c r="J1535">
        <v>1</v>
      </c>
      <c r="K1535">
        <v>4</v>
      </c>
      <c r="L1535">
        <v>1</v>
      </c>
      <c r="M1535">
        <v>2</v>
      </c>
      <c r="N1535">
        <v>0</v>
      </c>
      <c r="O1535">
        <v>3</v>
      </c>
      <c r="P1535">
        <v>7</v>
      </c>
      <c r="Q1535">
        <v>0</v>
      </c>
      <c r="R1535">
        <v>0</v>
      </c>
      <c r="S1535">
        <v>0</v>
      </c>
      <c r="T1535">
        <v>0</v>
      </c>
      <c r="U1535">
        <v>0</v>
      </c>
      <c r="V1535">
        <f>IF(SUM(ifood_data[[#This Row],[AcceptedCmp1]:[AcceptedCmp5]])&gt;0,1,0)</f>
        <v>0</v>
      </c>
      <c r="W1535">
        <v>0</v>
      </c>
      <c r="X1535">
        <v>3</v>
      </c>
      <c r="Y1535">
        <v>11</v>
      </c>
      <c r="Z1535">
        <v>0</v>
      </c>
      <c r="AA1535">
        <v>42</v>
      </c>
      <c r="AB1535">
        <v>2272</v>
      </c>
      <c r="AC1535" s="28">
        <f>ifood_data[[#This Row],[Customer_Days]]/365</f>
        <v>6.2246575342465755</v>
      </c>
      <c r="AD1535">
        <v>0</v>
      </c>
      <c r="AE1535">
        <v>0</v>
      </c>
      <c r="AF1535">
        <v>1</v>
      </c>
      <c r="AG1535">
        <v>0</v>
      </c>
      <c r="AH1535">
        <v>0</v>
      </c>
      <c r="AI1535">
        <v>0</v>
      </c>
      <c r="AJ1535">
        <v>0</v>
      </c>
      <c r="AK1535">
        <v>0</v>
      </c>
      <c r="AL1535">
        <v>1</v>
      </c>
      <c r="AM1535">
        <v>0</v>
      </c>
      <c r="AN1535">
        <v>63</v>
      </c>
      <c r="AO1535">
        <v>59</v>
      </c>
      <c r="AP1535">
        <f>ifood_data[[#This Row],[MntTotal]]-ifood_data[[#This Row],[MntRegularProds]]</f>
        <v>4</v>
      </c>
      <c r="AQ1535">
        <v>0</v>
      </c>
      <c r="AR1535">
        <f>IF(SUM(ifood_data[[#This Row],[Kidhome]:[Teenhome]])&gt;0,1,0)</f>
        <v>1</v>
      </c>
      <c r="AS1535" t="str">
        <f>IF(SUM(ifood_data[[#This Row],[Kidhome]:[Teenhome]])&gt;0,"Has Family","No Family")</f>
        <v>Has Family</v>
      </c>
      <c r="AT1535" t="str">
        <f>IF(ifood_data[[#This Row],[marital_Married]]=1,"Married", (IF(ifood_data[[#This Row],[marital_Single]]=1,"Single",(IF(ifood_data[[#This Row],[marital_Divorced]]=1,"Divorced",(IF(ifood_data[[#This Row],[marital_Together]]=1,"Living Together",(IF(ifood_data[[#This Row],[marital_Widow]]=1,"Widow","Other")))))))))</f>
        <v>Single</v>
      </c>
      <c r="AU1535" t="str">
        <f>IF(ifood_data[[#This Row],[education_Basic]]=1,"High School",(IF(ifood_data[[#This Row],[education_Graduation]]=1,"Undergraduate Degree",(IF(SUM(AM1535,AL1535,AI1535)&gt;0,"Master's Degree or Higher","Other")))))</f>
        <v>Master's Degree or Higher</v>
      </c>
      <c r="AV1535" t="str">
        <f>IF(ifood_data[[#All],[Income]]&gt;75000,"75K+",(IF(ifood_data[[#All],[Income]]&gt;50000,"50K-75K",(IF(ifood_data[[#All],[Income]]&gt;35000,"35K-50K","&lt;35K")))))</f>
        <v>35K-50K</v>
      </c>
      <c r="AW1535" t="str">
        <f>IF(ifood_data[[#All],[Age]]&gt;60,"60+",(IF(ifood_data[[#All],[Age]]&gt;50,"50-60",(IF(ifood_data[[#All],[Age]]&gt;40,"40-50",(IF(ifood_data[[#All],[Age]]&gt;30,"30-40","&lt;30")))))))</f>
        <v>40-50</v>
      </c>
      <c r="AX1535">
        <f t="shared" si="92"/>
        <v>13</v>
      </c>
      <c r="AY1535">
        <f t="shared" si="93"/>
        <v>3.0000000000000004</v>
      </c>
      <c r="AZ1535">
        <f t="shared" si="94"/>
        <v>1</v>
      </c>
      <c r="BA1535">
        <f t="shared" si="95"/>
        <v>2</v>
      </c>
      <c r="BB1535">
        <f>SUM(ifood_data[[#This Row],[Recency Score]:[Monetary Score]])</f>
        <v>6</v>
      </c>
      <c r="BC1535">
        <f>(_xlfn.PERCENTRANK.INC(ifood_data[[#All],[RFM]],ifood_data[[#This Row],[RFM]],1))*10</f>
        <v>0</v>
      </c>
      <c r="BD1535" t="str">
        <f>VLOOKUP(ifood_data[[#This Row],[RFM Score]],'RFM Analysis'!$A$3:$B$14,2,FALSE)</f>
        <v>Lost</v>
      </c>
      <c r="BE1535">
        <f>'Regression Models'!$B$101+'Regression Models'!$B$102*ifood_data[[#This Row],[Income]]+'Regression Models'!$B$103*ifood_data[[#This Row],[Age]]+'Regression Models'!$B$104*ifood_data[[#This Row],[Family]]</f>
        <v>170.13904624570102</v>
      </c>
      <c r="BF1535" t="str">
        <f>IF(ifood_data[[#This Row],[AcceptedCmpOverall]]=1,"Campaign Respondent","Non-respondent")</f>
        <v>Non-respondent</v>
      </c>
    </row>
    <row r="1536" spans="1:58" x14ac:dyDescent="0.35">
      <c r="A1536">
        <v>979</v>
      </c>
      <c r="B1536">
        <v>37334</v>
      </c>
      <c r="C1536">
        <v>1</v>
      </c>
      <c r="D1536">
        <v>1</v>
      </c>
      <c r="E1536">
        <v>44</v>
      </c>
      <c r="F1536">
        <v>26</v>
      </c>
      <c r="G1536">
        <v>1</v>
      </c>
      <c r="H1536">
        <v>16</v>
      </c>
      <c r="I1536">
        <v>2</v>
      </c>
      <c r="J1536">
        <v>2</v>
      </c>
      <c r="K1536">
        <v>15</v>
      </c>
      <c r="L1536">
        <v>4</v>
      </c>
      <c r="M1536">
        <v>3</v>
      </c>
      <c r="N1536">
        <v>0</v>
      </c>
      <c r="O1536">
        <v>4</v>
      </c>
      <c r="P1536">
        <v>4</v>
      </c>
      <c r="Q1536">
        <v>0</v>
      </c>
      <c r="R1536">
        <v>0</v>
      </c>
      <c r="S1536">
        <v>0</v>
      </c>
      <c r="T1536">
        <v>0</v>
      </c>
      <c r="U1536">
        <v>0</v>
      </c>
      <c r="V1536">
        <f>IF(SUM(ifood_data[[#This Row],[AcceptedCmp1]:[AcceptedCmp5]])&gt;0,1,0)</f>
        <v>0</v>
      </c>
      <c r="W1536">
        <v>0</v>
      </c>
      <c r="X1536">
        <v>3</v>
      </c>
      <c r="Y1536">
        <v>11</v>
      </c>
      <c r="Z1536">
        <v>0</v>
      </c>
      <c r="AA1536">
        <v>62</v>
      </c>
      <c r="AB1536">
        <v>2282</v>
      </c>
      <c r="AC1536" s="28">
        <f>ifood_data[[#This Row],[Customer_Days]]/365</f>
        <v>6.2520547945205482</v>
      </c>
      <c r="AD1536">
        <v>0</v>
      </c>
      <c r="AE1536">
        <v>0</v>
      </c>
      <c r="AF1536">
        <v>0</v>
      </c>
      <c r="AG1536">
        <v>1</v>
      </c>
      <c r="AH1536">
        <v>0</v>
      </c>
      <c r="AI1536">
        <v>0</v>
      </c>
      <c r="AJ1536">
        <v>0</v>
      </c>
      <c r="AK1536">
        <v>0</v>
      </c>
      <c r="AL1536">
        <v>0</v>
      </c>
      <c r="AM1536">
        <v>1</v>
      </c>
      <c r="AN1536">
        <v>47</v>
      </c>
      <c r="AO1536">
        <v>32</v>
      </c>
      <c r="AP1536">
        <f>ifood_data[[#This Row],[MntTotal]]-ifood_data[[#This Row],[MntRegularProds]]</f>
        <v>15</v>
      </c>
      <c r="AQ1536">
        <v>0</v>
      </c>
      <c r="AR1536">
        <f>IF(SUM(ifood_data[[#This Row],[Kidhome]:[Teenhome]])&gt;0,1,0)</f>
        <v>1</v>
      </c>
      <c r="AS1536" t="str">
        <f>IF(SUM(ifood_data[[#This Row],[Kidhome]:[Teenhome]])&gt;0,"Has Family","No Family")</f>
        <v>Has Family</v>
      </c>
      <c r="AT1536" t="str">
        <f>IF(ifood_data[[#This Row],[marital_Married]]=1,"Married", (IF(ifood_data[[#This Row],[marital_Single]]=1,"Single",(IF(ifood_data[[#This Row],[marital_Divorced]]=1,"Divorced",(IF(ifood_data[[#This Row],[marital_Together]]=1,"Living Together",(IF(ifood_data[[#This Row],[marital_Widow]]=1,"Widow","Other")))))))))</f>
        <v>Living Together</v>
      </c>
      <c r="AU1536" t="str">
        <f>IF(ifood_data[[#This Row],[education_Basic]]=1,"High School",(IF(ifood_data[[#This Row],[education_Graduation]]=1,"Undergraduate Degree",(IF(SUM(AM1536,AL1536,AI1536)&gt;0,"Master's Degree or Higher","Other")))))</f>
        <v>Master's Degree or Higher</v>
      </c>
      <c r="AV1536" t="str">
        <f>IF(ifood_data[[#All],[Income]]&gt;75000,"75K+",(IF(ifood_data[[#All],[Income]]&gt;50000,"50K-75K",(IF(ifood_data[[#All],[Income]]&gt;35000,"35K-50K","&lt;35K")))))</f>
        <v>35K-50K</v>
      </c>
      <c r="AW1536" t="str">
        <f>IF(ifood_data[[#All],[Age]]&gt;60,"60+",(IF(ifood_data[[#All],[Age]]&gt;50,"50-60",(IF(ifood_data[[#All],[Age]]&gt;40,"40-50",(IF(ifood_data[[#All],[Age]]&gt;30,"30-40","&lt;30")))))))</f>
        <v>60+</v>
      </c>
      <c r="AX1536">
        <f t="shared" si="92"/>
        <v>15</v>
      </c>
      <c r="AY1536">
        <f t="shared" si="93"/>
        <v>6</v>
      </c>
      <c r="AZ1536">
        <f t="shared" si="94"/>
        <v>2</v>
      </c>
      <c r="BA1536">
        <f t="shared" si="95"/>
        <v>2</v>
      </c>
      <c r="BB1536">
        <f>SUM(ifood_data[[#This Row],[Recency Score]:[Monetary Score]])</f>
        <v>10</v>
      </c>
      <c r="BC1536">
        <f>(_xlfn.PERCENTRANK.INC(ifood_data[[#All],[RFM]],ifood_data[[#This Row],[RFM]],1))*10</f>
        <v>2</v>
      </c>
      <c r="BD1536" t="str">
        <f>VLOOKUP(ifood_data[[#This Row],[RFM Score]],'RFM Analysis'!$A$3:$B$14,2,FALSE)</f>
        <v>At Risk</v>
      </c>
      <c r="BE1536">
        <f>'Regression Models'!$B$101+'Regression Models'!$B$102*ifood_data[[#This Row],[Income]]+'Regression Models'!$B$103*ifood_data[[#This Row],[Age]]+'Regression Models'!$B$104*ifood_data[[#This Row],[Family]]</f>
        <v>169.9061596453945</v>
      </c>
      <c r="BF1536" t="str">
        <f>IF(ifood_data[[#This Row],[AcceptedCmpOverall]]=1,"Campaign Respondent","Non-respondent")</f>
        <v>Non-respondent</v>
      </c>
    </row>
    <row r="1537" spans="1:58" x14ac:dyDescent="0.35">
      <c r="A1537">
        <v>2003</v>
      </c>
      <c r="B1537">
        <v>38054</v>
      </c>
      <c r="C1537">
        <v>1</v>
      </c>
      <c r="D1537">
        <v>1</v>
      </c>
      <c r="E1537">
        <v>24</v>
      </c>
      <c r="F1537">
        <v>23</v>
      </c>
      <c r="G1537">
        <v>2</v>
      </c>
      <c r="H1537">
        <v>17</v>
      </c>
      <c r="I1537">
        <v>2</v>
      </c>
      <c r="J1537">
        <v>1</v>
      </c>
      <c r="K1537">
        <v>0</v>
      </c>
      <c r="L1537">
        <v>2</v>
      </c>
      <c r="M1537">
        <v>2</v>
      </c>
      <c r="N1537">
        <v>0</v>
      </c>
      <c r="O1537">
        <v>3</v>
      </c>
      <c r="P1537">
        <v>7</v>
      </c>
      <c r="Q1537">
        <v>0</v>
      </c>
      <c r="R1537">
        <v>0</v>
      </c>
      <c r="S1537">
        <v>0</v>
      </c>
      <c r="T1537">
        <v>0</v>
      </c>
      <c r="U1537">
        <v>0</v>
      </c>
      <c r="V1537">
        <f>IF(SUM(ifood_data[[#This Row],[AcceptedCmp1]:[AcceptedCmp5]])&gt;0,1,0)</f>
        <v>0</v>
      </c>
      <c r="W1537">
        <v>0</v>
      </c>
      <c r="X1537">
        <v>3</v>
      </c>
      <c r="Y1537">
        <v>11</v>
      </c>
      <c r="Z1537">
        <v>0</v>
      </c>
      <c r="AA1537">
        <v>70</v>
      </c>
      <c r="AB1537">
        <v>2218</v>
      </c>
      <c r="AC1537" s="28">
        <f>ifood_data[[#This Row],[Customer_Days]]/365</f>
        <v>6.0767123287671234</v>
      </c>
      <c r="AD1537">
        <v>1</v>
      </c>
      <c r="AE1537">
        <v>0</v>
      </c>
      <c r="AF1537">
        <v>0</v>
      </c>
      <c r="AG1537">
        <v>0</v>
      </c>
      <c r="AH1537">
        <v>0</v>
      </c>
      <c r="AI1537">
        <v>0</v>
      </c>
      <c r="AJ1537">
        <v>0</v>
      </c>
      <c r="AK1537">
        <v>0</v>
      </c>
      <c r="AL1537">
        <v>1</v>
      </c>
      <c r="AM1537">
        <v>0</v>
      </c>
      <c r="AN1537">
        <v>45</v>
      </c>
      <c r="AO1537">
        <v>45</v>
      </c>
      <c r="AP1537">
        <f>ifood_data[[#This Row],[MntTotal]]-ifood_data[[#This Row],[MntRegularProds]]</f>
        <v>0</v>
      </c>
      <c r="AQ1537">
        <v>0</v>
      </c>
      <c r="AR1537">
        <f>IF(SUM(ifood_data[[#This Row],[Kidhome]:[Teenhome]])&gt;0,1,0)</f>
        <v>1</v>
      </c>
      <c r="AS1537" t="str">
        <f>IF(SUM(ifood_data[[#This Row],[Kidhome]:[Teenhome]])&gt;0,"Has Family","No Family")</f>
        <v>Has Family</v>
      </c>
      <c r="AT1537" t="str">
        <f>IF(ifood_data[[#This Row],[marital_Married]]=1,"Married", (IF(ifood_data[[#This Row],[marital_Single]]=1,"Single",(IF(ifood_data[[#This Row],[marital_Divorced]]=1,"Divorced",(IF(ifood_data[[#This Row],[marital_Together]]=1,"Living Together",(IF(ifood_data[[#This Row],[marital_Widow]]=1,"Widow","Other")))))))))</f>
        <v>Divorced</v>
      </c>
      <c r="AU1537" t="str">
        <f>IF(ifood_data[[#This Row],[education_Basic]]=1,"High School",(IF(ifood_data[[#This Row],[education_Graduation]]=1,"Undergraduate Degree",(IF(SUM(AM1537,AL1537,AI1537)&gt;0,"Master's Degree or Higher","Other")))))</f>
        <v>Master's Degree or Higher</v>
      </c>
      <c r="AV1537" t="str">
        <f>IF(ifood_data[[#All],[Income]]&gt;75000,"75K+",(IF(ifood_data[[#All],[Income]]&gt;50000,"50K-75K",(IF(ifood_data[[#All],[Income]]&gt;35000,"35K-50K","&lt;35K")))))</f>
        <v>35K-50K</v>
      </c>
      <c r="AW1537" t="str">
        <f>IF(ifood_data[[#All],[Age]]&gt;60,"60+",(IF(ifood_data[[#All],[Age]]&gt;50,"50-60",(IF(ifood_data[[#All],[Age]]&gt;40,"40-50",(IF(ifood_data[[#All],[Age]]&gt;30,"30-40","&lt;30")))))))</f>
        <v>60+</v>
      </c>
      <c r="AX1537">
        <f t="shared" si="92"/>
        <v>14</v>
      </c>
      <c r="AY1537">
        <f t="shared" si="93"/>
        <v>8</v>
      </c>
      <c r="AZ1537">
        <f t="shared" si="94"/>
        <v>2</v>
      </c>
      <c r="BA1537">
        <f t="shared" si="95"/>
        <v>2</v>
      </c>
      <c r="BB1537">
        <f>SUM(ifood_data[[#This Row],[Recency Score]:[Monetary Score]])</f>
        <v>12</v>
      </c>
      <c r="BC1537">
        <f>(_xlfn.PERCENTRANK.INC(ifood_data[[#All],[RFM]],ifood_data[[#This Row],[RFM]],1))*10</f>
        <v>3</v>
      </c>
      <c r="BD1537" t="str">
        <f>VLOOKUP(ifood_data[[#This Row],[RFM Score]],'RFM Analysis'!$A$3:$B$14,2,FALSE)</f>
        <v>At Risk</v>
      </c>
      <c r="BE1537">
        <f>'Regression Models'!$B$101+'Regression Models'!$B$102*ifood_data[[#This Row],[Income]]+'Regression Models'!$B$103*ifood_data[[#This Row],[Age]]+'Regression Models'!$B$104*ifood_data[[#This Row],[Family]]</f>
        <v>169.89456007784759</v>
      </c>
      <c r="BF1537" t="str">
        <f>IF(ifood_data[[#This Row],[AcceptedCmpOverall]]=1,"Campaign Respondent","Non-respondent")</f>
        <v>Non-respondent</v>
      </c>
    </row>
    <row r="1538" spans="1:58" x14ac:dyDescent="0.35">
      <c r="A1538">
        <v>835</v>
      </c>
      <c r="B1538">
        <v>35797</v>
      </c>
      <c r="C1538">
        <v>0</v>
      </c>
      <c r="D1538">
        <v>1</v>
      </c>
      <c r="E1538">
        <v>16</v>
      </c>
      <c r="F1538">
        <v>27</v>
      </c>
      <c r="G1538">
        <v>1</v>
      </c>
      <c r="H1538">
        <v>14</v>
      </c>
      <c r="I1538">
        <v>4</v>
      </c>
      <c r="J1538">
        <v>1</v>
      </c>
      <c r="K1538">
        <v>21</v>
      </c>
      <c r="L1538">
        <v>2</v>
      </c>
      <c r="M1538">
        <v>2</v>
      </c>
      <c r="N1538">
        <v>0</v>
      </c>
      <c r="O1538">
        <v>3</v>
      </c>
      <c r="P1538">
        <v>8</v>
      </c>
      <c r="Q1538">
        <v>0</v>
      </c>
      <c r="R1538">
        <v>0</v>
      </c>
      <c r="S1538">
        <v>0</v>
      </c>
      <c r="T1538">
        <v>0</v>
      </c>
      <c r="U1538">
        <v>0</v>
      </c>
      <c r="V1538">
        <f>IF(SUM(ifood_data[[#This Row],[AcceptedCmp1]:[AcceptedCmp5]])&gt;0,1,0)</f>
        <v>0</v>
      </c>
      <c r="W1538">
        <v>0</v>
      </c>
      <c r="X1538">
        <v>3</v>
      </c>
      <c r="Y1538">
        <v>11</v>
      </c>
      <c r="Z1538">
        <v>0</v>
      </c>
      <c r="AA1538">
        <v>45</v>
      </c>
      <c r="AB1538">
        <v>2780</v>
      </c>
      <c r="AC1538" s="28">
        <f>ifood_data[[#This Row],[Customer_Days]]/365</f>
        <v>7.6164383561643838</v>
      </c>
      <c r="AD1538">
        <v>0</v>
      </c>
      <c r="AE1538">
        <v>1</v>
      </c>
      <c r="AF1538">
        <v>0</v>
      </c>
      <c r="AG1538">
        <v>0</v>
      </c>
      <c r="AH1538">
        <v>0</v>
      </c>
      <c r="AI1538">
        <v>0</v>
      </c>
      <c r="AJ1538">
        <v>0</v>
      </c>
      <c r="AK1538">
        <v>1</v>
      </c>
      <c r="AL1538">
        <v>0</v>
      </c>
      <c r="AM1538">
        <v>0</v>
      </c>
      <c r="AN1538">
        <v>47</v>
      </c>
      <c r="AO1538">
        <v>26</v>
      </c>
      <c r="AP1538">
        <f>ifood_data[[#This Row],[MntTotal]]-ifood_data[[#This Row],[MntRegularProds]]</f>
        <v>21</v>
      </c>
      <c r="AQ1538">
        <v>0</v>
      </c>
      <c r="AR1538">
        <f>IF(SUM(ifood_data[[#This Row],[Kidhome]:[Teenhome]])&gt;0,1,0)</f>
        <v>1</v>
      </c>
      <c r="AS1538" t="str">
        <f>IF(SUM(ifood_data[[#This Row],[Kidhome]:[Teenhome]])&gt;0,"Has Family","No Family")</f>
        <v>Has Family</v>
      </c>
      <c r="AT1538" t="str">
        <f>IF(ifood_data[[#This Row],[marital_Married]]=1,"Married", (IF(ifood_data[[#This Row],[marital_Single]]=1,"Single",(IF(ifood_data[[#This Row],[marital_Divorced]]=1,"Divorced",(IF(ifood_data[[#This Row],[marital_Together]]=1,"Living Together",(IF(ifood_data[[#This Row],[marital_Widow]]=1,"Widow","Other")))))))))</f>
        <v>Married</v>
      </c>
      <c r="AU1538" t="str">
        <f>IF(ifood_data[[#This Row],[education_Basic]]=1,"High School",(IF(ifood_data[[#This Row],[education_Graduation]]=1,"Undergraduate Degree",(IF(SUM(AM1538,AL1538,AI1538)&gt;0,"Master's Degree or Higher","Other")))))</f>
        <v>Undergraduate Degree</v>
      </c>
      <c r="AV1538" t="str">
        <f>IF(ifood_data[[#All],[Income]]&gt;75000,"75K+",(IF(ifood_data[[#All],[Income]]&gt;50000,"50K-75K",(IF(ifood_data[[#All],[Income]]&gt;35000,"35K-50K","&lt;35K")))))</f>
        <v>35K-50K</v>
      </c>
      <c r="AW1538" t="str">
        <f>IF(ifood_data[[#All],[Age]]&gt;60,"60+",(IF(ifood_data[[#All],[Age]]&gt;50,"50-60",(IF(ifood_data[[#All],[Age]]&gt;40,"40-50",(IF(ifood_data[[#All],[Age]]&gt;30,"30-40","&lt;30")))))))</f>
        <v>40-50</v>
      </c>
      <c r="AX1538">
        <f t="shared" ref="AX1538:AX1601" si="96">SUM(L1538:P1538)</f>
        <v>15</v>
      </c>
      <c r="AY1538">
        <f t="shared" ref="AY1538:AY1601" si="97">(1-_xlfn.PERCENTRANK.INC($E$2:$E$2022,E1538,1))*10</f>
        <v>9</v>
      </c>
      <c r="AZ1538">
        <f t="shared" ref="AZ1538:AZ1601" si="98">_xlfn.PERCENTRANK.INC($AX$2:$AX$2022,AX1538,1)*10</f>
        <v>2</v>
      </c>
      <c r="BA1538">
        <f t="shared" ref="BA1538:BA1601" si="99">_xlfn.PERCENTRANK.INC($AN$2:$AN$2022,AN1538,1)*10</f>
        <v>2</v>
      </c>
      <c r="BB1538">
        <f>SUM(ifood_data[[#This Row],[Recency Score]:[Monetary Score]])</f>
        <v>13</v>
      </c>
      <c r="BC1538">
        <f>(_xlfn.PERCENTRANK.INC(ifood_data[[#All],[RFM]],ifood_data[[#This Row],[RFM]],1))*10</f>
        <v>3</v>
      </c>
      <c r="BD1538" t="str">
        <f>VLOOKUP(ifood_data[[#This Row],[RFM Score]],'RFM Analysis'!$A$3:$B$14,2,FALSE)</f>
        <v>At Risk</v>
      </c>
      <c r="BE1538">
        <f>'Regression Models'!$B$101+'Regression Models'!$B$102*ifood_data[[#This Row],[Income]]+'Regression Models'!$B$103*ifood_data[[#This Row],[Age]]+'Regression Models'!$B$104*ifood_data[[#This Row],[Family]]</f>
        <v>169.78808734942459</v>
      </c>
      <c r="BF1538" t="str">
        <f>IF(ifood_data[[#This Row],[AcceptedCmpOverall]]=1,"Campaign Respondent","Non-respondent")</f>
        <v>Non-respondent</v>
      </c>
    </row>
    <row r="1539" spans="1:58" x14ac:dyDescent="0.35">
      <c r="A1539">
        <v>1320</v>
      </c>
      <c r="B1539">
        <v>34412</v>
      </c>
      <c r="C1539">
        <v>1</v>
      </c>
      <c r="D1539">
        <v>0</v>
      </c>
      <c r="E1539">
        <v>62</v>
      </c>
      <c r="F1539">
        <v>52</v>
      </c>
      <c r="G1539">
        <v>12</v>
      </c>
      <c r="H1539">
        <v>50</v>
      </c>
      <c r="I1539">
        <v>4</v>
      </c>
      <c r="J1539">
        <v>36</v>
      </c>
      <c r="K1539">
        <v>55</v>
      </c>
      <c r="L1539">
        <v>3</v>
      </c>
      <c r="M1539">
        <v>5</v>
      </c>
      <c r="N1539">
        <v>0</v>
      </c>
      <c r="O1539">
        <v>3</v>
      </c>
      <c r="P1539">
        <v>9</v>
      </c>
      <c r="Q1539">
        <v>0</v>
      </c>
      <c r="R1539">
        <v>0</v>
      </c>
      <c r="S1539">
        <v>0</v>
      </c>
      <c r="T1539">
        <v>0</v>
      </c>
      <c r="U1539">
        <v>0</v>
      </c>
      <c r="V1539">
        <f>IF(SUM(ifood_data[[#This Row],[AcceptedCmp1]:[AcceptedCmp5]])&gt;0,1,0)</f>
        <v>0</v>
      </c>
      <c r="W1539">
        <v>0</v>
      </c>
      <c r="X1539">
        <v>3</v>
      </c>
      <c r="Y1539">
        <v>11</v>
      </c>
      <c r="Z1539">
        <v>0</v>
      </c>
      <c r="AA1539">
        <v>30</v>
      </c>
      <c r="AB1539">
        <v>2660</v>
      </c>
      <c r="AC1539" s="28">
        <f>ifood_data[[#This Row],[Customer_Days]]/365</f>
        <v>7.2876712328767121</v>
      </c>
      <c r="AD1539">
        <v>0</v>
      </c>
      <c r="AE1539">
        <v>0</v>
      </c>
      <c r="AF1539">
        <v>1</v>
      </c>
      <c r="AG1539">
        <v>0</v>
      </c>
      <c r="AH1539">
        <v>0</v>
      </c>
      <c r="AI1539">
        <v>0</v>
      </c>
      <c r="AJ1539">
        <v>0</v>
      </c>
      <c r="AK1539">
        <v>1</v>
      </c>
      <c r="AL1539">
        <v>0</v>
      </c>
      <c r="AM1539">
        <v>0</v>
      </c>
      <c r="AN1539">
        <v>154</v>
      </c>
      <c r="AO1539">
        <v>99</v>
      </c>
      <c r="AP1539">
        <f>ifood_data[[#This Row],[MntTotal]]-ifood_data[[#This Row],[MntRegularProds]]</f>
        <v>55</v>
      </c>
      <c r="AQ1539">
        <v>0</v>
      </c>
      <c r="AR1539">
        <f>IF(SUM(ifood_data[[#This Row],[Kidhome]:[Teenhome]])&gt;0,1,0)</f>
        <v>1</v>
      </c>
      <c r="AS1539" t="str">
        <f>IF(SUM(ifood_data[[#This Row],[Kidhome]:[Teenhome]])&gt;0,"Has Family","No Family")</f>
        <v>Has Family</v>
      </c>
      <c r="AT1539" t="str">
        <f>IF(ifood_data[[#This Row],[marital_Married]]=1,"Married", (IF(ifood_data[[#This Row],[marital_Single]]=1,"Single",(IF(ifood_data[[#This Row],[marital_Divorced]]=1,"Divorced",(IF(ifood_data[[#This Row],[marital_Together]]=1,"Living Together",(IF(ifood_data[[#This Row],[marital_Widow]]=1,"Widow","Other")))))))))</f>
        <v>Single</v>
      </c>
      <c r="AU1539" t="str">
        <f>IF(ifood_data[[#This Row],[education_Basic]]=1,"High School",(IF(ifood_data[[#This Row],[education_Graduation]]=1,"Undergraduate Degree",(IF(SUM(AM1539,AL1539,AI1539)&gt;0,"Master's Degree or Higher","Other")))))</f>
        <v>Undergraduate Degree</v>
      </c>
      <c r="AV1539" t="str">
        <f>IF(ifood_data[[#All],[Income]]&gt;75000,"75K+",(IF(ifood_data[[#All],[Income]]&gt;50000,"50K-75K",(IF(ifood_data[[#All],[Income]]&gt;35000,"35K-50K","&lt;35K")))))</f>
        <v>&lt;35K</v>
      </c>
      <c r="AW1539" t="str">
        <f>IF(ifood_data[[#All],[Age]]&gt;60,"60+",(IF(ifood_data[[#All],[Age]]&gt;50,"50-60",(IF(ifood_data[[#All],[Age]]&gt;40,"40-50",(IF(ifood_data[[#All],[Age]]&gt;30,"30-40","&lt;30")))))))</f>
        <v>&lt;30</v>
      </c>
      <c r="AX1539">
        <f t="shared" si="96"/>
        <v>20</v>
      </c>
      <c r="AY1539">
        <f t="shared" si="97"/>
        <v>4</v>
      </c>
      <c r="AZ1539">
        <f t="shared" si="98"/>
        <v>4</v>
      </c>
      <c r="BA1539">
        <f t="shared" si="99"/>
        <v>3</v>
      </c>
      <c r="BB1539">
        <f>SUM(ifood_data[[#This Row],[Recency Score]:[Monetary Score]])</f>
        <v>11</v>
      </c>
      <c r="BC1539">
        <f>(_xlfn.PERCENTRANK.INC(ifood_data[[#All],[RFM]],ifood_data[[#This Row],[RFM]],1))*10</f>
        <v>2</v>
      </c>
      <c r="BD1539" t="str">
        <f>VLOOKUP(ifood_data[[#This Row],[RFM Score]],'RFM Analysis'!$A$3:$B$14,2,FALSE)</f>
        <v>At Risk</v>
      </c>
      <c r="BE1539">
        <f>'Regression Models'!$B$101+'Regression Models'!$B$102*ifood_data[[#This Row],[Income]]+'Regression Models'!$B$103*ifood_data[[#This Row],[Age]]+'Regression Models'!$B$104*ifood_data[[#This Row],[Family]]</f>
        <v>169.09622965353884</v>
      </c>
      <c r="BF1539" t="str">
        <f>IF(ifood_data[[#This Row],[AcceptedCmpOverall]]=1,"Campaign Respondent","Non-respondent")</f>
        <v>Non-respondent</v>
      </c>
    </row>
    <row r="1540" spans="1:58" x14ac:dyDescent="0.35">
      <c r="A1540">
        <v>1323</v>
      </c>
      <c r="B1540">
        <v>36026</v>
      </c>
      <c r="C1540">
        <v>2</v>
      </c>
      <c r="D1540">
        <v>1</v>
      </c>
      <c r="E1540">
        <v>34</v>
      </c>
      <c r="F1540">
        <v>20</v>
      </c>
      <c r="G1540">
        <v>4</v>
      </c>
      <c r="H1540">
        <v>10</v>
      </c>
      <c r="I1540">
        <v>6</v>
      </c>
      <c r="J1540">
        <v>4</v>
      </c>
      <c r="K1540">
        <v>17</v>
      </c>
      <c r="L1540">
        <v>2</v>
      </c>
      <c r="M1540">
        <v>2</v>
      </c>
      <c r="N1540">
        <v>0</v>
      </c>
      <c r="O1540">
        <v>3</v>
      </c>
      <c r="P1540">
        <v>6</v>
      </c>
      <c r="Q1540">
        <v>0</v>
      </c>
      <c r="R1540">
        <v>0</v>
      </c>
      <c r="S1540">
        <v>0</v>
      </c>
      <c r="T1540">
        <v>0</v>
      </c>
      <c r="U1540">
        <v>0</v>
      </c>
      <c r="V1540">
        <f>IF(SUM(ifood_data[[#This Row],[AcceptedCmp1]:[AcceptedCmp5]])&gt;0,1,0)</f>
        <v>0</v>
      </c>
      <c r="W1540">
        <v>0</v>
      </c>
      <c r="X1540">
        <v>3</v>
      </c>
      <c r="Y1540">
        <v>11</v>
      </c>
      <c r="Z1540">
        <v>0</v>
      </c>
      <c r="AA1540">
        <v>48</v>
      </c>
      <c r="AB1540">
        <v>2264</v>
      </c>
      <c r="AC1540" s="28">
        <f>ifood_data[[#This Row],[Customer_Days]]/365</f>
        <v>6.2027397260273975</v>
      </c>
      <c r="AD1540">
        <v>0</v>
      </c>
      <c r="AE1540">
        <v>1</v>
      </c>
      <c r="AF1540">
        <v>0</v>
      </c>
      <c r="AG1540">
        <v>0</v>
      </c>
      <c r="AH1540">
        <v>0</v>
      </c>
      <c r="AI1540">
        <v>0</v>
      </c>
      <c r="AJ1540">
        <v>0</v>
      </c>
      <c r="AK1540">
        <v>1</v>
      </c>
      <c r="AL1540">
        <v>0</v>
      </c>
      <c r="AM1540">
        <v>0</v>
      </c>
      <c r="AN1540">
        <v>44</v>
      </c>
      <c r="AO1540">
        <v>27</v>
      </c>
      <c r="AP1540">
        <f>ifood_data[[#This Row],[MntTotal]]-ifood_data[[#This Row],[MntRegularProds]]</f>
        <v>17</v>
      </c>
      <c r="AQ1540">
        <v>0</v>
      </c>
      <c r="AR1540">
        <f>IF(SUM(ifood_data[[#This Row],[Kidhome]:[Teenhome]])&gt;0,1,0)</f>
        <v>1</v>
      </c>
      <c r="AS1540" t="str">
        <f>IF(SUM(ifood_data[[#This Row],[Kidhome]:[Teenhome]])&gt;0,"Has Family","No Family")</f>
        <v>Has Family</v>
      </c>
      <c r="AT1540" t="str">
        <f>IF(ifood_data[[#This Row],[marital_Married]]=1,"Married", (IF(ifood_data[[#This Row],[marital_Single]]=1,"Single",(IF(ifood_data[[#This Row],[marital_Divorced]]=1,"Divorced",(IF(ifood_data[[#This Row],[marital_Together]]=1,"Living Together",(IF(ifood_data[[#This Row],[marital_Widow]]=1,"Widow","Other")))))))))</f>
        <v>Married</v>
      </c>
      <c r="AU1540" t="str">
        <f>IF(ifood_data[[#This Row],[education_Basic]]=1,"High School",(IF(ifood_data[[#This Row],[education_Graduation]]=1,"Undergraduate Degree",(IF(SUM(AM1540,AL1540,AI1540)&gt;0,"Master's Degree or Higher","Other")))))</f>
        <v>Undergraduate Degree</v>
      </c>
      <c r="AV1540" t="str">
        <f>IF(ifood_data[[#All],[Income]]&gt;75000,"75K+",(IF(ifood_data[[#All],[Income]]&gt;50000,"50K-75K",(IF(ifood_data[[#All],[Income]]&gt;35000,"35K-50K","&lt;35K")))))</f>
        <v>35K-50K</v>
      </c>
      <c r="AW1540" t="str">
        <f>IF(ifood_data[[#All],[Age]]&gt;60,"60+",(IF(ifood_data[[#All],[Age]]&gt;50,"50-60",(IF(ifood_data[[#All],[Age]]&gt;40,"40-50",(IF(ifood_data[[#All],[Age]]&gt;30,"30-40","&lt;30")))))))</f>
        <v>40-50</v>
      </c>
      <c r="AX1540">
        <f t="shared" si="96"/>
        <v>13</v>
      </c>
      <c r="AY1540">
        <f t="shared" si="97"/>
        <v>7</v>
      </c>
      <c r="AZ1540">
        <f t="shared" si="98"/>
        <v>1</v>
      </c>
      <c r="BA1540">
        <f t="shared" si="99"/>
        <v>2</v>
      </c>
      <c r="BB1540">
        <f>SUM(ifood_data[[#This Row],[Recency Score]:[Monetary Score]])</f>
        <v>10</v>
      </c>
      <c r="BC1540">
        <f>(_xlfn.PERCENTRANK.INC(ifood_data[[#All],[RFM]],ifood_data[[#This Row],[RFM]],1))*10</f>
        <v>2</v>
      </c>
      <c r="BD1540" t="str">
        <f>VLOOKUP(ifood_data[[#This Row],[RFM Score]],'RFM Analysis'!$A$3:$B$14,2,FALSE)</f>
        <v>At Risk</v>
      </c>
      <c r="BE1540">
        <f>'Regression Models'!$B$101+'Regression Models'!$B$102*ifood_data[[#This Row],[Income]]+'Regression Models'!$B$103*ifood_data[[#This Row],[Age]]+'Regression Models'!$B$104*ifood_data[[#This Row],[Family]]</f>
        <v>168.94779801769459</v>
      </c>
      <c r="BF1540" t="str">
        <f>IF(ifood_data[[#This Row],[AcceptedCmpOverall]]=1,"Campaign Respondent","Non-respondent")</f>
        <v>Non-respondent</v>
      </c>
    </row>
    <row r="1541" spans="1:58" x14ac:dyDescent="0.35">
      <c r="A1541">
        <v>1310</v>
      </c>
      <c r="B1541">
        <v>37716</v>
      </c>
      <c r="C1541">
        <v>0</v>
      </c>
      <c r="D1541">
        <v>1</v>
      </c>
      <c r="E1541">
        <v>4</v>
      </c>
      <c r="F1541">
        <v>97</v>
      </c>
      <c r="G1541">
        <v>1</v>
      </c>
      <c r="H1541">
        <v>41</v>
      </c>
      <c r="I1541">
        <v>6</v>
      </c>
      <c r="J1541">
        <v>2</v>
      </c>
      <c r="K1541">
        <v>41</v>
      </c>
      <c r="L1541">
        <v>2</v>
      </c>
      <c r="M1541">
        <v>4</v>
      </c>
      <c r="N1541">
        <v>1</v>
      </c>
      <c r="O1541">
        <v>3</v>
      </c>
      <c r="P1541">
        <v>7</v>
      </c>
      <c r="Q1541">
        <v>0</v>
      </c>
      <c r="R1541">
        <v>0</v>
      </c>
      <c r="S1541">
        <v>0</v>
      </c>
      <c r="T1541">
        <v>0</v>
      </c>
      <c r="U1541">
        <v>0</v>
      </c>
      <c r="V1541">
        <f>IF(SUM(ifood_data[[#This Row],[AcceptedCmp1]:[AcceptedCmp5]])&gt;0,1,0)</f>
        <v>0</v>
      </c>
      <c r="W1541">
        <v>0</v>
      </c>
      <c r="X1541">
        <v>3</v>
      </c>
      <c r="Y1541">
        <v>11</v>
      </c>
      <c r="Z1541">
        <v>0</v>
      </c>
      <c r="AA1541">
        <v>67</v>
      </c>
      <c r="AB1541">
        <v>2228</v>
      </c>
      <c r="AC1541" s="28">
        <f>ifood_data[[#This Row],[Customer_Days]]/365</f>
        <v>6.1041095890410961</v>
      </c>
      <c r="AD1541">
        <v>0</v>
      </c>
      <c r="AE1541">
        <v>1</v>
      </c>
      <c r="AF1541">
        <v>0</v>
      </c>
      <c r="AG1541">
        <v>0</v>
      </c>
      <c r="AH1541">
        <v>0</v>
      </c>
      <c r="AI1541">
        <v>0</v>
      </c>
      <c r="AJ1541">
        <v>0</v>
      </c>
      <c r="AK1541">
        <v>1</v>
      </c>
      <c r="AL1541">
        <v>0</v>
      </c>
      <c r="AM1541">
        <v>0</v>
      </c>
      <c r="AN1541">
        <v>147</v>
      </c>
      <c r="AO1541">
        <v>106</v>
      </c>
      <c r="AP1541">
        <f>ifood_data[[#This Row],[MntTotal]]-ifood_data[[#This Row],[MntRegularProds]]</f>
        <v>41</v>
      </c>
      <c r="AQ1541">
        <v>0</v>
      </c>
      <c r="AR1541">
        <f>IF(SUM(ifood_data[[#This Row],[Kidhome]:[Teenhome]])&gt;0,1,0)</f>
        <v>1</v>
      </c>
      <c r="AS1541" t="str">
        <f>IF(SUM(ifood_data[[#This Row],[Kidhome]:[Teenhome]])&gt;0,"Has Family","No Family")</f>
        <v>Has Family</v>
      </c>
      <c r="AT1541" t="str">
        <f>IF(ifood_data[[#This Row],[marital_Married]]=1,"Married", (IF(ifood_data[[#This Row],[marital_Single]]=1,"Single",(IF(ifood_data[[#This Row],[marital_Divorced]]=1,"Divorced",(IF(ifood_data[[#This Row],[marital_Together]]=1,"Living Together",(IF(ifood_data[[#This Row],[marital_Widow]]=1,"Widow","Other")))))))))</f>
        <v>Married</v>
      </c>
      <c r="AU1541" t="str">
        <f>IF(ifood_data[[#This Row],[education_Basic]]=1,"High School",(IF(ifood_data[[#This Row],[education_Graduation]]=1,"Undergraduate Degree",(IF(SUM(AM1541,AL1541,AI1541)&gt;0,"Master's Degree or Higher","Other")))))</f>
        <v>Undergraduate Degree</v>
      </c>
      <c r="AV1541" t="str">
        <f>IF(ifood_data[[#All],[Income]]&gt;75000,"75K+",(IF(ifood_data[[#All],[Income]]&gt;50000,"50K-75K",(IF(ifood_data[[#All],[Income]]&gt;35000,"35K-50K","&lt;35K")))))</f>
        <v>35K-50K</v>
      </c>
      <c r="AW1541" t="str">
        <f>IF(ifood_data[[#All],[Age]]&gt;60,"60+",(IF(ifood_data[[#All],[Age]]&gt;50,"50-60",(IF(ifood_data[[#All],[Age]]&gt;40,"40-50",(IF(ifood_data[[#All],[Age]]&gt;30,"30-40","&lt;30")))))))</f>
        <v>60+</v>
      </c>
      <c r="AX1541">
        <f t="shared" si="96"/>
        <v>17</v>
      </c>
      <c r="AY1541">
        <f t="shared" si="97"/>
        <v>10</v>
      </c>
      <c r="AZ1541">
        <f t="shared" si="98"/>
        <v>3</v>
      </c>
      <c r="BA1541">
        <f t="shared" si="99"/>
        <v>3</v>
      </c>
      <c r="BB1541">
        <f>SUM(ifood_data[[#This Row],[Recency Score]:[Monetary Score]])</f>
        <v>16</v>
      </c>
      <c r="BC1541">
        <f>(_xlfn.PERCENTRANK.INC(ifood_data[[#All],[RFM]],ifood_data[[#This Row],[RFM]],1))*10</f>
        <v>5</v>
      </c>
      <c r="BD1541" t="str">
        <f>VLOOKUP(ifood_data[[#This Row],[RFM Score]],'RFM Analysis'!$A$3:$B$14,2,FALSE)</f>
        <v>Promising</v>
      </c>
      <c r="BE1541">
        <f>'Regression Models'!$B$101+'Regression Models'!$B$102*ifood_data[[#This Row],[Income]]+'Regression Models'!$B$103*ifood_data[[#This Row],[Age]]+'Regression Models'!$B$104*ifood_data[[#This Row],[Family]]</f>
        <v>168.51247368189252</v>
      </c>
      <c r="BF1541" t="str">
        <f>IF(ifood_data[[#This Row],[AcceptedCmpOverall]]=1,"Campaign Respondent","Non-respondent")</f>
        <v>Non-respondent</v>
      </c>
    </row>
    <row r="1542" spans="1:58" x14ac:dyDescent="0.35">
      <c r="A1542">
        <v>987</v>
      </c>
      <c r="B1542">
        <v>34728</v>
      </c>
      <c r="C1542">
        <v>1</v>
      </c>
      <c r="D1542">
        <v>0</v>
      </c>
      <c r="E1542">
        <v>2</v>
      </c>
      <c r="F1542">
        <v>14</v>
      </c>
      <c r="G1542">
        <v>0</v>
      </c>
      <c r="H1542">
        <v>16</v>
      </c>
      <c r="I1542">
        <v>0</v>
      </c>
      <c r="J1542">
        <v>0</v>
      </c>
      <c r="K1542">
        <v>6</v>
      </c>
      <c r="L1542">
        <v>1</v>
      </c>
      <c r="M1542">
        <v>1</v>
      </c>
      <c r="N1542">
        <v>1</v>
      </c>
      <c r="O1542">
        <v>2</v>
      </c>
      <c r="P1542">
        <v>6</v>
      </c>
      <c r="Q1542">
        <v>0</v>
      </c>
      <c r="R1542">
        <v>0</v>
      </c>
      <c r="S1542">
        <v>0</v>
      </c>
      <c r="T1542">
        <v>0</v>
      </c>
      <c r="U1542">
        <v>0</v>
      </c>
      <c r="V1542">
        <f>IF(SUM(ifood_data[[#This Row],[AcceptedCmp1]:[AcceptedCmp5]])&gt;0,1,0)</f>
        <v>0</v>
      </c>
      <c r="W1542">
        <v>0</v>
      </c>
      <c r="X1542">
        <v>3</v>
      </c>
      <c r="Y1542">
        <v>11</v>
      </c>
      <c r="Z1542">
        <v>1</v>
      </c>
      <c r="AA1542">
        <v>34</v>
      </c>
      <c r="AB1542">
        <v>2493</v>
      </c>
      <c r="AC1542" s="28">
        <f>ifood_data[[#This Row],[Customer_Days]]/365</f>
        <v>6.8301369863013699</v>
      </c>
      <c r="AD1542">
        <v>0</v>
      </c>
      <c r="AE1542">
        <v>0</v>
      </c>
      <c r="AF1542">
        <v>0</v>
      </c>
      <c r="AG1542">
        <v>1</v>
      </c>
      <c r="AH1542">
        <v>0</v>
      </c>
      <c r="AI1542">
        <v>0</v>
      </c>
      <c r="AJ1542">
        <v>0</v>
      </c>
      <c r="AK1542">
        <v>1</v>
      </c>
      <c r="AL1542">
        <v>0</v>
      </c>
      <c r="AM1542">
        <v>0</v>
      </c>
      <c r="AN1542">
        <v>30</v>
      </c>
      <c r="AO1542">
        <v>24</v>
      </c>
      <c r="AP1542">
        <f>ifood_data[[#This Row],[MntTotal]]-ifood_data[[#This Row],[MntRegularProds]]</f>
        <v>6</v>
      </c>
      <c r="AQ1542">
        <v>0</v>
      </c>
      <c r="AR1542">
        <f>IF(SUM(ifood_data[[#This Row],[Kidhome]:[Teenhome]])&gt;0,1,0)</f>
        <v>1</v>
      </c>
      <c r="AS1542" t="str">
        <f>IF(SUM(ifood_data[[#This Row],[Kidhome]:[Teenhome]])&gt;0,"Has Family","No Family")</f>
        <v>Has Family</v>
      </c>
      <c r="AT1542" t="str">
        <f>IF(ifood_data[[#This Row],[marital_Married]]=1,"Married", (IF(ifood_data[[#This Row],[marital_Single]]=1,"Single",(IF(ifood_data[[#This Row],[marital_Divorced]]=1,"Divorced",(IF(ifood_data[[#This Row],[marital_Together]]=1,"Living Together",(IF(ifood_data[[#This Row],[marital_Widow]]=1,"Widow","Other")))))))))</f>
        <v>Living Together</v>
      </c>
      <c r="AU1542" t="str">
        <f>IF(ifood_data[[#This Row],[education_Basic]]=1,"High School",(IF(ifood_data[[#This Row],[education_Graduation]]=1,"Undergraduate Degree",(IF(SUM(AM1542,AL1542,AI1542)&gt;0,"Master's Degree or Higher","Other")))))</f>
        <v>Undergraduate Degree</v>
      </c>
      <c r="AV1542" t="str">
        <f>IF(ifood_data[[#All],[Income]]&gt;75000,"75K+",(IF(ifood_data[[#All],[Income]]&gt;50000,"50K-75K",(IF(ifood_data[[#All],[Income]]&gt;35000,"35K-50K","&lt;35K")))))</f>
        <v>&lt;35K</v>
      </c>
      <c r="AW1542" t="str">
        <f>IF(ifood_data[[#All],[Age]]&gt;60,"60+",(IF(ifood_data[[#All],[Age]]&gt;50,"50-60",(IF(ifood_data[[#All],[Age]]&gt;40,"40-50",(IF(ifood_data[[#All],[Age]]&gt;30,"30-40","&lt;30")))))))</f>
        <v>30-40</v>
      </c>
      <c r="AX1542">
        <f t="shared" si="96"/>
        <v>11</v>
      </c>
      <c r="AY1542">
        <f t="shared" si="97"/>
        <v>10</v>
      </c>
      <c r="AZ1542">
        <f t="shared" si="98"/>
        <v>0</v>
      </c>
      <c r="BA1542">
        <f t="shared" si="99"/>
        <v>1</v>
      </c>
      <c r="BB1542">
        <f>SUM(ifood_data[[#This Row],[Recency Score]:[Monetary Score]])</f>
        <v>11</v>
      </c>
      <c r="BC1542">
        <f>(_xlfn.PERCENTRANK.INC(ifood_data[[#All],[RFM]],ifood_data[[#This Row],[RFM]],1))*10</f>
        <v>2</v>
      </c>
      <c r="BD1542" t="str">
        <f>VLOOKUP(ifood_data[[#This Row],[RFM Score]],'RFM Analysis'!$A$3:$B$14,2,FALSE)</f>
        <v>At Risk</v>
      </c>
      <c r="BE1542">
        <f>'Regression Models'!$B$101+'Regression Models'!$B$102*ifood_data[[#This Row],[Income]]+'Regression Models'!$B$103*ifood_data[[#This Row],[Age]]+'Regression Models'!$B$104*ifood_data[[#This Row],[Family]]</f>
        <v>168.19332407143378</v>
      </c>
      <c r="BF1542" t="str">
        <f>IF(ifood_data[[#This Row],[AcceptedCmpOverall]]=1,"Campaign Respondent","Non-respondent")</f>
        <v>Non-respondent</v>
      </c>
    </row>
    <row r="1543" spans="1:58" x14ac:dyDescent="0.35">
      <c r="A1543">
        <v>80</v>
      </c>
      <c r="B1543">
        <v>36138</v>
      </c>
      <c r="C1543">
        <v>1</v>
      </c>
      <c r="D1543">
        <v>1</v>
      </c>
      <c r="E1543">
        <v>48</v>
      </c>
      <c r="F1543">
        <v>130</v>
      </c>
      <c r="G1543">
        <v>0</v>
      </c>
      <c r="H1543">
        <v>16</v>
      </c>
      <c r="I1543">
        <v>0</v>
      </c>
      <c r="J1543">
        <v>0</v>
      </c>
      <c r="K1543">
        <v>5</v>
      </c>
      <c r="L1543">
        <v>5</v>
      </c>
      <c r="M1543">
        <v>3</v>
      </c>
      <c r="N1543">
        <v>1</v>
      </c>
      <c r="O1543">
        <v>4</v>
      </c>
      <c r="P1543">
        <v>7</v>
      </c>
      <c r="Q1543">
        <v>0</v>
      </c>
      <c r="R1543">
        <v>0</v>
      </c>
      <c r="S1543">
        <v>0</v>
      </c>
      <c r="T1543">
        <v>1</v>
      </c>
      <c r="U1543">
        <v>0</v>
      </c>
      <c r="V1543">
        <f>IF(SUM(ifood_data[[#This Row],[AcceptedCmp1]:[AcceptedCmp5]])&gt;0,1,0)</f>
        <v>1</v>
      </c>
      <c r="W1543">
        <v>0</v>
      </c>
      <c r="X1543">
        <v>3</v>
      </c>
      <c r="Y1543">
        <v>11</v>
      </c>
      <c r="Z1543">
        <v>0</v>
      </c>
      <c r="AA1543">
        <v>50</v>
      </c>
      <c r="AB1543">
        <v>2507</v>
      </c>
      <c r="AC1543" s="28">
        <f>ifood_data[[#This Row],[Customer_Days]]/365</f>
        <v>6.8684931506849312</v>
      </c>
      <c r="AD1543">
        <v>0</v>
      </c>
      <c r="AE1543">
        <v>1</v>
      </c>
      <c r="AF1543">
        <v>0</v>
      </c>
      <c r="AG1543">
        <v>0</v>
      </c>
      <c r="AH1543">
        <v>0</v>
      </c>
      <c r="AI1543">
        <v>0</v>
      </c>
      <c r="AJ1543">
        <v>0</v>
      </c>
      <c r="AK1543">
        <v>0</v>
      </c>
      <c r="AL1543">
        <v>1</v>
      </c>
      <c r="AM1543">
        <v>0</v>
      </c>
      <c r="AN1543">
        <v>146</v>
      </c>
      <c r="AO1543">
        <v>141</v>
      </c>
      <c r="AP1543">
        <f>ifood_data[[#This Row],[MntTotal]]-ifood_data[[#This Row],[MntRegularProds]]</f>
        <v>5</v>
      </c>
      <c r="AQ1543">
        <v>1</v>
      </c>
      <c r="AR1543">
        <f>IF(SUM(ifood_data[[#This Row],[Kidhome]:[Teenhome]])&gt;0,1,0)</f>
        <v>1</v>
      </c>
      <c r="AS1543" t="str">
        <f>IF(SUM(ifood_data[[#This Row],[Kidhome]:[Teenhome]])&gt;0,"Has Family","No Family")</f>
        <v>Has Family</v>
      </c>
      <c r="AT1543" t="str">
        <f>IF(ifood_data[[#This Row],[marital_Married]]=1,"Married", (IF(ifood_data[[#This Row],[marital_Single]]=1,"Single",(IF(ifood_data[[#This Row],[marital_Divorced]]=1,"Divorced",(IF(ifood_data[[#This Row],[marital_Together]]=1,"Living Together",(IF(ifood_data[[#This Row],[marital_Widow]]=1,"Widow","Other")))))))))</f>
        <v>Married</v>
      </c>
      <c r="AU1543" t="str">
        <f>IF(ifood_data[[#This Row],[education_Basic]]=1,"High School",(IF(ifood_data[[#This Row],[education_Graduation]]=1,"Undergraduate Degree",(IF(SUM(AM1543,AL1543,AI1543)&gt;0,"Master's Degree or Higher","Other")))))</f>
        <v>Master's Degree or Higher</v>
      </c>
      <c r="AV1543" t="str">
        <f>IF(ifood_data[[#All],[Income]]&gt;75000,"75K+",(IF(ifood_data[[#All],[Income]]&gt;50000,"50K-75K",(IF(ifood_data[[#All],[Income]]&gt;35000,"35K-50K","&lt;35K")))))</f>
        <v>35K-50K</v>
      </c>
      <c r="AW1543" t="str">
        <f>IF(ifood_data[[#All],[Age]]&gt;60,"60+",(IF(ifood_data[[#All],[Age]]&gt;50,"50-60",(IF(ifood_data[[#All],[Age]]&gt;40,"40-50",(IF(ifood_data[[#All],[Age]]&gt;30,"30-40","&lt;30")))))))</f>
        <v>40-50</v>
      </c>
      <c r="AX1543">
        <f t="shared" si="96"/>
        <v>20</v>
      </c>
      <c r="AY1543">
        <f t="shared" si="97"/>
        <v>6</v>
      </c>
      <c r="AZ1543">
        <f t="shared" si="98"/>
        <v>4</v>
      </c>
      <c r="BA1543">
        <f t="shared" si="99"/>
        <v>3</v>
      </c>
      <c r="BB1543">
        <f>SUM(ifood_data[[#This Row],[Recency Score]:[Monetary Score]])</f>
        <v>13</v>
      </c>
      <c r="BC1543">
        <f>(_xlfn.PERCENTRANK.INC(ifood_data[[#All],[RFM]],ifood_data[[#This Row],[RFM]],1))*10</f>
        <v>3</v>
      </c>
      <c r="BD1543" t="str">
        <f>VLOOKUP(ifood_data[[#This Row],[RFM Score]],'RFM Analysis'!$A$3:$B$14,2,FALSE)</f>
        <v>At Risk</v>
      </c>
      <c r="BE1543">
        <f>'Regression Models'!$B$101+'Regression Models'!$B$102*ifood_data[[#This Row],[Income]]+'Regression Models'!$B$103*ifood_data[[#This Row],[Age]]+'Regression Models'!$B$104*ifood_data[[#This Row],[Family]]</f>
        <v>167.55846189202271</v>
      </c>
      <c r="BF1543" t="str">
        <f>IF(ifood_data[[#This Row],[AcceptedCmpOverall]]=1,"Campaign Respondent","Non-respondent")</f>
        <v>Campaign Respondent</v>
      </c>
    </row>
    <row r="1544" spans="1:58" x14ac:dyDescent="0.35">
      <c r="A1544">
        <v>1338</v>
      </c>
      <c r="B1544">
        <v>20491</v>
      </c>
      <c r="C1544">
        <v>0</v>
      </c>
      <c r="D1544">
        <v>0</v>
      </c>
      <c r="E1544">
        <v>16</v>
      </c>
      <c r="F1544">
        <v>5</v>
      </c>
      <c r="G1544">
        <v>4</v>
      </c>
      <c r="H1544">
        <v>5</v>
      </c>
      <c r="I1544">
        <v>4</v>
      </c>
      <c r="J1544">
        <v>2</v>
      </c>
      <c r="K1544">
        <v>10</v>
      </c>
      <c r="L1544">
        <v>1</v>
      </c>
      <c r="M1544">
        <v>0</v>
      </c>
      <c r="N1544">
        <v>1</v>
      </c>
      <c r="O1544">
        <v>2</v>
      </c>
      <c r="P1544">
        <v>7</v>
      </c>
      <c r="Q1544">
        <v>0</v>
      </c>
      <c r="R1544">
        <v>0</v>
      </c>
      <c r="S1544">
        <v>0</v>
      </c>
      <c r="T1544">
        <v>0</v>
      </c>
      <c r="U1544">
        <v>0</v>
      </c>
      <c r="V1544">
        <f>IF(SUM(ifood_data[[#This Row],[AcceptedCmp1]:[AcceptedCmp5]])&gt;0,1,0)</f>
        <v>0</v>
      </c>
      <c r="W1544">
        <v>0</v>
      </c>
      <c r="X1544">
        <v>3</v>
      </c>
      <c r="Y1544">
        <v>11</v>
      </c>
      <c r="Z1544">
        <v>0</v>
      </c>
      <c r="AA1544">
        <v>34</v>
      </c>
      <c r="AB1544">
        <v>2679</v>
      </c>
      <c r="AC1544" s="28">
        <f>ifood_data[[#This Row],[Customer_Days]]/365</f>
        <v>7.3397260273972602</v>
      </c>
      <c r="AD1544">
        <v>0</v>
      </c>
      <c r="AE1544">
        <v>0</v>
      </c>
      <c r="AF1544">
        <v>0</v>
      </c>
      <c r="AG1544">
        <v>1</v>
      </c>
      <c r="AH1544">
        <v>0</v>
      </c>
      <c r="AI1544">
        <v>1</v>
      </c>
      <c r="AJ1544">
        <v>0</v>
      </c>
      <c r="AK1544">
        <v>0</v>
      </c>
      <c r="AL1544">
        <v>0</v>
      </c>
      <c r="AM1544">
        <v>0</v>
      </c>
      <c r="AN1544">
        <v>20</v>
      </c>
      <c r="AO1544">
        <v>10</v>
      </c>
      <c r="AP1544">
        <f>ifood_data[[#This Row],[MntTotal]]-ifood_data[[#This Row],[MntRegularProds]]</f>
        <v>10</v>
      </c>
      <c r="AQ1544">
        <v>0</v>
      </c>
      <c r="AR1544">
        <f>IF(SUM(ifood_data[[#This Row],[Kidhome]:[Teenhome]])&gt;0,1,0)</f>
        <v>0</v>
      </c>
      <c r="AS1544" t="str">
        <f>IF(SUM(ifood_data[[#This Row],[Kidhome]:[Teenhome]])&gt;0,"Has Family","No Family")</f>
        <v>No Family</v>
      </c>
      <c r="AT1544" t="str">
        <f>IF(ifood_data[[#This Row],[marital_Married]]=1,"Married", (IF(ifood_data[[#This Row],[marital_Single]]=1,"Single",(IF(ifood_data[[#This Row],[marital_Divorced]]=1,"Divorced",(IF(ifood_data[[#This Row],[marital_Together]]=1,"Living Together",(IF(ifood_data[[#This Row],[marital_Widow]]=1,"Widow","Other")))))))))</f>
        <v>Living Together</v>
      </c>
      <c r="AU1544" t="str">
        <f>IF(ifood_data[[#This Row],[education_Basic]]=1,"High School",(IF(ifood_data[[#This Row],[education_Graduation]]=1,"Undergraduate Degree",(IF(SUM(AM1544,AL1544,AI1544)&gt;0,"Master's Degree or Higher","Other")))))</f>
        <v>Master's Degree or Higher</v>
      </c>
      <c r="AV1544" t="str">
        <f>IF(ifood_data[[#All],[Income]]&gt;75000,"75K+",(IF(ifood_data[[#All],[Income]]&gt;50000,"50K-75K",(IF(ifood_data[[#All],[Income]]&gt;35000,"35K-50K","&lt;35K")))))</f>
        <v>&lt;35K</v>
      </c>
      <c r="AW1544" t="str">
        <f>IF(ifood_data[[#All],[Age]]&gt;60,"60+",(IF(ifood_data[[#All],[Age]]&gt;50,"50-60",(IF(ifood_data[[#All],[Age]]&gt;40,"40-50",(IF(ifood_data[[#All],[Age]]&gt;30,"30-40","&lt;30")))))))</f>
        <v>30-40</v>
      </c>
      <c r="AX1544">
        <f t="shared" si="96"/>
        <v>11</v>
      </c>
      <c r="AY1544">
        <f t="shared" si="97"/>
        <v>9</v>
      </c>
      <c r="AZ1544">
        <f t="shared" si="98"/>
        <v>0</v>
      </c>
      <c r="BA1544">
        <f t="shared" si="99"/>
        <v>0</v>
      </c>
      <c r="BB1544">
        <f>SUM(ifood_data[[#This Row],[Recency Score]:[Monetary Score]])</f>
        <v>9</v>
      </c>
      <c r="BC1544">
        <f>(_xlfn.PERCENTRANK.INC(ifood_data[[#All],[RFM]],ifood_data[[#This Row],[RFM]],1))*10</f>
        <v>1</v>
      </c>
      <c r="BD1544" t="str">
        <f>VLOOKUP(ifood_data[[#This Row],[RFM Score]],'RFM Analysis'!$A$3:$B$14,2,FALSE)</f>
        <v>At Risk</v>
      </c>
      <c r="BE1544">
        <f>'Regression Models'!$B$101+'Regression Models'!$B$102*ifood_data[[#This Row],[Income]]+'Regression Models'!$B$103*ifood_data[[#This Row],[Age]]+'Regression Models'!$B$104*ifood_data[[#This Row],[Family]]</f>
        <v>167.53206307976063</v>
      </c>
      <c r="BF1544" t="str">
        <f>IF(ifood_data[[#This Row],[AcceptedCmpOverall]]=1,"Campaign Respondent","Non-respondent")</f>
        <v>Non-respondent</v>
      </c>
    </row>
    <row r="1545" spans="1:58" x14ac:dyDescent="0.35">
      <c r="A1545">
        <v>127</v>
      </c>
      <c r="B1545">
        <v>35860</v>
      </c>
      <c r="C1545">
        <v>1</v>
      </c>
      <c r="D1545">
        <v>1</v>
      </c>
      <c r="E1545">
        <v>37</v>
      </c>
      <c r="F1545">
        <v>15</v>
      </c>
      <c r="G1545">
        <v>0</v>
      </c>
      <c r="H1545">
        <v>8</v>
      </c>
      <c r="I1545">
        <v>4</v>
      </c>
      <c r="J1545">
        <v>2</v>
      </c>
      <c r="K1545">
        <v>20</v>
      </c>
      <c r="L1545">
        <v>2</v>
      </c>
      <c r="M1545">
        <v>1</v>
      </c>
      <c r="N1545">
        <v>1</v>
      </c>
      <c r="O1545">
        <v>2</v>
      </c>
      <c r="P1545">
        <v>5</v>
      </c>
      <c r="Q1545">
        <v>0</v>
      </c>
      <c r="R1545">
        <v>0</v>
      </c>
      <c r="S1545">
        <v>1</v>
      </c>
      <c r="T1545">
        <v>0</v>
      </c>
      <c r="U1545">
        <v>0</v>
      </c>
      <c r="V1545">
        <f>IF(SUM(ifood_data[[#This Row],[AcceptedCmp1]:[AcceptedCmp5]])&gt;0,1,0)</f>
        <v>1</v>
      </c>
      <c r="W1545">
        <v>0</v>
      </c>
      <c r="X1545">
        <v>3</v>
      </c>
      <c r="Y1545">
        <v>11</v>
      </c>
      <c r="Z1545">
        <v>1</v>
      </c>
      <c r="AA1545">
        <v>47</v>
      </c>
      <c r="AB1545">
        <v>2200</v>
      </c>
      <c r="AC1545" s="28">
        <f>ifood_data[[#This Row],[Customer_Days]]/365</f>
        <v>6.0273972602739727</v>
      </c>
      <c r="AD1545">
        <v>0</v>
      </c>
      <c r="AE1545">
        <v>0</v>
      </c>
      <c r="AF1545">
        <v>1</v>
      </c>
      <c r="AG1545">
        <v>0</v>
      </c>
      <c r="AH1545">
        <v>0</v>
      </c>
      <c r="AI1545">
        <v>0</v>
      </c>
      <c r="AJ1545">
        <v>0</v>
      </c>
      <c r="AK1545">
        <v>0</v>
      </c>
      <c r="AL1545">
        <v>0</v>
      </c>
      <c r="AM1545">
        <v>1</v>
      </c>
      <c r="AN1545">
        <v>29</v>
      </c>
      <c r="AO1545">
        <v>9</v>
      </c>
      <c r="AP1545">
        <f>ifood_data[[#This Row],[MntTotal]]-ifood_data[[#This Row],[MntRegularProds]]</f>
        <v>20</v>
      </c>
      <c r="AQ1545">
        <v>1</v>
      </c>
      <c r="AR1545">
        <f>IF(SUM(ifood_data[[#This Row],[Kidhome]:[Teenhome]])&gt;0,1,0)</f>
        <v>1</v>
      </c>
      <c r="AS1545" t="str">
        <f>IF(SUM(ifood_data[[#This Row],[Kidhome]:[Teenhome]])&gt;0,"Has Family","No Family")</f>
        <v>Has Family</v>
      </c>
      <c r="AT1545" t="str">
        <f>IF(ifood_data[[#This Row],[marital_Married]]=1,"Married", (IF(ifood_data[[#This Row],[marital_Single]]=1,"Single",(IF(ifood_data[[#This Row],[marital_Divorced]]=1,"Divorced",(IF(ifood_data[[#This Row],[marital_Together]]=1,"Living Together",(IF(ifood_data[[#This Row],[marital_Widow]]=1,"Widow","Other")))))))))</f>
        <v>Single</v>
      </c>
      <c r="AU1545" t="str">
        <f>IF(ifood_data[[#This Row],[education_Basic]]=1,"High School",(IF(ifood_data[[#This Row],[education_Graduation]]=1,"Undergraduate Degree",(IF(SUM(AM1545,AL1545,AI1545)&gt;0,"Master's Degree or Higher","Other")))))</f>
        <v>Master's Degree or Higher</v>
      </c>
      <c r="AV1545" t="str">
        <f>IF(ifood_data[[#All],[Income]]&gt;75000,"75K+",(IF(ifood_data[[#All],[Income]]&gt;50000,"50K-75K",(IF(ifood_data[[#All],[Income]]&gt;35000,"35K-50K","&lt;35K")))))</f>
        <v>35K-50K</v>
      </c>
      <c r="AW1545" t="str">
        <f>IF(ifood_data[[#All],[Age]]&gt;60,"60+",(IF(ifood_data[[#All],[Age]]&gt;50,"50-60",(IF(ifood_data[[#All],[Age]]&gt;40,"40-50",(IF(ifood_data[[#All],[Age]]&gt;30,"30-40","&lt;30")))))))</f>
        <v>40-50</v>
      </c>
      <c r="AX1545">
        <f t="shared" si="96"/>
        <v>11</v>
      </c>
      <c r="AY1545">
        <f t="shared" si="97"/>
        <v>7</v>
      </c>
      <c r="AZ1545">
        <f t="shared" si="98"/>
        <v>0</v>
      </c>
      <c r="BA1545">
        <f t="shared" si="99"/>
        <v>1</v>
      </c>
      <c r="BB1545">
        <f>SUM(ifood_data[[#This Row],[Recency Score]:[Monetary Score]])</f>
        <v>8</v>
      </c>
      <c r="BC1545">
        <f>(_xlfn.PERCENTRANK.INC(ifood_data[[#All],[RFM]],ifood_data[[#This Row],[RFM]],1))*10</f>
        <v>1</v>
      </c>
      <c r="BD1545" t="str">
        <f>VLOOKUP(ifood_data[[#This Row],[RFM Score]],'RFM Analysis'!$A$3:$B$14,2,FALSE)</f>
        <v>At Risk</v>
      </c>
      <c r="BE1545">
        <f>'Regression Models'!$B$101+'Regression Models'!$B$102*ifood_data[[#This Row],[Income]]+'Regression Models'!$B$103*ifood_data[[#This Row],[Age]]+'Regression Models'!$B$104*ifood_data[[#This Row],[Family]]</f>
        <v>167.39970158470169</v>
      </c>
      <c r="BF1545" t="str">
        <f>IF(ifood_data[[#This Row],[AcceptedCmpOverall]]=1,"Campaign Respondent","Non-respondent")</f>
        <v>Campaign Respondent</v>
      </c>
    </row>
    <row r="1546" spans="1:58" x14ac:dyDescent="0.35">
      <c r="A1546">
        <v>1005</v>
      </c>
      <c r="B1546">
        <v>35860</v>
      </c>
      <c r="C1546">
        <v>1</v>
      </c>
      <c r="D1546">
        <v>1</v>
      </c>
      <c r="E1546">
        <v>37</v>
      </c>
      <c r="F1546">
        <v>15</v>
      </c>
      <c r="G1546">
        <v>0</v>
      </c>
      <c r="H1546">
        <v>8</v>
      </c>
      <c r="I1546">
        <v>4</v>
      </c>
      <c r="J1546">
        <v>2</v>
      </c>
      <c r="K1546">
        <v>20</v>
      </c>
      <c r="L1546">
        <v>2</v>
      </c>
      <c r="M1546">
        <v>1</v>
      </c>
      <c r="N1546">
        <v>1</v>
      </c>
      <c r="O1546">
        <v>2</v>
      </c>
      <c r="P1546">
        <v>5</v>
      </c>
      <c r="Q1546">
        <v>0</v>
      </c>
      <c r="R1546">
        <v>0</v>
      </c>
      <c r="S1546">
        <v>1</v>
      </c>
      <c r="T1546">
        <v>0</v>
      </c>
      <c r="U1546">
        <v>0</v>
      </c>
      <c r="V1546">
        <f>IF(SUM(ifood_data[[#This Row],[AcceptedCmp1]:[AcceptedCmp5]])&gt;0,1,0)</f>
        <v>1</v>
      </c>
      <c r="W1546">
        <v>0</v>
      </c>
      <c r="X1546">
        <v>3</v>
      </c>
      <c r="Y1546">
        <v>11</v>
      </c>
      <c r="Z1546">
        <v>0</v>
      </c>
      <c r="AA1546">
        <v>47</v>
      </c>
      <c r="AB1546">
        <v>2200</v>
      </c>
      <c r="AC1546" s="28">
        <f>ifood_data[[#This Row],[Customer_Days]]/365</f>
        <v>6.0273972602739727</v>
      </c>
      <c r="AD1546">
        <v>1</v>
      </c>
      <c r="AE1546">
        <v>0</v>
      </c>
      <c r="AF1546">
        <v>0</v>
      </c>
      <c r="AG1546">
        <v>0</v>
      </c>
      <c r="AH1546">
        <v>0</v>
      </c>
      <c r="AI1546">
        <v>0</v>
      </c>
      <c r="AJ1546">
        <v>0</v>
      </c>
      <c r="AK1546">
        <v>0</v>
      </c>
      <c r="AL1546">
        <v>0</v>
      </c>
      <c r="AM1546">
        <v>1</v>
      </c>
      <c r="AN1546">
        <v>29</v>
      </c>
      <c r="AO1546">
        <v>9</v>
      </c>
      <c r="AP1546">
        <f>ifood_data[[#This Row],[MntTotal]]-ifood_data[[#This Row],[MntRegularProds]]</f>
        <v>20</v>
      </c>
      <c r="AQ1546">
        <v>1</v>
      </c>
      <c r="AR1546">
        <f>IF(SUM(ifood_data[[#This Row],[Kidhome]:[Teenhome]])&gt;0,1,0)</f>
        <v>1</v>
      </c>
      <c r="AS1546" t="str">
        <f>IF(SUM(ifood_data[[#This Row],[Kidhome]:[Teenhome]])&gt;0,"Has Family","No Family")</f>
        <v>Has Family</v>
      </c>
      <c r="AT1546" t="str">
        <f>IF(ifood_data[[#This Row],[marital_Married]]=1,"Married", (IF(ifood_data[[#This Row],[marital_Single]]=1,"Single",(IF(ifood_data[[#This Row],[marital_Divorced]]=1,"Divorced",(IF(ifood_data[[#This Row],[marital_Together]]=1,"Living Together",(IF(ifood_data[[#This Row],[marital_Widow]]=1,"Widow","Other")))))))))</f>
        <v>Divorced</v>
      </c>
      <c r="AU1546" t="str">
        <f>IF(ifood_data[[#This Row],[education_Basic]]=1,"High School",(IF(ifood_data[[#This Row],[education_Graduation]]=1,"Undergraduate Degree",(IF(SUM(AM1546,AL1546,AI1546)&gt;0,"Master's Degree or Higher","Other")))))</f>
        <v>Master's Degree or Higher</v>
      </c>
      <c r="AV1546" t="str">
        <f>IF(ifood_data[[#All],[Income]]&gt;75000,"75K+",(IF(ifood_data[[#All],[Income]]&gt;50000,"50K-75K",(IF(ifood_data[[#All],[Income]]&gt;35000,"35K-50K","&lt;35K")))))</f>
        <v>35K-50K</v>
      </c>
      <c r="AW1546" t="str">
        <f>IF(ifood_data[[#All],[Age]]&gt;60,"60+",(IF(ifood_data[[#All],[Age]]&gt;50,"50-60",(IF(ifood_data[[#All],[Age]]&gt;40,"40-50",(IF(ifood_data[[#All],[Age]]&gt;30,"30-40","&lt;30")))))))</f>
        <v>40-50</v>
      </c>
      <c r="AX1546">
        <f t="shared" si="96"/>
        <v>11</v>
      </c>
      <c r="AY1546">
        <f t="shared" si="97"/>
        <v>7</v>
      </c>
      <c r="AZ1546">
        <f t="shared" si="98"/>
        <v>0</v>
      </c>
      <c r="BA1546">
        <f t="shared" si="99"/>
        <v>1</v>
      </c>
      <c r="BB1546">
        <f>SUM(ifood_data[[#This Row],[Recency Score]:[Monetary Score]])</f>
        <v>8</v>
      </c>
      <c r="BC1546">
        <f>(_xlfn.PERCENTRANK.INC(ifood_data[[#All],[RFM]],ifood_data[[#This Row],[RFM]],1))*10</f>
        <v>1</v>
      </c>
      <c r="BD1546" t="str">
        <f>VLOOKUP(ifood_data[[#This Row],[RFM Score]],'RFM Analysis'!$A$3:$B$14,2,FALSE)</f>
        <v>At Risk</v>
      </c>
      <c r="BE1546">
        <f>'Regression Models'!$B$101+'Regression Models'!$B$102*ifood_data[[#This Row],[Income]]+'Regression Models'!$B$103*ifood_data[[#This Row],[Age]]+'Regression Models'!$B$104*ifood_data[[#This Row],[Family]]</f>
        <v>167.39970158470169</v>
      </c>
      <c r="BF1546" t="str">
        <f>IF(ifood_data[[#This Row],[AcceptedCmpOverall]]=1,"Campaign Respondent","Non-respondent")</f>
        <v>Campaign Respondent</v>
      </c>
    </row>
    <row r="1547" spans="1:58" x14ac:dyDescent="0.35">
      <c r="A1547">
        <v>1465</v>
      </c>
      <c r="B1547">
        <v>35860</v>
      </c>
      <c r="C1547">
        <v>1</v>
      </c>
      <c r="D1547">
        <v>1</v>
      </c>
      <c r="E1547">
        <v>37</v>
      </c>
      <c r="F1547">
        <v>15</v>
      </c>
      <c r="G1547">
        <v>0</v>
      </c>
      <c r="H1547">
        <v>8</v>
      </c>
      <c r="I1547">
        <v>4</v>
      </c>
      <c r="J1547">
        <v>2</v>
      </c>
      <c r="K1547">
        <v>20</v>
      </c>
      <c r="L1547">
        <v>2</v>
      </c>
      <c r="M1547">
        <v>1</v>
      </c>
      <c r="N1547">
        <v>1</v>
      </c>
      <c r="O1547">
        <v>2</v>
      </c>
      <c r="P1547">
        <v>5</v>
      </c>
      <c r="Q1547">
        <v>0</v>
      </c>
      <c r="R1547">
        <v>0</v>
      </c>
      <c r="S1547">
        <v>1</v>
      </c>
      <c r="T1547">
        <v>0</v>
      </c>
      <c r="U1547">
        <v>0</v>
      </c>
      <c r="V1547">
        <f>IF(SUM(ifood_data[[#This Row],[AcceptedCmp1]:[AcceptedCmp5]])&gt;0,1,0)</f>
        <v>1</v>
      </c>
      <c r="W1547">
        <v>0</v>
      </c>
      <c r="X1547">
        <v>3</v>
      </c>
      <c r="Y1547">
        <v>11</v>
      </c>
      <c r="Z1547">
        <v>1</v>
      </c>
      <c r="AA1547">
        <v>47</v>
      </c>
      <c r="AB1547">
        <v>2200</v>
      </c>
      <c r="AC1547" s="28">
        <f>ifood_data[[#This Row],[Customer_Days]]/365</f>
        <v>6.0273972602739727</v>
      </c>
      <c r="AD1547">
        <v>1</v>
      </c>
      <c r="AE1547">
        <v>0</v>
      </c>
      <c r="AF1547">
        <v>0</v>
      </c>
      <c r="AG1547">
        <v>0</v>
      </c>
      <c r="AH1547">
        <v>0</v>
      </c>
      <c r="AI1547">
        <v>0</v>
      </c>
      <c r="AJ1547">
        <v>0</v>
      </c>
      <c r="AK1547">
        <v>0</v>
      </c>
      <c r="AL1547">
        <v>0</v>
      </c>
      <c r="AM1547">
        <v>1</v>
      </c>
      <c r="AN1547">
        <v>29</v>
      </c>
      <c r="AO1547">
        <v>9</v>
      </c>
      <c r="AP1547">
        <f>ifood_data[[#This Row],[MntTotal]]-ifood_data[[#This Row],[MntRegularProds]]</f>
        <v>20</v>
      </c>
      <c r="AQ1547">
        <v>1</v>
      </c>
      <c r="AR1547">
        <f>IF(SUM(ifood_data[[#This Row],[Kidhome]:[Teenhome]])&gt;0,1,0)</f>
        <v>1</v>
      </c>
      <c r="AS1547" t="str">
        <f>IF(SUM(ifood_data[[#This Row],[Kidhome]:[Teenhome]])&gt;0,"Has Family","No Family")</f>
        <v>Has Family</v>
      </c>
      <c r="AT1547" t="str">
        <f>IF(ifood_data[[#This Row],[marital_Married]]=1,"Married", (IF(ifood_data[[#This Row],[marital_Single]]=1,"Single",(IF(ifood_data[[#This Row],[marital_Divorced]]=1,"Divorced",(IF(ifood_data[[#This Row],[marital_Together]]=1,"Living Together",(IF(ifood_data[[#This Row],[marital_Widow]]=1,"Widow","Other")))))))))</f>
        <v>Divorced</v>
      </c>
      <c r="AU1547" t="str">
        <f>IF(ifood_data[[#This Row],[education_Basic]]=1,"High School",(IF(ifood_data[[#This Row],[education_Graduation]]=1,"Undergraduate Degree",(IF(SUM(AM1547,AL1547,AI1547)&gt;0,"Master's Degree or Higher","Other")))))</f>
        <v>Master's Degree or Higher</v>
      </c>
      <c r="AV1547" t="str">
        <f>IF(ifood_data[[#All],[Income]]&gt;75000,"75K+",(IF(ifood_data[[#All],[Income]]&gt;50000,"50K-75K",(IF(ifood_data[[#All],[Income]]&gt;35000,"35K-50K","&lt;35K")))))</f>
        <v>35K-50K</v>
      </c>
      <c r="AW1547" t="str">
        <f>IF(ifood_data[[#All],[Age]]&gt;60,"60+",(IF(ifood_data[[#All],[Age]]&gt;50,"50-60",(IF(ifood_data[[#All],[Age]]&gt;40,"40-50",(IF(ifood_data[[#All],[Age]]&gt;30,"30-40","&lt;30")))))))</f>
        <v>40-50</v>
      </c>
      <c r="AX1547">
        <f t="shared" si="96"/>
        <v>11</v>
      </c>
      <c r="AY1547">
        <f t="shared" si="97"/>
        <v>7</v>
      </c>
      <c r="AZ1547">
        <f t="shared" si="98"/>
        <v>0</v>
      </c>
      <c r="BA1547">
        <f t="shared" si="99"/>
        <v>1</v>
      </c>
      <c r="BB1547">
        <f>SUM(ifood_data[[#This Row],[Recency Score]:[Monetary Score]])</f>
        <v>8</v>
      </c>
      <c r="BC1547">
        <f>(_xlfn.PERCENTRANK.INC(ifood_data[[#All],[RFM]],ifood_data[[#This Row],[RFM]],1))*10</f>
        <v>1</v>
      </c>
      <c r="BD1547" t="str">
        <f>VLOOKUP(ifood_data[[#This Row],[RFM Score]],'RFM Analysis'!$A$3:$B$14,2,FALSE)</f>
        <v>At Risk</v>
      </c>
      <c r="BE1547">
        <f>'Regression Models'!$B$101+'Regression Models'!$B$102*ifood_data[[#This Row],[Income]]+'Regression Models'!$B$103*ifood_data[[#This Row],[Age]]+'Regression Models'!$B$104*ifood_data[[#This Row],[Family]]</f>
        <v>167.39970158470169</v>
      </c>
      <c r="BF1547" t="str">
        <f>IF(ifood_data[[#This Row],[AcceptedCmpOverall]]=1,"Campaign Respondent","Non-respondent")</f>
        <v>Campaign Respondent</v>
      </c>
    </row>
    <row r="1548" spans="1:58" x14ac:dyDescent="0.35">
      <c r="A1548">
        <v>953</v>
      </c>
      <c r="B1548">
        <v>36736</v>
      </c>
      <c r="C1548">
        <v>1</v>
      </c>
      <c r="D1548">
        <v>1</v>
      </c>
      <c r="E1548">
        <v>52</v>
      </c>
      <c r="F1548">
        <v>10</v>
      </c>
      <c r="G1548">
        <v>0</v>
      </c>
      <c r="H1548">
        <v>3</v>
      </c>
      <c r="I1548">
        <v>0</v>
      </c>
      <c r="J1548">
        <v>0</v>
      </c>
      <c r="K1548">
        <v>4</v>
      </c>
      <c r="L1548">
        <v>1</v>
      </c>
      <c r="M1548">
        <v>1</v>
      </c>
      <c r="N1548">
        <v>0</v>
      </c>
      <c r="O1548">
        <v>2</v>
      </c>
      <c r="P1548">
        <v>6</v>
      </c>
      <c r="Q1548">
        <v>0</v>
      </c>
      <c r="R1548">
        <v>0</v>
      </c>
      <c r="S1548">
        <v>0</v>
      </c>
      <c r="T1548">
        <v>0</v>
      </c>
      <c r="U1548">
        <v>0</v>
      </c>
      <c r="V1548">
        <f>IF(SUM(ifood_data[[#This Row],[AcceptedCmp1]:[AcceptedCmp5]])&gt;0,1,0)</f>
        <v>0</v>
      </c>
      <c r="W1548">
        <v>0</v>
      </c>
      <c r="X1548">
        <v>3</v>
      </c>
      <c r="Y1548">
        <v>11</v>
      </c>
      <c r="Z1548">
        <v>0</v>
      </c>
      <c r="AA1548">
        <v>57</v>
      </c>
      <c r="AB1548">
        <v>2574</v>
      </c>
      <c r="AC1548" s="28">
        <f>ifood_data[[#This Row],[Customer_Days]]/365</f>
        <v>7.0520547945205481</v>
      </c>
      <c r="AD1548">
        <v>0</v>
      </c>
      <c r="AE1548">
        <v>0</v>
      </c>
      <c r="AF1548">
        <v>1</v>
      </c>
      <c r="AG1548">
        <v>0</v>
      </c>
      <c r="AH1548">
        <v>0</v>
      </c>
      <c r="AI1548">
        <v>0</v>
      </c>
      <c r="AJ1548">
        <v>0</v>
      </c>
      <c r="AK1548">
        <v>0</v>
      </c>
      <c r="AL1548">
        <v>0</v>
      </c>
      <c r="AM1548">
        <v>1</v>
      </c>
      <c r="AN1548">
        <v>13</v>
      </c>
      <c r="AO1548">
        <v>9</v>
      </c>
      <c r="AP1548">
        <f>ifood_data[[#This Row],[MntTotal]]-ifood_data[[#This Row],[MntRegularProds]]</f>
        <v>4</v>
      </c>
      <c r="AQ1548">
        <v>0</v>
      </c>
      <c r="AR1548">
        <f>IF(SUM(ifood_data[[#This Row],[Kidhome]:[Teenhome]])&gt;0,1,0)</f>
        <v>1</v>
      </c>
      <c r="AS1548" t="str">
        <f>IF(SUM(ifood_data[[#This Row],[Kidhome]:[Teenhome]])&gt;0,"Has Family","No Family")</f>
        <v>Has Family</v>
      </c>
      <c r="AT1548" t="str">
        <f>IF(ifood_data[[#This Row],[marital_Married]]=1,"Married", (IF(ifood_data[[#This Row],[marital_Single]]=1,"Single",(IF(ifood_data[[#This Row],[marital_Divorced]]=1,"Divorced",(IF(ifood_data[[#This Row],[marital_Together]]=1,"Living Together",(IF(ifood_data[[#This Row],[marital_Widow]]=1,"Widow","Other")))))))))</f>
        <v>Single</v>
      </c>
      <c r="AU1548" t="str">
        <f>IF(ifood_data[[#This Row],[education_Basic]]=1,"High School",(IF(ifood_data[[#This Row],[education_Graduation]]=1,"Undergraduate Degree",(IF(SUM(AM1548,AL1548,AI1548)&gt;0,"Master's Degree or Higher","Other")))))</f>
        <v>Master's Degree or Higher</v>
      </c>
      <c r="AV1548" t="str">
        <f>IF(ifood_data[[#All],[Income]]&gt;75000,"75K+",(IF(ifood_data[[#All],[Income]]&gt;50000,"50K-75K",(IF(ifood_data[[#All],[Income]]&gt;35000,"35K-50K","&lt;35K")))))</f>
        <v>35K-50K</v>
      </c>
      <c r="AW1548" t="str">
        <f>IF(ifood_data[[#All],[Age]]&gt;60,"60+",(IF(ifood_data[[#All],[Age]]&gt;50,"50-60",(IF(ifood_data[[#All],[Age]]&gt;40,"40-50",(IF(ifood_data[[#All],[Age]]&gt;30,"30-40","&lt;30")))))))</f>
        <v>50-60</v>
      </c>
      <c r="AX1548">
        <f t="shared" si="96"/>
        <v>10</v>
      </c>
      <c r="AY1548">
        <f t="shared" si="97"/>
        <v>5</v>
      </c>
      <c r="AZ1548">
        <f t="shared" si="98"/>
        <v>0</v>
      </c>
      <c r="BA1548">
        <f t="shared" si="99"/>
        <v>0</v>
      </c>
      <c r="BB1548">
        <f>SUM(ifood_data[[#This Row],[Recency Score]:[Monetary Score]])</f>
        <v>5</v>
      </c>
      <c r="BC1548">
        <f>(_xlfn.PERCENTRANK.INC(ifood_data[[#All],[RFM]],ifood_data[[#This Row],[RFM]],1))*10</f>
        <v>0</v>
      </c>
      <c r="BD1548" t="str">
        <f>VLOOKUP(ifood_data[[#This Row],[RFM Score]],'RFM Analysis'!$A$3:$B$14,2,FALSE)</f>
        <v>Lost</v>
      </c>
      <c r="BE1548">
        <f>'Regression Models'!$B$101+'Regression Models'!$B$102*ifood_data[[#This Row],[Income]]+'Regression Models'!$B$103*ifood_data[[#This Row],[Age]]+'Regression Models'!$B$104*ifood_data[[#This Row],[Family]]</f>
        <v>166.89587168981438</v>
      </c>
      <c r="BF1548" t="str">
        <f>IF(ifood_data[[#This Row],[AcceptedCmpOverall]]=1,"Campaign Respondent","Non-respondent")</f>
        <v>Non-respondent</v>
      </c>
    </row>
    <row r="1549" spans="1:58" x14ac:dyDescent="0.35">
      <c r="A1549">
        <v>1706</v>
      </c>
      <c r="B1549">
        <v>34738</v>
      </c>
      <c r="C1549">
        <v>1</v>
      </c>
      <c r="D1549">
        <v>0</v>
      </c>
      <c r="E1549">
        <v>51</v>
      </c>
      <c r="F1549">
        <v>3</v>
      </c>
      <c r="G1549">
        <v>2</v>
      </c>
      <c r="H1549">
        <v>10</v>
      </c>
      <c r="I1549">
        <v>3</v>
      </c>
      <c r="J1549">
        <v>0</v>
      </c>
      <c r="K1549">
        <v>2</v>
      </c>
      <c r="L1549">
        <v>1</v>
      </c>
      <c r="M1549">
        <v>1</v>
      </c>
      <c r="N1549">
        <v>0</v>
      </c>
      <c r="O1549">
        <v>3</v>
      </c>
      <c r="P1549">
        <v>6</v>
      </c>
      <c r="Q1549">
        <v>0</v>
      </c>
      <c r="R1549">
        <v>0</v>
      </c>
      <c r="S1549">
        <v>0</v>
      </c>
      <c r="T1549">
        <v>0</v>
      </c>
      <c r="U1549">
        <v>0</v>
      </c>
      <c r="V1549">
        <f>IF(SUM(ifood_data[[#This Row],[AcceptedCmp1]:[AcceptedCmp5]])&gt;0,1,0)</f>
        <v>0</v>
      </c>
      <c r="W1549">
        <v>0</v>
      </c>
      <c r="X1549">
        <v>3</v>
      </c>
      <c r="Y1549">
        <v>11</v>
      </c>
      <c r="Z1549">
        <v>0</v>
      </c>
      <c r="AA1549">
        <v>36</v>
      </c>
      <c r="AB1549">
        <v>2208</v>
      </c>
      <c r="AC1549" s="28">
        <f>ifood_data[[#This Row],[Customer_Days]]/365</f>
        <v>6.0493150684931507</v>
      </c>
      <c r="AD1549">
        <v>0</v>
      </c>
      <c r="AE1549">
        <v>0</v>
      </c>
      <c r="AF1549">
        <v>1</v>
      </c>
      <c r="AG1549">
        <v>0</v>
      </c>
      <c r="AH1549">
        <v>0</v>
      </c>
      <c r="AI1549">
        <v>0</v>
      </c>
      <c r="AJ1549">
        <v>0</v>
      </c>
      <c r="AK1549">
        <v>1</v>
      </c>
      <c r="AL1549">
        <v>0</v>
      </c>
      <c r="AM1549">
        <v>0</v>
      </c>
      <c r="AN1549">
        <v>18</v>
      </c>
      <c r="AO1549">
        <v>16</v>
      </c>
      <c r="AP1549">
        <f>ifood_data[[#This Row],[MntTotal]]-ifood_data[[#This Row],[MntRegularProds]]</f>
        <v>2</v>
      </c>
      <c r="AQ1549">
        <v>0</v>
      </c>
      <c r="AR1549">
        <f>IF(SUM(ifood_data[[#This Row],[Kidhome]:[Teenhome]])&gt;0,1,0)</f>
        <v>1</v>
      </c>
      <c r="AS1549" t="str">
        <f>IF(SUM(ifood_data[[#This Row],[Kidhome]:[Teenhome]])&gt;0,"Has Family","No Family")</f>
        <v>Has Family</v>
      </c>
      <c r="AT1549" t="str">
        <f>IF(ifood_data[[#This Row],[marital_Married]]=1,"Married", (IF(ifood_data[[#This Row],[marital_Single]]=1,"Single",(IF(ifood_data[[#This Row],[marital_Divorced]]=1,"Divorced",(IF(ifood_data[[#This Row],[marital_Together]]=1,"Living Together",(IF(ifood_data[[#This Row],[marital_Widow]]=1,"Widow","Other")))))))))</f>
        <v>Single</v>
      </c>
      <c r="AU1549" t="str">
        <f>IF(ifood_data[[#This Row],[education_Basic]]=1,"High School",(IF(ifood_data[[#This Row],[education_Graduation]]=1,"Undergraduate Degree",(IF(SUM(AM1549,AL1549,AI1549)&gt;0,"Master's Degree or Higher","Other")))))</f>
        <v>Undergraduate Degree</v>
      </c>
      <c r="AV1549" t="str">
        <f>IF(ifood_data[[#All],[Income]]&gt;75000,"75K+",(IF(ifood_data[[#All],[Income]]&gt;50000,"50K-75K",(IF(ifood_data[[#All],[Income]]&gt;35000,"35K-50K","&lt;35K")))))</f>
        <v>&lt;35K</v>
      </c>
      <c r="AW1549" t="str">
        <f>IF(ifood_data[[#All],[Age]]&gt;60,"60+",(IF(ifood_data[[#All],[Age]]&gt;50,"50-60",(IF(ifood_data[[#All],[Age]]&gt;40,"40-50",(IF(ifood_data[[#All],[Age]]&gt;30,"30-40","&lt;30")))))))</f>
        <v>30-40</v>
      </c>
      <c r="AX1549">
        <f t="shared" si="96"/>
        <v>11</v>
      </c>
      <c r="AY1549">
        <f t="shared" si="97"/>
        <v>5</v>
      </c>
      <c r="AZ1549">
        <f t="shared" si="98"/>
        <v>0</v>
      </c>
      <c r="BA1549">
        <f t="shared" si="99"/>
        <v>0</v>
      </c>
      <c r="BB1549">
        <f>SUM(ifood_data[[#This Row],[Recency Score]:[Monetary Score]])</f>
        <v>5</v>
      </c>
      <c r="BC1549">
        <f>(_xlfn.PERCENTRANK.INC(ifood_data[[#All],[RFM]],ifood_data[[#This Row],[RFM]],1))*10</f>
        <v>0</v>
      </c>
      <c r="BD1549" t="str">
        <f>VLOOKUP(ifood_data[[#This Row],[RFM Score]],'RFM Analysis'!$A$3:$B$14,2,FALSE)</f>
        <v>Lost</v>
      </c>
      <c r="BE1549">
        <f>'Regression Models'!$B$101+'Regression Models'!$B$102*ifood_data[[#This Row],[Income]]+'Regression Models'!$B$103*ifood_data[[#This Row],[Age]]+'Regression Models'!$B$104*ifood_data[[#This Row],[Family]]</f>
        <v>164.72433359508415</v>
      </c>
      <c r="BF1549" t="str">
        <f>IF(ifood_data[[#This Row],[AcceptedCmpOverall]]=1,"Campaign Respondent","Non-respondent")</f>
        <v>Non-respondent</v>
      </c>
    </row>
    <row r="1550" spans="1:58" x14ac:dyDescent="0.35">
      <c r="A1550">
        <v>527</v>
      </c>
      <c r="B1550">
        <v>22419</v>
      </c>
      <c r="C1550">
        <v>0</v>
      </c>
      <c r="D1550">
        <v>0</v>
      </c>
      <c r="E1550">
        <v>74</v>
      </c>
      <c r="F1550">
        <v>30</v>
      </c>
      <c r="G1550">
        <v>3</v>
      </c>
      <c r="H1550">
        <v>47</v>
      </c>
      <c r="I1550">
        <v>19</v>
      </c>
      <c r="J1550">
        <v>21</v>
      </c>
      <c r="K1550">
        <v>42</v>
      </c>
      <c r="L1550">
        <v>1</v>
      </c>
      <c r="M1550">
        <v>3</v>
      </c>
      <c r="N1550">
        <v>2</v>
      </c>
      <c r="O1550">
        <v>2</v>
      </c>
      <c r="P1550">
        <v>8</v>
      </c>
      <c r="Q1550">
        <v>0</v>
      </c>
      <c r="R1550">
        <v>0</v>
      </c>
      <c r="S1550">
        <v>0</v>
      </c>
      <c r="T1550">
        <v>0</v>
      </c>
      <c r="U1550">
        <v>0</v>
      </c>
      <c r="V1550">
        <f>IF(SUM(ifood_data[[#This Row],[AcceptedCmp1]:[AcceptedCmp5]])&gt;0,1,0)</f>
        <v>0</v>
      </c>
      <c r="W1550">
        <v>0</v>
      </c>
      <c r="X1550">
        <v>3</v>
      </c>
      <c r="Y1550">
        <v>11</v>
      </c>
      <c r="Z1550">
        <v>0</v>
      </c>
      <c r="AA1550">
        <v>57</v>
      </c>
      <c r="AB1550">
        <v>2596</v>
      </c>
      <c r="AC1550" s="28">
        <f>ifood_data[[#This Row],[Customer_Days]]/365</f>
        <v>7.1123287671232873</v>
      </c>
      <c r="AD1550">
        <v>0</v>
      </c>
      <c r="AE1550">
        <v>1</v>
      </c>
      <c r="AF1550">
        <v>0</v>
      </c>
      <c r="AG1550">
        <v>0</v>
      </c>
      <c r="AH1550">
        <v>0</v>
      </c>
      <c r="AI1550">
        <v>0</v>
      </c>
      <c r="AJ1550">
        <v>0</v>
      </c>
      <c r="AK1550">
        <v>1</v>
      </c>
      <c r="AL1550">
        <v>0</v>
      </c>
      <c r="AM1550">
        <v>0</v>
      </c>
      <c r="AN1550">
        <v>120</v>
      </c>
      <c r="AO1550">
        <v>78</v>
      </c>
      <c r="AP1550">
        <f>ifood_data[[#This Row],[MntTotal]]-ifood_data[[#This Row],[MntRegularProds]]</f>
        <v>42</v>
      </c>
      <c r="AQ1550">
        <v>0</v>
      </c>
      <c r="AR1550">
        <f>IF(SUM(ifood_data[[#This Row],[Kidhome]:[Teenhome]])&gt;0,1,0)</f>
        <v>0</v>
      </c>
      <c r="AS1550" t="str">
        <f>IF(SUM(ifood_data[[#This Row],[Kidhome]:[Teenhome]])&gt;0,"Has Family","No Family")</f>
        <v>No Family</v>
      </c>
      <c r="AT1550" t="str">
        <f>IF(ifood_data[[#This Row],[marital_Married]]=1,"Married", (IF(ifood_data[[#This Row],[marital_Single]]=1,"Single",(IF(ifood_data[[#This Row],[marital_Divorced]]=1,"Divorced",(IF(ifood_data[[#This Row],[marital_Together]]=1,"Living Together",(IF(ifood_data[[#This Row],[marital_Widow]]=1,"Widow","Other")))))))))</f>
        <v>Married</v>
      </c>
      <c r="AU1550" t="str">
        <f>IF(ifood_data[[#This Row],[education_Basic]]=1,"High School",(IF(ifood_data[[#This Row],[education_Graduation]]=1,"Undergraduate Degree",(IF(SUM(AM1550,AL1550,AI1550)&gt;0,"Master's Degree or Higher","Other")))))</f>
        <v>Undergraduate Degree</v>
      </c>
      <c r="AV1550" t="str">
        <f>IF(ifood_data[[#All],[Income]]&gt;75000,"75K+",(IF(ifood_data[[#All],[Income]]&gt;50000,"50K-75K",(IF(ifood_data[[#All],[Income]]&gt;35000,"35K-50K","&lt;35K")))))</f>
        <v>&lt;35K</v>
      </c>
      <c r="AW1550" t="str">
        <f>IF(ifood_data[[#All],[Age]]&gt;60,"60+",(IF(ifood_data[[#All],[Age]]&gt;50,"50-60",(IF(ifood_data[[#All],[Age]]&gt;40,"40-50",(IF(ifood_data[[#All],[Age]]&gt;30,"30-40","&lt;30")))))))</f>
        <v>50-60</v>
      </c>
      <c r="AX1550">
        <f t="shared" si="96"/>
        <v>16</v>
      </c>
      <c r="AY1550">
        <f t="shared" si="97"/>
        <v>3.0000000000000004</v>
      </c>
      <c r="AZ1550">
        <f t="shared" si="98"/>
        <v>3</v>
      </c>
      <c r="BA1550">
        <f t="shared" si="99"/>
        <v>3</v>
      </c>
      <c r="BB1550">
        <f>SUM(ifood_data[[#This Row],[Recency Score]:[Monetary Score]])</f>
        <v>9</v>
      </c>
      <c r="BC1550">
        <f>(_xlfn.PERCENTRANK.INC(ifood_data[[#All],[RFM]],ifood_data[[#This Row],[RFM]],1))*10</f>
        <v>1</v>
      </c>
      <c r="BD1550" t="str">
        <f>VLOOKUP(ifood_data[[#This Row],[RFM Score]],'RFM Analysis'!$A$3:$B$14,2,FALSE)</f>
        <v>At Risk</v>
      </c>
      <c r="BE1550">
        <f>'Regression Models'!$B$101+'Regression Models'!$B$102*ifood_data[[#This Row],[Income]]+'Regression Models'!$B$103*ifood_data[[#This Row],[Age]]+'Regression Models'!$B$104*ifood_data[[#This Row],[Family]]</f>
        <v>164.60350924662936</v>
      </c>
      <c r="BF1550" t="str">
        <f>IF(ifood_data[[#This Row],[AcceptedCmpOverall]]=1,"Campaign Respondent","Non-respondent")</f>
        <v>Non-respondent</v>
      </c>
    </row>
    <row r="1551" spans="1:58" x14ac:dyDescent="0.35">
      <c r="A1551">
        <v>137</v>
      </c>
      <c r="B1551">
        <v>35688</v>
      </c>
      <c r="C1551">
        <v>2</v>
      </c>
      <c r="D1551">
        <v>1</v>
      </c>
      <c r="E1551">
        <v>94</v>
      </c>
      <c r="F1551">
        <v>73</v>
      </c>
      <c r="G1551">
        <v>3</v>
      </c>
      <c r="H1551">
        <v>90</v>
      </c>
      <c r="I1551">
        <v>12</v>
      </c>
      <c r="J1551">
        <v>1</v>
      </c>
      <c r="K1551">
        <v>32</v>
      </c>
      <c r="L1551">
        <v>7</v>
      </c>
      <c r="M1551">
        <v>4</v>
      </c>
      <c r="N1551">
        <v>1</v>
      </c>
      <c r="O1551">
        <v>4</v>
      </c>
      <c r="P1551">
        <v>8</v>
      </c>
      <c r="Q1551">
        <v>0</v>
      </c>
      <c r="R1551">
        <v>0</v>
      </c>
      <c r="S1551">
        <v>0</v>
      </c>
      <c r="T1551">
        <v>0</v>
      </c>
      <c r="U1551">
        <v>0</v>
      </c>
      <c r="V1551">
        <f>IF(SUM(ifood_data[[#This Row],[AcceptedCmp1]:[AcceptedCmp5]])&gt;0,1,0)</f>
        <v>0</v>
      </c>
      <c r="W1551">
        <v>0</v>
      </c>
      <c r="X1551">
        <v>3</v>
      </c>
      <c r="Y1551">
        <v>11</v>
      </c>
      <c r="Z1551">
        <v>0</v>
      </c>
      <c r="AA1551">
        <v>47</v>
      </c>
      <c r="AB1551">
        <v>2835</v>
      </c>
      <c r="AC1551" s="28">
        <f>ifood_data[[#This Row],[Customer_Days]]/365</f>
        <v>7.7671232876712333</v>
      </c>
      <c r="AD1551">
        <v>0</v>
      </c>
      <c r="AE1551">
        <v>1</v>
      </c>
      <c r="AF1551">
        <v>0</v>
      </c>
      <c r="AG1551">
        <v>0</v>
      </c>
      <c r="AH1551">
        <v>0</v>
      </c>
      <c r="AI1551">
        <v>1</v>
      </c>
      <c r="AJ1551">
        <v>0</v>
      </c>
      <c r="AK1551">
        <v>0</v>
      </c>
      <c r="AL1551">
        <v>0</v>
      </c>
      <c r="AM1551">
        <v>0</v>
      </c>
      <c r="AN1551">
        <v>179</v>
      </c>
      <c r="AO1551">
        <v>147</v>
      </c>
      <c r="AP1551">
        <f>ifood_data[[#This Row],[MntTotal]]-ifood_data[[#This Row],[MntRegularProds]]</f>
        <v>32</v>
      </c>
      <c r="AQ1551">
        <v>0</v>
      </c>
      <c r="AR1551">
        <f>IF(SUM(ifood_data[[#This Row],[Kidhome]:[Teenhome]])&gt;0,1,0)</f>
        <v>1</v>
      </c>
      <c r="AS1551" t="str">
        <f>IF(SUM(ifood_data[[#This Row],[Kidhome]:[Teenhome]])&gt;0,"Has Family","No Family")</f>
        <v>Has Family</v>
      </c>
      <c r="AT1551" t="str">
        <f>IF(ifood_data[[#This Row],[marital_Married]]=1,"Married", (IF(ifood_data[[#This Row],[marital_Single]]=1,"Single",(IF(ifood_data[[#This Row],[marital_Divorced]]=1,"Divorced",(IF(ifood_data[[#This Row],[marital_Together]]=1,"Living Together",(IF(ifood_data[[#This Row],[marital_Widow]]=1,"Widow","Other")))))))))</f>
        <v>Married</v>
      </c>
      <c r="AU1551" t="str">
        <f>IF(ifood_data[[#This Row],[education_Basic]]=1,"High School",(IF(ifood_data[[#This Row],[education_Graduation]]=1,"Undergraduate Degree",(IF(SUM(AM1551,AL1551,AI1551)&gt;0,"Master's Degree or Higher","Other")))))</f>
        <v>Master's Degree or Higher</v>
      </c>
      <c r="AV1551" t="str">
        <f>IF(ifood_data[[#All],[Income]]&gt;75000,"75K+",(IF(ifood_data[[#All],[Income]]&gt;50000,"50K-75K",(IF(ifood_data[[#All],[Income]]&gt;35000,"35K-50K","&lt;35K")))))</f>
        <v>35K-50K</v>
      </c>
      <c r="AW1551" t="str">
        <f>IF(ifood_data[[#All],[Age]]&gt;60,"60+",(IF(ifood_data[[#All],[Age]]&gt;50,"50-60",(IF(ifood_data[[#All],[Age]]&gt;40,"40-50",(IF(ifood_data[[#All],[Age]]&gt;30,"30-40","&lt;30")))))))</f>
        <v>40-50</v>
      </c>
      <c r="AX1551">
        <f t="shared" si="96"/>
        <v>24</v>
      </c>
      <c r="AY1551">
        <f t="shared" si="97"/>
        <v>0.99999999999999978</v>
      </c>
      <c r="AZ1551">
        <f t="shared" si="98"/>
        <v>6</v>
      </c>
      <c r="BA1551">
        <f t="shared" si="99"/>
        <v>3</v>
      </c>
      <c r="BB1551">
        <f>SUM(ifood_data[[#This Row],[Recency Score]:[Monetary Score]])</f>
        <v>10</v>
      </c>
      <c r="BC1551">
        <f>(_xlfn.PERCENTRANK.INC(ifood_data[[#All],[RFM]],ifood_data[[#This Row],[RFM]],1))*10</f>
        <v>2</v>
      </c>
      <c r="BD1551" t="str">
        <f>VLOOKUP(ifood_data[[#This Row],[RFM Score]],'RFM Analysis'!$A$3:$B$14,2,FALSE)</f>
        <v>At Risk</v>
      </c>
      <c r="BE1551">
        <f>'Regression Models'!$B$101+'Regression Models'!$B$102*ifood_data[[#This Row],[Income]]+'Regression Models'!$B$103*ifood_data[[#This Row],[Age]]+'Regression Models'!$B$104*ifood_data[[#This Row],[Family]]</f>
        <v>163.89283346395109</v>
      </c>
      <c r="BF1551" t="str">
        <f>IF(ifood_data[[#This Row],[AcceptedCmpOverall]]=1,"Campaign Respondent","Non-respondent")</f>
        <v>Non-respondent</v>
      </c>
    </row>
    <row r="1552" spans="1:58" x14ac:dyDescent="0.35">
      <c r="A1552">
        <v>1848</v>
      </c>
      <c r="B1552">
        <v>23272</v>
      </c>
      <c r="C1552">
        <v>0</v>
      </c>
      <c r="D1552">
        <v>0</v>
      </c>
      <c r="E1552">
        <v>29</v>
      </c>
      <c r="F1552">
        <v>19</v>
      </c>
      <c r="G1552">
        <v>3</v>
      </c>
      <c r="H1552">
        <v>6</v>
      </c>
      <c r="I1552">
        <v>4</v>
      </c>
      <c r="J1552">
        <v>2</v>
      </c>
      <c r="K1552">
        <v>12</v>
      </c>
      <c r="L1552">
        <v>1</v>
      </c>
      <c r="M1552">
        <v>1</v>
      </c>
      <c r="N1552">
        <v>0</v>
      </c>
      <c r="O1552">
        <v>3</v>
      </c>
      <c r="P1552">
        <v>4</v>
      </c>
      <c r="Q1552">
        <v>0</v>
      </c>
      <c r="R1552">
        <v>0</v>
      </c>
      <c r="S1552">
        <v>0</v>
      </c>
      <c r="T1552">
        <v>0</v>
      </c>
      <c r="U1552">
        <v>0</v>
      </c>
      <c r="V1552">
        <f>IF(SUM(ifood_data[[#This Row],[AcceptedCmp1]:[AcceptedCmp5]])&gt;0,1,0)</f>
        <v>0</v>
      </c>
      <c r="W1552">
        <v>0</v>
      </c>
      <c r="X1552">
        <v>3</v>
      </c>
      <c r="Y1552">
        <v>11</v>
      </c>
      <c r="Z1552">
        <v>0</v>
      </c>
      <c r="AA1552">
        <v>67</v>
      </c>
      <c r="AB1552">
        <v>2414</v>
      </c>
      <c r="AC1552" s="28">
        <f>ifood_data[[#This Row],[Customer_Days]]/365</f>
        <v>6.6136986301369864</v>
      </c>
      <c r="AD1552">
        <v>1</v>
      </c>
      <c r="AE1552">
        <v>0</v>
      </c>
      <c r="AF1552">
        <v>0</v>
      </c>
      <c r="AG1552">
        <v>0</v>
      </c>
      <c r="AH1552">
        <v>0</v>
      </c>
      <c r="AI1552">
        <v>0</v>
      </c>
      <c r="AJ1552">
        <v>0</v>
      </c>
      <c r="AK1552">
        <v>1</v>
      </c>
      <c r="AL1552">
        <v>0</v>
      </c>
      <c r="AM1552">
        <v>0</v>
      </c>
      <c r="AN1552">
        <v>34</v>
      </c>
      <c r="AO1552">
        <v>22</v>
      </c>
      <c r="AP1552">
        <f>ifood_data[[#This Row],[MntTotal]]-ifood_data[[#This Row],[MntRegularProds]]</f>
        <v>12</v>
      </c>
      <c r="AQ1552">
        <v>0</v>
      </c>
      <c r="AR1552">
        <f>IF(SUM(ifood_data[[#This Row],[Kidhome]:[Teenhome]])&gt;0,1,0)</f>
        <v>0</v>
      </c>
      <c r="AS1552" t="str">
        <f>IF(SUM(ifood_data[[#This Row],[Kidhome]:[Teenhome]])&gt;0,"Has Family","No Family")</f>
        <v>No Family</v>
      </c>
      <c r="AT1552" t="str">
        <f>IF(ifood_data[[#This Row],[marital_Married]]=1,"Married", (IF(ifood_data[[#This Row],[marital_Single]]=1,"Single",(IF(ifood_data[[#This Row],[marital_Divorced]]=1,"Divorced",(IF(ifood_data[[#This Row],[marital_Together]]=1,"Living Together",(IF(ifood_data[[#This Row],[marital_Widow]]=1,"Widow","Other")))))))))</f>
        <v>Divorced</v>
      </c>
      <c r="AU1552" t="str">
        <f>IF(ifood_data[[#This Row],[education_Basic]]=1,"High School",(IF(ifood_data[[#This Row],[education_Graduation]]=1,"Undergraduate Degree",(IF(SUM(AM1552,AL1552,AI1552)&gt;0,"Master's Degree or Higher","Other")))))</f>
        <v>Undergraduate Degree</v>
      </c>
      <c r="AV1552" t="str">
        <f>IF(ifood_data[[#All],[Income]]&gt;75000,"75K+",(IF(ifood_data[[#All],[Income]]&gt;50000,"50K-75K",(IF(ifood_data[[#All],[Income]]&gt;35000,"35K-50K","&lt;35K")))))</f>
        <v>&lt;35K</v>
      </c>
      <c r="AW1552" t="str">
        <f>IF(ifood_data[[#All],[Age]]&gt;60,"60+",(IF(ifood_data[[#All],[Age]]&gt;50,"50-60",(IF(ifood_data[[#All],[Age]]&gt;40,"40-50",(IF(ifood_data[[#All],[Age]]&gt;30,"30-40","&lt;30")))))))</f>
        <v>60+</v>
      </c>
      <c r="AX1552">
        <f t="shared" si="96"/>
        <v>9</v>
      </c>
      <c r="AY1552">
        <f t="shared" si="97"/>
        <v>8</v>
      </c>
      <c r="AZ1552">
        <f t="shared" si="98"/>
        <v>0</v>
      </c>
      <c r="BA1552">
        <f t="shared" si="99"/>
        <v>1</v>
      </c>
      <c r="BB1552">
        <f>SUM(ifood_data[[#This Row],[Recency Score]:[Monetary Score]])</f>
        <v>9</v>
      </c>
      <c r="BC1552">
        <f>(_xlfn.PERCENTRANK.INC(ifood_data[[#All],[RFM]],ifood_data[[#This Row],[RFM]],1))*10</f>
        <v>1</v>
      </c>
      <c r="BD1552" t="str">
        <f>VLOOKUP(ifood_data[[#This Row],[RFM Score]],'RFM Analysis'!$A$3:$B$14,2,FALSE)</f>
        <v>At Risk</v>
      </c>
      <c r="BE1552">
        <f>'Regression Models'!$B$101+'Regression Models'!$B$102*ifood_data[[#This Row],[Income]]+'Regression Models'!$B$103*ifood_data[[#This Row],[Age]]+'Regression Models'!$B$104*ifood_data[[#This Row],[Family]]</f>
        <v>163.63073768443235</v>
      </c>
      <c r="BF1552" t="str">
        <f>IF(ifood_data[[#This Row],[AcceptedCmpOverall]]=1,"Campaign Respondent","Non-respondent")</f>
        <v>Non-respondent</v>
      </c>
    </row>
    <row r="1553" spans="1:58" x14ac:dyDescent="0.35">
      <c r="A1553">
        <v>1593</v>
      </c>
      <c r="B1553">
        <v>37244</v>
      </c>
      <c r="C1553">
        <v>1</v>
      </c>
      <c r="D1553">
        <v>1</v>
      </c>
      <c r="E1553">
        <v>90</v>
      </c>
      <c r="F1553">
        <v>18</v>
      </c>
      <c r="G1553">
        <v>2</v>
      </c>
      <c r="H1553">
        <v>10</v>
      </c>
      <c r="I1553">
        <v>0</v>
      </c>
      <c r="J1553">
        <v>0</v>
      </c>
      <c r="K1553">
        <v>25</v>
      </c>
      <c r="L1553">
        <v>1</v>
      </c>
      <c r="M1553">
        <v>1</v>
      </c>
      <c r="N1553">
        <v>1</v>
      </c>
      <c r="O1553">
        <v>2</v>
      </c>
      <c r="P1553">
        <v>7</v>
      </c>
      <c r="Q1553">
        <v>0</v>
      </c>
      <c r="R1553">
        <v>0</v>
      </c>
      <c r="S1553">
        <v>1</v>
      </c>
      <c r="T1553">
        <v>0</v>
      </c>
      <c r="U1553">
        <v>0</v>
      </c>
      <c r="V1553">
        <f>IF(SUM(ifood_data[[#This Row],[AcceptedCmp1]:[AcceptedCmp5]])&gt;0,1,0)</f>
        <v>1</v>
      </c>
      <c r="W1553">
        <v>0</v>
      </c>
      <c r="X1553">
        <v>3</v>
      </c>
      <c r="Y1553">
        <v>11</v>
      </c>
      <c r="Z1553">
        <v>0</v>
      </c>
      <c r="AA1553">
        <v>65</v>
      </c>
      <c r="AB1553">
        <v>2587</v>
      </c>
      <c r="AC1553" s="28">
        <f>ifood_data[[#This Row],[Customer_Days]]/365</f>
        <v>7.087671232876712</v>
      </c>
      <c r="AD1553">
        <v>1</v>
      </c>
      <c r="AE1553">
        <v>0</v>
      </c>
      <c r="AF1553">
        <v>0</v>
      </c>
      <c r="AG1553">
        <v>0</v>
      </c>
      <c r="AH1553">
        <v>0</v>
      </c>
      <c r="AI1553">
        <v>0</v>
      </c>
      <c r="AJ1553">
        <v>0</v>
      </c>
      <c r="AK1553">
        <v>1</v>
      </c>
      <c r="AL1553">
        <v>0</v>
      </c>
      <c r="AM1553">
        <v>0</v>
      </c>
      <c r="AN1553">
        <v>30</v>
      </c>
      <c r="AO1553">
        <v>5</v>
      </c>
      <c r="AP1553">
        <f>ifood_data[[#This Row],[MntTotal]]-ifood_data[[#This Row],[MntRegularProds]]</f>
        <v>25</v>
      </c>
      <c r="AQ1553">
        <v>1</v>
      </c>
      <c r="AR1553">
        <f>IF(SUM(ifood_data[[#This Row],[Kidhome]:[Teenhome]])&gt;0,1,0)</f>
        <v>1</v>
      </c>
      <c r="AS1553" t="str">
        <f>IF(SUM(ifood_data[[#This Row],[Kidhome]:[Teenhome]])&gt;0,"Has Family","No Family")</f>
        <v>Has Family</v>
      </c>
      <c r="AT1553" t="str">
        <f>IF(ifood_data[[#This Row],[marital_Married]]=1,"Married", (IF(ifood_data[[#This Row],[marital_Single]]=1,"Single",(IF(ifood_data[[#This Row],[marital_Divorced]]=1,"Divorced",(IF(ifood_data[[#This Row],[marital_Together]]=1,"Living Together",(IF(ifood_data[[#This Row],[marital_Widow]]=1,"Widow","Other")))))))))</f>
        <v>Divorced</v>
      </c>
      <c r="AU1553" t="str">
        <f>IF(ifood_data[[#This Row],[education_Basic]]=1,"High School",(IF(ifood_data[[#This Row],[education_Graduation]]=1,"Undergraduate Degree",(IF(SUM(AM1553,AL1553,AI1553)&gt;0,"Master's Degree or Higher","Other")))))</f>
        <v>Undergraduate Degree</v>
      </c>
      <c r="AV1553" t="str">
        <f>IF(ifood_data[[#All],[Income]]&gt;75000,"75K+",(IF(ifood_data[[#All],[Income]]&gt;50000,"50K-75K",(IF(ifood_data[[#All],[Income]]&gt;35000,"35K-50K","&lt;35K")))))</f>
        <v>35K-50K</v>
      </c>
      <c r="AW1553" t="str">
        <f>IF(ifood_data[[#All],[Age]]&gt;60,"60+",(IF(ifood_data[[#All],[Age]]&gt;50,"50-60",(IF(ifood_data[[#All],[Age]]&gt;40,"40-50",(IF(ifood_data[[#All],[Age]]&gt;30,"30-40","&lt;30")))))))</f>
        <v>60+</v>
      </c>
      <c r="AX1553">
        <f t="shared" si="96"/>
        <v>12</v>
      </c>
      <c r="AY1553">
        <f t="shared" si="97"/>
        <v>0.99999999999999978</v>
      </c>
      <c r="AZ1553">
        <f t="shared" si="98"/>
        <v>1</v>
      </c>
      <c r="BA1553">
        <f t="shared" si="99"/>
        <v>1</v>
      </c>
      <c r="BB1553">
        <f>SUM(ifood_data[[#This Row],[Recency Score]:[Monetary Score]])</f>
        <v>3</v>
      </c>
      <c r="BC1553">
        <f>(_xlfn.PERCENTRANK.INC(ifood_data[[#All],[RFM]],ifood_data[[#This Row],[RFM]],1))*10</f>
        <v>0</v>
      </c>
      <c r="BD1553" t="str">
        <f>VLOOKUP(ifood_data[[#This Row],[RFM Score]],'RFM Analysis'!$A$3:$B$14,2,FALSE)</f>
        <v>Lost</v>
      </c>
      <c r="BE1553">
        <f>'Regression Models'!$B$101+'Regression Models'!$B$102*ifood_data[[#This Row],[Income]]+'Regression Models'!$B$103*ifood_data[[#This Row],[Age]]+'Regression Models'!$B$104*ifood_data[[#This Row],[Family]]</f>
        <v>162.56185327576077</v>
      </c>
      <c r="BF1553" t="str">
        <f>IF(ifood_data[[#This Row],[AcceptedCmpOverall]]=1,"Campaign Respondent","Non-respondent")</f>
        <v>Campaign Respondent</v>
      </c>
    </row>
    <row r="1554" spans="1:58" x14ac:dyDescent="0.35">
      <c r="A1554">
        <v>1778</v>
      </c>
      <c r="B1554">
        <v>36065</v>
      </c>
      <c r="C1554">
        <v>1</v>
      </c>
      <c r="D1554">
        <v>1</v>
      </c>
      <c r="E1554">
        <v>54</v>
      </c>
      <c r="F1554">
        <v>18</v>
      </c>
      <c r="G1554">
        <v>7</v>
      </c>
      <c r="H1554">
        <v>34</v>
      </c>
      <c r="I1554">
        <v>10</v>
      </c>
      <c r="J1554">
        <v>2</v>
      </c>
      <c r="K1554">
        <v>3</v>
      </c>
      <c r="L1554">
        <v>3</v>
      </c>
      <c r="M1554">
        <v>3</v>
      </c>
      <c r="N1554">
        <v>0</v>
      </c>
      <c r="O1554">
        <v>3</v>
      </c>
      <c r="P1554">
        <v>8</v>
      </c>
      <c r="Q1554">
        <v>0</v>
      </c>
      <c r="R1554">
        <v>0</v>
      </c>
      <c r="S1554">
        <v>0</v>
      </c>
      <c r="T1554">
        <v>0</v>
      </c>
      <c r="U1554">
        <v>0</v>
      </c>
      <c r="V1554">
        <f>IF(SUM(ifood_data[[#This Row],[AcceptedCmp1]:[AcceptedCmp5]])&gt;0,1,0)</f>
        <v>0</v>
      </c>
      <c r="W1554">
        <v>0</v>
      </c>
      <c r="X1554">
        <v>3</v>
      </c>
      <c r="Y1554">
        <v>11</v>
      </c>
      <c r="Z1554">
        <v>0</v>
      </c>
      <c r="AA1554">
        <v>52</v>
      </c>
      <c r="AB1554">
        <v>2614</v>
      </c>
      <c r="AC1554" s="28">
        <f>ifood_data[[#This Row],[Customer_Days]]/365</f>
        <v>7.161643835616438</v>
      </c>
      <c r="AD1554">
        <v>0</v>
      </c>
      <c r="AE1554">
        <v>0</v>
      </c>
      <c r="AF1554">
        <v>1</v>
      </c>
      <c r="AG1554">
        <v>0</v>
      </c>
      <c r="AH1554">
        <v>0</v>
      </c>
      <c r="AI1554">
        <v>0</v>
      </c>
      <c r="AJ1554">
        <v>0</v>
      </c>
      <c r="AK1554">
        <v>1</v>
      </c>
      <c r="AL1554">
        <v>0</v>
      </c>
      <c r="AM1554">
        <v>0</v>
      </c>
      <c r="AN1554">
        <v>71</v>
      </c>
      <c r="AO1554">
        <v>68</v>
      </c>
      <c r="AP1554">
        <f>ifood_data[[#This Row],[MntTotal]]-ifood_data[[#This Row],[MntRegularProds]]</f>
        <v>3</v>
      </c>
      <c r="AQ1554">
        <v>0</v>
      </c>
      <c r="AR1554">
        <f>IF(SUM(ifood_data[[#This Row],[Kidhome]:[Teenhome]])&gt;0,1,0)</f>
        <v>1</v>
      </c>
      <c r="AS1554" t="str">
        <f>IF(SUM(ifood_data[[#This Row],[Kidhome]:[Teenhome]])&gt;0,"Has Family","No Family")</f>
        <v>Has Family</v>
      </c>
      <c r="AT1554" t="str">
        <f>IF(ifood_data[[#This Row],[marital_Married]]=1,"Married", (IF(ifood_data[[#This Row],[marital_Single]]=1,"Single",(IF(ifood_data[[#This Row],[marital_Divorced]]=1,"Divorced",(IF(ifood_data[[#This Row],[marital_Together]]=1,"Living Together",(IF(ifood_data[[#This Row],[marital_Widow]]=1,"Widow","Other")))))))))</f>
        <v>Single</v>
      </c>
      <c r="AU1554" t="str">
        <f>IF(ifood_data[[#This Row],[education_Basic]]=1,"High School",(IF(ifood_data[[#This Row],[education_Graduation]]=1,"Undergraduate Degree",(IF(SUM(AM1554,AL1554,AI1554)&gt;0,"Master's Degree or Higher","Other")))))</f>
        <v>Undergraduate Degree</v>
      </c>
      <c r="AV1554" t="str">
        <f>IF(ifood_data[[#All],[Income]]&gt;75000,"75K+",(IF(ifood_data[[#All],[Income]]&gt;50000,"50K-75K",(IF(ifood_data[[#All],[Income]]&gt;35000,"35K-50K","&lt;35K")))))</f>
        <v>35K-50K</v>
      </c>
      <c r="AW1554" t="str">
        <f>IF(ifood_data[[#All],[Age]]&gt;60,"60+",(IF(ifood_data[[#All],[Age]]&gt;50,"50-60",(IF(ifood_data[[#All],[Age]]&gt;40,"40-50",(IF(ifood_data[[#All],[Age]]&gt;30,"30-40","&lt;30")))))))</f>
        <v>50-60</v>
      </c>
      <c r="AX1554">
        <f t="shared" si="96"/>
        <v>17</v>
      </c>
      <c r="AY1554">
        <f t="shared" si="97"/>
        <v>5</v>
      </c>
      <c r="AZ1554">
        <f t="shared" si="98"/>
        <v>3</v>
      </c>
      <c r="BA1554">
        <f t="shared" si="99"/>
        <v>3</v>
      </c>
      <c r="BB1554">
        <f>SUM(ifood_data[[#This Row],[Recency Score]:[Monetary Score]])</f>
        <v>11</v>
      </c>
      <c r="BC1554">
        <f>(_xlfn.PERCENTRANK.INC(ifood_data[[#All],[RFM]],ifood_data[[#This Row],[RFM]],1))*10</f>
        <v>2</v>
      </c>
      <c r="BD1554" t="str">
        <f>VLOOKUP(ifood_data[[#This Row],[RFM Score]],'RFM Analysis'!$A$3:$B$14,2,FALSE)</f>
        <v>At Risk</v>
      </c>
      <c r="BE1554">
        <f>'Regression Models'!$B$101+'Regression Models'!$B$102*ifood_data[[#This Row],[Income]]+'Regression Models'!$B$103*ifood_data[[#This Row],[Age]]+'Regression Models'!$B$104*ifood_data[[#This Row],[Family]]</f>
        <v>162.3972036597296</v>
      </c>
      <c r="BF1554" t="str">
        <f>IF(ifood_data[[#This Row],[AcceptedCmpOverall]]=1,"Campaign Respondent","Non-respondent")</f>
        <v>Non-respondent</v>
      </c>
    </row>
    <row r="1555" spans="1:58" x14ac:dyDescent="0.35">
      <c r="A1555">
        <v>1939</v>
      </c>
      <c r="B1555">
        <v>35788</v>
      </c>
      <c r="C1555">
        <v>1</v>
      </c>
      <c r="D1555">
        <v>1</v>
      </c>
      <c r="E1555">
        <v>34</v>
      </c>
      <c r="F1555">
        <v>23</v>
      </c>
      <c r="G1555">
        <v>2</v>
      </c>
      <c r="H1555">
        <v>11</v>
      </c>
      <c r="I1555">
        <v>3</v>
      </c>
      <c r="J1555">
        <v>1</v>
      </c>
      <c r="K1555">
        <v>4</v>
      </c>
      <c r="L1555">
        <v>2</v>
      </c>
      <c r="M1555">
        <v>2</v>
      </c>
      <c r="N1555">
        <v>0</v>
      </c>
      <c r="O1555">
        <v>3</v>
      </c>
      <c r="P1555">
        <v>6</v>
      </c>
      <c r="Q1555">
        <v>0</v>
      </c>
      <c r="R1555">
        <v>0</v>
      </c>
      <c r="S1555">
        <v>0</v>
      </c>
      <c r="T1555">
        <v>0</v>
      </c>
      <c r="U1555">
        <v>0</v>
      </c>
      <c r="V1555">
        <f>IF(SUM(ifood_data[[#This Row],[AcceptedCmp1]:[AcceptedCmp5]])&gt;0,1,0)</f>
        <v>0</v>
      </c>
      <c r="W1555">
        <v>0</v>
      </c>
      <c r="X1555">
        <v>3</v>
      </c>
      <c r="Y1555">
        <v>11</v>
      </c>
      <c r="Z1555">
        <v>0</v>
      </c>
      <c r="AA1555">
        <v>49</v>
      </c>
      <c r="AB1555">
        <v>2316</v>
      </c>
      <c r="AC1555" s="28">
        <f>ifood_data[[#This Row],[Customer_Days]]/365</f>
        <v>6.3452054794520549</v>
      </c>
      <c r="AD1555">
        <v>0</v>
      </c>
      <c r="AE1555">
        <v>1</v>
      </c>
      <c r="AF1555">
        <v>0</v>
      </c>
      <c r="AG1555">
        <v>0</v>
      </c>
      <c r="AH1555">
        <v>0</v>
      </c>
      <c r="AI1555">
        <v>0</v>
      </c>
      <c r="AJ1555">
        <v>0</v>
      </c>
      <c r="AK1555">
        <v>1</v>
      </c>
      <c r="AL1555">
        <v>0</v>
      </c>
      <c r="AM1555">
        <v>0</v>
      </c>
      <c r="AN1555">
        <v>40</v>
      </c>
      <c r="AO1555">
        <v>36</v>
      </c>
      <c r="AP1555">
        <f>ifood_data[[#This Row],[MntTotal]]-ifood_data[[#This Row],[MntRegularProds]]</f>
        <v>4</v>
      </c>
      <c r="AQ1555">
        <v>0</v>
      </c>
      <c r="AR1555">
        <f>IF(SUM(ifood_data[[#This Row],[Kidhome]:[Teenhome]])&gt;0,1,0)</f>
        <v>1</v>
      </c>
      <c r="AS1555" t="str">
        <f>IF(SUM(ifood_data[[#This Row],[Kidhome]:[Teenhome]])&gt;0,"Has Family","No Family")</f>
        <v>Has Family</v>
      </c>
      <c r="AT1555" t="str">
        <f>IF(ifood_data[[#This Row],[marital_Married]]=1,"Married", (IF(ifood_data[[#This Row],[marital_Single]]=1,"Single",(IF(ifood_data[[#This Row],[marital_Divorced]]=1,"Divorced",(IF(ifood_data[[#This Row],[marital_Together]]=1,"Living Together",(IF(ifood_data[[#This Row],[marital_Widow]]=1,"Widow","Other")))))))))</f>
        <v>Married</v>
      </c>
      <c r="AU1555" t="str">
        <f>IF(ifood_data[[#This Row],[education_Basic]]=1,"High School",(IF(ifood_data[[#This Row],[education_Graduation]]=1,"Undergraduate Degree",(IF(SUM(AM1555,AL1555,AI1555)&gt;0,"Master's Degree or Higher","Other")))))</f>
        <v>Undergraduate Degree</v>
      </c>
      <c r="AV1555" t="str">
        <f>IF(ifood_data[[#All],[Income]]&gt;75000,"75K+",(IF(ifood_data[[#All],[Income]]&gt;50000,"50K-75K",(IF(ifood_data[[#All],[Income]]&gt;35000,"35K-50K","&lt;35K")))))</f>
        <v>35K-50K</v>
      </c>
      <c r="AW1555" t="str">
        <f>IF(ifood_data[[#All],[Age]]&gt;60,"60+",(IF(ifood_data[[#All],[Age]]&gt;50,"50-60",(IF(ifood_data[[#All],[Age]]&gt;40,"40-50",(IF(ifood_data[[#All],[Age]]&gt;30,"30-40","&lt;30")))))))</f>
        <v>40-50</v>
      </c>
      <c r="AX1555">
        <f t="shared" si="96"/>
        <v>13</v>
      </c>
      <c r="AY1555">
        <f t="shared" si="97"/>
        <v>7</v>
      </c>
      <c r="AZ1555">
        <f t="shared" si="98"/>
        <v>1</v>
      </c>
      <c r="BA1555">
        <f t="shared" si="99"/>
        <v>1</v>
      </c>
      <c r="BB1555">
        <f>SUM(ifood_data[[#This Row],[Recency Score]:[Monetary Score]])</f>
        <v>9</v>
      </c>
      <c r="BC1555">
        <f>(_xlfn.PERCENTRANK.INC(ifood_data[[#All],[RFM]],ifood_data[[#This Row],[RFM]],1))*10</f>
        <v>1</v>
      </c>
      <c r="BD1555" t="str">
        <f>VLOOKUP(ifood_data[[#This Row],[RFM Score]],'RFM Analysis'!$A$3:$B$14,2,FALSE)</f>
        <v>At Risk</v>
      </c>
      <c r="BE1555">
        <f>'Regression Models'!$B$101+'Regression Models'!$B$102*ifood_data[[#This Row],[Income]]+'Regression Models'!$B$103*ifood_data[[#This Row],[Age]]+'Regression Models'!$B$104*ifood_data[[#This Row],[Family]]</f>
        <v>162.25883212055237</v>
      </c>
      <c r="BF1555" t="str">
        <f>IF(ifood_data[[#This Row],[AcceptedCmpOverall]]=1,"Campaign Respondent","Non-respondent")</f>
        <v>Non-respondent</v>
      </c>
    </row>
    <row r="1556" spans="1:58" x14ac:dyDescent="0.35">
      <c r="A1556">
        <v>1468</v>
      </c>
      <c r="B1556">
        <v>34968</v>
      </c>
      <c r="C1556">
        <v>1</v>
      </c>
      <c r="D1556">
        <v>0</v>
      </c>
      <c r="E1556">
        <v>11</v>
      </c>
      <c r="F1556">
        <v>158</v>
      </c>
      <c r="G1556">
        <v>6</v>
      </c>
      <c r="H1556">
        <v>45</v>
      </c>
      <c r="I1556">
        <v>8</v>
      </c>
      <c r="J1556">
        <v>2</v>
      </c>
      <c r="K1556">
        <v>2</v>
      </c>
      <c r="L1556">
        <v>7</v>
      </c>
      <c r="M1556">
        <v>3</v>
      </c>
      <c r="N1556">
        <v>2</v>
      </c>
      <c r="O1556">
        <v>5</v>
      </c>
      <c r="P1556">
        <v>7</v>
      </c>
      <c r="Q1556">
        <v>0</v>
      </c>
      <c r="R1556">
        <v>0</v>
      </c>
      <c r="S1556">
        <v>0</v>
      </c>
      <c r="T1556">
        <v>0</v>
      </c>
      <c r="U1556">
        <v>0</v>
      </c>
      <c r="V1556">
        <f>IF(SUM(ifood_data[[#This Row],[AcceptedCmp1]:[AcceptedCmp5]])&gt;0,1,0)</f>
        <v>0</v>
      </c>
      <c r="W1556">
        <v>0</v>
      </c>
      <c r="X1556">
        <v>3</v>
      </c>
      <c r="Y1556">
        <v>11</v>
      </c>
      <c r="Z1556">
        <v>0</v>
      </c>
      <c r="AA1556">
        <v>40</v>
      </c>
      <c r="AB1556">
        <v>2604</v>
      </c>
      <c r="AC1556" s="28">
        <f>ifood_data[[#This Row],[Customer_Days]]/365</f>
        <v>7.1342465753424653</v>
      </c>
      <c r="AD1556">
        <v>0</v>
      </c>
      <c r="AE1556">
        <v>1</v>
      </c>
      <c r="AF1556">
        <v>0</v>
      </c>
      <c r="AG1556">
        <v>0</v>
      </c>
      <c r="AH1556">
        <v>0</v>
      </c>
      <c r="AI1556">
        <v>0</v>
      </c>
      <c r="AJ1556">
        <v>0</v>
      </c>
      <c r="AK1556">
        <v>1</v>
      </c>
      <c r="AL1556">
        <v>0</v>
      </c>
      <c r="AM1556">
        <v>0</v>
      </c>
      <c r="AN1556">
        <v>219</v>
      </c>
      <c r="AO1556">
        <v>217</v>
      </c>
      <c r="AP1556">
        <f>ifood_data[[#This Row],[MntTotal]]-ifood_data[[#This Row],[MntRegularProds]]</f>
        <v>2</v>
      </c>
      <c r="AQ1556">
        <v>0</v>
      </c>
      <c r="AR1556">
        <f>IF(SUM(ifood_data[[#This Row],[Kidhome]:[Teenhome]])&gt;0,1,0)</f>
        <v>1</v>
      </c>
      <c r="AS1556" t="str">
        <f>IF(SUM(ifood_data[[#This Row],[Kidhome]:[Teenhome]])&gt;0,"Has Family","No Family")</f>
        <v>Has Family</v>
      </c>
      <c r="AT1556" t="str">
        <f>IF(ifood_data[[#This Row],[marital_Married]]=1,"Married", (IF(ifood_data[[#This Row],[marital_Single]]=1,"Single",(IF(ifood_data[[#This Row],[marital_Divorced]]=1,"Divorced",(IF(ifood_data[[#This Row],[marital_Together]]=1,"Living Together",(IF(ifood_data[[#This Row],[marital_Widow]]=1,"Widow","Other")))))))))</f>
        <v>Married</v>
      </c>
      <c r="AU1556" t="str">
        <f>IF(ifood_data[[#This Row],[education_Basic]]=1,"High School",(IF(ifood_data[[#This Row],[education_Graduation]]=1,"Undergraduate Degree",(IF(SUM(AM1556,AL1556,AI1556)&gt;0,"Master's Degree or Higher","Other")))))</f>
        <v>Undergraduate Degree</v>
      </c>
      <c r="AV1556" t="str">
        <f>IF(ifood_data[[#All],[Income]]&gt;75000,"75K+",(IF(ifood_data[[#All],[Income]]&gt;50000,"50K-75K",(IF(ifood_data[[#All],[Income]]&gt;35000,"35K-50K","&lt;35K")))))</f>
        <v>&lt;35K</v>
      </c>
      <c r="AW1556" t="str">
        <f>IF(ifood_data[[#All],[Age]]&gt;60,"60+",(IF(ifood_data[[#All],[Age]]&gt;50,"50-60",(IF(ifood_data[[#All],[Age]]&gt;40,"40-50",(IF(ifood_data[[#All],[Age]]&gt;30,"30-40","&lt;30")))))))</f>
        <v>30-40</v>
      </c>
      <c r="AX1556">
        <f t="shared" si="96"/>
        <v>24</v>
      </c>
      <c r="AY1556">
        <f t="shared" si="97"/>
        <v>9</v>
      </c>
      <c r="AZ1556">
        <f t="shared" si="98"/>
        <v>6</v>
      </c>
      <c r="BA1556">
        <f t="shared" si="99"/>
        <v>4</v>
      </c>
      <c r="BB1556">
        <f>SUM(ifood_data[[#This Row],[Recency Score]:[Monetary Score]])</f>
        <v>19</v>
      </c>
      <c r="BC1556">
        <f>(_xlfn.PERCENTRANK.INC(ifood_data[[#All],[RFM]],ifood_data[[#This Row],[RFM]],1))*10</f>
        <v>7</v>
      </c>
      <c r="BD1556" t="str">
        <f>VLOOKUP(ifood_data[[#This Row],[RFM Score]],'RFM Analysis'!$A$3:$B$14,2,FALSE)</f>
        <v>Loyal Customer</v>
      </c>
      <c r="BE1556">
        <f>'Regression Models'!$B$101+'Regression Models'!$B$102*ifood_data[[#This Row],[Income]]+'Regression Models'!$B$103*ifood_data[[#This Row],[Age]]+'Regression Models'!$B$104*ifood_data[[#This Row],[Family]]</f>
        <v>162.06799395260373</v>
      </c>
      <c r="BF1556" t="str">
        <f>IF(ifood_data[[#This Row],[AcceptedCmpOverall]]=1,"Campaign Respondent","Non-respondent")</f>
        <v>Non-respondent</v>
      </c>
    </row>
    <row r="1557" spans="1:58" x14ac:dyDescent="0.35">
      <c r="A1557">
        <v>1139</v>
      </c>
      <c r="B1557">
        <v>36317</v>
      </c>
      <c r="C1557">
        <v>0</v>
      </c>
      <c r="D1557">
        <v>1</v>
      </c>
      <c r="E1557">
        <v>53</v>
      </c>
      <c r="F1557">
        <v>87</v>
      </c>
      <c r="G1557">
        <v>3</v>
      </c>
      <c r="H1557">
        <v>25</v>
      </c>
      <c r="I1557">
        <v>3</v>
      </c>
      <c r="J1557">
        <v>2</v>
      </c>
      <c r="K1557">
        <v>13</v>
      </c>
      <c r="L1557">
        <v>2</v>
      </c>
      <c r="M1557">
        <v>3</v>
      </c>
      <c r="N1557">
        <v>0</v>
      </c>
      <c r="O1557">
        <v>4</v>
      </c>
      <c r="P1557">
        <v>7</v>
      </c>
      <c r="Q1557">
        <v>0</v>
      </c>
      <c r="R1557">
        <v>0</v>
      </c>
      <c r="S1557">
        <v>0</v>
      </c>
      <c r="T1557">
        <v>0</v>
      </c>
      <c r="U1557">
        <v>0</v>
      </c>
      <c r="V1557">
        <f>IF(SUM(ifood_data[[#This Row],[AcceptedCmp1]:[AcceptedCmp5]])&gt;0,1,0)</f>
        <v>0</v>
      </c>
      <c r="W1557">
        <v>0</v>
      </c>
      <c r="X1557">
        <v>3</v>
      </c>
      <c r="Y1557">
        <v>11</v>
      </c>
      <c r="Z1557">
        <v>0</v>
      </c>
      <c r="AA1557">
        <v>55</v>
      </c>
      <c r="AB1557">
        <v>2562</v>
      </c>
      <c r="AC1557" s="28">
        <f>ifood_data[[#This Row],[Customer_Days]]/365</f>
        <v>7.0191780821917806</v>
      </c>
      <c r="AD1557">
        <v>0</v>
      </c>
      <c r="AE1557">
        <v>0</v>
      </c>
      <c r="AF1557">
        <v>0</v>
      </c>
      <c r="AG1557">
        <v>1</v>
      </c>
      <c r="AH1557">
        <v>0</v>
      </c>
      <c r="AI1557">
        <v>0</v>
      </c>
      <c r="AJ1557">
        <v>0</v>
      </c>
      <c r="AK1557">
        <v>1</v>
      </c>
      <c r="AL1557">
        <v>0</v>
      </c>
      <c r="AM1557">
        <v>0</v>
      </c>
      <c r="AN1557">
        <v>120</v>
      </c>
      <c r="AO1557">
        <v>107</v>
      </c>
      <c r="AP1557">
        <f>ifood_data[[#This Row],[MntTotal]]-ifood_data[[#This Row],[MntRegularProds]]</f>
        <v>13</v>
      </c>
      <c r="AQ1557">
        <v>0</v>
      </c>
      <c r="AR1557">
        <f>IF(SUM(ifood_data[[#This Row],[Kidhome]:[Teenhome]])&gt;0,1,0)</f>
        <v>1</v>
      </c>
      <c r="AS1557" t="str">
        <f>IF(SUM(ifood_data[[#This Row],[Kidhome]:[Teenhome]])&gt;0,"Has Family","No Family")</f>
        <v>Has Family</v>
      </c>
      <c r="AT1557" t="str">
        <f>IF(ifood_data[[#This Row],[marital_Married]]=1,"Married", (IF(ifood_data[[#This Row],[marital_Single]]=1,"Single",(IF(ifood_data[[#This Row],[marital_Divorced]]=1,"Divorced",(IF(ifood_data[[#This Row],[marital_Together]]=1,"Living Together",(IF(ifood_data[[#This Row],[marital_Widow]]=1,"Widow","Other")))))))))</f>
        <v>Living Together</v>
      </c>
      <c r="AU1557" t="str">
        <f>IF(ifood_data[[#This Row],[education_Basic]]=1,"High School",(IF(ifood_data[[#This Row],[education_Graduation]]=1,"Undergraduate Degree",(IF(SUM(AM1557,AL1557,AI1557)&gt;0,"Master's Degree or Higher","Other")))))</f>
        <v>Undergraduate Degree</v>
      </c>
      <c r="AV1557" t="str">
        <f>IF(ifood_data[[#All],[Income]]&gt;75000,"75K+",(IF(ifood_data[[#All],[Income]]&gt;50000,"50K-75K",(IF(ifood_data[[#All],[Income]]&gt;35000,"35K-50K","&lt;35K")))))</f>
        <v>35K-50K</v>
      </c>
      <c r="AW1557" t="str">
        <f>IF(ifood_data[[#All],[Age]]&gt;60,"60+",(IF(ifood_data[[#All],[Age]]&gt;50,"50-60",(IF(ifood_data[[#All],[Age]]&gt;40,"40-50",(IF(ifood_data[[#All],[Age]]&gt;30,"30-40","&lt;30")))))))</f>
        <v>50-60</v>
      </c>
      <c r="AX1557">
        <f t="shared" si="96"/>
        <v>16</v>
      </c>
      <c r="AY1557">
        <f t="shared" si="97"/>
        <v>5</v>
      </c>
      <c r="AZ1557">
        <f t="shared" si="98"/>
        <v>3</v>
      </c>
      <c r="BA1557">
        <f t="shared" si="99"/>
        <v>3</v>
      </c>
      <c r="BB1557">
        <f>SUM(ifood_data[[#This Row],[Recency Score]:[Monetary Score]])</f>
        <v>11</v>
      </c>
      <c r="BC1557">
        <f>(_xlfn.PERCENTRANK.INC(ifood_data[[#All],[RFM]],ifood_data[[#This Row],[RFM]],1))*10</f>
        <v>2</v>
      </c>
      <c r="BD1557" t="str">
        <f>VLOOKUP(ifood_data[[#This Row],[RFM Score]],'RFM Analysis'!$A$3:$B$14,2,FALSE)</f>
        <v>At Risk</v>
      </c>
      <c r="BE1557">
        <f>'Regression Models'!$B$101+'Regression Models'!$B$102*ifood_data[[#This Row],[Income]]+'Regression Models'!$B$103*ifood_data[[#This Row],[Age]]+'Regression Models'!$B$104*ifood_data[[#This Row],[Family]]</f>
        <v>162.02585599530926</v>
      </c>
      <c r="BF1557" t="str">
        <f>IF(ifood_data[[#This Row],[AcceptedCmpOverall]]=1,"Campaign Respondent","Non-respondent")</f>
        <v>Non-respondent</v>
      </c>
    </row>
    <row r="1558" spans="1:58" x14ac:dyDescent="0.35">
      <c r="A1558">
        <v>1511</v>
      </c>
      <c r="B1558">
        <v>35924</v>
      </c>
      <c r="C1558">
        <v>1</v>
      </c>
      <c r="D1558">
        <v>1</v>
      </c>
      <c r="E1558">
        <v>56</v>
      </c>
      <c r="F1558">
        <v>8</v>
      </c>
      <c r="G1558">
        <v>0</v>
      </c>
      <c r="H1558">
        <v>14</v>
      </c>
      <c r="I1558">
        <v>2</v>
      </c>
      <c r="J1558">
        <v>3</v>
      </c>
      <c r="K1558">
        <v>7</v>
      </c>
      <c r="L1558">
        <v>1</v>
      </c>
      <c r="M1558">
        <v>1</v>
      </c>
      <c r="N1558">
        <v>0</v>
      </c>
      <c r="O1558">
        <v>3</v>
      </c>
      <c r="P1558">
        <v>5</v>
      </c>
      <c r="Q1558">
        <v>0</v>
      </c>
      <c r="R1558">
        <v>0</v>
      </c>
      <c r="S1558">
        <v>0</v>
      </c>
      <c r="T1558">
        <v>0</v>
      </c>
      <c r="U1558">
        <v>0</v>
      </c>
      <c r="V1558">
        <f>IF(SUM(ifood_data[[#This Row],[AcceptedCmp1]:[AcceptedCmp5]])&gt;0,1,0)</f>
        <v>0</v>
      </c>
      <c r="W1558">
        <v>0</v>
      </c>
      <c r="X1558">
        <v>3</v>
      </c>
      <c r="Y1558">
        <v>11</v>
      </c>
      <c r="Z1558">
        <v>0</v>
      </c>
      <c r="AA1558">
        <v>51</v>
      </c>
      <c r="AB1558">
        <v>2257</v>
      </c>
      <c r="AC1558" s="28">
        <f>ifood_data[[#This Row],[Customer_Days]]/365</f>
        <v>6.183561643835616</v>
      </c>
      <c r="AD1558">
        <v>0</v>
      </c>
      <c r="AE1558">
        <v>0</v>
      </c>
      <c r="AF1558">
        <v>0</v>
      </c>
      <c r="AG1558">
        <v>1</v>
      </c>
      <c r="AH1558">
        <v>0</v>
      </c>
      <c r="AI1558">
        <v>0</v>
      </c>
      <c r="AJ1558">
        <v>0</v>
      </c>
      <c r="AK1558">
        <v>0</v>
      </c>
      <c r="AL1558">
        <v>1</v>
      </c>
      <c r="AM1558">
        <v>0</v>
      </c>
      <c r="AN1558">
        <v>27</v>
      </c>
      <c r="AO1558">
        <v>20</v>
      </c>
      <c r="AP1558">
        <f>ifood_data[[#This Row],[MntTotal]]-ifood_data[[#This Row],[MntRegularProds]]</f>
        <v>7</v>
      </c>
      <c r="AQ1558">
        <v>0</v>
      </c>
      <c r="AR1558">
        <f>IF(SUM(ifood_data[[#This Row],[Kidhome]:[Teenhome]])&gt;0,1,0)</f>
        <v>1</v>
      </c>
      <c r="AS1558" t="str">
        <f>IF(SUM(ifood_data[[#This Row],[Kidhome]:[Teenhome]])&gt;0,"Has Family","No Family")</f>
        <v>Has Family</v>
      </c>
      <c r="AT1558" t="str">
        <f>IF(ifood_data[[#This Row],[marital_Married]]=1,"Married", (IF(ifood_data[[#This Row],[marital_Single]]=1,"Single",(IF(ifood_data[[#This Row],[marital_Divorced]]=1,"Divorced",(IF(ifood_data[[#This Row],[marital_Together]]=1,"Living Together",(IF(ifood_data[[#This Row],[marital_Widow]]=1,"Widow","Other")))))))))</f>
        <v>Living Together</v>
      </c>
      <c r="AU1558" t="str">
        <f>IF(ifood_data[[#This Row],[education_Basic]]=1,"High School",(IF(ifood_data[[#This Row],[education_Graduation]]=1,"Undergraduate Degree",(IF(SUM(AM1558,AL1558,AI1558)&gt;0,"Master's Degree or Higher","Other")))))</f>
        <v>Master's Degree or Higher</v>
      </c>
      <c r="AV1558" t="str">
        <f>IF(ifood_data[[#All],[Income]]&gt;75000,"75K+",(IF(ifood_data[[#All],[Income]]&gt;50000,"50K-75K",(IF(ifood_data[[#All],[Income]]&gt;35000,"35K-50K","&lt;35K")))))</f>
        <v>35K-50K</v>
      </c>
      <c r="AW1558" t="str">
        <f>IF(ifood_data[[#All],[Age]]&gt;60,"60+",(IF(ifood_data[[#All],[Age]]&gt;50,"50-60",(IF(ifood_data[[#All],[Age]]&gt;40,"40-50",(IF(ifood_data[[#All],[Age]]&gt;30,"30-40","&lt;30")))))))</f>
        <v>50-60</v>
      </c>
      <c r="AX1558">
        <f t="shared" si="96"/>
        <v>10</v>
      </c>
      <c r="AY1558">
        <f t="shared" si="97"/>
        <v>5</v>
      </c>
      <c r="AZ1558">
        <f t="shared" si="98"/>
        <v>0</v>
      </c>
      <c r="BA1558">
        <f t="shared" si="99"/>
        <v>0</v>
      </c>
      <c r="BB1558">
        <f>SUM(ifood_data[[#This Row],[Recency Score]:[Monetary Score]])</f>
        <v>5</v>
      </c>
      <c r="BC1558">
        <f>(_xlfn.PERCENTRANK.INC(ifood_data[[#All],[RFM]],ifood_data[[#This Row],[RFM]],1))*10</f>
        <v>0</v>
      </c>
      <c r="BD1558" t="str">
        <f>VLOOKUP(ifood_data[[#This Row],[RFM Score]],'RFM Analysis'!$A$3:$B$14,2,FALSE)</f>
        <v>Lost</v>
      </c>
      <c r="BE1558">
        <f>'Regression Models'!$B$101+'Regression Models'!$B$102*ifood_data[[#This Row],[Income]]+'Regression Models'!$B$103*ifood_data[[#This Row],[Age]]+'Regression Models'!$B$104*ifood_data[[#This Row],[Family]]</f>
        <v>161.35882643033415</v>
      </c>
      <c r="BF1558" t="str">
        <f>IF(ifood_data[[#This Row],[AcceptedCmpOverall]]=1,"Campaign Respondent","Non-respondent")</f>
        <v>Non-respondent</v>
      </c>
    </row>
    <row r="1559" spans="1:58" x14ac:dyDescent="0.35">
      <c r="A1559">
        <v>865</v>
      </c>
      <c r="B1559">
        <v>35641</v>
      </c>
      <c r="C1559">
        <v>1</v>
      </c>
      <c r="D1559">
        <v>0</v>
      </c>
      <c r="E1559">
        <v>11</v>
      </c>
      <c r="F1559">
        <v>63</v>
      </c>
      <c r="G1559">
        <v>3</v>
      </c>
      <c r="H1559">
        <v>67</v>
      </c>
      <c r="I1559">
        <v>8</v>
      </c>
      <c r="J1559">
        <v>9</v>
      </c>
      <c r="K1559">
        <v>28</v>
      </c>
      <c r="L1559">
        <v>2</v>
      </c>
      <c r="M1559">
        <v>3</v>
      </c>
      <c r="N1559">
        <v>1</v>
      </c>
      <c r="O1559">
        <v>4</v>
      </c>
      <c r="P1559">
        <v>7</v>
      </c>
      <c r="Q1559">
        <v>0</v>
      </c>
      <c r="R1559">
        <v>0</v>
      </c>
      <c r="S1559">
        <v>0</v>
      </c>
      <c r="T1559">
        <v>0</v>
      </c>
      <c r="U1559">
        <v>0</v>
      </c>
      <c r="V1559">
        <f>IF(SUM(ifood_data[[#This Row],[AcceptedCmp1]:[AcceptedCmp5]])&gt;0,1,0)</f>
        <v>0</v>
      </c>
      <c r="W1559">
        <v>0</v>
      </c>
      <c r="X1559">
        <v>3</v>
      </c>
      <c r="Y1559">
        <v>11</v>
      </c>
      <c r="Z1559">
        <v>1</v>
      </c>
      <c r="AA1559">
        <v>48</v>
      </c>
      <c r="AB1559">
        <v>2509</v>
      </c>
      <c r="AC1559" s="28">
        <f>ifood_data[[#This Row],[Customer_Days]]/365</f>
        <v>6.8739726027397259</v>
      </c>
      <c r="AD1559">
        <v>0</v>
      </c>
      <c r="AE1559">
        <v>1</v>
      </c>
      <c r="AF1559">
        <v>0</v>
      </c>
      <c r="AG1559">
        <v>0</v>
      </c>
      <c r="AH1559">
        <v>0</v>
      </c>
      <c r="AI1559">
        <v>0</v>
      </c>
      <c r="AJ1559">
        <v>0</v>
      </c>
      <c r="AK1559">
        <v>0</v>
      </c>
      <c r="AL1559">
        <v>1</v>
      </c>
      <c r="AM1559">
        <v>0</v>
      </c>
      <c r="AN1559">
        <v>150</v>
      </c>
      <c r="AO1559">
        <v>122</v>
      </c>
      <c r="AP1559">
        <f>ifood_data[[#This Row],[MntTotal]]-ifood_data[[#This Row],[MntRegularProds]]</f>
        <v>28</v>
      </c>
      <c r="AQ1559">
        <v>0</v>
      </c>
      <c r="AR1559">
        <f>IF(SUM(ifood_data[[#This Row],[Kidhome]:[Teenhome]])&gt;0,1,0)</f>
        <v>1</v>
      </c>
      <c r="AS1559" t="str">
        <f>IF(SUM(ifood_data[[#This Row],[Kidhome]:[Teenhome]])&gt;0,"Has Family","No Family")</f>
        <v>Has Family</v>
      </c>
      <c r="AT1559" t="str">
        <f>IF(ifood_data[[#This Row],[marital_Married]]=1,"Married", (IF(ifood_data[[#This Row],[marital_Single]]=1,"Single",(IF(ifood_data[[#This Row],[marital_Divorced]]=1,"Divorced",(IF(ifood_data[[#This Row],[marital_Together]]=1,"Living Together",(IF(ifood_data[[#This Row],[marital_Widow]]=1,"Widow","Other")))))))))</f>
        <v>Married</v>
      </c>
      <c r="AU1559" t="str">
        <f>IF(ifood_data[[#This Row],[education_Basic]]=1,"High School",(IF(ifood_data[[#This Row],[education_Graduation]]=1,"Undergraduate Degree",(IF(SUM(AM1559,AL1559,AI1559)&gt;0,"Master's Degree or Higher","Other")))))</f>
        <v>Master's Degree or Higher</v>
      </c>
      <c r="AV1559" t="str">
        <f>IF(ifood_data[[#All],[Income]]&gt;75000,"75K+",(IF(ifood_data[[#All],[Income]]&gt;50000,"50K-75K",(IF(ifood_data[[#All],[Income]]&gt;35000,"35K-50K","&lt;35K")))))</f>
        <v>35K-50K</v>
      </c>
      <c r="AW1559" t="str">
        <f>IF(ifood_data[[#All],[Age]]&gt;60,"60+",(IF(ifood_data[[#All],[Age]]&gt;50,"50-60",(IF(ifood_data[[#All],[Age]]&gt;40,"40-50",(IF(ifood_data[[#All],[Age]]&gt;30,"30-40","&lt;30")))))))</f>
        <v>40-50</v>
      </c>
      <c r="AX1559">
        <f t="shared" si="96"/>
        <v>17</v>
      </c>
      <c r="AY1559">
        <f t="shared" si="97"/>
        <v>9</v>
      </c>
      <c r="AZ1559">
        <f t="shared" si="98"/>
        <v>3</v>
      </c>
      <c r="BA1559">
        <f t="shared" si="99"/>
        <v>3</v>
      </c>
      <c r="BB1559">
        <f>SUM(ifood_data[[#This Row],[Recency Score]:[Monetary Score]])</f>
        <v>15</v>
      </c>
      <c r="BC1559">
        <f>(_xlfn.PERCENTRANK.INC(ifood_data[[#All],[RFM]],ifood_data[[#This Row],[RFM]],1))*10</f>
        <v>4</v>
      </c>
      <c r="BD1559" t="str">
        <f>VLOOKUP(ifood_data[[#This Row],[RFM Score]],'RFM Analysis'!$A$3:$B$14,2,FALSE)</f>
        <v>At Risk</v>
      </c>
      <c r="BE1559">
        <f>'Regression Models'!$B$101+'Regression Models'!$B$102*ifood_data[[#This Row],[Income]]+'Regression Models'!$B$103*ifood_data[[#This Row],[Age]]+'Regression Models'!$B$104*ifood_data[[#This Row],[Family]]</f>
        <v>161.0981222822935</v>
      </c>
      <c r="BF1559" t="str">
        <f>IF(ifood_data[[#This Row],[AcceptedCmpOverall]]=1,"Campaign Respondent","Non-respondent")</f>
        <v>Non-respondent</v>
      </c>
    </row>
    <row r="1560" spans="1:58" x14ac:dyDescent="0.35">
      <c r="A1560">
        <v>1405</v>
      </c>
      <c r="B1560">
        <v>20981</v>
      </c>
      <c r="C1560">
        <v>0</v>
      </c>
      <c r="D1560">
        <v>0</v>
      </c>
      <c r="E1560">
        <v>14</v>
      </c>
      <c r="F1560">
        <v>2</v>
      </c>
      <c r="G1560">
        <v>12</v>
      </c>
      <c r="H1560">
        <v>10</v>
      </c>
      <c r="I1560">
        <v>6</v>
      </c>
      <c r="J1560">
        <v>13</v>
      </c>
      <c r="K1560">
        <v>30</v>
      </c>
      <c r="L1560">
        <v>1</v>
      </c>
      <c r="M1560">
        <v>3</v>
      </c>
      <c r="N1560">
        <v>1</v>
      </c>
      <c r="O1560">
        <v>2</v>
      </c>
      <c r="P1560">
        <v>8</v>
      </c>
      <c r="Q1560">
        <v>0</v>
      </c>
      <c r="R1560">
        <v>0</v>
      </c>
      <c r="S1560">
        <v>0</v>
      </c>
      <c r="T1560">
        <v>0</v>
      </c>
      <c r="U1560">
        <v>0</v>
      </c>
      <c r="V1560">
        <f>IF(SUM(ifood_data[[#This Row],[AcceptedCmp1]:[AcceptedCmp5]])&gt;0,1,0)</f>
        <v>0</v>
      </c>
      <c r="W1560">
        <v>0</v>
      </c>
      <c r="X1560">
        <v>3</v>
      </c>
      <c r="Y1560">
        <v>11</v>
      </c>
      <c r="Z1560">
        <v>1</v>
      </c>
      <c r="AA1560">
        <v>43</v>
      </c>
      <c r="AB1560">
        <v>2584</v>
      </c>
      <c r="AC1560" s="28">
        <f>ifood_data[[#This Row],[Customer_Days]]/365</f>
        <v>7.0794520547945208</v>
      </c>
      <c r="AD1560">
        <v>0</v>
      </c>
      <c r="AE1560">
        <v>0</v>
      </c>
      <c r="AF1560">
        <v>0</v>
      </c>
      <c r="AG1560">
        <v>1</v>
      </c>
      <c r="AH1560">
        <v>0</v>
      </c>
      <c r="AI1560">
        <v>1</v>
      </c>
      <c r="AJ1560">
        <v>0</v>
      </c>
      <c r="AK1560">
        <v>0</v>
      </c>
      <c r="AL1560">
        <v>0</v>
      </c>
      <c r="AM1560">
        <v>0</v>
      </c>
      <c r="AN1560">
        <v>43</v>
      </c>
      <c r="AO1560">
        <v>13</v>
      </c>
      <c r="AP1560">
        <f>ifood_data[[#This Row],[MntTotal]]-ifood_data[[#This Row],[MntRegularProds]]</f>
        <v>30</v>
      </c>
      <c r="AQ1560">
        <v>0</v>
      </c>
      <c r="AR1560">
        <f>IF(SUM(ifood_data[[#This Row],[Kidhome]:[Teenhome]])&gt;0,1,0)</f>
        <v>0</v>
      </c>
      <c r="AS1560" t="str">
        <f>IF(SUM(ifood_data[[#This Row],[Kidhome]:[Teenhome]])&gt;0,"Has Family","No Family")</f>
        <v>No Family</v>
      </c>
      <c r="AT1560" t="str">
        <f>IF(ifood_data[[#This Row],[marital_Married]]=1,"Married", (IF(ifood_data[[#This Row],[marital_Single]]=1,"Single",(IF(ifood_data[[#This Row],[marital_Divorced]]=1,"Divorced",(IF(ifood_data[[#This Row],[marital_Together]]=1,"Living Together",(IF(ifood_data[[#This Row],[marital_Widow]]=1,"Widow","Other")))))))))</f>
        <v>Living Together</v>
      </c>
      <c r="AU1560" t="str">
        <f>IF(ifood_data[[#This Row],[education_Basic]]=1,"High School",(IF(ifood_data[[#This Row],[education_Graduation]]=1,"Undergraduate Degree",(IF(SUM(AM1560,AL1560,AI1560)&gt;0,"Master's Degree or Higher","Other")))))</f>
        <v>Master's Degree or Higher</v>
      </c>
      <c r="AV1560" t="str">
        <f>IF(ifood_data[[#All],[Income]]&gt;75000,"75K+",(IF(ifood_data[[#All],[Income]]&gt;50000,"50K-75K",(IF(ifood_data[[#All],[Income]]&gt;35000,"35K-50K","&lt;35K")))))</f>
        <v>&lt;35K</v>
      </c>
      <c r="AW1560" t="str">
        <f>IF(ifood_data[[#All],[Age]]&gt;60,"60+",(IF(ifood_data[[#All],[Age]]&gt;50,"50-60",(IF(ifood_data[[#All],[Age]]&gt;40,"40-50",(IF(ifood_data[[#All],[Age]]&gt;30,"30-40","&lt;30")))))))</f>
        <v>40-50</v>
      </c>
      <c r="AX1560">
        <f t="shared" si="96"/>
        <v>15</v>
      </c>
      <c r="AY1560">
        <f t="shared" si="97"/>
        <v>9</v>
      </c>
      <c r="AZ1560">
        <f t="shared" si="98"/>
        <v>2</v>
      </c>
      <c r="BA1560">
        <f t="shared" si="99"/>
        <v>1</v>
      </c>
      <c r="BB1560">
        <f>SUM(ifood_data[[#This Row],[Recency Score]:[Monetary Score]])</f>
        <v>12</v>
      </c>
      <c r="BC1560">
        <f>(_xlfn.PERCENTRANK.INC(ifood_data[[#All],[RFM]],ifood_data[[#This Row],[RFM]],1))*10</f>
        <v>3</v>
      </c>
      <c r="BD1560" t="str">
        <f>VLOOKUP(ifood_data[[#This Row],[RFM Score]],'RFM Analysis'!$A$3:$B$14,2,FALSE)</f>
        <v>At Risk</v>
      </c>
      <c r="BE1560">
        <f>'Regression Models'!$B$101+'Regression Models'!$B$102*ifood_data[[#This Row],[Income]]+'Regression Models'!$B$103*ifood_data[[#This Row],[Age]]+'Regression Models'!$B$104*ifood_data[[#This Row],[Family]]</f>
        <v>160.99460776022258</v>
      </c>
      <c r="BF1560" t="str">
        <f>IF(ifood_data[[#This Row],[AcceptedCmpOverall]]=1,"Campaign Respondent","Non-respondent")</f>
        <v>Non-respondent</v>
      </c>
    </row>
    <row r="1561" spans="1:58" x14ac:dyDescent="0.35">
      <c r="A1561">
        <v>142</v>
      </c>
      <c r="B1561">
        <v>34176</v>
      </c>
      <c r="C1561">
        <v>1</v>
      </c>
      <c r="D1561">
        <v>0</v>
      </c>
      <c r="E1561">
        <v>12</v>
      </c>
      <c r="F1561">
        <v>5</v>
      </c>
      <c r="G1561">
        <v>7</v>
      </c>
      <c r="H1561">
        <v>24</v>
      </c>
      <c r="I1561">
        <v>19</v>
      </c>
      <c r="J1561">
        <v>14</v>
      </c>
      <c r="K1561">
        <v>20</v>
      </c>
      <c r="L1561">
        <v>4</v>
      </c>
      <c r="M1561">
        <v>3</v>
      </c>
      <c r="N1561">
        <v>0</v>
      </c>
      <c r="O1561">
        <v>4</v>
      </c>
      <c r="P1561">
        <v>6</v>
      </c>
      <c r="Q1561">
        <v>0</v>
      </c>
      <c r="R1561">
        <v>0</v>
      </c>
      <c r="S1561">
        <v>0</v>
      </c>
      <c r="T1561">
        <v>0</v>
      </c>
      <c r="U1561">
        <v>0</v>
      </c>
      <c r="V1561">
        <f>IF(SUM(ifood_data[[#This Row],[AcceptedCmp1]:[AcceptedCmp5]])&gt;0,1,0)</f>
        <v>0</v>
      </c>
      <c r="W1561">
        <v>0</v>
      </c>
      <c r="X1561">
        <v>3</v>
      </c>
      <c r="Y1561">
        <v>11</v>
      </c>
      <c r="Z1561">
        <v>0</v>
      </c>
      <c r="AA1561">
        <v>32</v>
      </c>
      <c r="AB1561">
        <v>2207</v>
      </c>
      <c r="AC1561" s="28">
        <f>ifood_data[[#This Row],[Customer_Days]]/365</f>
        <v>6.0465753424657533</v>
      </c>
      <c r="AD1561">
        <v>0</v>
      </c>
      <c r="AE1561">
        <v>0</v>
      </c>
      <c r="AF1561">
        <v>1</v>
      </c>
      <c r="AG1561">
        <v>0</v>
      </c>
      <c r="AH1561">
        <v>0</v>
      </c>
      <c r="AI1561">
        <v>0</v>
      </c>
      <c r="AJ1561">
        <v>0</v>
      </c>
      <c r="AK1561">
        <v>1</v>
      </c>
      <c r="AL1561">
        <v>0</v>
      </c>
      <c r="AM1561">
        <v>0</v>
      </c>
      <c r="AN1561">
        <v>69</v>
      </c>
      <c r="AO1561">
        <v>49</v>
      </c>
      <c r="AP1561">
        <f>ifood_data[[#This Row],[MntTotal]]-ifood_data[[#This Row],[MntRegularProds]]</f>
        <v>20</v>
      </c>
      <c r="AQ1561">
        <v>0</v>
      </c>
      <c r="AR1561">
        <f>IF(SUM(ifood_data[[#This Row],[Kidhome]:[Teenhome]])&gt;0,1,0)</f>
        <v>1</v>
      </c>
      <c r="AS1561" t="str">
        <f>IF(SUM(ifood_data[[#This Row],[Kidhome]:[Teenhome]])&gt;0,"Has Family","No Family")</f>
        <v>Has Family</v>
      </c>
      <c r="AT1561" t="str">
        <f>IF(ifood_data[[#This Row],[marital_Married]]=1,"Married", (IF(ifood_data[[#This Row],[marital_Single]]=1,"Single",(IF(ifood_data[[#This Row],[marital_Divorced]]=1,"Divorced",(IF(ifood_data[[#This Row],[marital_Together]]=1,"Living Together",(IF(ifood_data[[#This Row],[marital_Widow]]=1,"Widow","Other")))))))))</f>
        <v>Single</v>
      </c>
      <c r="AU1561" t="str">
        <f>IF(ifood_data[[#This Row],[education_Basic]]=1,"High School",(IF(ifood_data[[#This Row],[education_Graduation]]=1,"Undergraduate Degree",(IF(SUM(AM1561,AL1561,AI1561)&gt;0,"Master's Degree or Higher","Other")))))</f>
        <v>Undergraduate Degree</v>
      </c>
      <c r="AV1561" t="str">
        <f>IF(ifood_data[[#All],[Income]]&gt;75000,"75K+",(IF(ifood_data[[#All],[Income]]&gt;50000,"50K-75K",(IF(ifood_data[[#All],[Income]]&gt;35000,"35K-50K","&lt;35K")))))</f>
        <v>&lt;35K</v>
      </c>
      <c r="AW1561" t="str">
        <f>IF(ifood_data[[#All],[Age]]&gt;60,"60+",(IF(ifood_data[[#All],[Age]]&gt;50,"50-60",(IF(ifood_data[[#All],[Age]]&gt;40,"40-50",(IF(ifood_data[[#All],[Age]]&gt;30,"30-40","&lt;30")))))))</f>
        <v>30-40</v>
      </c>
      <c r="AX1561">
        <f t="shared" si="96"/>
        <v>17</v>
      </c>
      <c r="AY1561">
        <f t="shared" si="97"/>
        <v>9</v>
      </c>
      <c r="AZ1561">
        <f t="shared" si="98"/>
        <v>3</v>
      </c>
      <c r="BA1561">
        <f t="shared" si="99"/>
        <v>2</v>
      </c>
      <c r="BB1561">
        <f>SUM(ifood_data[[#This Row],[Recency Score]:[Monetary Score]])</f>
        <v>14</v>
      </c>
      <c r="BC1561">
        <f>(_xlfn.PERCENTRANK.INC(ifood_data[[#All],[RFM]],ifood_data[[#This Row],[RFM]],1))*10</f>
        <v>4</v>
      </c>
      <c r="BD1561" t="str">
        <f>VLOOKUP(ifood_data[[#This Row],[RFM Score]],'RFM Analysis'!$A$3:$B$14,2,FALSE)</f>
        <v>At Risk</v>
      </c>
      <c r="BE1561">
        <f>'Regression Models'!$B$101+'Regression Models'!$B$102*ifood_data[[#This Row],[Income]]+'Regression Models'!$B$103*ifood_data[[#This Row],[Age]]+'Regression Models'!$B$104*ifood_data[[#This Row],[Family]]</f>
        <v>160.61160221379015</v>
      </c>
      <c r="BF1561" t="str">
        <f>IF(ifood_data[[#This Row],[AcceptedCmpOverall]]=1,"Campaign Respondent","Non-respondent")</f>
        <v>Non-respondent</v>
      </c>
    </row>
    <row r="1562" spans="1:58" x14ac:dyDescent="0.35">
      <c r="A1562">
        <v>1698</v>
      </c>
      <c r="B1562">
        <v>21024</v>
      </c>
      <c r="C1562">
        <v>0</v>
      </c>
      <c r="D1562">
        <v>0</v>
      </c>
      <c r="E1562">
        <v>89</v>
      </c>
      <c r="F1562">
        <v>36</v>
      </c>
      <c r="G1562">
        <v>4</v>
      </c>
      <c r="H1562">
        <v>18</v>
      </c>
      <c r="I1562">
        <v>6</v>
      </c>
      <c r="J1562">
        <v>2</v>
      </c>
      <c r="K1562">
        <v>18</v>
      </c>
      <c r="L1562">
        <v>1</v>
      </c>
      <c r="M1562">
        <v>2</v>
      </c>
      <c r="N1562">
        <v>0</v>
      </c>
      <c r="O1562">
        <v>4</v>
      </c>
      <c r="P1562">
        <v>7</v>
      </c>
      <c r="Q1562">
        <v>0</v>
      </c>
      <c r="R1562">
        <v>0</v>
      </c>
      <c r="S1562">
        <v>0</v>
      </c>
      <c r="T1562">
        <v>0</v>
      </c>
      <c r="U1562">
        <v>0</v>
      </c>
      <c r="V1562">
        <f>IF(SUM(ifood_data[[#This Row],[AcceptedCmp1]:[AcceptedCmp5]])&gt;0,1,0)</f>
        <v>0</v>
      </c>
      <c r="W1562">
        <v>0</v>
      </c>
      <c r="X1562">
        <v>3</v>
      </c>
      <c r="Y1562">
        <v>11</v>
      </c>
      <c r="Z1562">
        <v>0</v>
      </c>
      <c r="AA1562">
        <v>44</v>
      </c>
      <c r="AB1562">
        <v>2519</v>
      </c>
      <c r="AC1562" s="28">
        <f>ifood_data[[#This Row],[Customer_Days]]/365</f>
        <v>6.9013698630136986</v>
      </c>
      <c r="AD1562">
        <v>0</v>
      </c>
      <c r="AE1562">
        <v>0</v>
      </c>
      <c r="AF1562">
        <v>0</v>
      </c>
      <c r="AG1562">
        <v>1</v>
      </c>
      <c r="AH1562">
        <v>0</v>
      </c>
      <c r="AI1562">
        <v>0</v>
      </c>
      <c r="AJ1562">
        <v>0</v>
      </c>
      <c r="AK1562">
        <v>0</v>
      </c>
      <c r="AL1562">
        <v>1</v>
      </c>
      <c r="AM1562">
        <v>0</v>
      </c>
      <c r="AN1562">
        <v>66</v>
      </c>
      <c r="AO1562">
        <v>48</v>
      </c>
      <c r="AP1562">
        <f>ifood_data[[#This Row],[MntTotal]]-ifood_data[[#This Row],[MntRegularProds]]</f>
        <v>18</v>
      </c>
      <c r="AQ1562">
        <v>0</v>
      </c>
      <c r="AR1562">
        <f>IF(SUM(ifood_data[[#This Row],[Kidhome]:[Teenhome]])&gt;0,1,0)</f>
        <v>0</v>
      </c>
      <c r="AS1562" t="str">
        <f>IF(SUM(ifood_data[[#This Row],[Kidhome]:[Teenhome]])&gt;0,"Has Family","No Family")</f>
        <v>No Family</v>
      </c>
      <c r="AT1562" t="str">
        <f>IF(ifood_data[[#This Row],[marital_Married]]=1,"Married", (IF(ifood_data[[#This Row],[marital_Single]]=1,"Single",(IF(ifood_data[[#This Row],[marital_Divorced]]=1,"Divorced",(IF(ifood_data[[#This Row],[marital_Together]]=1,"Living Together",(IF(ifood_data[[#This Row],[marital_Widow]]=1,"Widow","Other")))))))))</f>
        <v>Living Together</v>
      </c>
      <c r="AU1562" t="str">
        <f>IF(ifood_data[[#This Row],[education_Basic]]=1,"High School",(IF(ifood_data[[#This Row],[education_Graduation]]=1,"Undergraduate Degree",(IF(SUM(AM1562,AL1562,AI1562)&gt;0,"Master's Degree or Higher","Other")))))</f>
        <v>Master's Degree or Higher</v>
      </c>
      <c r="AV1562" t="str">
        <f>IF(ifood_data[[#All],[Income]]&gt;75000,"75K+",(IF(ifood_data[[#All],[Income]]&gt;50000,"50K-75K",(IF(ifood_data[[#All],[Income]]&gt;35000,"35K-50K","&lt;35K")))))</f>
        <v>&lt;35K</v>
      </c>
      <c r="AW1562" t="str">
        <f>IF(ifood_data[[#All],[Age]]&gt;60,"60+",(IF(ifood_data[[#All],[Age]]&gt;50,"50-60",(IF(ifood_data[[#All],[Age]]&gt;40,"40-50",(IF(ifood_data[[#All],[Age]]&gt;30,"30-40","&lt;30")))))))</f>
        <v>40-50</v>
      </c>
      <c r="AX1562">
        <f t="shared" si="96"/>
        <v>14</v>
      </c>
      <c r="AY1562">
        <f t="shared" si="97"/>
        <v>1.9999999999999996</v>
      </c>
      <c r="AZ1562">
        <f t="shared" si="98"/>
        <v>2</v>
      </c>
      <c r="BA1562">
        <f t="shared" si="99"/>
        <v>2</v>
      </c>
      <c r="BB1562">
        <f>SUM(ifood_data[[#This Row],[Recency Score]:[Monetary Score]])</f>
        <v>6</v>
      </c>
      <c r="BC1562">
        <f>(_xlfn.PERCENTRANK.INC(ifood_data[[#All],[RFM]],ifood_data[[#This Row],[RFM]],1))*10</f>
        <v>0</v>
      </c>
      <c r="BD1562" t="str">
        <f>VLOOKUP(ifood_data[[#This Row],[RFM Score]],'RFM Analysis'!$A$3:$B$14,2,FALSE)</f>
        <v>Lost</v>
      </c>
      <c r="BE1562">
        <f>'Regression Models'!$B$101+'Regression Models'!$B$102*ifood_data[[#This Row],[Income]]+'Regression Models'!$B$103*ifood_data[[#This Row],[Age]]+'Regression Models'!$B$104*ifood_data[[#This Row],[Family]]</f>
        <v>160.03488571151595</v>
      </c>
      <c r="BF1562" t="str">
        <f>IF(ifood_data[[#This Row],[AcceptedCmpOverall]]=1,"Campaign Respondent","Non-respondent")</f>
        <v>Non-respondent</v>
      </c>
    </row>
    <row r="1563" spans="1:58" x14ac:dyDescent="0.35">
      <c r="A1563">
        <v>215</v>
      </c>
      <c r="B1563">
        <v>34320</v>
      </c>
      <c r="C1563">
        <v>1</v>
      </c>
      <c r="D1563">
        <v>0</v>
      </c>
      <c r="E1563">
        <v>66</v>
      </c>
      <c r="F1563">
        <v>4</v>
      </c>
      <c r="G1563">
        <v>1</v>
      </c>
      <c r="H1563">
        <v>9</v>
      </c>
      <c r="I1563">
        <v>3</v>
      </c>
      <c r="J1563">
        <v>0</v>
      </c>
      <c r="K1563">
        <v>0</v>
      </c>
      <c r="L1563">
        <v>1</v>
      </c>
      <c r="M1563">
        <v>1</v>
      </c>
      <c r="N1563">
        <v>0</v>
      </c>
      <c r="O1563">
        <v>2</v>
      </c>
      <c r="P1563">
        <v>8</v>
      </c>
      <c r="Q1563">
        <v>0</v>
      </c>
      <c r="R1563">
        <v>0</v>
      </c>
      <c r="S1563">
        <v>0</v>
      </c>
      <c r="T1563">
        <v>0</v>
      </c>
      <c r="U1563">
        <v>0</v>
      </c>
      <c r="V1563">
        <f>IF(SUM(ifood_data[[#This Row],[AcceptedCmp1]:[AcceptedCmp5]])&gt;0,1,0)</f>
        <v>0</v>
      </c>
      <c r="W1563">
        <v>0</v>
      </c>
      <c r="X1563">
        <v>3</v>
      </c>
      <c r="Y1563">
        <v>11</v>
      </c>
      <c r="Z1563">
        <v>0</v>
      </c>
      <c r="AA1563">
        <v>34</v>
      </c>
      <c r="AB1563">
        <v>2292</v>
      </c>
      <c r="AC1563" s="28">
        <f>ifood_data[[#This Row],[Customer_Days]]/365</f>
        <v>6.279452054794521</v>
      </c>
      <c r="AD1563">
        <v>0</v>
      </c>
      <c r="AE1563">
        <v>0</v>
      </c>
      <c r="AF1563">
        <v>0</v>
      </c>
      <c r="AG1563">
        <v>1</v>
      </c>
      <c r="AH1563">
        <v>0</v>
      </c>
      <c r="AI1563">
        <v>0</v>
      </c>
      <c r="AJ1563">
        <v>0</v>
      </c>
      <c r="AK1563">
        <v>0</v>
      </c>
      <c r="AL1563">
        <v>0</v>
      </c>
      <c r="AM1563">
        <v>1</v>
      </c>
      <c r="AN1563">
        <v>17</v>
      </c>
      <c r="AO1563">
        <v>17</v>
      </c>
      <c r="AP1563">
        <f>ifood_data[[#This Row],[MntTotal]]-ifood_data[[#This Row],[MntRegularProds]]</f>
        <v>0</v>
      </c>
      <c r="AQ1563">
        <v>0</v>
      </c>
      <c r="AR1563">
        <f>IF(SUM(ifood_data[[#This Row],[Kidhome]:[Teenhome]])&gt;0,1,0)</f>
        <v>1</v>
      </c>
      <c r="AS1563" t="str">
        <f>IF(SUM(ifood_data[[#This Row],[Kidhome]:[Teenhome]])&gt;0,"Has Family","No Family")</f>
        <v>Has Family</v>
      </c>
      <c r="AT1563" t="str">
        <f>IF(ifood_data[[#This Row],[marital_Married]]=1,"Married", (IF(ifood_data[[#This Row],[marital_Single]]=1,"Single",(IF(ifood_data[[#This Row],[marital_Divorced]]=1,"Divorced",(IF(ifood_data[[#This Row],[marital_Together]]=1,"Living Together",(IF(ifood_data[[#This Row],[marital_Widow]]=1,"Widow","Other")))))))))</f>
        <v>Living Together</v>
      </c>
      <c r="AU1563" t="str">
        <f>IF(ifood_data[[#This Row],[education_Basic]]=1,"High School",(IF(ifood_data[[#This Row],[education_Graduation]]=1,"Undergraduate Degree",(IF(SUM(AM1563,AL1563,AI1563)&gt;0,"Master's Degree or Higher","Other")))))</f>
        <v>Master's Degree or Higher</v>
      </c>
      <c r="AV1563" t="str">
        <f>IF(ifood_data[[#All],[Income]]&gt;75000,"75K+",(IF(ifood_data[[#All],[Income]]&gt;50000,"50K-75K",(IF(ifood_data[[#All],[Income]]&gt;35000,"35K-50K","&lt;35K")))))</f>
        <v>&lt;35K</v>
      </c>
      <c r="AW1563" t="str">
        <f>IF(ifood_data[[#All],[Age]]&gt;60,"60+",(IF(ifood_data[[#All],[Age]]&gt;50,"50-60",(IF(ifood_data[[#All],[Age]]&gt;40,"40-50",(IF(ifood_data[[#All],[Age]]&gt;30,"30-40","&lt;30")))))))</f>
        <v>30-40</v>
      </c>
      <c r="AX1563">
        <f t="shared" si="96"/>
        <v>12</v>
      </c>
      <c r="AY1563">
        <f t="shared" si="97"/>
        <v>4</v>
      </c>
      <c r="AZ1563">
        <f t="shared" si="98"/>
        <v>1</v>
      </c>
      <c r="BA1563">
        <f t="shared" si="99"/>
        <v>0</v>
      </c>
      <c r="BB1563">
        <f>SUM(ifood_data[[#This Row],[Recency Score]:[Monetary Score]])</f>
        <v>5</v>
      </c>
      <c r="BC1563">
        <f>(_xlfn.PERCENTRANK.INC(ifood_data[[#All],[RFM]],ifood_data[[#This Row],[RFM]],1))*10</f>
        <v>0</v>
      </c>
      <c r="BD1563" t="str">
        <f>VLOOKUP(ifood_data[[#This Row],[RFM Score]],'RFM Analysis'!$A$3:$B$14,2,FALSE)</f>
        <v>Lost</v>
      </c>
      <c r="BE1563">
        <f>'Regression Models'!$B$101+'Regression Models'!$B$102*ifood_data[[#This Row],[Income]]+'Regression Models'!$B$103*ifood_data[[#This Row],[Age]]+'Regression Models'!$B$104*ifood_data[[#This Row],[Family]]</f>
        <v>159.87470666872304</v>
      </c>
      <c r="BF1563" t="str">
        <f>IF(ifood_data[[#This Row],[AcceptedCmpOverall]]=1,"Campaign Respondent","Non-respondent")</f>
        <v>Non-respondent</v>
      </c>
    </row>
    <row r="1564" spans="1:58" x14ac:dyDescent="0.35">
      <c r="A1564">
        <v>1535</v>
      </c>
      <c r="B1564">
        <v>36732</v>
      </c>
      <c r="C1564">
        <v>1</v>
      </c>
      <c r="D1564">
        <v>1</v>
      </c>
      <c r="E1564">
        <v>71</v>
      </c>
      <c r="F1564">
        <v>21</v>
      </c>
      <c r="G1564">
        <v>5</v>
      </c>
      <c r="H1564">
        <v>3</v>
      </c>
      <c r="I1564">
        <v>10</v>
      </c>
      <c r="J1564">
        <v>1</v>
      </c>
      <c r="K1564">
        <v>7</v>
      </c>
      <c r="L1564">
        <v>3</v>
      </c>
      <c r="M1564">
        <v>1</v>
      </c>
      <c r="N1564">
        <v>1</v>
      </c>
      <c r="O1564">
        <v>4</v>
      </c>
      <c r="P1564">
        <v>2</v>
      </c>
      <c r="Q1564">
        <v>0</v>
      </c>
      <c r="R1564">
        <v>0</v>
      </c>
      <c r="S1564">
        <v>0</v>
      </c>
      <c r="T1564">
        <v>0</v>
      </c>
      <c r="U1564">
        <v>0</v>
      </c>
      <c r="V1564">
        <f>IF(SUM(ifood_data[[#This Row],[AcceptedCmp1]:[AcceptedCmp5]])&gt;0,1,0)</f>
        <v>0</v>
      </c>
      <c r="W1564">
        <v>0</v>
      </c>
      <c r="X1564">
        <v>3</v>
      </c>
      <c r="Y1564">
        <v>11</v>
      </c>
      <c r="Z1564">
        <v>0</v>
      </c>
      <c r="AA1564">
        <v>61</v>
      </c>
      <c r="AB1564">
        <v>2341</v>
      </c>
      <c r="AC1564" s="28">
        <f>ifood_data[[#This Row],[Customer_Days]]/365</f>
        <v>6.4136986301369863</v>
      </c>
      <c r="AD1564">
        <v>0</v>
      </c>
      <c r="AE1564">
        <v>1</v>
      </c>
      <c r="AF1564">
        <v>0</v>
      </c>
      <c r="AG1564">
        <v>0</v>
      </c>
      <c r="AH1564">
        <v>0</v>
      </c>
      <c r="AI1564">
        <v>0</v>
      </c>
      <c r="AJ1564">
        <v>0</v>
      </c>
      <c r="AK1564">
        <v>0</v>
      </c>
      <c r="AL1564">
        <v>0</v>
      </c>
      <c r="AM1564">
        <v>1</v>
      </c>
      <c r="AN1564">
        <v>40</v>
      </c>
      <c r="AO1564">
        <v>33</v>
      </c>
      <c r="AP1564">
        <f>ifood_data[[#This Row],[MntTotal]]-ifood_data[[#This Row],[MntRegularProds]]</f>
        <v>7</v>
      </c>
      <c r="AQ1564">
        <v>0</v>
      </c>
      <c r="AR1564">
        <f>IF(SUM(ifood_data[[#This Row],[Kidhome]:[Teenhome]])&gt;0,1,0)</f>
        <v>1</v>
      </c>
      <c r="AS1564" t="str">
        <f>IF(SUM(ifood_data[[#This Row],[Kidhome]:[Teenhome]])&gt;0,"Has Family","No Family")</f>
        <v>Has Family</v>
      </c>
      <c r="AT1564" t="str">
        <f>IF(ifood_data[[#This Row],[marital_Married]]=1,"Married", (IF(ifood_data[[#This Row],[marital_Single]]=1,"Single",(IF(ifood_data[[#This Row],[marital_Divorced]]=1,"Divorced",(IF(ifood_data[[#This Row],[marital_Together]]=1,"Living Together",(IF(ifood_data[[#This Row],[marital_Widow]]=1,"Widow","Other")))))))))</f>
        <v>Married</v>
      </c>
      <c r="AU1564" t="str">
        <f>IF(ifood_data[[#This Row],[education_Basic]]=1,"High School",(IF(ifood_data[[#This Row],[education_Graduation]]=1,"Undergraduate Degree",(IF(SUM(AM1564,AL1564,AI1564)&gt;0,"Master's Degree or Higher","Other")))))</f>
        <v>Master's Degree or Higher</v>
      </c>
      <c r="AV1564" t="str">
        <f>IF(ifood_data[[#All],[Income]]&gt;75000,"75K+",(IF(ifood_data[[#All],[Income]]&gt;50000,"50K-75K",(IF(ifood_data[[#All],[Income]]&gt;35000,"35K-50K","&lt;35K")))))</f>
        <v>35K-50K</v>
      </c>
      <c r="AW1564" t="str">
        <f>IF(ifood_data[[#All],[Age]]&gt;60,"60+",(IF(ifood_data[[#All],[Age]]&gt;50,"50-60",(IF(ifood_data[[#All],[Age]]&gt;40,"40-50",(IF(ifood_data[[#All],[Age]]&gt;30,"30-40","&lt;30")))))))</f>
        <v>60+</v>
      </c>
      <c r="AX1564">
        <f t="shared" si="96"/>
        <v>11</v>
      </c>
      <c r="AY1564">
        <f t="shared" si="97"/>
        <v>3.0000000000000004</v>
      </c>
      <c r="AZ1564">
        <f t="shared" si="98"/>
        <v>0</v>
      </c>
      <c r="BA1564">
        <f t="shared" si="99"/>
        <v>1</v>
      </c>
      <c r="BB1564">
        <f>SUM(ifood_data[[#This Row],[Recency Score]:[Monetary Score]])</f>
        <v>4</v>
      </c>
      <c r="BC1564">
        <f>(_xlfn.PERCENTRANK.INC(ifood_data[[#All],[RFM]],ifood_data[[#This Row],[RFM]],1))*10</f>
        <v>0</v>
      </c>
      <c r="BD1564" t="str">
        <f>VLOOKUP(ifood_data[[#This Row],[RFM Score]],'RFM Analysis'!$A$3:$B$14,2,FALSE)</f>
        <v>Lost</v>
      </c>
      <c r="BE1564">
        <f>'Regression Models'!$B$101+'Regression Models'!$B$102*ifood_data[[#This Row],[Income]]+'Regression Models'!$B$103*ifood_data[[#This Row],[Age]]+'Regression Models'!$B$104*ifood_data[[#This Row],[Family]]</f>
        <v>159.46856030166168</v>
      </c>
      <c r="BF1564" t="str">
        <f>IF(ifood_data[[#This Row],[AcceptedCmpOverall]]=1,"Campaign Respondent","Non-respondent")</f>
        <v>Non-respondent</v>
      </c>
    </row>
    <row r="1565" spans="1:58" x14ac:dyDescent="0.35">
      <c r="A1565">
        <v>1996</v>
      </c>
      <c r="B1565">
        <v>35893</v>
      </c>
      <c r="C1565">
        <v>1</v>
      </c>
      <c r="D1565">
        <v>1</v>
      </c>
      <c r="E1565">
        <v>80</v>
      </c>
      <c r="F1565">
        <v>158</v>
      </c>
      <c r="G1565">
        <v>0</v>
      </c>
      <c r="H1565">
        <v>23</v>
      </c>
      <c r="I1565">
        <v>0</v>
      </c>
      <c r="J1565">
        <v>0</v>
      </c>
      <c r="K1565">
        <v>18</v>
      </c>
      <c r="L1565">
        <v>6</v>
      </c>
      <c r="M1565">
        <v>3</v>
      </c>
      <c r="N1565">
        <v>1</v>
      </c>
      <c r="O1565">
        <v>5</v>
      </c>
      <c r="P1565">
        <v>8</v>
      </c>
      <c r="Q1565">
        <v>0</v>
      </c>
      <c r="R1565">
        <v>0</v>
      </c>
      <c r="S1565">
        <v>0</v>
      </c>
      <c r="T1565">
        <v>0</v>
      </c>
      <c r="U1565">
        <v>0</v>
      </c>
      <c r="V1565">
        <f>IF(SUM(ifood_data[[#This Row],[AcceptedCmp1]:[AcceptedCmp5]])&gt;0,1,0)</f>
        <v>0</v>
      </c>
      <c r="W1565">
        <v>0</v>
      </c>
      <c r="X1565">
        <v>3</v>
      </c>
      <c r="Y1565">
        <v>11</v>
      </c>
      <c r="Z1565">
        <v>0</v>
      </c>
      <c r="AA1565">
        <v>52</v>
      </c>
      <c r="AB1565">
        <v>2781</v>
      </c>
      <c r="AC1565" s="28">
        <f>ifood_data[[#This Row],[Customer_Days]]/365</f>
        <v>7.6191780821917812</v>
      </c>
      <c r="AD1565">
        <v>0</v>
      </c>
      <c r="AE1565">
        <v>0</v>
      </c>
      <c r="AF1565">
        <v>1</v>
      </c>
      <c r="AG1565">
        <v>0</v>
      </c>
      <c r="AH1565">
        <v>0</v>
      </c>
      <c r="AI1565">
        <v>0</v>
      </c>
      <c r="AJ1565">
        <v>0</v>
      </c>
      <c r="AK1565">
        <v>1</v>
      </c>
      <c r="AL1565">
        <v>0</v>
      </c>
      <c r="AM1565">
        <v>0</v>
      </c>
      <c r="AN1565">
        <v>181</v>
      </c>
      <c r="AO1565">
        <v>163</v>
      </c>
      <c r="AP1565">
        <f>ifood_data[[#This Row],[MntTotal]]-ifood_data[[#This Row],[MntRegularProds]]</f>
        <v>18</v>
      </c>
      <c r="AQ1565">
        <v>0</v>
      </c>
      <c r="AR1565">
        <f>IF(SUM(ifood_data[[#This Row],[Kidhome]:[Teenhome]])&gt;0,1,0)</f>
        <v>1</v>
      </c>
      <c r="AS1565" t="str">
        <f>IF(SUM(ifood_data[[#This Row],[Kidhome]:[Teenhome]])&gt;0,"Has Family","No Family")</f>
        <v>Has Family</v>
      </c>
      <c r="AT1565" t="str">
        <f>IF(ifood_data[[#This Row],[marital_Married]]=1,"Married", (IF(ifood_data[[#This Row],[marital_Single]]=1,"Single",(IF(ifood_data[[#This Row],[marital_Divorced]]=1,"Divorced",(IF(ifood_data[[#This Row],[marital_Together]]=1,"Living Together",(IF(ifood_data[[#This Row],[marital_Widow]]=1,"Widow","Other")))))))))</f>
        <v>Single</v>
      </c>
      <c r="AU1565" t="str">
        <f>IF(ifood_data[[#This Row],[education_Basic]]=1,"High School",(IF(ifood_data[[#This Row],[education_Graduation]]=1,"Undergraduate Degree",(IF(SUM(AM1565,AL1565,AI1565)&gt;0,"Master's Degree or Higher","Other")))))</f>
        <v>Undergraduate Degree</v>
      </c>
      <c r="AV1565" t="str">
        <f>IF(ifood_data[[#All],[Income]]&gt;75000,"75K+",(IF(ifood_data[[#All],[Income]]&gt;50000,"50K-75K",(IF(ifood_data[[#All],[Income]]&gt;35000,"35K-50K","&lt;35K")))))</f>
        <v>35K-50K</v>
      </c>
      <c r="AW1565" t="str">
        <f>IF(ifood_data[[#All],[Age]]&gt;60,"60+",(IF(ifood_data[[#All],[Age]]&gt;50,"50-60",(IF(ifood_data[[#All],[Age]]&gt;40,"40-50",(IF(ifood_data[[#All],[Age]]&gt;30,"30-40","&lt;30")))))))</f>
        <v>50-60</v>
      </c>
      <c r="AX1565">
        <f t="shared" si="96"/>
        <v>23</v>
      </c>
      <c r="AY1565">
        <f t="shared" si="97"/>
        <v>1.9999999999999996</v>
      </c>
      <c r="AZ1565">
        <f t="shared" si="98"/>
        <v>6</v>
      </c>
      <c r="BA1565">
        <f t="shared" si="99"/>
        <v>3</v>
      </c>
      <c r="BB1565">
        <f>SUM(ifood_data[[#This Row],[Recency Score]:[Monetary Score]])</f>
        <v>11</v>
      </c>
      <c r="BC1565">
        <f>(_xlfn.PERCENTRANK.INC(ifood_data[[#All],[RFM]],ifood_data[[#This Row],[RFM]],1))*10</f>
        <v>2</v>
      </c>
      <c r="BD1565" t="str">
        <f>VLOOKUP(ifood_data[[#This Row],[RFM Score]],'RFM Analysis'!$A$3:$B$14,2,FALSE)</f>
        <v>At Risk</v>
      </c>
      <c r="BE1565">
        <f>'Regression Models'!$B$101+'Regression Models'!$B$102*ifood_data[[#This Row],[Income]]+'Regression Models'!$B$103*ifood_data[[#This Row],[Age]]+'Regression Models'!$B$104*ifood_data[[#This Row],[Family]]</f>
        <v>158.890335538979</v>
      </c>
      <c r="BF1565" t="str">
        <f>IF(ifood_data[[#This Row],[AcceptedCmpOverall]]=1,"Campaign Respondent","Non-respondent")</f>
        <v>Non-respondent</v>
      </c>
    </row>
    <row r="1566" spans="1:58" x14ac:dyDescent="0.35">
      <c r="A1566">
        <v>1311</v>
      </c>
      <c r="B1566">
        <v>36864</v>
      </c>
      <c r="C1566">
        <v>0</v>
      </c>
      <c r="D1566">
        <v>1</v>
      </c>
      <c r="E1566">
        <v>53</v>
      </c>
      <c r="F1566">
        <v>204</v>
      </c>
      <c r="G1566">
        <v>5</v>
      </c>
      <c r="H1566">
        <v>39</v>
      </c>
      <c r="I1566">
        <v>17</v>
      </c>
      <c r="J1566">
        <v>0</v>
      </c>
      <c r="K1566">
        <v>89</v>
      </c>
      <c r="L1566">
        <v>3</v>
      </c>
      <c r="M1566">
        <v>5</v>
      </c>
      <c r="N1566">
        <v>2</v>
      </c>
      <c r="O1566">
        <v>4</v>
      </c>
      <c r="P1566">
        <v>8</v>
      </c>
      <c r="Q1566">
        <v>0</v>
      </c>
      <c r="R1566">
        <v>0</v>
      </c>
      <c r="S1566">
        <v>0</v>
      </c>
      <c r="T1566">
        <v>0</v>
      </c>
      <c r="U1566">
        <v>0</v>
      </c>
      <c r="V1566">
        <f>IF(SUM(ifood_data[[#This Row],[AcceptedCmp1]:[AcceptedCmp5]])&gt;0,1,0)</f>
        <v>0</v>
      </c>
      <c r="W1566">
        <v>0</v>
      </c>
      <c r="X1566">
        <v>3</v>
      </c>
      <c r="Y1566">
        <v>11</v>
      </c>
      <c r="Z1566">
        <v>1</v>
      </c>
      <c r="AA1566">
        <v>63</v>
      </c>
      <c r="AB1566">
        <v>2844</v>
      </c>
      <c r="AC1566" s="28">
        <f>ifood_data[[#This Row],[Customer_Days]]/365</f>
        <v>7.7917808219178086</v>
      </c>
      <c r="AD1566">
        <v>0</v>
      </c>
      <c r="AE1566">
        <v>0</v>
      </c>
      <c r="AF1566">
        <v>1</v>
      </c>
      <c r="AG1566">
        <v>0</v>
      </c>
      <c r="AH1566">
        <v>0</v>
      </c>
      <c r="AI1566">
        <v>0</v>
      </c>
      <c r="AJ1566">
        <v>0</v>
      </c>
      <c r="AK1566">
        <v>1</v>
      </c>
      <c r="AL1566">
        <v>0</v>
      </c>
      <c r="AM1566">
        <v>0</v>
      </c>
      <c r="AN1566">
        <v>265</v>
      </c>
      <c r="AO1566">
        <v>176</v>
      </c>
      <c r="AP1566">
        <f>ifood_data[[#This Row],[MntTotal]]-ifood_data[[#This Row],[MntRegularProds]]</f>
        <v>89</v>
      </c>
      <c r="AQ1566">
        <v>0</v>
      </c>
      <c r="AR1566">
        <f>IF(SUM(ifood_data[[#This Row],[Kidhome]:[Teenhome]])&gt;0,1,0)</f>
        <v>1</v>
      </c>
      <c r="AS1566" t="str">
        <f>IF(SUM(ifood_data[[#This Row],[Kidhome]:[Teenhome]])&gt;0,"Has Family","No Family")</f>
        <v>Has Family</v>
      </c>
      <c r="AT1566" t="str">
        <f>IF(ifood_data[[#This Row],[marital_Married]]=1,"Married", (IF(ifood_data[[#This Row],[marital_Single]]=1,"Single",(IF(ifood_data[[#This Row],[marital_Divorced]]=1,"Divorced",(IF(ifood_data[[#This Row],[marital_Together]]=1,"Living Together",(IF(ifood_data[[#This Row],[marital_Widow]]=1,"Widow","Other")))))))))</f>
        <v>Single</v>
      </c>
      <c r="AU1566" t="str">
        <f>IF(ifood_data[[#This Row],[education_Basic]]=1,"High School",(IF(ifood_data[[#This Row],[education_Graduation]]=1,"Undergraduate Degree",(IF(SUM(AM1566,AL1566,AI1566)&gt;0,"Master's Degree or Higher","Other")))))</f>
        <v>Undergraduate Degree</v>
      </c>
      <c r="AV1566" t="str">
        <f>IF(ifood_data[[#All],[Income]]&gt;75000,"75K+",(IF(ifood_data[[#All],[Income]]&gt;50000,"50K-75K",(IF(ifood_data[[#All],[Income]]&gt;35000,"35K-50K","&lt;35K")))))</f>
        <v>35K-50K</v>
      </c>
      <c r="AW1566" t="str">
        <f>IF(ifood_data[[#All],[Age]]&gt;60,"60+",(IF(ifood_data[[#All],[Age]]&gt;50,"50-60",(IF(ifood_data[[#All],[Age]]&gt;40,"40-50",(IF(ifood_data[[#All],[Age]]&gt;30,"30-40","&lt;30")))))))</f>
        <v>60+</v>
      </c>
      <c r="AX1566">
        <f t="shared" si="96"/>
        <v>22</v>
      </c>
      <c r="AY1566">
        <f t="shared" si="97"/>
        <v>5</v>
      </c>
      <c r="AZ1566">
        <f t="shared" si="98"/>
        <v>5</v>
      </c>
      <c r="BA1566">
        <f t="shared" si="99"/>
        <v>4</v>
      </c>
      <c r="BB1566">
        <f>SUM(ifood_data[[#This Row],[Recency Score]:[Monetary Score]])</f>
        <v>14</v>
      </c>
      <c r="BC1566">
        <f>(_xlfn.PERCENTRANK.INC(ifood_data[[#All],[RFM]],ifood_data[[#This Row],[RFM]],1))*10</f>
        <v>4</v>
      </c>
      <c r="BD1566" t="str">
        <f>VLOOKUP(ifood_data[[#This Row],[RFM Score]],'RFM Analysis'!$A$3:$B$14,2,FALSE)</f>
        <v>At Risk</v>
      </c>
      <c r="BE1566">
        <f>'Regression Models'!$B$101+'Regression Models'!$B$102*ifood_data[[#This Row],[Income]]+'Regression Models'!$B$103*ifood_data[[#This Row],[Age]]+'Regression Models'!$B$104*ifood_data[[#This Row],[Family]]</f>
        <v>158.48699953886774</v>
      </c>
      <c r="BF1566" t="str">
        <f>IF(ifood_data[[#This Row],[AcceptedCmpOverall]]=1,"Campaign Respondent","Non-respondent")</f>
        <v>Non-respondent</v>
      </c>
    </row>
    <row r="1567" spans="1:58" x14ac:dyDescent="0.35">
      <c r="A1567">
        <v>668</v>
      </c>
      <c r="B1567">
        <v>35682</v>
      </c>
      <c r="C1567">
        <v>1</v>
      </c>
      <c r="D1567">
        <v>0</v>
      </c>
      <c r="E1567">
        <v>34</v>
      </c>
      <c r="F1567">
        <v>23</v>
      </c>
      <c r="G1567">
        <v>0</v>
      </c>
      <c r="H1567">
        <v>8</v>
      </c>
      <c r="I1567">
        <v>6</v>
      </c>
      <c r="J1567">
        <v>2</v>
      </c>
      <c r="K1567">
        <v>18</v>
      </c>
      <c r="L1567">
        <v>1</v>
      </c>
      <c r="M1567">
        <v>1</v>
      </c>
      <c r="N1567">
        <v>1</v>
      </c>
      <c r="O1567">
        <v>3</v>
      </c>
      <c r="P1567">
        <v>2</v>
      </c>
      <c r="Q1567">
        <v>0</v>
      </c>
      <c r="R1567">
        <v>0</v>
      </c>
      <c r="S1567">
        <v>0</v>
      </c>
      <c r="T1567">
        <v>0</v>
      </c>
      <c r="U1567">
        <v>0</v>
      </c>
      <c r="V1567">
        <f>IF(SUM(ifood_data[[#This Row],[AcceptedCmp1]:[AcceptedCmp5]])&gt;0,1,0)</f>
        <v>0</v>
      </c>
      <c r="W1567">
        <v>0</v>
      </c>
      <c r="X1567">
        <v>3</v>
      </c>
      <c r="Y1567">
        <v>11</v>
      </c>
      <c r="Z1567">
        <v>0</v>
      </c>
      <c r="AA1567">
        <v>50</v>
      </c>
      <c r="AB1567">
        <v>2161</v>
      </c>
      <c r="AC1567" s="28">
        <f>ifood_data[[#This Row],[Customer_Days]]/365</f>
        <v>5.9205479452054792</v>
      </c>
      <c r="AD1567">
        <v>1</v>
      </c>
      <c r="AE1567">
        <v>0</v>
      </c>
      <c r="AF1567">
        <v>0</v>
      </c>
      <c r="AG1567">
        <v>0</v>
      </c>
      <c r="AH1567">
        <v>0</v>
      </c>
      <c r="AI1567">
        <v>0</v>
      </c>
      <c r="AJ1567">
        <v>0</v>
      </c>
      <c r="AK1567">
        <v>0</v>
      </c>
      <c r="AL1567">
        <v>0</v>
      </c>
      <c r="AM1567">
        <v>1</v>
      </c>
      <c r="AN1567">
        <v>39</v>
      </c>
      <c r="AO1567">
        <v>21</v>
      </c>
      <c r="AP1567">
        <f>ifood_data[[#This Row],[MntTotal]]-ifood_data[[#This Row],[MntRegularProds]]</f>
        <v>18</v>
      </c>
      <c r="AQ1567">
        <v>0</v>
      </c>
      <c r="AR1567">
        <f>IF(SUM(ifood_data[[#This Row],[Kidhome]:[Teenhome]])&gt;0,1,0)</f>
        <v>1</v>
      </c>
      <c r="AS1567" t="str">
        <f>IF(SUM(ifood_data[[#This Row],[Kidhome]:[Teenhome]])&gt;0,"Has Family","No Family")</f>
        <v>Has Family</v>
      </c>
      <c r="AT1567" t="str">
        <f>IF(ifood_data[[#This Row],[marital_Married]]=1,"Married", (IF(ifood_data[[#This Row],[marital_Single]]=1,"Single",(IF(ifood_data[[#This Row],[marital_Divorced]]=1,"Divorced",(IF(ifood_data[[#This Row],[marital_Together]]=1,"Living Together",(IF(ifood_data[[#This Row],[marital_Widow]]=1,"Widow","Other")))))))))</f>
        <v>Divorced</v>
      </c>
      <c r="AU1567" t="str">
        <f>IF(ifood_data[[#This Row],[education_Basic]]=1,"High School",(IF(ifood_data[[#This Row],[education_Graduation]]=1,"Undergraduate Degree",(IF(SUM(AM1567,AL1567,AI1567)&gt;0,"Master's Degree or Higher","Other")))))</f>
        <v>Master's Degree or Higher</v>
      </c>
      <c r="AV1567" t="str">
        <f>IF(ifood_data[[#All],[Income]]&gt;75000,"75K+",(IF(ifood_data[[#All],[Income]]&gt;50000,"50K-75K",(IF(ifood_data[[#All],[Income]]&gt;35000,"35K-50K","&lt;35K")))))</f>
        <v>35K-50K</v>
      </c>
      <c r="AW1567" t="str">
        <f>IF(ifood_data[[#All],[Age]]&gt;60,"60+",(IF(ifood_data[[#All],[Age]]&gt;50,"50-60",(IF(ifood_data[[#All],[Age]]&gt;40,"40-50",(IF(ifood_data[[#All],[Age]]&gt;30,"30-40","&lt;30")))))))</f>
        <v>40-50</v>
      </c>
      <c r="AX1567">
        <f t="shared" si="96"/>
        <v>8</v>
      </c>
      <c r="AY1567">
        <f t="shared" si="97"/>
        <v>7</v>
      </c>
      <c r="AZ1567">
        <f t="shared" si="98"/>
        <v>0</v>
      </c>
      <c r="BA1567">
        <f t="shared" si="99"/>
        <v>1</v>
      </c>
      <c r="BB1567">
        <f>SUM(ifood_data[[#This Row],[Recency Score]:[Monetary Score]])</f>
        <v>8</v>
      </c>
      <c r="BC1567">
        <f>(_xlfn.PERCENTRANK.INC(ifood_data[[#All],[RFM]],ifood_data[[#This Row],[RFM]],1))*10</f>
        <v>1</v>
      </c>
      <c r="BD1567" t="str">
        <f>VLOOKUP(ifood_data[[#This Row],[RFM Score]],'RFM Analysis'!$A$3:$B$14,2,FALSE)</f>
        <v>At Risk</v>
      </c>
      <c r="BE1567">
        <f>'Regression Models'!$B$101+'Regression Models'!$B$102*ifood_data[[#This Row],[Income]]+'Regression Models'!$B$103*ifood_data[[#This Row],[Age]]+'Regression Models'!$B$104*ifood_data[[#This Row],[Family]]</f>
        <v>158.26118361840486</v>
      </c>
      <c r="BF1567" t="str">
        <f>IF(ifood_data[[#This Row],[AcceptedCmpOverall]]=1,"Campaign Respondent","Non-respondent")</f>
        <v>Non-respondent</v>
      </c>
    </row>
    <row r="1568" spans="1:58" x14ac:dyDescent="0.35">
      <c r="A1568">
        <v>490</v>
      </c>
      <c r="B1568">
        <v>36443</v>
      </c>
      <c r="C1568">
        <v>1</v>
      </c>
      <c r="D1568">
        <v>1</v>
      </c>
      <c r="E1568">
        <v>9</v>
      </c>
      <c r="F1568">
        <v>65</v>
      </c>
      <c r="G1568">
        <v>0</v>
      </c>
      <c r="H1568">
        <v>46</v>
      </c>
      <c r="I1568">
        <v>4</v>
      </c>
      <c r="J1568">
        <v>3</v>
      </c>
      <c r="K1568">
        <v>20</v>
      </c>
      <c r="L1568">
        <v>4</v>
      </c>
      <c r="M1568">
        <v>3</v>
      </c>
      <c r="N1568">
        <v>1</v>
      </c>
      <c r="O1568">
        <v>3</v>
      </c>
      <c r="P1568">
        <v>8</v>
      </c>
      <c r="Q1568">
        <v>0</v>
      </c>
      <c r="R1568">
        <v>0</v>
      </c>
      <c r="S1568">
        <v>0</v>
      </c>
      <c r="T1568">
        <v>0</v>
      </c>
      <c r="U1568">
        <v>0</v>
      </c>
      <c r="V1568">
        <f>IF(SUM(ifood_data[[#This Row],[AcceptedCmp1]:[AcceptedCmp5]])&gt;0,1,0)</f>
        <v>0</v>
      </c>
      <c r="W1568">
        <v>0</v>
      </c>
      <c r="X1568">
        <v>3</v>
      </c>
      <c r="Y1568">
        <v>11</v>
      </c>
      <c r="Z1568">
        <v>0</v>
      </c>
      <c r="AA1568">
        <v>59</v>
      </c>
      <c r="AB1568">
        <v>2670</v>
      </c>
      <c r="AC1568" s="28">
        <f>ifood_data[[#This Row],[Customer_Days]]/365</f>
        <v>7.3150684931506849</v>
      </c>
      <c r="AD1568">
        <v>0</v>
      </c>
      <c r="AE1568">
        <v>1</v>
      </c>
      <c r="AF1568">
        <v>0</v>
      </c>
      <c r="AG1568">
        <v>0</v>
      </c>
      <c r="AH1568">
        <v>0</v>
      </c>
      <c r="AI1568">
        <v>0</v>
      </c>
      <c r="AJ1568">
        <v>0</v>
      </c>
      <c r="AK1568">
        <v>1</v>
      </c>
      <c r="AL1568">
        <v>0</v>
      </c>
      <c r="AM1568">
        <v>0</v>
      </c>
      <c r="AN1568">
        <v>118</v>
      </c>
      <c r="AO1568">
        <v>98</v>
      </c>
      <c r="AP1568">
        <f>ifood_data[[#This Row],[MntTotal]]-ifood_data[[#This Row],[MntRegularProds]]</f>
        <v>20</v>
      </c>
      <c r="AQ1568">
        <v>0</v>
      </c>
      <c r="AR1568">
        <f>IF(SUM(ifood_data[[#This Row],[Kidhome]:[Teenhome]])&gt;0,1,0)</f>
        <v>1</v>
      </c>
      <c r="AS1568" t="str">
        <f>IF(SUM(ifood_data[[#This Row],[Kidhome]:[Teenhome]])&gt;0,"Has Family","No Family")</f>
        <v>Has Family</v>
      </c>
      <c r="AT1568" t="str">
        <f>IF(ifood_data[[#This Row],[marital_Married]]=1,"Married", (IF(ifood_data[[#This Row],[marital_Single]]=1,"Single",(IF(ifood_data[[#This Row],[marital_Divorced]]=1,"Divorced",(IF(ifood_data[[#This Row],[marital_Together]]=1,"Living Together",(IF(ifood_data[[#This Row],[marital_Widow]]=1,"Widow","Other")))))))))</f>
        <v>Married</v>
      </c>
      <c r="AU1568" t="str">
        <f>IF(ifood_data[[#This Row],[education_Basic]]=1,"High School",(IF(ifood_data[[#This Row],[education_Graduation]]=1,"Undergraduate Degree",(IF(SUM(AM1568,AL1568,AI1568)&gt;0,"Master's Degree or Higher","Other")))))</f>
        <v>Undergraduate Degree</v>
      </c>
      <c r="AV1568" t="str">
        <f>IF(ifood_data[[#All],[Income]]&gt;75000,"75K+",(IF(ifood_data[[#All],[Income]]&gt;50000,"50K-75K",(IF(ifood_data[[#All],[Income]]&gt;35000,"35K-50K","&lt;35K")))))</f>
        <v>35K-50K</v>
      </c>
      <c r="AW1568" t="str">
        <f>IF(ifood_data[[#All],[Age]]&gt;60,"60+",(IF(ifood_data[[#All],[Age]]&gt;50,"50-60",(IF(ifood_data[[#All],[Age]]&gt;40,"40-50",(IF(ifood_data[[#All],[Age]]&gt;30,"30-40","&lt;30")))))))</f>
        <v>50-60</v>
      </c>
      <c r="AX1568">
        <f t="shared" si="96"/>
        <v>19</v>
      </c>
      <c r="AY1568">
        <f t="shared" si="97"/>
        <v>10</v>
      </c>
      <c r="AZ1568">
        <f t="shared" si="98"/>
        <v>4</v>
      </c>
      <c r="BA1568">
        <f t="shared" si="99"/>
        <v>3</v>
      </c>
      <c r="BB1568">
        <f>SUM(ifood_data[[#This Row],[Recency Score]:[Monetary Score]])</f>
        <v>17</v>
      </c>
      <c r="BC1568">
        <f>(_xlfn.PERCENTRANK.INC(ifood_data[[#All],[RFM]],ifood_data[[#This Row],[RFM]],1))*10</f>
        <v>6</v>
      </c>
      <c r="BD1568" t="str">
        <f>VLOOKUP(ifood_data[[#This Row],[RFM Score]],'RFM Analysis'!$A$3:$B$14,2,FALSE)</f>
        <v>Promising</v>
      </c>
      <c r="BE1568">
        <f>'Regression Models'!$B$101+'Regression Models'!$B$102*ifood_data[[#This Row],[Income]]+'Regression Models'!$B$103*ifood_data[[#This Row],[Age]]+'Regression Models'!$B$104*ifood_data[[#This Row],[Family]]</f>
        <v>157.24908446586346</v>
      </c>
      <c r="BF1568" t="str">
        <f>IF(ifood_data[[#This Row],[AcceptedCmpOverall]]=1,"Campaign Respondent","Non-respondent")</f>
        <v>Non-respondent</v>
      </c>
    </row>
    <row r="1569" spans="1:58" x14ac:dyDescent="0.35">
      <c r="A1569">
        <v>1874</v>
      </c>
      <c r="B1569">
        <v>36927</v>
      </c>
      <c r="C1569">
        <v>1</v>
      </c>
      <c r="D1569">
        <v>1</v>
      </c>
      <c r="E1569">
        <v>46</v>
      </c>
      <c r="F1569">
        <v>51</v>
      </c>
      <c r="G1569">
        <v>0</v>
      </c>
      <c r="H1569">
        <v>16</v>
      </c>
      <c r="I1569">
        <v>0</v>
      </c>
      <c r="J1569">
        <v>0</v>
      </c>
      <c r="K1569">
        <v>4</v>
      </c>
      <c r="L1569">
        <v>2</v>
      </c>
      <c r="M1569">
        <v>3</v>
      </c>
      <c r="N1569">
        <v>0</v>
      </c>
      <c r="O1569">
        <v>3</v>
      </c>
      <c r="P1569">
        <v>8</v>
      </c>
      <c r="Q1569">
        <v>0</v>
      </c>
      <c r="R1569">
        <v>0</v>
      </c>
      <c r="S1569">
        <v>0</v>
      </c>
      <c r="T1569">
        <v>0</v>
      </c>
      <c r="U1569">
        <v>0</v>
      </c>
      <c r="V1569">
        <f>IF(SUM(ifood_data[[#This Row],[AcceptedCmp1]:[AcceptedCmp5]])&gt;0,1,0)</f>
        <v>0</v>
      </c>
      <c r="W1569">
        <v>0</v>
      </c>
      <c r="X1569">
        <v>3</v>
      </c>
      <c r="Y1569">
        <v>11</v>
      </c>
      <c r="Z1569">
        <v>0</v>
      </c>
      <c r="AA1569">
        <v>65</v>
      </c>
      <c r="AB1569">
        <v>2186</v>
      </c>
      <c r="AC1569" s="28">
        <f>ifood_data[[#This Row],[Customer_Days]]/365</f>
        <v>5.9890410958904106</v>
      </c>
      <c r="AD1569">
        <v>0</v>
      </c>
      <c r="AE1569">
        <v>0</v>
      </c>
      <c r="AF1569">
        <v>1</v>
      </c>
      <c r="AG1569">
        <v>0</v>
      </c>
      <c r="AH1569">
        <v>0</v>
      </c>
      <c r="AI1569">
        <v>0</v>
      </c>
      <c r="AJ1569">
        <v>0</v>
      </c>
      <c r="AK1569">
        <v>0</v>
      </c>
      <c r="AL1569">
        <v>1</v>
      </c>
      <c r="AM1569">
        <v>0</v>
      </c>
      <c r="AN1569">
        <v>67</v>
      </c>
      <c r="AO1569">
        <v>63</v>
      </c>
      <c r="AP1569">
        <f>ifood_data[[#This Row],[MntTotal]]-ifood_data[[#This Row],[MntRegularProds]]</f>
        <v>4</v>
      </c>
      <c r="AQ1569">
        <v>0</v>
      </c>
      <c r="AR1569">
        <f>IF(SUM(ifood_data[[#This Row],[Kidhome]:[Teenhome]])&gt;0,1,0)</f>
        <v>1</v>
      </c>
      <c r="AS1569" t="str">
        <f>IF(SUM(ifood_data[[#This Row],[Kidhome]:[Teenhome]])&gt;0,"Has Family","No Family")</f>
        <v>Has Family</v>
      </c>
      <c r="AT1569" t="str">
        <f>IF(ifood_data[[#This Row],[marital_Married]]=1,"Married", (IF(ifood_data[[#This Row],[marital_Single]]=1,"Single",(IF(ifood_data[[#This Row],[marital_Divorced]]=1,"Divorced",(IF(ifood_data[[#This Row],[marital_Together]]=1,"Living Together",(IF(ifood_data[[#This Row],[marital_Widow]]=1,"Widow","Other")))))))))</f>
        <v>Single</v>
      </c>
      <c r="AU1569" t="str">
        <f>IF(ifood_data[[#This Row],[education_Basic]]=1,"High School",(IF(ifood_data[[#This Row],[education_Graduation]]=1,"Undergraduate Degree",(IF(SUM(AM1569,AL1569,AI1569)&gt;0,"Master's Degree or Higher","Other")))))</f>
        <v>Master's Degree or Higher</v>
      </c>
      <c r="AV1569" t="str">
        <f>IF(ifood_data[[#All],[Income]]&gt;75000,"75K+",(IF(ifood_data[[#All],[Income]]&gt;50000,"50K-75K",(IF(ifood_data[[#All],[Income]]&gt;35000,"35K-50K","&lt;35K")))))</f>
        <v>35K-50K</v>
      </c>
      <c r="AW1569" t="str">
        <f>IF(ifood_data[[#All],[Age]]&gt;60,"60+",(IF(ifood_data[[#All],[Age]]&gt;50,"50-60",(IF(ifood_data[[#All],[Age]]&gt;40,"40-50",(IF(ifood_data[[#All],[Age]]&gt;30,"30-40","&lt;30")))))))</f>
        <v>60+</v>
      </c>
      <c r="AX1569">
        <f t="shared" si="96"/>
        <v>16</v>
      </c>
      <c r="AY1569">
        <f t="shared" si="97"/>
        <v>6</v>
      </c>
      <c r="AZ1569">
        <f t="shared" si="98"/>
        <v>3</v>
      </c>
      <c r="BA1569">
        <f t="shared" si="99"/>
        <v>2</v>
      </c>
      <c r="BB1569">
        <f>SUM(ifood_data[[#This Row],[Recency Score]:[Monetary Score]])</f>
        <v>11</v>
      </c>
      <c r="BC1569">
        <f>(_xlfn.PERCENTRANK.INC(ifood_data[[#All],[RFM]],ifood_data[[#This Row],[RFM]],1))*10</f>
        <v>2</v>
      </c>
      <c r="BD1569" t="str">
        <f>VLOOKUP(ifood_data[[#This Row],[RFM Score]],'RFM Analysis'!$A$3:$B$14,2,FALSE)</f>
        <v>At Risk</v>
      </c>
      <c r="BE1569">
        <f>'Regression Models'!$B$101+'Regression Models'!$B$102*ifood_data[[#This Row],[Income]]+'Regression Models'!$B$103*ifood_data[[#This Row],[Age]]+'Regression Models'!$B$104*ifood_data[[#This Row],[Family]]</f>
        <v>156.09861377414484</v>
      </c>
      <c r="BF1569" t="str">
        <f>IF(ifood_data[[#This Row],[AcceptedCmpOverall]]=1,"Campaign Respondent","Non-respondent")</f>
        <v>Non-respondent</v>
      </c>
    </row>
    <row r="1570" spans="1:58" x14ac:dyDescent="0.35">
      <c r="A1570">
        <v>949</v>
      </c>
      <c r="B1570">
        <v>36930</v>
      </c>
      <c r="C1570">
        <v>0</v>
      </c>
      <c r="D1570">
        <v>1</v>
      </c>
      <c r="E1570">
        <v>50</v>
      </c>
      <c r="F1570">
        <v>223</v>
      </c>
      <c r="G1570">
        <v>2</v>
      </c>
      <c r="H1570">
        <v>31</v>
      </c>
      <c r="I1570">
        <v>0</v>
      </c>
      <c r="J1570">
        <v>2</v>
      </c>
      <c r="K1570">
        <v>39</v>
      </c>
      <c r="L1570">
        <v>5</v>
      </c>
      <c r="M1570">
        <v>5</v>
      </c>
      <c r="N1570">
        <v>2</v>
      </c>
      <c r="O1570">
        <v>4</v>
      </c>
      <c r="P1570">
        <v>8</v>
      </c>
      <c r="Q1570">
        <v>0</v>
      </c>
      <c r="R1570">
        <v>0</v>
      </c>
      <c r="S1570">
        <v>0</v>
      </c>
      <c r="T1570">
        <v>0</v>
      </c>
      <c r="U1570">
        <v>0</v>
      </c>
      <c r="V1570">
        <f>IF(SUM(ifood_data[[#This Row],[AcceptedCmp1]:[AcceptedCmp5]])&gt;0,1,0)</f>
        <v>0</v>
      </c>
      <c r="W1570">
        <v>0</v>
      </c>
      <c r="X1570">
        <v>3</v>
      </c>
      <c r="Y1570">
        <v>11</v>
      </c>
      <c r="Z1570">
        <v>0</v>
      </c>
      <c r="AA1570">
        <v>66</v>
      </c>
      <c r="AB1570">
        <v>2567</v>
      </c>
      <c r="AC1570" s="28">
        <f>ifood_data[[#This Row],[Customer_Days]]/365</f>
        <v>7.0328767123287674</v>
      </c>
      <c r="AD1570">
        <v>0</v>
      </c>
      <c r="AE1570">
        <v>1</v>
      </c>
      <c r="AF1570">
        <v>0</v>
      </c>
      <c r="AG1570">
        <v>0</v>
      </c>
      <c r="AH1570">
        <v>0</v>
      </c>
      <c r="AI1570">
        <v>0</v>
      </c>
      <c r="AJ1570">
        <v>0</v>
      </c>
      <c r="AK1570">
        <v>0</v>
      </c>
      <c r="AL1570">
        <v>0</v>
      </c>
      <c r="AM1570">
        <v>1</v>
      </c>
      <c r="AN1570">
        <v>258</v>
      </c>
      <c r="AO1570">
        <v>219</v>
      </c>
      <c r="AP1570">
        <f>ifood_data[[#This Row],[MntTotal]]-ifood_data[[#This Row],[MntRegularProds]]</f>
        <v>39</v>
      </c>
      <c r="AQ1570">
        <v>0</v>
      </c>
      <c r="AR1570">
        <f>IF(SUM(ifood_data[[#This Row],[Kidhome]:[Teenhome]])&gt;0,1,0)</f>
        <v>1</v>
      </c>
      <c r="AS1570" t="str">
        <f>IF(SUM(ifood_data[[#This Row],[Kidhome]:[Teenhome]])&gt;0,"Has Family","No Family")</f>
        <v>Has Family</v>
      </c>
      <c r="AT1570" t="str">
        <f>IF(ifood_data[[#This Row],[marital_Married]]=1,"Married", (IF(ifood_data[[#This Row],[marital_Single]]=1,"Single",(IF(ifood_data[[#This Row],[marital_Divorced]]=1,"Divorced",(IF(ifood_data[[#This Row],[marital_Together]]=1,"Living Together",(IF(ifood_data[[#This Row],[marital_Widow]]=1,"Widow","Other")))))))))</f>
        <v>Married</v>
      </c>
      <c r="AU1570" t="str">
        <f>IF(ifood_data[[#This Row],[education_Basic]]=1,"High School",(IF(ifood_data[[#This Row],[education_Graduation]]=1,"Undergraduate Degree",(IF(SUM(AM1570,AL1570,AI1570)&gt;0,"Master's Degree or Higher","Other")))))</f>
        <v>Master's Degree or Higher</v>
      </c>
      <c r="AV1570" t="str">
        <f>IF(ifood_data[[#All],[Income]]&gt;75000,"75K+",(IF(ifood_data[[#All],[Income]]&gt;50000,"50K-75K",(IF(ifood_data[[#All],[Income]]&gt;35000,"35K-50K","&lt;35K")))))</f>
        <v>35K-50K</v>
      </c>
      <c r="AW1570" t="str">
        <f>IF(ifood_data[[#All],[Age]]&gt;60,"60+",(IF(ifood_data[[#All],[Age]]&gt;50,"50-60",(IF(ifood_data[[#All],[Age]]&gt;40,"40-50",(IF(ifood_data[[#All],[Age]]&gt;30,"30-40","&lt;30")))))))</f>
        <v>60+</v>
      </c>
      <c r="AX1570">
        <f t="shared" si="96"/>
        <v>24</v>
      </c>
      <c r="AY1570">
        <f t="shared" si="97"/>
        <v>5</v>
      </c>
      <c r="AZ1570">
        <f t="shared" si="98"/>
        <v>6</v>
      </c>
      <c r="BA1570">
        <f t="shared" si="99"/>
        <v>4</v>
      </c>
      <c r="BB1570">
        <f>SUM(ifood_data[[#This Row],[Recency Score]:[Monetary Score]])</f>
        <v>15</v>
      </c>
      <c r="BC1570">
        <f>(_xlfn.PERCENTRANK.INC(ifood_data[[#All],[RFM]],ifood_data[[#This Row],[RFM]],1))*10</f>
        <v>4</v>
      </c>
      <c r="BD1570" t="str">
        <f>VLOOKUP(ifood_data[[#This Row],[RFM Score]],'RFM Analysis'!$A$3:$B$14,2,FALSE)</f>
        <v>At Risk</v>
      </c>
      <c r="BE1570">
        <f>'Regression Models'!$B$101+'Regression Models'!$B$102*ifood_data[[#This Row],[Income]]+'Regression Models'!$B$103*ifood_data[[#This Row],[Age]]+'Regression Models'!$B$104*ifood_data[[#This Row],[Family]]</f>
        <v>154.32334099968227</v>
      </c>
      <c r="BF1570" t="str">
        <f>IF(ifood_data[[#This Row],[AcceptedCmpOverall]]=1,"Campaign Respondent","Non-respondent")</f>
        <v>Non-respondent</v>
      </c>
    </row>
    <row r="1571" spans="1:58" x14ac:dyDescent="0.35">
      <c r="A1571">
        <v>1765</v>
      </c>
      <c r="B1571">
        <v>34984</v>
      </c>
      <c r="C1571">
        <v>1</v>
      </c>
      <c r="D1571">
        <v>1</v>
      </c>
      <c r="E1571">
        <v>40</v>
      </c>
      <c r="F1571">
        <v>8</v>
      </c>
      <c r="G1571">
        <v>4</v>
      </c>
      <c r="H1571">
        <v>15</v>
      </c>
      <c r="I1571">
        <v>3</v>
      </c>
      <c r="J1571">
        <v>5</v>
      </c>
      <c r="K1571">
        <v>3</v>
      </c>
      <c r="L1571">
        <v>2</v>
      </c>
      <c r="M1571">
        <v>1</v>
      </c>
      <c r="N1571">
        <v>0</v>
      </c>
      <c r="O1571">
        <v>3</v>
      </c>
      <c r="P1571">
        <v>7</v>
      </c>
      <c r="Q1571">
        <v>0</v>
      </c>
      <c r="R1571">
        <v>0</v>
      </c>
      <c r="S1571">
        <v>0</v>
      </c>
      <c r="T1571">
        <v>0</v>
      </c>
      <c r="U1571">
        <v>0</v>
      </c>
      <c r="V1571">
        <f>IF(SUM(ifood_data[[#This Row],[AcceptedCmp1]:[AcceptedCmp5]])&gt;0,1,0)</f>
        <v>0</v>
      </c>
      <c r="W1571">
        <v>0</v>
      </c>
      <c r="X1571">
        <v>3</v>
      </c>
      <c r="Y1571">
        <v>11</v>
      </c>
      <c r="Z1571">
        <v>0</v>
      </c>
      <c r="AA1571">
        <v>45</v>
      </c>
      <c r="AB1571">
        <v>2820</v>
      </c>
      <c r="AC1571" s="28">
        <f>ifood_data[[#This Row],[Customer_Days]]/365</f>
        <v>7.7260273972602738</v>
      </c>
      <c r="AD1571">
        <v>0</v>
      </c>
      <c r="AE1571">
        <v>0</v>
      </c>
      <c r="AF1571">
        <v>0</v>
      </c>
      <c r="AG1571">
        <v>1</v>
      </c>
      <c r="AH1571">
        <v>0</v>
      </c>
      <c r="AI1571">
        <v>1</v>
      </c>
      <c r="AJ1571">
        <v>0</v>
      </c>
      <c r="AK1571">
        <v>0</v>
      </c>
      <c r="AL1571">
        <v>0</v>
      </c>
      <c r="AM1571">
        <v>0</v>
      </c>
      <c r="AN1571">
        <v>35</v>
      </c>
      <c r="AO1571">
        <v>32</v>
      </c>
      <c r="AP1571">
        <f>ifood_data[[#This Row],[MntTotal]]-ifood_data[[#This Row],[MntRegularProds]]</f>
        <v>3</v>
      </c>
      <c r="AQ1571">
        <v>0</v>
      </c>
      <c r="AR1571">
        <f>IF(SUM(ifood_data[[#This Row],[Kidhome]:[Teenhome]])&gt;0,1,0)</f>
        <v>1</v>
      </c>
      <c r="AS1571" t="str">
        <f>IF(SUM(ifood_data[[#This Row],[Kidhome]:[Teenhome]])&gt;0,"Has Family","No Family")</f>
        <v>Has Family</v>
      </c>
      <c r="AT1571" t="str">
        <f>IF(ifood_data[[#This Row],[marital_Married]]=1,"Married", (IF(ifood_data[[#This Row],[marital_Single]]=1,"Single",(IF(ifood_data[[#This Row],[marital_Divorced]]=1,"Divorced",(IF(ifood_data[[#This Row],[marital_Together]]=1,"Living Together",(IF(ifood_data[[#This Row],[marital_Widow]]=1,"Widow","Other")))))))))</f>
        <v>Living Together</v>
      </c>
      <c r="AU1571" t="str">
        <f>IF(ifood_data[[#This Row],[education_Basic]]=1,"High School",(IF(ifood_data[[#This Row],[education_Graduation]]=1,"Undergraduate Degree",(IF(SUM(AM1571,AL1571,AI1571)&gt;0,"Master's Degree or Higher","Other")))))</f>
        <v>Master's Degree or Higher</v>
      </c>
      <c r="AV1571" t="str">
        <f>IF(ifood_data[[#All],[Income]]&gt;75000,"75K+",(IF(ifood_data[[#All],[Income]]&gt;50000,"50K-75K",(IF(ifood_data[[#All],[Income]]&gt;35000,"35K-50K","&lt;35K")))))</f>
        <v>&lt;35K</v>
      </c>
      <c r="AW1571" t="str">
        <f>IF(ifood_data[[#All],[Age]]&gt;60,"60+",(IF(ifood_data[[#All],[Age]]&gt;50,"50-60",(IF(ifood_data[[#All],[Age]]&gt;40,"40-50",(IF(ifood_data[[#All],[Age]]&gt;30,"30-40","&lt;30")))))))</f>
        <v>40-50</v>
      </c>
      <c r="AX1571">
        <f t="shared" si="96"/>
        <v>13</v>
      </c>
      <c r="AY1571">
        <f t="shared" si="97"/>
        <v>6</v>
      </c>
      <c r="AZ1571">
        <f t="shared" si="98"/>
        <v>1</v>
      </c>
      <c r="BA1571">
        <f t="shared" si="99"/>
        <v>1</v>
      </c>
      <c r="BB1571">
        <f>SUM(ifood_data[[#This Row],[Recency Score]:[Monetary Score]])</f>
        <v>8</v>
      </c>
      <c r="BC1571">
        <f>(_xlfn.PERCENTRANK.INC(ifood_data[[#All],[RFM]],ifood_data[[#This Row],[RFM]],1))*10</f>
        <v>1</v>
      </c>
      <c r="BD1571" t="str">
        <f>VLOOKUP(ifood_data[[#This Row],[RFM Score]],'RFM Analysis'!$A$3:$B$14,2,FALSE)</f>
        <v>At Risk</v>
      </c>
      <c r="BE1571">
        <f>'Regression Models'!$B$101+'Regression Models'!$B$102*ifood_data[[#This Row],[Income]]+'Regression Models'!$B$103*ifood_data[[#This Row],[Age]]+'Regression Models'!$B$104*ifood_data[[#This Row],[Family]]</f>
        <v>153.21201884843481</v>
      </c>
      <c r="BF1571" t="str">
        <f>IF(ifood_data[[#This Row],[AcceptedCmpOverall]]=1,"Campaign Respondent","Non-respondent")</f>
        <v>Non-respondent</v>
      </c>
    </row>
    <row r="1572" spans="1:58" x14ac:dyDescent="0.35">
      <c r="A1572">
        <v>1890</v>
      </c>
      <c r="B1572">
        <v>22123</v>
      </c>
      <c r="C1572">
        <v>0</v>
      </c>
      <c r="D1572">
        <v>0</v>
      </c>
      <c r="E1572">
        <v>77</v>
      </c>
      <c r="F1572">
        <v>3</v>
      </c>
      <c r="G1572">
        <v>3</v>
      </c>
      <c r="H1572">
        <v>24</v>
      </c>
      <c r="I1572">
        <v>34</v>
      </c>
      <c r="J1572">
        <v>7</v>
      </c>
      <c r="K1572">
        <v>31</v>
      </c>
      <c r="L1572">
        <v>1</v>
      </c>
      <c r="M1572">
        <v>2</v>
      </c>
      <c r="N1572">
        <v>1</v>
      </c>
      <c r="O1572">
        <v>3</v>
      </c>
      <c r="P1572">
        <v>5</v>
      </c>
      <c r="Q1572">
        <v>0</v>
      </c>
      <c r="R1572">
        <v>0</v>
      </c>
      <c r="S1572">
        <v>0</v>
      </c>
      <c r="T1572">
        <v>0</v>
      </c>
      <c r="U1572">
        <v>0</v>
      </c>
      <c r="V1572">
        <f>IF(SUM(ifood_data[[#This Row],[AcceptedCmp1]:[AcceptedCmp5]])&gt;0,1,0)</f>
        <v>0</v>
      </c>
      <c r="W1572">
        <v>0</v>
      </c>
      <c r="X1572">
        <v>3</v>
      </c>
      <c r="Y1572">
        <v>11</v>
      </c>
      <c r="Z1572">
        <v>0</v>
      </c>
      <c r="AA1572">
        <v>60</v>
      </c>
      <c r="AB1572">
        <v>2253</v>
      </c>
      <c r="AC1572" s="28">
        <f>ifood_data[[#This Row],[Customer_Days]]/365</f>
        <v>6.1726027397260275</v>
      </c>
      <c r="AD1572">
        <v>0</v>
      </c>
      <c r="AE1572">
        <v>0</v>
      </c>
      <c r="AF1572">
        <v>0</v>
      </c>
      <c r="AG1572">
        <v>0</v>
      </c>
      <c r="AH1572">
        <v>1</v>
      </c>
      <c r="AI1572">
        <v>0</v>
      </c>
      <c r="AJ1572">
        <v>1</v>
      </c>
      <c r="AK1572">
        <v>0</v>
      </c>
      <c r="AL1572">
        <v>0</v>
      </c>
      <c r="AM1572">
        <v>0</v>
      </c>
      <c r="AN1572">
        <v>71</v>
      </c>
      <c r="AO1572">
        <v>40</v>
      </c>
      <c r="AP1572">
        <f>ifood_data[[#This Row],[MntTotal]]-ifood_data[[#This Row],[MntRegularProds]]</f>
        <v>31</v>
      </c>
      <c r="AQ1572">
        <v>0</v>
      </c>
      <c r="AR1572">
        <f>IF(SUM(ifood_data[[#This Row],[Kidhome]:[Teenhome]])&gt;0,1,0)</f>
        <v>0</v>
      </c>
      <c r="AS1572" t="str">
        <f>IF(SUM(ifood_data[[#This Row],[Kidhome]:[Teenhome]])&gt;0,"Has Family","No Family")</f>
        <v>No Family</v>
      </c>
      <c r="AT1572" t="str">
        <f>IF(ifood_data[[#This Row],[marital_Married]]=1,"Married", (IF(ifood_data[[#This Row],[marital_Single]]=1,"Single",(IF(ifood_data[[#This Row],[marital_Divorced]]=1,"Divorced",(IF(ifood_data[[#This Row],[marital_Together]]=1,"Living Together",(IF(ifood_data[[#This Row],[marital_Widow]]=1,"Widow","Other")))))))))</f>
        <v>Widow</v>
      </c>
      <c r="AU1572" t="str">
        <f>IF(ifood_data[[#This Row],[education_Basic]]=1,"High School",(IF(ifood_data[[#This Row],[education_Graduation]]=1,"Undergraduate Degree",(IF(SUM(AM1572,AL1572,AI1572)&gt;0,"Master's Degree or Higher","Other")))))</f>
        <v>High School</v>
      </c>
      <c r="AV1572" t="str">
        <f>IF(ifood_data[[#All],[Income]]&gt;75000,"75K+",(IF(ifood_data[[#All],[Income]]&gt;50000,"50K-75K",(IF(ifood_data[[#All],[Income]]&gt;35000,"35K-50K","&lt;35K")))))</f>
        <v>&lt;35K</v>
      </c>
      <c r="AW1572" t="str">
        <f>IF(ifood_data[[#All],[Age]]&gt;60,"60+",(IF(ifood_data[[#All],[Age]]&gt;50,"50-60",(IF(ifood_data[[#All],[Age]]&gt;40,"40-50",(IF(ifood_data[[#All],[Age]]&gt;30,"30-40","&lt;30")))))))</f>
        <v>50-60</v>
      </c>
      <c r="AX1572">
        <f t="shared" si="96"/>
        <v>12</v>
      </c>
      <c r="AY1572">
        <f t="shared" si="97"/>
        <v>3.0000000000000004</v>
      </c>
      <c r="AZ1572">
        <f t="shared" si="98"/>
        <v>1</v>
      </c>
      <c r="BA1572">
        <f t="shared" si="99"/>
        <v>3</v>
      </c>
      <c r="BB1572">
        <f>SUM(ifood_data[[#This Row],[Recency Score]:[Monetary Score]])</f>
        <v>7</v>
      </c>
      <c r="BC1572">
        <f>(_xlfn.PERCENTRANK.INC(ifood_data[[#All],[RFM]],ifood_data[[#This Row],[RFM]],1))*10</f>
        <v>1</v>
      </c>
      <c r="BD1572" t="str">
        <f>VLOOKUP(ifood_data[[#This Row],[RFM Score]],'RFM Analysis'!$A$3:$B$14,2,FALSE)</f>
        <v>At Risk</v>
      </c>
      <c r="BE1572">
        <f>'Regression Models'!$B$101+'Regression Models'!$B$102*ifood_data[[#This Row],[Income]]+'Regression Models'!$B$103*ifood_data[[#This Row],[Age]]+'Regression Models'!$B$104*ifood_data[[#This Row],[Family]]</f>
        <v>153.05911663935245</v>
      </c>
      <c r="BF1572" t="str">
        <f>IF(ifood_data[[#This Row],[AcceptedCmpOverall]]=1,"Campaign Respondent","Non-respondent")</f>
        <v>Non-respondent</v>
      </c>
    </row>
    <row r="1573" spans="1:58" x14ac:dyDescent="0.35">
      <c r="A1573">
        <v>1316</v>
      </c>
      <c r="B1573">
        <v>36957</v>
      </c>
      <c r="C1573">
        <v>1</v>
      </c>
      <c r="D1573">
        <v>1</v>
      </c>
      <c r="E1573">
        <v>43</v>
      </c>
      <c r="F1573">
        <v>100</v>
      </c>
      <c r="G1573">
        <v>2</v>
      </c>
      <c r="H1573">
        <v>16</v>
      </c>
      <c r="I1573">
        <v>2</v>
      </c>
      <c r="J1573">
        <v>1</v>
      </c>
      <c r="K1573">
        <v>31</v>
      </c>
      <c r="L1573">
        <v>4</v>
      </c>
      <c r="M1573">
        <v>3</v>
      </c>
      <c r="N1573">
        <v>2</v>
      </c>
      <c r="O1573">
        <v>2</v>
      </c>
      <c r="P1573">
        <v>9</v>
      </c>
      <c r="Q1573">
        <v>0</v>
      </c>
      <c r="R1573">
        <v>0</v>
      </c>
      <c r="S1573">
        <v>0</v>
      </c>
      <c r="T1573">
        <v>0</v>
      </c>
      <c r="U1573">
        <v>0</v>
      </c>
      <c r="V1573">
        <f>IF(SUM(ifood_data[[#This Row],[AcceptedCmp1]:[AcceptedCmp5]])&gt;0,1,0)</f>
        <v>0</v>
      </c>
      <c r="W1573">
        <v>0</v>
      </c>
      <c r="X1573">
        <v>3</v>
      </c>
      <c r="Y1573">
        <v>11</v>
      </c>
      <c r="Z1573">
        <v>1</v>
      </c>
      <c r="AA1573">
        <v>67</v>
      </c>
      <c r="AB1573">
        <v>2820</v>
      </c>
      <c r="AC1573" s="28">
        <f>ifood_data[[#This Row],[Customer_Days]]/365</f>
        <v>7.7260273972602738</v>
      </c>
      <c r="AD1573">
        <v>1</v>
      </c>
      <c r="AE1573">
        <v>0</v>
      </c>
      <c r="AF1573">
        <v>0</v>
      </c>
      <c r="AG1573">
        <v>0</v>
      </c>
      <c r="AH1573">
        <v>0</v>
      </c>
      <c r="AI1573">
        <v>0</v>
      </c>
      <c r="AJ1573">
        <v>0</v>
      </c>
      <c r="AK1573">
        <v>0</v>
      </c>
      <c r="AL1573">
        <v>0</v>
      </c>
      <c r="AM1573">
        <v>1</v>
      </c>
      <c r="AN1573">
        <v>121</v>
      </c>
      <c r="AO1573">
        <v>90</v>
      </c>
      <c r="AP1573">
        <f>ifood_data[[#This Row],[MntTotal]]-ifood_data[[#This Row],[MntRegularProds]]</f>
        <v>31</v>
      </c>
      <c r="AQ1573">
        <v>0</v>
      </c>
      <c r="AR1573">
        <f>IF(SUM(ifood_data[[#This Row],[Kidhome]:[Teenhome]])&gt;0,1,0)</f>
        <v>1</v>
      </c>
      <c r="AS1573" t="str">
        <f>IF(SUM(ifood_data[[#This Row],[Kidhome]:[Teenhome]])&gt;0,"Has Family","No Family")</f>
        <v>Has Family</v>
      </c>
      <c r="AT1573" t="str">
        <f>IF(ifood_data[[#This Row],[marital_Married]]=1,"Married", (IF(ifood_data[[#This Row],[marital_Single]]=1,"Single",(IF(ifood_data[[#This Row],[marital_Divorced]]=1,"Divorced",(IF(ifood_data[[#This Row],[marital_Together]]=1,"Living Together",(IF(ifood_data[[#This Row],[marital_Widow]]=1,"Widow","Other")))))))))</f>
        <v>Divorced</v>
      </c>
      <c r="AU1573" t="str">
        <f>IF(ifood_data[[#This Row],[education_Basic]]=1,"High School",(IF(ifood_data[[#This Row],[education_Graduation]]=1,"Undergraduate Degree",(IF(SUM(AM1573,AL1573,AI1573)&gt;0,"Master's Degree or Higher","Other")))))</f>
        <v>Master's Degree or Higher</v>
      </c>
      <c r="AV1573" t="str">
        <f>IF(ifood_data[[#All],[Income]]&gt;75000,"75K+",(IF(ifood_data[[#All],[Income]]&gt;50000,"50K-75K",(IF(ifood_data[[#All],[Income]]&gt;35000,"35K-50K","&lt;35K")))))</f>
        <v>35K-50K</v>
      </c>
      <c r="AW1573" t="str">
        <f>IF(ifood_data[[#All],[Age]]&gt;60,"60+",(IF(ifood_data[[#All],[Age]]&gt;50,"50-60",(IF(ifood_data[[#All],[Age]]&gt;40,"40-50",(IF(ifood_data[[#All],[Age]]&gt;30,"30-40","&lt;30")))))))</f>
        <v>60+</v>
      </c>
      <c r="AX1573">
        <f t="shared" si="96"/>
        <v>20</v>
      </c>
      <c r="AY1573">
        <f t="shared" si="97"/>
        <v>6</v>
      </c>
      <c r="AZ1573">
        <f t="shared" si="98"/>
        <v>4</v>
      </c>
      <c r="BA1573">
        <f t="shared" si="99"/>
        <v>3</v>
      </c>
      <c r="BB1573">
        <f>SUM(ifood_data[[#This Row],[Recency Score]:[Monetary Score]])</f>
        <v>13</v>
      </c>
      <c r="BC1573">
        <f>(_xlfn.PERCENTRANK.INC(ifood_data[[#All],[RFM]],ifood_data[[#This Row],[RFM]],1))*10</f>
        <v>3</v>
      </c>
      <c r="BD1573" t="str">
        <f>VLOOKUP(ifood_data[[#This Row],[RFM Score]],'RFM Analysis'!$A$3:$B$14,2,FALSE)</f>
        <v>At Risk</v>
      </c>
      <c r="BE1573">
        <f>'Regression Models'!$B$101+'Regression Models'!$B$102*ifood_data[[#This Row],[Income]]+'Regression Models'!$B$103*ifood_data[[#This Row],[Age]]+'Regression Models'!$B$104*ifood_data[[#This Row],[Family]]</f>
        <v>153.03739866067326</v>
      </c>
      <c r="BF1573" t="str">
        <f>IF(ifood_data[[#This Row],[AcceptedCmpOverall]]=1,"Campaign Respondent","Non-respondent")</f>
        <v>Non-respondent</v>
      </c>
    </row>
    <row r="1574" spans="1:58" x14ac:dyDescent="0.35">
      <c r="A1574">
        <v>2006</v>
      </c>
      <c r="B1574">
        <v>36807</v>
      </c>
      <c r="C1574">
        <v>1</v>
      </c>
      <c r="D1574">
        <v>1</v>
      </c>
      <c r="E1574">
        <v>88</v>
      </c>
      <c r="F1574">
        <v>4</v>
      </c>
      <c r="G1574">
        <v>2</v>
      </c>
      <c r="H1574">
        <v>5</v>
      </c>
      <c r="I1574">
        <v>0</v>
      </c>
      <c r="J1574">
        <v>0</v>
      </c>
      <c r="K1574">
        <v>5</v>
      </c>
      <c r="L1574">
        <v>1</v>
      </c>
      <c r="M1574">
        <v>1</v>
      </c>
      <c r="N1574">
        <v>0</v>
      </c>
      <c r="O1574">
        <v>2</v>
      </c>
      <c r="P1574">
        <v>6</v>
      </c>
      <c r="Q1574">
        <v>0</v>
      </c>
      <c r="R1574">
        <v>0</v>
      </c>
      <c r="S1574">
        <v>0</v>
      </c>
      <c r="T1574">
        <v>0</v>
      </c>
      <c r="U1574">
        <v>0</v>
      </c>
      <c r="V1574">
        <f>IF(SUM(ifood_data[[#This Row],[AcceptedCmp1]:[AcceptedCmp5]])&gt;0,1,0)</f>
        <v>0</v>
      </c>
      <c r="W1574">
        <v>0</v>
      </c>
      <c r="X1574">
        <v>3</v>
      </c>
      <c r="Y1574">
        <v>11</v>
      </c>
      <c r="Z1574">
        <v>0</v>
      </c>
      <c r="AA1574">
        <v>66</v>
      </c>
      <c r="AB1574">
        <v>2715</v>
      </c>
      <c r="AC1574" s="28">
        <f>ifood_data[[#This Row],[Customer_Days]]/365</f>
        <v>7.4383561643835616</v>
      </c>
      <c r="AD1574">
        <v>0</v>
      </c>
      <c r="AE1574">
        <v>0</v>
      </c>
      <c r="AF1574">
        <v>0</v>
      </c>
      <c r="AG1574">
        <v>1</v>
      </c>
      <c r="AH1574">
        <v>0</v>
      </c>
      <c r="AI1574">
        <v>0</v>
      </c>
      <c r="AJ1574">
        <v>0</v>
      </c>
      <c r="AK1574">
        <v>1</v>
      </c>
      <c r="AL1574">
        <v>0</v>
      </c>
      <c r="AM1574">
        <v>0</v>
      </c>
      <c r="AN1574">
        <v>11</v>
      </c>
      <c r="AO1574">
        <v>6</v>
      </c>
      <c r="AP1574">
        <f>ifood_data[[#This Row],[MntTotal]]-ifood_data[[#This Row],[MntRegularProds]]</f>
        <v>5</v>
      </c>
      <c r="AQ1574">
        <v>0</v>
      </c>
      <c r="AR1574">
        <f>IF(SUM(ifood_data[[#This Row],[Kidhome]:[Teenhome]])&gt;0,1,0)</f>
        <v>1</v>
      </c>
      <c r="AS1574" t="str">
        <f>IF(SUM(ifood_data[[#This Row],[Kidhome]:[Teenhome]])&gt;0,"Has Family","No Family")</f>
        <v>Has Family</v>
      </c>
      <c r="AT1574" t="str">
        <f>IF(ifood_data[[#This Row],[marital_Married]]=1,"Married", (IF(ifood_data[[#This Row],[marital_Single]]=1,"Single",(IF(ifood_data[[#This Row],[marital_Divorced]]=1,"Divorced",(IF(ifood_data[[#This Row],[marital_Together]]=1,"Living Together",(IF(ifood_data[[#This Row],[marital_Widow]]=1,"Widow","Other")))))))))</f>
        <v>Living Together</v>
      </c>
      <c r="AU1574" t="str">
        <f>IF(ifood_data[[#This Row],[education_Basic]]=1,"High School",(IF(ifood_data[[#This Row],[education_Graduation]]=1,"Undergraduate Degree",(IF(SUM(AM1574,AL1574,AI1574)&gt;0,"Master's Degree or Higher","Other")))))</f>
        <v>Undergraduate Degree</v>
      </c>
      <c r="AV1574" t="str">
        <f>IF(ifood_data[[#All],[Income]]&gt;75000,"75K+",(IF(ifood_data[[#All],[Income]]&gt;50000,"50K-75K",(IF(ifood_data[[#All],[Income]]&gt;35000,"35K-50K","&lt;35K")))))</f>
        <v>35K-50K</v>
      </c>
      <c r="AW1574" t="str">
        <f>IF(ifood_data[[#All],[Age]]&gt;60,"60+",(IF(ifood_data[[#All],[Age]]&gt;50,"50-60",(IF(ifood_data[[#All],[Age]]&gt;40,"40-50",(IF(ifood_data[[#All],[Age]]&gt;30,"30-40","&lt;30")))))))</f>
        <v>60+</v>
      </c>
      <c r="AX1574">
        <f t="shared" si="96"/>
        <v>10</v>
      </c>
      <c r="AY1574">
        <f t="shared" si="97"/>
        <v>1.9999999999999996</v>
      </c>
      <c r="AZ1574">
        <f t="shared" si="98"/>
        <v>0</v>
      </c>
      <c r="BA1574">
        <f t="shared" si="99"/>
        <v>0</v>
      </c>
      <c r="BB1574">
        <f>SUM(ifood_data[[#This Row],[Recency Score]:[Monetary Score]])</f>
        <v>1.9999999999999996</v>
      </c>
      <c r="BC1574">
        <f>(_xlfn.PERCENTRANK.INC(ifood_data[[#All],[RFM]],ifood_data[[#This Row],[RFM]],1))*10</f>
        <v>0</v>
      </c>
      <c r="BD1574" t="str">
        <f>VLOOKUP(ifood_data[[#This Row],[RFM Score]],'RFM Analysis'!$A$3:$B$14,2,FALSE)</f>
        <v>Lost</v>
      </c>
      <c r="BE1574">
        <f>'Regression Models'!$B$101+'Regression Models'!$B$102*ifood_data[[#This Row],[Income]]+'Regression Models'!$B$103*ifood_data[[#This Row],[Age]]+'Regression Models'!$B$104*ifood_data[[#This Row],[Family]]</f>
        <v>151.81552251798269</v>
      </c>
      <c r="BF1574" t="str">
        <f>IF(ifood_data[[#This Row],[AcceptedCmpOverall]]=1,"Campaign Respondent","Non-respondent")</f>
        <v>Non-respondent</v>
      </c>
    </row>
    <row r="1575" spans="1:58" x14ac:dyDescent="0.35">
      <c r="A1575">
        <v>587</v>
      </c>
      <c r="B1575">
        <v>35791</v>
      </c>
      <c r="C1575">
        <v>2</v>
      </c>
      <c r="D1575">
        <v>1</v>
      </c>
      <c r="E1575">
        <v>94</v>
      </c>
      <c r="F1575">
        <v>27</v>
      </c>
      <c r="G1575">
        <v>0</v>
      </c>
      <c r="H1575">
        <v>5</v>
      </c>
      <c r="I1575">
        <v>0</v>
      </c>
      <c r="J1575">
        <v>0</v>
      </c>
      <c r="K1575">
        <v>3</v>
      </c>
      <c r="L1575">
        <v>2</v>
      </c>
      <c r="M1575">
        <v>1</v>
      </c>
      <c r="N1575">
        <v>0</v>
      </c>
      <c r="O1575">
        <v>3</v>
      </c>
      <c r="P1575">
        <v>8</v>
      </c>
      <c r="Q1575">
        <v>0</v>
      </c>
      <c r="R1575">
        <v>0</v>
      </c>
      <c r="S1575">
        <v>0</v>
      </c>
      <c r="T1575">
        <v>0</v>
      </c>
      <c r="U1575">
        <v>0</v>
      </c>
      <c r="V1575">
        <f>IF(SUM(ifood_data[[#This Row],[AcceptedCmp1]:[AcceptedCmp5]])&gt;0,1,0)</f>
        <v>0</v>
      </c>
      <c r="W1575">
        <v>0</v>
      </c>
      <c r="X1575">
        <v>3</v>
      </c>
      <c r="Y1575">
        <v>11</v>
      </c>
      <c r="Z1575">
        <v>0</v>
      </c>
      <c r="AA1575">
        <v>55</v>
      </c>
      <c r="AB1575">
        <v>2578</v>
      </c>
      <c r="AC1575" s="28">
        <f>ifood_data[[#This Row],[Customer_Days]]/365</f>
        <v>7.0630136986301366</v>
      </c>
      <c r="AD1575">
        <v>0</v>
      </c>
      <c r="AE1575">
        <v>0</v>
      </c>
      <c r="AF1575">
        <v>1</v>
      </c>
      <c r="AG1575">
        <v>0</v>
      </c>
      <c r="AH1575">
        <v>0</v>
      </c>
      <c r="AI1575">
        <v>0</v>
      </c>
      <c r="AJ1575">
        <v>0</v>
      </c>
      <c r="AK1575">
        <v>0</v>
      </c>
      <c r="AL1575">
        <v>1</v>
      </c>
      <c r="AM1575">
        <v>0</v>
      </c>
      <c r="AN1575">
        <v>32</v>
      </c>
      <c r="AO1575">
        <v>29</v>
      </c>
      <c r="AP1575">
        <f>ifood_data[[#This Row],[MntTotal]]-ifood_data[[#This Row],[MntRegularProds]]</f>
        <v>3</v>
      </c>
      <c r="AQ1575">
        <v>0</v>
      </c>
      <c r="AR1575">
        <f>IF(SUM(ifood_data[[#This Row],[Kidhome]:[Teenhome]])&gt;0,1,0)</f>
        <v>1</v>
      </c>
      <c r="AS1575" t="str">
        <f>IF(SUM(ifood_data[[#This Row],[Kidhome]:[Teenhome]])&gt;0,"Has Family","No Family")</f>
        <v>Has Family</v>
      </c>
      <c r="AT1575" t="str">
        <f>IF(ifood_data[[#This Row],[marital_Married]]=1,"Married", (IF(ifood_data[[#This Row],[marital_Single]]=1,"Single",(IF(ifood_data[[#This Row],[marital_Divorced]]=1,"Divorced",(IF(ifood_data[[#This Row],[marital_Together]]=1,"Living Together",(IF(ifood_data[[#This Row],[marital_Widow]]=1,"Widow","Other")))))))))</f>
        <v>Single</v>
      </c>
      <c r="AU1575" t="str">
        <f>IF(ifood_data[[#This Row],[education_Basic]]=1,"High School",(IF(ifood_data[[#This Row],[education_Graduation]]=1,"Undergraduate Degree",(IF(SUM(AM1575,AL1575,AI1575)&gt;0,"Master's Degree or Higher","Other")))))</f>
        <v>Master's Degree or Higher</v>
      </c>
      <c r="AV1575" t="str">
        <f>IF(ifood_data[[#All],[Income]]&gt;75000,"75K+",(IF(ifood_data[[#All],[Income]]&gt;50000,"50K-75K",(IF(ifood_data[[#All],[Income]]&gt;35000,"35K-50K","&lt;35K")))))</f>
        <v>35K-50K</v>
      </c>
      <c r="AW1575" t="str">
        <f>IF(ifood_data[[#All],[Age]]&gt;60,"60+",(IF(ifood_data[[#All],[Age]]&gt;50,"50-60",(IF(ifood_data[[#All],[Age]]&gt;40,"40-50",(IF(ifood_data[[#All],[Age]]&gt;30,"30-40","&lt;30")))))))</f>
        <v>50-60</v>
      </c>
      <c r="AX1575">
        <f t="shared" si="96"/>
        <v>14</v>
      </c>
      <c r="AY1575">
        <f t="shared" si="97"/>
        <v>0.99999999999999978</v>
      </c>
      <c r="AZ1575">
        <f t="shared" si="98"/>
        <v>2</v>
      </c>
      <c r="BA1575">
        <f t="shared" si="99"/>
        <v>1</v>
      </c>
      <c r="BB1575">
        <f>SUM(ifood_data[[#This Row],[Recency Score]:[Monetary Score]])</f>
        <v>4</v>
      </c>
      <c r="BC1575">
        <f>(_xlfn.PERCENTRANK.INC(ifood_data[[#All],[RFM]],ifood_data[[#This Row],[RFM]],1))*10</f>
        <v>0</v>
      </c>
      <c r="BD1575" t="str">
        <f>VLOOKUP(ifood_data[[#This Row],[RFM Score]],'RFM Analysis'!$A$3:$B$14,2,FALSE)</f>
        <v>Lost</v>
      </c>
      <c r="BE1575">
        <f>'Regression Models'!$B$101+'Regression Models'!$B$102*ifood_data[[#This Row],[Income]]+'Regression Models'!$B$103*ifood_data[[#This Row],[Age]]+'Regression Models'!$B$104*ifood_data[[#This Row],[Family]]</f>
        <v>151.30136395161844</v>
      </c>
      <c r="BF1575" t="str">
        <f>IF(ifood_data[[#This Row],[AcceptedCmpOverall]]=1,"Campaign Respondent","Non-respondent")</f>
        <v>Non-respondent</v>
      </c>
    </row>
    <row r="1576" spans="1:58" x14ac:dyDescent="0.35">
      <c r="A1576">
        <v>775</v>
      </c>
      <c r="B1576">
        <v>22507</v>
      </c>
      <c r="C1576">
        <v>0</v>
      </c>
      <c r="D1576">
        <v>0</v>
      </c>
      <c r="E1576">
        <v>67</v>
      </c>
      <c r="F1576">
        <v>68</v>
      </c>
      <c r="G1576">
        <v>0</v>
      </c>
      <c r="H1576">
        <v>226</v>
      </c>
      <c r="I1576">
        <v>51</v>
      </c>
      <c r="J1576">
        <v>157</v>
      </c>
      <c r="K1576">
        <v>68</v>
      </c>
      <c r="L1576">
        <v>3</v>
      </c>
      <c r="M1576">
        <v>10</v>
      </c>
      <c r="N1576">
        <v>2</v>
      </c>
      <c r="O1576">
        <v>4</v>
      </c>
      <c r="P1576">
        <v>9</v>
      </c>
      <c r="Q1576">
        <v>0</v>
      </c>
      <c r="R1576">
        <v>0</v>
      </c>
      <c r="S1576">
        <v>0</v>
      </c>
      <c r="T1576">
        <v>0</v>
      </c>
      <c r="U1576">
        <v>0</v>
      </c>
      <c r="V1576">
        <f>IF(SUM(ifood_data[[#This Row],[AcceptedCmp1]:[AcceptedCmp5]])&gt;0,1,0)</f>
        <v>0</v>
      </c>
      <c r="W1576">
        <v>0</v>
      </c>
      <c r="X1576">
        <v>3</v>
      </c>
      <c r="Y1576">
        <v>11</v>
      </c>
      <c r="Z1576">
        <v>0</v>
      </c>
      <c r="AA1576">
        <v>66</v>
      </c>
      <c r="AB1576">
        <v>2741</v>
      </c>
      <c r="AC1576" s="28">
        <f>ifood_data[[#This Row],[Customer_Days]]/365</f>
        <v>7.5095890410958903</v>
      </c>
      <c r="AD1576">
        <v>0</v>
      </c>
      <c r="AE1576">
        <v>0</v>
      </c>
      <c r="AF1576">
        <v>1</v>
      </c>
      <c r="AG1576">
        <v>0</v>
      </c>
      <c r="AH1576">
        <v>0</v>
      </c>
      <c r="AI1576">
        <v>0</v>
      </c>
      <c r="AJ1576">
        <v>0</v>
      </c>
      <c r="AK1576">
        <v>1</v>
      </c>
      <c r="AL1576">
        <v>0</v>
      </c>
      <c r="AM1576">
        <v>0</v>
      </c>
      <c r="AN1576">
        <v>502</v>
      </c>
      <c r="AO1576">
        <v>434</v>
      </c>
      <c r="AP1576">
        <f>ifood_data[[#This Row],[MntTotal]]-ifood_data[[#This Row],[MntRegularProds]]</f>
        <v>68</v>
      </c>
      <c r="AQ1576">
        <v>0</v>
      </c>
      <c r="AR1576">
        <f>IF(SUM(ifood_data[[#This Row],[Kidhome]:[Teenhome]])&gt;0,1,0)</f>
        <v>0</v>
      </c>
      <c r="AS1576" t="str">
        <f>IF(SUM(ifood_data[[#This Row],[Kidhome]:[Teenhome]])&gt;0,"Has Family","No Family")</f>
        <v>No Family</v>
      </c>
      <c r="AT1576" t="str">
        <f>IF(ifood_data[[#This Row],[marital_Married]]=1,"Married", (IF(ifood_data[[#This Row],[marital_Single]]=1,"Single",(IF(ifood_data[[#This Row],[marital_Divorced]]=1,"Divorced",(IF(ifood_data[[#This Row],[marital_Together]]=1,"Living Together",(IF(ifood_data[[#This Row],[marital_Widow]]=1,"Widow","Other")))))))))</f>
        <v>Single</v>
      </c>
      <c r="AU1576" t="str">
        <f>IF(ifood_data[[#This Row],[education_Basic]]=1,"High School",(IF(ifood_data[[#This Row],[education_Graduation]]=1,"Undergraduate Degree",(IF(SUM(AM1576,AL1576,AI1576)&gt;0,"Master's Degree or Higher","Other")))))</f>
        <v>Undergraduate Degree</v>
      </c>
      <c r="AV1576" t="str">
        <f>IF(ifood_data[[#All],[Income]]&gt;75000,"75K+",(IF(ifood_data[[#All],[Income]]&gt;50000,"50K-75K",(IF(ifood_data[[#All],[Income]]&gt;35000,"35K-50K","&lt;35K")))))</f>
        <v>&lt;35K</v>
      </c>
      <c r="AW1576" t="str">
        <f>IF(ifood_data[[#All],[Age]]&gt;60,"60+",(IF(ifood_data[[#All],[Age]]&gt;50,"50-60",(IF(ifood_data[[#All],[Age]]&gt;40,"40-50",(IF(ifood_data[[#All],[Age]]&gt;30,"30-40","&lt;30")))))))</f>
        <v>60+</v>
      </c>
      <c r="AX1576">
        <f t="shared" si="96"/>
        <v>28</v>
      </c>
      <c r="AY1576">
        <f t="shared" si="97"/>
        <v>4</v>
      </c>
      <c r="AZ1576">
        <f t="shared" si="98"/>
        <v>8</v>
      </c>
      <c r="BA1576">
        <f t="shared" si="99"/>
        <v>5</v>
      </c>
      <c r="BB1576">
        <f>SUM(ifood_data[[#This Row],[Recency Score]:[Monetary Score]])</f>
        <v>17</v>
      </c>
      <c r="BC1576">
        <f>(_xlfn.PERCENTRANK.INC(ifood_data[[#All],[RFM]],ifood_data[[#This Row],[RFM]],1))*10</f>
        <v>6</v>
      </c>
      <c r="BD1576" t="str">
        <f>VLOOKUP(ifood_data[[#This Row],[RFM Score]],'RFM Analysis'!$A$3:$B$14,2,FALSE)</f>
        <v>Promising</v>
      </c>
      <c r="BE1576">
        <f>'Regression Models'!$B$101+'Regression Models'!$B$102*ifood_data[[#This Row],[Income]]+'Regression Models'!$B$103*ifood_data[[#This Row],[Age]]+'Regression Models'!$B$104*ifood_data[[#This Row],[Family]]</f>
        <v>149.86976913324401</v>
      </c>
      <c r="BF1576" t="str">
        <f>IF(ifood_data[[#This Row],[AcceptedCmpOverall]]=1,"Campaign Respondent","Non-respondent")</f>
        <v>Non-respondent</v>
      </c>
    </row>
    <row r="1577" spans="1:58" x14ac:dyDescent="0.35">
      <c r="A1577">
        <v>314</v>
      </c>
      <c r="B1577">
        <v>35178</v>
      </c>
      <c r="C1577">
        <v>1</v>
      </c>
      <c r="D1577">
        <v>0</v>
      </c>
      <c r="E1577">
        <v>10</v>
      </c>
      <c r="F1577">
        <v>23</v>
      </c>
      <c r="G1577">
        <v>1</v>
      </c>
      <c r="H1577">
        <v>13</v>
      </c>
      <c r="I1577">
        <v>2</v>
      </c>
      <c r="J1577">
        <v>2</v>
      </c>
      <c r="K1577">
        <v>18</v>
      </c>
      <c r="L1577">
        <v>1</v>
      </c>
      <c r="M1577">
        <v>1</v>
      </c>
      <c r="N1577">
        <v>1</v>
      </c>
      <c r="O1577">
        <v>2</v>
      </c>
      <c r="P1577">
        <v>7</v>
      </c>
      <c r="Q1577">
        <v>0</v>
      </c>
      <c r="R1577">
        <v>0</v>
      </c>
      <c r="S1577">
        <v>1</v>
      </c>
      <c r="T1577">
        <v>0</v>
      </c>
      <c r="U1577">
        <v>0</v>
      </c>
      <c r="V1577">
        <f>IF(SUM(ifood_data[[#This Row],[AcceptedCmp1]:[AcceptedCmp5]])&gt;0,1,0)</f>
        <v>1</v>
      </c>
      <c r="W1577">
        <v>0</v>
      </c>
      <c r="X1577">
        <v>3</v>
      </c>
      <c r="Y1577">
        <v>11</v>
      </c>
      <c r="Z1577">
        <v>1</v>
      </c>
      <c r="AA1577">
        <v>49</v>
      </c>
      <c r="AB1577">
        <v>2694</v>
      </c>
      <c r="AC1577" s="28">
        <f>ifood_data[[#This Row],[Customer_Days]]/365</f>
        <v>7.3808219178082188</v>
      </c>
      <c r="AD1577">
        <v>0</v>
      </c>
      <c r="AE1577">
        <v>1</v>
      </c>
      <c r="AF1577">
        <v>0</v>
      </c>
      <c r="AG1577">
        <v>0</v>
      </c>
      <c r="AH1577">
        <v>0</v>
      </c>
      <c r="AI1577">
        <v>0</v>
      </c>
      <c r="AJ1577">
        <v>0</v>
      </c>
      <c r="AK1577">
        <v>0</v>
      </c>
      <c r="AL1577">
        <v>1</v>
      </c>
      <c r="AM1577">
        <v>0</v>
      </c>
      <c r="AN1577">
        <v>41</v>
      </c>
      <c r="AO1577">
        <v>23</v>
      </c>
      <c r="AP1577">
        <f>ifood_data[[#This Row],[MntTotal]]-ifood_data[[#This Row],[MntRegularProds]]</f>
        <v>18</v>
      </c>
      <c r="AQ1577">
        <v>1</v>
      </c>
      <c r="AR1577">
        <f>IF(SUM(ifood_data[[#This Row],[Kidhome]:[Teenhome]])&gt;0,1,0)</f>
        <v>1</v>
      </c>
      <c r="AS1577" t="str">
        <f>IF(SUM(ifood_data[[#This Row],[Kidhome]:[Teenhome]])&gt;0,"Has Family","No Family")</f>
        <v>Has Family</v>
      </c>
      <c r="AT1577" t="str">
        <f>IF(ifood_data[[#This Row],[marital_Married]]=1,"Married", (IF(ifood_data[[#This Row],[marital_Single]]=1,"Single",(IF(ifood_data[[#This Row],[marital_Divorced]]=1,"Divorced",(IF(ifood_data[[#This Row],[marital_Together]]=1,"Living Together",(IF(ifood_data[[#This Row],[marital_Widow]]=1,"Widow","Other")))))))))</f>
        <v>Married</v>
      </c>
      <c r="AU1577" t="str">
        <f>IF(ifood_data[[#This Row],[education_Basic]]=1,"High School",(IF(ifood_data[[#This Row],[education_Graduation]]=1,"Undergraduate Degree",(IF(SUM(AM1577,AL1577,AI1577)&gt;0,"Master's Degree or Higher","Other")))))</f>
        <v>Master's Degree or Higher</v>
      </c>
      <c r="AV1577" t="str">
        <f>IF(ifood_data[[#All],[Income]]&gt;75000,"75K+",(IF(ifood_data[[#All],[Income]]&gt;50000,"50K-75K",(IF(ifood_data[[#All],[Income]]&gt;35000,"35K-50K","&lt;35K")))))</f>
        <v>35K-50K</v>
      </c>
      <c r="AW1577" t="str">
        <f>IF(ifood_data[[#All],[Age]]&gt;60,"60+",(IF(ifood_data[[#All],[Age]]&gt;50,"50-60",(IF(ifood_data[[#All],[Age]]&gt;40,"40-50",(IF(ifood_data[[#All],[Age]]&gt;30,"30-40","&lt;30")))))))</f>
        <v>40-50</v>
      </c>
      <c r="AX1577">
        <f t="shared" si="96"/>
        <v>12</v>
      </c>
      <c r="AY1577">
        <f t="shared" si="97"/>
        <v>9</v>
      </c>
      <c r="AZ1577">
        <f t="shared" si="98"/>
        <v>1</v>
      </c>
      <c r="BA1577">
        <f t="shared" si="99"/>
        <v>1</v>
      </c>
      <c r="BB1577">
        <f>SUM(ifood_data[[#This Row],[Recency Score]:[Monetary Score]])</f>
        <v>11</v>
      </c>
      <c r="BC1577">
        <f>(_xlfn.PERCENTRANK.INC(ifood_data[[#All],[RFM]],ifood_data[[#This Row],[RFM]],1))*10</f>
        <v>2</v>
      </c>
      <c r="BD1577" t="str">
        <f>VLOOKUP(ifood_data[[#This Row],[RFM Score]],'RFM Analysis'!$A$3:$B$14,2,FALSE)</f>
        <v>At Risk</v>
      </c>
      <c r="BE1577">
        <f>'Regression Models'!$B$101+'Regression Models'!$B$102*ifood_data[[#This Row],[Income]]+'Regression Models'!$B$103*ifood_data[[#This Row],[Age]]+'Regression Models'!$B$104*ifood_data[[#This Row],[Family]]</f>
        <v>149.82168355277406</v>
      </c>
      <c r="BF1577" t="str">
        <f>IF(ifood_data[[#This Row],[AcceptedCmpOverall]]=1,"Campaign Respondent","Non-respondent")</f>
        <v>Campaign Respondent</v>
      </c>
    </row>
    <row r="1578" spans="1:58" x14ac:dyDescent="0.35">
      <c r="A1578">
        <v>1010</v>
      </c>
      <c r="B1578">
        <v>22304</v>
      </c>
      <c r="C1578">
        <v>0</v>
      </c>
      <c r="D1578">
        <v>0</v>
      </c>
      <c r="E1578">
        <v>91</v>
      </c>
      <c r="F1578">
        <v>3</v>
      </c>
      <c r="G1578">
        <v>2</v>
      </c>
      <c r="H1578">
        <v>7</v>
      </c>
      <c r="I1578">
        <v>0</v>
      </c>
      <c r="J1578">
        <v>4</v>
      </c>
      <c r="K1578">
        <v>2</v>
      </c>
      <c r="L1578">
        <v>1</v>
      </c>
      <c r="M1578">
        <v>1</v>
      </c>
      <c r="N1578">
        <v>0</v>
      </c>
      <c r="O1578">
        <v>2</v>
      </c>
      <c r="P1578">
        <v>8</v>
      </c>
      <c r="Q1578">
        <v>0</v>
      </c>
      <c r="R1578">
        <v>0</v>
      </c>
      <c r="S1578">
        <v>0</v>
      </c>
      <c r="T1578">
        <v>0</v>
      </c>
      <c r="U1578">
        <v>0</v>
      </c>
      <c r="V1578">
        <f>IF(SUM(ifood_data[[#This Row],[AcceptedCmp1]:[AcceptedCmp5]])&gt;0,1,0)</f>
        <v>0</v>
      </c>
      <c r="W1578">
        <v>0</v>
      </c>
      <c r="X1578">
        <v>3</v>
      </c>
      <c r="Y1578">
        <v>11</v>
      </c>
      <c r="Z1578">
        <v>0</v>
      </c>
      <c r="AA1578">
        <v>64</v>
      </c>
      <c r="AB1578">
        <v>2853</v>
      </c>
      <c r="AC1578" s="28">
        <f>ifood_data[[#This Row],[Customer_Days]]/365</f>
        <v>7.816438356164384</v>
      </c>
      <c r="AD1578">
        <v>1</v>
      </c>
      <c r="AE1578">
        <v>0</v>
      </c>
      <c r="AF1578">
        <v>0</v>
      </c>
      <c r="AG1578">
        <v>0</v>
      </c>
      <c r="AH1578">
        <v>0</v>
      </c>
      <c r="AI1578">
        <v>0</v>
      </c>
      <c r="AJ1578">
        <v>0</v>
      </c>
      <c r="AK1578">
        <v>1</v>
      </c>
      <c r="AL1578">
        <v>0</v>
      </c>
      <c r="AM1578">
        <v>0</v>
      </c>
      <c r="AN1578">
        <v>16</v>
      </c>
      <c r="AO1578">
        <v>14</v>
      </c>
      <c r="AP1578">
        <f>ifood_data[[#This Row],[MntTotal]]-ifood_data[[#This Row],[MntRegularProds]]</f>
        <v>2</v>
      </c>
      <c r="AQ1578">
        <v>0</v>
      </c>
      <c r="AR1578">
        <f>IF(SUM(ifood_data[[#This Row],[Kidhome]:[Teenhome]])&gt;0,1,0)</f>
        <v>0</v>
      </c>
      <c r="AS1578" t="str">
        <f>IF(SUM(ifood_data[[#This Row],[Kidhome]:[Teenhome]])&gt;0,"Has Family","No Family")</f>
        <v>No Family</v>
      </c>
      <c r="AT1578" t="str">
        <f>IF(ifood_data[[#This Row],[marital_Married]]=1,"Married", (IF(ifood_data[[#This Row],[marital_Single]]=1,"Single",(IF(ifood_data[[#This Row],[marital_Divorced]]=1,"Divorced",(IF(ifood_data[[#This Row],[marital_Together]]=1,"Living Together",(IF(ifood_data[[#This Row],[marital_Widow]]=1,"Widow","Other")))))))))</f>
        <v>Divorced</v>
      </c>
      <c r="AU1578" t="str">
        <f>IF(ifood_data[[#This Row],[education_Basic]]=1,"High School",(IF(ifood_data[[#This Row],[education_Graduation]]=1,"Undergraduate Degree",(IF(SUM(AM1578,AL1578,AI1578)&gt;0,"Master's Degree or Higher","Other")))))</f>
        <v>Undergraduate Degree</v>
      </c>
      <c r="AV1578" t="str">
        <f>IF(ifood_data[[#All],[Income]]&gt;75000,"75K+",(IF(ifood_data[[#All],[Income]]&gt;50000,"50K-75K",(IF(ifood_data[[#All],[Income]]&gt;35000,"35K-50K","&lt;35K")))))</f>
        <v>&lt;35K</v>
      </c>
      <c r="AW1578" t="str">
        <f>IF(ifood_data[[#All],[Age]]&gt;60,"60+",(IF(ifood_data[[#All],[Age]]&gt;50,"50-60",(IF(ifood_data[[#All],[Age]]&gt;40,"40-50",(IF(ifood_data[[#All],[Age]]&gt;30,"30-40","&lt;30")))))))</f>
        <v>60+</v>
      </c>
      <c r="AX1578">
        <f t="shared" si="96"/>
        <v>12</v>
      </c>
      <c r="AY1578">
        <f t="shared" si="97"/>
        <v>0.99999999999999978</v>
      </c>
      <c r="AZ1578">
        <f t="shared" si="98"/>
        <v>1</v>
      </c>
      <c r="BA1578">
        <f t="shared" si="99"/>
        <v>0</v>
      </c>
      <c r="BB1578">
        <f>SUM(ifood_data[[#This Row],[Recency Score]:[Monetary Score]])</f>
        <v>1.9999999999999998</v>
      </c>
      <c r="BC1578">
        <f>(_xlfn.PERCENTRANK.INC(ifood_data[[#All],[RFM]],ifood_data[[#This Row],[RFM]],1))*10</f>
        <v>0</v>
      </c>
      <c r="BD1578" t="str">
        <f>VLOOKUP(ifood_data[[#This Row],[RFM Score]],'RFM Analysis'!$A$3:$B$14,2,FALSE)</f>
        <v>Lost</v>
      </c>
      <c r="BE1578">
        <f>'Regression Models'!$B$101+'Regression Models'!$B$102*ifood_data[[#This Row],[Income]]+'Regression Models'!$B$103*ifood_data[[#This Row],[Age]]+'Regression Models'!$B$104*ifood_data[[#This Row],[Family]]</f>
        <v>149.40372735782108</v>
      </c>
      <c r="BF1578" t="str">
        <f>IF(ifood_data[[#This Row],[AcceptedCmpOverall]]=1,"Campaign Respondent","Non-respondent")</f>
        <v>Non-respondent</v>
      </c>
    </row>
    <row r="1579" spans="1:58" x14ac:dyDescent="0.35">
      <c r="A1579">
        <v>964</v>
      </c>
      <c r="B1579">
        <v>34961</v>
      </c>
      <c r="C1579">
        <v>1</v>
      </c>
      <c r="D1579">
        <v>0</v>
      </c>
      <c r="E1579">
        <v>77</v>
      </c>
      <c r="F1579">
        <v>45</v>
      </c>
      <c r="G1579">
        <v>2</v>
      </c>
      <c r="H1579">
        <v>26</v>
      </c>
      <c r="I1579">
        <v>4</v>
      </c>
      <c r="J1579">
        <v>1</v>
      </c>
      <c r="K1579">
        <v>1</v>
      </c>
      <c r="L1579">
        <v>3</v>
      </c>
      <c r="M1579">
        <v>3</v>
      </c>
      <c r="N1579">
        <v>1</v>
      </c>
      <c r="O1579">
        <v>3</v>
      </c>
      <c r="P1579">
        <v>7</v>
      </c>
      <c r="Q1579">
        <v>0</v>
      </c>
      <c r="R1579">
        <v>0</v>
      </c>
      <c r="S1579">
        <v>0</v>
      </c>
      <c r="T1579">
        <v>0</v>
      </c>
      <c r="U1579">
        <v>0</v>
      </c>
      <c r="V1579">
        <f>IF(SUM(ifood_data[[#This Row],[AcceptedCmp1]:[AcceptedCmp5]])&gt;0,1,0)</f>
        <v>0</v>
      </c>
      <c r="W1579">
        <v>0</v>
      </c>
      <c r="X1579">
        <v>3</v>
      </c>
      <c r="Y1579">
        <v>11</v>
      </c>
      <c r="Z1579">
        <v>0</v>
      </c>
      <c r="AA1579">
        <v>47</v>
      </c>
      <c r="AB1579">
        <v>2169</v>
      </c>
      <c r="AC1579" s="28">
        <f>ifood_data[[#This Row],[Customer_Days]]/365</f>
        <v>5.9424657534246572</v>
      </c>
      <c r="AD1579">
        <v>0</v>
      </c>
      <c r="AE1579">
        <v>1</v>
      </c>
      <c r="AF1579">
        <v>0</v>
      </c>
      <c r="AG1579">
        <v>0</v>
      </c>
      <c r="AH1579">
        <v>0</v>
      </c>
      <c r="AI1579">
        <v>0</v>
      </c>
      <c r="AJ1579">
        <v>0</v>
      </c>
      <c r="AK1579">
        <v>1</v>
      </c>
      <c r="AL1579">
        <v>0</v>
      </c>
      <c r="AM1579">
        <v>0</v>
      </c>
      <c r="AN1579">
        <v>78</v>
      </c>
      <c r="AO1579">
        <v>77</v>
      </c>
      <c r="AP1579">
        <f>ifood_data[[#This Row],[MntTotal]]-ifood_data[[#This Row],[MntRegularProds]]</f>
        <v>1</v>
      </c>
      <c r="AQ1579">
        <v>0</v>
      </c>
      <c r="AR1579">
        <f>IF(SUM(ifood_data[[#This Row],[Kidhome]:[Teenhome]])&gt;0,1,0)</f>
        <v>1</v>
      </c>
      <c r="AS1579" t="str">
        <f>IF(SUM(ifood_data[[#This Row],[Kidhome]:[Teenhome]])&gt;0,"Has Family","No Family")</f>
        <v>Has Family</v>
      </c>
      <c r="AT1579" t="str">
        <f>IF(ifood_data[[#This Row],[marital_Married]]=1,"Married", (IF(ifood_data[[#This Row],[marital_Single]]=1,"Single",(IF(ifood_data[[#This Row],[marital_Divorced]]=1,"Divorced",(IF(ifood_data[[#This Row],[marital_Together]]=1,"Living Together",(IF(ifood_data[[#This Row],[marital_Widow]]=1,"Widow","Other")))))))))</f>
        <v>Married</v>
      </c>
      <c r="AU1579" t="str">
        <f>IF(ifood_data[[#This Row],[education_Basic]]=1,"High School",(IF(ifood_data[[#This Row],[education_Graduation]]=1,"Undergraduate Degree",(IF(SUM(AM1579,AL1579,AI1579)&gt;0,"Master's Degree or Higher","Other")))))</f>
        <v>Undergraduate Degree</v>
      </c>
      <c r="AV1579" t="str">
        <f>IF(ifood_data[[#All],[Income]]&gt;75000,"75K+",(IF(ifood_data[[#All],[Income]]&gt;50000,"50K-75K",(IF(ifood_data[[#All],[Income]]&gt;35000,"35K-50K","&lt;35K")))))</f>
        <v>&lt;35K</v>
      </c>
      <c r="AW1579" t="str">
        <f>IF(ifood_data[[#All],[Age]]&gt;60,"60+",(IF(ifood_data[[#All],[Age]]&gt;50,"50-60",(IF(ifood_data[[#All],[Age]]&gt;40,"40-50",(IF(ifood_data[[#All],[Age]]&gt;30,"30-40","&lt;30")))))))</f>
        <v>40-50</v>
      </c>
      <c r="AX1579">
        <f t="shared" si="96"/>
        <v>17</v>
      </c>
      <c r="AY1579">
        <f t="shared" si="97"/>
        <v>3.0000000000000004</v>
      </c>
      <c r="AZ1579">
        <f t="shared" si="98"/>
        <v>3</v>
      </c>
      <c r="BA1579">
        <f t="shared" si="99"/>
        <v>3</v>
      </c>
      <c r="BB1579">
        <f>SUM(ifood_data[[#This Row],[Recency Score]:[Monetary Score]])</f>
        <v>9</v>
      </c>
      <c r="BC1579">
        <f>(_xlfn.PERCENTRANK.INC(ifood_data[[#All],[RFM]],ifood_data[[#This Row],[RFM]],1))*10</f>
        <v>1</v>
      </c>
      <c r="BD1579" t="str">
        <f>VLOOKUP(ifood_data[[#This Row],[RFM Score]],'RFM Analysis'!$A$3:$B$14,2,FALSE)</f>
        <v>At Risk</v>
      </c>
      <c r="BE1579">
        <f>'Regression Models'!$B$101+'Regression Models'!$B$102*ifood_data[[#This Row],[Income]]+'Regression Models'!$B$103*ifood_data[[#This Row],[Age]]+'Regression Models'!$B$104*ifood_data[[#This Row],[Family]]</f>
        <v>149.07019902333661</v>
      </c>
      <c r="BF1579" t="str">
        <f>IF(ifood_data[[#This Row],[AcceptedCmpOverall]]=1,"Campaign Respondent","Non-respondent")</f>
        <v>Non-respondent</v>
      </c>
    </row>
    <row r="1580" spans="1:58" x14ac:dyDescent="0.35">
      <c r="A1580">
        <v>1525</v>
      </c>
      <c r="B1580">
        <v>36634</v>
      </c>
      <c r="C1580">
        <v>0</v>
      </c>
      <c r="D1580">
        <v>1</v>
      </c>
      <c r="E1580">
        <v>0</v>
      </c>
      <c r="F1580">
        <v>213</v>
      </c>
      <c r="G1580">
        <v>9</v>
      </c>
      <c r="H1580">
        <v>76</v>
      </c>
      <c r="I1580">
        <v>4</v>
      </c>
      <c r="J1580">
        <v>3</v>
      </c>
      <c r="K1580">
        <v>30</v>
      </c>
      <c r="L1580">
        <v>3</v>
      </c>
      <c r="M1580">
        <v>5</v>
      </c>
      <c r="N1580">
        <v>2</v>
      </c>
      <c r="O1580">
        <v>5</v>
      </c>
      <c r="P1580">
        <v>7</v>
      </c>
      <c r="Q1580">
        <v>0</v>
      </c>
      <c r="R1580">
        <v>0</v>
      </c>
      <c r="S1580">
        <v>0</v>
      </c>
      <c r="T1580">
        <v>0</v>
      </c>
      <c r="U1580">
        <v>0</v>
      </c>
      <c r="V1580">
        <f>IF(SUM(ifood_data[[#This Row],[AcceptedCmp1]:[AcceptedCmp5]])&gt;0,1,0)</f>
        <v>0</v>
      </c>
      <c r="W1580">
        <v>0</v>
      </c>
      <c r="X1580">
        <v>3</v>
      </c>
      <c r="Y1580">
        <v>11</v>
      </c>
      <c r="Z1580">
        <v>0</v>
      </c>
      <c r="AA1580">
        <v>66</v>
      </c>
      <c r="AB1580">
        <v>2556</v>
      </c>
      <c r="AC1580" s="28">
        <f>ifood_data[[#This Row],[Customer_Days]]/365</f>
        <v>7.0027397260273974</v>
      </c>
      <c r="AD1580">
        <v>0</v>
      </c>
      <c r="AE1580">
        <v>0</v>
      </c>
      <c r="AF1580">
        <v>0</v>
      </c>
      <c r="AG1580">
        <v>1</v>
      </c>
      <c r="AH1580">
        <v>0</v>
      </c>
      <c r="AI1580">
        <v>0</v>
      </c>
      <c r="AJ1580">
        <v>0</v>
      </c>
      <c r="AK1580">
        <v>0</v>
      </c>
      <c r="AL1580">
        <v>1</v>
      </c>
      <c r="AM1580">
        <v>0</v>
      </c>
      <c r="AN1580">
        <v>305</v>
      </c>
      <c r="AO1580">
        <v>275</v>
      </c>
      <c r="AP1580">
        <f>ifood_data[[#This Row],[MntTotal]]-ifood_data[[#This Row],[MntRegularProds]]</f>
        <v>30</v>
      </c>
      <c r="AQ1580">
        <v>0</v>
      </c>
      <c r="AR1580">
        <f>IF(SUM(ifood_data[[#This Row],[Kidhome]:[Teenhome]])&gt;0,1,0)</f>
        <v>1</v>
      </c>
      <c r="AS1580" t="str">
        <f>IF(SUM(ifood_data[[#This Row],[Kidhome]:[Teenhome]])&gt;0,"Has Family","No Family")</f>
        <v>Has Family</v>
      </c>
      <c r="AT1580" t="str">
        <f>IF(ifood_data[[#This Row],[marital_Married]]=1,"Married", (IF(ifood_data[[#This Row],[marital_Single]]=1,"Single",(IF(ifood_data[[#This Row],[marital_Divorced]]=1,"Divorced",(IF(ifood_data[[#This Row],[marital_Together]]=1,"Living Together",(IF(ifood_data[[#This Row],[marital_Widow]]=1,"Widow","Other")))))))))</f>
        <v>Living Together</v>
      </c>
      <c r="AU1580" t="str">
        <f>IF(ifood_data[[#This Row],[education_Basic]]=1,"High School",(IF(ifood_data[[#This Row],[education_Graduation]]=1,"Undergraduate Degree",(IF(SUM(AM1580,AL1580,AI1580)&gt;0,"Master's Degree or Higher","Other")))))</f>
        <v>Master's Degree or Higher</v>
      </c>
      <c r="AV1580" t="str">
        <f>IF(ifood_data[[#All],[Income]]&gt;75000,"75K+",(IF(ifood_data[[#All],[Income]]&gt;50000,"50K-75K",(IF(ifood_data[[#All],[Income]]&gt;35000,"35K-50K","&lt;35K")))))</f>
        <v>35K-50K</v>
      </c>
      <c r="AW1580" t="str">
        <f>IF(ifood_data[[#All],[Age]]&gt;60,"60+",(IF(ifood_data[[#All],[Age]]&gt;50,"50-60",(IF(ifood_data[[#All],[Age]]&gt;40,"40-50",(IF(ifood_data[[#All],[Age]]&gt;30,"30-40","&lt;30")))))))</f>
        <v>60+</v>
      </c>
      <c r="AX1580">
        <f t="shared" si="96"/>
        <v>22</v>
      </c>
      <c r="AY1580">
        <f t="shared" si="97"/>
        <v>10</v>
      </c>
      <c r="AZ1580">
        <f t="shared" si="98"/>
        <v>5</v>
      </c>
      <c r="BA1580">
        <f t="shared" si="99"/>
        <v>4</v>
      </c>
      <c r="BB1580">
        <f>SUM(ifood_data[[#This Row],[Recency Score]:[Monetary Score]])</f>
        <v>19</v>
      </c>
      <c r="BC1580">
        <f>(_xlfn.PERCENTRANK.INC(ifood_data[[#All],[RFM]],ifood_data[[#This Row],[RFM]],1))*10</f>
        <v>7</v>
      </c>
      <c r="BD1580" t="str">
        <f>VLOOKUP(ifood_data[[#This Row],[RFM Score]],'RFM Analysis'!$A$3:$B$14,2,FALSE)</f>
        <v>Loyal Customer</v>
      </c>
      <c r="BE1580">
        <f>'Regression Models'!$B$101+'Regression Models'!$B$102*ifood_data[[#This Row],[Income]]+'Regression Models'!$B$103*ifood_data[[#This Row],[Age]]+'Regression Models'!$B$104*ifood_data[[#This Row],[Family]]</f>
        <v>148.28826562908819</v>
      </c>
      <c r="BF1580" t="str">
        <f>IF(ifood_data[[#This Row],[AcceptedCmpOverall]]=1,"Campaign Respondent","Non-respondent")</f>
        <v>Non-respondent</v>
      </c>
    </row>
    <row r="1581" spans="1:58" x14ac:dyDescent="0.35">
      <c r="A1581">
        <v>790</v>
      </c>
      <c r="B1581">
        <v>35441</v>
      </c>
      <c r="C1581">
        <v>1</v>
      </c>
      <c r="D1581">
        <v>1</v>
      </c>
      <c r="E1581">
        <v>94</v>
      </c>
      <c r="F1581">
        <v>25</v>
      </c>
      <c r="G1581">
        <v>1</v>
      </c>
      <c r="H1581">
        <v>9</v>
      </c>
      <c r="I1581">
        <v>2</v>
      </c>
      <c r="J1581">
        <v>1</v>
      </c>
      <c r="K1581">
        <v>1</v>
      </c>
      <c r="L1581">
        <v>2</v>
      </c>
      <c r="M1581">
        <v>1</v>
      </c>
      <c r="N1581">
        <v>0</v>
      </c>
      <c r="O1581">
        <v>3</v>
      </c>
      <c r="P1581">
        <v>8</v>
      </c>
      <c r="Q1581">
        <v>0</v>
      </c>
      <c r="R1581">
        <v>0</v>
      </c>
      <c r="S1581">
        <v>0</v>
      </c>
      <c r="T1581">
        <v>0</v>
      </c>
      <c r="U1581">
        <v>0</v>
      </c>
      <c r="V1581">
        <f>IF(SUM(ifood_data[[#This Row],[AcceptedCmp1]:[AcceptedCmp5]])&gt;0,1,0)</f>
        <v>0</v>
      </c>
      <c r="W1581">
        <v>0</v>
      </c>
      <c r="X1581">
        <v>3</v>
      </c>
      <c r="Y1581">
        <v>11</v>
      </c>
      <c r="Z1581">
        <v>0</v>
      </c>
      <c r="AA1581">
        <v>53</v>
      </c>
      <c r="AB1581">
        <v>2659</v>
      </c>
      <c r="AC1581" s="28">
        <f>ifood_data[[#This Row],[Customer_Days]]/365</f>
        <v>7.2849315068493148</v>
      </c>
      <c r="AD1581">
        <v>0</v>
      </c>
      <c r="AE1581">
        <v>1</v>
      </c>
      <c r="AF1581">
        <v>0</v>
      </c>
      <c r="AG1581">
        <v>0</v>
      </c>
      <c r="AH1581">
        <v>0</v>
      </c>
      <c r="AI1581">
        <v>0</v>
      </c>
      <c r="AJ1581">
        <v>0</v>
      </c>
      <c r="AK1581">
        <v>1</v>
      </c>
      <c r="AL1581">
        <v>0</v>
      </c>
      <c r="AM1581">
        <v>0</v>
      </c>
      <c r="AN1581">
        <v>38</v>
      </c>
      <c r="AO1581">
        <v>37</v>
      </c>
      <c r="AP1581">
        <f>ifood_data[[#This Row],[MntTotal]]-ifood_data[[#This Row],[MntRegularProds]]</f>
        <v>1</v>
      </c>
      <c r="AQ1581">
        <v>0</v>
      </c>
      <c r="AR1581">
        <f>IF(SUM(ifood_data[[#This Row],[Kidhome]:[Teenhome]])&gt;0,1,0)</f>
        <v>1</v>
      </c>
      <c r="AS1581" t="str">
        <f>IF(SUM(ifood_data[[#This Row],[Kidhome]:[Teenhome]])&gt;0,"Has Family","No Family")</f>
        <v>Has Family</v>
      </c>
      <c r="AT1581" t="str">
        <f>IF(ifood_data[[#This Row],[marital_Married]]=1,"Married", (IF(ifood_data[[#This Row],[marital_Single]]=1,"Single",(IF(ifood_data[[#This Row],[marital_Divorced]]=1,"Divorced",(IF(ifood_data[[#This Row],[marital_Together]]=1,"Living Together",(IF(ifood_data[[#This Row],[marital_Widow]]=1,"Widow","Other")))))))))</f>
        <v>Married</v>
      </c>
      <c r="AU1581" t="str">
        <f>IF(ifood_data[[#This Row],[education_Basic]]=1,"High School",(IF(ifood_data[[#This Row],[education_Graduation]]=1,"Undergraduate Degree",(IF(SUM(AM1581,AL1581,AI1581)&gt;0,"Master's Degree or Higher","Other")))))</f>
        <v>Undergraduate Degree</v>
      </c>
      <c r="AV1581" t="str">
        <f>IF(ifood_data[[#All],[Income]]&gt;75000,"75K+",(IF(ifood_data[[#All],[Income]]&gt;50000,"50K-75K",(IF(ifood_data[[#All],[Income]]&gt;35000,"35K-50K","&lt;35K")))))</f>
        <v>35K-50K</v>
      </c>
      <c r="AW1581" t="str">
        <f>IF(ifood_data[[#All],[Age]]&gt;60,"60+",(IF(ifood_data[[#All],[Age]]&gt;50,"50-60",(IF(ifood_data[[#All],[Age]]&gt;40,"40-50",(IF(ifood_data[[#All],[Age]]&gt;30,"30-40","&lt;30")))))))</f>
        <v>50-60</v>
      </c>
      <c r="AX1581">
        <f t="shared" si="96"/>
        <v>14</v>
      </c>
      <c r="AY1581">
        <f t="shared" si="97"/>
        <v>0.99999999999999978</v>
      </c>
      <c r="AZ1581">
        <f t="shared" si="98"/>
        <v>2</v>
      </c>
      <c r="BA1581">
        <f t="shared" si="99"/>
        <v>1</v>
      </c>
      <c r="BB1581">
        <f>SUM(ifood_data[[#This Row],[Recency Score]:[Monetary Score]])</f>
        <v>4</v>
      </c>
      <c r="BC1581">
        <f>(_xlfn.PERCENTRANK.INC(ifood_data[[#All],[RFM]],ifood_data[[#This Row],[RFM]],1))*10</f>
        <v>0</v>
      </c>
      <c r="BD1581" t="str">
        <f>VLOOKUP(ifood_data[[#This Row],[RFM Score]],'RFM Analysis'!$A$3:$B$14,2,FALSE)</f>
        <v>Lost</v>
      </c>
      <c r="BE1581">
        <f>'Regression Models'!$B$101+'Regression Models'!$B$102*ifood_data[[#This Row],[Income]]+'Regression Models'!$B$103*ifood_data[[#This Row],[Age]]+'Regression Models'!$B$104*ifood_data[[#This Row],[Family]]</f>
        <v>147.83817325904238</v>
      </c>
      <c r="BF1581" t="str">
        <f>IF(ifood_data[[#This Row],[AcceptedCmpOverall]]=1,"Campaign Respondent","Non-respondent")</f>
        <v>Non-respondent</v>
      </c>
    </row>
    <row r="1582" spans="1:58" x14ac:dyDescent="0.35">
      <c r="A1582">
        <v>19</v>
      </c>
      <c r="B1582">
        <v>33812</v>
      </c>
      <c r="C1582">
        <v>1</v>
      </c>
      <c r="D1582">
        <v>0</v>
      </c>
      <c r="E1582">
        <v>86</v>
      </c>
      <c r="F1582">
        <v>4</v>
      </c>
      <c r="G1582">
        <v>17</v>
      </c>
      <c r="H1582">
        <v>19</v>
      </c>
      <c r="I1582">
        <v>30</v>
      </c>
      <c r="J1582">
        <v>24</v>
      </c>
      <c r="K1582">
        <v>39</v>
      </c>
      <c r="L1582">
        <v>2</v>
      </c>
      <c r="M1582">
        <v>2</v>
      </c>
      <c r="N1582">
        <v>1</v>
      </c>
      <c r="O1582">
        <v>3</v>
      </c>
      <c r="P1582">
        <v>6</v>
      </c>
      <c r="Q1582">
        <v>0</v>
      </c>
      <c r="R1582">
        <v>0</v>
      </c>
      <c r="S1582">
        <v>0</v>
      </c>
      <c r="T1582">
        <v>0</v>
      </c>
      <c r="U1582">
        <v>0</v>
      </c>
      <c r="V1582">
        <f>IF(SUM(ifood_data[[#This Row],[AcceptedCmp1]:[AcceptedCmp5]])&gt;0,1,0)</f>
        <v>0</v>
      </c>
      <c r="W1582">
        <v>0</v>
      </c>
      <c r="X1582">
        <v>3</v>
      </c>
      <c r="Y1582">
        <v>11</v>
      </c>
      <c r="Z1582">
        <v>0</v>
      </c>
      <c r="AA1582">
        <v>35</v>
      </c>
      <c r="AB1582">
        <v>2762</v>
      </c>
      <c r="AC1582" s="28">
        <f>ifood_data[[#This Row],[Customer_Days]]/365</f>
        <v>7.5671232876712331</v>
      </c>
      <c r="AD1582">
        <v>0</v>
      </c>
      <c r="AE1582">
        <v>0</v>
      </c>
      <c r="AF1582">
        <v>1</v>
      </c>
      <c r="AG1582">
        <v>0</v>
      </c>
      <c r="AH1582">
        <v>0</v>
      </c>
      <c r="AI1582">
        <v>1</v>
      </c>
      <c r="AJ1582">
        <v>0</v>
      </c>
      <c r="AK1582">
        <v>0</v>
      </c>
      <c r="AL1582">
        <v>0</v>
      </c>
      <c r="AM1582">
        <v>0</v>
      </c>
      <c r="AN1582">
        <v>94</v>
      </c>
      <c r="AO1582">
        <v>55</v>
      </c>
      <c r="AP1582">
        <f>ifood_data[[#This Row],[MntTotal]]-ifood_data[[#This Row],[MntRegularProds]]</f>
        <v>39</v>
      </c>
      <c r="AQ1582">
        <v>0</v>
      </c>
      <c r="AR1582">
        <f>IF(SUM(ifood_data[[#This Row],[Kidhome]:[Teenhome]])&gt;0,1,0)</f>
        <v>1</v>
      </c>
      <c r="AS1582" t="str">
        <f>IF(SUM(ifood_data[[#This Row],[Kidhome]:[Teenhome]])&gt;0,"Has Family","No Family")</f>
        <v>Has Family</v>
      </c>
      <c r="AT1582" t="str">
        <f>IF(ifood_data[[#This Row],[marital_Married]]=1,"Married", (IF(ifood_data[[#This Row],[marital_Single]]=1,"Single",(IF(ifood_data[[#This Row],[marital_Divorced]]=1,"Divorced",(IF(ifood_data[[#This Row],[marital_Together]]=1,"Living Together",(IF(ifood_data[[#This Row],[marital_Widow]]=1,"Widow","Other")))))))))</f>
        <v>Single</v>
      </c>
      <c r="AU1582" t="str">
        <f>IF(ifood_data[[#This Row],[education_Basic]]=1,"High School",(IF(ifood_data[[#This Row],[education_Graduation]]=1,"Undergraduate Degree",(IF(SUM(AM1582,AL1582,AI1582)&gt;0,"Master's Degree or Higher","Other")))))</f>
        <v>Master's Degree or Higher</v>
      </c>
      <c r="AV1582" t="str">
        <f>IF(ifood_data[[#All],[Income]]&gt;75000,"75K+",(IF(ifood_data[[#All],[Income]]&gt;50000,"50K-75K",(IF(ifood_data[[#All],[Income]]&gt;35000,"35K-50K","&lt;35K")))))</f>
        <v>&lt;35K</v>
      </c>
      <c r="AW1582" t="str">
        <f>IF(ifood_data[[#All],[Age]]&gt;60,"60+",(IF(ifood_data[[#All],[Age]]&gt;50,"50-60",(IF(ifood_data[[#All],[Age]]&gt;40,"40-50",(IF(ifood_data[[#All],[Age]]&gt;30,"30-40","&lt;30")))))))</f>
        <v>30-40</v>
      </c>
      <c r="AX1582">
        <f t="shared" si="96"/>
        <v>14</v>
      </c>
      <c r="AY1582">
        <f t="shared" si="97"/>
        <v>1.9999999999999996</v>
      </c>
      <c r="AZ1582">
        <f t="shared" si="98"/>
        <v>2</v>
      </c>
      <c r="BA1582">
        <f t="shared" si="99"/>
        <v>3</v>
      </c>
      <c r="BB1582">
        <f>SUM(ifood_data[[#This Row],[Recency Score]:[Monetary Score]])</f>
        <v>7</v>
      </c>
      <c r="BC1582">
        <f>(_xlfn.PERCENTRANK.INC(ifood_data[[#All],[RFM]],ifood_data[[#This Row],[RFM]],1))*10</f>
        <v>1</v>
      </c>
      <c r="BD1582" t="str">
        <f>VLOOKUP(ifood_data[[#This Row],[RFM Score]],'RFM Analysis'!$A$3:$B$14,2,FALSE)</f>
        <v>At Risk</v>
      </c>
      <c r="BE1582">
        <f>'Regression Models'!$B$101+'Regression Models'!$B$102*ifood_data[[#This Row],[Income]]+'Regression Models'!$B$103*ifood_data[[#This Row],[Age]]+'Regression Models'!$B$104*ifood_data[[#This Row],[Family]]</f>
        <v>147.68077337272808</v>
      </c>
      <c r="BF1582" t="str">
        <f>IF(ifood_data[[#This Row],[AcceptedCmpOverall]]=1,"Campaign Respondent","Non-respondent")</f>
        <v>Non-respondent</v>
      </c>
    </row>
    <row r="1583" spans="1:58" x14ac:dyDescent="0.35">
      <c r="A1583">
        <v>1884</v>
      </c>
      <c r="B1583">
        <v>34350</v>
      </c>
      <c r="C1583">
        <v>1</v>
      </c>
      <c r="D1583">
        <v>0</v>
      </c>
      <c r="E1583">
        <v>81</v>
      </c>
      <c r="F1583">
        <v>16</v>
      </c>
      <c r="G1583">
        <v>3</v>
      </c>
      <c r="H1583">
        <v>15</v>
      </c>
      <c r="I1583">
        <v>2</v>
      </c>
      <c r="J1583">
        <v>1</v>
      </c>
      <c r="K1583">
        <v>11</v>
      </c>
      <c r="L1583">
        <v>1</v>
      </c>
      <c r="M1583">
        <v>1</v>
      </c>
      <c r="N1583">
        <v>0</v>
      </c>
      <c r="O1583">
        <v>3</v>
      </c>
      <c r="P1583">
        <v>7</v>
      </c>
      <c r="Q1583">
        <v>0</v>
      </c>
      <c r="R1583">
        <v>0</v>
      </c>
      <c r="S1583">
        <v>0</v>
      </c>
      <c r="T1583">
        <v>0</v>
      </c>
      <c r="U1583">
        <v>0</v>
      </c>
      <c r="V1583">
        <f>IF(SUM(ifood_data[[#This Row],[AcceptedCmp1]:[AcceptedCmp5]])&gt;0,1,0)</f>
        <v>0</v>
      </c>
      <c r="W1583">
        <v>0</v>
      </c>
      <c r="X1583">
        <v>3</v>
      </c>
      <c r="Y1583">
        <v>11</v>
      </c>
      <c r="Z1583">
        <v>0</v>
      </c>
      <c r="AA1583">
        <v>41</v>
      </c>
      <c r="AB1583">
        <v>2412</v>
      </c>
      <c r="AC1583" s="28">
        <f>ifood_data[[#This Row],[Customer_Days]]/365</f>
        <v>6.6082191780821917</v>
      </c>
      <c r="AD1583">
        <v>0</v>
      </c>
      <c r="AE1583">
        <v>0</v>
      </c>
      <c r="AF1583">
        <v>0</v>
      </c>
      <c r="AG1583">
        <v>1</v>
      </c>
      <c r="AH1583">
        <v>0</v>
      </c>
      <c r="AI1583">
        <v>0</v>
      </c>
      <c r="AJ1583">
        <v>0</v>
      </c>
      <c r="AK1583">
        <v>1</v>
      </c>
      <c r="AL1583">
        <v>0</v>
      </c>
      <c r="AM1583">
        <v>0</v>
      </c>
      <c r="AN1583">
        <v>37</v>
      </c>
      <c r="AO1583">
        <v>26</v>
      </c>
      <c r="AP1583">
        <f>ifood_data[[#This Row],[MntTotal]]-ifood_data[[#This Row],[MntRegularProds]]</f>
        <v>11</v>
      </c>
      <c r="AQ1583">
        <v>0</v>
      </c>
      <c r="AR1583">
        <f>IF(SUM(ifood_data[[#This Row],[Kidhome]:[Teenhome]])&gt;0,1,0)</f>
        <v>1</v>
      </c>
      <c r="AS1583" t="str">
        <f>IF(SUM(ifood_data[[#This Row],[Kidhome]:[Teenhome]])&gt;0,"Has Family","No Family")</f>
        <v>Has Family</v>
      </c>
      <c r="AT1583" t="str">
        <f>IF(ifood_data[[#This Row],[marital_Married]]=1,"Married", (IF(ifood_data[[#This Row],[marital_Single]]=1,"Single",(IF(ifood_data[[#This Row],[marital_Divorced]]=1,"Divorced",(IF(ifood_data[[#This Row],[marital_Together]]=1,"Living Together",(IF(ifood_data[[#This Row],[marital_Widow]]=1,"Widow","Other")))))))))</f>
        <v>Living Together</v>
      </c>
      <c r="AU1583" t="str">
        <f>IF(ifood_data[[#This Row],[education_Basic]]=1,"High School",(IF(ifood_data[[#This Row],[education_Graduation]]=1,"Undergraduate Degree",(IF(SUM(AM1583,AL1583,AI1583)&gt;0,"Master's Degree or Higher","Other")))))</f>
        <v>Undergraduate Degree</v>
      </c>
      <c r="AV1583" t="str">
        <f>IF(ifood_data[[#All],[Income]]&gt;75000,"75K+",(IF(ifood_data[[#All],[Income]]&gt;50000,"50K-75K",(IF(ifood_data[[#All],[Income]]&gt;35000,"35K-50K","&lt;35K")))))</f>
        <v>&lt;35K</v>
      </c>
      <c r="AW1583" t="str">
        <f>IF(ifood_data[[#All],[Age]]&gt;60,"60+",(IF(ifood_data[[#All],[Age]]&gt;50,"50-60",(IF(ifood_data[[#All],[Age]]&gt;40,"40-50",(IF(ifood_data[[#All],[Age]]&gt;30,"30-40","&lt;30")))))))</f>
        <v>40-50</v>
      </c>
      <c r="AX1583">
        <f t="shared" si="96"/>
        <v>12</v>
      </c>
      <c r="AY1583">
        <f t="shared" si="97"/>
        <v>1.9999999999999996</v>
      </c>
      <c r="AZ1583">
        <f t="shared" si="98"/>
        <v>1</v>
      </c>
      <c r="BA1583">
        <f t="shared" si="99"/>
        <v>1</v>
      </c>
      <c r="BB1583">
        <f>SUM(ifood_data[[#This Row],[Recency Score]:[Monetary Score]])</f>
        <v>3.9999999999999996</v>
      </c>
      <c r="BC1583">
        <f>(_xlfn.PERCENTRANK.INC(ifood_data[[#All],[RFM]],ifood_data[[#This Row],[RFM]],1))*10</f>
        <v>0</v>
      </c>
      <c r="BD1583" t="str">
        <f>VLOOKUP(ifood_data[[#This Row],[RFM Score]],'RFM Analysis'!$A$3:$B$14,2,FALSE)</f>
        <v>Lost</v>
      </c>
      <c r="BE1583">
        <f>'Regression Models'!$B$101+'Regression Models'!$B$102*ifood_data[[#This Row],[Income]]+'Regression Models'!$B$103*ifood_data[[#This Row],[Age]]+'Regression Models'!$B$104*ifood_data[[#This Row],[Family]]</f>
        <v>147.63129616078004</v>
      </c>
      <c r="BF1583" t="str">
        <f>IF(ifood_data[[#This Row],[AcceptedCmpOverall]]=1,"Campaign Respondent","Non-respondent")</f>
        <v>Non-respondent</v>
      </c>
    </row>
    <row r="1584" spans="1:58" x14ac:dyDescent="0.35">
      <c r="A1584">
        <v>1102</v>
      </c>
      <c r="B1584">
        <v>35322</v>
      </c>
      <c r="C1584">
        <v>1</v>
      </c>
      <c r="D1584">
        <v>2</v>
      </c>
      <c r="E1584">
        <v>34</v>
      </c>
      <c r="F1584">
        <v>28</v>
      </c>
      <c r="G1584">
        <v>9</v>
      </c>
      <c r="H1584">
        <v>37</v>
      </c>
      <c r="I1584">
        <v>12</v>
      </c>
      <c r="J1584">
        <v>7</v>
      </c>
      <c r="K1584">
        <v>13</v>
      </c>
      <c r="L1584">
        <v>3</v>
      </c>
      <c r="M1584">
        <v>2</v>
      </c>
      <c r="N1584">
        <v>0</v>
      </c>
      <c r="O1584">
        <v>4</v>
      </c>
      <c r="P1584">
        <v>8</v>
      </c>
      <c r="Q1584">
        <v>0</v>
      </c>
      <c r="R1584">
        <v>0</v>
      </c>
      <c r="S1584">
        <v>0</v>
      </c>
      <c r="T1584">
        <v>0</v>
      </c>
      <c r="U1584">
        <v>0</v>
      </c>
      <c r="V1584">
        <f>IF(SUM(ifood_data[[#This Row],[AcceptedCmp1]:[AcceptedCmp5]])&gt;0,1,0)</f>
        <v>0</v>
      </c>
      <c r="W1584">
        <v>0</v>
      </c>
      <c r="X1584">
        <v>3</v>
      </c>
      <c r="Y1584">
        <v>11</v>
      </c>
      <c r="Z1584">
        <v>0</v>
      </c>
      <c r="AA1584">
        <v>52</v>
      </c>
      <c r="AB1584">
        <v>2835</v>
      </c>
      <c r="AC1584" s="28">
        <f>ifood_data[[#This Row],[Customer_Days]]/365</f>
        <v>7.7671232876712333</v>
      </c>
      <c r="AD1584">
        <v>0</v>
      </c>
      <c r="AE1584">
        <v>0</v>
      </c>
      <c r="AF1584">
        <v>0</v>
      </c>
      <c r="AG1584">
        <v>1</v>
      </c>
      <c r="AH1584">
        <v>0</v>
      </c>
      <c r="AI1584">
        <v>0</v>
      </c>
      <c r="AJ1584">
        <v>0</v>
      </c>
      <c r="AK1584">
        <v>1</v>
      </c>
      <c r="AL1584">
        <v>0</v>
      </c>
      <c r="AM1584">
        <v>0</v>
      </c>
      <c r="AN1584">
        <v>93</v>
      </c>
      <c r="AO1584">
        <v>80</v>
      </c>
      <c r="AP1584">
        <f>ifood_data[[#This Row],[MntTotal]]-ifood_data[[#This Row],[MntRegularProds]]</f>
        <v>13</v>
      </c>
      <c r="AQ1584">
        <v>0</v>
      </c>
      <c r="AR1584">
        <f>IF(SUM(ifood_data[[#This Row],[Kidhome]:[Teenhome]])&gt;0,1,0)</f>
        <v>1</v>
      </c>
      <c r="AS1584" t="str">
        <f>IF(SUM(ifood_data[[#This Row],[Kidhome]:[Teenhome]])&gt;0,"Has Family","No Family")</f>
        <v>Has Family</v>
      </c>
      <c r="AT1584" t="str">
        <f>IF(ifood_data[[#This Row],[marital_Married]]=1,"Married", (IF(ifood_data[[#This Row],[marital_Single]]=1,"Single",(IF(ifood_data[[#This Row],[marital_Divorced]]=1,"Divorced",(IF(ifood_data[[#This Row],[marital_Together]]=1,"Living Together",(IF(ifood_data[[#This Row],[marital_Widow]]=1,"Widow","Other")))))))))</f>
        <v>Living Together</v>
      </c>
      <c r="AU1584" t="str">
        <f>IF(ifood_data[[#This Row],[education_Basic]]=1,"High School",(IF(ifood_data[[#This Row],[education_Graduation]]=1,"Undergraduate Degree",(IF(SUM(AM1584,AL1584,AI1584)&gt;0,"Master's Degree or Higher","Other")))))</f>
        <v>Undergraduate Degree</v>
      </c>
      <c r="AV1584" t="str">
        <f>IF(ifood_data[[#All],[Income]]&gt;75000,"75K+",(IF(ifood_data[[#All],[Income]]&gt;50000,"50K-75K",(IF(ifood_data[[#All],[Income]]&gt;35000,"35K-50K","&lt;35K")))))</f>
        <v>35K-50K</v>
      </c>
      <c r="AW1584" t="str">
        <f>IF(ifood_data[[#All],[Age]]&gt;60,"60+",(IF(ifood_data[[#All],[Age]]&gt;50,"50-60",(IF(ifood_data[[#All],[Age]]&gt;40,"40-50",(IF(ifood_data[[#All],[Age]]&gt;30,"30-40","&lt;30")))))))</f>
        <v>50-60</v>
      </c>
      <c r="AX1584">
        <f t="shared" si="96"/>
        <v>17</v>
      </c>
      <c r="AY1584">
        <f t="shared" si="97"/>
        <v>7</v>
      </c>
      <c r="AZ1584">
        <f t="shared" si="98"/>
        <v>3</v>
      </c>
      <c r="BA1584">
        <f t="shared" si="99"/>
        <v>3</v>
      </c>
      <c r="BB1584">
        <f>SUM(ifood_data[[#This Row],[Recency Score]:[Monetary Score]])</f>
        <v>13</v>
      </c>
      <c r="BC1584">
        <f>(_xlfn.PERCENTRANK.INC(ifood_data[[#All],[RFM]],ifood_data[[#This Row],[RFM]],1))*10</f>
        <v>3</v>
      </c>
      <c r="BD1584" t="str">
        <f>VLOOKUP(ifood_data[[#This Row],[RFM Score]],'RFM Analysis'!$A$3:$B$14,2,FALSE)</f>
        <v>At Risk</v>
      </c>
      <c r="BE1584">
        <f>'Regression Models'!$B$101+'Regression Models'!$B$102*ifood_data[[#This Row],[Income]]+'Regression Models'!$B$103*ifood_data[[#This Row],[Age]]+'Regression Models'!$B$104*ifood_data[[#This Row],[Family]]</f>
        <v>147.24834892881267</v>
      </c>
      <c r="BF1584" t="str">
        <f>IF(ifood_data[[#This Row],[AcceptedCmpOverall]]=1,"Campaign Respondent","Non-respondent")</f>
        <v>Non-respondent</v>
      </c>
    </row>
    <row r="1585" spans="1:58" x14ac:dyDescent="0.35">
      <c r="A1585">
        <v>1335</v>
      </c>
      <c r="B1585">
        <v>34853</v>
      </c>
      <c r="C1585">
        <v>1</v>
      </c>
      <c r="D1585">
        <v>1</v>
      </c>
      <c r="E1585">
        <v>75</v>
      </c>
      <c r="F1585">
        <v>9</v>
      </c>
      <c r="G1585">
        <v>3</v>
      </c>
      <c r="H1585">
        <v>15</v>
      </c>
      <c r="I1585">
        <v>2</v>
      </c>
      <c r="J1585">
        <v>3</v>
      </c>
      <c r="K1585">
        <v>2</v>
      </c>
      <c r="L1585">
        <v>2</v>
      </c>
      <c r="M1585">
        <v>2</v>
      </c>
      <c r="N1585">
        <v>0</v>
      </c>
      <c r="O1585">
        <v>3</v>
      </c>
      <c r="P1585">
        <v>6</v>
      </c>
      <c r="Q1585">
        <v>0</v>
      </c>
      <c r="R1585">
        <v>0</v>
      </c>
      <c r="S1585">
        <v>0</v>
      </c>
      <c r="T1585">
        <v>0</v>
      </c>
      <c r="U1585">
        <v>0</v>
      </c>
      <c r="V1585">
        <f>IF(SUM(ifood_data[[#This Row],[AcceptedCmp1]:[AcceptedCmp5]])&gt;0,1,0)</f>
        <v>0</v>
      </c>
      <c r="W1585">
        <v>0</v>
      </c>
      <c r="X1585">
        <v>3</v>
      </c>
      <c r="Y1585">
        <v>11</v>
      </c>
      <c r="Z1585">
        <v>0</v>
      </c>
      <c r="AA1585">
        <v>47</v>
      </c>
      <c r="AB1585">
        <v>2347</v>
      </c>
      <c r="AC1585" s="28">
        <f>ifood_data[[#This Row],[Customer_Days]]/365</f>
        <v>6.4301369863013695</v>
      </c>
      <c r="AD1585">
        <v>0</v>
      </c>
      <c r="AE1585">
        <v>0</v>
      </c>
      <c r="AF1585">
        <v>1</v>
      </c>
      <c r="AG1585">
        <v>0</v>
      </c>
      <c r="AH1585">
        <v>0</v>
      </c>
      <c r="AI1585">
        <v>0</v>
      </c>
      <c r="AJ1585">
        <v>0</v>
      </c>
      <c r="AK1585">
        <v>1</v>
      </c>
      <c r="AL1585">
        <v>0</v>
      </c>
      <c r="AM1585">
        <v>0</v>
      </c>
      <c r="AN1585">
        <v>32</v>
      </c>
      <c r="AO1585">
        <v>30</v>
      </c>
      <c r="AP1585">
        <f>ifood_data[[#This Row],[MntTotal]]-ifood_data[[#This Row],[MntRegularProds]]</f>
        <v>2</v>
      </c>
      <c r="AQ1585">
        <v>0</v>
      </c>
      <c r="AR1585">
        <f>IF(SUM(ifood_data[[#This Row],[Kidhome]:[Teenhome]])&gt;0,1,0)</f>
        <v>1</v>
      </c>
      <c r="AS1585" t="str">
        <f>IF(SUM(ifood_data[[#This Row],[Kidhome]:[Teenhome]])&gt;0,"Has Family","No Family")</f>
        <v>Has Family</v>
      </c>
      <c r="AT1585" t="str">
        <f>IF(ifood_data[[#This Row],[marital_Married]]=1,"Married", (IF(ifood_data[[#This Row],[marital_Single]]=1,"Single",(IF(ifood_data[[#This Row],[marital_Divorced]]=1,"Divorced",(IF(ifood_data[[#This Row],[marital_Together]]=1,"Living Together",(IF(ifood_data[[#This Row],[marital_Widow]]=1,"Widow","Other")))))))))</f>
        <v>Single</v>
      </c>
      <c r="AU1585" t="str">
        <f>IF(ifood_data[[#This Row],[education_Basic]]=1,"High School",(IF(ifood_data[[#This Row],[education_Graduation]]=1,"Undergraduate Degree",(IF(SUM(AM1585,AL1585,AI1585)&gt;0,"Master's Degree or Higher","Other")))))</f>
        <v>Undergraduate Degree</v>
      </c>
      <c r="AV1585" t="str">
        <f>IF(ifood_data[[#All],[Income]]&gt;75000,"75K+",(IF(ifood_data[[#All],[Income]]&gt;50000,"50K-75K",(IF(ifood_data[[#All],[Income]]&gt;35000,"35K-50K","&lt;35K")))))</f>
        <v>&lt;35K</v>
      </c>
      <c r="AW1585" t="str">
        <f>IF(ifood_data[[#All],[Age]]&gt;60,"60+",(IF(ifood_data[[#All],[Age]]&gt;50,"50-60",(IF(ifood_data[[#All],[Age]]&gt;40,"40-50",(IF(ifood_data[[#All],[Age]]&gt;30,"30-40","&lt;30")))))))</f>
        <v>40-50</v>
      </c>
      <c r="AX1585">
        <f t="shared" si="96"/>
        <v>13</v>
      </c>
      <c r="AY1585">
        <f t="shared" si="97"/>
        <v>3.0000000000000004</v>
      </c>
      <c r="AZ1585">
        <f t="shared" si="98"/>
        <v>1</v>
      </c>
      <c r="BA1585">
        <f t="shared" si="99"/>
        <v>1</v>
      </c>
      <c r="BB1585">
        <f>SUM(ifood_data[[#This Row],[Recency Score]:[Monetary Score]])</f>
        <v>5</v>
      </c>
      <c r="BC1585">
        <f>(_xlfn.PERCENTRANK.INC(ifood_data[[#All],[RFM]],ifood_data[[#This Row],[RFM]],1))*10</f>
        <v>0</v>
      </c>
      <c r="BD1585" t="str">
        <f>VLOOKUP(ifood_data[[#This Row],[RFM Score]],'RFM Analysis'!$A$3:$B$14,2,FALSE)</f>
        <v>Lost</v>
      </c>
      <c r="BE1585">
        <f>'Regression Models'!$B$101+'Regression Models'!$B$102*ifood_data[[#This Row],[Income]]+'Regression Models'!$B$103*ifood_data[[#This Row],[Age]]+'Regression Models'!$B$104*ifood_data[[#This Row],[Family]]</f>
        <v>146.86821206379545</v>
      </c>
      <c r="BF1585" t="str">
        <f>IF(ifood_data[[#This Row],[AcceptedCmpOverall]]=1,"Campaign Respondent","Non-respondent")</f>
        <v>Non-respondent</v>
      </c>
    </row>
    <row r="1586" spans="1:58" x14ac:dyDescent="0.35">
      <c r="A1586">
        <v>598</v>
      </c>
      <c r="B1586">
        <v>34487</v>
      </c>
      <c r="C1586">
        <v>1</v>
      </c>
      <c r="D1586">
        <v>1</v>
      </c>
      <c r="E1586">
        <v>94</v>
      </c>
      <c r="F1586">
        <v>19</v>
      </c>
      <c r="G1586">
        <v>18</v>
      </c>
      <c r="H1586">
        <v>33</v>
      </c>
      <c r="I1586">
        <v>24</v>
      </c>
      <c r="J1586">
        <v>1</v>
      </c>
      <c r="K1586">
        <v>8</v>
      </c>
      <c r="L1586">
        <v>3</v>
      </c>
      <c r="M1586">
        <v>3</v>
      </c>
      <c r="N1586">
        <v>0</v>
      </c>
      <c r="O1586">
        <v>3</v>
      </c>
      <c r="P1586">
        <v>9</v>
      </c>
      <c r="Q1586">
        <v>0</v>
      </c>
      <c r="R1586">
        <v>0</v>
      </c>
      <c r="S1586">
        <v>0</v>
      </c>
      <c r="T1586">
        <v>0</v>
      </c>
      <c r="U1586">
        <v>0</v>
      </c>
      <c r="V1586">
        <f>IF(SUM(ifood_data[[#This Row],[AcceptedCmp1]:[AcceptedCmp5]])&gt;0,1,0)</f>
        <v>0</v>
      </c>
      <c r="W1586">
        <v>0</v>
      </c>
      <c r="X1586">
        <v>3</v>
      </c>
      <c r="Y1586">
        <v>11</v>
      </c>
      <c r="Z1586">
        <v>0</v>
      </c>
      <c r="AA1586">
        <v>43</v>
      </c>
      <c r="AB1586">
        <v>2820</v>
      </c>
      <c r="AC1586" s="28">
        <f>ifood_data[[#This Row],[Customer_Days]]/365</f>
        <v>7.7260273972602738</v>
      </c>
      <c r="AD1586">
        <v>1</v>
      </c>
      <c r="AE1586">
        <v>0</v>
      </c>
      <c r="AF1586">
        <v>0</v>
      </c>
      <c r="AG1586">
        <v>0</v>
      </c>
      <c r="AH1586">
        <v>0</v>
      </c>
      <c r="AI1586">
        <v>0</v>
      </c>
      <c r="AJ1586">
        <v>0</v>
      </c>
      <c r="AK1586">
        <v>0</v>
      </c>
      <c r="AL1586">
        <v>0</v>
      </c>
      <c r="AM1586">
        <v>1</v>
      </c>
      <c r="AN1586">
        <v>95</v>
      </c>
      <c r="AO1586">
        <v>87</v>
      </c>
      <c r="AP1586">
        <f>ifood_data[[#This Row],[MntTotal]]-ifood_data[[#This Row],[MntRegularProds]]</f>
        <v>8</v>
      </c>
      <c r="AQ1586">
        <v>0</v>
      </c>
      <c r="AR1586">
        <f>IF(SUM(ifood_data[[#This Row],[Kidhome]:[Teenhome]])&gt;0,1,0)</f>
        <v>1</v>
      </c>
      <c r="AS1586" t="str">
        <f>IF(SUM(ifood_data[[#This Row],[Kidhome]:[Teenhome]])&gt;0,"Has Family","No Family")</f>
        <v>Has Family</v>
      </c>
      <c r="AT1586" t="str">
        <f>IF(ifood_data[[#This Row],[marital_Married]]=1,"Married", (IF(ifood_data[[#This Row],[marital_Single]]=1,"Single",(IF(ifood_data[[#This Row],[marital_Divorced]]=1,"Divorced",(IF(ifood_data[[#This Row],[marital_Together]]=1,"Living Together",(IF(ifood_data[[#This Row],[marital_Widow]]=1,"Widow","Other")))))))))</f>
        <v>Divorced</v>
      </c>
      <c r="AU1586" t="str">
        <f>IF(ifood_data[[#This Row],[education_Basic]]=1,"High School",(IF(ifood_data[[#This Row],[education_Graduation]]=1,"Undergraduate Degree",(IF(SUM(AM1586,AL1586,AI1586)&gt;0,"Master's Degree or Higher","Other")))))</f>
        <v>Master's Degree or Higher</v>
      </c>
      <c r="AV1586" t="str">
        <f>IF(ifood_data[[#All],[Income]]&gt;75000,"75K+",(IF(ifood_data[[#All],[Income]]&gt;50000,"50K-75K",(IF(ifood_data[[#All],[Income]]&gt;35000,"35K-50K","&lt;35K")))))</f>
        <v>&lt;35K</v>
      </c>
      <c r="AW1586" t="str">
        <f>IF(ifood_data[[#All],[Age]]&gt;60,"60+",(IF(ifood_data[[#All],[Age]]&gt;50,"50-60",(IF(ifood_data[[#All],[Age]]&gt;40,"40-50",(IF(ifood_data[[#All],[Age]]&gt;30,"30-40","&lt;30")))))))</f>
        <v>40-50</v>
      </c>
      <c r="AX1586">
        <f t="shared" si="96"/>
        <v>18</v>
      </c>
      <c r="AY1586">
        <f t="shared" si="97"/>
        <v>0.99999999999999978</v>
      </c>
      <c r="AZ1586">
        <f t="shared" si="98"/>
        <v>4</v>
      </c>
      <c r="BA1586">
        <f t="shared" si="99"/>
        <v>3</v>
      </c>
      <c r="BB1586">
        <f>SUM(ifood_data[[#This Row],[Recency Score]:[Monetary Score]])</f>
        <v>8</v>
      </c>
      <c r="BC1586">
        <f>(_xlfn.PERCENTRANK.INC(ifood_data[[#All],[RFM]],ifood_data[[#This Row],[RFM]],1))*10</f>
        <v>1</v>
      </c>
      <c r="BD1586" t="str">
        <f>VLOOKUP(ifood_data[[#This Row],[RFM Score]],'RFM Analysis'!$A$3:$B$14,2,FALSE)</f>
        <v>At Risk</v>
      </c>
      <c r="BE1586">
        <f>'Regression Models'!$B$101+'Regression Models'!$B$102*ifood_data[[#This Row],[Income]]+'Regression Models'!$B$103*ifood_data[[#This Row],[Age]]+'Regression Models'!$B$104*ifood_data[[#This Row],[Family]]</f>
        <v>146.75167923870561</v>
      </c>
      <c r="BF1586" t="str">
        <f>IF(ifood_data[[#This Row],[AcceptedCmpOverall]]=1,"Campaign Respondent","Non-respondent")</f>
        <v>Non-respondent</v>
      </c>
    </row>
    <row r="1587" spans="1:58" x14ac:dyDescent="0.35">
      <c r="A1587">
        <v>1774</v>
      </c>
      <c r="B1587">
        <v>34529</v>
      </c>
      <c r="C1587">
        <v>1</v>
      </c>
      <c r="D1587">
        <v>0</v>
      </c>
      <c r="E1587">
        <v>94</v>
      </c>
      <c r="F1587">
        <v>68</v>
      </c>
      <c r="G1587">
        <v>6</v>
      </c>
      <c r="H1587">
        <v>38</v>
      </c>
      <c r="I1587">
        <v>3</v>
      </c>
      <c r="J1587">
        <v>6</v>
      </c>
      <c r="K1587">
        <v>41</v>
      </c>
      <c r="L1587">
        <v>2</v>
      </c>
      <c r="M1587">
        <v>2</v>
      </c>
      <c r="N1587">
        <v>2</v>
      </c>
      <c r="O1587">
        <v>3</v>
      </c>
      <c r="P1587">
        <v>7</v>
      </c>
      <c r="Q1587">
        <v>0</v>
      </c>
      <c r="R1587">
        <v>0</v>
      </c>
      <c r="S1587">
        <v>0</v>
      </c>
      <c r="T1587">
        <v>0</v>
      </c>
      <c r="U1587">
        <v>0</v>
      </c>
      <c r="V1587">
        <f>IF(SUM(ifood_data[[#This Row],[AcceptedCmp1]:[AcceptedCmp5]])&gt;0,1,0)</f>
        <v>0</v>
      </c>
      <c r="W1587">
        <v>0</v>
      </c>
      <c r="X1587">
        <v>3</v>
      </c>
      <c r="Y1587">
        <v>11</v>
      </c>
      <c r="Z1587">
        <v>0</v>
      </c>
      <c r="AA1587">
        <v>44</v>
      </c>
      <c r="AB1587">
        <v>2812</v>
      </c>
      <c r="AC1587" s="28">
        <f>ifood_data[[#This Row],[Customer_Days]]/365</f>
        <v>7.7041095890410958</v>
      </c>
      <c r="AD1587">
        <v>0</v>
      </c>
      <c r="AE1587">
        <v>1</v>
      </c>
      <c r="AF1587">
        <v>0</v>
      </c>
      <c r="AG1587">
        <v>0</v>
      </c>
      <c r="AH1587">
        <v>0</v>
      </c>
      <c r="AI1587">
        <v>0</v>
      </c>
      <c r="AJ1587">
        <v>0</v>
      </c>
      <c r="AK1587">
        <v>0</v>
      </c>
      <c r="AL1587">
        <v>1</v>
      </c>
      <c r="AM1587">
        <v>0</v>
      </c>
      <c r="AN1587">
        <v>121</v>
      </c>
      <c r="AO1587">
        <v>80</v>
      </c>
      <c r="AP1587">
        <f>ifood_data[[#This Row],[MntTotal]]-ifood_data[[#This Row],[MntRegularProds]]</f>
        <v>41</v>
      </c>
      <c r="AQ1587">
        <v>0</v>
      </c>
      <c r="AR1587">
        <f>IF(SUM(ifood_data[[#This Row],[Kidhome]:[Teenhome]])&gt;0,1,0)</f>
        <v>1</v>
      </c>
      <c r="AS1587" t="str">
        <f>IF(SUM(ifood_data[[#This Row],[Kidhome]:[Teenhome]])&gt;0,"Has Family","No Family")</f>
        <v>Has Family</v>
      </c>
      <c r="AT1587" t="str">
        <f>IF(ifood_data[[#This Row],[marital_Married]]=1,"Married", (IF(ifood_data[[#This Row],[marital_Single]]=1,"Single",(IF(ifood_data[[#This Row],[marital_Divorced]]=1,"Divorced",(IF(ifood_data[[#This Row],[marital_Together]]=1,"Living Together",(IF(ifood_data[[#This Row],[marital_Widow]]=1,"Widow","Other")))))))))</f>
        <v>Married</v>
      </c>
      <c r="AU1587" t="str">
        <f>IF(ifood_data[[#This Row],[education_Basic]]=1,"High School",(IF(ifood_data[[#This Row],[education_Graduation]]=1,"Undergraduate Degree",(IF(SUM(AM1587,AL1587,AI1587)&gt;0,"Master's Degree or Higher","Other")))))</f>
        <v>Master's Degree or Higher</v>
      </c>
      <c r="AV1587" t="str">
        <f>IF(ifood_data[[#All],[Income]]&gt;75000,"75K+",(IF(ifood_data[[#All],[Income]]&gt;50000,"50K-75K",(IF(ifood_data[[#All],[Income]]&gt;35000,"35K-50K","&lt;35K")))))</f>
        <v>&lt;35K</v>
      </c>
      <c r="AW1587" t="str">
        <f>IF(ifood_data[[#All],[Age]]&gt;60,"60+",(IF(ifood_data[[#All],[Age]]&gt;50,"50-60",(IF(ifood_data[[#All],[Age]]&gt;40,"40-50",(IF(ifood_data[[#All],[Age]]&gt;30,"30-40","&lt;30")))))))</f>
        <v>40-50</v>
      </c>
      <c r="AX1587">
        <f t="shared" si="96"/>
        <v>16</v>
      </c>
      <c r="AY1587">
        <f t="shared" si="97"/>
        <v>0.99999999999999978</v>
      </c>
      <c r="AZ1587">
        <f t="shared" si="98"/>
        <v>3</v>
      </c>
      <c r="BA1587">
        <f t="shared" si="99"/>
        <v>3</v>
      </c>
      <c r="BB1587">
        <f>SUM(ifood_data[[#This Row],[Recency Score]:[Monetary Score]])</f>
        <v>7</v>
      </c>
      <c r="BC1587">
        <f>(_xlfn.PERCENTRANK.INC(ifood_data[[#All],[RFM]],ifood_data[[#This Row],[RFM]],1))*10</f>
        <v>1</v>
      </c>
      <c r="BD1587" t="str">
        <f>VLOOKUP(ifood_data[[#This Row],[RFM Score]],'RFM Analysis'!$A$3:$B$14,2,FALSE)</f>
        <v>At Risk</v>
      </c>
      <c r="BE1587">
        <f>'Regression Models'!$B$101+'Regression Models'!$B$102*ifood_data[[#This Row],[Income]]+'Regression Models'!$B$103*ifood_data[[#This Row],[Age]]+'Regression Models'!$B$104*ifood_data[[#This Row],[Family]]</f>
        <v>145.77156842185514</v>
      </c>
      <c r="BF1587" t="str">
        <f>IF(ifood_data[[#This Row],[AcceptedCmpOverall]]=1,"Campaign Respondent","Non-respondent")</f>
        <v>Non-respondent</v>
      </c>
    </row>
    <row r="1588" spans="1:58" x14ac:dyDescent="0.35">
      <c r="A1588">
        <v>1368</v>
      </c>
      <c r="B1588">
        <v>34380</v>
      </c>
      <c r="C1588">
        <v>1</v>
      </c>
      <c r="D1588">
        <v>0</v>
      </c>
      <c r="E1588">
        <v>68</v>
      </c>
      <c r="F1588">
        <v>72</v>
      </c>
      <c r="G1588">
        <v>7</v>
      </c>
      <c r="H1588">
        <v>58</v>
      </c>
      <c r="I1588">
        <v>13</v>
      </c>
      <c r="J1588">
        <v>1</v>
      </c>
      <c r="K1588">
        <v>24</v>
      </c>
      <c r="L1588">
        <v>4</v>
      </c>
      <c r="M1588">
        <v>4</v>
      </c>
      <c r="N1588">
        <v>1</v>
      </c>
      <c r="O1588">
        <v>3</v>
      </c>
      <c r="P1588">
        <v>8</v>
      </c>
      <c r="Q1588">
        <v>0</v>
      </c>
      <c r="R1588">
        <v>0</v>
      </c>
      <c r="S1588">
        <v>0</v>
      </c>
      <c r="T1588">
        <v>0</v>
      </c>
      <c r="U1588">
        <v>0</v>
      </c>
      <c r="V1588">
        <f>IF(SUM(ifood_data[[#This Row],[AcceptedCmp1]:[AcceptedCmp5]])&gt;0,1,0)</f>
        <v>0</v>
      </c>
      <c r="W1588">
        <v>0</v>
      </c>
      <c r="X1588">
        <v>3</v>
      </c>
      <c r="Y1588">
        <v>11</v>
      </c>
      <c r="Z1588">
        <v>0</v>
      </c>
      <c r="AA1588">
        <v>43</v>
      </c>
      <c r="AB1588">
        <v>2582</v>
      </c>
      <c r="AC1588" s="28">
        <f>ifood_data[[#This Row],[Customer_Days]]/365</f>
        <v>7.0739726027397261</v>
      </c>
      <c r="AD1588">
        <v>0</v>
      </c>
      <c r="AE1588">
        <v>1</v>
      </c>
      <c r="AF1588">
        <v>0</v>
      </c>
      <c r="AG1588">
        <v>0</v>
      </c>
      <c r="AH1588">
        <v>0</v>
      </c>
      <c r="AI1588">
        <v>0</v>
      </c>
      <c r="AJ1588">
        <v>0</v>
      </c>
      <c r="AK1588">
        <v>1</v>
      </c>
      <c r="AL1588">
        <v>0</v>
      </c>
      <c r="AM1588">
        <v>0</v>
      </c>
      <c r="AN1588">
        <v>151</v>
      </c>
      <c r="AO1588">
        <v>127</v>
      </c>
      <c r="AP1588">
        <f>ifood_data[[#This Row],[MntTotal]]-ifood_data[[#This Row],[MntRegularProds]]</f>
        <v>24</v>
      </c>
      <c r="AQ1588">
        <v>0</v>
      </c>
      <c r="AR1588">
        <f>IF(SUM(ifood_data[[#This Row],[Kidhome]:[Teenhome]])&gt;0,1,0)</f>
        <v>1</v>
      </c>
      <c r="AS1588" t="str">
        <f>IF(SUM(ifood_data[[#This Row],[Kidhome]:[Teenhome]])&gt;0,"Has Family","No Family")</f>
        <v>Has Family</v>
      </c>
      <c r="AT1588" t="str">
        <f>IF(ifood_data[[#This Row],[marital_Married]]=1,"Married", (IF(ifood_data[[#This Row],[marital_Single]]=1,"Single",(IF(ifood_data[[#This Row],[marital_Divorced]]=1,"Divorced",(IF(ifood_data[[#This Row],[marital_Together]]=1,"Living Together",(IF(ifood_data[[#This Row],[marital_Widow]]=1,"Widow","Other")))))))))</f>
        <v>Married</v>
      </c>
      <c r="AU1588" t="str">
        <f>IF(ifood_data[[#This Row],[education_Basic]]=1,"High School",(IF(ifood_data[[#This Row],[education_Graduation]]=1,"Undergraduate Degree",(IF(SUM(AM1588,AL1588,AI1588)&gt;0,"Master's Degree or Higher","Other")))))</f>
        <v>Undergraduate Degree</v>
      </c>
      <c r="AV1588" t="str">
        <f>IF(ifood_data[[#All],[Income]]&gt;75000,"75K+",(IF(ifood_data[[#All],[Income]]&gt;50000,"50K-75K",(IF(ifood_data[[#All],[Income]]&gt;35000,"35K-50K","&lt;35K")))))</f>
        <v>&lt;35K</v>
      </c>
      <c r="AW1588" t="str">
        <f>IF(ifood_data[[#All],[Age]]&gt;60,"60+",(IF(ifood_data[[#All],[Age]]&gt;50,"50-60",(IF(ifood_data[[#All],[Age]]&gt;40,"40-50",(IF(ifood_data[[#All],[Age]]&gt;30,"30-40","&lt;30")))))))</f>
        <v>40-50</v>
      </c>
      <c r="AX1588">
        <f t="shared" si="96"/>
        <v>20</v>
      </c>
      <c r="AY1588">
        <f t="shared" si="97"/>
        <v>4</v>
      </c>
      <c r="AZ1588">
        <f t="shared" si="98"/>
        <v>4</v>
      </c>
      <c r="BA1588">
        <f t="shared" si="99"/>
        <v>3</v>
      </c>
      <c r="BB1588">
        <f>SUM(ifood_data[[#This Row],[Recency Score]:[Monetary Score]])</f>
        <v>11</v>
      </c>
      <c r="BC1588">
        <f>(_xlfn.PERCENTRANK.INC(ifood_data[[#All],[RFM]],ifood_data[[#This Row],[RFM]],1))*10</f>
        <v>2</v>
      </c>
      <c r="BD1588" t="str">
        <f>VLOOKUP(ifood_data[[#This Row],[RFM Score]],'RFM Analysis'!$A$3:$B$14,2,FALSE)</f>
        <v>At Risk</v>
      </c>
      <c r="BE1588">
        <f>'Regression Models'!$B$101+'Regression Models'!$B$102*ifood_data[[#This Row],[Income]]+'Regression Models'!$B$103*ifood_data[[#This Row],[Age]]+'Regression Models'!$B$104*ifood_data[[#This Row],[Family]]</f>
        <v>144.57008104730846</v>
      </c>
      <c r="BF1588" t="str">
        <f>IF(ifood_data[[#This Row],[AcceptedCmpOverall]]=1,"Campaign Respondent","Non-respondent")</f>
        <v>Non-respondent</v>
      </c>
    </row>
    <row r="1589" spans="1:58" x14ac:dyDescent="0.35">
      <c r="A1589">
        <v>917</v>
      </c>
      <c r="B1589">
        <v>34596</v>
      </c>
      <c r="C1589">
        <v>1</v>
      </c>
      <c r="D1589">
        <v>0</v>
      </c>
      <c r="E1589">
        <v>48</v>
      </c>
      <c r="F1589">
        <v>14</v>
      </c>
      <c r="G1589">
        <v>0</v>
      </c>
      <c r="H1589">
        <v>2</v>
      </c>
      <c r="I1589">
        <v>0</v>
      </c>
      <c r="J1589">
        <v>0</v>
      </c>
      <c r="K1589">
        <v>7</v>
      </c>
      <c r="L1589">
        <v>1</v>
      </c>
      <c r="M1589">
        <v>1</v>
      </c>
      <c r="N1589">
        <v>0</v>
      </c>
      <c r="O1589">
        <v>2</v>
      </c>
      <c r="P1589">
        <v>8</v>
      </c>
      <c r="Q1589">
        <v>0</v>
      </c>
      <c r="R1589">
        <v>0</v>
      </c>
      <c r="S1589">
        <v>0</v>
      </c>
      <c r="T1589">
        <v>0</v>
      </c>
      <c r="U1589">
        <v>0</v>
      </c>
      <c r="V1589">
        <f>IF(SUM(ifood_data[[#This Row],[AcceptedCmp1]:[AcceptedCmp5]])&gt;0,1,0)</f>
        <v>0</v>
      </c>
      <c r="W1589">
        <v>0</v>
      </c>
      <c r="X1589">
        <v>3</v>
      </c>
      <c r="Y1589">
        <v>11</v>
      </c>
      <c r="Z1589">
        <v>1</v>
      </c>
      <c r="AA1589">
        <v>46</v>
      </c>
      <c r="AB1589">
        <v>2601</v>
      </c>
      <c r="AC1589" s="28">
        <f>ifood_data[[#This Row],[Customer_Days]]/365</f>
        <v>7.1260273972602741</v>
      </c>
      <c r="AD1589">
        <v>0</v>
      </c>
      <c r="AE1589">
        <v>1</v>
      </c>
      <c r="AF1589">
        <v>0</v>
      </c>
      <c r="AG1589">
        <v>0</v>
      </c>
      <c r="AH1589">
        <v>0</v>
      </c>
      <c r="AI1589">
        <v>0</v>
      </c>
      <c r="AJ1589">
        <v>0</v>
      </c>
      <c r="AK1589">
        <v>0</v>
      </c>
      <c r="AL1589">
        <v>0</v>
      </c>
      <c r="AM1589">
        <v>1</v>
      </c>
      <c r="AN1589">
        <v>16</v>
      </c>
      <c r="AO1589">
        <v>9</v>
      </c>
      <c r="AP1589">
        <f>ifood_data[[#This Row],[MntTotal]]-ifood_data[[#This Row],[MntRegularProds]]</f>
        <v>7</v>
      </c>
      <c r="AQ1589">
        <v>0</v>
      </c>
      <c r="AR1589">
        <f>IF(SUM(ifood_data[[#This Row],[Kidhome]:[Teenhome]])&gt;0,1,0)</f>
        <v>1</v>
      </c>
      <c r="AS1589" t="str">
        <f>IF(SUM(ifood_data[[#This Row],[Kidhome]:[Teenhome]])&gt;0,"Has Family","No Family")</f>
        <v>Has Family</v>
      </c>
      <c r="AT1589" t="str">
        <f>IF(ifood_data[[#This Row],[marital_Married]]=1,"Married", (IF(ifood_data[[#This Row],[marital_Single]]=1,"Single",(IF(ifood_data[[#This Row],[marital_Divorced]]=1,"Divorced",(IF(ifood_data[[#This Row],[marital_Together]]=1,"Living Together",(IF(ifood_data[[#This Row],[marital_Widow]]=1,"Widow","Other")))))))))</f>
        <v>Married</v>
      </c>
      <c r="AU1589" t="str">
        <f>IF(ifood_data[[#This Row],[education_Basic]]=1,"High School",(IF(ifood_data[[#This Row],[education_Graduation]]=1,"Undergraduate Degree",(IF(SUM(AM1589,AL1589,AI1589)&gt;0,"Master's Degree or Higher","Other")))))</f>
        <v>Master's Degree or Higher</v>
      </c>
      <c r="AV1589" t="str">
        <f>IF(ifood_data[[#All],[Income]]&gt;75000,"75K+",(IF(ifood_data[[#All],[Income]]&gt;50000,"50K-75K",(IF(ifood_data[[#All],[Income]]&gt;35000,"35K-50K","&lt;35K")))))</f>
        <v>&lt;35K</v>
      </c>
      <c r="AW1589" t="str">
        <f>IF(ifood_data[[#All],[Age]]&gt;60,"60+",(IF(ifood_data[[#All],[Age]]&gt;50,"50-60",(IF(ifood_data[[#All],[Age]]&gt;40,"40-50",(IF(ifood_data[[#All],[Age]]&gt;30,"30-40","&lt;30")))))))</f>
        <v>40-50</v>
      </c>
      <c r="AX1589">
        <f t="shared" si="96"/>
        <v>12</v>
      </c>
      <c r="AY1589">
        <f t="shared" si="97"/>
        <v>6</v>
      </c>
      <c r="AZ1589">
        <f t="shared" si="98"/>
        <v>1</v>
      </c>
      <c r="BA1589">
        <f t="shared" si="99"/>
        <v>0</v>
      </c>
      <c r="BB1589">
        <f>SUM(ifood_data[[#This Row],[Recency Score]:[Monetary Score]])</f>
        <v>7</v>
      </c>
      <c r="BC1589">
        <f>(_xlfn.PERCENTRANK.INC(ifood_data[[#All],[RFM]],ifood_data[[#This Row],[RFM]],1))*10</f>
        <v>1</v>
      </c>
      <c r="BD1589" t="str">
        <f>VLOOKUP(ifood_data[[#This Row],[RFM Score]],'RFM Analysis'!$A$3:$B$14,2,FALSE)</f>
        <v>At Risk</v>
      </c>
      <c r="BE1589">
        <f>'Regression Models'!$B$101+'Regression Models'!$B$102*ifood_data[[#This Row],[Income]]+'Regression Models'!$B$103*ifood_data[[#This Row],[Age]]+'Regression Models'!$B$104*ifood_data[[#This Row],[Family]]</f>
        <v>143.46473772970774</v>
      </c>
      <c r="BF1589" t="str">
        <f>IF(ifood_data[[#This Row],[AcceptedCmpOverall]]=1,"Campaign Respondent","Non-respondent")</f>
        <v>Non-respondent</v>
      </c>
    </row>
    <row r="1590" spans="1:58" x14ac:dyDescent="0.35">
      <c r="A1590">
        <v>1329</v>
      </c>
      <c r="B1590">
        <v>34596</v>
      </c>
      <c r="C1590">
        <v>1</v>
      </c>
      <c r="D1590">
        <v>0</v>
      </c>
      <c r="E1590">
        <v>48</v>
      </c>
      <c r="F1590">
        <v>14</v>
      </c>
      <c r="G1590">
        <v>0</v>
      </c>
      <c r="H1590">
        <v>2</v>
      </c>
      <c r="I1590">
        <v>0</v>
      </c>
      <c r="J1590">
        <v>0</v>
      </c>
      <c r="K1590">
        <v>7</v>
      </c>
      <c r="L1590">
        <v>1</v>
      </c>
      <c r="M1590">
        <v>1</v>
      </c>
      <c r="N1590">
        <v>0</v>
      </c>
      <c r="O1590">
        <v>2</v>
      </c>
      <c r="P1590">
        <v>8</v>
      </c>
      <c r="Q1590">
        <v>0</v>
      </c>
      <c r="R1590">
        <v>0</v>
      </c>
      <c r="S1590">
        <v>0</v>
      </c>
      <c r="T1590">
        <v>0</v>
      </c>
      <c r="U1590">
        <v>0</v>
      </c>
      <c r="V1590">
        <f>IF(SUM(ifood_data[[#This Row],[AcceptedCmp1]:[AcceptedCmp5]])&gt;0,1,0)</f>
        <v>0</v>
      </c>
      <c r="W1590">
        <v>0</v>
      </c>
      <c r="X1590">
        <v>3</v>
      </c>
      <c r="Y1590">
        <v>11</v>
      </c>
      <c r="Z1590">
        <v>0</v>
      </c>
      <c r="AA1590">
        <v>46</v>
      </c>
      <c r="AB1590">
        <v>2601</v>
      </c>
      <c r="AC1590" s="28">
        <f>ifood_data[[#This Row],[Customer_Days]]/365</f>
        <v>7.1260273972602741</v>
      </c>
      <c r="AD1590">
        <v>0</v>
      </c>
      <c r="AE1590">
        <v>1</v>
      </c>
      <c r="AF1590">
        <v>0</v>
      </c>
      <c r="AG1590">
        <v>0</v>
      </c>
      <c r="AH1590">
        <v>0</v>
      </c>
      <c r="AI1590">
        <v>0</v>
      </c>
      <c r="AJ1590">
        <v>0</v>
      </c>
      <c r="AK1590">
        <v>0</v>
      </c>
      <c r="AL1590">
        <v>0</v>
      </c>
      <c r="AM1590">
        <v>1</v>
      </c>
      <c r="AN1590">
        <v>16</v>
      </c>
      <c r="AO1590">
        <v>9</v>
      </c>
      <c r="AP1590">
        <f>ifood_data[[#This Row],[MntTotal]]-ifood_data[[#This Row],[MntRegularProds]]</f>
        <v>7</v>
      </c>
      <c r="AQ1590">
        <v>0</v>
      </c>
      <c r="AR1590">
        <f>IF(SUM(ifood_data[[#This Row],[Kidhome]:[Teenhome]])&gt;0,1,0)</f>
        <v>1</v>
      </c>
      <c r="AS1590" t="str">
        <f>IF(SUM(ifood_data[[#This Row],[Kidhome]:[Teenhome]])&gt;0,"Has Family","No Family")</f>
        <v>Has Family</v>
      </c>
      <c r="AT1590" t="str">
        <f>IF(ifood_data[[#This Row],[marital_Married]]=1,"Married", (IF(ifood_data[[#This Row],[marital_Single]]=1,"Single",(IF(ifood_data[[#This Row],[marital_Divorced]]=1,"Divorced",(IF(ifood_data[[#This Row],[marital_Together]]=1,"Living Together",(IF(ifood_data[[#This Row],[marital_Widow]]=1,"Widow","Other")))))))))</f>
        <v>Married</v>
      </c>
      <c r="AU1590" t="str">
        <f>IF(ifood_data[[#This Row],[education_Basic]]=1,"High School",(IF(ifood_data[[#This Row],[education_Graduation]]=1,"Undergraduate Degree",(IF(SUM(AM1590,AL1590,AI1590)&gt;0,"Master's Degree or Higher","Other")))))</f>
        <v>Master's Degree or Higher</v>
      </c>
      <c r="AV1590" t="str">
        <f>IF(ifood_data[[#All],[Income]]&gt;75000,"75K+",(IF(ifood_data[[#All],[Income]]&gt;50000,"50K-75K",(IF(ifood_data[[#All],[Income]]&gt;35000,"35K-50K","&lt;35K")))))</f>
        <v>&lt;35K</v>
      </c>
      <c r="AW1590" t="str">
        <f>IF(ifood_data[[#All],[Age]]&gt;60,"60+",(IF(ifood_data[[#All],[Age]]&gt;50,"50-60",(IF(ifood_data[[#All],[Age]]&gt;40,"40-50",(IF(ifood_data[[#All],[Age]]&gt;30,"30-40","&lt;30")))))))</f>
        <v>40-50</v>
      </c>
      <c r="AX1590">
        <f t="shared" si="96"/>
        <v>12</v>
      </c>
      <c r="AY1590">
        <f t="shared" si="97"/>
        <v>6</v>
      </c>
      <c r="AZ1590">
        <f t="shared" si="98"/>
        <v>1</v>
      </c>
      <c r="BA1590">
        <f t="shared" si="99"/>
        <v>0</v>
      </c>
      <c r="BB1590">
        <f>SUM(ifood_data[[#This Row],[Recency Score]:[Monetary Score]])</f>
        <v>7</v>
      </c>
      <c r="BC1590">
        <f>(_xlfn.PERCENTRANK.INC(ifood_data[[#All],[RFM]],ifood_data[[#This Row],[RFM]],1))*10</f>
        <v>1</v>
      </c>
      <c r="BD1590" t="str">
        <f>VLOOKUP(ifood_data[[#This Row],[RFM Score]],'RFM Analysis'!$A$3:$B$14,2,FALSE)</f>
        <v>At Risk</v>
      </c>
      <c r="BE1590">
        <f>'Regression Models'!$B$101+'Regression Models'!$B$102*ifood_data[[#This Row],[Income]]+'Regression Models'!$B$103*ifood_data[[#This Row],[Age]]+'Regression Models'!$B$104*ifood_data[[#This Row],[Family]]</f>
        <v>143.46473772970774</v>
      </c>
      <c r="BF1590" t="str">
        <f>IF(ifood_data[[#This Row],[AcceptedCmpOverall]]=1,"Campaign Respondent","Non-respondent")</f>
        <v>Non-respondent</v>
      </c>
    </row>
    <row r="1591" spans="1:58" x14ac:dyDescent="0.35">
      <c r="A1591">
        <v>1264</v>
      </c>
      <c r="B1591">
        <v>18929</v>
      </c>
      <c r="C1591">
        <v>0</v>
      </c>
      <c r="D1591">
        <v>0</v>
      </c>
      <c r="E1591">
        <v>15</v>
      </c>
      <c r="F1591">
        <v>32</v>
      </c>
      <c r="G1591">
        <v>0</v>
      </c>
      <c r="H1591">
        <v>8</v>
      </c>
      <c r="I1591">
        <v>23</v>
      </c>
      <c r="J1591">
        <v>4</v>
      </c>
      <c r="K1591">
        <v>18</v>
      </c>
      <c r="L1591">
        <v>1</v>
      </c>
      <c r="M1591">
        <v>1</v>
      </c>
      <c r="N1591">
        <v>0</v>
      </c>
      <c r="O1591">
        <v>4</v>
      </c>
      <c r="P1591">
        <v>6</v>
      </c>
      <c r="Q1591">
        <v>0</v>
      </c>
      <c r="R1591">
        <v>0</v>
      </c>
      <c r="S1591">
        <v>0</v>
      </c>
      <c r="T1591">
        <v>0</v>
      </c>
      <c r="U1591">
        <v>0</v>
      </c>
      <c r="V1591">
        <f>IF(SUM(ifood_data[[#This Row],[AcceptedCmp1]:[AcceptedCmp5]])&gt;0,1,0)</f>
        <v>0</v>
      </c>
      <c r="W1591">
        <v>0</v>
      </c>
      <c r="X1591">
        <v>3</v>
      </c>
      <c r="Y1591">
        <v>11</v>
      </c>
      <c r="Z1591">
        <v>0</v>
      </c>
      <c r="AA1591">
        <v>30</v>
      </c>
      <c r="AB1591">
        <v>2657</v>
      </c>
      <c r="AC1591" s="28">
        <f>ifood_data[[#This Row],[Customer_Days]]/365</f>
        <v>7.279452054794521</v>
      </c>
      <c r="AD1591">
        <v>0</v>
      </c>
      <c r="AE1591">
        <v>1</v>
      </c>
      <c r="AF1591">
        <v>0</v>
      </c>
      <c r="AG1591">
        <v>0</v>
      </c>
      <c r="AH1591">
        <v>0</v>
      </c>
      <c r="AI1591">
        <v>0</v>
      </c>
      <c r="AJ1591">
        <v>0</v>
      </c>
      <c r="AK1591">
        <v>1</v>
      </c>
      <c r="AL1591">
        <v>0</v>
      </c>
      <c r="AM1591">
        <v>0</v>
      </c>
      <c r="AN1591">
        <v>67</v>
      </c>
      <c r="AO1591">
        <v>49</v>
      </c>
      <c r="AP1591">
        <f>ifood_data[[#This Row],[MntTotal]]-ifood_data[[#This Row],[MntRegularProds]]</f>
        <v>18</v>
      </c>
      <c r="AQ1591">
        <v>0</v>
      </c>
      <c r="AR1591">
        <f>IF(SUM(ifood_data[[#This Row],[Kidhome]:[Teenhome]])&gt;0,1,0)</f>
        <v>0</v>
      </c>
      <c r="AS1591" t="str">
        <f>IF(SUM(ifood_data[[#This Row],[Kidhome]:[Teenhome]])&gt;0,"Has Family","No Family")</f>
        <v>No Family</v>
      </c>
      <c r="AT1591" t="str">
        <f>IF(ifood_data[[#This Row],[marital_Married]]=1,"Married", (IF(ifood_data[[#This Row],[marital_Single]]=1,"Single",(IF(ifood_data[[#This Row],[marital_Divorced]]=1,"Divorced",(IF(ifood_data[[#This Row],[marital_Together]]=1,"Living Together",(IF(ifood_data[[#This Row],[marital_Widow]]=1,"Widow","Other")))))))))</f>
        <v>Married</v>
      </c>
      <c r="AU1591" t="str">
        <f>IF(ifood_data[[#This Row],[education_Basic]]=1,"High School",(IF(ifood_data[[#This Row],[education_Graduation]]=1,"Undergraduate Degree",(IF(SUM(AM1591,AL1591,AI1591)&gt;0,"Master's Degree or Higher","Other")))))</f>
        <v>Undergraduate Degree</v>
      </c>
      <c r="AV1591" t="str">
        <f>IF(ifood_data[[#All],[Income]]&gt;75000,"75K+",(IF(ifood_data[[#All],[Income]]&gt;50000,"50K-75K",(IF(ifood_data[[#All],[Income]]&gt;35000,"35K-50K","&lt;35K")))))</f>
        <v>&lt;35K</v>
      </c>
      <c r="AW1591" t="str">
        <f>IF(ifood_data[[#All],[Age]]&gt;60,"60+",(IF(ifood_data[[#All],[Age]]&gt;50,"50-60",(IF(ifood_data[[#All],[Age]]&gt;40,"40-50",(IF(ifood_data[[#All],[Age]]&gt;30,"30-40","&lt;30")))))))</f>
        <v>&lt;30</v>
      </c>
      <c r="AX1591">
        <f t="shared" si="96"/>
        <v>12</v>
      </c>
      <c r="AY1591">
        <f t="shared" si="97"/>
        <v>9</v>
      </c>
      <c r="AZ1591">
        <f t="shared" si="98"/>
        <v>1</v>
      </c>
      <c r="BA1591">
        <f t="shared" si="99"/>
        <v>2</v>
      </c>
      <c r="BB1591">
        <f>SUM(ifood_data[[#This Row],[Recency Score]:[Monetary Score]])</f>
        <v>12</v>
      </c>
      <c r="BC1591">
        <f>(_xlfn.PERCENTRANK.INC(ifood_data[[#All],[RFM]],ifood_data[[#This Row],[RFM]],1))*10</f>
        <v>3</v>
      </c>
      <c r="BD1591" t="str">
        <f>VLOOKUP(ifood_data[[#This Row],[RFM Score]],'RFM Analysis'!$A$3:$B$14,2,FALSE)</f>
        <v>At Risk</v>
      </c>
      <c r="BE1591">
        <f>'Regression Models'!$B$101+'Regression Models'!$B$102*ifood_data[[#This Row],[Income]]+'Regression Models'!$B$103*ifood_data[[#This Row],[Age]]+'Regression Models'!$B$104*ifood_data[[#This Row],[Family]]</f>
        <v>143.03056355456766</v>
      </c>
      <c r="BF1591" t="str">
        <f>IF(ifood_data[[#This Row],[AcceptedCmpOverall]]=1,"Campaign Respondent","Non-respondent")</f>
        <v>Non-respondent</v>
      </c>
    </row>
    <row r="1592" spans="1:58" x14ac:dyDescent="0.35">
      <c r="A1592">
        <v>963</v>
      </c>
      <c r="B1592">
        <v>20180</v>
      </c>
      <c r="C1592">
        <v>0</v>
      </c>
      <c r="D1592">
        <v>0</v>
      </c>
      <c r="E1592">
        <v>27</v>
      </c>
      <c r="F1592">
        <v>18</v>
      </c>
      <c r="G1592">
        <v>42</v>
      </c>
      <c r="H1592">
        <v>24</v>
      </c>
      <c r="I1592">
        <v>15</v>
      </c>
      <c r="J1592">
        <v>20</v>
      </c>
      <c r="K1592">
        <v>18</v>
      </c>
      <c r="L1592">
        <v>1</v>
      </c>
      <c r="M1592">
        <v>2</v>
      </c>
      <c r="N1592">
        <v>1</v>
      </c>
      <c r="O1592">
        <v>4</v>
      </c>
      <c r="P1592">
        <v>7</v>
      </c>
      <c r="Q1592">
        <v>0</v>
      </c>
      <c r="R1592">
        <v>0</v>
      </c>
      <c r="S1592">
        <v>0</v>
      </c>
      <c r="T1592">
        <v>0</v>
      </c>
      <c r="U1592">
        <v>0</v>
      </c>
      <c r="V1592">
        <f>IF(SUM(ifood_data[[#This Row],[AcceptedCmp1]:[AcceptedCmp5]])&gt;0,1,0)</f>
        <v>0</v>
      </c>
      <c r="W1592">
        <v>0</v>
      </c>
      <c r="X1592">
        <v>3</v>
      </c>
      <c r="Y1592">
        <v>11</v>
      </c>
      <c r="Z1592">
        <v>0</v>
      </c>
      <c r="AA1592">
        <v>44</v>
      </c>
      <c r="AB1592">
        <v>2653</v>
      </c>
      <c r="AC1592" s="28">
        <f>ifood_data[[#This Row],[Customer_Days]]/365</f>
        <v>7.2684931506849315</v>
      </c>
      <c r="AD1592">
        <v>0</v>
      </c>
      <c r="AE1592">
        <v>0</v>
      </c>
      <c r="AF1592">
        <v>1</v>
      </c>
      <c r="AG1592">
        <v>0</v>
      </c>
      <c r="AH1592">
        <v>0</v>
      </c>
      <c r="AI1592">
        <v>0</v>
      </c>
      <c r="AJ1592">
        <v>0</v>
      </c>
      <c r="AK1592">
        <v>1</v>
      </c>
      <c r="AL1592">
        <v>0</v>
      </c>
      <c r="AM1592">
        <v>0</v>
      </c>
      <c r="AN1592">
        <v>119</v>
      </c>
      <c r="AO1592">
        <v>101</v>
      </c>
      <c r="AP1592">
        <f>ifood_data[[#This Row],[MntTotal]]-ifood_data[[#This Row],[MntRegularProds]]</f>
        <v>18</v>
      </c>
      <c r="AQ1592">
        <v>0</v>
      </c>
      <c r="AR1592">
        <f>IF(SUM(ifood_data[[#This Row],[Kidhome]:[Teenhome]])&gt;0,1,0)</f>
        <v>0</v>
      </c>
      <c r="AS1592" t="str">
        <f>IF(SUM(ifood_data[[#This Row],[Kidhome]:[Teenhome]])&gt;0,"Has Family","No Family")</f>
        <v>No Family</v>
      </c>
      <c r="AT1592" t="str">
        <f>IF(ifood_data[[#This Row],[marital_Married]]=1,"Married", (IF(ifood_data[[#This Row],[marital_Single]]=1,"Single",(IF(ifood_data[[#This Row],[marital_Divorced]]=1,"Divorced",(IF(ifood_data[[#This Row],[marital_Together]]=1,"Living Together",(IF(ifood_data[[#This Row],[marital_Widow]]=1,"Widow","Other")))))))))</f>
        <v>Single</v>
      </c>
      <c r="AU1592" t="str">
        <f>IF(ifood_data[[#This Row],[education_Basic]]=1,"High School",(IF(ifood_data[[#This Row],[education_Graduation]]=1,"Undergraduate Degree",(IF(SUM(AM1592,AL1592,AI1592)&gt;0,"Master's Degree or Higher","Other")))))</f>
        <v>Undergraduate Degree</v>
      </c>
      <c r="AV1592" t="str">
        <f>IF(ifood_data[[#All],[Income]]&gt;75000,"75K+",(IF(ifood_data[[#All],[Income]]&gt;50000,"50K-75K",(IF(ifood_data[[#All],[Income]]&gt;35000,"35K-50K","&lt;35K")))))</f>
        <v>&lt;35K</v>
      </c>
      <c r="AW1592" t="str">
        <f>IF(ifood_data[[#All],[Age]]&gt;60,"60+",(IF(ifood_data[[#All],[Age]]&gt;50,"50-60",(IF(ifood_data[[#All],[Age]]&gt;40,"40-50",(IF(ifood_data[[#All],[Age]]&gt;30,"30-40","&lt;30")))))))</f>
        <v>40-50</v>
      </c>
      <c r="AX1592">
        <f t="shared" si="96"/>
        <v>15</v>
      </c>
      <c r="AY1592">
        <f t="shared" si="97"/>
        <v>8</v>
      </c>
      <c r="AZ1592">
        <f t="shared" si="98"/>
        <v>2</v>
      </c>
      <c r="BA1592">
        <f t="shared" si="99"/>
        <v>3</v>
      </c>
      <c r="BB1592">
        <f>SUM(ifood_data[[#This Row],[Recency Score]:[Monetary Score]])</f>
        <v>13</v>
      </c>
      <c r="BC1592">
        <f>(_xlfn.PERCENTRANK.INC(ifood_data[[#All],[RFM]],ifood_data[[#This Row],[RFM]],1))*10</f>
        <v>3</v>
      </c>
      <c r="BD1592" t="str">
        <f>VLOOKUP(ifood_data[[#This Row],[RFM Score]],'RFM Analysis'!$A$3:$B$14,2,FALSE)</f>
        <v>At Risk</v>
      </c>
      <c r="BE1592">
        <f>'Regression Models'!$B$101+'Regression Models'!$B$102*ifood_data[[#This Row],[Income]]+'Regression Models'!$B$103*ifood_data[[#This Row],[Age]]+'Regression Models'!$B$104*ifood_data[[#This Row],[Family]]</f>
        <v>142.82676539806531</v>
      </c>
      <c r="BF1592" t="str">
        <f>IF(ifood_data[[#This Row],[AcceptedCmpOverall]]=1,"Campaign Respondent","Non-respondent")</f>
        <v>Non-respondent</v>
      </c>
    </row>
    <row r="1593" spans="1:58" x14ac:dyDescent="0.35">
      <c r="A1593">
        <v>8</v>
      </c>
      <c r="B1593">
        <v>33454</v>
      </c>
      <c r="C1593">
        <v>1</v>
      </c>
      <c r="D1593">
        <v>0</v>
      </c>
      <c r="E1593">
        <v>32</v>
      </c>
      <c r="F1593">
        <v>76</v>
      </c>
      <c r="G1593">
        <v>10</v>
      </c>
      <c r="H1593">
        <v>56</v>
      </c>
      <c r="I1593">
        <v>3</v>
      </c>
      <c r="J1593">
        <v>1</v>
      </c>
      <c r="K1593">
        <v>23</v>
      </c>
      <c r="L1593">
        <v>2</v>
      </c>
      <c r="M1593">
        <v>4</v>
      </c>
      <c r="N1593">
        <v>0</v>
      </c>
      <c r="O1593">
        <v>4</v>
      </c>
      <c r="P1593">
        <v>8</v>
      </c>
      <c r="Q1593">
        <v>0</v>
      </c>
      <c r="R1593">
        <v>0</v>
      </c>
      <c r="S1593">
        <v>0</v>
      </c>
      <c r="T1593">
        <v>0</v>
      </c>
      <c r="U1593">
        <v>0</v>
      </c>
      <c r="V1593">
        <f>IF(SUM(ifood_data[[#This Row],[AcceptedCmp1]:[AcceptedCmp5]])&gt;0,1,0)</f>
        <v>0</v>
      </c>
      <c r="W1593">
        <v>0</v>
      </c>
      <c r="X1593">
        <v>3</v>
      </c>
      <c r="Y1593">
        <v>11</v>
      </c>
      <c r="Z1593">
        <v>0</v>
      </c>
      <c r="AA1593">
        <v>35</v>
      </c>
      <c r="AB1593">
        <v>2576</v>
      </c>
      <c r="AC1593" s="28">
        <f>ifood_data[[#This Row],[Customer_Days]]/365</f>
        <v>7.0575342465753428</v>
      </c>
      <c r="AD1593">
        <v>0</v>
      </c>
      <c r="AE1593">
        <v>1</v>
      </c>
      <c r="AF1593">
        <v>0</v>
      </c>
      <c r="AG1593">
        <v>0</v>
      </c>
      <c r="AH1593">
        <v>0</v>
      </c>
      <c r="AI1593">
        <v>0</v>
      </c>
      <c r="AJ1593">
        <v>0</v>
      </c>
      <c r="AK1593">
        <v>0</v>
      </c>
      <c r="AL1593">
        <v>0</v>
      </c>
      <c r="AM1593">
        <v>1</v>
      </c>
      <c r="AN1593">
        <v>146</v>
      </c>
      <c r="AO1593">
        <v>123</v>
      </c>
      <c r="AP1593">
        <f>ifood_data[[#This Row],[MntTotal]]-ifood_data[[#This Row],[MntRegularProds]]</f>
        <v>23</v>
      </c>
      <c r="AQ1593">
        <v>0</v>
      </c>
      <c r="AR1593">
        <f>IF(SUM(ifood_data[[#This Row],[Kidhome]:[Teenhome]])&gt;0,1,0)</f>
        <v>1</v>
      </c>
      <c r="AS1593" t="str">
        <f>IF(SUM(ifood_data[[#This Row],[Kidhome]:[Teenhome]])&gt;0,"Has Family","No Family")</f>
        <v>Has Family</v>
      </c>
      <c r="AT1593" t="str">
        <f>IF(ifood_data[[#This Row],[marital_Married]]=1,"Married", (IF(ifood_data[[#This Row],[marital_Single]]=1,"Single",(IF(ifood_data[[#This Row],[marital_Divorced]]=1,"Divorced",(IF(ifood_data[[#This Row],[marital_Together]]=1,"Living Together",(IF(ifood_data[[#This Row],[marital_Widow]]=1,"Widow","Other")))))))))</f>
        <v>Married</v>
      </c>
      <c r="AU1593" t="str">
        <f>IF(ifood_data[[#This Row],[education_Basic]]=1,"High School",(IF(ifood_data[[#This Row],[education_Graduation]]=1,"Undergraduate Degree",(IF(SUM(AM1593,AL1593,AI1593)&gt;0,"Master's Degree or Higher","Other")))))</f>
        <v>Master's Degree or Higher</v>
      </c>
      <c r="AV1593" t="str">
        <f>IF(ifood_data[[#All],[Income]]&gt;75000,"75K+",(IF(ifood_data[[#All],[Income]]&gt;50000,"50K-75K",(IF(ifood_data[[#All],[Income]]&gt;35000,"35K-50K","&lt;35K")))))</f>
        <v>&lt;35K</v>
      </c>
      <c r="AW1593" t="str">
        <f>IF(ifood_data[[#All],[Age]]&gt;60,"60+",(IF(ifood_data[[#All],[Age]]&gt;50,"50-60",(IF(ifood_data[[#All],[Age]]&gt;40,"40-50",(IF(ifood_data[[#All],[Age]]&gt;30,"30-40","&lt;30")))))))</f>
        <v>30-40</v>
      </c>
      <c r="AX1593">
        <f t="shared" si="96"/>
        <v>18</v>
      </c>
      <c r="AY1593">
        <f t="shared" si="97"/>
        <v>7</v>
      </c>
      <c r="AZ1593">
        <f t="shared" si="98"/>
        <v>4</v>
      </c>
      <c r="BA1593">
        <f t="shared" si="99"/>
        <v>3</v>
      </c>
      <c r="BB1593">
        <f>SUM(ifood_data[[#This Row],[Recency Score]:[Monetary Score]])</f>
        <v>14</v>
      </c>
      <c r="BC1593">
        <f>(_xlfn.PERCENTRANK.INC(ifood_data[[#All],[RFM]],ifood_data[[#This Row],[RFM]],1))*10</f>
        <v>4</v>
      </c>
      <c r="BD1593" t="str">
        <f>VLOOKUP(ifood_data[[#This Row],[RFM Score]],'RFM Analysis'!$A$3:$B$14,2,FALSE)</f>
        <v>At Risk</v>
      </c>
      <c r="BE1593">
        <f>'Regression Models'!$B$101+'Regression Models'!$B$102*ifood_data[[#This Row],[Income]]+'Regression Models'!$B$103*ifood_data[[#This Row],[Age]]+'Regression Models'!$B$104*ifood_data[[#This Row],[Family]]</f>
        <v>140.38159437721225</v>
      </c>
      <c r="BF1593" t="str">
        <f>IF(ifood_data[[#This Row],[AcceptedCmpOverall]]=1,"Campaign Respondent","Non-respondent")</f>
        <v>Non-respondent</v>
      </c>
    </row>
    <row r="1594" spans="1:58" x14ac:dyDescent="0.35">
      <c r="A1594">
        <v>302</v>
      </c>
      <c r="B1594">
        <v>34421</v>
      </c>
      <c r="C1594">
        <v>1</v>
      </c>
      <c r="D1594">
        <v>0</v>
      </c>
      <c r="E1594">
        <v>81</v>
      </c>
      <c r="F1594">
        <v>3</v>
      </c>
      <c r="G1594">
        <v>3</v>
      </c>
      <c r="H1594">
        <v>7</v>
      </c>
      <c r="I1594">
        <v>6</v>
      </c>
      <c r="J1594">
        <v>2</v>
      </c>
      <c r="K1594">
        <v>9</v>
      </c>
      <c r="L1594">
        <v>1</v>
      </c>
      <c r="M1594">
        <v>1</v>
      </c>
      <c r="N1594">
        <v>0</v>
      </c>
      <c r="O1594">
        <v>2</v>
      </c>
      <c r="P1594">
        <v>7</v>
      </c>
      <c r="Q1594">
        <v>0</v>
      </c>
      <c r="R1594">
        <v>0</v>
      </c>
      <c r="S1594">
        <v>0</v>
      </c>
      <c r="T1594">
        <v>0</v>
      </c>
      <c r="U1594">
        <v>0</v>
      </c>
      <c r="V1594">
        <f>IF(SUM(ifood_data[[#This Row],[AcceptedCmp1]:[AcceptedCmp5]])&gt;0,1,0)</f>
        <v>0</v>
      </c>
      <c r="W1594">
        <v>0</v>
      </c>
      <c r="X1594">
        <v>3</v>
      </c>
      <c r="Y1594">
        <v>11</v>
      </c>
      <c r="Z1594">
        <v>0</v>
      </c>
      <c r="AA1594">
        <v>46</v>
      </c>
      <c r="AB1594">
        <v>2522</v>
      </c>
      <c r="AC1594" s="28">
        <f>ifood_data[[#This Row],[Customer_Days]]/365</f>
        <v>6.9095890410958907</v>
      </c>
      <c r="AD1594">
        <v>0</v>
      </c>
      <c r="AE1594">
        <v>1</v>
      </c>
      <c r="AF1594">
        <v>0</v>
      </c>
      <c r="AG1594">
        <v>0</v>
      </c>
      <c r="AH1594">
        <v>0</v>
      </c>
      <c r="AI1594">
        <v>0</v>
      </c>
      <c r="AJ1594">
        <v>0</v>
      </c>
      <c r="AK1594">
        <v>1</v>
      </c>
      <c r="AL1594">
        <v>0</v>
      </c>
      <c r="AM1594">
        <v>0</v>
      </c>
      <c r="AN1594">
        <v>21</v>
      </c>
      <c r="AO1594">
        <v>12</v>
      </c>
      <c r="AP1594">
        <f>ifood_data[[#This Row],[MntTotal]]-ifood_data[[#This Row],[MntRegularProds]]</f>
        <v>9</v>
      </c>
      <c r="AQ1594">
        <v>0</v>
      </c>
      <c r="AR1594">
        <f>IF(SUM(ifood_data[[#This Row],[Kidhome]:[Teenhome]])&gt;0,1,0)</f>
        <v>1</v>
      </c>
      <c r="AS1594" t="str">
        <f>IF(SUM(ifood_data[[#This Row],[Kidhome]:[Teenhome]])&gt;0,"Has Family","No Family")</f>
        <v>Has Family</v>
      </c>
      <c r="AT1594" t="str">
        <f>IF(ifood_data[[#This Row],[marital_Married]]=1,"Married", (IF(ifood_data[[#This Row],[marital_Single]]=1,"Single",(IF(ifood_data[[#This Row],[marital_Divorced]]=1,"Divorced",(IF(ifood_data[[#This Row],[marital_Together]]=1,"Living Together",(IF(ifood_data[[#This Row],[marital_Widow]]=1,"Widow","Other")))))))))</f>
        <v>Married</v>
      </c>
      <c r="AU1594" t="str">
        <f>IF(ifood_data[[#This Row],[education_Basic]]=1,"High School",(IF(ifood_data[[#This Row],[education_Graduation]]=1,"Undergraduate Degree",(IF(SUM(AM1594,AL1594,AI1594)&gt;0,"Master's Degree or Higher","Other")))))</f>
        <v>Undergraduate Degree</v>
      </c>
      <c r="AV1594" t="str">
        <f>IF(ifood_data[[#All],[Income]]&gt;75000,"75K+",(IF(ifood_data[[#All],[Income]]&gt;50000,"50K-75K",(IF(ifood_data[[#All],[Income]]&gt;35000,"35K-50K","&lt;35K")))))</f>
        <v>&lt;35K</v>
      </c>
      <c r="AW1594" t="str">
        <f>IF(ifood_data[[#All],[Age]]&gt;60,"60+",(IF(ifood_data[[#All],[Age]]&gt;50,"50-60",(IF(ifood_data[[#All],[Age]]&gt;40,"40-50",(IF(ifood_data[[#All],[Age]]&gt;30,"30-40","&lt;30")))))))</f>
        <v>40-50</v>
      </c>
      <c r="AX1594">
        <f t="shared" si="96"/>
        <v>11</v>
      </c>
      <c r="AY1594">
        <f t="shared" si="97"/>
        <v>1.9999999999999996</v>
      </c>
      <c r="AZ1594">
        <f t="shared" si="98"/>
        <v>0</v>
      </c>
      <c r="BA1594">
        <f t="shared" si="99"/>
        <v>0</v>
      </c>
      <c r="BB1594">
        <f>SUM(ifood_data[[#This Row],[Recency Score]:[Monetary Score]])</f>
        <v>1.9999999999999996</v>
      </c>
      <c r="BC1594">
        <f>(_xlfn.PERCENTRANK.INC(ifood_data[[#All],[RFM]],ifood_data[[#This Row],[RFM]],1))*10</f>
        <v>0</v>
      </c>
      <c r="BD1594" t="str">
        <f>VLOOKUP(ifood_data[[#This Row],[RFM Score]],'RFM Analysis'!$A$3:$B$14,2,FALSE)</f>
        <v>Lost</v>
      </c>
      <c r="BE1594">
        <f>'Regression Models'!$B$101+'Regression Models'!$B$102*ifood_data[[#This Row],[Income]]+'Regression Models'!$B$103*ifood_data[[#This Row],[Age]]+'Regression Models'!$B$104*ifood_data[[#This Row],[Family]]</f>
        <v>139.89670330452543</v>
      </c>
      <c r="BF1594" t="str">
        <f>IF(ifood_data[[#This Row],[AcceptedCmpOverall]]=1,"Campaign Respondent","Non-respondent")</f>
        <v>Non-respondent</v>
      </c>
    </row>
    <row r="1595" spans="1:58" x14ac:dyDescent="0.35">
      <c r="A1595">
        <v>1220</v>
      </c>
      <c r="B1595">
        <v>34043</v>
      </c>
      <c r="C1595">
        <v>1</v>
      </c>
      <c r="D1595">
        <v>0</v>
      </c>
      <c r="E1595">
        <v>97</v>
      </c>
      <c r="F1595">
        <v>20</v>
      </c>
      <c r="G1595">
        <v>2</v>
      </c>
      <c r="H1595">
        <v>14</v>
      </c>
      <c r="I1595">
        <v>3</v>
      </c>
      <c r="J1595">
        <v>0</v>
      </c>
      <c r="K1595">
        <v>10</v>
      </c>
      <c r="L1595">
        <v>1</v>
      </c>
      <c r="M1595">
        <v>2</v>
      </c>
      <c r="N1595">
        <v>0</v>
      </c>
      <c r="O1595">
        <v>2</v>
      </c>
      <c r="P1595">
        <v>9</v>
      </c>
      <c r="Q1595">
        <v>0</v>
      </c>
      <c r="R1595">
        <v>0</v>
      </c>
      <c r="S1595">
        <v>0</v>
      </c>
      <c r="T1595">
        <v>0</v>
      </c>
      <c r="U1595">
        <v>0</v>
      </c>
      <c r="V1595">
        <f>IF(SUM(ifood_data[[#This Row],[AcceptedCmp1]:[AcceptedCmp5]])&gt;0,1,0)</f>
        <v>0</v>
      </c>
      <c r="W1595">
        <v>0</v>
      </c>
      <c r="X1595">
        <v>3</v>
      </c>
      <c r="Y1595">
        <v>11</v>
      </c>
      <c r="Z1595">
        <v>0</v>
      </c>
      <c r="AA1595">
        <v>42</v>
      </c>
      <c r="AB1595">
        <v>2406</v>
      </c>
      <c r="AC1595" s="28">
        <f>ifood_data[[#This Row],[Customer_Days]]/365</f>
        <v>6.5917808219178085</v>
      </c>
      <c r="AD1595">
        <v>0</v>
      </c>
      <c r="AE1595">
        <v>0</v>
      </c>
      <c r="AF1595">
        <v>0</v>
      </c>
      <c r="AG1595">
        <v>1</v>
      </c>
      <c r="AH1595">
        <v>0</v>
      </c>
      <c r="AI1595">
        <v>0</v>
      </c>
      <c r="AJ1595">
        <v>0</v>
      </c>
      <c r="AK1595">
        <v>0</v>
      </c>
      <c r="AL1595">
        <v>0</v>
      </c>
      <c r="AM1595">
        <v>1</v>
      </c>
      <c r="AN1595">
        <v>39</v>
      </c>
      <c r="AO1595">
        <v>29</v>
      </c>
      <c r="AP1595">
        <f>ifood_data[[#This Row],[MntTotal]]-ifood_data[[#This Row],[MntRegularProds]]</f>
        <v>10</v>
      </c>
      <c r="AQ1595">
        <v>0</v>
      </c>
      <c r="AR1595">
        <f>IF(SUM(ifood_data[[#This Row],[Kidhome]:[Teenhome]])&gt;0,1,0)</f>
        <v>1</v>
      </c>
      <c r="AS1595" t="str">
        <f>IF(SUM(ifood_data[[#This Row],[Kidhome]:[Teenhome]])&gt;0,"Has Family","No Family")</f>
        <v>Has Family</v>
      </c>
      <c r="AT1595" t="str">
        <f>IF(ifood_data[[#This Row],[marital_Married]]=1,"Married", (IF(ifood_data[[#This Row],[marital_Single]]=1,"Single",(IF(ifood_data[[#This Row],[marital_Divorced]]=1,"Divorced",(IF(ifood_data[[#This Row],[marital_Together]]=1,"Living Together",(IF(ifood_data[[#This Row],[marital_Widow]]=1,"Widow","Other")))))))))</f>
        <v>Living Together</v>
      </c>
      <c r="AU1595" t="str">
        <f>IF(ifood_data[[#This Row],[education_Basic]]=1,"High School",(IF(ifood_data[[#This Row],[education_Graduation]]=1,"Undergraduate Degree",(IF(SUM(AM1595,AL1595,AI1595)&gt;0,"Master's Degree or Higher","Other")))))</f>
        <v>Master's Degree or Higher</v>
      </c>
      <c r="AV1595" t="str">
        <f>IF(ifood_data[[#All],[Income]]&gt;75000,"75K+",(IF(ifood_data[[#All],[Income]]&gt;50000,"50K-75K",(IF(ifood_data[[#All],[Income]]&gt;35000,"35K-50K","&lt;35K")))))</f>
        <v>&lt;35K</v>
      </c>
      <c r="AW1595" t="str">
        <f>IF(ifood_data[[#All],[Age]]&gt;60,"60+",(IF(ifood_data[[#All],[Age]]&gt;50,"50-60",(IF(ifood_data[[#All],[Age]]&gt;40,"40-50",(IF(ifood_data[[#All],[Age]]&gt;30,"30-40","&lt;30")))))))</f>
        <v>40-50</v>
      </c>
      <c r="AX1595">
        <f t="shared" si="96"/>
        <v>14</v>
      </c>
      <c r="AY1595">
        <f t="shared" si="97"/>
        <v>0.99999999999999978</v>
      </c>
      <c r="AZ1595">
        <f t="shared" si="98"/>
        <v>2</v>
      </c>
      <c r="BA1595">
        <f t="shared" si="99"/>
        <v>1</v>
      </c>
      <c r="BB1595">
        <f>SUM(ifood_data[[#This Row],[Recency Score]:[Monetary Score]])</f>
        <v>4</v>
      </c>
      <c r="BC1595">
        <f>(_xlfn.PERCENTRANK.INC(ifood_data[[#All],[RFM]],ifood_data[[#This Row],[RFM]],1))*10</f>
        <v>0</v>
      </c>
      <c r="BD1595" t="str">
        <f>VLOOKUP(ifood_data[[#This Row],[RFM Score]],'RFM Analysis'!$A$3:$B$14,2,FALSE)</f>
        <v>Lost</v>
      </c>
      <c r="BE1595">
        <f>'Regression Models'!$B$101+'Regression Models'!$B$102*ifood_data[[#This Row],[Income]]+'Regression Models'!$B$103*ifood_data[[#This Row],[Age]]+'Regression Models'!$B$104*ifood_data[[#This Row],[Family]]</f>
        <v>139.53550526170875</v>
      </c>
      <c r="BF1595" t="str">
        <f>IF(ifood_data[[#This Row],[AcceptedCmpOverall]]=1,"Campaign Respondent","Non-respondent")</f>
        <v>Non-respondent</v>
      </c>
    </row>
    <row r="1596" spans="1:58" x14ac:dyDescent="0.35">
      <c r="A1596">
        <v>1325</v>
      </c>
      <c r="B1596">
        <v>34578</v>
      </c>
      <c r="C1596">
        <v>2</v>
      </c>
      <c r="D1596">
        <v>1</v>
      </c>
      <c r="E1596">
        <v>1</v>
      </c>
      <c r="F1596">
        <v>7</v>
      </c>
      <c r="G1596">
        <v>0</v>
      </c>
      <c r="H1596">
        <v>1</v>
      </c>
      <c r="I1596">
        <v>0</v>
      </c>
      <c r="J1596">
        <v>0</v>
      </c>
      <c r="K1596">
        <v>0</v>
      </c>
      <c r="L1596">
        <v>1</v>
      </c>
      <c r="M1596">
        <v>1</v>
      </c>
      <c r="N1596">
        <v>0</v>
      </c>
      <c r="O1596">
        <v>2</v>
      </c>
      <c r="P1596">
        <v>6</v>
      </c>
      <c r="Q1596">
        <v>0</v>
      </c>
      <c r="R1596">
        <v>0</v>
      </c>
      <c r="S1596">
        <v>0</v>
      </c>
      <c r="T1596">
        <v>0</v>
      </c>
      <c r="U1596">
        <v>0</v>
      </c>
      <c r="V1596">
        <f>IF(SUM(ifood_data[[#This Row],[AcceptedCmp1]:[AcceptedCmp5]])&gt;0,1,0)</f>
        <v>0</v>
      </c>
      <c r="W1596">
        <v>0</v>
      </c>
      <c r="X1596">
        <v>3</v>
      </c>
      <c r="Y1596">
        <v>11</v>
      </c>
      <c r="Z1596">
        <v>0</v>
      </c>
      <c r="AA1596">
        <v>48</v>
      </c>
      <c r="AB1596">
        <v>2238</v>
      </c>
      <c r="AC1596" s="28">
        <f>ifood_data[[#This Row],[Customer_Days]]/365</f>
        <v>6.1315068493150688</v>
      </c>
      <c r="AD1596">
        <v>0</v>
      </c>
      <c r="AE1596">
        <v>0</v>
      </c>
      <c r="AF1596">
        <v>0</v>
      </c>
      <c r="AG1596">
        <v>1</v>
      </c>
      <c r="AH1596">
        <v>0</v>
      </c>
      <c r="AI1596">
        <v>0</v>
      </c>
      <c r="AJ1596">
        <v>0</v>
      </c>
      <c r="AK1596">
        <v>0</v>
      </c>
      <c r="AL1596">
        <v>0</v>
      </c>
      <c r="AM1596">
        <v>1</v>
      </c>
      <c r="AN1596">
        <v>8</v>
      </c>
      <c r="AO1596">
        <v>8</v>
      </c>
      <c r="AP1596">
        <f>ifood_data[[#This Row],[MntTotal]]-ifood_data[[#This Row],[MntRegularProds]]</f>
        <v>0</v>
      </c>
      <c r="AQ1596">
        <v>0</v>
      </c>
      <c r="AR1596">
        <f>IF(SUM(ifood_data[[#This Row],[Kidhome]:[Teenhome]])&gt;0,1,0)</f>
        <v>1</v>
      </c>
      <c r="AS1596" t="str">
        <f>IF(SUM(ifood_data[[#This Row],[Kidhome]:[Teenhome]])&gt;0,"Has Family","No Family")</f>
        <v>Has Family</v>
      </c>
      <c r="AT1596" t="str">
        <f>IF(ifood_data[[#This Row],[marital_Married]]=1,"Married", (IF(ifood_data[[#This Row],[marital_Single]]=1,"Single",(IF(ifood_data[[#This Row],[marital_Divorced]]=1,"Divorced",(IF(ifood_data[[#This Row],[marital_Together]]=1,"Living Together",(IF(ifood_data[[#This Row],[marital_Widow]]=1,"Widow","Other")))))))))</f>
        <v>Living Together</v>
      </c>
      <c r="AU1596" t="str">
        <f>IF(ifood_data[[#This Row],[education_Basic]]=1,"High School",(IF(ifood_data[[#This Row],[education_Graduation]]=1,"Undergraduate Degree",(IF(SUM(AM1596,AL1596,AI1596)&gt;0,"Master's Degree or Higher","Other")))))</f>
        <v>Master's Degree or Higher</v>
      </c>
      <c r="AV1596" t="str">
        <f>IF(ifood_data[[#All],[Income]]&gt;75000,"75K+",(IF(ifood_data[[#All],[Income]]&gt;50000,"50K-75K",(IF(ifood_data[[#All],[Income]]&gt;35000,"35K-50K","&lt;35K")))))</f>
        <v>&lt;35K</v>
      </c>
      <c r="AW1596" t="str">
        <f>IF(ifood_data[[#All],[Age]]&gt;60,"60+",(IF(ifood_data[[#All],[Age]]&gt;50,"50-60",(IF(ifood_data[[#All],[Age]]&gt;40,"40-50",(IF(ifood_data[[#All],[Age]]&gt;30,"30-40","&lt;30")))))))</f>
        <v>40-50</v>
      </c>
      <c r="AX1596">
        <f t="shared" si="96"/>
        <v>10</v>
      </c>
      <c r="AY1596">
        <f t="shared" si="97"/>
        <v>10</v>
      </c>
      <c r="AZ1596">
        <f t="shared" si="98"/>
        <v>0</v>
      </c>
      <c r="BA1596">
        <f t="shared" si="99"/>
        <v>0</v>
      </c>
      <c r="BB1596">
        <f>SUM(ifood_data[[#This Row],[Recency Score]:[Monetary Score]])</f>
        <v>10</v>
      </c>
      <c r="BC1596">
        <f>(_xlfn.PERCENTRANK.INC(ifood_data[[#All],[RFM]],ifood_data[[#This Row],[RFM]],1))*10</f>
        <v>2</v>
      </c>
      <c r="BD1596" t="str">
        <f>VLOOKUP(ifood_data[[#This Row],[RFM Score]],'RFM Analysis'!$A$3:$B$14,2,FALSE)</f>
        <v>At Risk</v>
      </c>
      <c r="BE1596">
        <f>'Regression Models'!$B$101+'Regression Models'!$B$102*ifood_data[[#This Row],[Income]]+'Regression Models'!$B$103*ifood_data[[#This Row],[Age]]+'Regression Models'!$B$104*ifood_data[[#This Row],[Family]]</f>
        <v>139.42486174532905</v>
      </c>
      <c r="BF1596" t="str">
        <f>IF(ifood_data[[#This Row],[AcceptedCmpOverall]]=1,"Campaign Respondent","Non-respondent")</f>
        <v>Non-respondent</v>
      </c>
    </row>
    <row r="1597" spans="1:58" x14ac:dyDescent="0.35">
      <c r="A1597">
        <v>1054</v>
      </c>
      <c r="B1597">
        <v>33569</v>
      </c>
      <c r="C1597">
        <v>1</v>
      </c>
      <c r="D1597">
        <v>0</v>
      </c>
      <c r="E1597">
        <v>10</v>
      </c>
      <c r="F1597">
        <v>16</v>
      </c>
      <c r="G1597">
        <v>2</v>
      </c>
      <c r="H1597">
        <v>18</v>
      </c>
      <c r="I1597">
        <v>3</v>
      </c>
      <c r="J1597">
        <v>0</v>
      </c>
      <c r="K1597">
        <v>24</v>
      </c>
      <c r="L1597">
        <v>1</v>
      </c>
      <c r="M1597">
        <v>1</v>
      </c>
      <c r="N1597">
        <v>1</v>
      </c>
      <c r="O1597">
        <v>2</v>
      </c>
      <c r="P1597">
        <v>8</v>
      </c>
      <c r="Q1597">
        <v>0</v>
      </c>
      <c r="R1597">
        <v>0</v>
      </c>
      <c r="S1597">
        <v>1</v>
      </c>
      <c r="T1597">
        <v>0</v>
      </c>
      <c r="U1597">
        <v>0</v>
      </c>
      <c r="V1597">
        <f>IF(SUM(ifood_data[[#This Row],[AcceptedCmp1]:[AcceptedCmp5]])&gt;0,1,0)</f>
        <v>1</v>
      </c>
      <c r="W1597">
        <v>0</v>
      </c>
      <c r="X1597">
        <v>3</v>
      </c>
      <c r="Y1597">
        <v>11</v>
      </c>
      <c r="Z1597">
        <v>1</v>
      </c>
      <c r="AA1597">
        <v>37</v>
      </c>
      <c r="AB1597">
        <v>2415</v>
      </c>
      <c r="AC1597" s="28">
        <f>ifood_data[[#This Row],[Customer_Days]]/365</f>
        <v>6.6164383561643838</v>
      </c>
      <c r="AD1597">
        <v>0</v>
      </c>
      <c r="AE1597">
        <v>1</v>
      </c>
      <c r="AF1597">
        <v>0</v>
      </c>
      <c r="AG1597">
        <v>0</v>
      </c>
      <c r="AH1597">
        <v>0</v>
      </c>
      <c r="AI1597">
        <v>0</v>
      </c>
      <c r="AJ1597">
        <v>0</v>
      </c>
      <c r="AK1597">
        <v>0</v>
      </c>
      <c r="AL1597">
        <v>0</v>
      </c>
      <c r="AM1597">
        <v>1</v>
      </c>
      <c r="AN1597">
        <v>39</v>
      </c>
      <c r="AO1597">
        <v>15</v>
      </c>
      <c r="AP1597">
        <f>ifood_data[[#This Row],[MntTotal]]-ifood_data[[#This Row],[MntRegularProds]]</f>
        <v>24</v>
      </c>
      <c r="AQ1597">
        <v>1</v>
      </c>
      <c r="AR1597">
        <f>IF(SUM(ifood_data[[#This Row],[Kidhome]:[Teenhome]])&gt;0,1,0)</f>
        <v>1</v>
      </c>
      <c r="AS1597" t="str">
        <f>IF(SUM(ifood_data[[#This Row],[Kidhome]:[Teenhome]])&gt;0,"Has Family","No Family")</f>
        <v>Has Family</v>
      </c>
      <c r="AT1597" t="str">
        <f>IF(ifood_data[[#This Row],[marital_Married]]=1,"Married", (IF(ifood_data[[#This Row],[marital_Single]]=1,"Single",(IF(ifood_data[[#This Row],[marital_Divorced]]=1,"Divorced",(IF(ifood_data[[#This Row],[marital_Together]]=1,"Living Together",(IF(ifood_data[[#This Row],[marital_Widow]]=1,"Widow","Other")))))))))</f>
        <v>Married</v>
      </c>
      <c r="AU1597" t="str">
        <f>IF(ifood_data[[#This Row],[education_Basic]]=1,"High School",(IF(ifood_data[[#This Row],[education_Graduation]]=1,"Undergraduate Degree",(IF(SUM(AM1597,AL1597,AI1597)&gt;0,"Master's Degree or Higher","Other")))))</f>
        <v>Master's Degree or Higher</v>
      </c>
      <c r="AV1597" t="str">
        <f>IF(ifood_data[[#All],[Income]]&gt;75000,"75K+",(IF(ifood_data[[#All],[Income]]&gt;50000,"50K-75K",(IF(ifood_data[[#All],[Income]]&gt;35000,"35K-50K","&lt;35K")))))</f>
        <v>&lt;35K</v>
      </c>
      <c r="AW1597" t="str">
        <f>IF(ifood_data[[#All],[Age]]&gt;60,"60+",(IF(ifood_data[[#All],[Age]]&gt;50,"50-60",(IF(ifood_data[[#All],[Age]]&gt;40,"40-50",(IF(ifood_data[[#All],[Age]]&gt;30,"30-40","&lt;30")))))))</f>
        <v>30-40</v>
      </c>
      <c r="AX1597">
        <f t="shared" si="96"/>
        <v>13</v>
      </c>
      <c r="AY1597">
        <f t="shared" si="97"/>
        <v>9</v>
      </c>
      <c r="AZ1597">
        <f t="shared" si="98"/>
        <v>1</v>
      </c>
      <c r="BA1597">
        <f t="shared" si="99"/>
        <v>1</v>
      </c>
      <c r="BB1597">
        <f>SUM(ifood_data[[#This Row],[Recency Score]:[Monetary Score]])</f>
        <v>11</v>
      </c>
      <c r="BC1597">
        <f>(_xlfn.PERCENTRANK.INC(ifood_data[[#All],[RFM]],ifood_data[[#This Row],[RFM]],1))*10</f>
        <v>2</v>
      </c>
      <c r="BD1597" t="str">
        <f>VLOOKUP(ifood_data[[#This Row],[RFM Score]],'RFM Analysis'!$A$3:$B$14,2,FALSE)</f>
        <v>At Risk</v>
      </c>
      <c r="BE1597">
        <f>'Regression Models'!$B$101+'Regression Models'!$B$102*ifood_data[[#This Row],[Income]]+'Regression Models'!$B$103*ifood_data[[#This Row],[Age]]+'Regression Models'!$B$104*ifood_data[[#This Row],[Family]]</f>
        <v>139.05342455597219</v>
      </c>
      <c r="BF1597" t="str">
        <f>IF(ifood_data[[#This Row],[AcceptedCmpOverall]]=1,"Campaign Respondent","Non-respondent")</f>
        <v>Campaign Respondent</v>
      </c>
    </row>
    <row r="1598" spans="1:58" x14ac:dyDescent="0.35">
      <c r="A1598">
        <v>1530</v>
      </c>
      <c r="B1598">
        <v>34916</v>
      </c>
      <c r="C1598">
        <v>2</v>
      </c>
      <c r="D1598">
        <v>0</v>
      </c>
      <c r="E1598">
        <v>89</v>
      </c>
      <c r="F1598">
        <v>51</v>
      </c>
      <c r="G1598">
        <v>23</v>
      </c>
      <c r="H1598">
        <v>82</v>
      </c>
      <c r="I1598">
        <v>33</v>
      </c>
      <c r="J1598">
        <v>0</v>
      </c>
      <c r="K1598">
        <v>42</v>
      </c>
      <c r="L1598">
        <v>4</v>
      </c>
      <c r="M1598">
        <v>5</v>
      </c>
      <c r="N1598">
        <v>1</v>
      </c>
      <c r="O1598">
        <v>3</v>
      </c>
      <c r="P1598">
        <v>9</v>
      </c>
      <c r="Q1598">
        <v>0</v>
      </c>
      <c r="R1598">
        <v>0</v>
      </c>
      <c r="S1598">
        <v>0</v>
      </c>
      <c r="T1598">
        <v>0</v>
      </c>
      <c r="U1598">
        <v>0</v>
      </c>
      <c r="V1598">
        <f>IF(SUM(ifood_data[[#This Row],[AcceptedCmp1]:[AcceptedCmp5]])&gt;0,1,0)</f>
        <v>0</v>
      </c>
      <c r="W1598">
        <v>0</v>
      </c>
      <c r="X1598">
        <v>3</v>
      </c>
      <c r="Y1598">
        <v>11</v>
      </c>
      <c r="Z1598">
        <v>0</v>
      </c>
      <c r="AA1598">
        <v>52</v>
      </c>
      <c r="AB1598">
        <v>2569</v>
      </c>
      <c r="AC1598" s="28">
        <f>ifood_data[[#This Row],[Customer_Days]]/365</f>
        <v>7.0383561643835613</v>
      </c>
      <c r="AD1598">
        <v>0</v>
      </c>
      <c r="AE1598">
        <v>0</v>
      </c>
      <c r="AF1598">
        <v>0</v>
      </c>
      <c r="AG1598">
        <v>1</v>
      </c>
      <c r="AH1598">
        <v>0</v>
      </c>
      <c r="AI1598">
        <v>0</v>
      </c>
      <c r="AJ1598">
        <v>0</v>
      </c>
      <c r="AK1598">
        <v>1</v>
      </c>
      <c r="AL1598">
        <v>0</v>
      </c>
      <c r="AM1598">
        <v>0</v>
      </c>
      <c r="AN1598">
        <v>189</v>
      </c>
      <c r="AO1598">
        <v>147</v>
      </c>
      <c r="AP1598">
        <f>ifood_data[[#This Row],[MntTotal]]-ifood_data[[#This Row],[MntRegularProds]]</f>
        <v>42</v>
      </c>
      <c r="AQ1598">
        <v>0</v>
      </c>
      <c r="AR1598">
        <f>IF(SUM(ifood_data[[#This Row],[Kidhome]:[Teenhome]])&gt;0,1,0)</f>
        <v>1</v>
      </c>
      <c r="AS1598" t="str">
        <f>IF(SUM(ifood_data[[#This Row],[Kidhome]:[Teenhome]])&gt;0,"Has Family","No Family")</f>
        <v>Has Family</v>
      </c>
      <c r="AT1598" t="str">
        <f>IF(ifood_data[[#This Row],[marital_Married]]=1,"Married", (IF(ifood_data[[#This Row],[marital_Single]]=1,"Single",(IF(ifood_data[[#This Row],[marital_Divorced]]=1,"Divorced",(IF(ifood_data[[#This Row],[marital_Together]]=1,"Living Together",(IF(ifood_data[[#This Row],[marital_Widow]]=1,"Widow","Other")))))))))</f>
        <v>Living Together</v>
      </c>
      <c r="AU1598" t="str">
        <f>IF(ifood_data[[#This Row],[education_Basic]]=1,"High School",(IF(ifood_data[[#This Row],[education_Graduation]]=1,"Undergraduate Degree",(IF(SUM(AM1598,AL1598,AI1598)&gt;0,"Master's Degree or Higher","Other")))))</f>
        <v>Undergraduate Degree</v>
      </c>
      <c r="AV1598" t="str">
        <f>IF(ifood_data[[#All],[Income]]&gt;75000,"75K+",(IF(ifood_data[[#All],[Income]]&gt;50000,"50K-75K",(IF(ifood_data[[#All],[Income]]&gt;35000,"35K-50K","&lt;35K")))))</f>
        <v>&lt;35K</v>
      </c>
      <c r="AW1598" t="str">
        <f>IF(ifood_data[[#All],[Age]]&gt;60,"60+",(IF(ifood_data[[#All],[Age]]&gt;50,"50-60",(IF(ifood_data[[#All],[Age]]&gt;40,"40-50",(IF(ifood_data[[#All],[Age]]&gt;30,"30-40","&lt;30")))))))</f>
        <v>50-60</v>
      </c>
      <c r="AX1598">
        <f t="shared" si="96"/>
        <v>22</v>
      </c>
      <c r="AY1598">
        <f t="shared" si="97"/>
        <v>1.9999999999999996</v>
      </c>
      <c r="AZ1598">
        <f t="shared" si="98"/>
        <v>5</v>
      </c>
      <c r="BA1598">
        <f t="shared" si="99"/>
        <v>4</v>
      </c>
      <c r="BB1598">
        <f>SUM(ifood_data[[#This Row],[Recency Score]:[Monetary Score]])</f>
        <v>11</v>
      </c>
      <c r="BC1598">
        <f>(_xlfn.PERCENTRANK.INC(ifood_data[[#All],[RFM]],ifood_data[[#This Row],[RFM]],1))*10</f>
        <v>2</v>
      </c>
      <c r="BD1598" t="str">
        <f>VLOOKUP(ifood_data[[#This Row],[RFM Score]],'RFM Analysis'!$A$3:$B$14,2,FALSE)</f>
        <v>At Risk</v>
      </c>
      <c r="BE1598">
        <f>'Regression Models'!$B$101+'Regression Models'!$B$102*ifood_data[[#This Row],[Income]]+'Regression Models'!$B$103*ifood_data[[#This Row],[Age]]+'Regression Models'!$B$104*ifood_data[[#This Row],[Family]]</f>
        <v>138.97050906238974</v>
      </c>
      <c r="BF1598" t="str">
        <f>IF(ifood_data[[#This Row],[AcceptedCmpOverall]]=1,"Campaign Respondent","Non-respondent")</f>
        <v>Non-respondent</v>
      </c>
    </row>
    <row r="1599" spans="1:58" x14ac:dyDescent="0.35">
      <c r="A1599">
        <v>420</v>
      </c>
      <c r="B1599">
        <v>20130</v>
      </c>
      <c r="C1599">
        <v>0</v>
      </c>
      <c r="D1599">
        <v>0</v>
      </c>
      <c r="E1599">
        <v>99</v>
      </c>
      <c r="F1599">
        <v>0</v>
      </c>
      <c r="G1599">
        <v>6</v>
      </c>
      <c r="H1599">
        <v>3</v>
      </c>
      <c r="I1599">
        <v>7</v>
      </c>
      <c r="J1599">
        <v>6</v>
      </c>
      <c r="K1599">
        <v>12</v>
      </c>
      <c r="L1599">
        <v>1</v>
      </c>
      <c r="M1599">
        <v>1</v>
      </c>
      <c r="N1599">
        <v>0</v>
      </c>
      <c r="O1599">
        <v>3</v>
      </c>
      <c r="P1599">
        <v>8</v>
      </c>
      <c r="Q1599">
        <v>0</v>
      </c>
      <c r="R1599">
        <v>0</v>
      </c>
      <c r="S1599">
        <v>0</v>
      </c>
      <c r="T1599">
        <v>0</v>
      </c>
      <c r="U1599">
        <v>0</v>
      </c>
      <c r="V1599">
        <f>IF(SUM(ifood_data[[#This Row],[AcceptedCmp1]:[AcceptedCmp5]])&gt;0,1,0)</f>
        <v>0</v>
      </c>
      <c r="W1599">
        <v>0</v>
      </c>
      <c r="X1599">
        <v>3</v>
      </c>
      <c r="Y1599">
        <v>11</v>
      </c>
      <c r="Z1599">
        <v>0</v>
      </c>
      <c r="AA1599">
        <v>46</v>
      </c>
      <c r="AB1599">
        <v>2263</v>
      </c>
      <c r="AC1599" s="28">
        <f>ifood_data[[#This Row],[Customer_Days]]/365</f>
        <v>6.2</v>
      </c>
      <c r="AD1599">
        <v>0</v>
      </c>
      <c r="AE1599">
        <v>1</v>
      </c>
      <c r="AF1599">
        <v>0</v>
      </c>
      <c r="AG1599">
        <v>0</v>
      </c>
      <c r="AH1599">
        <v>0</v>
      </c>
      <c r="AI1599">
        <v>1</v>
      </c>
      <c r="AJ1599">
        <v>0</v>
      </c>
      <c r="AK1599">
        <v>0</v>
      </c>
      <c r="AL1599">
        <v>0</v>
      </c>
      <c r="AM1599">
        <v>0</v>
      </c>
      <c r="AN1599">
        <v>22</v>
      </c>
      <c r="AO1599">
        <v>10</v>
      </c>
      <c r="AP1599">
        <f>ifood_data[[#This Row],[MntTotal]]-ifood_data[[#This Row],[MntRegularProds]]</f>
        <v>12</v>
      </c>
      <c r="AQ1599">
        <v>0</v>
      </c>
      <c r="AR1599">
        <f>IF(SUM(ifood_data[[#This Row],[Kidhome]:[Teenhome]])&gt;0,1,0)</f>
        <v>0</v>
      </c>
      <c r="AS1599" t="str">
        <f>IF(SUM(ifood_data[[#This Row],[Kidhome]:[Teenhome]])&gt;0,"Has Family","No Family")</f>
        <v>No Family</v>
      </c>
      <c r="AT1599" t="str">
        <f>IF(ifood_data[[#This Row],[marital_Married]]=1,"Married", (IF(ifood_data[[#This Row],[marital_Single]]=1,"Single",(IF(ifood_data[[#This Row],[marital_Divorced]]=1,"Divorced",(IF(ifood_data[[#This Row],[marital_Together]]=1,"Living Together",(IF(ifood_data[[#This Row],[marital_Widow]]=1,"Widow","Other")))))))))</f>
        <v>Married</v>
      </c>
      <c r="AU1599" t="str">
        <f>IF(ifood_data[[#This Row],[education_Basic]]=1,"High School",(IF(ifood_data[[#This Row],[education_Graduation]]=1,"Undergraduate Degree",(IF(SUM(AM1599,AL1599,AI1599)&gt;0,"Master's Degree or Higher","Other")))))</f>
        <v>Master's Degree or Higher</v>
      </c>
      <c r="AV1599" t="str">
        <f>IF(ifood_data[[#All],[Income]]&gt;75000,"75K+",(IF(ifood_data[[#All],[Income]]&gt;50000,"50K-75K",(IF(ifood_data[[#All],[Income]]&gt;35000,"35K-50K","&lt;35K")))))</f>
        <v>&lt;35K</v>
      </c>
      <c r="AW1599" t="str">
        <f>IF(ifood_data[[#All],[Age]]&gt;60,"60+",(IF(ifood_data[[#All],[Age]]&gt;50,"50-60",(IF(ifood_data[[#All],[Age]]&gt;40,"40-50",(IF(ifood_data[[#All],[Age]]&gt;30,"30-40","&lt;30")))))))</f>
        <v>40-50</v>
      </c>
      <c r="AX1599">
        <f t="shared" si="96"/>
        <v>13</v>
      </c>
      <c r="AY1599">
        <f t="shared" si="97"/>
        <v>0.99999999999999978</v>
      </c>
      <c r="AZ1599">
        <f t="shared" si="98"/>
        <v>1</v>
      </c>
      <c r="BA1599">
        <f t="shared" si="99"/>
        <v>0</v>
      </c>
      <c r="BB1599">
        <f>SUM(ifood_data[[#This Row],[Recency Score]:[Monetary Score]])</f>
        <v>1.9999999999999998</v>
      </c>
      <c r="BC1599">
        <f>(_xlfn.PERCENTRANK.INC(ifood_data[[#All],[RFM]],ifood_data[[#This Row],[RFM]],1))*10</f>
        <v>0</v>
      </c>
      <c r="BD1599" t="str">
        <f>VLOOKUP(ifood_data[[#This Row],[RFM Score]],'RFM Analysis'!$A$3:$B$14,2,FALSE)</f>
        <v>Lost</v>
      </c>
      <c r="BE1599">
        <f>'Regression Models'!$B$101+'Regression Models'!$B$102*ifood_data[[#This Row],[Income]]+'Regression Models'!$B$103*ifood_data[[#This Row],[Age]]+'Regression Models'!$B$104*ifood_data[[#This Row],[Family]]</f>
        <v>138.13444883308185</v>
      </c>
      <c r="BF1599" t="str">
        <f>IF(ifood_data[[#This Row],[AcceptedCmpOverall]]=1,"Campaign Respondent","Non-respondent")</f>
        <v>Non-respondent</v>
      </c>
    </row>
    <row r="1600" spans="1:58" x14ac:dyDescent="0.35">
      <c r="A1600">
        <v>1635</v>
      </c>
      <c r="B1600">
        <v>34600</v>
      </c>
      <c r="C1600">
        <v>1</v>
      </c>
      <c r="D1600">
        <v>1</v>
      </c>
      <c r="E1600">
        <v>8</v>
      </c>
      <c r="F1600">
        <v>199</v>
      </c>
      <c r="G1600">
        <v>33</v>
      </c>
      <c r="H1600">
        <v>60</v>
      </c>
      <c r="I1600">
        <v>8</v>
      </c>
      <c r="J1600">
        <v>3</v>
      </c>
      <c r="K1600">
        <v>15</v>
      </c>
      <c r="L1600">
        <v>5</v>
      </c>
      <c r="M1600">
        <v>5</v>
      </c>
      <c r="N1600">
        <v>2</v>
      </c>
      <c r="O1600">
        <v>5</v>
      </c>
      <c r="P1600">
        <v>8</v>
      </c>
      <c r="Q1600">
        <v>0</v>
      </c>
      <c r="R1600">
        <v>0</v>
      </c>
      <c r="S1600">
        <v>0</v>
      </c>
      <c r="T1600">
        <v>0</v>
      </c>
      <c r="U1600">
        <v>0</v>
      </c>
      <c r="V1600">
        <f>IF(SUM(ifood_data[[#This Row],[AcceptedCmp1]:[AcceptedCmp5]])&gt;0,1,0)</f>
        <v>0</v>
      </c>
      <c r="W1600">
        <v>0</v>
      </c>
      <c r="X1600">
        <v>3</v>
      </c>
      <c r="Y1600">
        <v>11</v>
      </c>
      <c r="Z1600">
        <v>1</v>
      </c>
      <c r="AA1600">
        <v>49</v>
      </c>
      <c r="AB1600">
        <v>2703</v>
      </c>
      <c r="AC1600" s="28">
        <f>ifood_data[[#This Row],[Customer_Days]]/365</f>
        <v>7.4054794520547942</v>
      </c>
      <c r="AD1600">
        <v>0</v>
      </c>
      <c r="AE1600">
        <v>0</v>
      </c>
      <c r="AF1600">
        <v>0</v>
      </c>
      <c r="AG1600">
        <v>1</v>
      </c>
      <c r="AH1600">
        <v>0</v>
      </c>
      <c r="AI1600">
        <v>0</v>
      </c>
      <c r="AJ1600">
        <v>0</v>
      </c>
      <c r="AK1600">
        <v>1</v>
      </c>
      <c r="AL1600">
        <v>0</v>
      </c>
      <c r="AM1600">
        <v>0</v>
      </c>
      <c r="AN1600">
        <v>303</v>
      </c>
      <c r="AO1600">
        <v>288</v>
      </c>
      <c r="AP1600">
        <f>ifood_data[[#This Row],[MntTotal]]-ifood_data[[#This Row],[MntRegularProds]]</f>
        <v>15</v>
      </c>
      <c r="AQ1600">
        <v>0</v>
      </c>
      <c r="AR1600">
        <f>IF(SUM(ifood_data[[#This Row],[Kidhome]:[Teenhome]])&gt;0,1,0)</f>
        <v>1</v>
      </c>
      <c r="AS1600" t="str">
        <f>IF(SUM(ifood_data[[#This Row],[Kidhome]:[Teenhome]])&gt;0,"Has Family","No Family")</f>
        <v>Has Family</v>
      </c>
      <c r="AT1600" t="str">
        <f>IF(ifood_data[[#This Row],[marital_Married]]=1,"Married", (IF(ifood_data[[#This Row],[marital_Single]]=1,"Single",(IF(ifood_data[[#This Row],[marital_Divorced]]=1,"Divorced",(IF(ifood_data[[#This Row],[marital_Together]]=1,"Living Together",(IF(ifood_data[[#This Row],[marital_Widow]]=1,"Widow","Other")))))))))</f>
        <v>Living Together</v>
      </c>
      <c r="AU1600" t="str">
        <f>IF(ifood_data[[#This Row],[education_Basic]]=1,"High School",(IF(ifood_data[[#This Row],[education_Graduation]]=1,"Undergraduate Degree",(IF(SUM(AM1600,AL1600,AI1600)&gt;0,"Master's Degree or Higher","Other")))))</f>
        <v>Undergraduate Degree</v>
      </c>
      <c r="AV1600" t="str">
        <f>IF(ifood_data[[#All],[Income]]&gt;75000,"75K+",(IF(ifood_data[[#All],[Income]]&gt;50000,"50K-75K",(IF(ifood_data[[#All],[Income]]&gt;35000,"35K-50K","&lt;35K")))))</f>
        <v>&lt;35K</v>
      </c>
      <c r="AW1600" t="str">
        <f>IF(ifood_data[[#All],[Age]]&gt;60,"60+",(IF(ifood_data[[#All],[Age]]&gt;50,"50-60",(IF(ifood_data[[#All],[Age]]&gt;40,"40-50",(IF(ifood_data[[#All],[Age]]&gt;30,"30-40","&lt;30")))))))</f>
        <v>40-50</v>
      </c>
      <c r="AX1600">
        <f t="shared" si="96"/>
        <v>25</v>
      </c>
      <c r="AY1600">
        <f t="shared" si="97"/>
        <v>10</v>
      </c>
      <c r="AZ1600">
        <f t="shared" si="98"/>
        <v>7</v>
      </c>
      <c r="BA1600">
        <f t="shared" si="99"/>
        <v>4</v>
      </c>
      <c r="BB1600">
        <f>SUM(ifood_data[[#This Row],[Recency Score]:[Monetary Score]])</f>
        <v>21</v>
      </c>
      <c r="BC1600">
        <f>(_xlfn.PERCENTRANK.INC(ifood_data[[#All],[RFM]],ifood_data[[#This Row],[RFM]],1))*10</f>
        <v>8</v>
      </c>
      <c r="BD1600" t="str">
        <f>VLOOKUP(ifood_data[[#This Row],[RFM Score]],'RFM Analysis'!$A$3:$B$14,2,FALSE)</f>
        <v>Loyal Customer</v>
      </c>
      <c r="BE1600">
        <f>'Regression Models'!$B$101+'Regression Models'!$B$102*ifood_data[[#This Row],[Income]]+'Regression Models'!$B$103*ifood_data[[#This Row],[Age]]+'Regression Models'!$B$104*ifood_data[[#This Row],[Family]]</f>
        <v>138.03697556560053</v>
      </c>
      <c r="BF1600" t="str">
        <f>IF(ifood_data[[#This Row],[AcceptedCmpOverall]]=1,"Campaign Respondent","Non-respondent")</f>
        <v>Non-respondent</v>
      </c>
    </row>
    <row r="1601" spans="1:58" x14ac:dyDescent="0.35">
      <c r="A1601">
        <v>950</v>
      </c>
      <c r="B1601">
        <v>36130</v>
      </c>
      <c r="C1601">
        <v>0</v>
      </c>
      <c r="D1601">
        <v>1</v>
      </c>
      <c r="E1601">
        <v>46</v>
      </c>
      <c r="F1601">
        <v>157</v>
      </c>
      <c r="G1601">
        <v>43</v>
      </c>
      <c r="H1601">
        <v>127</v>
      </c>
      <c r="I1601">
        <v>68</v>
      </c>
      <c r="J1601">
        <v>56</v>
      </c>
      <c r="K1601">
        <v>37</v>
      </c>
      <c r="L1601">
        <v>6</v>
      </c>
      <c r="M1601">
        <v>3</v>
      </c>
      <c r="N1601">
        <v>8</v>
      </c>
      <c r="O1601">
        <v>4</v>
      </c>
      <c r="P1601">
        <v>4</v>
      </c>
      <c r="Q1601">
        <v>0</v>
      </c>
      <c r="R1601">
        <v>0</v>
      </c>
      <c r="S1601">
        <v>1</v>
      </c>
      <c r="T1601">
        <v>0</v>
      </c>
      <c r="U1601">
        <v>0</v>
      </c>
      <c r="V1601">
        <f>IF(SUM(ifood_data[[#This Row],[AcceptedCmp1]:[AcceptedCmp5]])&gt;0,1,0)</f>
        <v>1</v>
      </c>
      <c r="W1601">
        <v>0</v>
      </c>
      <c r="X1601">
        <v>3</v>
      </c>
      <c r="Y1601">
        <v>11</v>
      </c>
      <c r="Z1601">
        <v>1</v>
      </c>
      <c r="AA1601">
        <v>66</v>
      </c>
      <c r="AB1601">
        <v>2671</v>
      </c>
      <c r="AC1601" s="28">
        <f>ifood_data[[#This Row],[Customer_Days]]/365</f>
        <v>7.3178082191780822</v>
      </c>
      <c r="AD1601">
        <v>0</v>
      </c>
      <c r="AE1601">
        <v>0</v>
      </c>
      <c r="AF1601">
        <v>1</v>
      </c>
      <c r="AG1601">
        <v>0</v>
      </c>
      <c r="AH1601">
        <v>0</v>
      </c>
      <c r="AI1601">
        <v>0</v>
      </c>
      <c r="AJ1601">
        <v>0</v>
      </c>
      <c r="AK1601">
        <v>1</v>
      </c>
      <c r="AL1601">
        <v>0</v>
      </c>
      <c r="AM1601">
        <v>0</v>
      </c>
      <c r="AN1601">
        <v>451</v>
      </c>
      <c r="AO1601">
        <v>414</v>
      </c>
      <c r="AP1601">
        <f>ifood_data[[#This Row],[MntTotal]]-ifood_data[[#This Row],[MntRegularProds]]</f>
        <v>37</v>
      </c>
      <c r="AQ1601">
        <v>1</v>
      </c>
      <c r="AR1601">
        <f>IF(SUM(ifood_data[[#This Row],[Kidhome]:[Teenhome]])&gt;0,1,0)</f>
        <v>1</v>
      </c>
      <c r="AS1601" t="str">
        <f>IF(SUM(ifood_data[[#This Row],[Kidhome]:[Teenhome]])&gt;0,"Has Family","No Family")</f>
        <v>Has Family</v>
      </c>
      <c r="AT1601" t="str">
        <f>IF(ifood_data[[#This Row],[marital_Married]]=1,"Married", (IF(ifood_data[[#This Row],[marital_Single]]=1,"Single",(IF(ifood_data[[#This Row],[marital_Divorced]]=1,"Divorced",(IF(ifood_data[[#This Row],[marital_Together]]=1,"Living Together",(IF(ifood_data[[#This Row],[marital_Widow]]=1,"Widow","Other")))))))))</f>
        <v>Single</v>
      </c>
      <c r="AU1601" t="str">
        <f>IF(ifood_data[[#This Row],[education_Basic]]=1,"High School",(IF(ifood_data[[#This Row],[education_Graduation]]=1,"Undergraduate Degree",(IF(SUM(AM1601,AL1601,AI1601)&gt;0,"Master's Degree or Higher","Other")))))</f>
        <v>Undergraduate Degree</v>
      </c>
      <c r="AV1601" t="str">
        <f>IF(ifood_data[[#All],[Income]]&gt;75000,"75K+",(IF(ifood_data[[#All],[Income]]&gt;50000,"50K-75K",(IF(ifood_data[[#All],[Income]]&gt;35000,"35K-50K","&lt;35K")))))</f>
        <v>35K-50K</v>
      </c>
      <c r="AW1601" t="str">
        <f>IF(ifood_data[[#All],[Age]]&gt;60,"60+",(IF(ifood_data[[#All],[Age]]&gt;50,"50-60",(IF(ifood_data[[#All],[Age]]&gt;40,"40-50",(IF(ifood_data[[#All],[Age]]&gt;30,"30-40","&lt;30")))))))</f>
        <v>60+</v>
      </c>
      <c r="AX1601">
        <f t="shared" si="96"/>
        <v>25</v>
      </c>
      <c r="AY1601">
        <f t="shared" si="97"/>
        <v>6</v>
      </c>
      <c r="AZ1601">
        <f t="shared" si="98"/>
        <v>7</v>
      </c>
      <c r="BA1601">
        <f t="shared" si="99"/>
        <v>5</v>
      </c>
      <c r="BB1601">
        <f>SUM(ifood_data[[#This Row],[Recency Score]:[Monetary Score]])</f>
        <v>18</v>
      </c>
      <c r="BC1601">
        <f>(_xlfn.PERCENTRANK.INC(ifood_data[[#All],[RFM]],ifood_data[[#This Row],[RFM]],1))*10</f>
        <v>6</v>
      </c>
      <c r="BD1601" t="str">
        <f>VLOOKUP(ifood_data[[#This Row],[RFM Score]],'RFM Analysis'!$A$3:$B$14,2,FALSE)</f>
        <v>Promising</v>
      </c>
      <c r="BE1601">
        <f>'Regression Models'!$B$101+'Regression Models'!$B$102*ifood_data[[#This Row],[Income]]+'Regression Models'!$B$103*ifood_data[[#This Row],[Age]]+'Regression Models'!$B$104*ifood_data[[#This Row],[Family]]</f>
        <v>138.01232648456323</v>
      </c>
      <c r="BF1601" t="str">
        <f>IF(ifood_data[[#This Row],[AcceptedCmpOverall]]=1,"Campaign Respondent","Non-respondent")</f>
        <v>Campaign Respondent</v>
      </c>
    </row>
    <row r="1602" spans="1:58" x14ac:dyDescent="0.35">
      <c r="A1602">
        <v>1741</v>
      </c>
      <c r="B1602">
        <v>33235</v>
      </c>
      <c r="C1602">
        <v>1</v>
      </c>
      <c r="D1602">
        <v>0</v>
      </c>
      <c r="E1602">
        <v>71</v>
      </c>
      <c r="F1602">
        <v>45</v>
      </c>
      <c r="G1602">
        <v>0</v>
      </c>
      <c r="H1602">
        <v>16</v>
      </c>
      <c r="I1602">
        <v>2</v>
      </c>
      <c r="J1602">
        <v>1</v>
      </c>
      <c r="K1602">
        <v>6</v>
      </c>
      <c r="L1602">
        <v>1</v>
      </c>
      <c r="M1602">
        <v>3</v>
      </c>
      <c r="N1602">
        <v>0</v>
      </c>
      <c r="O1602">
        <v>3</v>
      </c>
      <c r="P1602">
        <v>7</v>
      </c>
      <c r="Q1602">
        <v>0</v>
      </c>
      <c r="R1602">
        <v>0</v>
      </c>
      <c r="S1602">
        <v>0</v>
      </c>
      <c r="T1602">
        <v>0</v>
      </c>
      <c r="U1602">
        <v>0</v>
      </c>
      <c r="V1602">
        <f>IF(SUM(ifood_data[[#This Row],[AcceptedCmp1]:[AcceptedCmp5]])&gt;0,1,0)</f>
        <v>0</v>
      </c>
      <c r="W1602">
        <v>0</v>
      </c>
      <c r="X1602">
        <v>3</v>
      </c>
      <c r="Y1602">
        <v>11</v>
      </c>
      <c r="Z1602">
        <v>0</v>
      </c>
      <c r="AA1602">
        <v>34</v>
      </c>
      <c r="AB1602">
        <v>2303</v>
      </c>
      <c r="AC1602" s="28">
        <f>ifood_data[[#This Row],[Customer_Days]]/365</f>
        <v>6.3095890410958901</v>
      </c>
      <c r="AD1602">
        <v>0</v>
      </c>
      <c r="AE1602">
        <v>0</v>
      </c>
      <c r="AF1602">
        <v>0</v>
      </c>
      <c r="AG1602">
        <v>1</v>
      </c>
      <c r="AH1602">
        <v>0</v>
      </c>
      <c r="AI1602">
        <v>0</v>
      </c>
      <c r="AJ1602">
        <v>0</v>
      </c>
      <c r="AK1602">
        <v>1</v>
      </c>
      <c r="AL1602">
        <v>0</v>
      </c>
      <c r="AM1602">
        <v>0</v>
      </c>
      <c r="AN1602">
        <v>64</v>
      </c>
      <c r="AO1602">
        <v>58</v>
      </c>
      <c r="AP1602">
        <f>ifood_data[[#This Row],[MntTotal]]-ifood_data[[#This Row],[MntRegularProds]]</f>
        <v>6</v>
      </c>
      <c r="AQ1602">
        <v>0</v>
      </c>
      <c r="AR1602">
        <f>IF(SUM(ifood_data[[#This Row],[Kidhome]:[Teenhome]])&gt;0,1,0)</f>
        <v>1</v>
      </c>
      <c r="AS1602" t="str">
        <f>IF(SUM(ifood_data[[#This Row],[Kidhome]:[Teenhome]])&gt;0,"Has Family","No Family")</f>
        <v>Has Family</v>
      </c>
      <c r="AT1602" t="str">
        <f>IF(ifood_data[[#This Row],[marital_Married]]=1,"Married", (IF(ifood_data[[#This Row],[marital_Single]]=1,"Single",(IF(ifood_data[[#This Row],[marital_Divorced]]=1,"Divorced",(IF(ifood_data[[#This Row],[marital_Together]]=1,"Living Together",(IF(ifood_data[[#This Row],[marital_Widow]]=1,"Widow","Other")))))))))</f>
        <v>Living Together</v>
      </c>
      <c r="AU1602" t="str">
        <f>IF(ifood_data[[#This Row],[education_Basic]]=1,"High School",(IF(ifood_data[[#This Row],[education_Graduation]]=1,"Undergraduate Degree",(IF(SUM(AM1602,AL1602,AI1602)&gt;0,"Master's Degree or Higher","Other")))))</f>
        <v>Undergraduate Degree</v>
      </c>
      <c r="AV1602" t="str">
        <f>IF(ifood_data[[#All],[Income]]&gt;75000,"75K+",(IF(ifood_data[[#All],[Income]]&gt;50000,"50K-75K",(IF(ifood_data[[#All],[Income]]&gt;35000,"35K-50K","&lt;35K")))))</f>
        <v>&lt;35K</v>
      </c>
      <c r="AW1602" t="str">
        <f>IF(ifood_data[[#All],[Age]]&gt;60,"60+",(IF(ifood_data[[#All],[Age]]&gt;50,"50-60",(IF(ifood_data[[#All],[Age]]&gt;40,"40-50",(IF(ifood_data[[#All],[Age]]&gt;30,"30-40","&lt;30")))))))</f>
        <v>30-40</v>
      </c>
      <c r="AX1602">
        <f t="shared" ref="AX1602:AX1665" si="100">SUM(L1602:P1602)</f>
        <v>14</v>
      </c>
      <c r="AY1602">
        <f t="shared" ref="AY1602:AY1665" si="101">(1-_xlfn.PERCENTRANK.INC($E$2:$E$2022,E1602,1))*10</f>
        <v>3.0000000000000004</v>
      </c>
      <c r="AZ1602">
        <f t="shared" ref="AZ1602:AZ1665" si="102">_xlfn.PERCENTRANK.INC($AX$2:$AX$2022,AX1602,1)*10</f>
        <v>2</v>
      </c>
      <c r="BA1602">
        <f t="shared" ref="BA1602:BA1665" si="103">_xlfn.PERCENTRANK.INC($AN$2:$AN$2022,AN1602,1)*10</f>
        <v>2</v>
      </c>
      <c r="BB1602">
        <f>SUM(ifood_data[[#This Row],[Recency Score]:[Monetary Score]])</f>
        <v>7</v>
      </c>
      <c r="BC1602">
        <f>(_xlfn.PERCENTRANK.INC(ifood_data[[#All],[RFM]],ifood_data[[#This Row],[RFM]],1))*10</f>
        <v>1</v>
      </c>
      <c r="BD1602" t="str">
        <f>VLOOKUP(ifood_data[[#This Row],[RFM Score]],'RFM Analysis'!$A$3:$B$14,2,FALSE)</f>
        <v>At Risk</v>
      </c>
      <c r="BE1602">
        <f>'Regression Models'!$B$101+'Regression Models'!$B$102*ifood_data[[#This Row],[Income]]+'Regression Models'!$B$103*ifood_data[[#This Row],[Age]]+'Regression Models'!$B$104*ifood_data[[#This Row],[Family]]</f>
        <v>137.75289323259273</v>
      </c>
      <c r="BF1602" t="str">
        <f>IF(ifood_data[[#This Row],[AcceptedCmpOverall]]=1,"Campaign Respondent","Non-respondent")</f>
        <v>Non-respondent</v>
      </c>
    </row>
    <row r="1603" spans="1:58" x14ac:dyDescent="0.35">
      <c r="A1603">
        <v>1953</v>
      </c>
      <c r="B1603">
        <v>34176</v>
      </c>
      <c r="C1603">
        <v>0</v>
      </c>
      <c r="D1603">
        <v>1</v>
      </c>
      <c r="E1603">
        <v>9</v>
      </c>
      <c r="F1603">
        <v>11</v>
      </c>
      <c r="G1603">
        <v>2</v>
      </c>
      <c r="H1603">
        <v>7</v>
      </c>
      <c r="I1603">
        <v>4</v>
      </c>
      <c r="J1603">
        <v>2</v>
      </c>
      <c r="K1603">
        <v>2</v>
      </c>
      <c r="L1603">
        <v>1</v>
      </c>
      <c r="M1603">
        <v>1</v>
      </c>
      <c r="N1603">
        <v>0</v>
      </c>
      <c r="O1603">
        <v>3</v>
      </c>
      <c r="P1603">
        <v>3</v>
      </c>
      <c r="Q1603">
        <v>0</v>
      </c>
      <c r="R1603">
        <v>0</v>
      </c>
      <c r="S1603">
        <v>0</v>
      </c>
      <c r="T1603">
        <v>0</v>
      </c>
      <c r="U1603">
        <v>0</v>
      </c>
      <c r="V1603">
        <f>IF(SUM(ifood_data[[#This Row],[AcceptedCmp1]:[AcceptedCmp5]])&gt;0,1,0)</f>
        <v>0</v>
      </c>
      <c r="W1603">
        <v>0</v>
      </c>
      <c r="X1603">
        <v>3</v>
      </c>
      <c r="Y1603">
        <v>11</v>
      </c>
      <c r="Z1603">
        <v>0</v>
      </c>
      <c r="AA1603">
        <v>45</v>
      </c>
      <c r="AB1603">
        <v>2317</v>
      </c>
      <c r="AC1603" s="28">
        <f>ifood_data[[#This Row],[Customer_Days]]/365</f>
        <v>6.3479452054794523</v>
      </c>
      <c r="AD1603">
        <v>0</v>
      </c>
      <c r="AE1603">
        <v>0</v>
      </c>
      <c r="AF1603">
        <v>0</v>
      </c>
      <c r="AG1603">
        <v>1</v>
      </c>
      <c r="AH1603">
        <v>0</v>
      </c>
      <c r="AI1603">
        <v>0</v>
      </c>
      <c r="AJ1603">
        <v>0</v>
      </c>
      <c r="AK1603">
        <v>0</v>
      </c>
      <c r="AL1603">
        <v>1</v>
      </c>
      <c r="AM1603">
        <v>0</v>
      </c>
      <c r="AN1603">
        <v>26</v>
      </c>
      <c r="AO1603">
        <v>24</v>
      </c>
      <c r="AP1603">
        <f>ifood_data[[#This Row],[MntTotal]]-ifood_data[[#This Row],[MntRegularProds]]</f>
        <v>2</v>
      </c>
      <c r="AQ1603">
        <v>0</v>
      </c>
      <c r="AR1603">
        <f>IF(SUM(ifood_data[[#This Row],[Kidhome]:[Teenhome]])&gt;0,1,0)</f>
        <v>1</v>
      </c>
      <c r="AS1603" t="str">
        <f>IF(SUM(ifood_data[[#This Row],[Kidhome]:[Teenhome]])&gt;0,"Has Family","No Family")</f>
        <v>Has Family</v>
      </c>
      <c r="AT1603" t="str">
        <f>IF(ifood_data[[#This Row],[marital_Married]]=1,"Married", (IF(ifood_data[[#This Row],[marital_Single]]=1,"Single",(IF(ifood_data[[#This Row],[marital_Divorced]]=1,"Divorced",(IF(ifood_data[[#This Row],[marital_Together]]=1,"Living Together",(IF(ifood_data[[#This Row],[marital_Widow]]=1,"Widow","Other")))))))))</f>
        <v>Living Together</v>
      </c>
      <c r="AU1603" t="str">
        <f>IF(ifood_data[[#This Row],[education_Basic]]=1,"High School",(IF(ifood_data[[#This Row],[education_Graduation]]=1,"Undergraduate Degree",(IF(SUM(AM1603,AL1603,AI1603)&gt;0,"Master's Degree or Higher","Other")))))</f>
        <v>Master's Degree or Higher</v>
      </c>
      <c r="AV1603" t="str">
        <f>IF(ifood_data[[#All],[Income]]&gt;75000,"75K+",(IF(ifood_data[[#All],[Income]]&gt;50000,"50K-75K",(IF(ifood_data[[#All],[Income]]&gt;35000,"35K-50K","&lt;35K")))))</f>
        <v>&lt;35K</v>
      </c>
      <c r="AW1603" t="str">
        <f>IF(ifood_data[[#All],[Age]]&gt;60,"60+",(IF(ifood_data[[#All],[Age]]&gt;50,"50-60",(IF(ifood_data[[#All],[Age]]&gt;40,"40-50",(IF(ifood_data[[#All],[Age]]&gt;30,"30-40","&lt;30")))))))</f>
        <v>40-50</v>
      </c>
      <c r="AX1603">
        <f t="shared" si="100"/>
        <v>8</v>
      </c>
      <c r="AY1603">
        <f t="shared" si="101"/>
        <v>10</v>
      </c>
      <c r="AZ1603">
        <f t="shared" si="102"/>
        <v>0</v>
      </c>
      <c r="BA1603">
        <f t="shared" si="103"/>
        <v>0</v>
      </c>
      <c r="BB1603">
        <f>SUM(ifood_data[[#This Row],[Recency Score]:[Monetary Score]])</f>
        <v>10</v>
      </c>
      <c r="BC1603">
        <f>(_xlfn.PERCENTRANK.INC(ifood_data[[#All],[RFM]],ifood_data[[#This Row],[RFM]],1))*10</f>
        <v>2</v>
      </c>
      <c r="BD1603" t="str">
        <f>VLOOKUP(ifood_data[[#This Row],[RFM Score]],'RFM Analysis'!$A$3:$B$14,2,FALSE)</f>
        <v>At Risk</v>
      </c>
      <c r="BE1603">
        <f>'Regression Models'!$B$101+'Regression Models'!$B$102*ifood_data[[#This Row],[Income]]+'Regression Models'!$B$103*ifood_data[[#This Row],[Age]]+'Regression Models'!$B$104*ifood_data[[#This Row],[Family]]</f>
        <v>136.73789418816455</v>
      </c>
      <c r="BF1603" t="str">
        <f>IF(ifood_data[[#This Row],[AcceptedCmpOverall]]=1,"Campaign Respondent","Non-respondent")</f>
        <v>Non-respondent</v>
      </c>
    </row>
    <row r="1604" spans="1:58" x14ac:dyDescent="0.35">
      <c r="A1604">
        <v>1341</v>
      </c>
      <c r="B1604">
        <v>36408</v>
      </c>
      <c r="C1604">
        <v>1</v>
      </c>
      <c r="D1604">
        <v>1</v>
      </c>
      <c r="E1604">
        <v>11</v>
      </c>
      <c r="F1604">
        <v>9</v>
      </c>
      <c r="G1604">
        <v>1</v>
      </c>
      <c r="H1604">
        <v>4</v>
      </c>
      <c r="I1604">
        <v>3</v>
      </c>
      <c r="J1604">
        <v>2</v>
      </c>
      <c r="K1604">
        <v>3</v>
      </c>
      <c r="L1604">
        <v>1</v>
      </c>
      <c r="M1604">
        <v>1</v>
      </c>
      <c r="N1604">
        <v>0</v>
      </c>
      <c r="O1604">
        <v>2</v>
      </c>
      <c r="P1604">
        <v>6</v>
      </c>
      <c r="Q1604">
        <v>0</v>
      </c>
      <c r="R1604">
        <v>0</v>
      </c>
      <c r="S1604">
        <v>0</v>
      </c>
      <c r="T1604">
        <v>0</v>
      </c>
      <c r="U1604">
        <v>0</v>
      </c>
      <c r="V1604">
        <f>IF(SUM(ifood_data[[#This Row],[AcceptedCmp1]:[AcceptedCmp5]])&gt;0,1,0)</f>
        <v>0</v>
      </c>
      <c r="W1604">
        <v>0</v>
      </c>
      <c r="X1604">
        <v>3</v>
      </c>
      <c r="Y1604">
        <v>11</v>
      </c>
      <c r="Z1604">
        <v>0</v>
      </c>
      <c r="AA1604">
        <v>71</v>
      </c>
      <c r="AB1604">
        <v>2440</v>
      </c>
      <c r="AC1604" s="28">
        <f>ifood_data[[#This Row],[Customer_Days]]/365</f>
        <v>6.6849315068493151</v>
      </c>
      <c r="AD1604">
        <v>0</v>
      </c>
      <c r="AE1604">
        <v>1</v>
      </c>
      <c r="AF1604">
        <v>0</v>
      </c>
      <c r="AG1604">
        <v>0</v>
      </c>
      <c r="AH1604">
        <v>0</v>
      </c>
      <c r="AI1604">
        <v>0</v>
      </c>
      <c r="AJ1604">
        <v>0</v>
      </c>
      <c r="AK1604">
        <v>0</v>
      </c>
      <c r="AL1604">
        <v>1</v>
      </c>
      <c r="AM1604">
        <v>0</v>
      </c>
      <c r="AN1604">
        <v>19</v>
      </c>
      <c r="AO1604">
        <v>16</v>
      </c>
      <c r="AP1604">
        <f>ifood_data[[#This Row],[MntTotal]]-ifood_data[[#This Row],[MntRegularProds]]</f>
        <v>3</v>
      </c>
      <c r="AQ1604">
        <v>0</v>
      </c>
      <c r="AR1604">
        <f>IF(SUM(ifood_data[[#This Row],[Kidhome]:[Teenhome]])&gt;0,1,0)</f>
        <v>1</v>
      </c>
      <c r="AS1604" t="str">
        <f>IF(SUM(ifood_data[[#This Row],[Kidhome]:[Teenhome]])&gt;0,"Has Family","No Family")</f>
        <v>Has Family</v>
      </c>
      <c r="AT1604" t="str">
        <f>IF(ifood_data[[#This Row],[marital_Married]]=1,"Married", (IF(ifood_data[[#This Row],[marital_Single]]=1,"Single",(IF(ifood_data[[#This Row],[marital_Divorced]]=1,"Divorced",(IF(ifood_data[[#This Row],[marital_Together]]=1,"Living Together",(IF(ifood_data[[#This Row],[marital_Widow]]=1,"Widow","Other")))))))))</f>
        <v>Married</v>
      </c>
      <c r="AU1604" t="str">
        <f>IF(ifood_data[[#This Row],[education_Basic]]=1,"High School",(IF(ifood_data[[#This Row],[education_Graduation]]=1,"Undergraduate Degree",(IF(SUM(AM1604,AL1604,AI1604)&gt;0,"Master's Degree or Higher","Other")))))</f>
        <v>Master's Degree or Higher</v>
      </c>
      <c r="AV1604" t="str">
        <f>IF(ifood_data[[#All],[Income]]&gt;75000,"75K+",(IF(ifood_data[[#All],[Income]]&gt;50000,"50K-75K",(IF(ifood_data[[#All],[Income]]&gt;35000,"35K-50K","&lt;35K")))))</f>
        <v>35K-50K</v>
      </c>
      <c r="AW1604" t="str">
        <f>IF(ifood_data[[#All],[Age]]&gt;60,"60+",(IF(ifood_data[[#All],[Age]]&gt;50,"50-60",(IF(ifood_data[[#All],[Age]]&gt;40,"40-50",(IF(ifood_data[[#All],[Age]]&gt;30,"30-40","&lt;30")))))))</f>
        <v>60+</v>
      </c>
      <c r="AX1604">
        <f t="shared" si="100"/>
        <v>10</v>
      </c>
      <c r="AY1604">
        <f t="shared" si="101"/>
        <v>9</v>
      </c>
      <c r="AZ1604">
        <f t="shared" si="102"/>
        <v>0</v>
      </c>
      <c r="BA1604">
        <f t="shared" si="103"/>
        <v>0</v>
      </c>
      <c r="BB1604">
        <f>SUM(ifood_data[[#This Row],[Recency Score]:[Monetary Score]])</f>
        <v>9</v>
      </c>
      <c r="BC1604">
        <f>(_xlfn.PERCENTRANK.INC(ifood_data[[#All],[RFM]],ifood_data[[#This Row],[RFM]],1))*10</f>
        <v>1</v>
      </c>
      <c r="BD1604" t="str">
        <f>VLOOKUP(ifood_data[[#This Row],[RFM Score]],'RFM Analysis'!$A$3:$B$14,2,FALSE)</f>
        <v>At Risk</v>
      </c>
      <c r="BE1604">
        <f>'Regression Models'!$B$101+'Regression Models'!$B$102*ifood_data[[#This Row],[Income]]+'Regression Models'!$B$103*ifood_data[[#This Row],[Age]]+'Regression Models'!$B$104*ifood_data[[#This Row],[Family]]</f>
        <v>134.4982086340957</v>
      </c>
      <c r="BF1604" t="str">
        <f>IF(ifood_data[[#This Row],[AcceptedCmpOverall]]=1,"Campaign Respondent","Non-respondent")</f>
        <v>Non-respondent</v>
      </c>
    </row>
    <row r="1605" spans="1:58" x14ac:dyDescent="0.35">
      <c r="A1605">
        <v>1488</v>
      </c>
      <c r="B1605">
        <v>33955</v>
      </c>
      <c r="C1605">
        <v>1</v>
      </c>
      <c r="D1605">
        <v>0</v>
      </c>
      <c r="E1605">
        <v>92</v>
      </c>
      <c r="F1605">
        <v>100</v>
      </c>
      <c r="G1605">
        <v>2</v>
      </c>
      <c r="H1605">
        <v>128</v>
      </c>
      <c r="I1605">
        <v>23</v>
      </c>
      <c r="J1605">
        <v>7</v>
      </c>
      <c r="K1605">
        <v>10</v>
      </c>
      <c r="L1605">
        <v>4</v>
      </c>
      <c r="M1605">
        <v>5</v>
      </c>
      <c r="N1605">
        <v>1</v>
      </c>
      <c r="O1605">
        <v>5</v>
      </c>
      <c r="P1605">
        <v>8</v>
      </c>
      <c r="Q1605">
        <v>0</v>
      </c>
      <c r="R1605">
        <v>0</v>
      </c>
      <c r="S1605">
        <v>0</v>
      </c>
      <c r="T1605">
        <v>0</v>
      </c>
      <c r="U1605">
        <v>0</v>
      </c>
      <c r="V1605">
        <f>IF(SUM(ifood_data[[#This Row],[AcceptedCmp1]:[AcceptedCmp5]])&gt;0,1,0)</f>
        <v>0</v>
      </c>
      <c r="W1605">
        <v>0</v>
      </c>
      <c r="X1605">
        <v>3</v>
      </c>
      <c r="Y1605">
        <v>11</v>
      </c>
      <c r="Z1605">
        <v>0</v>
      </c>
      <c r="AA1605">
        <v>45</v>
      </c>
      <c r="AB1605">
        <v>2483</v>
      </c>
      <c r="AC1605" s="28">
        <f>ifood_data[[#This Row],[Customer_Days]]/365</f>
        <v>6.8027397260273972</v>
      </c>
      <c r="AD1605">
        <v>0</v>
      </c>
      <c r="AE1605">
        <v>0</v>
      </c>
      <c r="AF1605">
        <v>1</v>
      </c>
      <c r="AG1605">
        <v>0</v>
      </c>
      <c r="AH1605">
        <v>0</v>
      </c>
      <c r="AI1605">
        <v>0</v>
      </c>
      <c r="AJ1605">
        <v>0</v>
      </c>
      <c r="AK1605">
        <v>1</v>
      </c>
      <c r="AL1605">
        <v>0</v>
      </c>
      <c r="AM1605">
        <v>0</v>
      </c>
      <c r="AN1605">
        <v>260</v>
      </c>
      <c r="AO1605">
        <v>250</v>
      </c>
      <c r="AP1605">
        <f>ifood_data[[#This Row],[MntTotal]]-ifood_data[[#This Row],[MntRegularProds]]</f>
        <v>10</v>
      </c>
      <c r="AQ1605">
        <v>0</v>
      </c>
      <c r="AR1605">
        <f>IF(SUM(ifood_data[[#This Row],[Kidhome]:[Teenhome]])&gt;0,1,0)</f>
        <v>1</v>
      </c>
      <c r="AS1605" t="str">
        <f>IF(SUM(ifood_data[[#This Row],[Kidhome]:[Teenhome]])&gt;0,"Has Family","No Family")</f>
        <v>Has Family</v>
      </c>
      <c r="AT1605" t="str">
        <f>IF(ifood_data[[#This Row],[marital_Married]]=1,"Married", (IF(ifood_data[[#This Row],[marital_Single]]=1,"Single",(IF(ifood_data[[#This Row],[marital_Divorced]]=1,"Divorced",(IF(ifood_data[[#This Row],[marital_Together]]=1,"Living Together",(IF(ifood_data[[#This Row],[marital_Widow]]=1,"Widow","Other")))))))))</f>
        <v>Single</v>
      </c>
      <c r="AU1605" t="str">
        <f>IF(ifood_data[[#This Row],[education_Basic]]=1,"High School",(IF(ifood_data[[#This Row],[education_Graduation]]=1,"Undergraduate Degree",(IF(SUM(AM1605,AL1605,AI1605)&gt;0,"Master's Degree or Higher","Other")))))</f>
        <v>Undergraduate Degree</v>
      </c>
      <c r="AV1605" t="str">
        <f>IF(ifood_data[[#All],[Income]]&gt;75000,"75K+",(IF(ifood_data[[#All],[Income]]&gt;50000,"50K-75K",(IF(ifood_data[[#All],[Income]]&gt;35000,"35K-50K","&lt;35K")))))</f>
        <v>&lt;35K</v>
      </c>
      <c r="AW1605" t="str">
        <f>IF(ifood_data[[#All],[Age]]&gt;60,"60+",(IF(ifood_data[[#All],[Age]]&gt;50,"50-60",(IF(ifood_data[[#All],[Age]]&gt;40,"40-50",(IF(ifood_data[[#All],[Age]]&gt;30,"30-40","&lt;30")))))))</f>
        <v>40-50</v>
      </c>
      <c r="AX1605">
        <f t="shared" si="100"/>
        <v>23</v>
      </c>
      <c r="AY1605">
        <f t="shared" si="101"/>
        <v>0.99999999999999978</v>
      </c>
      <c r="AZ1605">
        <f t="shared" si="102"/>
        <v>6</v>
      </c>
      <c r="BA1605">
        <f t="shared" si="103"/>
        <v>4</v>
      </c>
      <c r="BB1605">
        <f>SUM(ifood_data[[#This Row],[Recency Score]:[Monetary Score]])</f>
        <v>11</v>
      </c>
      <c r="BC1605">
        <f>(_xlfn.PERCENTRANK.INC(ifood_data[[#All],[RFM]],ifood_data[[#This Row],[RFM]],1))*10</f>
        <v>2</v>
      </c>
      <c r="BD1605" t="str">
        <f>VLOOKUP(ifood_data[[#This Row],[RFM Score]],'RFM Analysis'!$A$3:$B$14,2,FALSE)</f>
        <v>At Risk</v>
      </c>
      <c r="BE1605">
        <f>'Regression Models'!$B$101+'Regression Models'!$B$102*ifood_data[[#This Row],[Income]]+'Regression Models'!$B$103*ifood_data[[#This Row],[Age]]+'Regression Models'!$B$104*ifood_data[[#This Row],[Family]]</f>
        <v>132.23197642836283</v>
      </c>
      <c r="BF1605" t="str">
        <f>IF(ifood_data[[#This Row],[AcceptedCmpOverall]]=1,"Campaign Respondent","Non-respondent")</f>
        <v>Non-respondent</v>
      </c>
    </row>
    <row r="1606" spans="1:58" x14ac:dyDescent="0.35">
      <c r="A1606">
        <v>1137</v>
      </c>
      <c r="B1606">
        <v>18351</v>
      </c>
      <c r="C1606">
        <v>0</v>
      </c>
      <c r="D1606">
        <v>0</v>
      </c>
      <c r="E1606">
        <v>1</v>
      </c>
      <c r="F1606">
        <v>1</v>
      </c>
      <c r="G1606">
        <v>12</v>
      </c>
      <c r="H1606">
        <v>9</v>
      </c>
      <c r="I1606">
        <v>0</v>
      </c>
      <c r="J1606">
        <v>14</v>
      </c>
      <c r="K1606">
        <v>7</v>
      </c>
      <c r="L1606">
        <v>1</v>
      </c>
      <c r="M1606">
        <v>2</v>
      </c>
      <c r="N1606">
        <v>0</v>
      </c>
      <c r="O1606">
        <v>3</v>
      </c>
      <c r="P1606">
        <v>7</v>
      </c>
      <c r="Q1606">
        <v>0</v>
      </c>
      <c r="R1606">
        <v>0</v>
      </c>
      <c r="S1606">
        <v>0</v>
      </c>
      <c r="T1606">
        <v>0</v>
      </c>
      <c r="U1606">
        <v>0</v>
      </c>
      <c r="V1606">
        <f>IF(SUM(ifood_data[[#This Row],[AcceptedCmp1]:[AcceptedCmp5]])&gt;0,1,0)</f>
        <v>0</v>
      </c>
      <c r="W1606">
        <v>0</v>
      </c>
      <c r="X1606">
        <v>3</v>
      </c>
      <c r="Y1606">
        <v>11</v>
      </c>
      <c r="Z1606">
        <v>0</v>
      </c>
      <c r="AA1606">
        <v>30</v>
      </c>
      <c r="AB1606">
        <v>2402</v>
      </c>
      <c r="AC1606" s="28">
        <f>ifood_data[[#This Row],[Customer_Days]]/365</f>
        <v>6.580821917808219</v>
      </c>
      <c r="AD1606">
        <v>0</v>
      </c>
      <c r="AE1606">
        <v>1</v>
      </c>
      <c r="AF1606">
        <v>0</v>
      </c>
      <c r="AG1606">
        <v>0</v>
      </c>
      <c r="AH1606">
        <v>0</v>
      </c>
      <c r="AI1606">
        <v>0</v>
      </c>
      <c r="AJ1606">
        <v>0</v>
      </c>
      <c r="AK1606">
        <v>1</v>
      </c>
      <c r="AL1606">
        <v>0</v>
      </c>
      <c r="AM1606">
        <v>0</v>
      </c>
      <c r="AN1606">
        <v>36</v>
      </c>
      <c r="AO1606">
        <v>29</v>
      </c>
      <c r="AP1606">
        <f>ifood_data[[#This Row],[MntTotal]]-ifood_data[[#This Row],[MntRegularProds]]</f>
        <v>7</v>
      </c>
      <c r="AQ1606">
        <v>0</v>
      </c>
      <c r="AR1606">
        <f>IF(SUM(ifood_data[[#This Row],[Kidhome]:[Teenhome]])&gt;0,1,0)</f>
        <v>0</v>
      </c>
      <c r="AS1606" t="str">
        <f>IF(SUM(ifood_data[[#This Row],[Kidhome]:[Teenhome]])&gt;0,"Has Family","No Family")</f>
        <v>No Family</v>
      </c>
      <c r="AT1606" t="str">
        <f>IF(ifood_data[[#This Row],[marital_Married]]=1,"Married", (IF(ifood_data[[#This Row],[marital_Single]]=1,"Single",(IF(ifood_data[[#This Row],[marital_Divorced]]=1,"Divorced",(IF(ifood_data[[#This Row],[marital_Together]]=1,"Living Together",(IF(ifood_data[[#This Row],[marital_Widow]]=1,"Widow","Other")))))))))</f>
        <v>Married</v>
      </c>
      <c r="AU1606" t="str">
        <f>IF(ifood_data[[#This Row],[education_Basic]]=1,"High School",(IF(ifood_data[[#This Row],[education_Graduation]]=1,"Undergraduate Degree",(IF(SUM(AM1606,AL1606,AI1606)&gt;0,"Master's Degree or Higher","Other")))))</f>
        <v>Undergraduate Degree</v>
      </c>
      <c r="AV1606" t="str">
        <f>IF(ifood_data[[#All],[Income]]&gt;75000,"75K+",(IF(ifood_data[[#All],[Income]]&gt;50000,"50K-75K",(IF(ifood_data[[#All],[Income]]&gt;35000,"35K-50K","&lt;35K")))))</f>
        <v>&lt;35K</v>
      </c>
      <c r="AW1606" t="str">
        <f>IF(ifood_data[[#All],[Age]]&gt;60,"60+",(IF(ifood_data[[#All],[Age]]&gt;50,"50-60",(IF(ifood_data[[#All],[Age]]&gt;40,"40-50",(IF(ifood_data[[#All],[Age]]&gt;30,"30-40","&lt;30")))))))</f>
        <v>&lt;30</v>
      </c>
      <c r="AX1606">
        <f t="shared" si="100"/>
        <v>13</v>
      </c>
      <c r="AY1606">
        <f t="shared" si="101"/>
        <v>10</v>
      </c>
      <c r="AZ1606">
        <f t="shared" si="102"/>
        <v>1</v>
      </c>
      <c r="BA1606">
        <f t="shared" si="103"/>
        <v>1</v>
      </c>
      <c r="BB1606">
        <f>SUM(ifood_data[[#This Row],[Recency Score]:[Monetary Score]])</f>
        <v>12</v>
      </c>
      <c r="BC1606">
        <f>(_xlfn.PERCENTRANK.INC(ifood_data[[#All],[RFM]],ifood_data[[#This Row],[RFM]],1))*10</f>
        <v>3</v>
      </c>
      <c r="BD1606" t="str">
        <f>VLOOKUP(ifood_data[[#This Row],[RFM Score]],'RFM Analysis'!$A$3:$B$14,2,FALSE)</f>
        <v>At Risk</v>
      </c>
      <c r="BE1606">
        <f>'Regression Models'!$B$101+'Regression Models'!$B$102*ifood_data[[#This Row],[Income]]+'Regression Models'!$B$103*ifood_data[[#This Row],[Age]]+'Regression Models'!$B$104*ifood_data[[#This Row],[Family]]</f>
        <v>131.24585556739413</v>
      </c>
      <c r="BF1606" t="str">
        <f>IF(ifood_data[[#This Row],[AcceptedCmpOverall]]=1,"Campaign Respondent","Non-respondent")</f>
        <v>Non-respondent</v>
      </c>
    </row>
    <row r="1607" spans="1:58" x14ac:dyDescent="0.35">
      <c r="A1607">
        <v>191</v>
      </c>
      <c r="B1607">
        <v>18890</v>
      </c>
      <c r="C1607">
        <v>0</v>
      </c>
      <c r="D1607">
        <v>0</v>
      </c>
      <c r="E1607">
        <v>5</v>
      </c>
      <c r="F1607">
        <v>6</v>
      </c>
      <c r="G1607">
        <v>4</v>
      </c>
      <c r="H1607">
        <v>1</v>
      </c>
      <c r="I1607">
        <v>7</v>
      </c>
      <c r="J1607">
        <v>2</v>
      </c>
      <c r="K1607">
        <v>15</v>
      </c>
      <c r="L1607">
        <v>1</v>
      </c>
      <c r="M1607">
        <v>0</v>
      </c>
      <c r="N1607">
        <v>1</v>
      </c>
      <c r="O1607">
        <v>2</v>
      </c>
      <c r="P1607">
        <v>6</v>
      </c>
      <c r="Q1607">
        <v>0</v>
      </c>
      <c r="R1607">
        <v>0</v>
      </c>
      <c r="S1607">
        <v>1</v>
      </c>
      <c r="T1607">
        <v>0</v>
      </c>
      <c r="U1607">
        <v>0</v>
      </c>
      <c r="V1607">
        <f>IF(SUM(ifood_data[[#This Row],[AcceptedCmp1]:[AcceptedCmp5]])&gt;0,1,0)</f>
        <v>1</v>
      </c>
      <c r="W1607">
        <v>0</v>
      </c>
      <c r="X1607">
        <v>3</v>
      </c>
      <c r="Y1607">
        <v>11</v>
      </c>
      <c r="Z1607">
        <v>1</v>
      </c>
      <c r="AA1607">
        <v>36</v>
      </c>
      <c r="AB1607">
        <v>2755</v>
      </c>
      <c r="AC1607" s="28">
        <f>ifood_data[[#This Row],[Customer_Days]]/365</f>
        <v>7.5479452054794525</v>
      </c>
      <c r="AD1607">
        <v>0</v>
      </c>
      <c r="AE1607">
        <v>0</v>
      </c>
      <c r="AF1607">
        <v>1</v>
      </c>
      <c r="AG1607">
        <v>0</v>
      </c>
      <c r="AH1607">
        <v>0</v>
      </c>
      <c r="AI1607">
        <v>0</v>
      </c>
      <c r="AJ1607">
        <v>0</v>
      </c>
      <c r="AK1607">
        <v>0</v>
      </c>
      <c r="AL1607">
        <v>1</v>
      </c>
      <c r="AM1607">
        <v>0</v>
      </c>
      <c r="AN1607">
        <v>20</v>
      </c>
      <c r="AO1607">
        <v>5</v>
      </c>
      <c r="AP1607">
        <f>ifood_data[[#This Row],[MntTotal]]-ifood_data[[#This Row],[MntRegularProds]]</f>
        <v>15</v>
      </c>
      <c r="AQ1607">
        <v>1</v>
      </c>
      <c r="AR1607">
        <f>IF(SUM(ifood_data[[#This Row],[Kidhome]:[Teenhome]])&gt;0,1,0)</f>
        <v>0</v>
      </c>
      <c r="AS1607" t="str">
        <f>IF(SUM(ifood_data[[#This Row],[Kidhome]:[Teenhome]])&gt;0,"Has Family","No Family")</f>
        <v>No Family</v>
      </c>
      <c r="AT1607" t="str">
        <f>IF(ifood_data[[#This Row],[marital_Married]]=1,"Married", (IF(ifood_data[[#This Row],[marital_Single]]=1,"Single",(IF(ifood_data[[#This Row],[marital_Divorced]]=1,"Divorced",(IF(ifood_data[[#This Row],[marital_Together]]=1,"Living Together",(IF(ifood_data[[#This Row],[marital_Widow]]=1,"Widow","Other")))))))))</f>
        <v>Single</v>
      </c>
      <c r="AU1607" t="str">
        <f>IF(ifood_data[[#This Row],[education_Basic]]=1,"High School",(IF(ifood_data[[#This Row],[education_Graduation]]=1,"Undergraduate Degree",(IF(SUM(AM1607,AL1607,AI1607)&gt;0,"Master's Degree or Higher","Other")))))</f>
        <v>Master's Degree or Higher</v>
      </c>
      <c r="AV1607" t="str">
        <f>IF(ifood_data[[#All],[Income]]&gt;75000,"75K+",(IF(ifood_data[[#All],[Income]]&gt;50000,"50K-75K",(IF(ifood_data[[#All],[Income]]&gt;35000,"35K-50K","&lt;35K")))))</f>
        <v>&lt;35K</v>
      </c>
      <c r="AW1607" t="str">
        <f>IF(ifood_data[[#All],[Age]]&gt;60,"60+",(IF(ifood_data[[#All],[Age]]&gt;50,"50-60",(IF(ifood_data[[#All],[Age]]&gt;40,"40-50",(IF(ifood_data[[#All],[Age]]&gt;30,"30-40","&lt;30")))))))</f>
        <v>30-40</v>
      </c>
      <c r="AX1607">
        <f t="shared" si="100"/>
        <v>10</v>
      </c>
      <c r="AY1607">
        <f t="shared" si="101"/>
        <v>10</v>
      </c>
      <c r="AZ1607">
        <f t="shared" si="102"/>
        <v>0</v>
      </c>
      <c r="BA1607">
        <f t="shared" si="103"/>
        <v>0</v>
      </c>
      <c r="BB1607">
        <f>SUM(ifood_data[[#This Row],[Recency Score]:[Monetary Score]])</f>
        <v>10</v>
      </c>
      <c r="BC1607">
        <f>(_xlfn.PERCENTRANK.INC(ifood_data[[#All],[RFM]],ifood_data[[#This Row],[RFM]],1))*10</f>
        <v>2</v>
      </c>
      <c r="BD1607" t="str">
        <f>VLOOKUP(ifood_data[[#This Row],[RFM Score]],'RFM Analysis'!$A$3:$B$14,2,FALSE)</f>
        <v>At Risk</v>
      </c>
      <c r="BE1607">
        <f>'Regression Models'!$B$101+'Regression Models'!$B$102*ifood_data[[#This Row],[Income]]+'Regression Models'!$B$103*ifood_data[[#This Row],[Age]]+'Regression Models'!$B$104*ifood_data[[#This Row],[Family]]</f>
        <v>131.21676712358999</v>
      </c>
      <c r="BF1607" t="str">
        <f>IF(ifood_data[[#This Row],[AcceptedCmpOverall]]=1,"Campaign Respondent","Non-respondent")</f>
        <v>Campaign Respondent</v>
      </c>
    </row>
    <row r="1608" spans="1:58" x14ac:dyDescent="0.35">
      <c r="A1608">
        <v>1369</v>
      </c>
      <c r="B1608">
        <v>34704</v>
      </c>
      <c r="C1608">
        <v>0</v>
      </c>
      <c r="D1608">
        <v>1</v>
      </c>
      <c r="E1608">
        <v>65</v>
      </c>
      <c r="F1608">
        <v>29</v>
      </c>
      <c r="G1608">
        <v>0</v>
      </c>
      <c r="H1608">
        <v>5</v>
      </c>
      <c r="I1608">
        <v>0</v>
      </c>
      <c r="J1608">
        <v>1</v>
      </c>
      <c r="K1608">
        <v>5</v>
      </c>
      <c r="L1608">
        <v>1</v>
      </c>
      <c r="M1608">
        <v>1</v>
      </c>
      <c r="N1608">
        <v>0</v>
      </c>
      <c r="O1608">
        <v>3</v>
      </c>
      <c r="P1608">
        <v>5</v>
      </c>
      <c r="Q1608">
        <v>0</v>
      </c>
      <c r="R1608">
        <v>0</v>
      </c>
      <c r="S1608">
        <v>0</v>
      </c>
      <c r="T1608">
        <v>0</v>
      </c>
      <c r="U1608">
        <v>0</v>
      </c>
      <c r="V1608">
        <f>IF(SUM(ifood_data[[#This Row],[AcceptedCmp1]:[AcceptedCmp5]])&gt;0,1,0)</f>
        <v>0</v>
      </c>
      <c r="W1608">
        <v>0</v>
      </c>
      <c r="X1608">
        <v>3</v>
      </c>
      <c r="Y1608">
        <v>11</v>
      </c>
      <c r="Z1608">
        <v>0</v>
      </c>
      <c r="AA1608">
        <v>54</v>
      </c>
      <c r="AB1608">
        <v>2587</v>
      </c>
      <c r="AC1608" s="28">
        <f>ifood_data[[#This Row],[Customer_Days]]/365</f>
        <v>7.087671232876712</v>
      </c>
      <c r="AD1608">
        <v>0</v>
      </c>
      <c r="AE1608">
        <v>0</v>
      </c>
      <c r="AF1608">
        <v>1</v>
      </c>
      <c r="AG1608">
        <v>0</v>
      </c>
      <c r="AH1608">
        <v>0</v>
      </c>
      <c r="AI1608">
        <v>0</v>
      </c>
      <c r="AJ1608">
        <v>0</v>
      </c>
      <c r="AK1608">
        <v>1</v>
      </c>
      <c r="AL1608">
        <v>0</v>
      </c>
      <c r="AM1608">
        <v>0</v>
      </c>
      <c r="AN1608">
        <v>35</v>
      </c>
      <c r="AO1608">
        <v>30</v>
      </c>
      <c r="AP1608">
        <f>ifood_data[[#This Row],[MntTotal]]-ifood_data[[#This Row],[MntRegularProds]]</f>
        <v>5</v>
      </c>
      <c r="AQ1608">
        <v>0</v>
      </c>
      <c r="AR1608">
        <f>IF(SUM(ifood_data[[#This Row],[Kidhome]:[Teenhome]])&gt;0,1,0)</f>
        <v>1</v>
      </c>
      <c r="AS1608" t="str">
        <f>IF(SUM(ifood_data[[#This Row],[Kidhome]:[Teenhome]])&gt;0,"Has Family","No Family")</f>
        <v>Has Family</v>
      </c>
      <c r="AT1608" t="str">
        <f>IF(ifood_data[[#This Row],[marital_Married]]=1,"Married", (IF(ifood_data[[#This Row],[marital_Single]]=1,"Single",(IF(ifood_data[[#This Row],[marital_Divorced]]=1,"Divorced",(IF(ifood_data[[#This Row],[marital_Together]]=1,"Living Together",(IF(ifood_data[[#This Row],[marital_Widow]]=1,"Widow","Other")))))))))</f>
        <v>Single</v>
      </c>
      <c r="AU1608" t="str">
        <f>IF(ifood_data[[#This Row],[education_Basic]]=1,"High School",(IF(ifood_data[[#This Row],[education_Graduation]]=1,"Undergraduate Degree",(IF(SUM(AM1608,AL1608,AI1608)&gt;0,"Master's Degree or Higher","Other")))))</f>
        <v>Undergraduate Degree</v>
      </c>
      <c r="AV1608" t="str">
        <f>IF(ifood_data[[#All],[Income]]&gt;75000,"75K+",(IF(ifood_data[[#All],[Income]]&gt;50000,"50K-75K",(IF(ifood_data[[#All],[Income]]&gt;35000,"35K-50K","&lt;35K")))))</f>
        <v>&lt;35K</v>
      </c>
      <c r="AW1608" t="str">
        <f>IF(ifood_data[[#All],[Age]]&gt;60,"60+",(IF(ifood_data[[#All],[Age]]&gt;50,"50-60",(IF(ifood_data[[#All],[Age]]&gt;40,"40-50",(IF(ifood_data[[#All],[Age]]&gt;30,"30-40","&lt;30")))))))</f>
        <v>50-60</v>
      </c>
      <c r="AX1608">
        <f t="shared" si="100"/>
        <v>10</v>
      </c>
      <c r="AY1608">
        <f t="shared" si="101"/>
        <v>4</v>
      </c>
      <c r="AZ1608">
        <f t="shared" si="102"/>
        <v>0</v>
      </c>
      <c r="BA1608">
        <f t="shared" si="103"/>
        <v>1</v>
      </c>
      <c r="BB1608">
        <f>SUM(ifood_data[[#This Row],[Recency Score]:[Monetary Score]])</f>
        <v>5</v>
      </c>
      <c r="BC1608">
        <f>(_xlfn.PERCENTRANK.INC(ifood_data[[#All],[RFM]],ifood_data[[#This Row],[RFM]],1))*10</f>
        <v>0</v>
      </c>
      <c r="BD1608" t="str">
        <f>VLOOKUP(ifood_data[[#This Row],[RFM Score]],'RFM Analysis'!$A$3:$B$14,2,FALSE)</f>
        <v>Lost</v>
      </c>
      <c r="BE1608">
        <f>'Regression Models'!$B$101+'Regression Models'!$B$102*ifood_data[[#This Row],[Income]]+'Regression Models'!$B$103*ifood_data[[#This Row],[Age]]+'Regression Models'!$B$104*ifood_data[[#This Row],[Family]]</f>
        <v>130.97521205809471</v>
      </c>
      <c r="BF1608" t="str">
        <f>IF(ifood_data[[#This Row],[AcceptedCmpOverall]]=1,"Campaign Respondent","Non-respondent")</f>
        <v>Non-respondent</v>
      </c>
    </row>
    <row r="1609" spans="1:58" x14ac:dyDescent="0.35">
      <c r="A1609">
        <v>499</v>
      </c>
      <c r="B1609">
        <v>32880</v>
      </c>
      <c r="C1609">
        <v>1</v>
      </c>
      <c r="D1609">
        <v>0</v>
      </c>
      <c r="E1609">
        <v>76</v>
      </c>
      <c r="F1609">
        <v>8</v>
      </c>
      <c r="G1609">
        <v>4</v>
      </c>
      <c r="H1609">
        <v>15</v>
      </c>
      <c r="I1609">
        <v>7</v>
      </c>
      <c r="J1609">
        <v>6</v>
      </c>
      <c r="K1609">
        <v>2</v>
      </c>
      <c r="L1609">
        <v>1</v>
      </c>
      <c r="M1609">
        <v>1</v>
      </c>
      <c r="N1609">
        <v>0</v>
      </c>
      <c r="O1609">
        <v>3</v>
      </c>
      <c r="P1609">
        <v>8</v>
      </c>
      <c r="Q1609">
        <v>0</v>
      </c>
      <c r="R1609">
        <v>0</v>
      </c>
      <c r="S1609">
        <v>0</v>
      </c>
      <c r="T1609">
        <v>0</v>
      </c>
      <c r="U1609">
        <v>0</v>
      </c>
      <c r="V1609">
        <f>IF(SUM(ifood_data[[#This Row],[AcceptedCmp1]:[AcceptedCmp5]])&gt;0,1,0)</f>
        <v>0</v>
      </c>
      <c r="W1609">
        <v>0</v>
      </c>
      <c r="X1609">
        <v>3</v>
      </c>
      <c r="Y1609">
        <v>11</v>
      </c>
      <c r="Z1609">
        <v>0</v>
      </c>
      <c r="AA1609">
        <v>34</v>
      </c>
      <c r="AB1609">
        <v>2731</v>
      </c>
      <c r="AC1609" s="28">
        <f>ifood_data[[#This Row],[Customer_Days]]/365</f>
        <v>7.4821917808219176</v>
      </c>
      <c r="AD1609">
        <v>0</v>
      </c>
      <c r="AE1609">
        <v>1</v>
      </c>
      <c r="AF1609">
        <v>0</v>
      </c>
      <c r="AG1609">
        <v>0</v>
      </c>
      <c r="AH1609">
        <v>0</v>
      </c>
      <c r="AI1609">
        <v>0</v>
      </c>
      <c r="AJ1609">
        <v>0</v>
      </c>
      <c r="AK1609">
        <v>1</v>
      </c>
      <c r="AL1609">
        <v>0</v>
      </c>
      <c r="AM1609">
        <v>0</v>
      </c>
      <c r="AN1609">
        <v>40</v>
      </c>
      <c r="AO1609">
        <v>38</v>
      </c>
      <c r="AP1609">
        <f>ifood_data[[#This Row],[MntTotal]]-ifood_data[[#This Row],[MntRegularProds]]</f>
        <v>2</v>
      </c>
      <c r="AQ1609">
        <v>0</v>
      </c>
      <c r="AR1609">
        <f>IF(SUM(ifood_data[[#This Row],[Kidhome]:[Teenhome]])&gt;0,1,0)</f>
        <v>1</v>
      </c>
      <c r="AS1609" t="str">
        <f>IF(SUM(ifood_data[[#This Row],[Kidhome]:[Teenhome]])&gt;0,"Has Family","No Family")</f>
        <v>Has Family</v>
      </c>
      <c r="AT1609" t="str">
        <f>IF(ifood_data[[#This Row],[marital_Married]]=1,"Married", (IF(ifood_data[[#This Row],[marital_Single]]=1,"Single",(IF(ifood_data[[#This Row],[marital_Divorced]]=1,"Divorced",(IF(ifood_data[[#This Row],[marital_Together]]=1,"Living Together",(IF(ifood_data[[#This Row],[marital_Widow]]=1,"Widow","Other")))))))))</f>
        <v>Married</v>
      </c>
      <c r="AU1609" t="str">
        <f>IF(ifood_data[[#This Row],[education_Basic]]=1,"High School",(IF(ifood_data[[#This Row],[education_Graduation]]=1,"Undergraduate Degree",(IF(SUM(AM1609,AL1609,AI1609)&gt;0,"Master's Degree or Higher","Other")))))</f>
        <v>Undergraduate Degree</v>
      </c>
      <c r="AV1609" t="str">
        <f>IF(ifood_data[[#All],[Income]]&gt;75000,"75K+",(IF(ifood_data[[#All],[Income]]&gt;50000,"50K-75K",(IF(ifood_data[[#All],[Income]]&gt;35000,"35K-50K","&lt;35K")))))</f>
        <v>&lt;35K</v>
      </c>
      <c r="AW1609" t="str">
        <f>IF(ifood_data[[#All],[Age]]&gt;60,"60+",(IF(ifood_data[[#All],[Age]]&gt;50,"50-60",(IF(ifood_data[[#All],[Age]]&gt;40,"40-50",(IF(ifood_data[[#All],[Age]]&gt;30,"30-40","&lt;30")))))))</f>
        <v>30-40</v>
      </c>
      <c r="AX1609">
        <f t="shared" si="100"/>
        <v>13</v>
      </c>
      <c r="AY1609">
        <f t="shared" si="101"/>
        <v>3.0000000000000004</v>
      </c>
      <c r="AZ1609">
        <f t="shared" si="102"/>
        <v>1</v>
      </c>
      <c r="BA1609">
        <f t="shared" si="103"/>
        <v>1</v>
      </c>
      <c r="BB1609">
        <f>SUM(ifood_data[[#This Row],[Recency Score]:[Monetary Score]])</f>
        <v>5</v>
      </c>
      <c r="BC1609">
        <f>(_xlfn.PERCENTRANK.INC(ifood_data[[#All],[RFM]],ifood_data[[#This Row],[RFM]],1))*10</f>
        <v>0</v>
      </c>
      <c r="BD1609" t="str">
        <f>VLOOKUP(ifood_data[[#This Row],[RFM Score]],'RFM Analysis'!$A$3:$B$14,2,FALSE)</f>
        <v>Lost</v>
      </c>
      <c r="BE1609">
        <f>'Regression Models'!$B$101+'Regression Models'!$B$102*ifood_data[[#This Row],[Income]]+'Regression Models'!$B$103*ifood_data[[#This Row],[Age]]+'Regression Models'!$B$104*ifood_data[[#This Row],[Family]]</f>
        <v>130.5148805415086</v>
      </c>
      <c r="BF1609" t="str">
        <f>IF(ifood_data[[#This Row],[AcceptedCmpOverall]]=1,"Campaign Respondent","Non-respondent")</f>
        <v>Non-respondent</v>
      </c>
    </row>
    <row r="1610" spans="1:58" x14ac:dyDescent="0.35">
      <c r="A1610">
        <v>930</v>
      </c>
      <c r="B1610">
        <v>33462</v>
      </c>
      <c r="C1610">
        <v>1</v>
      </c>
      <c r="D1610">
        <v>0</v>
      </c>
      <c r="E1610">
        <v>78</v>
      </c>
      <c r="F1610">
        <v>22</v>
      </c>
      <c r="G1610">
        <v>3</v>
      </c>
      <c r="H1610">
        <v>18</v>
      </c>
      <c r="I1610">
        <v>0</v>
      </c>
      <c r="J1610">
        <v>0</v>
      </c>
      <c r="K1610">
        <v>11</v>
      </c>
      <c r="L1610">
        <v>1</v>
      </c>
      <c r="M1610">
        <v>2</v>
      </c>
      <c r="N1610">
        <v>0</v>
      </c>
      <c r="O1610">
        <v>3</v>
      </c>
      <c r="P1610">
        <v>7</v>
      </c>
      <c r="Q1610">
        <v>0</v>
      </c>
      <c r="R1610">
        <v>0</v>
      </c>
      <c r="S1610">
        <v>0</v>
      </c>
      <c r="T1610">
        <v>0</v>
      </c>
      <c r="U1610">
        <v>0</v>
      </c>
      <c r="V1610">
        <f>IF(SUM(ifood_data[[#This Row],[AcceptedCmp1]:[AcceptedCmp5]])&gt;0,1,0)</f>
        <v>0</v>
      </c>
      <c r="W1610">
        <v>0</v>
      </c>
      <c r="X1610">
        <v>3</v>
      </c>
      <c r="Y1610">
        <v>11</v>
      </c>
      <c r="Z1610">
        <v>0</v>
      </c>
      <c r="AA1610">
        <v>41</v>
      </c>
      <c r="AB1610">
        <v>2485</v>
      </c>
      <c r="AC1610" s="28">
        <f>ifood_data[[#This Row],[Customer_Days]]/365</f>
        <v>6.8082191780821919</v>
      </c>
      <c r="AD1610">
        <v>1</v>
      </c>
      <c r="AE1610">
        <v>0</v>
      </c>
      <c r="AF1610">
        <v>0</v>
      </c>
      <c r="AG1610">
        <v>0</v>
      </c>
      <c r="AH1610">
        <v>0</v>
      </c>
      <c r="AI1610">
        <v>0</v>
      </c>
      <c r="AJ1610">
        <v>0</v>
      </c>
      <c r="AK1610">
        <v>0</v>
      </c>
      <c r="AL1610">
        <v>1</v>
      </c>
      <c r="AM1610">
        <v>0</v>
      </c>
      <c r="AN1610">
        <v>43</v>
      </c>
      <c r="AO1610">
        <v>32</v>
      </c>
      <c r="AP1610">
        <f>ifood_data[[#This Row],[MntTotal]]-ifood_data[[#This Row],[MntRegularProds]]</f>
        <v>11</v>
      </c>
      <c r="AQ1610">
        <v>0</v>
      </c>
      <c r="AR1610">
        <f>IF(SUM(ifood_data[[#This Row],[Kidhome]:[Teenhome]])&gt;0,1,0)</f>
        <v>1</v>
      </c>
      <c r="AS1610" t="str">
        <f>IF(SUM(ifood_data[[#This Row],[Kidhome]:[Teenhome]])&gt;0,"Has Family","No Family")</f>
        <v>Has Family</v>
      </c>
      <c r="AT1610" t="str">
        <f>IF(ifood_data[[#This Row],[marital_Married]]=1,"Married", (IF(ifood_data[[#This Row],[marital_Single]]=1,"Single",(IF(ifood_data[[#This Row],[marital_Divorced]]=1,"Divorced",(IF(ifood_data[[#This Row],[marital_Together]]=1,"Living Together",(IF(ifood_data[[#This Row],[marital_Widow]]=1,"Widow","Other")))))))))</f>
        <v>Divorced</v>
      </c>
      <c r="AU1610" t="str">
        <f>IF(ifood_data[[#This Row],[education_Basic]]=1,"High School",(IF(ifood_data[[#This Row],[education_Graduation]]=1,"Undergraduate Degree",(IF(SUM(AM1610,AL1610,AI1610)&gt;0,"Master's Degree or Higher","Other")))))</f>
        <v>Master's Degree or Higher</v>
      </c>
      <c r="AV1610" t="str">
        <f>IF(ifood_data[[#All],[Income]]&gt;75000,"75K+",(IF(ifood_data[[#All],[Income]]&gt;50000,"50K-75K",(IF(ifood_data[[#All],[Income]]&gt;35000,"35K-50K","&lt;35K")))))</f>
        <v>&lt;35K</v>
      </c>
      <c r="AW1610" t="str">
        <f>IF(ifood_data[[#All],[Age]]&gt;60,"60+",(IF(ifood_data[[#All],[Age]]&gt;50,"50-60",(IF(ifood_data[[#All],[Age]]&gt;40,"40-50",(IF(ifood_data[[#All],[Age]]&gt;30,"30-40","&lt;30")))))))</f>
        <v>40-50</v>
      </c>
      <c r="AX1610">
        <f t="shared" si="100"/>
        <v>13</v>
      </c>
      <c r="AY1610">
        <f t="shared" si="101"/>
        <v>3.0000000000000004</v>
      </c>
      <c r="AZ1610">
        <f t="shared" si="102"/>
        <v>1</v>
      </c>
      <c r="BA1610">
        <f t="shared" si="103"/>
        <v>1</v>
      </c>
      <c r="BB1610">
        <f>SUM(ifood_data[[#This Row],[Recency Score]:[Monetary Score]])</f>
        <v>5</v>
      </c>
      <c r="BC1610">
        <f>(_xlfn.PERCENTRANK.INC(ifood_data[[#All],[RFM]],ifood_data[[#This Row],[RFM]],1))*10</f>
        <v>0</v>
      </c>
      <c r="BD1610" t="str">
        <f>VLOOKUP(ifood_data[[#This Row],[RFM Score]],'RFM Analysis'!$A$3:$B$14,2,FALSE)</f>
        <v>Lost</v>
      </c>
      <c r="BE1610">
        <f>'Regression Models'!$B$101+'Regression Models'!$B$102*ifood_data[[#This Row],[Income]]+'Regression Models'!$B$103*ifood_data[[#This Row],[Age]]+'Regression Models'!$B$104*ifood_data[[#This Row],[Family]]</f>
        <v>129.52607004899778</v>
      </c>
      <c r="BF1610" t="str">
        <f>IF(ifood_data[[#This Row],[AcceptedCmpOverall]]=1,"Campaign Respondent","Non-respondent")</f>
        <v>Non-respondent</v>
      </c>
    </row>
    <row r="1611" spans="1:58" x14ac:dyDescent="0.35">
      <c r="A1611">
        <v>1558</v>
      </c>
      <c r="B1611">
        <v>18222</v>
      </c>
      <c r="C1611">
        <v>0</v>
      </c>
      <c r="D1611">
        <v>0</v>
      </c>
      <c r="E1611">
        <v>70</v>
      </c>
      <c r="F1611">
        <v>12</v>
      </c>
      <c r="G1611">
        <v>4</v>
      </c>
      <c r="H1611">
        <v>19</v>
      </c>
      <c r="I1611">
        <v>12</v>
      </c>
      <c r="J1611">
        <v>6</v>
      </c>
      <c r="K1611">
        <v>14</v>
      </c>
      <c r="L1611">
        <v>1</v>
      </c>
      <c r="M1611">
        <v>2</v>
      </c>
      <c r="N1611">
        <v>0</v>
      </c>
      <c r="O1611">
        <v>3</v>
      </c>
      <c r="P1611">
        <v>8</v>
      </c>
      <c r="Q1611">
        <v>0</v>
      </c>
      <c r="R1611">
        <v>0</v>
      </c>
      <c r="S1611">
        <v>0</v>
      </c>
      <c r="T1611">
        <v>0</v>
      </c>
      <c r="U1611">
        <v>0</v>
      </c>
      <c r="V1611">
        <f>IF(SUM(ifood_data[[#This Row],[AcceptedCmp1]:[AcceptedCmp5]])&gt;0,1,0)</f>
        <v>0</v>
      </c>
      <c r="W1611">
        <v>0</v>
      </c>
      <c r="X1611">
        <v>3</v>
      </c>
      <c r="Y1611">
        <v>11</v>
      </c>
      <c r="Z1611">
        <v>0</v>
      </c>
      <c r="AA1611">
        <v>30</v>
      </c>
      <c r="AB1611">
        <v>2704</v>
      </c>
      <c r="AC1611" s="28">
        <f>ifood_data[[#This Row],[Customer_Days]]/365</f>
        <v>7.4082191780821915</v>
      </c>
      <c r="AD1611">
        <v>0</v>
      </c>
      <c r="AE1611">
        <v>1</v>
      </c>
      <c r="AF1611">
        <v>0</v>
      </c>
      <c r="AG1611">
        <v>0</v>
      </c>
      <c r="AH1611">
        <v>0</v>
      </c>
      <c r="AI1611">
        <v>0</v>
      </c>
      <c r="AJ1611">
        <v>0</v>
      </c>
      <c r="AK1611">
        <v>1</v>
      </c>
      <c r="AL1611">
        <v>0</v>
      </c>
      <c r="AM1611">
        <v>0</v>
      </c>
      <c r="AN1611">
        <v>53</v>
      </c>
      <c r="AO1611">
        <v>39</v>
      </c>
      <c r="AP1611">
        <f>ifood_data[[#This Row],[MntTotal]]-ifood_data[[#This Row],[MntRegularProds]]</f>
        <v>14</v>
      </c>
      <c r="AQ1611">
        <v>0</v>
      </c>
      <c r="AR1611">
        <f>IF(SUM(ifood_data[[#This Row],[Kidhome]:[Teenhome]])&gt;0,1,0)</f>
        <v>0</v>
      </c>
      <c r="AS1611" t="str">
        <f>IF(SUM(ifood_data[[#This Row],[Kidhome]:[Teenhome]])&gt;0,"Has Family","No Family")</f>
        <v>No Family</v>
      </c>
      <c r="AT1611" t="str">
        <f>IF(ifood_data[[#This Row],[marital_Married]]=1,"Married", (IF(ifood_data[[#This Row],[marital_Single]]=1,"Single",(IF(ifood_data[[#This Row],[marital_Divorced]]=1,"Divorced",(IF(ifood_data[[#This Row],[marital_Together]]=1,"Living Together",(IF(ifood_data[[#This Row],[marital_Widow]]=1,"Widow","Other")))))))))</f>
        <v>Married</v>
      </c>
      <c r="AU1611" t="str">
        <f>IF(ifood_data[[#This Row],[education_Basic]]=1,"High School",(IF(ifood_data[[#This Row],[education_Graduation]]=1,"Undergraduate Degree",(IF(SUM(AM1611,AL1611,AI1611)&gt;0,"Master's Degree or Higher","Other")))))</f>
        <v>Undergraduate Degree</v>
      </c>
      <c r="AV1611" t="str">
        <f>IF(ifood_data[[#All],[Income]]&gt;75000,"75K+",(IF(ifood_data[[#All],[Income]]&gt;50000,"50K-75K",(IF(ifood_data[[#All],[Income]]&gt;35000,"35K-50K","&lt;35K")))))</f>
        <v>&lt;35K</v>
      </c>
      <c r="AW1611" t="str">
        <f>IF(ifood_data[[#All],[Age]]&gt;60,"60+",(IF(ifood_data[[#All],[Age]]&gt;50,"50-60",(IF(ifood_data[[#All],[Age]]&gt;40,"40-50",(IF(ifood_data[[#All],[Age]]&gt;30,"30-40","&lt;30")))))))</f>
        <v>&lt;30</v>
      </c>
      <c r="AX1611">
        <f t="shared" si="100"/>
        <v>14</v>
      </c>
      <c r="AY1611">
        <f t="shared" si="101"/>
        <v>3.0000000000000004</v>
      </c>
      <c r="AZ1611">
        <f t="shared" si="102"/>
        <v>2</v>
      </c>
      <c r="BA1611">
        <f t="shared" si="103"/>
        <v>2</v>
      </c>
      <c r="BB1611">
        <f>SUM(ifood_data[[#This Row],[Recency Score]:[Monetary Score]])</f>
        <v>7</v>
      </c>
      <c r="BC1611">
        <f>(_xlfn.PERCENTRANK.INC(ifood_data[[#All],[RFM]],ifood_data[[#This Row],[RFM]],1))*10</f>
        <v>1</v>
      </c>
      <c r="BD1611" t="str">
        <f>VLOOKUP(ifood_data[[#This Row],[RFM Score]],'RFM Analysis'!$A$3:$B$14,2,FALSE)</f>
        <v>At Risk</v>
      </c>
      <c r="BE1611">
        <f>'Regression Models'!$B$101+'Regression Models'!$B$102*ifood_data[[#This Row],[Income]]+'Regression Models'!$B$103*ifood_data[[#This Row],[Age]]+'Regression Models'!$B$104*ifood_data[[#This Row],[Family]]</f>
        <v>128.61570447683118</v>
      </c>
      <c r="BF1611" t="str">
        <f>IF(ifood_data[[#This Row],[AcceptedCmpOverall]]=1,"Campaign Respondent","Non-respondent")</f>
        <v>Non-respondent</v>
      </c>
    </row>
    <row r="1612" spans="1:58" x14ac:dyDescent="0.35">
      <c r="A1612">
        <v>1896</v>
      </c>
      <c r="B1612">
        <v>34109</v>
      </c>
      <c r="C1612">
        <v>0</v>
      </c>
      <c r="D1612">
        <v>1</v>
      </c>
      <c r="E1612">
        <v>39</v>
      </c>
      <c r="F1612">
        <v>9</v>
      </c>
      <c r="G1612">
        <v>1</v>
      </c>
      <c r="H1612">
        <v>5</v>
      </c>
      <c r="I1612">
        <v>2</v>
      </c>
      <c r="J1612">
        <v>1</v>
      </c>
      <c r="K1612">
        <v>4</v>
      </c>
      <c r="L1612">
        <v>1</v>
      </c>
      <c r="M1612">
        <v>0</v>
      </c>
      <c r="N1612">
        <v>0</v>
      </c>
      <c r="O1612">
        <v>3</v>
      </c>
      <c r="P1612">
        <v>4</v>
      </c>
      <c r="Q1612">
        <v>0</v>
      </c>
      <c r="R1612">
        <v>0</v>
      </c>
      <c r="S1612">
        <v>0</v>
      </c>
      <c r="T1612">
        <v>0</v>
      </c>
      <c r="U1612">
        <v>0</v>
      </c>
      <c r="V1612">
        <f>IF(SUM(ifood_data[[#This Row],[AcceptedCmp1]:[AcceptedCmp5]])&gt;0,1,0)</f>
        <v>0</v>
      </c>
      <c r="W1612">
        <v>0</v>
      </c>
      <c r="X1612">
        <v>3</v>
      </c>
      <c r="Y1612">
        <v>11</v>
      </c>
      <c r="Z1612">
        <v>0</v>
      </c>
      <c r="AA1612">
        <v>49</v>
      </c>
      <c r="AB1612">
        <v>2394</v>
      </c>
      <c r="AC1612" s="28">
        <f>ifood_data[[#This Row],[Customer_Days]]/365</f>
        <v>6.558904109589041</v>
      </c>
      <c r="AD1612">
        <v>0</v>
      </c>
      <c r="AE1612">
        <v>1</v>
      </c>
      <c r="AF1612">
        <v>0</v>
      </c>
      <c r="AG1612">
        <v>0</v>
      </c>
      <c r="AH1612">
        <v>0</v>
      </c>
      <c r="AI1612">
        <v>0</v>
      </c>
      <c r="AJ1612">
        <v>0</v>
      </c>
      <c r="AK1612">
        <v>0</v>
      </c>
      <c r="AL1612">
        <v>1</v>
      </c>
      <c r="AM1612">
        <v>0</v>
      </c>
      <c r="AN1612">
        <v>18</v>
      </c>
      <c r="AO1612">
        <v>14</v>
      </c>
      <c r="AP1612">
        <f>ifood_data[[#This Row],[MntTotal]]-ifood_data[[#This Row],[MntRegularProds]]</f>
        <v>4</v>
      </c>
      <c r="AQ1612">
        <v>0</v>
      </c>
      <c r="AR1612">
        <f>IF(SUM(ifood_data[[#This Row],[Kidhome]:[Teenhome]])&gt;0,1,0)</f>
        <v>1</v>
      </c>
      <c r="AS1612" t="str">
        <f>IF(SUM(ifood_data[[#This Row],[Kidhome]:[Teenhome]])&gt;0,"Has Family","No Family")</f>
        <v>Has Family</v>
      </c>
      <c r="AT1612" t="str">
        <f>IF(ifood_data[[#This Row],[marital_Married]]=1,"Married", (IF(ifood_data[[#This Row],[marital_Single]]=1,"Single",(IF(ifood_data[[#This Row],[marital_Divorced]]=1,"Divorced",(IF(ifood_data[[#This Row],[marital_Together]]=1,"Living Together",(IF(ifood_data[[#This Row],[marital_Widow]]=1,"Widow","Other")))))))))</f>
        <v>Married</v>
      </c>
      <c r="AU1612" t="str">
        <f>IF(ifood_data[[#This Row],[education_Basic]]=1,"High School",(IF(ifood_data[[#This Row],[education_Graduation]]=1,"Undergraduate Degree",(IF(SUM(AM1612,AL1612,AI1612)&gt;0,"Master's Degree or Higher","Other")))))</f>
        <v>Master's Degree or Higher</v>
      </c>
      <c r="AV1612" t="str">
        <f>IF(ifood_data[[#All],[Income]]&gt;75000,"75K+",(IF(ifood_data[[#All],[Income]]&gt;50000,"50K-75K",(IF(ifood_data[[#All],[Income]]&gt;35000,"35K-50K","&lt;35K")))))</f>
        <v>&lt;35K</v>
      </c>
      <c r="AW1612" t="str">
        <f>IF(ifood_data[[#All],[Age]]&gt;60,"60+",(IF(ifood_data[[#All],[Age]]&gt;50,"50-60",(IF(ifood_data[[#All],[Age]]&gt;40,"40-50",(IF(ifood_data[[#All],[Age]]&gt;30,"30-40","&lt;30")))))))</f>
        <v>40-50</v>
      </c>
      <c r="AX1612">
        <f t="shared" si="100"/>
        <v>8</v>
      </c>
      <c r="AY1612">
        <f t="shared" si="101"/>
        <v>7</v>
      </c>
      <c r="AZ1612">
        <f t="shared" si="102"/>
        <v>0</v>
      </c>
      <c r="BA1612">
        <f t="shared" si="103"/>
        <v>0</v>
      </c>
      <c r="BB1612">
        <f>SUM(ifood_data[[#This Row],[Recency Score]:[Monetary Score]])</f>
        <v>7</v>
      </c>
      <c r="BC1612">
        <f>(_xlfn.PERCENTRANK.INC(ifood_data[[#All],[RFM]],ifood_data[[#This Row],[RFM]],1))*10</f>
        <v>1</v>
      </c>
      <c r="BD1612" t="str">
        <f>VLOOKUP(ifood_data[[#This Row],[RFM Score]],'RFM Analysis'!$A$3:$B$14,2,FALSE)</f>
        <v>At Risk</v>
      </c>
      <c r="BE1612">
        <f>'Regression Models'!$B$101+'Regression Models'!$B$102*ifood_data[[#This Row],[Income]]+'Regression Models'!$B$103*ifood_data[[#This Row],[Age]]+'Regression Models'!$B$104*ifood_data[[#This Row],[Family]]</f>
        <v>128.0260904069462</v>
      </c>
      <c r="BF1612" t="str">
        <f>IF(ifood_data[[#This Row],[AcceptedCmpOverall]]=1,"Campaign Respondent","Non-respondent")</f>
        <v>Non-respondent</v>
      </c>
    </row>
    <row r="1613" spans="1:58" x14ac:dyDescent="0.35">
      <c r="A1613">
        <v>283</v>
      </c>
      <c r="B1613">
        <v>35246</v>
      </c>
      <c r="C1613">
        <v>1</v>
      </c>
      <c r="D1613">
        <v>1</v>
      </c>
      <c r="E1613">
        <v>53</v>
      </c>
      <c r="F1613">
        <v>36</v>
      </c>
      <c r="G1613">
        <v>0</v>
      </c>
      <c r="H1613">
        <v>12</v>
      </c>
      <c r="I1613">
        <v>2</v>
      </c>
      <c r="J1613">
        <v>2</v>
      </c>
      <c r="K1613">
        <v>10</v>
      </c>
      <c r="L1613">
        <v>4</v>
      </c>
      <c r="M1613">
        <v>3</v>
      </c>
      <c r="N1613">
        <v>1</v>
      </c>
      <c r="O1613">
        <v>3</v>
      </c>
      <c r="P1613">
        <v>5</v>
      </c>
      <c r="Q1613">
        <v>0</v>
      </c>
      <c r="R1613">
        <v>0</v>
      </c>
      <c r="S1613">
        <v>0</v>
      </c>
      <c r="T1613">
        <v>0</v>
      </c>
      <c r="U1613">
        <v>0</v>
      </c>
      <c r="V1613">
        <f>IF(SUM(ifood_data[[#This Row],[AcceptedCmp1]:[AcceptedCmp5]])&gt;0,1,0)</f>
        <v>0</v>
      </c>
      <c r="W1613">
        <v>0</v>
      </c>
      <c r="X1613">
        <v>3</v>
      </c>
      <c r="Y1613">
        <v>11</v>
      </c>
      <c r="Z1613">
        <v>0</v>
      </c>
      <c r="AA1613">
        <v>62</v>
      </c>
      <c r="AB1613">
        <v>2233</v>
      </c>
      <c r="AC1613" s="28">
        <f>ifood_data[[#This Row],[Customer_Days]]/365</f>
        <v>6.117808219178082</v>
      </c>
      <c r="AD1613">
        <v>1</v>
      </c>
      <c r="AE1613">
        <v>0</v>
      </c>
      <c r="AF1613">
        <v>0</v>
      </c>
      <c r="AG1613">
        <v>0</v>
      </c>
      <c r="AH1613">
        <v>0</v>
      </c>
      <c r="AI1613">
        <v>0</v>
      </c>
      <c r="AJ1613">
        <v>0</v>
      </c>
      <c r="AK1613">
        <v>1</v>
      </c>
      <c r="AL1613">
        <v>0</v>
      </c>
      <c r="AM1613">
        <v>0</v>
      </c>
      <c r="AN1613">
        <v>52</v>
      </c>
      <c r="AO1613">
        <v>42</v>
      </c>
      <c r="AP1613">
        <f>ifood_data[[#This Row],[MntTotal]]-ifood_data[[#This Row],[MntRegularProds]]</f>
        <v>10</v>
      </c>
      <c r="AQ1613">
        <v>0</v>
      </c>
      <c r="AR1613">
        <f>IF(SUM(ifood_data[[#This Row],[Kidhome]:[Teenhome]])&gt;0,1,0)</f>
        <v>1</v>
      </c>
      <c r="AS1613" t="str">
        <f>IF(SUM(ifood_data[[#This Row],[Kidhome]:[Teenhome]])&gt;0,"Has Family","No Family")</f>
        <v>Has Family</v>
      </c>
      <c r="AT1613" t="str">
        <f>IF(ifood_data[[#This Row],[marital_Married]]=1,"Married", (IF(ifood_data[[#This Row],[marital_Single]]=1,"Single",(IF(ifood_data[[#This Row],[marital_Divorced]]=1,"Divorced",(IF(ifood_data[[#This Row],[marital_Together]]=1,"Living Together",(IF(ifood_data[[#This Row],[marital_Widow]]=1,"Widow","Other")))))))))</f>
        <v>Divorced</v>
      </c>
      <c r="AU1613" t="str">
        <f>IF(ifood_data[[#This Row],[education_Basic]]=1,"High School",(IF(ifood_data[[#This Row],[education_Graduation]]=1,"Undergraduate Degree",(IF(SUM(AM1613,AL1613,AI1613)&gt;0,"Master's Degree or Higher","Other")))))</f>
        <v>Undergraduate Degree</v>
      </c>
      <c r="AV1613" t="str">
        <f>IF(ifood_data[[#All],[Income]]&gt;75000,"75K+",(IF(ifood_data[[#All],[Income]]&gt;50000,"50K-75K",(IF(ifood_data[[#All],[Income]]&gt;35000,"35K-50K","&lt;35K")))))</f>
        <v>35K-50K</v>
      </c>
      <c r="AW1613" t="str">
        <f>IF(ifood_data[[#All],[Age]]&gt;60,"60+",(IF(ifood_data[[#All],[Age]]&gt;50,"50-60",(IF(ifood_data[[#All],[Age]]&gt;40,"40-50",(IF(ifood_data[[#All],[Age]]&gt;30,"30-40","&lt;30")))))))</f>
        <v>60+</v>
      </c>
      <c r="AX1613">
        <f t="shared" si="100"/>
        <v>16</v>
      </c>
      <c r="AY1613">
        <f t="shared" si="101"/>
        <v>5</v>
      </c>
      <c r="AZ1613">
        <f t="shared" si="102"/>
        <v>3</v>
      </c>
      <c r="BA1613">
        <f t="shared" si="103"/>
        <v>2</v>
      </c>
      <c r="BB1613">
        <f>SUM(ifood_data[[#This Row],[Recency Score]:[Monetary Score]])</f>
        <v>10</v>
      </c>
      <c r="BC1613">
        <f>(_xlfn.PERCENTRANK.INC(ifood_data[[#All],[RFM]],ifood_data[[#This Row],[RFM]],1))*10</f>
        <v>2</v>
      </c>
      <c r="BD1613" t="str">
        <f>VLOOKUP(ifood_data[[#This Row],[RFM Score]],'RFM Analysis'!$A$3:$B$14,2,FALSE)</f>
        <v>At Risk</v>
      </c>
      <c r="BE1613">
        <f>'Regression Models'!$B$101+'Regression Models'!$B$102*ifood_data[[#This Row],[Income]]+'Regression Models'!$B$103*ifood_data[[#This Row],[Age]]+'Regression Models'!$B$104*ifood_data[[#This Row],[Family]]</f>
        <v>127.33441176093368</v>
      </c>
      <c r="BF1613" t="str">
        <f>IF(ifood_data[[#This Row],[AcceptedCmpOverall]]=1,"Campaign Respondent","Non-respondent")</f>
        <v>Non-respondent</v>
      </c>
    </row>
    <row r="1614" spans="1:58" x14ac:dyDescent="0.35">
      <c r="A1614">
        <v>1544</v>
      </c>
      <c r="B1614">
        <v>33228</v>
      </c>
      <c r="C1614">
        <v>1</v>
      </c>
      <c r="D1614">
        <v>0</v>
      </c>
      <c r="E1614">
        <v>28</v>
      </c>
      <c r="F1614">
        <v>22</v>
      </c>
      <c r="G1614">
        <v>2</v>
      </c>
      <c r="H1614">
        <v>31</v>
      </c>
      <c r="I1614">
        <v>7</v>
      </c>
      <c r="J1614">
        <v>4</v>
      </c>
      <c r="K1614">
        <v>5</v>
      </c>
      <c r="L1614">
        <v>1</v>
      </c>
      <c r="M1614">
        <v>2</v>
      </c>
      <c r="N1614">
        <v>0</v>
      </c>
      <c r="O1614">
        <v>3</v>
      </c>
      <c r="P1614">
        <v>7</v>
      </c>
      <c r="Q1614">
        <v>0</v>
      </c>
      <c r="R1614">
        <v>0</v>
      </c>
      <c r="S1614">
        <v>0</v>
      </c>
      <c r="T1614">
        <v>0</v>
      </c>
      <c r="U1614">
        <v>0</v>
      </c>
      <c r="V1614">
        <f>IF(SUM(ifood_data[[#This Row],[AcceptedCmp1]:[AcceptedCmp5]])&gt;0,1,0)</f>
        <v>0</v>
      </c>
      <c r="W1614">
        <v>0</v>
      </c>
      <c r="X1614">
        <v>3</v>
      </c>
      <c r="Y1614">
        <v>11</v>
      </c>
      <c r="Z1614">
        <v>0</v>
      </c>
      <c r="AA1614">
        <v>40</v>
      </c>
      <c r="AB1614">
        <v>2316</v>
      </c>
      <c r="AC1614" s="28">
        <f>ifood_data[[#This Row],[Customer_Days]]/365</f>
        <v>6.3452054794520549</v>
      </c>
      <c r="AD1614">
        <v>0</v>
      </c>
      <c r="AE1614">
        <v>1</v>
      </c>
      <c r="AF1614">
        <v>0</v>
      </c>
      <c r="AG1614">
        <v>0</v>
      </c>
      <c r="AH1614">
        <v>0</v>
      </c>
      <c r="AI1614">
        <v>0</v>
      </c>
      <c r="AJ1614">
        <v>0</v>
      </c>
      <c r="AK1614">
        <v>1</v>
      </c>
      <c r="AL1614">
        <v>0</v>
      </c>
      <c r="AM1614">
        <v>0</v>
      </c>
      <c r="AN1614">
        <v>66</v>
      </c>
      <c r="AO1614">
        <v>61</v>
      </c>
      <c r="AP1614">
        <f>ifood_data[[#This Row],[MntTotal]]-ifood_data[[#This Row],[MntRegularProds]]</f>
        <v>5</v>
      </c>
      <c r="AQ1614">
        <v>0</v>
      </c>
      <c r="AR1614">
        <f>IF(SUM(ifood_data[[#This Row],[Kidhome]:[Teenhome]])&gt;0,1,0)</f>
        <v>1</v>
      </c>
      <c r="AS1614" t="str">
        <f>IF(SUM(ifood_data[[#This Row],[Kidhome]:[Teenhome]])&gt;0,"Has Family","No Family")</f>
        <v>Has Family</v>
      </c>
      <c r="AT1614" t="str">
        <f>IF(ifood_data[[#This Row],[marital_Married]]=1,"Married", (IF(ifood_data[[#This Row],[marital_Single]]=1,"Single",(IF(ifood_data[[#This Row],[marital_Divorced]]=1,"Divorced",(IF(ifood_data[[#This Row],[marital_Together]]=1,"Living Together",(IF(ifood_data[[#This Row],[marital_Widow]]=1,"Widow","Other")))))))))</f>
        <v>Married</v>
      </c>
      <c r="AU1614" t="str">
        <f>IF(ifood_data[[#This Row],[education_Basic]]=1,"High School",(IF(ifood_data[[#This Row],[education_Graduation]]=1,"Undergraduate Degree",(IF(SUM(AM1614,AL1614,AI1614)&gt;0,"Master's Degree or Higher","Other")))))</f>
        <v>Undergraduate Degree</v>
      </c>
      <c r="AV1614" t="str">
        <f>IF(ifood_data[[#All],[Income]]&gt;75000,"75K+",(IF(ifood_data[[#All],[Income]]&gt;50000,"50K-75K",(IF(ifood_data[[#All],[Income]]&gt;35000,"35K-50K","&lt;35K")))))</f>
        <v>&lt;35K</v>
      </c>
      <c r="AW1614" t="str">
        <f>IF(ifood_data[[#All],[Age]]&gt;60,"60+",(IF(ifood_data[[#All],[Age]]&gt;50,"50-60",(IF(ifood_data[[#All],[Age]]&gt;40,"40-50",(IF(ifood_data[[#All],[Age]]&gt;30,"30-40","&lt;30")))))))</f>
        <v>30-40</v>
      </c>
      <c r="AX1614">
        <f t="shared" si="100"/>
        <v>13</v>
      </c>
      <c r="AY1614">
        <f t="shared" si="101"/>
        <v>8</v>
      </c>
      <c r="AZ1614">
        <f t="shared" si="102"/>
        <v>1</v>
      </c>
      <c r="BA1614">
        <f t="shared" si="103"/>
        <v>2</v>
      </c>
      <c r="BB1614">
        <f>SUM(ifood_data[[#This Row],[Recency Score]:[Monetary Score]])</f>
        <v>11</v>
      </c>
      <c r="BC1614">
        <f>(_xlfn.PERCENTRANK.INC(ifood_data[[#All],[RFM]],ifood_data[[#This Row],[RFM]],1))*10</f>
        <v>2</v>
      </c>
      <c r="BD1614" t="str">
        <f>VLOOKUP(ifood_data[[#This Row],[RFM Score]],'RFM Analysis'!$A$3:$B$14,2,FALSE)</f>
        <v>At Risk</v>
      </c>
      <c r="BE1614">
        <f>'Regression Models'!$B$101+'Regression Models'!$B$102*ifood_data[[#This Row],[Income]]+'Regression Models'!$B$103*ifood_data[[#This Row],[Age]]+'Regression Models'!$B$104*ifood_data[[#This Row],[Family]]</f>
        <v>126.59153738221971</v>
      </c>
      <c r="BF1614" t="str">
        <f>IF(ifood_data[[#This Row],[AcceptedCmpOverall]]=1,"Campaign Respondent","Non-respondent")</f>
        <v>Non-respondent</v>
      </c>
    </row>
    <row r="1615" spans="1:58" x14ac:dyDescent="0.35">
      <c r="A1615">
        <v>926</v>
      </c>
      <c r="B1615">
        <v>35704</v>
      </c>
      <c r="C1615">
        <v>1</v>
      </c>
      <c r="D1615">
        <v>1</v>
      </c>
      <c r="E1615">
        <v>54</v>
      </c>
      <c r="F1615">
        <v>30</v>
      </c>
      <c r="G1615">
        <v>9</v>
      </c>
      <c r="H1615">
        <v>12</v>
      </c>
      <c r="I1615">
        <v>2</v>
      </c>
      <c r="J1615">
        <v>11</v>
      </c>
      <c r="K1615">
        <v>30</v>
      </c>
      <c r="L1615">
        <v>3</v>
      </c>
      <c r="M1615">
        <v>2</v>
      </c>
      <c r="N1615">
        <v>0</v>
      </c>
      <c r="O1615">
        <v>4</v>
      </c>
      <c r="P1615">
        <v>4</v>
      </c>
      <c r="Q1615">
        <v>0</v>
      </c>
      <c r="R1615">
        <v>0</v>
      </c>
      <c r="S1615">
        <v>0</v>
      </c>
      <c r="T1615">
        <v>0</v>
      </c>
      <c r="U1615">
        <v>0</v>
      </c>
      <c r="V1615">
        <f>IF(SUM(ifood_data[[#This Row],[AcceptedCmp1]:[AcceptedCmp5]])&gt;0,1,0)</f>
        <v>0</v>
      </c>
      <c r="W1615">
        <v>0</v>
      </c>
      <c r="X1615">
        <v>3</v>
      </c>
      <c r="Y1615">
        <v>11</v>
      </c>
      <c r="Z1615">
        <v>0</v>
      </c>
      <c r="AA1615">
        <v>68</v>
      </c>
      <c r="AB1615">
        <v>2336</v>
      </c>
      <c r="AC1615" s="28">
        <f>ifood_data[[#This Row],[Customer_Days]]/365</f>
        <v>6.4</v>
      </c>
      <c r="AD1615">
        <v>0</v>
      </c>
      <c r="AE1615">
        <v>1</v>
      </c>
      <c r="AF1615">
        <v>0</v>
      </c>
      <c r="AG1615">
        <v>0</v>
      </c>
      <c r="AH1615">
        <v>0</v>
      </c>
      <c r="AI1615">
        <v>0</v>
      </c>
      <c r="AJ1615">
        <v>0</v>
      </c>
      <c r="AK1615">
        <v>1</v>
      </c>
      <c r="AL1615">
        <v>0</v>
      </c>
      <c r="AM1615">
        <v>0</v>
      </c>
      <c r="AN1615">
        <v>64</v>
      </c>
      <c r="AO1615">
        <v>34</v>
      </c>
      <c r="AP1615">
        <f>ifood_data[[#This Row],[MntTotal]]-ifood_data[[#This Row],[MntRegularProds]]</f>
        <v>30</v>
      </c>
      <c r="AQ1615">
        <v>0</v>
      </c>
      <c r="AR1615">
        <f>IF(SUM(ifood_data[[#This Row],[Kidhome]:[Teenhome]])&gt;0,1,0)</f>
        <v>1</v>
      </c>
      <c r="AS1615" t="str">
        <f>IF(SUM(ifood_data[[#This Row],[Kidhome]:[Teenhome]])&gt;0,"Has Family","No Family")</f>
        <v>Has Family</v>
      </c>
      <c r="AT1615" t="str">
        <f>IF(ifood_data[[#This Row],[marital_Married]]=1,"Married", (IF(ifood_data[[#This Row],[marital_Single]]=1,"Single",(IF(ifood_data[[#This Row],[marital_Divorced]]=1,"Divorced",(IF(ifood_data[[#This Row],[marital_Together]]=1,"Living Together",(IF(ifood_data[[#This Row],[marital_Widow]]=1,"Widow","Other")))))))))</f>
        <v>Married</v>
      </c>
      <c r="AU1615" t="str">
        <f>IF(ifood_data[[#This Row],[education_Basic]]=1,"High School",(IF(ifood_data[[#This Row],[education_Graduation]]=1,"Undergraduate Degree",(IF(SUM(AM1615,AL1615,AI1615)&gt;0,"Master's Degree or Higher","Other")))))</f>
        <v>Undergraduate Degree</v>
      </c>
      <c r="AV1615" t="str">
        <f>IF(ifood_data[[#All],[Income]]&gt;75000,"75K+",(IF(ifood_data[[#All],[Income]]&gt;50000,"50K-75K",(IF(ifood_data[[#All],[Income]]&gt;35000,"35K-50K","&lt;35K")))))</f>
        <v>35K-50K</v>
      </c>
      <c r="AW1615" t="str">
        <f>IF(ifood_data[[#All],[Age]]&gt;60,"60+",(IF(ifood_data[[#All],[Age]]&gt;50,"50-60",(IF(ifood_data[[#All],[Age]]&gt;40,"40-50",(IF(ifood_data[[#All],[Age]]&gt;30,"30-40","&lt;30")))))))</f>
        <v>60+</v>
      </c>
      <c r="AX1615">
        <f t="shared" si="100"/>
        <v>13</v>
      </c>
      <c r="AY1615">
        <f t="shared" si="101"/>
        <v>5</v>
      </c>
      <c r="AZ1615">
        <f t="shared" si="102"/>
        <v>1</v>
      </c>
      <c r="BA1615">
        <f t="shared" si="103"/>
        <v>2</v>
      </c>
      <c r="BB1615">
        <f>SUM(ifood_data[[#This Row],[Recency Score]:[Monetary Score]])</f>
        <v>8</v>
      </c>
      <c r="BC1615">
        <f>(_xlfn.PERCENTRANK.INC(ifood_data[[#All],[RFM]],ifood_data[[#This Row],[RFM]],1))*10</f>
        <v>1</v>
      </c>
      <c r="BD1615" t="str">
        <f>VLOOKUP(ifood_data[[#This Row],[RFM Score]],'RFM Analysis'!$A$3:$B$14,2,FALSE)</f>
        <v>At Risk</v>
      </c>
      <c r="BE1615">
        <f>'Regression Models'!$B$101+'Regression Models'!$B$102*ifood_data[[#This Row],[Income]]+'Regression Models'!$B$103*ifood_data[[#This Row],[Age]]+'Regression Models'!$B$104*ifood_data[[#This Row],[Family]]</f>
        <v>125.65383309747369</v>
      </c>
      <c r="BF1615" t="str">
        <f>IF(ifood_data[[#This Row],[AcceptedCmpOverall]]=1,"Campaign Respondent","Non-respondent")</f>
        <v>Non-respondent</v>
      </c>
    </row>
    <row r="1616" spans="1:58" x14ac:dyDescent="0.35">
      <c r="A1616">
        <v>936</v>
      </c>
      <c r="B1616">
        <v>35340</v>
      </c>
      <c r="C1616">
        <v>1</v>
      </c>
      <c r="D1616">
        <v>1</v>
      </c>
      <c r="E1616">
        <v>1</v>
      </c>
      <c r="F1616">
        <v>27</v>
      </c>
      <c r="G1616">
        <v>0</v>
      </c>
      <c r="H1616">
        <v>12</v>
      </c>
      <c r="I1616">
        <v>0</v>
      </c>
      <c r="J1616">
        <v>1</v>
      </c>
      <c r="K1616">
        <v>5</v>
      </c>
      <c r="L1616">
        <v>2</v>
      </c>
      <c r="M1616">
        <v>2</v>
      </c>
      <c r="N1616">
        <v>0</v>
      </c>
      <c r="O1616">
        <v>3</v>
      </c>
      <c r="P1616">
        <v>5</v>
      </c>
      <c r="Q1616">
        <v>0</v>
      </c>
      <c r="R1616">
        <v>0</v>
      </c>
      <c r="S1616">
        <v>0</v>
      </c>
      <c r="T1616">
        <v>0</v>
      </c>
      <c r="U1616">
        <v>0</v>
      </c>
      <c r="V1616">
        <f>IF(SUM(ifood_data[[#This Row],[AcceptedCmp1]:[AcceptedCmp5]])&gt;0,1,0)</f>
        <v>0</v>
      </c>
      <c r="W1616">
        <v>0</v>
      </c>
      <c r="X1616">
        <v>3</v>
      </c>
      <c r="Y1616">
        <v>11</v>
      </c>
      <c r="Z1616">
        <v>0</v>
      </c>
      <c r="AA1616">
        <v>64</v>
      </c>
      <c r="AB1616">
        <v>2159</v>
      </c>
      <c r="AC1616" s="28">
        <f>ifood_data[[#This Row],[Customer_Days]]/365</f>
        <v>5.9150684931506845</v>
      </c>
      <c r="AD1616">
        <v>0</v>
      </c>
      <c r="AE1616">
        <v>0</v>
      </c>
      <c r="AF1616">
        <v>0</v>
      </c>
      <c r="AG1616">
        <v>0</v>
      </c>
      <c r="AH1616">
        <v>1</v>
      </c>
      <c r="AI1616">
        <v>0</v>
      </c>
      <c r="AJ1616">
        <v>0</v>
      </c>
      <c r="AK1616">
        <v>0</v>
      </c>
      <c r="AL1616">
        <v>0</v>
      </c>
      <c r="AM1616">
        <v>1</v>
      </c>
      <c r="AN1616">
        <v>40</v>
      </c>
      <c r="AO1616">
        <v>35</v>
      </c>
      <c r="AP1616">
        <f>ifood_data[[#This Row],[MntTotal]]-ifood_data[[#This Row],[MntRegularProds]]</f>
        <v>5</v>
      </c>
      <c r="AQ1616">
        <v>0</v>
      </c>
      <c r="AR1616">
        <f>IF(SUM(ifood_data[[#This Row],[Kidhome]:[Teenhome]])&gt;0,1,0)</f>
        <v>1</v>
      </c>
      <c r="AS1616" t="str">
        <f>IF(SUM(ifood_data[[#This Row],[Kidhome]:[Teenhome]])&gt;0,"Has Family","No Family")</f>
        <v>Has Family</v>
      </c>
      <c r="AT1616" t="str">
        <f>IF(ifood_data[[#This Row],[marital_Married]]=1,"Married", (IF(ifood_data[[#This Row],[marital_Single]]=1,"Single",(IF(ifood_data[[#This Row],[marital_Divorced]]=1,"Divorced",(IF(ifood_data[[#This Row],[marital_Together]]=1,"Living Together",(IF(ifood_data[[#This Row],[marital_Widow]]=1,"Widow","Other")))))))))</f>
        <v>Widow</v>
      </c>
      <c r="AU1616" t="str">
        <f>IF(ifood_data[[#This Row],[education_Basic]]=1,"High School",(IF(ifood_data[[#This Row],[education_Graduation]]=1,"Undergraduate Degree",(IF(SUM(AM1616,AL1616,AI1616)&gt;0,"Master's Degree or Higher","Other")))))</f>
        <v>Master's Degree or Higher</v>
      </c>
      <c r="AV1616" t="str">
        <f>IF(ifood_data[[#All],[Income]]&gt;75000,"75K+",(IF(ifood_data[[#All],[Income]]&gt;50000,"50K-75K",(IF(ifood_data[[#All],[Income]]&gt;35000,"35K-50K","&lt;35K")))))</f>
        <v>35K-50K</v>
      </c>
      <c r="AW1616" t="str">
        <f>IF(ifood_data[[#All],[Age]]&gt;60,"60+",(IF(ifood_data[[#All],[Age]]&gt;50,"50-60",(IF(ifood_data[[#All],[Age]]&gt;40,"40-50",(IF(ifood_data[[#All],[Age]]&gt;30,"30-40","&lt;30")))))))</f>
        <v>60+</v>
      </c>
      <c r="AX1616">
        <f t="shared" si="100"/>
        <v>12</v>
      </c>
      <c r="AY1616">
        <f t="shared" si="101"/>
        <v>10</v>
      </c>
      <c r="AZ1616">
        <f t="shared" si="102"/>
        <v>1</v>
      </c>
      <c r="BA1616">
        <f t="shared" si="103"/>
        <v>1</v>
      </c>
      <c r="BB1616">
        <f>SUM(ifood_data[[#This Row],[Recency Score]:[Monetary Score]])</f>
        <v>12</v>
      </c>
      <c r="BC1616">
        <f>(_xlfn.PERCENTRANK.INC(ifood_data[[#All],[RFM]],ifood_data[[#This Row],[RFM]],1))*10</f>
        <v>3</v>
      </c>
      <c r="BD1616" t="str">
        <f>VLOOKUP(ifood_data[[#This Row],[RFM Score]],'RFM Analysis'!$A$3:$B$14,2,FALSE)</f>
        <v>At Risk</v>
      </c>
      <c r="BE1616">
        <f>'Regression Models'!$B$101+'Regression Models'!$B$102*ifood_data[[#This Row],[Income]]+'Regression Models'!$B$103*ifood_data[[#This Row],[Age]]+'Regression Models'!$B$104*ifood_data[[#This Row],[Family]]</f>
        <v>125.57807780867165</v>
      </c>
      <c r="BF1616" t="str">
        <f>IF(ifood_data[[#This Row],[AcceptedCmpOverall]]=1,"Campaign Respondent","Non-respondent")</f>
        <v>Non-respondent</v>
      </c>
    </row>
    <row r="1617" spans="1:58" x14ac:dyDescent="0.35">
      <c r="A1617">
        <v>690</v>
      </c>
      <c r="B1617">
        <v>35946</v>
      </c>
      <c r="C1617">
        <v>1</v>
      </c>
      <c r="D1617">
        <v>1</v>
      </c>
      <c r="E1617">
        <v>24</v>
      </c>
      <c r="F1617">
        <v>8</v>
      </c>
      <c r="G1617">
        <v>0</v>
      </c>
      <c r="H1617">
        <v>3</v>
      </c>
      <c r="I1617">
        <v>0</v>
      </c>
      <c r="J1617">
        <v>0</v>
      </c>
      <c r="K1617">
        <v>0</v>
      </c>
      <c r="L1617">
        <v>1</v>
      </c>
      <c r="M1617">
        <v>0</v>
      </c>
      <c r="N1617">
        <v>0</v>
      </c>
      <c r="O1617">
        <v>3</v>
      </c>
      <c r="P1617">
        <v>5</v>
      </c>
      <c r="Q1617">
        <v>0</v>
      </c>
      <c r="R1617">
        <v>0</v>
      </c>
      <c r="S1617">
        <v>0</v>
      </c>
      <c r="T1617">
        <v>0</v>
      </c>
      <c r="U1617">
        <v>0</v>
      </c>
      <c r="V1617">
        <f>IF(SUM(ifood_data[[#This Row],[AcceptedCmp1]:[AcceptedCmp5]])&gt;0,1,0)</f>
        <v>0</v>
      </c>
      <c r="W1617">
        <v>0</v>
      </c>
      <c r="X1617">
        <v>3</v>
      </c>
      <c r="Y1617">
        <v>11</v>
      </c>
      <c r="Z1617">
        <v>0</v>
      </c>
      <c r="AA1617">
        <v>71</v>
      </c>
      <c r="AB1617">
        <v>2434</v>
      </c>
      <c r="AC1617" s="28">
        <f>ifood_data[[#This Row],[Customer_Days]]/365</f>
        <v>6.6684931506849319</v>
      </c>
      <c r="AD1617">
        <v>1</v>
      </c>
      <c r="AE1617">
        <v>0</v>
      </c>
      <c r="AF1617">
        <v>0</v>
      </c>
      <c r="AG1617">
        <v>0</v>
      </c>
      <c r="AH1617">
        <v>0</v>
      </c>
      <c r="AI1617">
        <v>0</v>
      </c>
      <c r="AJ1617">
        <v>0</v>
      </c>
      <c r="AK1617">
        <v>0</v>
      </c>
      <c r="AL1617">
        <v>0</v>
      </c>
      <c r="AM1617">
        <v>1</v>
      </c>
      <c r="AN1617">
        <v>11</v>
      </c>
      <c r="AO1617">
        <v>11</v>
      </c>
      <c r="AP1617">
        <f>ifood_data[[#This Row],[MntTotal]]-ifood_data[[#This Row],[MntRegularProds]]</f>
        <v>0</v>
      </c>
      <c r="AQ1617">
        <v>0</v>
      </c>
      <c r="AR1617">
        <f>IF(SUM(ifood_data[[#This Row],[Kidhome]:[Teenhome]])&gt;0,1,0)</f>
        <v>1</v>
      </c>
      <c r="AS1617" t="str">
        <f>IF(SUM(ifood_data[[#This Row],[Kidhome]:[Teenhome]])&gt;0,"Has Family","No Family")</f>
        <v>Has Family</v>
      </c>
      <c r="AT1617" t="str">
        <f>IF(ifood_data[[#This Row],[marital_Married]]=1,"Married", (IF(ifood_data[[#This Row],[marital_Single]]=1,"Single",(IF(ifood_data[[#This Row],[marital_Divorced]]=1,"Divorced",(IF(ifood_data[[#This Row],[marital_Together]]=1,"Living Together",(IF(ifood_data[[#This Row],[marital_Widow]]=1,"Widow","Other")))))))))</f>
        <v>Divorced</v>
      </c>
      <c r="AU1617" t="str">
        <f>IF(ifood_data[[#This Row],[education_Basic]]=1,"High School",(IF(ifood_data[[#This Row],[education_Graduation]]=1,"Undergraduate Degree",(IF(SUM(AM1617,AL1617,AI1617)&gt;0,"Master's Degree or Higher","Other")))))</f>
        <v>Master's Degree or Higher</v>
      </c>
      <c r="AV1617" t="str">
        <f>IF(ifood_data[[#All],[Income]]&gt;75000,"75K+",(IF(ifood_data[[#All],[Income]]&gt;50000,"50K-75K",(IF(ifood_data[[#All],[Income]]&gt;35000,"35K-50K","&lt;35K")))))</f>
        <v>35K-50K</v>
      </c>
      <c r="AW1617" t="str">
        <f>IF(ifood_data[[#All],[Age]]&gt;60,"60+",(IF(ifood_data[[#All],[Age]]&gt;50,"50-60",(IF(ifood_data[[#All],[Age]]&gt;40,"40-50",(IF(ifood_data[[#All],[Age]]&gt;30,"30-40","&lt;30")))))))</f>
        <v>60+</v>
      </c>
      <c r="AX1617">
        <f t="shared" si="100"/>
        <v>9</v>
      </c>
      <c r="AY1617">
        <f t="shared" si="101"/>
        <v>8</v>
      </c>
      <c r="AZ1617">
        <f t="shared" si="102"/>
        <v>0</v>
      </c>
      <c r="BA1617">
        <f t="shared" si="103"/>
        <v>0</v>
      </c>
      <c r="BB1617">
        <f>SUM(ifood_data[[#This Row],[Recency Score]:[Monetary Score]])</f>
        <v>8</v>
      </c>
      <c r="BC1617">
        <f>(_xlfn.PERCENTRANK.INC(ifood_data[[#All],[RFM]],ifood_data[[#This Row],[RFM]],1))*10</f>
        <v>1</v>
      </c>
      <c r="BD1617" t="str">
        <f>VLOOKUP(ifood_data[[#This Row],[RFM Score]],'RFM Analysis'!$A$3:$B$14,2,FALSE)</f>
        <v>At Risk</v>
      </c>
      <c r="BE1617">
        <f>'Regression Models'!$B$101+'Regression Models'!$B$102*ifood_data[[#This Row],[Income]]+'Regression Models'!$B$103*ifood_data[[#This Row],[Age]]+'Regression Models'!$B$104*ifood_data[[#This Row],[Family]]</f>
        <v>125.07859775161444</v>
      </c>
      <c r="BF1617" t="str">
        <f>IF(ifood_data[[#This Row],[AcceptedCmpOverall]]=1,"Campaign Respondent","Non-respondent")</f>
        <v>Non-respondent</v>
      </c>
    </row>
    <row r="1618" spans="1:58" x14ac:dyDescent="0.35">
      <c r="A1618">
        <v>1210</v>
      </c>
      <c r="B1618">
        <v>33986</v>
      </c>
      <c r="C1618">
        <v>1</v>
      </c>
      <c r="D1618">
        <v>0</v>
      </c>
      <c r="E1618">
        <v>43</v>
      </c>
      <c r="F1618">
        <v>16</v>
      </c>
      <c r="G1618">
        <v>2</v>
      </c>
      <c r="H1618">
        <v>18</v>
      </c>
      <c r="I1618">
        <v>2</v>
      </c>
      <c r="J1618">
        <v>1</v>
      </c>
      <c r="K1618">
        <v>5</v>
      </c>
      <c r="L1618">
        <v>1</v>
      </c>
      <c r="M1618">
        <v>1</v>
      </c>
      <c r="N1618">
        <v>0</v>
      </c>
      <c r="O1618">
        <v>3</v>
      </c>
      <c r="P1618">
        <v>7</v>
      </c>
      <c r="Q1618">
        <v>0</v>
      </c>
      <c r="R1618">
        <v>0</v>
      </c>
      <c r="S1618">
        <v>0</v>
      </c>
      <c r="T1618">
        <v>0</v>
      </c>
      <c r="U1618">
        <v>0</v>
      </c>
      <c r="V1618">
        <f>IF(SUM(ifood_data[[#This Row],[AcceptedCmp1]:[AcceptedCmp5]])&gt;0,1,0)</f>
        <v>0</v>
      </c>
      <c r="W1618">
        <v>0</v>
      </c>
      <c r="X1618">
        <v>3</v>
      </c>
      <c r="Y1618">
        <v>11</v>
      </c>
      <c r="Z1618">
        <v>0</v>
      </c>
      <c r="AA1618">
        <v>50</v>
      </c>
      <c r="AB1618">
        <v>2631</v>
      </c>
      <c r="AC1618" s="28">
        <f>ifood_data[[#This Row],[Customer_Days]]/365</f>
        <v>7.2082191780821914</v>
      </c>
      <c r="AD1618">
        <v>1</v>
      </c>
      <c r="AE1618">
        <v>0</v>
      </c>
      <c r="AF1618">
        <v>0</v>
      </c>
      <c r="AG1618">
        <v>0</v>
      </c>
      <c r="AH1618">
        <v>0</v>
      </c>
      <c r="AI1618">
        <v>0</v>
      </c>
      <c r="AJ1618">
        <v>0</v>
      </c>
      <c r="AK1618">
        <v>1</v>
      </c>
      <c r="AL1618">
        <v>0</v>
      </c>
      <c r="AM1618">
        <v>0</v>
      </c>
      <c r="AN1618">
        <v>39</v>
      </c>
      <c r="AO1618">
        <v>34</v>
      </c>
      <c r="AP1618">
        <f>ifood_data[[#This Row],[MntTotal]]-ifood_data[[#This Row],[MntRegularProds]]</f>
        <v>5</v>
      </c>
      <c r="AQ1618">
        <v>0</v>
      </c>
      <c r="AR1618">
        <f>IF(SUM(ifood_data[[#This Row],[Kidhome]:[Teenhome]])&gt;0,1,0)</f>
        <v>1</v>
      </c>
      <c r="AS1618" t="str">
        <f>IF(SUM(ifood_data[[#This Row],[Kidhome]:[Teenhome]])&gt;0,"Has Family","No Family")</f>
        <v>Has Family</v>
      </c>
      <c r="AT1618" t="str">
        <f>IF(ifood_data[[#This Row],[marital_Married]]=1,"Married", (IF(ifood_data[[#This Row],[marital_Single]]=1,"Single",(IF(ifood_data[[#This Row],[marital_Divorced]]=1,"Divorced",(IF(ifood_data[[#This Row],[marital_Together]]=1,"Living Together",(IF(ifood_data[[#This Row],[marital_Widow]]=1,"Widow","Other")))))))))</f>
        <v>Divorced</v>
      </c>
      <c r="AU1618" t="str">
        <f>IF(ifood_data[[#This Row],[education_Basic]]=1,"High School",(IF(ifood_data[[#This Row],[education_Graduation]]=1,"Undergraduate Degree",(IF(SUM(AM1618,AL1618,AI1618)&gt;0,"Master's Degree or Higher","Other")))))</f>
        <v>Undergraduate Degree</v>
      </c>
      <c r="AV1618" t="str">
        <f>IF(ifood_data[[#All],[Income]]&gt;75000,"75K+",(IF(ifood_data[[#All],[Income]]&gt;50000,"50K-75K",(IF(ifood_data[[#All],[Income]]&gt;35000,"35K-50K","&lt;35K")))))</f>
        <v>&lt;35K</v>
      </c>
      <c r="AW1618" t="str">
        <f>IF(ifood_data[[#All],[Age]]&gt;60,"60+",(IF(ifood_data[[#All],[Age]]&gt;50,"50-60",(IF(ifood_data[[#All],[Age]]&gt;40,"40-50",(IF(ifood_data[[#All],[Age]]&gt;30,"30-40","&lt;30")))))))</f>
        <v>40-50</v>
      </c>
      <c r="AX1618">
        <f t="shared" si="100"/>
        <v>12</v>
      </c>
      <c r="AY1618">
        <f t="shared" si="101"/>
        <v>6</v>
      </c>
      <c r="AZ1618">
        <f t="shared" si="102"/>
        <v>1</v>
      </c>
      <c r="BA1618">
        <f t="shared" si="103"/>
        <v>1</v>
      </c>
      <c r="BB1618">
        <f>SUM(ifood_data[[#This Row],[Recency Score]:[Monetary Score]])</f>
        <v>8</v>
      </c>
      <c r="BC1618">
        <f>(_xlfn.PERCENTRANK.INC(ifood_data[[#All],[RFM]],ifood_data[[#This Row],[RFM]],1))*10</f>
        <v>1</v>
      </c>
      <c r="BD1618" t="str">
        <f>VLOOKUP(ifood_data[[#This Row],[RFM Score]],'RFM Analysis'!$A$3:$B$14,2,FALSE)</f>
        <v>At Risk</v>
      </c>
      <c r="BE1618">
        <f>'Regression Models'!$B$101+'Regression Models'!$B$102*ifood_data[[#This Row],[Income]]+'Regression Models'!$B$103*ifood_data[[#This Row],[Age]]+'Regression Models'!$B$104*ifood_data[[#This Row],[Family]]</f>
        <v>123.68183284635234</v>
      </c>
      <c r="BF1618" t="str">
        <f>IF(ifood_data[[#This Row],[AcceptedCmpOverall]]=1,"Campaign Respondent","Non-respondent")</f>
        <v>Non-respondent</v>
      </c>
    </row>
    <row r="1619" spans="1:58" x14ac:dyDescent="0.35">
      <c r="A1619">
        <v>1930</v>
      </c>
      <c r="B1619">
        <v>33590</v>
      </c>
      <c r="C1619">
        <v>2</v>
      </c>
      <c r="D1619">
        <v>1</v>
      </c>
      <c r="E1619">
        <v>65</v>
      </c>
      <c r="F1619">
        <v>4</v>
      </c>
      <c r="G1619">
        <v>0</v>
      </c>
      <c r="H1619">
        <v>2</v>
      </c>
      <c r="I1619">
        <v>0</v>
      </c>
      <c r="J1619">
        <v>0</v>
      </c>
      <c r="K1619">
        <v>2</v>
      </c>
      <c r="L1619">
        <v>1</v>
      </c>
      <c r="M1619">
        <v>1</v>
      </c>
      <c r="N1619">
        <v>0</v>
      </c>
      <c r="O1619">
        <v>2</v>
      </c>
      <c r="P1619">
        <v>7</v>
      </c>
      <c r="Q1619">
        <v>0</v>
      </c>
      <c r="R1619">
        <v>0</v>
      </c>
      <c r="S1619">
        <v>0</v>
      </c>
      <c r="T1619">
        <v>0</v>
      </c>
      <c r="U1619">
        <v>0</v>
      </c>
      <c r="V1619">
        <f>IF(SUM(ifood_data[[#This Row],[AcceptedCmp1]:[AcceptedCmp5]])&gt;0,1,0)</f>
        <v>0</v>
      </c>
      <c r="W1619">
        <v>0</v>
      </c>
      <c r="X1619">
        <v>3</v>
      </c>
      <c r="Y1619">
        <v>11</v>
      </c>
      <c r="Z1619">
        <v>0</v>
      </c>
      <c r="AA1619">
        <v>46</v>
      </c>
      <c r="AB1619">
        <v>2397</v>
      </c>
      <c r="AC1619" s="28">
        <f>ifood_data[[#This Row],[Customer_Days]]/365</f>
        <v>6.5671232876712331</v>
      </c>
      <c r="AD1619">
        <v>0</v>
      </c>
      <c r="AE1619">
        <v>0</v>
      </c>
      <c r="AF1619">
        <v>0</v>
      </c>
      <c r="AG1619">
        <v>1</v>
      </c>
      <c r="AH1619">
        <v>0</v>
      </c>
      <c r="AI1619">
        <v>0</v>
      </c>
      <c r="AJ1619">
        <v>0</v>
      </c>
      <c r="AK1619">
        <v>1</v>
      </c>
      <c r="AL1619">
        <v>0</v>
      </c>
      <c r="AM1619">
        <v>0</v>
      </c>
      <c r="AN1619">
        <v>6</v>
      </c>
      <c r="AO1619">
        <v>4</v>
      </c>
      <c r="AP1619">
        <f>ifood_data[[#This Row],[MntTotal]]-ifood_data[[#This Row],[MntRegularProds]]</f>
        <v>2</v>
      </c>
      <c r="AQ1619">
        <v>0</v>
      </c>
      <c r="AR1619">
        <f>IF(SUM(ifood_data[[#This Row],[Kidhome]:[Teenhome]])&gt;0,1,0)</f>
        <v>1</v>
      </c>
      <c r="AS1619" t="str">
        <f>IF(SUM(ifood_data[[#This Row],[Kidhome]:[Teenhome]])&gt;0,"Has Family","No Family")</f>
        <v>Has Family</v>
      </c>
      <c r="AT1619" t="str">
        <f>IF(ifood_data[[#This Row],[marital_Married]]=1,"Married", (IF(ifood_data[[#This Row],[marital_Single]]=1,"Single",(IF(ifood_data[[#This Row],[marital_Divorced]]=1,"Divorced",(IF(ifood_data[[#This Row],[marital_Together]]=1,"Living Together",(IF(ifood_data[[#This Row],[marital_Widow]]=1,"Widow","Other")))))))))</f>
        <v>Living Together</v>
      </c>
      <c r="AU1619" t="str">
        <f>IF(ifood_data[[#This Row],[education_Basic]]=1,"High School",(IF(ifood_data[[#This Row],[education_Graduation]]=1,"Undergraduate Degree",(IF(SUM(AM1619,AL1619,AI1619)&gt;0,"Master's Degree or Higher","Other")))))</f>
        <v>Undergraduate Degree</v>
      </c>
      <c r="AV1619" t="str">
        <f>IF(ifood_data[[#All],[Income]]&gt;75000,"75K+",(IF(ifood_data[[#All],[Income]]&gt;50000,"50K-75K",(IF(ifood_data[[#All],[Income]]&gt;35000,"35K-50K","&lt;35K")))))</f>
        <v>&lt;35K</v>
      </c>
      <c r="AW1619" t="str">
        <f>IF(ifood_data[[#All],[Age]]&gt;60,"60+",(IF(ifood_data[[#All],[Age]]&gt;50,"50-60",(IF(ifood_data[[#All],[Age]]&gt;40,"40-50",(IF(ifood_data[[#All],[Age]]&gt;30,"30-40","&lt;30")))))))</f>
        <v>40-50</v>
      </c>
      <c r="AX1619">
        <f t="shared" si="100"/>
        <v>11</v>
      </c>
      <c r="AY1619">
        <f t="shared" si="101"/>
        <v>4</v>
      </c>
      <c r="AZ1619">
        <f t="shared" si="102"/>
        <v>0</v>
      </c>
      <c r="BA1619">
        <f t="shared" si="103"/>
        <v>0</v>
      </c>
      <c r="BB1619">
        <f>SUM(ifood_data[[#This Row],[Recency Score]:[Monetary Score]])</f>
        <v>4</v>
      </c>
      <c r="BC1619">
        <f>(_xlfn.PERCENTRANK.INC(ifood_data[[#All],[RFM]],ifood_data[[#This Row],[RFM]],1))*10</f>
        <v>0</v>
      </c>
      <c r="BD1619" t="str">
        <f>VLOOKUP(ifood_data[[#This Row],[RFM Score]],'RFM Analysis'!$A$3:$B$14,2,FALSE)</f>
        <v>Lost</v>
      </c>
      <c r="BE1619">
        <f>'Regression Models'!$B$101+'Regression Models'!$B$102*ifood_data[[#This Row],[Income]]+'Regression Models'!$B$103*ifood_data[[#This Row],[Age]]+'Regression Models'!$B$104*ifood_data[[#This Row],[Family]]</f>
        <v>122.95363697694552</v>
      </c>
      <c r="BF1619" t="str">
        <f>IF(ifood_data[[#This Row],[AcceptedCmpOverall]]=1,"Campaign Respondent","Non-respondent")</f>
        <v>Non-respondent</v>
      </c>
    </row>
    <row r="1620" spans="1:58" x14ac:dyDescent="0.35">
      <c r="A1620">
        <v>957</v>
      </c>
      <c r="B1620">
        <v>34053</v>
      </c>
      <c r="C1620">
        <v>0</v>
      </c>
      <c r="D1620">
        <v>1</v>
      </c>
      <c r="E1620">
        <v>14</v>
      </c>
      <c r="F1620">
        <v>63</v>
      </c>
      <c r="G1620">
        <v>0</v>
      </c>
      <c r="H1620">
        <v>21</v>
      </c>
      <c r="I1620">
        <v>7</v>
      </c>
      <c r="J1620">
        <v>0</v>
      </c>
      <c r="K1620">
        <v>12</v>
      </c>
      <c r="L1620">
        <v>1</v>
      </c>
      <c r="M1620">
        <v>3</v>
      </c>
      <c r="N1620">
        <v>0</v>
      </c>
      <c r="O1620">
        <v>3</v>
      </c>
      <c r="P1620">
        <v>8</v>
      </c>
      <c r="Q1620">
        <v>0</v>
      </c>
      <c r="R1620">
        <v>0</v>
      </c>
      <c r="S1620">
        <v>0</v>
      </c>
      <c r="T1620">
        <v>0</v>
      </c>
      <c r="U1620">
        <v>0</v>
      </c>
      <c r="V1620">
        <f>IF(SUM(ifood_data[[#This Row],[AcceptedCmp1]:[AcceptedCmp5]])&gt;0,1,0)</f>
        <v>0</v>
      </c>
      <c r="W1620">
        <v>0</v>
      </c>
      <c r="X1620">
        <v>3</v>
      </c>
      <c r="Y1620">
        <v>11</v>
      </c>
      <c r="Z1620">
        <v>0</v>
      </c>
      <c r="AA1620">
        <v>52</v>
      </c>
      <c r="AB1620">
        <v>2816</v>
      </c>
      <c r="AC1620" s="28">
        <f>ifood_data[[#This Row],[Customer_Days]]/365</f>
        <v>7.7150684931506852</v>
      </c>
      <c r="AD1620">
        <v>0</v>
      </c>
      <c r="AE1620">
        <v>0</v>
      </c>
      <c r="AF1620">
        <v>0</v>
      </c>
      <c r="AG1620">
        <v>1</v>
      </c>
      <c r="AH1620">
        <v>0</v>
      </c>
      <c r="AI1620">
        <v>0</v>
      </c>
      <c r="AJ1620">
        <v>0</v>
      </c>
      <c r="AK1620">
        <v>0</v>
      </c>
      <c r="AL1620">
        <v>1</v>
      </c>
      <c r="AM1620">
        <v>0</v>
      </c>
      <c r="AN1620">
        <v>91</v>
      </c>
      <c r="AO1620">
        <v>79</v>
      </c>
      <c r="AP1620">
        <f>ifood_data[[#This Row],[MntTotal]]-ifood_data[[#This Row],[MntRegularProds]]</f>
        <v>12</v>
      </c>
      <c r="AQ1620">
        <v>0</v>
      </c>
      <c r="AR1620">
        <f>IF(SUM(ifood_data[[#This Row],[Kidhome]:[Teenhome]])&gt;0,1,0)</f>
        <v>1</v>
      </c>
      <c r="AS1620" t="str">
        <f>IF(SUM(ifood_data[[#This Row],[Kidhome]:[Teenhome]])&gt;0,"Has Family","No Family")</f>
        <v>Has Family</v>
      </c>
      <c r="AT1620" t="str">
        <f>IF(ifood_data[[#This Row],[marital_Married]]=1,"Married", (IF(ifood_data[[#This Row],[marital_Single]]=1,"Single",(IF(ifood_data[[#This Row],[marital_Divorced]]=1,"Divorced",(IF(ifood_data[[#This Row],[marital_Together]]=1,"Living Together",(IF(ifood_data[[#This Row],[marital_Widow]]=1,"Widow","Other")))))))))</f>
        <v>Living Together</v>
      </c>
      <c r="AU1620" t="str">
        <f>IF(ifood_data[[#This Row],[education_Basic]]=1,"High School",(IF(ifood_data[[#This Row],[education_Graduation]]=1,"Undergraduate Degree",(IF(SUM(AM1620,AL1620,AI1620)&gt;0,"Master's Degree or Higher","Other")))))</f>
        <v>Master's Degree or Higher</v>
      </c>
      <c r="AV1620" t="str">
        <f>IF(ifood_data[[#All],[Income]]&gt;75000,"75K+",(IF(ifood_data[[#All],[Income]]&gt;50000,"50K-75K",(IF(ifood_data[[#All],[Income]]&gt;35000,"35K-50K","&lt;35K")))))</f>
        <v>&lt;35K</v>
      </c>
      <c r="AW1620" t="str">
        <f>IF(ifood_data[[#All],[Age]]&gt;60,"60+",(IF(ifood_data[[#All],[Age]]&gt;50,"50-60",(IF(ifood_data[[#All],[Age]]&gt;40,"40-50",(IF(ifood_data[[#All],[Age]]&gt;30,"30-40","&lt;30")))))))</f>
        <v>50-60</v>
      </c>
      <c r="AX1620">
        <f t="shared" si="100"/>
        <v>15</v>
      </c>
      <c r="AY1620">
        <f t="shared" si="101"/>
        <v>9</v>
      </c>
      <c r="AZ1620">
        <f t="shared" si="102"/>
        <v>2</v>
      </c>
      <c r="BA1620">
        <f t="shared" si="103"/>
        <v>3</v>
      </c>
      <c r="BB1620">
        <f>SUM(ifood_data[[#This Row],[Recency Score]:[Monetary Score]])</f>
        <v>14</v>
      </c>
      <c r="BC1620">
        <f>(_xlfn.PERCENTRANK.INC(ifood_data[[#All],[RFM]],ifood_data[[#This Row],[RFM]],1))*10</f>
        <v>4</v>
      </c>
      <c r="BD1620" t="str">
        <f>VLOOKUP(ifood_data[[#This Row],[RFM Score]],'RFM Analysis'!$A$3:$B$14,2,FALSE)</f>
        <v>At Risk</v>
      </c>
      <c r="BE1620">
        <f>'Regression Models'!$B$101+'Regression Models'!$B$102*ifood_data[[#This Row],[Income]]+'Regression Models'!$B$103*ifood_data[[#This Row],[Age]]+'Regression Models'!$B$104*ifood_data[[#This Row],[Family]]</f>
        <v>121.37500215420505</v>
      </c>
      <c r="BF1620" t="str">
        <f>IF(ifood_data[[#This Row],[AcceptedCmpOverall]]=1,"Campaign Respondent","Non-respondent")</f>
        <v>Non-respondent</v>
      </c>
    </row>
    <row r="1621" spans="1:58" x14ac:dyDescent="0.35">
      <c r="A1621">
        <v>566</v>
      </c>
      <c r="B1621">
        <v>33178</v>
      </c>
      <c r="C1621">
        <v>1</v>
      </c>
      <c r="D1621">
        <v>0</v>
      </c>
      <c r="E1621">
        <v>9</v>
      </c>
      <c r="F1621">
        <v>12</v>
      </c>
      <c r="G1621">
        <v>6</v>
      </c>
      <c r="H1621">
        <v>2</v>
      </c>
      <c r="I1621">
        <v>11</v>
      </c>
      <c r="J1621">
        <v>2</v>
      </c>
      <c r="K1621">
        <v>16</v>
      </c>
      <c r="L1621">
        <v>1</v>
      </c>
      <c r="M1621">
        <v>1</v>
      </c>
      <c r="N1621">
        <v>0</v>
      </c>
      <c r="O1621">
        <v>3</v>
      </c>
      <c r="P1621">
        <v>4</v>
      </c>
      <c r="Q1621">
        <v>0</v>
      </c>
      <c r="R1621">
        <v>0</v>
      </c>
      <c r="S1621">
        <v>0</v>
      </c>
      <c r="T1621">
        <v>0</v>
      </c>
      <c r="U1621">
        <v>0</v>
      </c>
      <c r="V1621">
        <f>IF(SUM(ifood_data[[#This Row],[AcceptedCmp1]:[AcceptedCmp5]])&gt;0,1,0)</f>
        <v>0</v>
      </c>
      <c r="W1621">
        <v>0</v>
      </c>
      <c r="X1621">
        <v>3</v>
      </c>
      <c r="Y1621">
        <v>11</v>
      </c>
      <c r="Z1621">
        <v>0</v>
      </c>
      <c r="AA1621">
        <v>43</v>
      </c>
      <c r="AB1621">
        <v>2309</v>
      </c>
      <c r="AC1621" s="28">
        <f>ifood_data[[#This Row],[Customer_Days]]/365</f>
        <v>6.3260273972602743</v>
      </c>
      <c r="AD1621">
        <v>0</v>
      </c>
      <c r="AE1621">
        <v>0</v>
      </c>
      <c r="AF1621">
        <v>0</v>
      </c>
      <c r="AG1621">
        <v>1</v>
      </c>
      <c r="AH1621">
        <v>0</v>
      </c>
      <c r="AI1621">
        <v>0</v>
      </c>
      <c r="AJ1621">
        <v>0</v>
      </c>
      <c r="AK1621">
        <v>1</v>
      </c>
      <c r="AL1621">
        <v>0</v>
      </c>
      <c r="AM1621">
        <v>0</v>
      </c>
      <c r="AN1621">
        <v>33</v>
      </c>
      <c r="AO1621">
        <v>17</v>
      </c>
      <c r="AP1621">
        <f>ifood_data[[#This Row],[MntTotal]]-ifood_data[[#This Row],[MntRegularProds]]</f>
        <v>16</v>
      </c>
      <c r="AQ1621">
        <v>0</v>
      </c>
      <c r="AR1621">
        <f>IF(SUM(ifood_data[[#This Row],[Kidhome]:[Teenhome]])&gt;0,1,0)</f>
        <v>1</v>
      </c>
      <c r="AS1621" t="str">
        <f>IF(SUM(ifood_data[[#This Row],[Kidhome]:[Teenhome]])&gt;0,"Has Family","No Family")</f>
        <v>Has Family</v>
      </c>
      <c r="AT1621" t="str">
        <f>IF(ifood_data[[#This Row],[marital_Married]]=1,"Married", (IF(ifood_data[[#This Row],[marital_Single]]=1,"Single",(IF(ifood_data[[#This Row],[marital_Divorced]]=1,"Divorced",(IF(ifood_data[[#This Row],[marital_Together]]=1,"Living Together",(IF(ifood_data[[#This Row],[marital_Widow]]=1,"Widow","Other")))))))))</f>
        <v>Living Together</v>
      </c>
      <c r="AU1621" t="str">
        <f>IF(ifood_data[[#This Row],[education_Basic]]=1,"High School",(IF(ifood_data[[#This Row],[education_Graduation]]=1,"Undergraduate Degree",(IF(SUM(AM1621,AL1621,AI1621)&gt;0,"Master's Degree or Higher","Other")))))</f>
        <v>Undergraduate Degree</v>
      </c>
      <c r="AV1621" t="str">
        <f>IF(ifood_data[[#All],[Income]]&gt;75000,"75K+",(IF(ifood_data[[#All],[Income]]&gt;50000,"50K-75K",(IF(ifood_data[[#All],[Income]]&gt;35000,"35K-50K","&lt;35K")))))</f>
        <v>&lt;35K</v>
      </c>
      <c r="AW1621" t="str">
        <f>IF(ifood_data[[#All],[Age]]&gt;60,"60+",(IF(ifood_data[[#All],[Age]]&gt;50,"50-60",(IF(ifood_data[[#All],[Age]]&gt;40,"40-50",(IF(ifood_data[[#All],[Age]]&gt;30,"30-40","&lt;30")))))))</f>
        <v>40-50</v>
      </c>
      <c r="AX1621">
        <f t="shared" si="100"/>
        <v>9</v>
      </c>
      <c r="AY1621">
        <f t="shared" si="101"/>
        <v>10</v>
      </c>
      <c r="AZ1621">
        <f t="shared" si="102"/>
        <v>0</v>
      </c>
      <c r="BA1621">
        <f t="shared" si="103"/>
        <v>1</v>
      </c>
      <c r="BB1621">
        <f>SUM(ifood_data[[#This Row],[Recency Score]:[Monetary Score]])</f>
        <v>11</v>
      </c>
      <c r="BC1621">
        <f>(_xlfn.PERCENTRANK.INC(ifood_data[[#All],[RFM]],ifood_data[[#This Row],[RFM]],1))*10</f>
        <v>2</v>
      </c>
      <c r="BD1621" t="str">
        <f>VLOOKUP(ifood_data[[#This Row],[RFM Score]],'RFM Analysis'!$A$3:$B$14,2,FALSE)</f>
        <v>At Risk</v>
      </c>
      <c r="BE1621">
        <f>'Regression Models'!$B$101+'Regression Models'!$B$102*ifood_data[[#This Row],[Income]]+'Regression Models'!$B$103*ifood_data[[#This Row],[Age]]+'Regression Models'!$B$104*ifood_data[[#This Row],[Family]]</f>
        <v>120.06278173834198</v>
      </c>
      <c r="BF1621" t="str">
        <f>IF(ifood_data[[#This Row],[AcceptedCmpOverall]]=1,"Campaign Respondent","Non-respondent")</f>
        <v>Non-respondent</v>
      </c>
    </row>
    <row r="1622" spans="1:58" x14ac:dyDescent="0.35">
      <c r="A1622">
        <v>731</v>
      </c>
      <c r="B1622">
        <v>33622</v>
      </c>
      <c r="C1622">
        <v>1</v>
      </c>
      <c r="D1622">
        <v>1</v>
      </c>
      <c r="E1622">
        <v>22</v>
      </c>
      <c r="F1622">
        <v>39</v>
      </c>
      <c r="G1622">
        <v>1</v>
      </c>
      <c r="H1622">
        <v>22</v>
      </c>
      <c r="I1622">
        <v>3</v>
      </c>
      <c r="J1622">
        <v>4</v>
      </c>
      <c r="K1622">
        <v>12</v>
      </c>
      <c r="L1622">
        <v>3</v>
      </c>
      <c r="M1622">
        <v>2</v>
      </c>
      <c r="N1622">
        <v>0</v>
      </c>
      <c r="O1622">
        <v>4</v>
      </c>
      <c r="P1622">
        <v>7</v>
      </c>
      <c r="Q1622">
        <v>0</v>
      </c>
      <c r="R1622">
        <v>0</v>
      </c>
      <c r="S1622">
        <v>0</v>
      </c>
      <c r="T1622">
        <v>0</v>
      </c>
      <c r="U1622">
        <v>0</v>
      </c>
      <c r="V1622">
        <f>IF(SUM(ifood_data[[#This Row],[AcceptedCmp1]:[AcceptedCmp5]])&gt;0,1,0)</f>
        <v>0</v>
      </c>
      <c r="W1622">
        <v>0</v>
      </c>
      <c r="X1622">
        <v>3</v>
      </c>
      <c r="Y1622">
        <v>11</v>
      </c>
      <c r="Z1622">
        <v>0</v>
      </c>
      <c r="AA1622">
        <v>48</v>
      </c>
      <c r="AB1622">
        <v>2601</v>
      </c>
      <c r="AC1622" s="28">
        <f>ifood_data[[#This Row],[Customer_Days]]/365</f>
        <v>7.1260273972602741</v>
      </c>
      <c r="AD1622">
        <v>0</v>
      </c>
      <c r="AE1622">
        <v>1</v>
      </c>
      <c r="AF1622">
        <v>0</v>
      </c>
      <c r="AG1622">
        <v>0</v>
      </c>
      <c r="AH1622">
        <v>0</v>
      </c>
      <c r="AI1622">
        <v>0</v>
      </c>
      <c r="AJ1622">
        <v>0</v>
      </c>
      <c r="AK1622">
        <v>1</v>
      </c>
      <c r="AL1622">
        <v>0</v>
      </c>
      <c r="AM1622">
        <v>0</v>
      </c>
      <c r="AN1622">
        <v>69</v>
      </c>
      <c r="AO1622">
        <v>57</v>
      </c>
      <c r="AP1622">
        <f>ifood_data[[#This Row],[MntTotal]]-ifood_data[[#This Row],[MntRegularProds]]</f>
        <v>12</v>
      </c>
      <c r="AQ1622">
        <v>0</v>
      </c>
      <c r="AR1622">
        <f>IF(SUM(ifood_data[[#This Row],[Kidhome]:[Teenhome]])&gt;0,1,0)</f>
        <v>1</v>
      </c>
      <c r="AS1622" t="str">
        <f>IF(SUM(ifood_data[[#This Row],[Kidhome]:[Teenhome]])&gt;0,"Has Family","No Family")</f>
        <v>Has Family</v>
      </c>
      <c r="AT1622" t="str">
        <f>IF(ifood_data[[#This Row],[marital_Married]]=1,"Married", (IF(ifood_data[[#This Row],[marital_Single]]=1,"Single",(IF(ifood_data[[#This Row],[marital_Divorced]]=1,"Divorced",(IF(ifood_data[[#This Row],[marital_Together]]=1,"Living Together",(IF(ifood_data[[#This Row],[marital_Widow]]=1,"Widow","Other")))))))))</f>
        <v>Married</v>
      </c>
      <c r="AU1622" t="str">
        <f>IF(ifood_data[[#This Row],[education_Basic]]=1,"High School",(IF(ifood_data[[#This Row],[education_Graduation]]=1,"Undergraduate Degree",(IF(SUM(AM1622,AL1622,AI1622)&gt;0,"Master's Degree or Higher","Other")))))</f>
        <v>Undergraduate Degree</v>
      </c>
      <c r="AV1622" t="str">
        <f>IF(ifood_data[[#All],[Income]]&gt;75000,"75K+",(IF(ifood_data[[#All],[Income]]&gt;50000,"50K-75K",(IF(ifood_data[[#All],[Income]]&gt;35000,"35K-50K","&lt;35K")))))</f>
        <v>&lt;35K</v>
      </c>
      <c r="AW1622" t="str">
        <f>IF(ifood_data[[#All],[Age]]&gt;60,"60+",(IF(ifood_data[[#All],[Age]]&gt;50,"50-60",(IF(ifood_data[[#All],[Age]]&gt;40,"40-50",(IF(ifood_data[[#All],[Age]]&gt;30,"30-40","&lt;30")))))))</f>
        <v>40-50</v>
      </c>
      <c r="AX1622">
        <f t="shared" si="100"/>
        <v>16</v>
      </c>
      <c r="AY1622">
        <f t="shared" si="101"/>
        <v>8</v>
      </c>
      <c r="AZ1622">
        <f t="shared" si="102"/>
        <v>3</v>
      </c>
      <c r="BA1622">
        <f t="shared" si="103"/>
        <v>2</v>
      </c>
      <c r="BB1622">
        <f>SUM(ifood_data[[#This Row],[Recency Score]:[Monetary Score]])</f>
        <v>13</v>
      </c>
      <c r="BC1622">
        <f>(_xlfn.PERCENTRANK.INC(ifood_data[[#All],[RFM]],ifood_data[[#This Row],[RFM]],1))*10</f>
        <v>3</v>
      </c>
      <c r="BD1622" t="str">
        <f>VLOOKUP(ifood_data[[#This Row],[RFM Score]],'RFM Analysis'!$A$3:$B$14,2,FALSE)</f>
        <v>At Risk</v>
      </c>
      <c r="BE1622">
        <f>'Regression Models'!$B$101+'Regression Models'!$B$102*ifood_data[[#This Row],[Income]]+'Regression Models'!$B$103*ifood_data[[#This Row],[Age]]+'Regression Models'!$B$104*ifood_data[[#This Row],[Family]]</f>
        <v>119.93319939976175</v>
      </c>
      <c r="BF1622" t="str">
        <f>IF(ifood_data[[#This Row],[AcceptedCmpOverall]]=1,"Campaign Respondent","Non-respondent")</f>
        <v>Non-respondent</v>
      </c>
    </row>
    <row r="1623" spans="1:58" x14ac:dyDescent="0.35">
      <c r="A1623">
        <v>1750</v>
      </c>
      <c r="B1623">
        <v>34230</v>
      </c>
      <c r="C1623">
        <v>1</v>
      </c>
      <c r="D1623">
        <v>1</v>
      </c>
      <c r="E1623">
        <v>72</v>
      </c>
      <c r="F1623">
        <v>15</v>
      </c>
      <c r="G1623">
        <v>0</v>
      </c>
      <c r="H1623">
        <v>4</v>
      </c>
      <c r="I1623">
        <v>0</v>
      </c>
      <c r="J1623">
        <v>0</v>
      </c>
      <c r="K1623">
        <v>2</v>
      </c>
      <c r="L1623">
        <v>1</v>
      </c>
      <c r="M1623">
        <v>1</v>
      </c>
      <c r="N1623">
        <v>0</v>
      </c>
      <c r="O1623">
        <v>2</v>
      </c>
      <c r="P1623">
        <v>7</v>
      </c>
      <c r="Q1623">
        <v>0</v>
      </c>
      <c r="R1623">
        <v>0</v>
      </c>
      <c r="S1623">
        <v>0</v>
      </c>
      <c r="T1623">
        <v>0</v>
      </c>
      <c r="U1623">
        <v>0</v>
      </c>
      <c r="V1623">
        <f>IF(SUM(ifood_data[[#This Row],[AcceptedCmp1]:[AcceptedCmp5]])&gt;0,1,0)</f>
        <v>0</v>
      </c>
      <c r="W1623">
        <v>0</v>
      </c>
      <c r="X1623">
        <v>3</v>
      </c>
      <c r="Y1623">
        <v>11</v>
      </c>
      <c r="Z1623">
        <v>0</v>
      </c>
      <c r="AA1623">
        <v>55</v>
      </c>
      <c r="AB1623">
        <v>2709</v>
      </c>
      <c r="AC1623" s="28">
        <f>ifood_data[[#This Row],[Customer_Days]]/365</f>
        <v>7.4219178082191783</v>
      </c>
      <c r="AD1623">
        <v>0</v>
      </c>
      <c r="AE1623">
        <v>0</v>
      </c>
      <c r="AF1623">
        <v>0</v>
      </c>
      <c r="AG1623">
        <v>1</v>
      </c>
      <c r="AH1623">
        <v>0</v>
      </c>
      <c r="AI1623">
        <v>0</v>
      </c>
      <c r="AJ1623">
        <v>0</v>
      </c>
      <c r="AK1623">
        <v>0</v>
      </c>
      <c r="AL1623">
        <v>0</v>
      </c>
      <c r="AM1623">
        <v>1</v>
      </c>
      <c r="AN1623">
        <v>19</v>
      </c>
      <c r="AO1623">
        <v>17</v>
      </c>
      <c r="AP1623">
        <f>ifood_data[[#This Row],[MntTotal]]-ifood_data[[#This Row],[MntRegularProds]]</f>
        <v>2</v>
      </c>
      <c r="AQ1623">
        <v>0</v>
      </c>
      <c r="AR1623">
        <f>IF(SUM(ifood_data[[#This Row],[Kidhome]:[Teenhome]])&gt;0,1,0)</f>
        <v>1</v>
      </c>
      <c r="AS1623" t="str">
        <f>IF(SUM(ifood_data[[#This Row],[Kidhome]:[Teenhome]])&gt;0,"Has Family","No Family")</f>
        <v>Has Family</v>
      </c>
      <c r="AT1623" t="str">
        <f>IF(ifood_data[[#This Row],[marital_Married]]=1,"Married", (IF(ifood_data[[#This Row],[marital_Single]]=1,"Single",(IF(ifood_data[[#This Row],[marital_Divorced]]=1,"Divorced",(IF(ifood_data[[#This Row],[marital_Together]]=1,"Living Together",(IF(ifood_data[[#This Row],[marital_Widow]]=1,"Widow","Other")))))))))</f>
        <v>Living Together</v>
      </c>
      <c r="AU1623" t="str">
        <f>IF(ifood_data[[#This Row],[education_Basic]]=1,"High School",(IF(ifood_data[[#This Row],[education_Graduation]]=1,"Undergraduate Degree",(IF(SUM(AM1623,AL1623,AI1623)&gt;0,"Master's Degree or Higher","Other")))))</f>
        <v>Master's Degree or Higher</v>
      </c>
      <c r="AV1623" t="str">
        <f>IF(ifood_data[[#All],[Income]]&gt;75000,"75K+",(IF(ifood_data[[#All],[Income]]&gt;50000,"50K-75K",(IF(ifood_data[[#All],[Income]]&gt;35000,"35K-50K","&lt;35K")))))</f>
        <v>&lt;35K</v>
      </c>
      <c r="AW1623" t="str">
        <f>IF(ifood_data[[#All],[Age]]&gt;60,"60+",(IF(ifood_data[[#All],[Age]]&gt;50,"50-60",(IF(ifood_data[[#All],[Age]]&gt;40,"40-50",(IF(ifood_data[[#All],[Age]]&gt;30,"30-40","&lt;30")))))))</f>
        <v>50-60</v>
      </c>
      <c r="AX1623">
        <f t="shared" si="100"/>
        <v>11</v>
      </c>
      <c r="AY1623">
        <f t="shared" si="101"/>
        <v>3.0000000000000004</v>
      </c>
      <c r="AZ1623">
        <f t="shared" si="102"/>
        <v>0</v>
      </c>
      <c r="BA1623">
        <f t="shared" si="103"/>
        <v>0</v>
      </c>
      <c r="BB1623">
        <f>SUM(ifood_data[[#This Row],[Recency Score]:[Monetary Score]])</f>
        <v>3.0000000000000004</v>
      </c>
      <c r="BC1623">
        <f>(_xlfn.PERCENTRANK.INC(ifood_data[[#All],[RFM]],ifood_data[[#This Row],[RFM]],1))*10</f>
        <v>0</v>
      </c>
      <c r="BD1623" t="str">
        <f>VLOOKUP(ifood_data[[#This Row],[RFM Score]],'RFM Analysis'!$A$3:$B$14,2,FALSE)</f>
        <v>Lost</v>
      </c>
      <c r="BE1623">
        <f>'Regression Models'!$B$101+'Regression Models'!$B$102*ifood_data[[#This Row],[Income]]+'Regression Models'!$B$103*ifood_data[[#This Row],[Age]]+'Regression Models'!$B$104*ifood_data[[#This Row],[Family]]</f>
        <v>119.47449687899234</v>
      </c>
      <c r="BF1623" t="str">
        <f>IF(ifood_data[[#This Row],[AcceptedCmpOverall]]=1,"Campaign Respondent","Non-respondent")</f>
        <v>Non-respondent</v>
      </c>
    </row>
    <row r="1624" spans="1:58" x14ac:dyDescent="0.35">
      <c r="A1624">
        <v>534</v>
      </c>
      <c r="B1624">
        <v>33039</v>
      </c>
      <c r="C1624">
        <v>1</v>
      </c>
      <c r="D1624">
        <v>0</v>
      </c>
      <c r="E1624">
        <v>4</v>
      </c>
      <c r="F1624">
        <v>30</v>
      </c>
      <c r="G1624">
        <v>8</v>
      </c>
      <c r="H1624">
        <v>12</v>
      </c>
      <c r="I1624">
        <v>8</v>
      </c>
      <c r="J1624">
        <v>8</v>
      </c>
      <c r="K1624">
        <v>12</v>
      </c>
      <c r="L1624">
        <v>1</v>
      </c>
      <c r="M1624">
        <v>2</v>
      </c>
      <c r="N1624">
        <v>0</v>
      </c>
      <c r="O1624">
        <v>4</v>
      </c>
      <c r="P1624">
        <v>5</v>
      </c>
      <c r="Q1624">
        <v>0</v>
      </c>
      <c r="R1624">
        <v>0</v>
      </c>
      <c r="S1624">
        <v>0</v>
      </c>
      <c r="T1624">
        <v>0</v>
      </c>
      <c r="U1624">
        <v>0</v>
      </c>
      <c r="V1624">
        <f>IF(SUM(ifood_data[[#This Row],[AcceptedCmp1]:[AcceptedCmp5]])&gt;0,1,0)</f>
        <v>0</v>
      </c>
      <c r="W1624">
        <v>0</v>
      </c>
      <c r="X1624">
        <v>3</v>
      </c>
      <c r="Y1624">
        <v>11</v>
      </c>
      <c r="Z1624">
        <v>0</v>
      </c>
      <c r="AA1624">
        <v>42</v>
      </c>
      <c r="AB1624">
        <v>2452</v>
      </c>
      <c r="AC1624" s="28">
        <f>ifood_data[[#This Row],[Customer_Days]]/365</f>
        <v>6.7178082191780826</v>
      </c>
      <c r="AD1624">
        <v>0</v>
      </c>
      <c r="AE1624">
        <v>1</v>
      </c>
      <c r="AF1624">
        <v>0</v>
      </c>
      <c r="AG1624">
        <v>0</v>
      </c>
      <c r="AH1624">
        <v>0</v>
      </c>
      <c r="AI1624">
        <v>0</v>
      </c>
      <c r="AJ1624">
        <v>0</v>
      </c>
      <c r="AK1624">
        <v>1</v>
      </c>
      <c r="AL1624">
        <v>0</v>
      </c>
      <c r="AM1624">
        <v>0</v>
      </c>
      <c r="AN1624">
        <v>66</v>
      </c>
      <c r="AO1624">
        <v>54</v>
      </c>
      <c r="AP1624">
        <f>ifood_data[[#This Row],[MntTotal]]-ifood_data[[#This Row],[MntRegularProds]]</f>
        <v>12</v>
      </c>
      <c r="AQ1624">
        <v>0</v>
      </c>
      <c r="AR1624">
        <f>IF(SUM(ifood_data[[#This Row],[Kidhome]:[Teenhome]])&gt;0,1,0)</f>
        <v>1</v>
      </c>
      <c r="AS1624" t="str">
        <f>IF(SUM(ifood_data[[#This Row],[Kidhome]:[Teenhome]])&gt;0,"Has Family","No Family")</f>
        <v>Has Family</v>
      </c>
      <c r="AT1624" t="str">
        <f>IF(ifood_data[[#This Row],[marital_Married]]=1,"Married", (IF(ifood_data[[#This Row],[marital_Single]]=1,"Single",(IF(ifood_data[[#This Row],[marital_Divorced]]=1,"Divorced",(IF(ifood_data[[#This Row],[marital_Together]]=1,"Living Together",(IF(ifood_data[[#This Row],[marital_Widow]]=1,"Widow","Other")))))))))</f>
        <v>Married</v>
      </c>
      <c r="AU1624" t="str">
        <f>IF(ifood_data[[#This Row],[education_Basic]]=1,"High School",(IF(ifood_data[[#This Row],[education_Graduation]]=1,"Undergraduate Degree",(IF(SUM(AM1624,AL1624,AI1624)&gt;0,"Master's Degree or Higher","Other")))))</f>
        <v>Undergraduate Degree</v>
      </c>
      <c r="AV1624" t="str">
        <f>IF(ifood_data[[#All],[Income]]&gt;75000,"75K+",(IF(ifood_data[[#All],[Income]]&gt;50000,"50K-75K",(IF(ifood_data[[#All],[Income]]&gt;35000,"35K-50K","&lt;35K")))))</f>
        <v>&lt;35K</v>
      </c>
      <c r="AW1624" t="str">
        <f>IF(ifood_data[[#All],[Age]]&gt;60,"60+",(IF(ifood_data[[#All],[Age]]&gt;50,"50-60",(IF(ifood_data[[#All],[Age]]&gt;40,"40-50",(IF(ifood_data[[#All],[Age]]&gt;30,"30-40","&lt;30")))))))</f>
        <v>40-50</v>
      </c>
      <c r="AX1624">
        <f t="shared" si="100"/>
        <v>12</v>
      </c>
      <c r="AY1624">
        <f t="shared" si="101"/>
        <v>10</v>
      </c>
      <c r="AZ1624">
        <f t="shared" si="102"/>
        <v>1</v>
      </c>
      <c r="BA1624">
        <f t="shared" si="103"/>
        <v>2</v>
      </c>
      <c r="BB1624">
        <f>SUM(ifood_data[[#This Row],[Recency Score]:[Monetary Score]])</f>
        <v>13</v>
      </c>
      <c r="BC1624">
        <f>(_xlfn.PERCENTRANK.INC(ifood_data[[#All],[RFM]],ifood_data[[#This Row],[RFM]],1))*10</f>
        <v>3</v>
      </c>
      <c r="BD1624" t="str">
        <f>VLOOKUP(ifood_data[[#This Row],[RFM Score]],'RFM Analysis'!$A$3:$B$14,2,FALSE)</f>
        <v>At Risk</v>
      </c>
      <c r="BE1624">
        <f>'Regression Models'!$B$101+'Regression Models'!$B$102*ifood_data[[#This Row],[Income]]+'Regression Models'!$B$103*ifood_data[[#This Row],[Age]]+'Regression Models'!$B$104*ifood_data[[#This Row],[Family]]</f>
        <v>119.06518204523434</v>
      </c>
      <c r="BF1624" t="str">
        <f>IF(ifood_data[[#This Row],[AcceptedCmpOverall]]=1,"Campaign Respondent","Non-respondent")</f>
        <v>Non-respondent</v>
      </c>
    </row>
    <row r="1625" spans="1:58" x14ac:dyDescent="0.35">
      <c r="A1625">
        <v>1148</v>
      </c>
      <c r="B1625">
        <v>34377</v>
      </c>
      <c r="C1625">
        <v>0</v>
      </c>
      <c r="D1625">
        <v>1</v>
      </c>
      <c r="E1625">
        <v>55</v>
      </c>
      <c r="F1625">
        <v>62</v>
      </c>
      <c r="G1625">
        <v>0</v>
      </c>
      <c r="H1625">
        <v>22</v>
      </c>
      <c r="I1625">
        <v>3</v>
      </c>
      <c r="J1625">
        <v>1</v>
      </c>
      <c r="K1625">
        <v>26</v>
      </c>
      <c r="L1625">
        <v>2</v>
      </c>
      <c r="M1625">
        <v>2</v>
      </c>
      <c r="N1625">
        <v>2</v>
      </c>
      <c r="O1625">
        <v>2</v>
      </c>
      <c r="P1625">
        <v>7</v>
      </c>
      <c r="Q1625">
        <v>0</v>
      </c>
      <c r="R1625">
        <v>0</v>
      </c>
      <c r="S1625">
        <v>0</v>
      </c>
      <c r="T1625">
        <v>0</v>
      </c>
      <c r="U1625">
        <v>0</v>
      </c>
      <c r="V1625">
        <f>IF(SUM(ifood_data[[#This Row],[AcceptedCmp1]:[AcceptedCmp5]])&gt;0,1,0)</f>
        <v>0</v>
      </c>
      <c r="W1625">
        <v>0</v>
      </c>
      <c r="X1625">
        <v>3</v>
      </c>
      <c r="Y1625">
        <v>11</v>
      </c>
      <c r="Z1625">
        <v>0</v>
      </c>
      <c r="AA1625">
        <v>57</v>
      </c>
      <c r="AB1625">
        <v>2685</v>
      </c>
      <c r="AC1625" s="28">
        <f>ifood_data[[#This Row],[Customer_Days]]/365</f>
        <v>7.3561643835616435</v>
      </c>
      <c r="AD1625">
        <v>0</v>
      </c>
      <c r="AE1625">
        <v>0</v>
      </c>
      <c r="AF1625">
        <v>1</v>
      </c>
      <c r="AG1625">
        <v>0</v>
      </c>
      <c r="AH1625">
        <v>0</v>
      </c>
      <c r="AI1625">
        <v>0</v>
      </c>
      <c r="AJ1625">
        <v>0</v>
      </c>
      <c r="AK1625">
        <v>1</v>
      </c>
      <c r="AL1625">
        <v>0</v>
      </c>
      <c r="AM1625">
        <v>0</v>
      </c>
      <c r="AN1625">
        <v>88</v>
      </c>
      <c r="AO1625">
        <v>62</v>
      </c>
      <c r="AP1625">
        <f>ifood_data[[#This Row],[MntTotal]]-ifood_data[[#This Row],[MntRegularProds]]</f>
        <v>26</v>
      </c>
      <c r="AQ1625">
        <v>0</v>
      </c>
      <c r="AR1625">
        <f>IF(SUM(ifood_data[[#This Row],[Kidhome]:[Teenhome]])&gt;0,1,0)</f>
        <v>1</v>
      </c>
      <c r="AS1625" t="str">
        <f>IF(SUM(ifood_data[[#This Row],[Kidhome]:[Teenhome]])&gt;0,"Has Family","No Family")</f>
        <v>Has Family</v>
      </c>
      <c r="AT1625" t="str">
        <f>IF(ifood_data[[#This Row],[marital_Married]]=1,"Married", (IF(ifood_data[[#This Row],[marital_Single]]=1,"Single",(IF(ifood_data[[#This Row],[marital_Divorced]]=1,"Divorced",(IF(ifood_data[[#This Row],[marital_Together]]=1,"Living Together",(IF(ifood_data[[#This Row],[marital_Widow]]=1,"Widow","Other")))))))))</f>
        <v>Single</v>
      </c>
      <c r="AU1625" t="str">
        <f>IF(ifood_data[[#This Row],[education_Basic]]=1,"High School",(IF(ifood_data[[#This Row],[education_Graduation]]=1,"Undergraduate Degree",(IF(SUM(AM1625,AL1625,AI1625)&gt;0,"Master's Degree or Higher","Other")))))</f>
        <v>Undergraduate Degree</v>
      </c>
      <c r="AV1625" t="str">
        <f>IF(ifood_data[[#All],[Income]]&gt;75000,"75K+",(IF(ifood_data[[#All],[Income]]&gt;50000,"50K-75K",(IF(ifood_data[[#All],[Income]]&gt;35000,"35K-50K","&lt;35K")))))</f>
        <v>&lt;35K</v>
      </c>
      <c r="AW1625" t="str">
        <f>IF(ifood_data[[#All],[Age]]&gt;60,"60+",(IF(ifood_data[[#All],[Age]]&gt;50,"50-60",(IF(ifood_data[[#All],[Age]]&gt;40,"40-50",(IF(ifood_data[[#All],[Age]]&gt;30,"30-40","&lt;30")))))))</f>
        <v>50-60</v>
      </c>
      <c r="AX1625">
        <f t="shared" si="100"/>
        <v>15</v>
      </c>
      <c r="AY1625">
        <f t="shared" si="101"/>
        <v>5</v>
      </c>
      <c r="AZ1625">
        <f t="shared" si="102"/>
        <v>2</v>
      </c>
      <c r="BA1625">
        <f t="shared" si="103"/>
        <v>3</v>
      </c>
      <c r="BB1625">
        <f>SUM(ifood_data[[#This Row],[Recency Score]:[Monetary Score]])</f>
        <v>10</v>
      </c>
      <c r="BC1625">
        <f>(_xlfn.PERCENTRANK.INC(ifood_data[[#All],[RFM]],ifood_data[[#This Row],[RFM]],1))*10</f>
        <v>2</v>
      </c>
      <c r="BD1625" t="str">
        <f>VLOOKUP(ifood_data[[#This Row],[RFM Score]],'RFM Analysis'!$A$3:$B$14,2,FALSE)</f>
        <v>At Risk</v>
      </c>
      <c r="BE1625">
        <f>'Regression Models'!$B$101+'Regression Models'!$B$102*ifood_data[[#This Row],[Income]]+'Regression Models'!$B$103*ifood_data[[#This Row],[Age]]+'Regression Models'!$B$104*ifood_data[[#This Row],[Family]]</f>
        <v>118.79876763835694</v>
      </c>
      <c r="BF1625" t="str">
        <f>IF(ifood_data[[#This Row],[AcceptedCmpOverall]]=1,"Campaign Respondent","Non-respondent")</f>
        <v>Non-respondent</v>
      </c>
    </row>
    <row r="1626" spans="1:58" x14ac:dyDescent="0.35">
      <c r="A1626">
        <v>916</v>
      </c>
      <c r="B1626">
        <v>33471</v>
      </c>
      <c r="C1626">
        <v>1</v>
      </c>
      <c r="D1626">
        <v>0</v>
      </c>
      <c r="E1626">
        <v>47</v>
      </c>
      <c r="F1626">
        <v>43</v>
      </c>
      <c r="G1626">
        <v>2</v>
      </c>
      <c r="H1626">
        <v>27</v>
      </c>
      <c r="I1626">
        <v>0</v>
      </c>
      <c r="J1626">
        <v>9</v>
      </c>
      <c r="K1626">
        <v>12</v>
      </c>
      <c r="L1626">
        <v>3</v>
      </c>
      <c r="M1626">
        <v>3</v>
      </c>
      <c r="N1626">
        <v>0</v>
      </c>
      <c r="O1626">
        <v>4</v>
      </c>
      <c r="P1626">
        <v>7</v>
      </c>
      <c r="Q1626">
        <v>0</v>
      </c>
      <c r="R1626">
        <v>0</v>
      </c>
      <c r="S1626">
        <v>0</v>
      </c>
      <c r="T1626">
        <v>0</v>
      </c>
      <c r="U1626">
        <v>0</v>
      </c>
      <c r="V1626">
        <f>IF(SUM(ifood_data[[#This Row],[AcceptedCmp1]:[AcceptedCmp5]])&gt;0,1,0)</f>
        <v>0</v>
      </c>
      <c r="W1626">
        <v>0</v>
      </c>
      <c r="X1626">
        <v>3</v>
      </c>
      <c r="Y1626">
        <v>11</v>
      </c>
      <c r="Z1626">
        <v>0</v>
      </c>
      <c r="AA1626">
        <v>47</v>
      </c>
      <c r="AB1626">
        <v>2784</v>
      </c>
      <c r="AC1626" s="28">
        <f>ifood_data[[#This Row],[Customer_Days]]/365</f>
        <v>7.6273972602739724</v>
      </c>
      <c r="AD1626">
        <v>0</v>
      </c>
      <c r="AE1626">
        <v>1</v>
      </c>
      <c r="AF1626">
        <v>0</v>
      </c>
      <c r="AG1626">
        <v>0</v>
      </c>
      <c r="AH1626">
        <v>0</v>
      </c>
      <c r="AI1626">
        <v>0</v>
      </c>
      <c r="AJ1626">
        <v>0</v>
      </c>
      <c r="AK1626">
        <v>1</v>
      </c>
      <c r="AL1626">
        <v>0</v>
      </c>
      <c r="AM1626">
        <v>0</v>
      </c>
      <c r="AN1626">
        <v>81</v>
      </c>
      <c r="AO1626">
        <v>69</v>
      </c>
      <c r="AP1626">
        <f>ifood_data[[#This Row],[MntTotal]]-ifood_data[[#This Row],[MntRegularProds]]</f>
        <v>12</v>
      </c>
      <c r="AQ1626">
        <v>0</v>
      </c>
      <c r="AR1626">
        <f>IF(SUM(ifood_data[[#This Row],[Kidhome]:[Teenhome]])&gt;0,1,0)</f>
        <v>1</v>
      </c>
      <c r="AS1626" t="str">
        <f>IF(SUM(ifood_data[[#This Row],[Kidhome]:[Teenhome]])&gt;0,"Has Family","No Family")</f>
        <v>Has Family</v>
      </c>
      <c r="AT1626" t="str">
        <f>IF(ifood_data[[#This Row],[marital_Married]]=1,"Married", (IF(ifood_data[[#This Row],[marital_Single]]=1,"Single",(IF(ifood_data[[#This Row],[marital_Divorced]]=1,"Divorced",(IF(ifood_data[[#This Row],[marital_Together]]=1,"Living Together",(IF(ifood_data[[#This Row],[marital_Widow]]=1,"Widow","Other")))))))))</f>
        <v>Married</v>
      </c>
      <c r="AU1626" t="str">
        <f>IF(ifood_data[[#This Row],[education_Basic]]=1,"High School",(IF(ifood_data[[#This Row],[education_Graduation]]=1,"Undergraduate Degree",(IF(SUM(AM1626,AL1626,AI1626)&gt;0,"Master's Degree or Higher","Other")))))</f>
        <v>Undergraduate Degree</v>
      </c>
      <c r="AV1626" t="str">
        <f>IF(ifood_data[[#All],[Income]]&gt;75000,"75K+",(IF(ifood_data[[#All],[Income]]&gt;50000,"50K-75K",(IF(ifood_data[[#All],[Income]]&gt;35000,"35K-50K","&lt;35K")))))</f>
        <v>&lt;35K</v>
      </c>
      <c r="AW1626" t="str">
        <f>IF(ifood_data[[#All],[Age]]&gt;60,"60+",(IF(ifood_data[[#All],[Age]]&gt;50,"50-60",(IF(ifood_data[[#All],[Age]]&gt;40,"40-50",(IF(ifood_data[[#All],[Age]]&gt;30,"30-40","&lt;30")))))))</f>
        <v>40-50</v>
      </c>
      <c r="AX1626">
        <f t="shared" si="100"/>
        <v>17</v>
      </c>
      <c r="AY1626">
        <f t="shared" si="101"/>
        <v>6</v>
      </c>
      <c r="AZ1626">
        <f t="shared" si="102"/>
        <v>3</v>
      </c>
      <c r="BA1626">
        <f t="shared" si="103"/>
        <v>3</v>
      </c>
      <c r="BB1626">
        <f>SUM(ifood_data[[#This Row],[Recency Score]:[Monetary Score]])</f>
        <v>12</v>
      </c>
      <c r="BC1626">
        <f>(_xlfn.PERCENTRANK.INC(ifood_data[[#All],[RFM]],ifood_data[[#This Row],[RFM]],1))*10</f>
        <v>3</v>
      </c>
      <c r="BD1626" t="str">
        <f>VLOOKUP(ifood_data[[#This Row],[RFM Score]],'RFM Analysis'!$A$3:$B$14,2,FALSE)</f>
        <v>At Risk</v>
      </c>
      <c r="BE1626">
        <f>'Regression Models'!$B$101+'Regression Models'!$B$102*ifood_data[[#This Row],[Income]]+'Regression Models'!$B$103*ifood_data[[#This Row],[Age]]+'Regression Models'!$B$104*ifood_data[[#This Row],[Family]]</f>
        <v>118.69093448892727</v>
      </c>
      <c r="BF1626" t="str">
        <f>IF(ifood_data[[#This Row],[AcceptedCmpOverall]]=1,"Campaign Respondent","Non-respondent")</f>
        <v>Non-respondent</v>
      </c>
    </row>
    <row r="1627" spans="1:58" x14ac:dyDescent="0.35">
      <c r="A1627">
        <v>329</v>
      </c>
      <c r="B1627">
        <v>33181</v>
      </c>
      <c r="C1627">
        <v>1</v>
      </c>
      <c r="D1627">
        <v>0</v>
      </c>
      <c r="E1627">
        <v>90</v>
      </c>
      <c r="F1627">
        <v>9</v>
      </c>
      <c r="G1627">
        <v>0</v>
      </c>
      <c r="H1627">
        <v>3</v>
      </c>
      <c r="I1627">
        <v>0</v>
      </c>
      <c r="J1627">
        <v>0</v>
      </c>
      <c r="K1627">
        <v>4</v>
      </c>
      <c r="L1627">
        <v>1</v>
      </c>
      <c r="M1627">
        <v>1</v>
      </c>
      <c r="N1627">
        <v>0</v>
      </c>
      <c r="O1627">
        <v>2</v>
      </c>
      <c r="P1627">
        <v>6</v>
      </c>
      <c r="Q1627">
        <v>0</v>
      </c>
      <c r="R1627">
        <v>0</v>
      </c>
      <c r="S1627">
        <v>1</v>
      </c>
      <c r="T1627">
        <v>0</v>
      </c>
      <c r="U1627">
        <v>0</v>
      </c>
      <c r="V1627">
        <f>IF(SUM(ifood_data[[#This Row],[AcceptedCmp1]:[AcceptedCmp5]])&gt;0,1,0)</f>
        <v>1</v>
      </c>
      <c r="W1627">
        <v>0</v>
      </c>
      <c r="X1627">
        <v>3</v>
      </c>
      <c r="Y1627">
        <v>11</v>
      </c>
      <c r="Z1627">
        <v>0</v>
      </c>
      <c r="AA1627">
        <v>44</v>
      </c>
      <c r="AB1627">
        <v>2336</v>
      </c>
      <c r="AC1627" s="28">
        <f>ifood_data[[#This Row],[Customer_Days]]/365</f>
        <v>6.4</v>
      </c>
      <c r="AD1627">
        <v>0</v>
      </c>
      <c r="AE1627">
        <v>1</v>
      </c>
      <c r="AF1627">
        <v>0</v>
      </c>
      <c r="AG1627">
        <v>0</v>
      </c>
      <c r="AH1627">
        <v>0</v>
      </c>
      <c r="AI1627">
        <v>0</v>
      </c>
      <c r="AJ1627">
        <v>0</v>
      </c>
      <c r="AK1627">
        <v>0</v>
      </c>
      <c r="AL1627">
        <v>1</v>
      </c>
      <c r="AM1627">
        <v>0</v>
      </c>
      <c r="AN1627">
        <v>12</v>
      </c>
      <c r="AO1627">
        <v>8</v>
      </c>
      <c r="AP1627">
        <f>ifood_data[[#This Row],[MntTotal]]-ifood_data[[#This Row],[MntRegularProds]]</f>
        <v>4</v>
      </c>
      <c r="AQ1627">
        <v>1</v>
      </c>
      <c r="AR1627">
        <f>IF(SUM(ifood_data[[#This Row],[Kidhome]:[Teenhome]])&gt;0,1,0)</f>
        <v>1</v>
      </c>
      <c r="AS1627" t="str">
        <f>IF(SUM(ifood_data[[#This Row],[Kidhome]:[Teenhome]])&gt;0,"Has Family","No Family")</f>
        <v>Has Family</v>
      </c>
      <c r="AT1627" t="str">
        <f>IF(ifood_data[[#This Row],[marital_Married]]=1,"Married", (IF(ifood_data[[#This Row],[marital_Single]]=1,"Single",(IF(ifood_data[[#This Row],[marital_Divorced]]=1,"Divorced",(IF(ifood_data[[#This Row],[marital_Together]]=1,"Living Together",(IF(ifood_data[[#This Row],[marital_Widow]]=1,"Widow","Other")))))))))</f>
        <v>Married</v>
      </c>
      <c r="AU1627" t="str">
        <f>IF(ifood_data[[#This Row],[education_Basic]]=1,"High School",(IF(ifood_data[[#This Row],[education_Graduation]]=1,"Undergraduate Degree",(IF(SUM(AM1627,AL1627,AI1627)&gt;0,"Master's Degree or Higher","Other")))))</f>
        <v>Master's Degree or Higher</v>
      </c>
      <c r="AV1627" t="str">
        <f>IF(ifood_data[[#All],[Income]]&gt;75000,"75K+",(IF(ifood_data[[#All],[Income]]&gt;50000,"50K-75K",(IF(ifood_data[[#All],[Income]]&gt;35000,"35K-50K","&lt;35K")))))</f>
        <v>&lt;35K</v>
      </c>
      <c r="AW1627" t="str">
        <f>IF(ifood_data[[#All],[Age]]&gt;60,"60+",(IF(ifood_data[[#All],[Age]]&gt;50,"50-60",(IF(ifood_data[[#All],[Age]]&gt;40,"40-50",(IF(ifood_data[[#All],[Age]]&gt;30,"30-40","&lt;30")))))))</f>
        <v>40-50</v>
      </c>
      <c r="AX1627">
        <f t="shared" si="100"/>
        <v>10</v>
      </c>
      <c r="AY1627">
        <f t="shared" si="101"/>
        <v>0.99999999999999978</v>
      </c>
      <c r="AZ1627">
        <f t="shared" si="102"/>
        <v>0</v>
      </c>
      <c r="BA1627">
        <f t="shared" si="103"/>
        <v>0</v>
      </c>
      <c r="BB1627">
        <f>SUM(ifood_data[[#This Row],[Recency Score]:[Monetary Score]])</f>
        <v>0.99999999999999978</v>
      </c>
      <c r="BC1627">
        <f>(_xlfn.PERCENTRANK.INC(ifood_data[[#All],[RFM]],ifood_data[[#This Row],[RFM]],1))*10</f>
        <v>0</v>
      </c>
      <c r="BD1627" t="str">
        <f>VLOOKUP(ifood_data[[#This Row],[RFM Score]],'RFM Analysis'!$A$3:$B$14,2,FALSE)</f>
        <v>Lost</v>
      </c>
      <c r="BE1627">
        <f>'Regression Models'!$B$101+'Regression Models'!$B$102*ifood_data[[#This Row],[Income]]+'Regression Models'!$B$103*ifood_data[[#This Row],[Age]]+'Regression Models'!$B$104*ifood_data[[#This Row],[Family]]</f>
        <v>118.28750896387942</v>
      </c>
      <c r="BF1627" t="str">
        <f>IF(ifood_data[[#This Row],[AcceptedCmpOverall]]=1,"Campaign Respondent","Non-respondent")</f>
        <v>Campaign Respondent</v>
      </c>
    </row>
    <row r="1628" spans="1:58" x14ac:dyDescent="0.35">
      <c r="A1628">
        <v>673</v>
      </c>
      <c r="B1628">
        <v>33249</v>
      </c>
      <c r="C1628">
        <v>1</v>
      </c>
      <c r="D1628">
        <v>0</v>
      </c>
      <c r="E1628">
        <v>11</v>
      </c>
      <c r="F1628">
        <v>6</v>
      </c>
      <c r="G1628">
        <v>10</v>
      </c>
      <c r="H1628">
        <v>21</v>
      </c>
      <c r="I1628">
        <v>19</v>
      </c>
      <c r="J1628">
        <v>14</v>
      </c>
      <c r="K1628">
        <v>42</v>
      </c>
      <c r="L1628">
        <v>2</v>
      </c>
      <c r="M1628">
        <v>2</v>
      </c>
      <c r="N1628">
        <v>1</v>
      </c>
      <c r="O1628">
        <v>3</v>
      </c>
      <c r="P1628">
        <v>6</v>
      </c>
      <c r="Q1628">
        <v>0</v>
      </c>
      <c r="R1628">
        <v>0</v>
      </c>
      <c r="S1628">
        <v>0</v>
      </c>
      <c r="T1628">
        <v>0</v>
      </c>
      <c r="U1628">
        <v>0</v>
      </c>
      <c r="V1628">
        <f>IF(SUM(ifood_data[[#This Row],[AcceptedCmp1]:[AcceptedCmp5]])&gt;0,1,0)</f>
        <v>0</v>
      </c>
      <c r="W1628">
        <v>0</v>
      </c>
      <c r="X1628">
        <v>3</v>
      </c>
      <c r="Y1628">
        <v>11</v>
      </c>
      <c r="Z1628">
        <v>0</v>
      </c>
      <c r="AA1628">
        <v>45</v>
      </c>
      <c r="AB1628">
        <v>2653</v>
      </c>
      <c r="AC1628" s="28">
        <f>ifood_data[[#This Row],[Customer_Days]]/365</f>
        <v>7.2684931506849315</v>
      </c>
      <c r="AD1628">
        <v>0</v>
      </c>
      <c r="AE1628">
        <v>0</v>
      </c>
      <c r="AF1628">
        <v>1</v>
      </c>
      <c r="AG1628">
        <v>0</v>
      </c>
      <c r="AH1628">
        <v>0</v>
      </c>
      <c r="AI1628">
        <v>0</v>
      </c>
      <c r="AJ1628">
        <v>0</v>
      </c>
      <c r="AK1628">
        <v>1</v>
      </c>
      <c r="AL1628">
        <v>0</v>
      </c>
      <c r="AM1628">
        <v>0</v>
      </c>
      <c r="AN1628">
        <v>70</v>
      </c>
      <c r="AO1628">
        <v>28</v>
      </c>
      <c r="AP1628">
        <f>ifood_data[[#This Row],[MntTotal]]-ifood_data[[#This Row],[MntRegularProds]]</f>
        <v>42</v>
      </c>
      <c r="AQ1628">
        <v>0</v>
      </c>
      <c r="AR1628">
        <f>IF(SUM(ifood_data[[#This Row],[Kidhome]:[Teenhome]])&gt;0,1,0)</f>
        <v>1</v>
      </c>
      <c r="AS1628" t="str">
        <f>IF(SUM(ifood_data[[#This Row],[Kidhome]:[Teenhome]])&gt;0,"Has Family","No Family")</f>
        <v>Has Family</v>
      </c>
      <c r="AT1628" t="str">
        <f>IF(ifood_data[[#This Row],[marital_Married]]=1,"Married", (IF(ifood_data[[#This Row],[marital_Single]]=1,"Single",(IF(ifood_data[[#This Row],[marital_Divorced]]=1,"Divorced",(IF(ifood_data[[#This Row],[marital_Together]]=1,"Living Together",(IF(ifood_data[[#This Row],[marital_Widow]]=1,"Widow","Other")))))))))</f>
        <v>Single</v>
      </c>
      <c r="AU1628" t="str">
        <f>IF(ifood_data[[#This Row],[education_Basic]]=1,"High School",(IF(ifood_data[[#This Row],[education_Graduation]]=1,"Undergraduate Degree",(IF(SUM(AM1628,AL1628,AI1628)&gt;0,"Master's Degree or Higher","Other")))))</f>
        <v>Undergraduate Degree</v>
      </c>
      <c r="AV1628" t="str">
        <f>IF(ifood_data[[#All],[Income]]&gt;75000,"75K+",(IF(ifood_data[[#All],[Income]]&gt;50000,"50K-75K",(IF(ifood_data[[#All],[Income]]&gt;35000,"35K-50K","&lt;35K")))))</f>
        <v>&lt;35K</v>
      </c>
      <c r="AW1628" t="str">
        <f>IF(ifood_data[[#All],[Age]]&gt;60,"60+",(IF(ifood_data[[#All],[Age]]&gt;50,"50-60",(IF(ifood_data[[#All],[Age]]&gt;40,"40-50",(IF(ifood_data[[#All],[Age]]&gt;30,"30-40","&lt;30")))))))</f>
        <v>40-50</v>
      </c>
      <c r="AX1628">
        <f t="shared" si="100"/>
        <v>14</v>
      </c>
      <c r="AY1628">
        <f t="shared" si="101"/>
        <v>9</v>
      </c>
      <c r="AZ1628">
        <f t="shared" si="102"/>
        <v>2</v>
      </c>
      <c r="BA1628">
        <f t="shared" si="103"/>
        <v>3</v>
      </c>
      <c r="BB1628">
        <f>SUM(ifood_data[[#This Row],[Recency Score]:[Monetary Score]])</f>
        <v>14</v>
      </c>
      <c r="BC1628">
        <f>(_xlfn.PERCENTRANK.INC(ifood_data[[#All],[RFM]],ifood_data[[#This Row],[RFM]],1))*10</f>
        <v>4</v>
      </c>
      <c r="BD1628" t="str">
        <f>VLOOKUP(ifood_data[[#This Row],[RFM Score]],'RFM Analysis'!$A$3:$B$14,2,FALSE)</f>
        <v>At Risk</v>
      </c>
      <c r="BE1628">
        <f>'Regression Models'!$B$101+'Regression Models'!$B$102*ifood_data[[#This Row],[Income]]+'Regression Models'!$B$103*ifood_data[[#This Row],[Age]]+'Regression Models'!$B$104*ifood_data[[#This Row],[Family]]</f>
        <v>117.83750611877019</v>
      </c>
      <c r="BF1628" t="str">
        <f>IF(ifood_data[[#This Row],[AcceptedCmpOverall]]=1,"Campaign Respondent","Non-respondent")</f>
        <v>Non-respondent</v>
      </c>
    </row>
    <row r="1629" spans="1:58" x14ac:dyDescent="0.35">
      <c r="A1629">
        <v>707</v>
      </c>
      <c r="B1629">
        <v>33697</v>
      </c>
      <c r="C1629">
        <v>1</v>
      </c>
      <c r="D1629">
        <v>0</v>
      </c>
      <c r="E1629">
        <v>34</v>
      </c>
      <c r="F1629">
        <v>4</v>
      </c>
      <c r="G1629">
        <v>3</v>
      </c>
      <c r="H1629">
        <v>7</v>
      </c>
      <c r="I1629">
        <v>0</v>
      </c>
      <c r="J1629">
        <v>3</v>
      </c>
      <c r="K1629">
        <v>11</v>
      </c>
      <c r="L1629">
        <v>1</v>
      </c>
      <c r="M1629">
        <v>1</v>
      </c>
      <c r="N1629">
        <v>0</v>
      </c>
      <c r="O1629">
        <v>2</v>
      </c>
      <c r="P1629">
        <v>7</v>
      </c>
      <c r="Q1629">
        <v>0</v>
      </c>
      <c r="R1629">
        <v>0</v>
      </c>
      <c r="S1629">
        <v>1</v>
      </c>
      <c r="T1629">
        <v>0</v>
      </c>
      <c r="U1629">
        <v>0</v>
      </c>
      <c r="V1629">
        <f>IF(SUM(ifood_data[[#This Row],[AcceptedCmp1]:[AcceptedCmp5]])&gt;0,1,0)</f>
        <v>1</v>
      </c>
      <c r="W1629">
        <v>0</v>
      </c>
      <c r="X1629">
        <v>3</v>
      </c>
      <c r="Y1629">
        <v>11</v>
      </c>
      <c r="Z1629">
        <v>0</v>
      </c>
      <c r="AA1629">
        <v>50</v>
      </c>
      <c r="AB1629">
        <v>2446</v>
      </c>
      <c r="AC1629" s="28">
        <f>ifood_data[[#This Row],[Customer_Days]]/365</f>
        <v>6.7013698630136984</v>
      </c>
      <c r="AD1629">
        <v>0</v>
      </c>
      <c r="AE1629">
        <v>0</v>
      </c>
      <c r="AF1629">
        <v>1</v>
      </c>
      <c r="AG1629">
        <v>0</v>
      </c>
      <c r="AH1629">
        <v>0</v>
      </c>
      <c r="AI1629">
        <v>0</v>
      </c>
      <c r="AJ1629">
        <v>0</v>
      </c>
      <c r="AK1629">
        <v>1</v>
      </c>
      <c r="AL1629">
        <v>0</v>
      </c>
      <c r="AM1629">
        <v>0</v>
      </c>
      <c r="AN1629">
        <v>17</v>
      </c>
      <c r="AO1629">
        <v>6</v>
      </c>
      <c r="AP1629">
        <f>ifood_data[[#This Row],[MntTotal]]-ifood_data[[#This Row],[MntRegularProds]]</f>
        <v>11</v>
      </c>
      <c r="AQ1629">
        <v>1</v>
      </c>
      <c r="AR1629">
        <f>IF(SUM(ifood_data[[#This Row],[Kidhome]:[Teenhome]])&gt;0,1,0)</f>
        <v>1</v>
      </c>
      <c r="AS1629" t="str">
        <f>IF(SUM(ifood_data[[#This Row],[Kidhome]:[Teenhome]])&gt;0,"Has Family","No Family")</f>
        <v>Has Family</v>
      </c>
      <c r="AT1629" t="str">
        <f>IF(ifood_data[[#This Row],[marital_Married]]=1,"Married", (IF(ifood_data[[#This Row],[marital_Single]]=1,"Single",(IF(ifood_data[[#This Row],[marital_Divorced]]=1,"Divorced",(IF(ifood_data[[#This Row],[marital_Together]]=1,"Living Together",(IF(ifood_data[[#This Row],[marital_Widow]]=1,"Widow","Other")))))))))</f>
        <v>Single</v>
      </c>
      <c r="AU1629" t="str">
        <f>IF(ifood_data[[#This Row],[education_Basic]]=1,"High School",(IF(ifood_data[[#This Row],[education_Graduation]]=1,"Undergraduate Degree",(IF(SUM(AM1629,AL1629,AI1629)&gt;0,"Master's Degree or Higher","Other")))))</f>
        <v>Undergraduate Degree</v>
      </c>
      <c r="AV1629" t="str">
        <f>IF(ifood_data[[#All],[Income]]&gt;75000,"75K+",(IF(ifood_data[[#All],[Income]]&gt;50000,"50K-75K",(IF(ifood_data[[#All],[Income]]&gt;35000,"35K-50K","&lt;35K")))))</f>
        <v>&lt;35K</v>
      </c>
      <c r="AW1629" t="str">
        <f>IF(ifood_data[[#All],[Age]]&gt;60,"60+",(IF(ifood_data[[#All],[Age]]&gt;50,"50-60",(IF(ifood_data[[#All],[Age]]&gt;40,"40-50",(IF(ifood_data[[#All],[Age]]&gt;30,"30-40","&lt;30")))))))</f>
        <v>40-50</v>
      </c>
      <c r="AX1629">
        <f t="shared" si="100"/>
        <v>11</v>
      </c>
      <c r="AY1629">
        <f t="shared" si="101"/>
        <v>7</v>
      </c>
      <c r="AZ1629">
        <f t="shared" si="102"/>
        <v>0</v>
      </c>
      <c r="BA1629">
        <f t="shared" si="103"/>
        <v>0</v>
      </c>
      <c r="BB1629">
        <f>SUM(ifood_data[[#This Row],[Recency Score]:[Monetary Score]])</f>
        <v>7</v>
      </c>
      <c r="BC1629">
        <f>(_xlfn.PERCENTRANK.INC(ifood_data[[#All],[RFM]],ifood_data[[#This Row],[RFM]],1))*10</f>
        <v>1</v>
      </c>
      <c r="BD1629" t="str">
        <f>VLOOKUP(ifood_data[[#This Row],[RFM Score]],'RFM Analysis'!$A$3:$B$14,2,FALSE)</f>
        <v>At Risk</v>
      </c>
      <c r="BE1629">
        <f>'Regression Models'!$B$101+'Regression Models'!$B$102*ifood_data[[#This Row],[Income]]+'Regression Models'!$B$103*ifood_data[[#This Row],[Age]]+'Regression Models'!$B$104*ifood_data[[#This Row],[Family]]</f>
        <v>117.78947885276557</v>
      </c>
      <c r="BF1629" t="str">
        <f>IF(ifood_data[[#This Row],[AcceptedCmpOverall]]=1,"Campaign Respondent","Non-respondent")</f>
        <v>Campaign Respondent</v>
      </c>
    </row>
    <row r="1630" spans="1:58" x14ac:dyDescent="0.35">
      <c r="A1630">
        <v>700</v>
      </c>
      <c r="B1630">
        <v>34941</v>
      </c>
      <c r="C1630">
        <v>1</v>
      </c>
      <c r="D1630">
        <v>1</v>
      </c>
      <c r="E1630">
        <v>26</v>
      </c>
      <c r="F1630">
        <v>39</v>
      </c>
      <c r="G1630">
        <v>2</v>
      </c>
      <c r="H1630">
        <v>25</v>
      </c>
      <c r="I1630">
        <v>4</v>
      </c>
      <c r="J1630">
        <v>3</v>
      </c>
      <c r="K1630">
        <v>24</v>
      </c>
      <c r="L1630">
        <v>2</v>
      </c>
      <c r="M1630">
        <v>3</v>
      </c>
      <c r="N1630">
        <v>0</v>
      </c>
      <c r="O1630">
        <v>3</v>
      </c>
      <c r="P1630">
        <v>8</v>
      </c>
      <c r="Q1630">
        <v>0</v>
      </c>
      <c r="R1630">
        <v>0</v>
      </c>
      <c r="S1630">
        <v>0</v>
      </c>
      <c r="T1630">
        <v>0</v>
      </c>
      <c r="U1630">
        <v>0</v>
      </c>
      <c r="V1630">
        <f>IF(SUM(ifood_data[[#This Row],[AcceptedCmp1]:[AcceptedCmp5]])&gt;0,1,0)</f>
        <v>0</v>
      </c>
      <c r="W1630">
        <v>0</v>
      </c>
      <c r="X1630">
        <v>3</v>
      </c>
      <c r="Y1630">
        <v>11</v>
      </c>
      <c r="Z1630">
        <v>0</v>
      </c>
      <c r="AA1630">
        <v>64</v>
      </c>
      <c r="AB1630">
        <v>2639</v>
      </c>
      <c r="AC1630" s="28">
        <f>ifood_data[[#This Row],[Customer_Days]]/365</f>
        <v>7.2301369863013702</v>
      </c>
      <c r="AD1630">
        <v>0</v>
      </c>
      <c r="AE1630">
        <v>0</v>
      </c>
      <c r="AF1630">
        <v>0</v>
      </c>
      <c r="AG1630">
        <v>1</v>
      </c>
      <c r="AH1630">
        <v>0</v>
      </c>
      <c r="AI1630">
        <v>0</v>
      </c>
      <c r="AJ1630">
        <v>0</v>
      </c>
      <c r="AK1630">
        <v>0</v>
      </c>
      <c r="AL1630">
        <v>1</v>
      </c>
      <c r="AM1630">
        <v>0</v>
      </c>
      <c r="AN1630">
        <v>73</v>
      </c>
      <c r="AO1630">
        <v>49</v>
      </c>
      <c r="AP1630">
        <f>ifood_data[[#This Row],[MntTotal]]-ifood_data[[#This Row],[MntRegularProds]]</f>
        <v>24</v>
      </c>
      <c r="AQ1630">
        <v>0</v>
      </c>
      <c r="AR1630">
        <f>IF(SUM(ifood_data[[#This Row],[Kidhome]:[Teenhome]])&gt;0,1,0)</f>
        <v>1</v>
      </c>
      <c r="AS1630" t="str">
        <f>IF(SUM(ifood_data[[#This Row],[Kidhome]:[Teenhome]])&gt;0,"Has Family","No Family")</f>
        <v>Has Family</v>
      </c>
      <c r="AT1630" t="str">
        <f>IF(ifood_data[[#This Row],[marital_Married]]=1,"Married", (IF(ifood_data[[#This Row],[marital_Single]]=1,"Single",(IF(ifood_data[[#This Row],[marital_Divorced]]=1,"Divorced",(IF(ifood_data[[#This Row],[marital_Together]]=1,"Living Together",(IF(ifood_data[[#This Row],[marital_Widow]]=1,"Widow","Other")))))))))</f>
        <v>Living Together</v>
      </c>
      <c r="AU1630" t="str">
        <f>IF(ifood_data[[#This Row],[education_Basic]]=1,"High School",(IF(ifood_data[[#This Row],[education_Graduation]]=1,"Undergraduate Degree",(IF(SUM(AM1630,AL1630,AI1630)&gt;0,"Master's Degree or Higher","Other")))))</f>
        <v>Master's Degree or Higher</v>
      </c>
      <c r="AV1630" t="str">
        <f>IF(ifood_data[[#All],[Income]]&gt;75000,"75K+",(IF(ifood_data[[#All],[Income]]&gt;50000,"50K-75K",(IF(ifood_data[[#All],[Income]]&gt;35000,"35K-50K","&lt;35K")))))</f>
        <v>&lt;35K</v>
      </c>
      <c r="AW1630" t="str">
        <f>IF(ifood_data[[#All],[Age]]&gt;60,"60+",(IF(ifood_data[[#All],[Age]]&gt;50,"50-60",(IF(ifood_data[[#All],[Age]]&gt;40,"40-50",(IF(ifood_data[[#All],[Age]]&gt;30,"30-40","&lt;30")))))))</f>
        <v>60+</v>
      </c>
      <c r="AX1630">
        <f t="shared" si="100"/>
        <v>16</v>
      </c>
      <c r="AY1630">
        <f t="shared" si="101"/>
        <v>8</v>
      </c>
      <c r="AZ1630">
        <f t="shared" si="102"/>
        <v>3</v>
      </c>
      <c r="BA1630">
        <f t="shared" si="103"/>
        <v>3</v>
      </c>
      <c r="BB1630">
        <f>SUM(ifood_data[[#This Row],[Recency Score]:[Monetary Score]])</f>
        <v>14</v>
      </c>
      <c r="BC1630">
        <f>(_xlfn.PERCENTRANK.INC(ifood_data[[#All],[RFM]],ifood_data[[#This Row],[RFM]],1))*10</f>
        <v>4</v>
      </c>
      <c r="BD1630" t="str">
        <f>VLOOKUP(ifood_data[[#This Row],[RFM Score]],'RFM Analysis'!$A$3:$B$14,2,FALSE)</f>
        <v>At Risk</v>
      </c>
      <c r="BE1630">
        <f>'Regression Models'!$B$101+'Regression Models'!$B$102*ifood_data[[#This Row],[Income]]+'Regression Models'!$B$103*ifood_data[[#This Row],[Age]]+'Regression Models'!$B$104*ifood_data[[#This Row],[Family]]</f>
        <v>117.44295931925592</v>
      </c>
      <c r="BF1630" t="str">
        <f>IF(ifood_data[[#This Row],[AcceptedCmpOverall]]=1,"Campaign Respondent","Non-respondent")</f>
        <v>Non-respondent</v>
      </c>
    </row>
    <row r="1631" spans="1:58" x14ac:dyDescent="0.35">
      <c r="A1631">
        <v>1429</v>
      </c>
      <c r="B1631">
        <v>31928</v>
      </c>
      <c r="C1631">
        <v>1</v>
      </c>
      <c r="D1631">
        <v>0</v>
      </c>
      <c r="E1631">
        <v>5</v>
      </c>
      <c r="F1631">
        <v>33</v>
      </c>
      <c r="G1631">
        <v>4</v>
      </c>
      <c r="H1631">
        <v>24</v>
      </c>
      <c r="I1631">
        <v>4</v>
      </c>
      <c r="J1631">
        <v>2</v>
      </c>
      <c r="K1631">
        <v>5</v>
      </c>
      <c r="L1631">
        <v>2</v>
      </c>
      <c r="M1631">
        <v>3</v>
      </c>
      <c r="N1631">
        <v>0</v>
      </c>
      <c r="O1631">
        <v>4</v>
      </c>
      <c r="P1631">
        <v>7</v>
      </c>
      <c r="Q1631">
        <v>0</v>
      </c>
      <c r="R1631">
        <v>0</v>
      </c>
      <c r="S1631">
        <v>0</v>
      </c>
      <c r="T1631">
        <v>0</v>
      </c>
      <c r="U1631">
        <v>0</v>
      </c>
      <c r="V1631">
        <f>IF(SUM(ifood_data[[#This Row],[AcceptedCmp1]:[AcceptedCmp5]])&gt;0,1,0)</f>
        <v>0</v>
      </c>
      <c r="W1631">
        <v>0</v>
      </c>
      <c r="X1631">
        <v>3</v>
      </c>
      <c r="Y1631">
        <v>11</v>
      </c>
      <c r="Z1631">
        <v>0</v>
      </c>
      <c r="AA1631">
        <v>31</v>
      </c>
      <c r="AB1631">
        <v>2252</v>
      </c>
      <c r="AC1631" s="28">
        <f>ifood_data[[#This Row],[Customer_Days]]/365</f>
        <v>6.1698630136986301</v>
      </c>
      <c r="AD1631">
        <v>0</v>
      </c>
      <c r="AE1631">
        <v>0</v>
      </c>
      <c r="AF1631">
        <v>0</v>
      </c>
      <c r="AG1631">
        <v>1</v>
      </c>
      <c r="AH1631">
        <v>0</v>
      </c>
      <c r="AI1631">
        <v>0</v>
      </c>
      <c r="AJ1631">
        <v>0</v>
      </c>
      <c r="AK1631">
        <v>1</v>
      </c>
      <c r="AL1631">
        <v>0</v>
      </c>
      <c r="AM1631">
        <v>0</v>
      </c>
      <c r="AN1631">
        <v>67</v>
      </c>
      <c r="AO1631">
        <v>62</v>
      </c>
      <c r="AP1631">
        <f>ifood_data[[#This Row],[MntTotal]]-ifood_data[[#This Row],[MntRegularProds]]</f>
        <v>5</v>
      </c>
      <c r="AQ1631">
        <v>0</v>
      </c>
      <c r="AR1631">
        <f>IF(SUM(ifood_data[[#This Row],[Kidhome]:[Teenhome]])&gt;0,1,0)</f>
        <v>1</v>
      </c>
      <c r="AS1631" t="str">
        <f>IF(SUM(ifood_data[[#This Row],[Kidhome]:[Teenhome]])&gt;0,"Has Family","No Family")</f>
        <v>Has Family</v>
      </c>
      <c r="AT1631" t="str">
        <f>IF(ifood_data[[#This Row],[marital_Married]]=1,"Married", (IF(ifood_data[[#This Row],[marital_Single]]=1,"Single",(IF(ifood_data[[#This Row],[marital_Divorced]]=1,"Divorced",(IF(ifood_data[[#This Row],[marital_Together]]=1,"Living Together",(IF(ifood_data[[#This Row],[marital_Widow]]=1,"Widow","Other")))))))))</f>
        <v>Living Together</v>
      </c>
      <c r="AU1631" t="str">
        <f>IF(ifood_data[[#This Row],[education_Basic]]=1,"High School",(IF(ifood_data[[#This Row],[education_Graduation]]=1,"Undergraduate Degree",(IF(SUM(AM1631,AL1631,AI1631)&gt;0,"Master's Degree or Higher","Other")))))</f>
        <v>Undergraduate Degree</v>
      </c>
      <c r="AV1631" t="str">
        <f>IF(ifood_data[[#All],[Income]]&gt;75000,"75K+",(IF(ifood_data[[#All],[Income]]&gt;50000,"50K-75K",(IF(ifood_data[[#All],[Income]]&gt;35000,"35K-50K","&lt;35K")))))</f>
        <v>&lt;35K</v>
      </c>
      <c r="AW1631" t="str">
        <f>IF(ifood_data[[#All],[Age]]&gt;60,"60+",(IF(ifood_data[[#All],[Age]]&gt;50,"50-60",(IF(ifood_data[[#All],[Age]]&gt;40,"40-50",(IF(ifood_data[[#All],[Age]]&gt;30,"30-40","&lt;30")))))))</f>
        <v>30-40</v>
      </c>
      <c r="AX1631">
        <f t="shared" si="100"/>
        <v>16</v>
      </c>
      <c r="AY1631">
        <f t="shared" si="101"/>
        <v>10</v>
      </c>
      <c r="AZ1631">
        <f t="shared" si="102"/>
        <v>3</v>
      </c>
      <c r="BA1631">
        <f t="shared" si="103"/>
        <v>2</v>
      </c>
      <c r="BB1631">
        <f>SUM(ifood_data[[#This Row],[Recency Score]:[Monetary Score]])</f>
        <v>15</v>
      </c>
      <c r="BC1631">
        <f>(_xlfn.PERCENTRANK.INC(ifood_data[[#All],[RFM]],ifood_data[[#This Row],[RFM]],1))*10</f>
        <v>4</v>
      </c>
      <c r="BD1631" t="str">
        <f>VLOOKUP(ifood_data[[#This Row],[RFM Score]],'RFM Analysis'!$A$3:$B$14,2,FALSE)</f>
        <v>At Risk</v>
      </c>
      <c r="BE1631">
        <f>'Regression Models'!$B$101+'Regression Models'!$B$102*ifood_data[[#This Row],[Income]]+'Regression Models'!$B$103*ifood_data[[#This Row],[Age]]+'Regression Models'!$B$104*ifood_data[[#This Row],[Family]]</f>
        <v>116.61409050519973</v>
      </c>
      <c r="BF1631" t="str">
        <f>IF(ifood_data[[#This Row],[AcceptedCmpOverall]]=1,"Campaign Respondent","Non-respondent")</f>
        <v>Non-respondent</v>
      </c>
    </row>
    <row r="1632" spans="1:58" x14ac:dyDescent="0.35">
      <c r="A1632">
        <v>439</v>
      </c>
      <c r="B1632">
        <v>33183</v>
      </c>
      <c r="C1632">
        <v>1</v>
      </c>
      <c r="D1632">
        <v>0</v>
      </c>
      <c r="E1632">
        <v>46</v>
      </c>
      <c r="F1632">
        <v>7</v>
      </c>
      <c r="G1632">
        <v>5</v>
      </c>
      <c r="H1632">
        <v>39</v>
      </c>
      <c r="I1632">
        <v>17</v>
      </c>
      <c r="J1632">
        <v>15</v>
      </c>
      <c r="K1632">
        <v>37</v>
      </c>
      <c r="L1632">
        <v>2</v>
      </c>
      <c r="M1632">
        <v>4</v>
      </c>
      <c r="N1632">
        <v>0</v>
      </c>
      <c r="O1632">
        <v>3</v>
      </c>
      <c r="P1632">
        <v>7</v>
      </c>
      <c r="Q1632">
        <v>0</v>
      </c>
      <c r="R1632">
        <v>0</v>
      </c>
      <c r="S1632">
        <v>0</v>
      </c>
      <c r="T1632">
        <v>0</v>
      </c>
      <c r="U1632">
        <v>0</v>
      </c>
      <c r="V1632">
        <f>IF(SUM(ifood_data[[#This Row],[AcceptedCmp1]:[AcceptedCmp5]])&gt;0,1,0)</f>
        <v>0</v>
      </c>
      <c r="W1632">
        <v>0</v>
      </c>
      <c r="X1632">
        <v>3</v>
      </c>
      <c r="Y1632">
        <v>11</v>
      </c>
      <c r="Z1632">
        <v>0</v>
      </c>
      <c r="AA1632">
        <v>45</v>
      </c>
      <c r="AB1632">
        <v>2284</v>
      </c>
      <c r="AC1632" s="28">
        <f>ifood_data[[#This Row],[Customer_Days]]/365</f>
        <v>6.2575342465753421</v>
      </c>
      <c r="AD1632">
        <v>0</v>
      </c>
      <c r="AE1632">
        <v>1</v>
      </c>
      <c r="AF1632">
        <v>0</v>
      </c>
      <c r="AG1632">
        <v>0</v>
      </c>
      <c r="AH1632">
        <v>0</v>
      </c>
      <c r="AI1632">
        <v>0</v>
      </c>
      <c r="AJ1632">
        <v>0</v>
      </c>
      <c r="AK1632">
        <v>1</v>
      </c>
      <c r="AL1632">
        <v>0</v>
      </c>
      <c r="AM1632">
        <v>0</v>
      </c>
      <c r="AN1632">
        <v>83</v>
      </c>
      <c r="AO1632">
        <v>46</v>
      </c>
      <c r="AP1632">
        <f>ifood_data[[#This Row],[MntTotal]]-ifood_data[[#This Row],[MntRegularProds]]</f>
        <v>37</v>
      </c>
      <c r="AQ1632">
        <v>0</v>
      </c>
      <c r="AR1632">
        <f>IF(SUM(ifood_data[[#This Row],[Kidhome]:[Teenhome]])&gt;0,1,0)</f>
        <v>1</v>
      </c>
      <c r="AS1632" t="str">
        <f>IF(SUM(ifood_data[[#This Row],[Kidhome]:[Teenhome]])&gt;0,"Has Family","No Family")</f>
        <v>Has Family</v>
      </c>
      <c r="AT1632" t="str">
        <f>IF(ifood_data[[#This Row],[marital_Married]]=1,"Married", (IF(ifood_data[[#This Row],[marital_Single]]=1,"Single",(IF(ifood_data[[#This Row],[marital_Divorced]]=1,"Divorced",(IF(ifood_data[[#This Row],[marital_Together]]=1,"Living Together",(IF(ifood_data[[#This Row],[marital_Widow]]=1,"Widow","Other")))))))))</f>
        <v>Married</v>
      </c>
      <c r="AU1632" t="str">
        <f>IF(ifood_data[[#This Row],[education_Basic]]=1,"High School",(IF(ifood_data[[#This Row],[education_Graduation]]=1,"Undergraduate Degree",(IF(SUM(AM1632,AL1632,AI1632)&gt;0,"Master's Degree or Higher","Other")))))</f>
        <v>Undergraduate Degree</v>
      </c>
      <c r="AV1632" t="str">
        <f>IF(ifood_data[[#All],[Income]]&gt;75000,"75K+",(IF(ifood_data[[#All],[Income]]&gt;50000,"50K-75K",(IF(ifood_data[[#All],[Income]]&gt;35000,"35K-50K","&lt;35K")))))</f>
        <v>&lt;35K</v>
      </c>
      <c r="AW1632" t="str">
        <f>IF(ifood_data[[#All],[Age]]&gt;60,"60+",(IF(ifood_data[[#All],[Age]]&gt;50,"50-60",(IF(ifood_data[[#All],[Age]]&gt;40,"40-50",(IF(ifood_data[[#All],[Age]]&gt;30,"30-40","&lt;30")))))))</f>
        <v>40-50</v>
      </c>
      <c r="AX1632">
        <f t="shared" si="100"/>
        <v>16</v>
      </c>
      <c r="AY1632">
        <f t="shared" si="101"/>
        <v>6</v>
      </c>
      <c r="AZ1632">
        <f t="shared" si="102"/>
        <v>3</v>
      </c>
      <c r="BA1632">
        <f t="shared" si="103"/>
        <v>3</v>
      </c>
      <c r="BB1632">
        <f>SUM(ifood_data[[#This Row],[Recency Score]:[Monetary Score]])</f>
        <v>12</v>
      </c>
      <c r="BC1632">
        <f>(_xlfn.PERCENTRANK.INC(ifood_data[[#All],[RFM]],ifood_data[[#This Row],[RFM]],1))*10</f>
        <v>3</v>
      </c>
      <c r="BD1632" t="str">
        <f>VLOOKUP(ifood_data[[#This Row],[RFM Score]],'RFM Analysis'!$A$3:$B$14,2,FALSE)</f>
        <v>At Risk</v>
      </c>
      <c r="BE1632">
        <f>'Regression Models'!$B$101+'Regression Models'!$B$102*ifood_data[[#This Row],[Income]]+'Regression Models'!$B$103*ifood_data[[#This Row],[Age]]+'Regression Models'!$B$104*ifood_data[[#This Row],[Family]]</f>
        <v>116.49184742127295</v>
      </c>
      <c r="BF1632" t="str">
        <f>IF(ifood_data[[#This Row],[AcceptedCmpOverall]]=1,"Campaign Respondent","Non-respondent")</f>
        <v>Non-respondent</v>
      </c>
    </row>
    <row r="1633" spans="1:58" x14ac:dyDescent="0.35">
      <c r="A1633">
        <v>1522</v>
      </c>
      <c r="B1633">
        <v>34213</v>
      </c>
      <c r="C1633">
        <v>1</v>
      </c>
      <c r="D1633">
        <v>1</v>
      </c>
      <c r="E1633">
        <v>2</v>
      </c>
      <c r="F1633">
        <v>50</v>
      </c>
      <c r="G1633">
        <v>4</v>
      </c>
      <c r="H1633">
        <v>28</v>
      </c>
      <c r="I1633">
        <v>6</v>
      </c>
      <c r="J1633">
        <v>3</v>
      </c>
      <c r="K1633">
        <v>26</v>
      </c>
      <c r="L1633">
        <v>3</v>
      </c>
      <c r="M1633">
        <v>3</v>
      </c>
      <c r="N1633">
        <v>1</v>
      </c>
      <c r="O1633">
        <v>2</v>
      </c>
      <c r="P1633">
        <v>9</v>
      </c>
      <c r="Q1633">
        <v>0</v>
      </c>
      <c r="R1633">
        <v>0</v>
      </c>
      <c r="S1633">
        <v>0</v>
      </c>
      <c r="T1633">
        <v>0</v>
      </c>
      <c r="U1633">
        <v>0</v>
      </c>
      <c r="V1633">
        <f>IF(SUM(ifood_data[[#This Row],[AcceptedCmp1]:[AcceptedCmp5]])&gt;0,1,0)</f>
        <v>0</v>
      </c>
      <c r="W1633">
        <v>0</v>
      </c>
      <c r="X1633">
        <v>3</v>
      </c>
      <c r="Y1633">
        <v>11</v>
      </c>
      <c r="Z1633">
        <v>1</v>
      </c>
      <c r="AA1633">
        <v>57</v>
      </c>
      <c r="AB1633">
        <v>2819</v>
      </c>
      <c r="AC1633" s="28">
        <f>ifood_data[[#This Row],[Customer_Days]]/365</f>
        <v>7.7232876712328764</v>
      </c>
      <c r="AD1633">
        <v>0</v>
      </c>
      <c r="AE1633">
        <v>0</v>
      </c>
      <c r="AF1633">
        <v>0</v>
      </c>
      <c r="AG1633">
        <v>0</v>
      </c>
      <c r="AH1633">
        <v>1</v>
      </c>
      <c r="AI1633">
        <v>0</v>
      </c>
      <c r="AJ1633">
        <v>0</v>
      </c>
      <c r="AK1633">
        <v>1</v>
      </c>
      <c r="AL1633">
        <v>0</v>
      </c>
      <c r="AM1633">
        <v>0</v>
      </c>
      <c r="AN1633">
        <v>91</v>
      </c>
      <c r="AO1633">
        <v>65</v>
      </c>
      <c r="AP1633">
        <f>ifood_data[[#This Row],[MntTotal]]-ifood_data[[#This Row],[MntRegularProds]]</f>
        <v>26</v>
      </c>
      <c r="AQ1633">
        <v>0</v>
      </c>
      <c r="AR1633">
        <f>IF(SUM(ifood_data[[#This Row],[Kidhome]:[Teenhome]])&gt;0,1,0)</f>
        <v>1</v>
      </c>
      <c r="AS1633" t="str">
        <f>IF(SUM(ifood_data[[#This Row],[Kidhome]:[Teenhome]])&gt;0,"Has Family","No Family")</f>
        <v>Has Family</v>
      </c>
      <c r="AT1633" t="str">
        <f>IF(ifood_data[[#This Row],[marital_Married]]=1,"Married", (IF(ifood_data[[#This Row],[marital_Single]]=1,"Single",(IF(ifood_data[[#This Row],[marital_Divorced]]=1,"Divorced",(IF(ifood_data[[#This Row],[marital_Together]]=1,"Living Together",(IF(ifood_data[[#This Row],[marital_Widow]]=1,"Widow","Other")))))))))</f>
        <v>Widow</v>
      </c>
      <c r="AU1633" t="str">
        <f>IF(ifood_data[[#This Row],[education_Basic]]=1,"High School",(IF(ifood_data[[#This Row],[education_Graduation]]=1,"Undergraduate Degree",(IF(SUM(AM1633,AL1633,AI1633)&gt;0,"Master's Degree or Higher","Other")))))</f>
        <v>Undergraduate Degree</v>
      </c>
      <c r="AV1633" t="str">
        <f>IF(ifood_data[[#All],[Income]]&gt;75000,"75K+",(IF(ifood_data[[#All],[Income]]&gt;50000,"50K-75K",(IF(ifood_data[[#All],[Income]]&gt;35000,"35K-50K","&lt;35K")))))</f>
        <v>&lt;35K</v>
      </c>
      <c r="AW1633" t="str">
        <f>IF(ifood_data[[#All],[Age]]&gt;60,"60+",(IF(ifood_data[[#All],[Age]]&gt;50,"50-60",(IF(ifood_data[[#All],[Age]]&gt;40,"40-50",(IF(ifood_data[[#All],[Age]]&gt;30,"30-40","&lt;30")))))))</f>
        <v>50-60</v>
      </c>
      <c r="AX1633">
        <f t="shared" si="100"/>
        <v>18</v>
      </c>
      <c r="AY1633">
        <f t="shared" si="101"/>
        <v>10</v>
      </c>
      <c r="AZ1633">
        <f t="shared" si="102"/>
        <v>4</v>
      </c>
      <c r="BA1633">
        <f t="shared" si="103"/>
        <v>3</v>
      </c>
      <c r="BB1633">
        <f>SUM(ifood_data[[#This Row],[Recency Score]:[Monetary Score]])</f>
        <v>17</v>
      </c>
      <c r="BC1633">
        <f>(_xlfn.PERCENTRANK.INC(ifood_data[[#All],[RFM]],ifood_data[[#This Row],[RFM]],1))*10</f>
        <v>6</v>
      </c>
      <c r="BD1633" t="str">
        <f>VLOOKUP(ifood_data[[#This Row],[RFM Score]],'RFM Analysis'!$A$3:$B$14,2,FALSE)</f>
        <v>Promising</v>
      </c>
      <c r="BE1633">
        <f>'Regression Models'!$B$101+'Regression Models'!$B$102*ifood_data[[#This Row],[Income]]+'Regression Models'!$B$103*ifood_data[[#This Row],[Age]]+'Regression Models'!$B$104*ifood_data[[#This Row],[Family]]</f>
        <v>115.45500966275745</v>
      </c>
      <c r="BF1633" t="str">
        <f>IF(ifood_data[[#This Row],[AcceptedCmpOverall]]=1,"Campaign Respondent","Non-respondent")</f>
        <v>Non-respondent</v>
      </c>
    </row>
    <row r="1634" spans="1:58" x14ac:dyDescent="0.35">
      <c r="A1634">
        <v>1390</v>
      </c>
      <c r="B1634">
        <v>32952</v>
      </c>
      <c r="C1634">
        <v>1</v>
      </c>
      <c r="D1634">
        <v>0</v>
      </c>
      <c r="E1634">
        <v>36</v>
      </c>
      <c r="F1634">
        <v>38</v>
      </c>
      <c r="G1634">
        <v>0</v>
      </c>
      <c r="H1634">
        <v>12</v>
      </c>
      <c r="I1634">
        <v>3</v>
      </c>
      <c r="J1634">
        <v>1</v>
      </c>
      <c r="K1634">
        <v>1</v>
      </c>
      <c r="L1634">
        <v>1</v>
      </c>
      <c r="M1634">
        <v>2</v>
      </c>
      <c r="N1634">
        <v>0</v>
      </c>
      <c r="O1634">
        <v>3</v>
      </c>
      <c r="P1634">
        <v>7</v>
      </c>
      <c r="Q1634">
        <v>0</v>
      </c>
      <c r="R1634">
        <v>0</v>
      </c>
      <c r="S1634">
        <v>0</v>
      </c>
      <c r="T1634">
        <v>0</v>
      </c>
      <c r="U1634">
        <v>0</v>
      </c>
      <c r="V1634">
        <f>IF(SUM(ifood_data[[#This Row],[AcceptedCmp1]:[AcceptedCmp5]])&gt;0,1,0)</f>
        <v>0</v>
      </c>
      <c r="W1634">
        <v>0</v>
      </c>
      <c r="X1634">
        <v>3</v>
      </c>
      <c r="Y1634">
        <v>11</v>
      </c>
      <c r="Z1634">
        <v>0</v>
      </c>
      <c r="AA1634">
        <v>43</v>
      </c>
      <c r="AB1634">
        <v>2369</v>
      </c>
      <c r="AC1634" s="28">
        <f>ifood_data[[#This Row],[Customer_Days]]/365</f>
        <v>6.4904109589041097</v>
      </c>
      <c r="AD1634">
        <v>1</v>
      </c>
      <c r="AE1634">
        <v>0</v>
      </c>
      <c r="AF1634">
        <v>0</v>
      </c>
      <c r="AG1634">
        <v>0</v>
      </c>
      <c r="AH1634">
        <v>0</v>
      </c>
      <c r="AI1634">
        <v>0</v>
      </c>
      <c r="AJ1634">
        <v>0</v>
      </c>
      <c r="AK1634">
        <v>1</v>
      </c>
      <c r="AL1634">
        <v>0</v>
      </c>
      <c r="AM1634">
        <v>0</v>
      </c>
      <c r="AN1634">
        <v>54</v>
      </c>
      <c r="AO1634">
        <v>53</v>
      </c>
      <c r="AP1634">
        <f>ifood_data[[#This Row],[MntTotal]]-ifood_data[[#This Row],[MntRegularProds]]</f>
        <v>1</v>
      </c>
      <c r="AQ1634">
        <v>0</v>
      </c>
      <c r="AR1634">
        <f>IF(SUM(ifood_data[[#This Row],[Kidhome]:[Teenhome]])&gt;0,1,0)</f>
        <v>1</v>
      </c>
      <c r="AS1634" t="str">
        <f>IF(SUM(ifood_data[[#This Row],[Kidhome]:[Teenhome]])&gt;0,"Has Family","No Family")</f>
        <v>Has Family</v>
      </c>
      <c r="AT1634" t="str">
        <f>IF(ifood_data[[#This Row],[marital_Married]]=1,"Married", (IF(ifood_data[[#This Row],[marital_Single]]=1,"Single",(IF(ifood_data[[#This Row],[marital_Divorced]]=1,"Divorced",(IF(ifood_data[[#This Row],[marital_Together]]=1,"Living Together",(IF(ifood_data[[#This Row],[marital_Widow]]=1,"Widow","Other")))))))))</f>
        <v>Divorced</v>
      </c>
      <c r="AU1634" t="str">
        <f>IF(ifood_data[[#This Row],[education_Basic]]=1,"High School",(IF(ifood_data[[#This Row],[education_Graduation]]=1,"Undergraduate Degree",(IF(SUM(AM1634,AL1634,AI1634)&gt;0,"Master's Degree or Higher","Other")))))</f>
        <v>Undergraduate Degree</v>
      </c>
      <c r="AV1634" t="str">
        <f>IF(ifood_data[[#All],[Income]]&gt;75000,"75K+",(IF(ifood_data[[#All],[Income]]&gt;50000,"50K-75K",(IF(ifood_data[[#All],[Income]]&gt;35000,"35K-50K","&lt;35K")))))</f>
        <v>&lt;35K</v>
      </c>
      <c r="AW1634" t="str">
        <f>IF(ifood_data[[#All],[Age]]&gt;60,"60+",(IF(ifood_data[[#All],[Age]]&gt;50,"50-60",(IF(ifood_data[[#All],[Age]]&gt;40,"40-50",(IF(ifood_data[[#All],[Age]]&gt;30,"30-40","&lt;30")))))))</f>
        <v>40-50</v>
      </c>
      <c r="AX1634">
        <f t="shared" si="100"/>
        <v>13</v>
      </c>
      <c r="AY1634">
        <f t="shared" si="101"/>
        <v>7</v>
      </c>
      <c r="AZ1634">
        <f t="shared" si="102"/>
        <v>1</v>
      </c>
      <c r="BA1634">
        <f t="shared" si="103"/>
        <v>2</v>
      </c>
      <c r="BB1634">
        <f>SUM(ifood_data[[#This Row],[Recency Score]:[Monetary Score]])</f>
        <v>10</v>
      </c>
      <c r="BC1634">
        <f>(_xlfn.PERCENTRANK.INC(ifood_data[[#All],[RFM]],ifood_data[[#This Row],[RFM]],1))*10</f>
        <v>2</v>
      </c>
      <c r="BD1634" t="str">
        <f>VLOOKUP(ifood_data[[#This Row],[RFM Score]],'RFM Analysis'!$A$3:$B$14,2,FALSE)</f>
        <v>At Risk</v>
      </c>
      <c r="BE1634">
        <f>'Regression Models'!$B$101+'Regression Models'!$B$102*ifood_data[[#This Row],[Income]]+'Regression Models'!$B$103*ifood_data[[#This Row],[Age]]+'Regression Models'!$B$104*ifood_data[[#This Row],[Family]]</f>
        <v>115.45492013782086</v>
      </c>
      <c r="BF1634" t="str">
        <f>IF(ifood_data[[#This Row],[AcceptedCmpOverall]]=1,"Campaign Respondent","Non-respondent")</f>
        <v>Non-respondent</v>
      </c>
    </row>
    <row r="1635" spans="1:58" x14ac:dyDescent="0.35">
      <c r="A1635">
        <v>1847</v>
      </c>
      <c r="B1635">
        <v>32765</v>
      </c>
      <c r="C1635">
        <v>1</v>
      </c>
      <c r="D1635">
        <v>0</v>
      </c>
      <c r="E1635">
        <v>49</v>
      </c>
      <c r="F1635">
        <v>13</v>
      </c>
      <c r="G1635">
        <v>3</v>
      </c>
      <c r="H1635">
        <v>17</v>
      </c>
      <c r="I1635">
        <v>7</v>
      </c>
      <c r="J1635">
        <v>3</v>
      </c>
      <c r="K1635">
        <v>3</v>
      </c>
      <c r="L1635">
        <v>2</v>
      </c>
      <c r="M1635">
        <v>2</v>
      </c>
      <c r="N1635">
        <v>0</v>
      </c>
      <c r="O1635">
        <v>4</v>
      </c>
      <c r="P1635">
        <v>5</v>
      </c>
      <c r="Q1635">
        <v>0</v>
      </c>
      <c r="R1635">
        <v>0</v>
      </c>
      <c r="S1635">
        <v>0</v>
      </c>
      <c r="T1635">
        <v>0</v>
      </c>
      <c r="U1635">
        <v>0</v>
      </c>
      <c r="V1635">
        <f>IF(SUM(ifood_data[[#This Row],[AcceptedCmp1]:[AcceptedCmp5]])&gt;0,1,0)</f>
        <v>0</v>
      </c>
      <c r="W1635">
        <v>0</v>
      </c>
      <c r="X1635">
        <v>3</v>
      </c>
      <c r="Y1635">
        <v>11</v>
      </c>
      <c r="Z1635">
        <v>0</v>
      </c>
      <c r="AA1635">
        <v>41</v>
      </c>
      <c r="AB1635">
        <v>2285</v>
      </c>
      <c r="AC1635" s="28">
        <f>ifood_data[[#This Row],[Customer_Days]]/365</f>
        <v>6.2602739726027394</v>
      </c>
      <c r="AD1635">
        <v>0</v>
      </c>
      <c r="AE1635">
        <v>1</v>
      </c>
      <c r="AF1635">
        <v>0</v>
      </c>
      <c r="AG1635">
        <v>0</v>
      </c>
      <c r="AH1635">
        <v>0</v>
      </c>
      <c r="AI1635">
        <v>0</v>
      </c>
      <c r="AJ1635">
        <v>0</v>
      </c>
      <c r="AK1635">
        <v>0</v>
      </c>
      <c r="AL1635">
        <v>1</v>
      </c>
      <c r="AM1635">
        <v>0</v>
      </c>
      <c r="AN1635">
        <v>43</v>
      </c>
      <c r="AO1635">
        <v>40</v>
      </c>
      <c r="AP1635">
        <f>ifood_data[[#This Row],[MntTotal]]-ifood_data[[#This Row],[MntRegularProds]]</f>
        <v>3</v>
      </c>
      <c r="AQ1635">
        <v>0</v>
      </c>
      <c r="AR1635">
        <f>IF(SUM(ifood_data[[#This Row],[Kidhome]:[Teenhome]])&gt;0,1,0)</f>
        <v>1</v>
      </c>
      <c r="AS1635" t="str">
        <f>IF(SUM(ifood_data[[#This Row],[Kidhome]:[Teenhome]])&gt;0,"Has Family","No Family")</f>
        <v>Has Family</v>
      </c>
      <c r="AT1635" t="str">
        <f>IF(ifood_data[[#This Row],[marital_Married]]=1,"Married", (IF(ifood_data[[#This Row],[marital_Single]]=1,"Single",(IF(ifood_data[[#This Row],[marital_Divorced]]=1,"Divorced",(IF(ifood_data[[#This Row],[marital_Together]]=1,"Living Together",(IF(ifood_data[[#This Row],[marital_Widow]]=1,"Widow","Other")))))))))</f>
        <v>Married</v>
      </c>
      <c r="AU1635" t="str">
        <f>IF(ifood_data[[#This Row],[education_Basic]]=1,"High School",(IF(ifood_data[[#This Row],[education_Graduation]]=1,"Undergraduate Degree",(IF(SUM(AM1635,AL1635,AI1635)&gt;0,"Master's Degree or Higher","Other")))))</f>
        <v>Master's Degree or Higher</v>
      </c>
      <c r="AV1635" t="str">
        <f>IF(ifood_data[[#All],[Income]]&gt;75000,"75K+",(IF(ifood_data[[#All],[Income]]&gt;50000,"50K-75K",(IF(ifood_data[[#All],[Income]]&gt;35000,"35K-50K","&lt;35K")))))</f>
        <v>&lt;35K</v>
      </c>
      <c r="AW1635" t="str">
        <f>IF(ifood_data[[#All],[Age]]&gt;60,"60+",(IF(ifood_data[[#All],[Age]]&gt;50,"50-60",(IF(ifood_data[[#All],[Age]]&gt;40,"40-50",(IF(ifood_data[[#All],[Age]]&gt;30,"30-40","&lt;30")))))))</f>
        <v>40-50</v>
      </c>
      <c r="AX1635">
        <f t="shared" si="100"/>
        <v>13</v>
      </c>
      <c r="AY1635">
        <f t="shared" si="101"/>
        <v>6</v>
      </c>
      <c r="AZ1635">
        <f t="shared" si="102"/>
        <v>1</v>
      </c>
      <c r="BA1635">
        <f t="shared" si="103"/>
        <v>1</v>
      </c>
      <c r="BB1635">
        <f>SUM(ifood_data[[#This Row],[Recency Score]:[Monetary Score]])</f>
        <v>8</v>
      </c>
      <c r="BC1635">
        <f>(_xlfn.PERCENTRANK.INC(ifood_data[[#All],[RFM]],ifood_data[[#This Row],[RFM]],1))*10</f>
        <v>1</v>
      </c>
      <c r="BD1635" t="str">
        <f>VLOOKUP(ifood_data[[#This Row],[RFM Score]],'RFM Analysis'!$A$3:$B$14,2,FALSE)</f>
        <v>At Risk</v>
      </c>
      <c r="BE1635">
        <f>'Regression Models'!$B$101+'Regression Models'!$B$102*ifood_data[[#This Row],[Income]]+'Regression Models'!$B$103*ifood_data[[#This Row],[Age]]+'Regression Models'!$B$104*ifood_data[[#This Row],[Family]]</f>
        <v>115.31509865270027</v>
      </c>
      <c r="BF1635" t="str">
        <f>IF(ifood_data[[#This Row],[AcceptedCmpOverall]]=1,"Campaign Respondent","Non-respondent")</f>
        <v>Non-respondent</v>
      </c>
    </row>
    <row r="1636" spans="1:58" x14ac:dyDescent="0.35">
      <c r="A1636">
        <v>92</v>
      </c>
      <c r="B1636">
        <v>34554</v>
      </c>
      <c r="C1636">
        <v>0</v>
      </c>
      <c r="D1636">
        <v>1</v>
      </c>
      <c r="E1636">
        <v>43</v>
      </c>
      <c r="F1636">
        <v>41</v>
      </c>
      <c r="G1636">
        <v>1</v>
      </c>
      <c r="H1636">
        <v>6</v>
      </c>
      <c r="I1636">
        <v>2</v>
      </c>
      <c r="J1636">
        <v>0</v>
      </c>
      <c r="K1636">
        <v>5</v>
      </c>
      <c r="L1636">
        <v>2</v>
      </c>
      <c r="M1636">
        <v>2</v>
      </c>
      <c r="N1636">
        <v>0</v>
      </c>
      <c r="O1636">
        <v>3</v>
      </c>
      <c r="P1636">
        <v>6</v>
      </c>
      <c r="Q1636">
        <v>0</v>
      </c>
      <c r="R1636">
        <v>0</v>
      </c>
      <c r="S1636">
        <v>0</v>
      </c>
      <c r="T1636">
        <v>0</v>
      </c>
      <c r="U1636">
        <v>0</v>
      </c>
      <c r="V1636">
        <f>IF(SUM(ifood_data[[#This Row],[AcceptedCmp1]:[AcceptedCmp5]])&gt;0,1,0)</f>
        <v>0</v>
      </c>
      <c r="W1636">
        <v>0</v>
      </c>
      <c r="X1636">
        <v>3</v>
      </c>
      <c r="Y1636">
        <v>11</v>
      </c>
      <c r="Z1636">
        <v>0</v>
      </c>
      <c r="AA1636">
        <v>61</v>
      </c>
      <c r="AB1636">
        <v>2250</v>
      </c>
      <c r="AC1636" s="28">
        <f>ifood_data[[#This Row],[Customer_Days]]/365</f>
        <v>6.1643835616438354</v>
      </c>
      <c r="AD1636">
        <v>0</v>
      </c>
      <c r="AE1636">
        <v>0</v>
      </c>
      <c r="AF1636">
        <v>1</v>
      </c>
      <c r="AG1636">
        <v>0</v>
      </c>
      <c r="AH1636">
        <v>0</v>
      </c>
      <c r="AI1636">
        <v>0</v>
      </c>
      <c r="AJ1636">
        <v>0</v>
      </c>
      <c r="AK1636">
        <v>0</v>
      </c>
      <c r="AL1636">
        <v>0</v>
      </c>
      <c r="AM1636">
        <v>1</v>
      </c>
      <c r="AN1636">
        <v>50</v>
      </c>
      <c r="AO1636">
        <v>45</v>
      </c>
      <c r="AP1636">
        <f>ifood_data[[#This Row],[MntTotal]]-ifood_data[[#This Row],[MntRegularProds]]</f>
        <v>5</v>
      </c>
      <c r="AQ1636">
        <v>0</v>
      </c>
      <c r="AR1636">
        <f>IF(SUM(ifood_data[[#This Row],[Kidhome]:[Teenhome]])&gt;0,1,0)</f>
        <v>1</v>
      </c>
      <c r="AS1636" t="str">
        <f>IF(SUM(ifood_data[[#This Row],[Kidhome]:[Teenhome]])&gt;0,"Has Family","No Family")</f>
        <v>Has Family</v>
      </c>
      <c r="AT1636" t="str">
        <f>IF(ifood_data[[#This Row],[marital_Married]]=1,"Married", (IF(ifood_data[[#This Row],[marital_Single]]=1,"Single",(IF(ifood_data[[#This Row],[marital_Divorced]]=1,"Divorced",(IF(ifood_data[[#This Row],[marital_Together]]=1,"Living Together",(IF(ifood_data[[#This Row],[marital_Widow]]=1,"Widow","Other")))))))))</f>
        <v>Single</v>
      </c>
      <c r="AU1636" t="str">
        <f>IF(ifood_data[[#This Row],[education_Basic]]=1,"High School",(IF(ifood_data[[#This Row],[education_Graduation]]=1,"Undergraduate Degree",(IF(SUM(AM1636,AL1636,AI1636)&gt;0,"Master's Degree or Higher","Other")))))</f>
        <v>Master's Degree or Higher</v>
      </c>
      <c r="AV1636" t="str">
        <f>IF(ifood_data[[#All],[Income]]&gt;75000,"75K+",(IF(ifood_data[[#All],[Income]]&gt;50000,"50K-75K",(IF(ifood_data[[#All],[Income]]&gt;35000,"35K-50K","&lt;35K")))))</f>
        <v>&lt;35K</v>
      </c>
      <c r="AW1636" t="str">
        <f>IF(ifood_data[[#All],[Age]]&gt;60,"60+",(IF(ifood_data[[#All],[Age]]&gt;50,"50-60",(IF(ifood_data[[#All],[Age]]&gt;40,"40-50",(IF(ifood_data[[#All],[Age]]&gt;30,"30-40","&lt;30")))))))</f>
        <v>60+</v>
      </c>
      <c r="AX1636">
        <f t="shared" si="100"/>
        <v>13</v>
      </c>
      <c r="AY1636">
        <f t="shared" si="101"/>
        <v>6</v>
      </c>
      <c r="AZ1636">
        <f t="shared" si="102"/>
        <v>1</v>
      </c>
      <c r="BA1636">
        <f t="shared" si="103"/>
        <v>2</v>
      </c>
      <c r="BB1636">
        <f>SUM(ifood_data[[#This Row],[Recency Score]:[Monetary Score]])</f>
        <v>9</v>
      </c>
      <c r="BC1636">
        <f>(_xlfn.PERCENTRANK.INC(ifood_data[[#All],[RFM]],ifood_data[[#This Row],[RFM]],1))*10</f>
        <v>1</v>
      </c>
      <c r="BD1636" t="str">
        <f>VLOOKUP(ifood_data[[#This Row],[RFM Score]],'RFM Analysis'!$A$3:$B$14,2,FALSE)</f>
        <v>At Risk</v>
      </c>
      <c r="BE1636">
        <f>'Regression Models'!$B$101+'Regression Models'!$B$102*ifood_data[[#This Row],[Income]]+'Regression Models'!$B$103*ifood_data[[#This Row],[Age]]+'Regression Models'!$B$104*ifood_data[[#This Row],[Family]]</f>
        <v>115.06182328424995</v>
      </c>
      <c r="BF1636" t="str">
        <f>IF(ifood_data[[#This Row],[AcceptedCmpOverall]]=1,"Campaign Respondent","Non-respondent")</f>
        <v>Non-respondent</v>
      </c>
    </row>
    <row r="1637" spans="1:58" x14ac:dyDescent="0.35">
      <c r="A1637">
        <v>359</v>
      </c>
      <c r="B1637">
        <v>33581</v>
      </c>
      <c r="C1637">
        <v>2</v>
      </c>
      <c r="D1637">
        <v>0</v>
      </c>
      <c r="E1637">
        <v>38</v>
      </c>
      <c r="F1637">
        <v>11</v>
      </c>
      <c r="G1637">
        <v>0</v>
      </c>
      <c r="H1637">
        <v>5</v>
      </c>
      <c r="I1637">
        <v>0</v>
      </c>
      <c r="J1637">
        <v>0</v>
      </c>
      <c r="K1637">
        <v>1</v>
      </c>
      <c r="L1637">
        <v>1</v>
      </c>
      <c r="M1637">
        <v>1</v>
      </c>
      <c r="N1637">
        <v>0</v>
      </c>
      <c r="O1637">
        <v>2</v>
      </c>
      <c r="P1637">
        <v>8</v>
      </c>
      <c r="Q1637">
        <v>0</v>
      </c>
      <c r="R1637">
        <v>0</v>
      </c>
      <c r="S1637">
        <v>0</v>
      </c>
      <c r="T1637">
        <v>0</v>
      </c>
      <c r="U1637">
        <v>0</v>
      </c>
      <c r="V1637">
        <f>IF(SUM(ifood_data[[#This Row],[AcceptedCmp1]:[AcceptedCmp5]])&gt;0,1,0)</f>
        <v>0</v>
      </c>
      <c r="W1637">
        <v>0</v>
      </c>
      <c r="X1637">
        <v>3</v>
      </c>
      <c r="Y1637">
        <v>11</v>
      </c>
      <c r="Z1637">
        <v>0</v>
      </c>
      <c r="AA1637">
        <v>51</v>
      </c>
      <c r="AB1637">
        <v>2696</v>
      </c>
      <c r="AC1637" s="28">
        <f>ifood_data[[#This Row],[Customer_Days]]/365</f>
        <v>7.3863013698630136</v>
      </c>
      <c r="AD1637">
        <v>0</v>
      </c>
      <c r="AE1637">
        <v>1</v>
      </c>
      <c r="AF1637">
        <v>0</v>
      </c>
      <c r="AG1637">
        <v>0</v>
      </c>
      <c r="AH1637">
        <v>0</v>
      </c>
      <c r="AI1637">
        <v>0</v>
      </c>
      <c r="AJ1637">
        <v>0</v>
      </c>
      <c r="AK1637">
        <v>0</v>
      </c>
      <c r="AL1637">
        <v>0</v>
      </c>
      <c r="AM1637">
        <v>1</v>
      </c>
      <c r="AN1637">
        <v>16</v>
      </c>
      <c r="AO1637">
        <v>15</v>
      </c>
      <c r="AP1637">
        <f>ifood_data[[#This Row],[MntTotal]]-ifood_data[[#This Row],[MntRegularProds]]</f>
        <v>1</v>
      </c>
      <c r="AQ1637">
        <v>0</v>
      </c>
      <c r="AR1637">
        <f>IF(SUM(ifood_data[[#This Row],[Kidhome]:[Teenhome]])&gt;0,1,0)</f>
        <v>1</v>
      </c>
      <c r="AS1637" t="str">
        <f>IF(SUM(ifood_data[[#This Row],[Kidhome]:[Teenhome]])&gt;0,"Has Family","No Family")</f>
        <v>Has Family</v>
      </c>
      <c r="AT1637" t="str">
        <f>IF(ifood_data[[#This Row],[marital_Married]]=1,"Married", (IF(ifood_data[[#This Row],[marital_Single]]=1,"Single",(IF(ifood_data[[#This Row],[marital_Divorced]]=1,"Divorced",(IF(ifood_data[[#This Row],[marital_Together]]=1,"Living Together",(IF(ifood_data[[#This Row],[marital_Widow]]=1,"Widow","Other")))))))))</f>
        <v>Married</v>
      </c>
      <c r="AU1637" t="str">
        <f>IF(ifood_data[[#This Row],[education_Basic]]=1,"High School",(IF(ifood_data[[#This Row],[education_Graduation]]=1,"Undergraduate Degree",(IF(SUM(AM1637,AL1637,AI1637)&gt;0,"Master's Degree or Higher","Other")))))</f>
        <v>Master's Degree or Higher</v>
      </c>
      <c r="AV1637" t="str">
        <f>IF(ifood_data[[#All],[Income]]&gt;75000,"75K+",(IF(ifood_data[[#All],[Income]]&gt;50000,"50K-75K",(IF(ifood_data[[#All],[Income]]&gt;35000,"35K-50K","&lt;35K")))))</f>
        <v>&lt;35K</v>
      </c>
      <c r="AW1637" t="str">
        <f>IF(ifood_data[[#All],[Age]]&gt;60,"60+",(IF(ifood_data[[#All],[Age]]&gt;50,"50-60",(IF(ifood_data[[#All],[Age]]&gt;40,"40-50",(IF(ifood_data[[#All],[Age]]&gt;30,"30-40","&lt;30")))))))</f>
        <v>50-60</v>
      </c>
      <c r="AX1637">
        <f t="shared" si="100"/>
        <v>12</v>
      </c>
      <c r="AY1637">
        <f t="shared" si="101"/>
        <v>7</v>
      </c>
      <c r="AZ1637">
        <f t="shared" si="102"/>
        <v>1</v>
      </c>
      <c r="BA1637">
        <f t="shared" si="103"/>
        <v>0</v>
      </c>
      <c r="BB1637">
        <f>SUM(ifood_data[[#This Row],[Recency Score]:[Monetary Score]])</f>
        <v>8</v>
      </c>
      <c r="BC1637">
        <f>(_xlfn.PERCENTRANK.INC(ifood_data[[#All],[RFM]],ifood_data[[#This Row],[RFM]],1))*10</f>
        <v>1</v>
      </c>
      <c r="BD1637" t="str">
        <f>VLOOKUP(ifood_data[[#This Row],[RFM Score]],'RFM Analysis'!$A$3:$B$14,2,FALSE)</f>
        <v>At Risk</v>
      </c>
      <c r="BE1637">
        <f>'Regression Models'!$B$101+'Regression Models'!$B$102*ifood_data[[#This Row],[Income]]+'Regression Models'!$B$103*ifood_data[[#This Row],[Age]]+'Regression Models'!$B$104*ifood_data[[#This Row],[Family]]</f>
        <v>113.58794266917903</v>
      </c>
      <c r="BF1637" t="str">
        <f>IF(ifood_data[[#This Row],[AcceptedCmpOverall]]=1,"Campaign Respondent","Non-respondent")</f>
        <v>Non-respondent</v>
      </c>
    </row>
    <row r="1638" spans="1:58" x14ac:dyDescent="0.35">
      <c r="A1638">
        <v>1277</v>
      </c>
      <c r="B1638">
        <v>33316</v>
      </c>
      <c r="C1638">
        <v>1</v>
      </c>
      <c r="D1638">
        <v>1</v>
      </c>
      <c r="E1638">
        <v>34</v>
      </c>
      <c r="F1638">
        <v>79</v>
      </c>
      <c r="G1638">
        <v>1</v>
      </c>
      <c r="H1638">
        <v>31</v>
      </c>
      <c r="I1638">
        <v>4</v>
      </c>
      <c r="J1638">
        <v>4</v>
      </c>
      <c r="K1638">
        <v>12</v>
      </c>
      <c r="L1638">
        <v>3</v>
      </c>
      <c r="M1638">
        <v>2</v>
      </c>
      <c r="N1638">
        <v>1</v>
      </c>
      <c r="O1638">
        <v>4</v>
      </c>
      <c r="P1638">
        <v>6</v>
      </c>
      <c r="Q1638">
        <v>0</v>
      </c>
      <c r="R1638">
        <v>0</v>
      </c>
      <c r="S1638">
        <v>0</v>
      </c>
      <c r="T1638">
        <v>0</v>
      </c>
      <c r="U1638">
        <v>0</v>
      </c>
      <c r="V1638">
        <f>IF(SUM(ifood_data[[#This Row],[AcceptedCmp1]:[AcceptedCmp5]])&gt;0,1,0)</f>
        <v>0</v>
      </c>
      <c r="W1638">
        <v>0</v>
      </c>
      <c r="X1638">
        <v>3</v>
      </c>
      <c r="Y1638">
        <v>11</v>
      </c>
      <c r="Z1638">
        <v>0</v>
      </c>
      <c r="AA1638">
        <v>49</v>
      </c>
      <c r="AB1638">
        <v>2427</v>
      </c>
      <c r="AC1638" s="28">
        <f>ifood_data[[#This Row],[Customer_Days]]/365</f>
        <v>6.6493150684931503</v>
      </c>
      <c r="AD1638">
        <v>0</v>
      </c>
      <c r="AE1638">
        <v>0</v>
      </c>
      <c r="AF1638">
        <v>1</v>
      </c>
      <c r="AG1638">
        <v>0</v>
      </c>
      <c r="AH1638">
        <v>0</v>
      </c>
      <c r="AI1638">
        <v>0</v>
      </c>
      <c r="AJ1638">
        <v>0</v>
      </c>
      <c r="AK1638">
        <v>0</v>
      </c>
      <c r="AL1638">
        <v>1</v>
      </c>
      <c r="AM1638">
        <v>0</v>
      </c>
      <c r="AN1638">
        <v>119</v>
      </c>
      <c r="AO1638">
        <v>107</v>
      </c>
      <c r="AP1638">
        <f>ifood_data[[#This Row],[MntTotal]]-ifood_data[[#This Row],[MntRegularProds]]</f>
        <v>12</v>
      </c>
      <c r="AQ1638">
        <v>0</v>
      </c>
      <c r="AR1638">
        <f>IF(SUM(ifood_data[[#This Row],[Kidhome]:[Teenhome]])&gt;0,1,0)</f>
        <v>1</v>
      </c>
      <c r="AS1638" t="str">
        <f>IF(SUM(ifood_data[[#This Row],[Kidhome]:[Teenhome]])&gt;0,"Has Family","No Family")</f>
        <v>Has Family</v>
      </c>
      <c r="AT1638" t="str">
        <f>IF(ifood_data[[#This Row],[marital_Married]]=1,"Married", (IF(ifood_data[[#This Row],[marital_Single]]=1,"Single",(IF(ifood_data[[#This Row],[marital_Divorced]]=1,"Divorced",(IF(ifood_data[[#This Row],[marital_Together]]=1,"Living Together",(IF(ifood_data[[#This Row],[marital_Widow]]=1,"Widow","Other")))))))))</f>
        <v>Single</v>
      </c>
      <c r="AU1638" t="str">
        <f>IF(ifood_data[[#This Row],[education_Basic]]=1,"High School",(IF(ifood_data[[#This Row],[education_Graduation]]=1,"Undergraduate Degree",(IF(SUM(AM1638,AL1638,AI1638)&gt;0,"Master's Degree or Higher","Other")))))</f>
        <v>Master's Degree or Higher</v>
      </c>
      <c r="AV1638" t="str">
        <f>IF(ifood_data[[#All],[Income]]&gt;75000,"75K+",(IF(ifood_data[[#All],[Income]]&gt;50000,"50K-75K",(IF(ifood_data[[#All],[Income]]&gt;35000,"35K-50K","&lt;35K")))))</f>
        <v>&lt;35K</v>
      </c>
      <c r="AW1638" t="str">
        <f>IF(ifood_data[[#All],[Age]]&gt;60,"60+",(IF(ifood_data[[#All],[Age]]&gt;50,"50-60",(IF(ifood_data[[#All],[Age]]&gt;40,"40-50",(IF(ifood_data[[#All],[Age]]&gt;30,"30-40","&lt;30")))))))</f>
        <v>40-50</v>
      </c>
      <c r="AX1638">
        <f t="shared" si="100"/>
        <v>16</v>
      </c>
      <c r="AY1638">
        <f t="shared" si="101"/>
        <v>7</v>
      </c>
      <c r="AZ1638">
        <f t="shared" si="102"/>
        <v>3</v>
      </c>
      <c r="BA1638">
        <f t="shared" si="103"/>
        <v>3</v>
      </c>
      <c r="BB1638">
        <f>SUM(ifood_data[[#This Row],[Recency Score]:[Monetary Score]])</f>
        <v>13</v>
      </c>
      <c r="BC1638">
        <f>(_xlfn.PERCENTRANK.INC(ifood_data[[#All],[RFM]],ifood_data[[#This Row],[RFM]],1))*10</f>
        <v>3</v>
      </c>
      <c r="BD1638" t="str">
        <f>VLOOKUP(ifood_data[[#This Row],[RFM Score]],'RFM Analysis'!$A$3:$B$14,2,FALSE)</f>
        <v>At Risk</v>
      </c>
      <c r="BE1638">
        <f>'Regression Models'!$B$101+'Regression Models'!$B$102*ifood_data[[#This Row],[Income]]+'Regression Models'!$B$103*ifood_data[[#This Row],[Age]]+'Regression Models'!$B$104*ifood_data[[#This Row],[Family]]</f>
        <v>111.85779726883436</v>
      </c>
      <c r="BF1638" t="str">
        <f>IF(ifood_data[[#This Row],[AcceptedCmpOverall]]=1,"Campaign Respondent","Non-respondent")</f>
        <v>Non-respondent</v>
      </c>
    </row>
    <row r="1639" spans="1:58" x14ac:dyDescent="0.35">
      <c r="A1639">
        <v>1681</v>
      </c>
      <c r="B1639">
        <v>32313</v>
      </c>
      <c r="C1639">
        <v>1</v>
      </c>
      <c r="D1639">
        <v>0</v>
      </c>
      <c r="E1639">
        <v>60</v>
      </c>
      <c r="F1639">
        <v>86</v>
      </c>
      <c r="G1639">
        <v>4</v>
      </c>
      <c r="H1639">
        <v>56</v>
      </c>
      <c r="I1639">
        <v>2</v>
      </c>
      <c r="J1639">
        <v>4</v>
      </c>
      <c r="K1639">
        <v>7</v>
      </c>
      <c r="L1639">
        <v>3</v>
      </c>
      <c r="M1639">
        <v>4</v>
      </c>
      <c r="N1639">
        <v>0</v>
      </c>
      <c r="O1639">
        <v>4</v>
      </c>
      <c r="P1639">
        <v>9</v>
      </c>
      <c r="Q1639">
        <v>0</v>
      </c>
      <c r="R1639">
        <v>0</v>
      </c>
      <c r="S1639">
        <v>0</v>
      </c>
      <c r="T1639">
        <v>0</v>
      </c>
      <c r="U1639">
        <v>0</v>
      </c>
      <c r="V1639">
        <f>IF(SUM(ifood_data[[#This Row],[AcceptedCmp1]:[AcceptedCmp5]])&gt;0,1,0)</f>
        <v>0</v>
      </c>
      <c r="W1639">
        <v>0</v>
      </c>
      <c r="X1639">
        <v>3</v>
      </c>
      <c r="Y1639">
        <v>11</v>
      </c>
      <c r="Z1639">
        <v>0</v>
      </c>
      <c r="AA1639">
        <v>38</v>
      </c>
      <c r="AB1639">
        <v>2662</v>
      </c>
      <c r="AC1639" s="28">
        <f>ifood_data[[#This Row],[Customer_Days]]/365</f>
        <v>7.2931506849315069</v>
      </c>
      <c r="AD1639">
        <v>0</v>
      </c>
      <c r="AE1639">
        <v>0</v>
      </c>
      <c r="AF1639">
        <v>0</v>
      </c>
      <c r="AG1639">
        <v>1</v>
      </c>
      <c r="AH1639">
        <v>0</v>
      </c>
      <c r="AI1639">
        <v>0</v>
      </c>
      <c r="AJ1639">
        <v>0</v>
      </c>
      <c r="AK1639">
        <v>0</v>
      </c>
      <c r="AL1639">
        <v>0</v>
      </c>
      <c r="AM1639">
        <v>1</v>
      </c>
      <c r="AN1639">
        <v>152</v>
      </c>
      <c r="AO1639">
        <v>145</v>
      </c>
      <c r="AP1639">
        <f>ifood_data[[#This Row],[MntTotal]]-ifood_data[[#This Row],[MntRegularProds]]</f>
        <v>7</v>
      </c>
      <c r="AQ1639">
        <v>0</v>
      </c>
      <c r="AR1639">
        <f>IF(SUM(ifood_data[[#This Row],[Kidhome]:[Teenhome]])&gt;0,1,0)</f>
        <v>1</v>
      </c>
      <c r="AS1639" t="str">
        <f>IF(SUM(ifood_data[[#This Row],[Kidhome]:[Teenhome]])&gt;0,"Has Family","No Family")</f>
        <v>Has Family</v>
      </c>
      <c r="AT1639" t="str">
        <f>IF(ifood_data[[#This Row],[marital_Married]]=1,"Married", (IF(ifood_data[[#This Row],[marital_Single]]=1,"Single",(IF(ifood_data[[#This Row],[marital_Divorced]]=1,"Divorced",(IF(ifood_data[[#This Row],[marital_Together]]=1,"Living Together",(IF(ifood_data[[#This Row],[marital_Widow]]=1,"Widow","Other")))))))))</f>
        <v>Living Together</v>
      </c>
      <c r="AU1639" t="str">
        <f>IF(ifood_data[[#This Row],[education_Basic]]=1,"High School",(IF(ifood_data[[#This Row],[education_Graduation]]=1,"Undergraduate Degree",(IF(SUM(AM1639,AL1639,AI1639)&gt;0,"Master's Degree or Higher","Other")))))</f>
        <v>Master's Degree or Higher</v>
      </c>
      <c r="AV1639" t="str">
        <f>IF(ifood_data[[#All],[Income]]&gt;75000,"75K+",(IF(ifood_data[[#All],[Income]]&gt;50000,"50K-75K",(IF(ifood_data[[#All],[Income]]&gt;35000,"35K-50K","&lt;35K")))))</f>
        <v>&lt;35K</v>
      </c>
      <c r="AW1639" t="str">
        <f>IF(ifood_data[[#All],[Age]]&gt;60,"60+",(IF(ifood_data[[#All],[Age]]&gt;50,"50-60",(IF(ifood_data[[#All],[Age]]&gt;40,"40-50",(IF(ifood_data[[#All],[Age]]&gt;30,"30-40","&lt;30")))))))</f>
        <v>30-40</v>
      </c>
      <c r="AX1639">
        <f t="shared" si="100"/>
        <v>20</v>
      </c>
      <c r="AY1639">
        <f t="shared" si="101"/>
        <v>4</v>
      </c>
      <c r="AZ1639">
        <f t="shared" si="102"/>
        <v>4</v>
      </c>
      <c r="BA1639">
        <f t="shared" si="103"/>
        <v>3</v>
      </c>
      <c r="BB1639">
        <f>SUM(ifood_data[[#This Row],[Recency Score]:[Monetary Score]])</f>
        <v>11</v>
      </c>
      <c r="BC1639">
        <f>(_xlfn.PERCENTRANK.INC(ifood_data[[#All],[RFM]],ifood_data[[#This Row],[RFM]],1))*10</f>
        <v>2</v>
      </c>
      <c r="BD1639" t="str">
        <f>VLOOKUP(ifood_data[[#This Row],[RFM Score]],'RFM Analysis'!$A$3:$B$14,2,FALSE)</f>
        <v>At Risk</v>
      </c>
      <c r="BE1639">
        <f>'Regression Models'!$B$101+'Regression Models'!$B$102*ifood_data[[#This Row],[Income]]+'Regression Models'!$B$103*ifood_data[[#This Row],[Age]]+'Regression Models'!$B$104*ifood_data[[#This Row],[Family]]</f>
        <v>111.60869268834091</v>
      </c>
      <c r="BF1639" t="str">
        <f>IF(ifood_data[[#This Row],[AcceptedCmpOverall]]=1,"Campaign Respondent","Non-respondent")</f>
        <v>Non-respondent</v>
      </c>
    </row>
    <row r="1640" spans="1:58" x14ac:dyDescent="0.35">
      <c r="A1640">
        <v>1460</v>
      </c>
      <c r="B1640">
        <v>34633</v>
      </c>
      <c r="C1640">
        <v>2</v>
      </c>
      <c r="D1640">
        <v>1</v>
      </c>
      <c r="E1640">
        <v>31</v>
      </c>
      <c r="F1640">
        <v>8</v>
      </c>
      <c r="G1640">
        <v>1</v>
      </c>
      <c r="H1640">
        <v>5</v>
      </c>
      <c r="I1640">
        <v>0</v>
      </c>
      <c r="J1640">
        <v>0</v>
      </c>
      <c r="K1640">
        <v>1</v>
      </c>
      <c r="L1640">
        <v>1</v>
      </c>
      <c r="M1640">
        <v>1</v>
      </c>
      <c r="N1640">
        <v>0</v>
      </c>
      <c r="O1640">
        <v>2</v>
      </c>
      <c r="P1640">
        <v>6</v>
      </c>
      <c r="Q1640">
        <v>0</v>
      </c>
      <c r="R1640">
        <v>0</v>
      </c>
      <c r="S1640">
        <v>0</v>
      </c>
      <c r="T1640">
        <v>0</v>
      </c>
      <c r="U1640">
        <v>0</v>
      </c>
      <c r="V1640">
        <f>IF(SUM(ifood_data[[#This Row],[AcceptedCmp1]:[AcceptedCmp5]])&gt;0,1,0)</f>
        <v>0</v>
      </c>
      <c r="W1640">
        <v>0</v>
      </c>
      <c r="X1640">
        <v>3</v>
      </c>
      <c r="Y1640">
        <v>11</v>
      </c>
      <c r="Z1640">
        <v>0</v>
      </c>
      <c r="AA1640">
        <v>64</v>
      </c>
      <c r="AB1640">
        <v>2316</v>
      </c>
      <c r="AC1640" s="28">
        <f>ifood_data[[#This Row],[Customer_Days]]/365</f>
        <v>6.3452054794520549</v>
      </c>
      <c r="AD1640">
        <v>0</v>
      </c>
      <c r="AE1640">
        <v>0</v>
      </c>
      <c r="AF1640">
        <v>0</v>
      </c>
      <c r="AG1640">
        <v>1</v>
      </c>
      <c r="AH1640">
        <v>0</v>
      </c>
      <c r="AI1640">
        <v>0</v>
      </c>
      <c r="AJ1640">
        <v>0</v>
      </c>
      <c r="AK1640">
        <v>1</v>
      </c>
      <c r="AL1640">
        <v>0</v>
      </c>
      <c r="AM1640">
        <v>0</v>
      </c>
      <c r="AN1640">
        <v>14</v>
      </c>
      <c r="AO1640">
        <v>13</v>
      </c>
      <c r="AP1640">
        <f>ifood_data[[#This Row],[MntTotal]]-ifood_data[[#This Row],[MntRegularProds]]</f>
        <v>1</v>
      </c>
      <c r="AQ1640">
        <v>0</v>
      </c>
      <c r="AR1640">
        <f>IF(SUM(ifood_data[[#This Row],[Kidhome]:[Teenhome]])&gt;0,1,0)</f>
        <v>1</v>
      </c>
      <c r="AS1640" t="str">
        <f>IF(SUM(ifood_data[[#This Row],[Kidhome]:[Teenhome]])&gt;0,"Has Family","No Family")</f>
        <v>Has Family</v>
      </c>
      <c r="AT1640" t="str">
        <f>IF(ifood_data[[#This Row],[marital_Married]]=1,"Married", (IF(ifood_data[[#This Row],[marital_Single]]=1,"Single",(IF(ifood_data[[#This Row],[marital_Divorced]]=1,"Divorced",(IF(ifood_data[[#This Row],[marital_Together]]=1,"Living Together",(IF(ifood_data[[#This Row],[marital_Widow]]=1,"Widow","Other")))))))))</f>
        <v>Living Together</v>
      </c>
      <c r="AU1640" t="str">
        <f>IF(ifood_data[[#This Row],[education_Basic]]=1,"High School",(IF(ifood_data[[#This Row],[education_Graduation]]=1,"Undergraduate Degree",(IF(SUM(AM1640,AL1640,AI1640)&gt;0,"Master's Degree or Higher","Other")))))</f>
        <v>Undergraduate Degree</v>
      </c>
      <c r="AV1640" t="str">
        <f>IF(ifood_data[[#All],[Income]]&gt;75000,"75K+",(IF(ifood_data[[#All],[Income]]&gt;50000,"50K-75K",(IF(ifood_data[[#All],[Income]]&gt;35000,"35K-50K","&lt;35K")))))</f>
        <v>&lt;35K</v>
      </c>
      <c r="AW1640" t="str">
        <f>IF(ifood_data[[#All],[Age]]&gt;60,"60+",(IF(ifood_data[[#All],[Age]]&gt;50,"50-60",(IF(ifood_data[[#All],[Age]]&gt;40,"40-50",(IF(ifood_data[[#All],[Age]]&gt;30,"30-40","&lt;30")))))))</f>
        <v>60+</v>
      </c>
      <c r="AX1640">
        <f t="shared" si="100"/>
        <v>10</v>
      </c>
      <c r="AY1640">
        <f t="shared" si="101"/>
        <v>7</v>
      </c>
      <c r="AZ1640">
        <f t="shared" si="102"/>
        <v>0</v>
      </c>
      <c r="BA1640">
        <f t="shared" si="103"/>
        <v>0</v>
      </c>
      <c r="BB1640">
        <f>SUM(ifood_data[[#This Row],[Recency Score]:[Monetary Score]])</f>
        <v>7</v>
      </c>
      <c r="BC1640">
        <f>(_xlfn.PERCENTRANK.INC(ifood_data[[#All],[RFM]],ifood_data[[#This Row],[RFM]],1))*10</f>
        <v>1</v>
      </c>
      <c r="BD1640" t="str">
        <f>VLOOKUP(ifood_data[[#This Row],[RFM Score]],'RFM Analysis'!$A$3:$B$14,2,FALSE)</f>
        <v>At Risk</v>
      </c>
      <c r="BE1640">
        <f>'Regression Models'!$B$101+'Regression Models'!$B$102*ifood_data[[#This Row],[Income]]+'Regression Models'!$B$103*ifood_data[[#This Row],[Age]]+'Regression Models'!$B$104*ifood_data[[#This Row],[Family]]</f>
        <v>111.16321873093511</v>
      </c>
      <c r="BF1640" t="str">
        <f>IF(ifood_data[[#This Row],[AcceptedCmpOverall]]=1,"Campaign Respondent","Non-respondent")</f>
        <v>Non-respondent</v>
      </c>
    </row>
    <row r="1641" spans="1:58" x14ac:dyDescent="0.35">
      <c r="A1641">
        <v>1951</v>
      </c>
      <c r="B1641">
        <v>32146</v>
      </c>
      <c r="C1641">
        <v>1</v>
      </c>
      <c r="D1641">
        <v>0</v>
      </c>
      <c r="E1641">
        <v>16</v>
      </c>
      <c r="F1641">
        <v>26</v>
      </c>
      <c r="G1641">
        <v>3</v>
      </c>
      <c r="H1641">
        <v>23</v>
      </c>
      <c r="I1641">
        <v>4</v>
      </c>
      <c r="J1641">
        <v>7</v>
      </c>
      <c r="K1641">
        <v>3</v>
      </c>
      <c r="L1641">
        <v>2</v>
      </c>
      <c r="M1641">
        <v>2</v>
      </c>
      <c r="N1641">
        <v>0</v>
      </c>
      <c r="O1641">
        <v>4</v>
      </c>
      <c r="P1641">
        <v>6</v>
      </c>
      <c r="Q1641">
        <v>0</v>
      </c>
      <c r="R1641">
        <v>0</v>
      </c>
      <c r="S1641">
        <v>0</v>
      </c>
      <c r="T1641">
        <v>0</v>
      </c>
      <c r="U1641">
        <v>0</v>
      </c>
      <c r="V1641">
        <f>IF(SUM(ifood_data[[#This Row],[AcceptedCmp1]:[AcceptedCmp5]])&gt;0,1,0)</f>
        <v>0</v>
      </c>
      <c r="W1641">
        <v>0</v>
      </c>
      <c r="X1641">
        <v>3</v>
      </c>
      <c r="Y1641">
        <v>11</v>
      </c>
      <c r="Z1641">
        <v>0</v>
      </c>
      <c r="AA1641">
        <v>37</v>
      </c>
      <c r="AB1641">
        <v>2207</v>
      </c>
      <c r="AC1641" s="28">
        <f>ifood_data[[#This Row],[Customer_Days]]/365</f>
        <v>6.0465753424657533</v>
      </c>
      <c r="AD1641">
        <v>0</v>
      </c>
      <c r="AE1641">
        <v>1</v>
      </c>
      <c r="AF1641">
        <v>0</v>
      </c>
      <c r="AG1641">
        <v>0</v>
      </c>
      <c r="AH1641">
        <v>0</v>
      </c>
      <c r="AI1641">
        <v>1</v>
      </c>
      <c r="AJ1641">
        <v>0</v>
      </c>
      <c r="AK1641">
        <v>0</v>
      </c>
      <c r="AL1641">
        <v>0</v>
      </c>
      <c r="AM1641">
        <v>0</v>
      </c>
      <c r="AN1641">
        <v>63</v>
      </c>
      <c r="AO1641">
        <v>60</v>
      </c>
      <c r="AP1641">
        <f>ifood_data[[#This Row],[MntTotal]]-ifood_data[[#This Row],[MntRegularProds]]</f>
        <v>3</v>
      </c>
      <c r="AQ1641">
        <v>0</v>
      </c>
      <c r="AR1641">
        <f>IF(SUM(ifood_data[[#This Row],[Kidhome]:[Teenhome]])&gt;0,1,0)</f>
        <v>1</v>
      </c>
      <c r="AS1641" t="str">
        <f>IF(SUM(ifood_data[[#This Row],[Kidhome]:[Teenhome]])&gt;0,"Has Family","No Family")</f>
        <v>Has Family</v>
      </c>
      <c r="AT1641" t="str">
        <f>IF(ifood_data[[#This Row],[marital_Married]]=1,"Married", (IF(ifood_data[[#This Row],[marital_Single]]=1,"Single",(IF(ifood_data[[#This Row],[marital_Divorced]]=1,"Divorced",(IF(ifood_data[[#This Row],[marital_Together]]=1,"Living Together",(IF(ifood_data[[#This Row],[marital_Widow]]=1,"Widow","Other")))))))))</f>
        <v>Married</v>
      </c>
      <c r="AU1641" t="str">
        <f>IF(ifood_data[[#This Row],[education_Basic]]=1,"High School",(IF(ifood_data[[#This Row],[education_Graduation]]=1,"Undergraduate Degree",(IF(SUM(AM1641,AL1641,AI1641)&gt;0,"Master's Degree or Higher","Other")))))</f>
        <v>Master's Degree or Higher</v>
      </c>
      <c r="AV1641" t="str">
        <f>IF(ifood_data[[#All],[Income]]&gt;75000,"75K+",(IF(ifood_data[[#All],[Income]]&gt;50000,"50K-75K",(IF(ifood_data[[#All],[Income]]&gt;35000,"35K-50K","&lt;35K")))))</f>
        <v>&lt;35K</v>
      </c>
      <c r="AW1641" t="str">
        <f>IF(ifood_data[[#All],[Age]]&gt;60,"60+",(IF(ifood_data[[#All],[Age]]&gt;50,"50-60",(IF(ifood_data[[#All],[Age]]&gt;40,"40-50",(IF(ifood_data[[#All],[Age]]&gt;30,"30-40","&lt;30")))))))</f>
        <v>30-40</v>
      </c>
      <c r="AX1641">
        <f t="shared" si="100"/>
        <v>14</v>
      </c>
      <c r="AY1641">
        <f t="shared" si="101"/>
        <v>9</v>
      </c>
      <c r="AZ1641">
        <f t="shared" si="102"/>
        <v>2</v>
      </c>
      <c r="BA1641">
        <f t="shared" si="103"/>
        <v>2</v>
      </c>
      <c r="BB1641">
        <f>SUM(ifood_data[[#This Row],[Recency Score]:[Monetary Score]])</f>
        <v>13</v>
      </c>
      <c r="BC1641">
        <f>(_xlfn.PERCENTRANK.INC(ifood_data[[#All],[RFM]],ifood_data[[#This Row],[RFM]],1))*10</f>
        <v>3</v>
      </c>
      <c r="BD1641" t="str">
        <f>VLOOKUP(ifood_data[[#This Row],[RFM Score]],'RFM Analysis'!$A$3:$B$14,2,FALSE)</f>
        <v>At Risk</v>
      </c>
      <c r="BE1641">
        <f>'Regression Models'!$B$101+'Regression Models'!$B$102*ifood_data[[#This Row],[Income]]+'Regression Models'!$B$103*ifood_data[[#This Row],[Age]]+'Regression Models'!$B$104*ifood_data[[#This Row],[Family]]</f>
        <v>110.04020748720399</v>
      </c>
      <c r="BF1641" t="str">
        <f>IF(ifood_data[[#This Row],[AcceptedCmpOverall]]=1,"Campaign Respondent","Non-respondent")</f>
        <v>Non-respondent</v>
      </c>
    </row>
    <row r="1642" spans="1:58" x14ac:dyDescent="0.35">
      <c r="A1642">
        <v>1768</v>
      </c>
      <c r="B1642">
        <v>34242</v>
      </c>
      <c r="C1642">
        <v>0</v>
      </c>
      <c r="D1642">
        <v>1</v>
      </c>
      <c r="E1642">
        <v>25</v>
      </c>
      <c r="F1642">
        <v>8</v>
      </c>
      <c r="G1642">
        <v>2</v>
      </c>
      <c r="H1642">
        <v>4</v>
      </c>
      <c r="I1642">
        <v>0</v>
      </c>
      <c r="J1642">
        <v>0</v>
      </c>
      <c r="K1642">
        <v>1</v>
      </c>
      <c r="L1642">
        <v>1</v>
      </c>
      <c r="M1642">
        <v>0</v>
      </c>
      <c r="N1642">
        <v>0</v>
      </c>
      <c r="O1642">
        <v>3</v>
      </c>
      <c r="P1642">
        <v>5</v>
      </c>
      <c r="Q1642">
        <v>0</v>
      </c>
      <c r="R1642">
        <v>0</v>
      </c>
      <c r="S1642">
        <v>0</v>
      </c>
      <c r="T1642">
        <v>0</v>
      </c>
      <c r="U1642">
        <v>0</v>
      </c>
      <c r="V1642">
        <f>IF(SUM(ifood_data[[#This Row],[AcceptedCmp1]:[AcceptedCmp5]])&gt;0,1,0)</f>
        <v>0</v>
      </c>
      <c r="W1642">
        <v>0</v>
      </c>
      <c r="X1642">
        <v>3</v>
      </c>
      <c r="Y1642">
        <v>11</v>
      </c>
      <c r="Z1642">
        <v>0</v>
      </c>
      <c r="AA1642">
        <v>61</v>
      </c>
      <c r="AB1642">
        <v>2257</v>
      </c>
      <c r="AC1642" s="28">
        <f>ifood_data[[#This Row],[Customer_Days]]/365</f>
        <v>6.183561643835616</v>
      </c>
      <c r="AD1642">
        <v>0</v>
      </c>
      <c r="AE1642">
        <v>1</v>
      </c>
      <c r="AF1642">
        <v>0</v>
      </c>
      <c r="AG1642">
        <v>0</v>
      </c>
      <c r="AH1642">
        <v>0</v>
      </c>
      <c r="AI1642">
        <v>0</v>
      </c>
      <c r="AJ1642">
        <v>0</v>
      </c>
      <c r="AK1642">
        <v>0</v>
      </c>
      <c r="AL1642">
        <v>1</v>
      </c>
      <c r="AM1642">
        <v>0</v>
      </c>
      <c r="AN1642">
        <v>14</v>
      </c>
      <c r="AO1642">
        <v>13</v>
      </c>
      <c r="AP1642">
        <f>ifood_data[[#This Row],[MntTotal]]-ifood_data[[#This Row],[MntRegularProds]]</f>
        <v>1</v>
      </c>
      <c r="AQ1642">
        <v>0</v>
      </c>
      <c r="AR1642">
        <f>IF(SUM(ifood_data[[#This Row],[Kidhome]:[Teenhome]])&gt;0,1,0)</f>
        <v>1</v>
      </c>
      <c r="AS1642" t="str">
        <f>IF(SUM(ifood_data[[#This Row],[Kidhome]:[Teenhome]])&gt;0,"Has Family","No Family")</f>
        <v>Has Family</v>
      </c>
      <c r="AT1642" t="str">
        <f>IF(ifood_data[[#This Row],[marital_Married]]=1,"Married", (IF(ifood_data[[#This Row],[marital_Single]]=1,"Single",(IF(ifood_data[[#This Row],[marital_Divorced]]=1,"Divorced",(IF(ifood_data[[#This Row],[marital_Together]]=1,"Living Together",(IF(ifood_data[[#This Row],[marital_Widow]]=1,"Widow","Other")))))))))</f>
        <v>Married</v>
      </c>
      <c r="AU1642" t="str">
        <f>IF(ifood_data[[#This Row],[education_Basic]]=1,"High School",(IF(ifood_data[[#This Row],[education_Graduation]]=1,"Undergraduate Degree",(IF(SUM(AM1642,AL1642,AI1642)&gt;0,"Master's Degree or Higher","Other")))))</f>
        <v>Master's Degree or Higher</v>
      </c>
      <c r="AV1642" t="str">
        <f>IF(ifood_data[[#All],[Income]]&gt;75000,"75K+",(IF(ifood_data[[#All],[Income]]&gt;50000,"50K-75K",(IF(ifood_data[[#All],[Income]]&gt;35000,"35K-50K","&lt;35K")))))</f>
        <v>&lt;35K</v>
      </c>
      <c r="AW1642" t="str">
        <f>IF(ifood_data[[#All],[Age]]&gt;60,"60+",(IF(ifood_data[[#All],[Age]]&gt;50,"50-60",(IF(ifood_data[[#All],[Age]]&gt;40,"40-50",(IF(ifood_data[[#All],[Age]]&gt;30,"30-40","&lt;30")))))))</f>
        <v>60+</v>
      </c>
      <c r="AX1642">
        <f t="shared" si="100"/>
        <v>9</v>
      </c>
      <c r="AY1642">
        <f t="shared" si="101"/>
        <v>8</v>
      </c>
      <c r="AZ1642">
        <f t="shared" si="102"/>
        <v>0</v>
      </c>
      <c r="BA1642">
        <f t="shared" si="103"/>
        <v>0</v>
      </c>
      <c r="BB1642">
        <f>SUM(ifood_data[[#This Row],[Recency Score]:[Monetary Score]])</f>
        <v>8</v>
      </c>
      <c r="BC1642">
        <f>(_xlfn.PERCENTRANK.INC(ifood_data[[#All],[RFM]],ifood_data[[#This Row],[RFM]],1))*10</f>
        <v>1</v>
      </c>
      <c r="BD1642" t="str">
        <f>VLOOKUP(ifood_data[[#This Row],[RFM Score]],'RFM Analysis'!$A$3:$B$14,2,FALSE)</f>
        <v>At Risk</v>
      </c>
      <c r="BE1642">
        <f>'Regression Models'!$B$101+'Regression Models'!$B$102*ifood_data[[#This Row],[Income]]+'Regression Models'!$B$103*ifood_data[[#This Row],[Age]]+'Regression Models'!$B$104*ifood_data[[#This Row],[Family]]</f>
        <v>108.70052762335342</v>
      </c>
      <c r="BF1642" t="str">
        <f>IF(ifood_data[[#This Row],[AcceptedCmpOverall]]=1,"Campaign Respondent","Non-respondent")</f>
        <v>Non-respondent</v>
      </c>
    </row>
    <row r="1643" spans="1:58" x14ac:dyDescent="0.35">
      <c r="A1643">
        <v>989</v>
      </c>
      <c r="B1643">
        <v>33585</v>
      </c>
      <c r="C1643">
        <v>0</v>
      </c>
      <c r="D1643">
        <v>1</v>
      </c>
      <c r="E1643">
        <v>91</v>
      </c>
      <c r="F1643">
        <v>30</v>
      </c>
      <c r="G1643">
        <v>11</v>
      </c>
      <c r="H1643">
        <v>33</v>
      </c>
      <c r="I1643">
        <v>13</v>
      </c>
      <c r="J1643">
        <v>6</v>
      </c>
      <c r="K1643">
        <v>29</v>
      </c>
      <c r="L1643">
        <v>1</v>
      </c>
      <c r="M1643">
        <v>2</v>
      </c>
      <c r="N1643">
        <v>0</v>
      </c>
      <c r="O1643">
        <v>4</v>
      </c>
      <c r="P1643">
        <v>4</v>
      </c>
      <c r="Q1643">
        <v>0</v>
      </c>
      <c r="R1643">
        <v>0</v>
      </c>
      <c r="S1643">
        <v>0</v>
      </c>
      <c r="T1643">
        <v>0</v>
      </c>
      <c r="U1643">
        <v>0</v>
      </c>
      <c r="V1643">
        <f>IF(SUM(ifood_data[[#This Row],[AcceptedCmp1]:[AcceptedCmp5]])&gt;0,1,0)</f>
        <v>0</v>
      </c>
      <c r="W1643">
        <v>0</v>
      </c>
      <c r="X1643">
        <v>3</v>
      </c>
      <c r="Y1643">
        <v>11</v>
      </c>
      <c r="Z1643">
        <v>0</v>
      </c>
      <c r="AA1643">
        <v>54</v>
      </c>
      <c r="AB1643">
        <v>2436</v>
      </c>
      <c r="AC1643" s="28">
        <f>ifood_data[[#This Row],[Customer_Days]]/365</f>
        <v>6.6739726027397257</v>
      </c>
      <c r="AD1643">
        <v>0</v>
      </c>
      <c r="AE1643">
        <v>1</v>
      </c>
      <c r="AF1643">
        <v>0</v>
      </c>
      <c r="AG1643">
        <v>0</v>
      </c>
      <c r="AH1643">
        <v>0</v>
      </c>
      <c r="AI1643">
        <v>0</v>
      </c>
      <c r="AJ1643">
        <v>0</v>
      </c>
      <c r="AK1643">
        <v>0</v>
      </c>
      <c r="AL1643">
        <v>1</v>
      </c>
      <c r="AM1643">
        <v>0</v>
      </c>
      <c r="AN1643">
        <v>93</v>
      </c>
      <c r="AO1643">
        <v>64</v>
      </c>
      <c r="AP1643">
        <f>ifood_data[[#This Row],[MntTotal]]-ifood_data[[#This Row],[MntRegularProds]]</f>
        <v>29</v>
      </c>
      <c r="AQ1643">
        <v>0</v>
      </c>
      <c r="AR1643">
        <f>IF(SUM(ifood_data[[#This Row],[Kidhome]:[Teenhome]])&gt;0,1,0)</f>
        <v>1</v>
      </c>
      <c r="AS1643" t="str">
        <f>IF(SUM(ifood_data[[#This Row],[Kidhome]:[Teenhome]])&gt;0,"Has Family","No Family")</f>
        <v>Has Family</v>
      </c>
      <c r="AT1643" t="str">
        <f>IF(ifood_data[[#This Row],[marital_Married]]=1,"Married", (IF(ifood_data[[#This Row],[marital_Single]]=1,"Single",(IF(ifood_data[[#This Row],[marital_Divorced]]=1,"Divorced",(IF(ifood_data[[#This Row],[marital_Together]]=1,"Living Together",(IF(ifood_data[[#This Row],[marital_Widow]]=1,"Widow","Other")))))))))</f>
        <v>Married</v>
      </c>
      <c r="AU1643" t="str">
        <f>IF(ifood_data[[#This Row],[education_Basic]]=1,"High School",(IF(ifood_data[[#This Row],[education_Graduation]]=1,"Undergraduate Degree",(IF(SUM(AM1643,AL1643,AI1643)&gt;0,"Master's Degree or Higher","Other")))))</f>
        <v>Master's Degree or Higher</v>
      </c>
      <c r="AV1643" t="str">
        <f>IF(ifood_data[[#All],[Income]]&gt;75000,"75K+",(IF(ifood_data[[#All],[Income]]&gt;50000,"50K-75K",(IF(ifood_data[[#All],[Income]]&gt;35000,"35K-50K","&lt;35K")))))</f>
        <v>&lt;35K</v>
      </c>
      <c r="AW1643" t="str">
        <f>IF(ifood_data[[#All],[Age]]&gt;60,"60+",(IF(ifood_data[[#All],[Age]]&gt;50,"50-60",(IF(ifood_data[[#All],[Age]]&gt;40,"40-50",(IF(ifood_data[[#All],[Age]]&gt;30,"30-40","&lt;30")))))))</f>
        <v>50-60</v>
      </c>
      <c r="AX1643">
        <f t="shared" si="100"/>
        <v>11</v>
      </c>
      <c r="AY1643">
        <f t="shared" si="101"/>
        <v>0.99999999999999978</v>
      </c>
      <c r="AZ1643">
        <f t="shared" si="102"/>
        <v>0</v>
      </c>
      <c r="BA1643">
        <f t="shared" si="103"/>
        <v>3</v>
      </c>
      <c r="BB1643">
        <f>SUM(ifood_data[[#This Row],[Recency Score]:[Monetary Score]])</f>
        <v>4</v>
      </c>
      <c r="BC1643">
        <f>(_xlfn.PERCENTRANK.INC(ifood_data[[#All],[RFM]],ifood_data[[#This Row],[RFM]],1))*10</f>
        <v>0</v>
      </c>
      <c r="BD1643" t="str">
        <f>VLOOKUP(ifood_data[[#This Row],[RFM Score]],'RFM Analysis'!$A$3:$B$14,2,FALSE)</f>
        <v>Lost</v>
      </c>
      <c r="BE1643">
        <f>'Regression Models'!$B$101+'Regression Models'!$B$102*ifood_data[[#This Row],[Income]]+'Regression Models'!$B$103*ifood_data[[#This Row],[Age]]+'Regression Models'!$B$104*ifood_data[[#This Row],[Family]]</f>
        <v>108.16018050507182</v>
      </c>
      <c r="BF1643" t="str">
        <f>IF(ifood_data[[#This Row],[AcceptedCmpOverall]]=1,"Campaign Respondent","Non-respondent")</f>
        <v>Non-respondent</v>
      </c>
    </row>
    <row r="1644" spans="1:58" x14ac:dyDescent="0.35">
      <c r="A1644">
        <v>967</v>
      </c>
      <c r="B1644">
        <v>33564</v>
      </c>
      <c r="C1644">
        <v>0</v>
      </c>
      <c r="D1644">
        <v>1</v>
      </c>
      <c r="E1644">
        <v>51</v>
      </c>
      <c r="F1644">
        <v>61</v>
      </c>
      <c r="G1644">
        <v>0</v>
      </c>
      <c r="H1644">
        <v>3</v>
      </c>
      <c r="I1644">
        <v>0</v>
      </c>
      <c r="J1644">
        <v>0</v>
      </c>
      <c r="K1644">
        <v>7</v>
      </c>
      <c r="L1644">
        <v>1</v>
      </c>
      <c r="M1644">
        <v>1</v>
      </c>
      <c r="N1644">
        <v>1</v>
      </c>
      <c r="O1644">
        <v>3</v>
      </c>
      <c r="P1644">
        <v>5</v>
      </c>
      <c r="Q1644">
        <v>0</v>
      </c>
      <c r="R1644">
        <v>0</v>
      </c>
      <c r="S1644">
        <v>0</v>
      </c>
      <c r="T1644">
        <v>0</v>
      </c>
      <c r="U1644">
        <v>0</v>
      </c>
      <c r="V1644">
        <f>IF(SUM(ifood_data[[#This Row],[AcceptedCmp1]:[AcceptedCmp5]])&gt;0,1,0)</f>
        <v>0</v>
      </c>
      <c r="W1644">
        <v>0</v>
      </c>
      <c r="X1644">
        <v>3</v>
      </c>
      <c r="Y1644">
        <v>11</v>
      </c>
      <c r="Z1644">
        <v>0</v>
      </c>
      <c r="AA1644">
        <v>54</v>
      </c>
      <c r="AB1644">
        <v>2164</v>
      </c>
      <c r="AC1644" s="28">
        <f>ifood_data[[#This Row],[Customer_Days]]/365</f>
        <v>5.9287671232876713</v>
      </c>
      <c r="AD1644">
        <v>0</v>
      </c>
      <c r="AE1644">
        <v>0</v>
      </c>
      <c r="AF1644">
        <v>0</v>
      </c>
      <c r="AG1644">
        <v>1</v>
      </c>
      <c r="AH1644">
        <v>0</v>
      </c>
      <c r="AI1644">
        <v>0</v>
      </c>
      <c r="AJ1644">
        <v>0</v>
      </c>
      <c r="AK1644">
        <v>0</v>
      </c>
      <c r="AL1644">
        <v>1</v>
      </c>
      <c r="AM1644">
        <v>0</v>
      </c>
      <c r="AN1644">
        <v>64</v>
      </c>
      <c r="AO1644">
        <v>57</v>
      </c>
      <c r="AP1644">
        <f>ifood_data[[#This Row],[MntTotal]]-ifood_data[[#This Row],[MntRegularProds]]</f>
        <v>7</v>
      </c>
      <c r="AQ1644">
        <v>0</v>
      </c>
      <c r="AR1644">
        <f>IF(SUM(ifood_data[[#This Row],[Kidhome]:[Teenhome]])&gt;0,1,0)</f>
        <v>1</v>
      </c>
      <c r="AS1644" t="str">
        <f>IF(SUM(ifood_data[[#This Row],[Kidhome]:[Teenhome]])&gt;0,"Has Family","No Family")</f>
        <v>Has Family</v>
      </c>
      <c r="AT1644" t="str">
        <f>IF(ifood_data[[#This Row],[marital_Married]]=1,"Married", (IF(ifood_data[[#This Row],[marital_Single]]=1,"Single",(IF(ifood_data[[#This Row],[marital_Divorced]]=1,"Divorced",(IF(ifood_data[[#This Row],[marital_Together]]=1,"Living Together",(IF(ifood_data[[#This Row],[marital_Widow]]=1,"Widow","Other")))))))))</f>
        <v>Living Together</v>
      </c>
      <c r="AU1644" t="str">
        <f>IF(ifood_data[[#This Row],[education_Basic]]=1,"High School",(IF(ifood_data[[#This Row],[education_Graduation]]=1,"Undergraduate Degree",(IF(SUM(AM1644,AL1644,AI1644)&gt;0,"Master's Degree or Higher","Other")))))</f>
        <v>Master's Degree or Higher</v>
      </c>
      <c r="AV1644" t="str">
        <f>IF(ifood_data[[#All],[Income]]&gt;75000,"75K+",(IF(ifood_data[[#All],[Income]]&gt;50000,"50K-75K",(IF(ifood_data[[#All],[Income]]&gt;35000,"35K-50K","&lt;35K")))))</f>
        <v>&lt;35K</v>
      </c>
      <c r="AW1644" t="str">
        <f>IF(ifood_data[[#All],[Age]]&gt;60,"60+",(IF(ifood_data[[#All],[Age]]&gt;50,"50-60",(IF(ifood_data[[#All],[Age]]&gt;40,"40-50",(IF(ifood_data[[#All],[Age]]&gt;30,"30-40","&lt;30")))))))</f>
        <v>50-60</v>
      </c>
      <c r="AX1644">
        <f t="shared" si="100"/>
        <v>11</v>
      </c>
      <c r="AY1644">
        <f t="shared" si="101"/>
        <v>5</v>
      </c>
      <c r="AZ1644">
        <f t="shared" si="102"/>
        <v>0</v>
      </c>
      <c r="BA1644">
        <f t="shared" si="103"/>
        <v>2</v>
      </c>
      <c r="BB1644">
        <f>SUM(ifood_data[[#This Row],[Recency Score]:[Monetary Score]])</f>
        <v>7</v>
      </c>
      <c r="BC1644">
        <f>(_xlfn.PERCENTRANK.INC(ifood_data[[#All],[RFM]],ifood_data[[#This Row],[RFM]],1))*10</f>
        <v>1</v>
      </c>
      <c r="BD1644" t="str">
        <f>VLOOKUP(ifood_data[[#This Row],[RFM Score]],'RFM Analysis'!$A$3:$B$14,2,FALSE)</f>
        <v>At Risk</v>
      </c>
      <c r="BE1644">
        <f>'Regression Models'!$B$101+'Regression Models'!$B$102*ifood_data[[#This Row],[Income]]+'Regression Models'!$B$103*ifood_data[[#This Row],[Age]]+'Regression Models'!$B$104*ifood_data[[#This Row],[Family]]</f>
        <v>107.73201637404998</v>
      </c>
      <c r="BF1644" t="str">
        <f>IF(ifood_data[[#This Row],[AcceptedCmpOverall]]=1,"Campaign Respondent","Non-respondent")</f>
        <v>Non-respondent</v>
      </c>
    </row>
    <row r="1645" spans="1:58" x14ac:dyDescent="0.35">
      <c r="A1645">
        <v>760</v>
      </c>
      <c r="B1645">
        <v>34838</v>
      </c>
      <c r="C1645">
        <v>1</v>
      </c>
      <c r="D1645">
        <v>1</v>
      </c>
      <c r="E1645">
        <v>62</v>
      </c>
      <c r="F1645">
        <v>28</v>
      </c>
      <c r="G1645">
        <v>23</v>
      </c>
      <c r="H1645">
        <v>29</v>
      </c>
      <c r="I1645">
        <v>29</v>
      </c>
      <c r="J1645">
        <v>14</v>
      </c>
      <c r="K1645">
        <v>47</v>
      </c>
      <c r="L1645">
        <v>3</v>
      </c>
      <c r="M1645">
        <v>2</v>
      </c>
      <c r="N1645">
        <v>1</v>
      </c>
      <c r="O1645">
        <v>4</v>
      </c>
      <c r="P1645">
        <v>6</v>
      </c>
      <c r="Q1645">
        <v>0</v>
      </c>
      <c r="R1645">
        <v>0</v>
      </c>
      <c r="S1645">
        <v>0</v>
      </c>
      <c r="T1645">
        <v>0</v>
      </c>
      <c r="U1645">
        <v>0</v>
      </c>
      <c r="V1645">
        <f>IF(SUM(ifood_data[[#This Row],[AcceptedCmp1]:[AcceptedCmp5]])&gt;0,1,0)</f>
        <v>0</v>
      </c>
      <c r="W1645">
        <v>0</v>
      </c>
      <c r="X1645">
        <v>3</v>
      </c>
      <c r="Y1645">
        <v>11</v>
      </c>
      <c r="Z1645">
        <v>0</v>
      </c>
      <c r="AA1645">
        <v>69</v>
      </c>
      <c r="AB1645">
        <v>2685</v>
      </c>
      <c r="AC1645" s="28">
        <f>ifood_data[[#This Row],[Customer_Days]]/365</f>
        <v>7.3561643835616435</v>
      </c>
      <c r="AD1645">
        <v>0</v>
      </c>
      <c r="AE1645">
        <v>1</v>
      </c>
      <c r="AF1645">
        <v>0</v>
      </c>
      <c r="AG1645">
        <v>0</v>
      </c>
      <c r="AH1645">
        <v>0</v>
      </c>
      <c r="AI1645">
        <v>0</v>
      </c>
      <c r="AJ1645">
        <v>0</v>
      </c>
      <c r="AK1645">
        <v>1</v>
      </c>
      <c r="AL1645">
        <v>0</v>
      </c>
      <c r="AM1645">
        <v>0</v>
      </c>
      <c r="AN1645">
        <v>123</v>
      </c>
      <c r="AO1645">
        <v>76</v>
      </c>
      <c r="AP1645">
        <f>ifood_data[[#This Row],[MntTotal]]-ifood_data[[#This Row],[MntRegularProds]]</f>
        <v>47</v>
      </c>
      <c r="AQ1645">
        <v>0</v>
      </c>
      <c r="AR1645">
        <f>IF(SUM(ifood_data[[#This Row],[Kidhome]:[Teenhome]])&gt;0,1,0)</f>
        <v>1</v>
      </c>
      <c r="AS1645" t="str">
        <f>IF(SUM(ifood_data[[#This Row],[Kidhome]:[Teenhome]])&gt;0,"Has Family","No Family")</f>
        <v>Has Family</v>
      </c>
      <c r="AT1645" t="str">
        <f>IF(ifood_data[[#This Row],[marital_Married]]=1,"Married", (IF(ifood_data[[#This Row],[marital_Single]]=1,"Single",(IF(ifood_data[[#This Row],[marital_Divorced]]=1,"Divorced",(IF(ifood_data[[#This Row],[marital_Together]]=1,"Living Together",(IF(ifood_data[[#This Row],[marital_Widow]]=1,"Widow","Other")))))))))</f>
        <v>Married</v>
      </c>
      <c r="AU1645" t="str">
        <f>IF(ifood_data[[#This Row],[education_Basic]]=1,"High School",(IF(ifood_data[[#This Row],[education_Graduation]]=1,"Undergraduate Degree",(IF(SUM(AM1645,AL1645,AI1645)&gt;0,"Master's Degree or Higher","Other")))))</f>
        <v>Undergraduate Degree</v>
      </c>
      <c r="AV1645" t="str">
        <f>IF(ifood_data[[#All],[Income]]&gt;75000,"75K+",(IF(ifood_data[[#All],[Income]]&gt;50000,"50K-75K",(IF(ifood_data[[#All],[Income]]&gt;35000,"35K-50K","&lt;35K")))))</f>
        <v>&lt;35K</v>
      </c>
      <c r="AW1645" t="str">
        <f>IF(ifood_data[[#All],[Age]]&gt;60,"60+",(IF(ifood_data[[#All],[Age]]&gt;50,"50-60",(IF(ifood_data[[#All],[Age]]&gt;40,"40-50",(IF(ifood_data[[#All],[Age]]&gt;30,"30-40","&lt;30")))))))</f>
        <v>60+</v>
      </c>
      <c r="AX1645">
        <f t="shared" si="100"/>
        <v>16</v>
      </c>
      <c r="AY1645">
        <f t="shared" si="101"/>
        <v>4</v>
      </c>
      <c r="AZ1645">
        <f t="shared" si="102"/>
        <v>3</v>
      </c>
      <c r="BA1645">
        <f t="shared" si="103"/>
        <v>3</v>
      </c>
      <c r="BB1645">
        <f>SUM(ifood_data[[#This Row],[Recency Score]:[Monetary Score]])</f>
        <v>10</v>
      </c>
      <c r="BC1645">
        <f>(_xlfn.PERCENTRANK.INC(ifood_data[[#All],[RFM]],ifood_data[[#This Row],[RFM]],1))*10</f>
        <v>2</v>
      </c>
      <c r="BD1645" t="str">
        <f>VLOOKUP(ifood_data[[#This Row],[RFM Score]],'RFM Analysis'!$A$3:$B$14,2,FALSE)</f>
        <v>At Risk</v>
      </c>
      <c r="BE1645">
        <f>'Regression Models'!$B$101+'Regression Models'!$B$102*ifood_data[[#This Row],[Income]]+'Regression Models'!$B$103*ifood_data[[#This Row],[Age]]+'Regression Models'!$B$104*ifood_data[[#This Row],[Family]]</f>
        <v>106.16072080596302</v>
      </c>
      <c r="BF1645" t="str">
        <f>IF(ifood_data[[#This Row],[AcceptedCmpOverall]]=1,"Campaign Respondent","Non-respondent")</f>
        <v>Non-respondent</v>
      </c>
    </row>
    <row r="1646" spans="1:58" x14ac:dyDescent="0.35">
      <c r="A1646">
        <v>14</v>
      </c>
      <c r="B1646">
        <v>17323</v>
      </c>
      <c r="C1646">
        <v>0</v>
      </c>
      <c r="D1646">
        <v>0</v>
      </c>
      <c r="E1646">
        <v>38</v>
      </c>
      <c r="F1646">
        <v>3</v>
      </c>
      <c r="G1646">
        <v>14</v>
      </c>
      <c r="H1646">
        <v>17</v>
      </c>
      <c r="I1646">
        <v>6</v>
      </c>
      <c r="J1646">
        <v>1</v>
      </c>
      <c r="K1646">
        <v>5</v>
      </c>
      <c r="L1646">
        <v>1</v>
      </c>
      <c r="M1646">
        <v>1</v>
      </c>
      <c r="N1646">
        <v>0</v>
      </c>
      <c r="O1646">
        <v>3</v>
      </c>
      <c r="P1646">
        <v>8</v>
      </c>
      <c r="Q1646">
        <v>0</v>
      </c>
      <c r="R1646">
        <v>0</v>
      </c>
      <c r="S1646">
        <v>0</v>
      </c>
      <c r="T1646">
        <v>0</v>
      </c>
      <c r="U1646">
        <v>0</v>
      </c>
      <c r="V1646">
        <f>IF(SUM(ifood_data[[#This Row],[AcceptedCmp1]:[AcceptedCmp5]])&gt;0,1,0)</f>
        <v>0</v>
      </c>
      <c r="W1646">
        <v>0</v>
      </c>
      <c r="X1646">
        <v>3</v>
      </c>
      <c r="Y1646">
        <v>11</v>
      </c>
      <c r="Z1646">
        <v>0</v>
      </c>
      <c r="AA1646">
        <v>33</v>
      </c>
      <c r="AB1646">
        <v>2786</v>
      </c>
      <c r="AC1646" s="28">
        <f>ifood_data[[#This Row],[Customer_Days]]/365</f>
        <v>7.6328767123287671</v>
      </c>
      <c r="AD1646">
        <v>0</v>
      </c>
      <c r="AE1646">
        <v>1</v>
      </c>
      <c r="AF1646">
        <v>0</v>
      </c>
      <c r="AG1646">
        <v>0</v>
      </c>
      <c r="AH1646">
        <v>0</v>
      </c>
      <c r="AI1646">
        <v>0</v>
      </c>
      <c r="AJ1646">
        <v>0</v>
      </c>
      <c r="AK1646">
        <v>1</v>
      </c>
      <c r="AL1646">
        <v>0</v>
      </c>
      <c r="AM1646">
        <v>0</v>
      </c>
      <c r="AN1646">
        <v>41</v>
      </c>
      <c r="AO1646">
        <v>36</v>
      </c>
      <c r="AP1646">
        <f>ifood_data[[#This Row],[MntTotal]]-ifood_data[[#This Row],[MntRegularProds]]</f>
        <v>5</v>
      </c>
      <c r="AQ1646">
        <v>0</v>
      </c>
      <c r="AR1646">
        <f>IF(SUM(ifood_data[[#This Row],[Kidhome]:[Teenhome]])&gt;0,1,0)</f>
        <v>0</v>
      </c>
      <c r="AS1646" t="str">
        <f>IF(SUM(ifood_data[[#This Row],[Kidhome]:[Teenhome]])&gt;0,"Has Family","No Family")</f>
        <v>No Family</v>
      </c>
      <c r="AT1646" t="str">
        <f>IF(ifood_data[[#This Row],[marital_Married]]=1,"Married", (IF(ifood_data[[#This Row],[marital_Single]]=1,"Single",(IF(ifood_data[[#This Row],[marital_Divorced]]=1,"Divorced",(IF(ifood_data[[#This Row],[marital_Together]]=1,"Living Together",(IF(ifood_data[[#This Row],[marital_Widow]]=1,"Widow","Other")))))))))</f>
        <v>Married</v>
      </c>
      <c r="AU1646" t="str">
        <f>IF(ifood_data[[#This Row],[education_Basic]]=1,"High School",(IF(ifood_data[[#This Row],[education_Graduation]]=1,"Undergraduate Degree",(IF(SUM(AM1646,AL1646,AI1646)&gt;0,"Master's Degree or Higher","Other")))))</f>
        <v>Undergraduate Degree</v>
      </c>
      <c r="AV1646" t="str">
        <f>IF(ifood_data[[#All],[Income]]&gt;75000,"75K+",(IF(ifood_data[[#All],[Income]]&gt;50000,"50K-75K",(IF(ifood_data[[#All],[Income]]&gt;35000,"35K-50K","&lt;35K")))))</f>
        <v>&lt;35K</v>
      </c>
      <c r="AW1646" t="str">
        <f>IF(ifood_data[[#All],[Age]]&gt;60,"60+",(IF(ifood_data[[#All],[Age]]&gt;50,"50-60",(IF(ifood_data[[#All],[Age]]&gt;40,"40-50",(IF(ifood_data[[#All],[Age]]&gt;30,"30-40","&lt;30")))))))</f>
        <v>30-40</v>
      </c>
      <c r="AX1646">
        <f t="shared" si="100"/>
        <v>13</v>
      </c>
      <c r="AY1646">
        <f t="shared" si="101"/>
        <v>7</v>
      </c>
      <c r="AZ1646">
        <f t="shared" si="102"/>
        <v>1</v>
      </c>
      <c r="BA1646">
        <f t="shared" si="103"/>
        <v>1</v>
      </c>
      <c r="BB1646">
        <f>SUM(ifood_data[[#This Row],[Recency Score]:[Monetary Score]])</f>
        <v>9</v>
      </c>
      <c r="BC1646">
        <f>(_xlfn.PERCENTRANK.INC(ifood_data[[#All],[RFM]],ifood_data[[#This Row],[RFM]],1))*10</f>
        <v>1</v>
      </c>
      <c r="BD1646" t="str">
        <f>VLOOKUP(ifood_data[[#This Row],[RFM Score]],'RFM Analysis'!$A$3:$B$14,2,FALSE)</f>
        <v>At Risk</v>
      </c>
      <c r="BE1646">
        <f>'Regression Models'!$B$101+'Regression Models'!$B$102*ifood_data[[#This Row],[Income]]+'Regression Models'!$B$103*ifood_data[[#This Row],[Age]]+'Regression Models'!$B$104*ifood_data[[#This Row],[Family]]</f>
        <v>104.77688467878329</v>
      </c>
      <c r="BF1646" t="str">
        <f>IF(ifood_data[[#This Row],[AcceptedCmpOverall]]=1,"Campaign Respondent","Non-respondent")</f>
        <v>Non-respondent</v>
      </c>
    </row>
    <row r="1647" spans="1:58" x14ac:dyDescent="0.35">
      <c r="A1647">
        <v>1915</v>
      </c>
      <c r="B1647">
        <v>34587</v>
      </c>
      <c r="C1647">
        <v>1</v>
      </c>
      <c r="D1647">
        <v>1</v>
      </c>
      <c r="E1647">
        <v>68</v>
      </c>
      <c r="F1647">
        <v>7</v>
      </c>
      <c r="G1647">
        <v>2</v>
      </c>
      <c r="H1647">
        <v>9</v>
      </c>
      <c r="I1647">
        <v>2</v>
      </c>
      <c r="J1647">
        <v>0</v>
      </c>
      <c r="K1647">
        <v>2</v>
      </c>
      <c r="L1647">
        <v>2</v>
      </c>
      <c r="M1647">
        <v>1</v>
      </c>
      <c r="N1647">
        <v>0</v>
      </c>
      <c r="O1647">
        <v>3</v>
      </c>
      <c r="P1647">
        <v>4</v>
      </c>
      <c r="Q1647">
        <v>0</v>
      </c>
      <c r="R1647">
        <v>0</v>
      </c>
      <c r="S1647">
        <v>0</v>
      </c>
      <c r="T1647">
        <v>0</v>
      </c>
      <c r="U1647">
        <v>0</v>
      </c>
      <c r="V1647">
        <f>IF(SUM(ifood_data[[#This Row],[AcceptedCmp1]:[AcceptedCmp5]])&gt;0,1,0)</f>
        <v>0</v>
      </c>
      <c r="W1647">
        <v>0</v>
      </c>
      <c r="X1647">
        <v>3</v>
      </c>
      <c r="Y1647">
        <v>11</v>
      </c>
      <c r="Z1647">
        <v>0</v>
      </c>
      <c r="AA1647">
        <v>67</v>
      </c>
      <c r="AB1647">
        <v>2203</v>
      </c>
      <c r="AC1647" s="28">
        <f>ifood_data[[#This Row],[Customer_Days]]/365</f>
        <v>6.0356164383561648</v>
      </c>
      <c r="AD1647">
        <v>0</v>
      </c>
      <c r="AE1647">
        <v>0</v>
      </c>
      <c r="AF1647">
        <v>0</v>
      </c>
      <c r="AG1647">
        <v>1</v>
      </c>
      <c r="AH1647">
        <v>0</v>
      </c>
      <c r="AI1647">
        <v>0</v>
      </c>
      <c r="AJ1647">
        <v>0</v>
      </c>
      <c r="AK1647">
        <v>1</v>
      </c>
      <c r="AL1647">
        <v>0</v>
      </c>
      <c r="AM1647">
        <v>0</v>
      </c>
      <c r="AN1647">
        <v>20</v>
      </c>
      <c r="AO1647">
        <v>18</v>
      </c>
      <c r="AP1647">
        <f>ifood_data[[#This Row],[MntTotal]]-ifood_data[[#This Row],[MntRegularProds]]</f>
        <v>2</v>
      </c>
      <c r="AQ1647">
        <v>0</v>
      </c>
      <c r="AR1647">
        <f>IF(SUM(ifood_data[[#This Row],[Kidhome]:[Teenhome]])&gt;0,1,0)</f>
        <v>1</v>
      </c>
      <c r="AS1647" t="str">
        <f>IF(SUM(ifood_data[[#This Row],[Kidhome]:[Teenhome]])&gt;0,"Has Family","No Family")</f>
        <v>Has Family</v>
      </c>
      <c r="AT1647" t="str">
        <f>IF(ifood_data[[#This Row],[marital_Married]]=1,"Married", (IF(ifood_data[[#This Row],[marital_Single]]=1,"Single",(IF(ifood_data[[#This Row],[marital_Divorced]]=1,"Divorced",(IF(ifood_data[[#This Row],[marital_Together]]=1,"Living Together",(IF(ifood_data[[#This Row],[marital_Widow]]=1,"Widow","Other")))))))))</f>
        <v>Living Together</v>
      </c>
      <c r="AU1647" t="str">
        <f>IF(ifood_data[[#This Row],[education_Basic]]=1,"High School",(IF(ifood_data[[#This Row],[education_Graduation]]=1,"Undergraduate Degree",(IF(SUM(AM1647,AL1647,AI1647)&gt;0,"Master's Degree or Higher","Other")))))</f>
        <v>Undergraduate Degree</v>
      </c>
      <c r="AV1647" t="str">
        <f>IF(ifood_data[[#All],[Income]]&gt;75000,"75K+",(IF(ifood_data[[#All],[Income]]&gt;50000,"50K-75K",(IF(ifood_data[[#All],[Income]]&gt;35000,"35K-50K","&lt;35K")))))</f>
        <v>&lt;35K</v>
      </c>
      <c r="AW1647" t="str">
        <f>IF(ifood_data[[#All],[Age]]&gt;60,"60+",(IF(ifood_data[[#All],[Age]]&gt;50,"50-60",(IF(ifood_data[[#All],[Age]]&gt;40,"40-50",(IF(ifood_data[[#All],[Age]]&gt;30,"30-40","&lt;30")))))))</f>
        <v>60+</v>
      </c>
      <c r="AX1647">
        <f t="shared" si="100"/>
        <v>10</v>
      </c>
      <c r="AY1647">
        <f t="shared" si="101"/>
        <v>4</v>
      </c>
      <c r="AZ1647">
        <f t="shared" si="102"/>
        <v>0</v>
      </c>
      <c r="BA1647">
        <f t="shared" si="103"/>
        <v>0</v>
      </c>
      <c r="BB1647">
        <f>SUM(ifood_data[[#This Row],[Recency Score]:[Monetary Score]])</f>
        <v>4</v>
      </c>
      <c r="BC1647">
        <f>(_xlfn.PERCENTRANK.INC(ifood_data[[#All],[RFM]],ifood_data[[#This Row],[RFM]],1))*10</f>
        <v>0</v>
      </c>
      <c r="BD1647" t="str">
        <f>VLOOKUP(ifood_data[[#This Row],[RFM Score]],'RFM Analysis'!$A$3:$B$14,2,FALSE)</f>
        <v>Lost</v>
      </c>
      <c r="BE1647">
        <f>'Regression Models'!$B$101+'Regression Models'!$B$102*ifood_data[[#This Row],[Income]]+'Regression Models'!$B$103*ifood_data[[#This Row],[Age]]+'Regression Models'!$B$104*ifood_data[[#This Row],[Family]]</f>
        <v>104.71601815963299</v>
      </c>
      <c r="BF1647" t="str">
        <f>IF(ifood_data[[#This Row],[AcceptedCmpOverall]]=1,"Campaign Respondent","Non-respondent")</f>
        <v>Non-respondent</v>
      </c>
    </row>
    <row r="1648" spans="1:58" x14ac:dyDescent="0.35">
      <c r="A1648">
        <v>1883</v>
      </c>
      <c r="B1648">
        <v>31761</v>
      </c>
      <c r="C1648">
        <v>1</v>
      </c>
      <c r="D1648">
        <v>0</v>
      </c>
      <c r="E1648">
        <v>96</v>
      </c>
      <c r="F1648">
        <v>19</v>
      </c>
      <c r="G1648">
        <v>1</v>
      </c>
      <c r="H1648">
        <v>20</v>
      </c>
      <c r="I1648">
        <v>16</v>
      </c>
      <c r="J1648">
        <v>14</v>
      </c>
      <c r="K1648">
        <v>28</v>
      </c>
      <c r="L1648">
        <v>2</v>
      </c>
      <c r="M1648">
        <v>3</v>
      </c>
      <c r="N1648">
        <v>0</v>
      </c>
      <c r="O1648">
        <v>4</v>
      </c>
      <c r="P1648">
        <v>5</v>
      </c>
      <c r="Q1648">
        <v>0</v>
      </c>
      <c r="R1648">
        <v>0</v>
      </c>
      <c r="S1648">
        <v>0</v>
      </c>
      <c r="T1648">
        <v>0</v>
      </c>
      <c r="U1648">
        <v>0</v>
      </c>
      <c r="V1648">
        <f>IF(SUM(ifood_data[[#This Row],[AcceptedCmp1]:[AcceptedCmp5]])&gt;0,1,0)</f>
        <v>0</v>
      </c>
      <c r="W1648">
        <v>0</v>
      </c>
      <c r="X1648">
        <v>3</v>
      </c>
      <c r="Y1648">
        <v>11</v>
      </c>
      <c r="Z1648">
        <v>0</v>
      </c>
      <c r="AA1648">
        <v>36</v>
      </c>
      <c r="AB1648">
        <v>2244</v>
      </c>
      <c r="AC1648" s="28">
        <f>ifood_data[[#This Row],[Customer_Days]]/365</f>
        <v>6.1479452054794521</v>
      </c>
      <c r="AD1648">
        <v>0</v>
      </c>
      <c r="AE1648">
        <v>1</v>
      </c>
      <c r="AF1648">
        <v>0</v>
      </c>
      <c r="AG1648">
        <v>0</v>
      </c>
      <c r="AH1648">
        <v>0</v>
      </c>
      <c r="AI1648">
        <v>0</v>
      </c>
      <c r="AJ1648">
        <v>0</v>
      </c>
      <c r="AK1648">
        <v>1</v>
      </c>
      <c r="AL1648">
        <v>0</v>
      </c>
      <c r="AM1648">
        <v>0</v>
      </c>
      <c r="AN1648">
        <v>70</v>
      </c>
      <c r="AO1648">
        <v>42</v>
      </c>
      <c r="AP1648">
        <f>ifood_data[[#This Row],[MntTotal]]-ifood_data[[#This Row],[MntRegularProds]]</f>
        <v>28</v>
      </c>
      <c r="AQ1648">
        <v>0</v>
      </c>
      <c r="AR1648">
        <f>IF(SUM(ifood_data[[#This Row],[Kidhome]:[Teenhome]])&gt;0,1,0)</f>
        <v>1</v>
      </c>
      <c r="AS1648" t="str">
        <f>IF(SUM(ifood_data[[#This Row],[Kidhome]:[Teenhome]])&gt;0,"Has Family","No Family")</f>
        <v>Has Family</v>
      </c>
      <c r="AT1648" t="str">
        <f>IF(ifood_data[[#This Row],[marital_Married]]=1,"Married", (IF(ifood_data[[#This Row],[marital_Single]]=1,"Single",(IF(ifood_data[[#This Row],[marital_Divorced]]=1,"Divorced",(IF(ifood_data[[#This Row],[marital_Together]]=1,"Living Together",(IF(ifood_data[[#This Row],[marital_Widow]]=1,"Widow","Other")))))))))</f>
        <v>Married</v>
      </c>
      <c r="AU1648" t="str">
        <f>IF(ifood_data[[#This Row],[education_Basic]]=1,"High School",(IF(ifood_data[[#This Row],[education_Graduation]]=1,"Undergraduate Degree",(IF(SUM(AM1648,AL1648,AI1648)&gt;0,"Master's Degree or Higher","Other")))))</f>
        <v>Undergraduate Degree</v>
      </c>
      <c r="AV1648" t="str">
        <f>IF(ifood_data[[#All],[Income]]&gt;75000,"75K+",(IF(ifood_data[[#All],[Income]]&gt;50000,"50K-75K",(IF(ifood_data[[#All],[Income]]&gt;35000,"35K-50K","&lt;35K")))))</f>
        <v>&lt;35K</v>
      </c>
      <c r="AW1648" t="str">
        <f>IF(ifood_data[[#All],[Age]]&gt;60,"60+",(IF(ifood_data[[#All],[Age]]&gt;50,"50-60",(IF(ifood_data[[#All],[Age]]&gt;40,"40-50",(IF(ifood_data[[#All],[Age]]&gt;30,"30-40","&lt;30")))))))</f>
        <v>30-40</v>
      </c>
      <c r="AX1648">
        <f t="shared" si="100"/>
        <v>14</v>
      </c>
      <c r="AY1648">
        <f t="shared" si="101"/>
        <v>0.99999999999999978</v>
      </c>
      <c r="AZ1648">
        <f t="shared" si="102"/>
        <v>2</v>
      </c>
      <c r="BA1648">
        <f t="shared" si="103"/>
        <v>3</v>
      </c>
      <c r="BB1648">
        <f>SUM(ifood_data[[#This Row],[Recency Score]:[Monetary Score]])</f>
        <v>6</v>
      </c>
      <c r="BC1648">
        <f>(_xlfn.PERCENTRANK.INC(ifood_data[[#All],[RFM]],ifood_data[[#This Row],[RFM]],1))*10</f>
        <v>0</v>
      </c>
      <c r="BD1648" t="str">
        <f>VLOOKUP(ifood_data[[#This Row],[RFM Score]],'RFM Analysis'!$A$3:$B$14,2,FALSE)</f>
        <v>Lost</v>
      </c>
      <c r="BE1648">
        <f>'Regression Models'!$B$101+'Regression Models'!$B$102*ifood_data[[#This Row],[Income]]+'Regression Models'!$B$103*ifood_data[[#This Row],[Age]]+'Regression Models'!$B$104*ifood_data[[#This Row],[Family]]</f>
        <v>104.02697083069728</v>
      </c>
      <c r="BF1648" t="str">
        <f>IF(ifood_data[[#This Row],[AcceptedCmpOverall]]=1,"Campaign Respondent","Non-respondent")</f>
        <v>Non-respondent</v>
      </c>
    </row>
    <row r="1649" spans="1:58" x14ac:dyDescent="0.35">
      <c r="A1649">
        <v>158</v>
      </c>
      <c r="B1649">
        <v>33456</v>
      </c>
      <c r="C1649">
        <v>1</v>
      </c>
      <c r="D1649">
        <v>1</v>
      </c>
      <c r="E1649">
        <v>58</v>
      </c>
      <c r="F1649">
        <v>7</v>
      </c>
      <c r="G1649">
        <v>3</v>
      </c>
      <c r="H1649">
        <v>10</v>
      </c>
      <c r="I1649">
        <v>8</v>
      </c>
      <c r="J1649">
        <v>1</v>
      </c>
      <c r="K1649">
        <v>7</v>
      </c>
      <c r="L1649">
        <v>2</v>
      </c>
      <c r="M1649">
        <v>1</v>
      </c>
      <c r="N1649">
        <v>0</v>
      </c>
      <c r="O1649">
        <v>3</v>
      </c>
      <c r="P1649">
        <v>7</v>
      </c>
      <c r="Q1649">
        <v>0</v>
      </c>
      <c r="R1649">
        <v>0</v>
      </c>
      <c r="S1649">
        <v>0</v>
      </c>
      <c r="T1649">
        <v>0</v>
      </c>
      <c r="U1649">
        <v>0</v>
      </c>
      <c r="V1649">
        <f>IF(SUM(ifood_data[[#This Row],[AcceptedCmp1]:[AcceptedCmp5]])&gt;0,1,0)</f>
        <v>0</v>
      </c>
      <c r="W1649">
        <v>0</v>
      </c>
      <c r="X1649">
        <v>3</v>
      </c>
      <c r="Y1649">
        <v>11</v>
      </c>
      <c r="Z1649">
        <v>0</v>
      </c>
      <c r="AA1649">
        <v>55</v>
      </c>
      <c r="AB1649">
        <v>2228</v>
      </c>
      <c r="AC1649" s="28">
        <f>ifood_data[[#This Row],[Customer_Days]]/365</f>
        <v>6.1041095890410961</v>
      </c>
      <c r="AD1649">
        <v>0</v>
      </c>
      <c r="AE1649">
        <v>0</v>
      </c>
      <c r="AF1649">
        <v>0</v>
      </c>
      <c r="AG1649">
        <v>1</v>
      </c>
      <c r="AH1649">
        <v>0</v>
      </c>
      <c r="AI1649">
        <v>0</v>
      </c>
      <c r="AJ1649">
        <v>0</v>
      </c>
      <c r="AK1649">
        <v>1</v>
      </c>
      <c r="AL1649">
        <v>0</v>
      </c>
      <c r="AM1649">
        <v>0</v>
      </c>
      <c r="AN1649">
        <v>29</v>
      </c>
      <c r="AO1649">
        <v>22</v>
      </c>
      <c r="AP1649">
        <f>ifood_data[[#This Row],[MntTotal]]-ifood_data[[#This Row],[MntRegularProds]]</f>
        <v>7</v>
      </c>
      <c r="AQ1649">
        <v>0</v>
      </c>
      <c r="AR1649">
        <f>IF(SUM(ifood_data[[#This Row],[Kidhome]:[Teenhome]])&gt;0,1,0)</f>
        <v>1</v>
      </c>
      <c r="AS1649" t="str">
        <f>IF(SUM(ifood_data[[#This Row],[Kidhome]:[Teenhome]])&gt;0,"Has Family","No Family")</f>
        <v>Has Family</v>
      </c>
      <c r="AT1649" t="str">
        <f>IF(ifood_data[[#This Row],[marital_Married]]=1,"Married", (IF(ifood_data[[#This Row],[marital_Single]]=1,"Single",(IF(ifood_data[[#This Row],[marital_Divorced]]=1,"Divorced",(IF(ifood_data[[#This Row],[marital_Together]]=1,"Living Together",(IF(ifood_data[[#This Row],[marital_Widow]]=1,"Widow","Other")))))))))</f>
        <v>Living Together</v>
      </c>
      <c r="AU1649" t="str">
        <f>IF(ifood_data[[#This Row],[education_Basic]]=1,"High School",(IF(ifood_data[[#This Row],[education_Graduation]]=1,"Undergraduate Degree",(IF(SUM(AM1649,AL1649,AI1649)&gt;0,"Master's Degree or Higher","Other")))))</f>
        <v>Undergraduate Degree</v>
      </c>
      <c r="AV1649" t="str">
        <f>IF(ifood_data[[#All],[Income]]&gt;75000,"75K+",(IF(ifood_data[[#All],[Income]]&gt;50000,"50K-75K",(IF(ifood_data[[#All],[Income]]&gt;35000,"35K-50K","&lt;35K")))))</f>
        <v>&lt;35K</v>
      </c>
      <c r="AW1649" t="str">
        <f>IF(ifood_data[[#All],[Age]]&gt;60,"60+",(IF(ifood_data[[#All],[Age]]&gt;50,"50-60",(IF(ifood_data[[#All],[Age]]&gt;40,"40-50",(IF(ifood_data[[#All],[Age]]&gt;30,"30-40","&lt;30")))))))</f>
        <v>50-60</v>
      </c>
      <c r="AX1649">
        <f t="shared" si="100"/>
        <v>13</v>
      </c>
      <c r="AY1649">
        <f t="shared" si="101"/>
        <v>5</v>
      </c>
      <c r="AZ1649">
        <f t="shared" si="102"/>
        <v>1</v>
      </c>
      <c r="BA1649">
        <f t="shared" si="103"/>
        <v>1</v>
      </c>
      <c r="BB1649">
        <f>SUM(ifood_data[[#This Row],[Recency Score]:[Monetary Score]])</f>
        <v>7</v>
      </c>
      <c r="BC1649">
        <f>(_xlfn.PERCENTRANK.INC(ifood_data[[#All],[RFM]],ifood_data[[#This Row],[RFM]],1))*10</f>
        <v>1</v>
      </c>
      <c r="BD1649" t="str">
        <f>VLOOKUP(ifood_data[[#This Row],[RFM Score]],'RFM Analysis'!$A$3:$B$14,2,FALSE)</f>
        <v>At Risk</v>
      </c>
      <c r="BE1649">
        <f>'Regression Models'!$B$101+'Regression Models'!$B$102*ifood_data[[#This Row],[Income]]+'Regression Models'!$B$103*ifood_data[[#This Row],[Age]]+'Regression Models'!$B$104*ifood_data[[#This Row],[Family]]</f>
        <v>103.69359033561454</v>
      </c>
      <c r="BF1649" t="str">
        <f>IF(ifood_data[[#This Row],[AcceptedCmpOverall]]=1,"Campaign Respondent","Non-respondent")</f>
        <v>Non-respondent</v>
      </c>
    </row>
    <row r="1650" spans="1:58" x14ac:dyDescent="0.35">
      <c r="A1650">
        <v>1147</v>
      </c>
      <c r="B1650">
        <v>33629</v>
      </c>
      <c r="C1650">
        <v>1</v>
      </c>
      <c r="D1650">
        <v>1</v>
      </c>
      <c r="E1650">
        <v>49</v>
      </c>
      <c r="F1650">
        <v>132</v>
      </c>
      <c r="G1650">
        <v>0</v>
      </c>
      <c r="H1650">
        <v>16</v>
      </c>
      <c r="I1650">
        <v>0</v>
      </c>
      <c r="J1650">
        <v>0</v>
      </c>
      <c r="K1650">
        <v>4</v>
      </c>
      <c r="L1650">
        <v>5</v>
      </c>
      <c r="M1650">
        <v>3</v>
      </c>
      <c r="N1650">
        <v>1</v>
      </c>
      <c r="O1650">
        <v>4</v>
      </c>
      <c r="P1650">
        <v>9</v>
      </c>
      <c r="Q1650">
        <v>0</v>
      </c>
      <c r="R1650">
        <v>0</v>
      </c>
      <c r="S1650">
        <v>0</v>
      </c>
      <c r="T1650">
        <v>0</v>
      </c>
      <c r="U1650">
        <v>0</v>
      </c>
      <c r="V1650">
        <f>IF(SUM(ifood_data[[#This Row],[AcceptedCmp1]:[AcceptedCmp5]])&gt;0,1,0)</f>
        <v>0</v>
      </c>
      <c r="W1650">
        <v>0</v>
      </c>
      <c r="X1650">
        <v>3</v>
      </c>
      <c r="Y1650">
        <v>11</v>
      </c>
      <c r="Z1650">
        <v>0</v>
      </c>
      <c r="AA1650">
        <v>57</v>
      </c>
      <c r="AB1650">
        <v>2849</v>
      </c>
      <c r="AC1650" s="28">
        <f>ifood_data[[#This Row],[Customer_Days]]/365</f>
        <v>7.8054794520547945</v>
      </c>
      <c r="AD1650">
        <v>0</v>
      </c>
      <c r="AE1650">
        <v>0</v>
      </c>
      <c r="AF1650">
        <v>0</v>
      </c>
      <c r="AG1650">
        <v>1</v>
      </c>
      <c r="AH1650">
        <v>0</v>
      </c>
      <c r="AI1650">
        <v>0</v>
      </c>
      <c r="AJ1650">
        <v>0</v>
      </c>
      <c r="AK1650">
        <v>0</v>
      </c>
      <c r="AL1650">
        <v>0</v>
      </c>
      <c r="AM1650">
        <v>1</v>
      </c>
      <c r="AN1650">
        <v>148</v>
      </c>
      <c r="AO1650">
        <v>144</v>
      </c>
      <c r="AP1650">
        <f>ifood_data[[#This Row],[MntTotal]]-ifood_data[[#This Row],[MntRegularProds]]</f>
        <v>4</v>
      </c>
      <c r="AQ1650">
        <v>0</v>
      </c>
      <c r="AR1650">
        <f>IF(SUM(ifood_data[[#This Row],[Kidhome]:[Teenhome]])&gt;0,1,0)</f>
        <v>1</v>
      </c>
      <c r="AS1650" t="str">
        <f>IF(SUM(ifood_data[[#This Row],[Kidhome]:[Teenhome]])&gt;0,"Has Family","No Family")</f>
        <v>Has Family</v>
      </c>
      <c r="AT1650" t="str">
        <f>IF(ifood_data[[#This Row],[marital_Married]]=1,"Married", (IF(ifood_data[[#This Row],[marital_Single]]=1,"Single",(IF(ifood_data[[#This Row],[marital_Divorced]]=1,"Divorced",(IF(ifood_data[[#This Row],[marital_Together]]=1,"Living Together",(IF(ifood_data[[#This Row],[marital_Widow]]=1,"Widow","Other")))))))))</f>
        <v>Living Together</v>
      </c>
      <c r="AU1650" t="str">
        <f>IF(ifood_data[[#This Row],[education_Basic]]=1,"High School",(IF(ifood_data[[#This Row],[education_Graduation]]=1,"Undergraduate Degree",(IF(SUM(AM1650,AL1650,AI1650)&gt;0,"Master's Degree or Higher","Other")))))</f>
        <v>Master's Degree or Higher</v>
      </c>
      <c r="AV1650" t="str">
        <f>IF(ifood_data[[#All],[Income]]&gt;75000,"75K+",(IF(ifood_data[[#All],[Income]]&gt;50000,"50K-75K",(IF(ifood_data[[#All],[Income]]&gt;35000,"35K-50K","&lt;35K")))))</f>
        <v>&lt;35K</v>
      </c>
      <c r="AW1650" t="str">
        <f>IF(ifood_data[[#All],[Age]]&gt;60,"60+",(IF(ifood_data[[#All],[Age]]&gt;50,"50-60",(IF(ifood_data[[#All],[Age]]&gt;40,"40-50",(IF(ifood_data[[#All],[Age]]&gt;30,"30-40","&lt;30")))))))</f>
        <v>50-60</v>
      </c>
      <c r="AX1650">
        <f t="shared" si="100"/>
        <v>22</v>
      </c>
      <c r="AY1650">
        <f t="shared" si="101"/>
        <v>6</v>
      </c>
      <c r="AZ1650">
        <f t="shared" si="102"/>
        <v>5</v>
      </c>
      <c r="BA1650">
        <f t="shared" si="103"/>
        <v>3</v>
      </c>
      <c r="BB1650">
        <f>SUM(ifood_data[[#This Row],[Recency Score]:[Monetary Score]])</f>
        <v>14</v>
      </c>
      <c r="BC1650">
        <f>(_xlfn.PERCENTRANK.INC(ifood_data[[#All],[RFM]],ifood_data[[#This Row],[RFM]],1))*10</f>
        <v>4</v>
      </c>
      <c r="BD1650" t="str">
        <f>VLOOKUP(ifood_data[[#This Row],[RFM Score]],'RFM Analysis'!$A$3:$B$14,2,FALSE)</f>
        <v>At Risk</v>
      </c>
      <c r="BE1650">
        <f>'Regression Models'!$B$101+'Regression Models'!$B$102*ifood_data[[#This Row],[Income]]+'Regression Models'!$B$103*ifood_data[[#This Row],[Age]]+'Regression Models'!$B$104*ifood_data[[#This Row],[Family]]</f>
        <v>103.5479690667205</v>
      </c>
      <c r="BF1650" t="str">
        <f>IF(ifood_data[[#This Row],[AcceptedCmpOverall]]=1,"Campaign Respondent","Non-respondent")</f>
        <v>Non-respondent</v>
      </c>
    </row>
    <row r="1651" spans="1:58" x14ac:dyDescent="0.35">
      <c r="A1651">
        <v>884</v>
      </c>
      <c r="B1651">
        <v>32892</v>
      </c>
      <c r="C1651">
        <v>1</v>
      </c>
      <c r="D1651">
        <v>0</v>
      </c>
      <c r="E1651">
        <v>78</v>
      </c>
      <c r="F1651">
        <v>26</v>
      </c>
      <c r="G1651">
        <v>0</v>
      </c>
      <c r="H1651">
        <v>15</v>
      </c>
      <c r="I1651">
        <v>2</v>
      </c>
      <c r="J1651">
        <v>1</v>
      </c>
      <c r="K1651">
        <v>2</v>
      </c>
      <c r="L1651">
        <v>2</v>
      </c>
      <c r="M1651">
        <v>3</v>
      </c>
      <c r="N1651">
        <v>0</v>
      </c>
      <c r="O1651">
        <v>3</v>
      </c>
      <c r="P1651">
        <v>8</v>
      </c>
      <c r="Q1651">
        <v>0</v>
      </c>
      <c r="R1651">
        <v>0</v>
      </c>
      <c r="S1651">
        <v>0</v>
      </c>
      <c r="T1651">
        <v>0</v>
      </c>
      <c r="U1651">
        <v>0</v>
      </c>
      <c r="V1651">
        <f>IF(SUM(ifood_data[[#This Row],[AcceptedCmp1]:[AcceptedCmp5]])&gt;0,1,0)</f>
        <v>0</v>
      </c>
      <c r="W1651">
        <v>0</v>
      </c>
      <c r="X1651">
        <v>3</v>
      </c>
      <c r="Y1651">
        <v>11</v>
      </c>
      <c r="Z1651">
        <v>0</v>
      </c>
      <c r="AA1651">
        <v>49</v>
      </c>
      <c r="AB1651">
        <v>2194</v>
      </c>
      <c r="AC1651" s="28">
        <f>ifood_data[[#This Row],[Customer_Days]]/365</f>
        <v>6.0109589041095894</v>
      </c>
      <c r="AD1651">
        <v>0</v>
      </c>
      <c r="AE1651">
        <v>0</v>
      </c>
      <c r="AF1651">
        <v>0</v>
      </c>
      <c r="AG1651">
        <v>1</v>
      </c>
      <c r="AH1651">
        <v>0</v>
      </c>
      <c r="AI1651">
        <v>0</v>
      </c>
      <c r="AJ1651">
        <v>0</v>
      </c>
      <c r="AK1651">
        <v>0</v>
      </c>
      <c r="AL1651">
        <v>0</v>
      </c>
      <c r="AM1651">
        <v>1</v>
      </c>
      <c r="AN1651">
        <v>44</v>
      </c>
      <c r="AO1651">
        <v>42</v>
      </c>
      <c r="AP1651">
        <f>ifood_data[[#This Row],[MntTotal]]-ifood_data[[#This Row],[MntRegularProds]]</f>
        <v>2</v>
      </c>
      <c r="AQ1651">
        <v>0</v>
      </c>
      <c r="AR1651">
        <f>IF(SUM(ifood_data[[#This Row],[Kidhome]:[Teenhome]])&gt;0,1,0)</f>
        <v>1</v>
      </c>
      <c r="AS1651" t="str">
        <f>IF(SUM(ifood_data[[#This Row],[Kidhome]:[Teenhome]])&gt;0,"Has Family","No Family")</f>
        <v>Has Family</v>
      </c>
      <c r="AT1651" t="str">
        <f>IF(ifood_data[[#This Row],[marital_Married]]=1,"Married", (IF(ifood_data[[#This Row],[marital_Single]]=1,"Single",(IF(ifood_data[[#This Row],[marital_Divorced]]=1,"Divorced",(IF(ifood_data[[#This Row],[marital_Together]]=1,"Living Together",(IF(ifood_data[[#This Row],[marital_Widow]]=1,"Widow","Other")))))))))</f>
        <v>Living Together</v>
      </c>
      <c r="AU1651" t="str">
        <f>IF(ifood_data[[#This Row],[education_Basic]]=1,"High School",(IF(ifood_data[[#This Row],[education_Graduation]]=1,"Undergraduate Degree",(IF(SUM(AM1651,AL1651,AI1651)&gt;0,"Master's Degree or Higher","Other")))))</f>
        <v>Master's Degree or Higher</v>
      </c>
      <c r="AV1651" t="str">
        <f>IF(ifood_data[[#All],[Income]]&gt;75000,"75K+",(IF(ifood_data[[#All],[Income]]&gt;50000,"50K-75K",(IF(ifood_data[[#All],[Income]]&gt;35000,"35K-50K","&lt;35K")))))</f>
        <v>&lt;35K</v>
      </c>
      <c r="AW1651" t="str">
        <f>IF(ifood_data[[#All],[Age]]&gt;60,"60+",(IF(ifood_data[[#All],[Age]]&gt;50,"50-60",(IF(ifood_data[[#All],[Age]]&gt;40,"40-50",(IF(ifood_data[[#All],[Age]]&gt;30,"30-40","&lt;30")))))))</f>
        <v>40-50</v>
      </c>
      <c r="AX1651">
        <f t="shared" si="100"/>
        <v>16</v>
      </c>
      <c r="AY1651">
        <f t="shared" si="101"/>
        <v>3.0000000000000004</v>
      </c>
      <c r="AZ1651">
        <f t="shared" si="102"/>
        <v>3</v>
      </c>
      <c r="BA1651">
        <f t="shared" si="103"/>
        <v>2</v>
      </c>
      <c r="BB1651">
        <f>SUM(ifood_data[[#This Row],[Recency Score]:[Monetary Score]])</f>
        <v>8</v>
      </c>
      <c r="BC1651">
        <f>(_xlfn.PERCENTRANK.INC(ifood_data[[#All],[RFM]],ifood_data[[#This Row],[RFM]],1))*10</f>
        <v>1</v>
      </c>
      <c r="BD1651" t="str">
        <f>VLOOKUP(ifood_data[[#This Row],[RFM Score]],'RFM Analysis'!$A$3:$B$14,2,FALSE)</f>
        <v>At Risk</v>
      </c>
      <c r="BE1651">
        <f>'Regression Models'!$B$101+'Regression Models'!$B$102*ifood_data[[#This Row],[Income]]+'Regression Models'!$B$103*ifood_data[[#This Row],[Age]]+'Regression Models'!$B$104*ifood_data[[#This Row],[Family]]</f>
        <v>103.21295957582129</v>
      </c>
      <c r="BF1651" t="str">
        <f>IF(ifood_data[[#This Row],[AcceptedCmpOverall]]=1,"Campaign Respondent","Non-respondent")</f>
        <v>Non-respondent</v>
      </c>
    </row>
    <row r="1652" spans="1:58" x14ac:dyDescent="0.35">
      <c r="A1652">
        <v>256</v>
      </c>
      <c r="B1652">
        <v>31788</v>
      </c>
      <c r="C1652">
        <v>1</v>
      </c>
      <c r="D1652">
        <v>0</v>
      </c>
      <c r="E1652">
        <v>15</v>
      </c>
      <c r="F1652">
        <v>16</v>
      </c>
      <c r="G1652">
        <v>7</v>
      </c>
      <c r="H1652">
        <v>23</v>
      </c>
      <c r="I1652">
        <v>0</v>
      </c>
      <c r="J1652">
        <v>8</v>
      </c>
      <c r="K1652">
        <v>6</v>
      </c>
      <c r="L1652">
        <v>3</v>
      </c>
      <c r="M1652">
        <v>3</v>
      </c>
      <c r="N1652">
        <v>0</v>
      </c>
      <c r="O1652">
        <v>4</v>
      </c>
      <c r="P1652">
        <v>5</v>
      </c>
      <c r="Q1652">
        <v>0</v>
      </c>
      <c r="R1652">
        <v>0</v>
      </c>
      <c r="S1652">
        <v>0</v>
      </c>
      <c r="T1652">
        <v>0</v>
      </c>
      <c r="U1652">
        <v>0</v>
      </c>
      <c r="V1652">
        <f>IF(SUM(ifood_data[[#This Row],[AcceptedCmp1]:[AcceptedCmp5]])&gt;0,1,0)</f>
        <v>0</v>
      </c>
      <c r="W1652">
        <v>1</v>
      </c>
      <c r="X1652">
        <v>3</v>
      </c>
      <c r="Y1652">
        <v>11</v>
      </c>
      <c r="Z1652">
        <v>0</v>
      </c>
      <c r="AA1652">
        <v>37</v>
      </c>
      <c r="AB1652">
        <v>2260</v>
      </c>
      <c r="AC1652" s="28">
        <f>ifood_data[[#This Row],[Customer_Days]]/365</f>
        <v>6.1917808219178081</v>
      </c>
      <c r="AD1652">
        <v>0</v>
      </c>
      <c r="AE1652">
        <v>0</v>
      </c>
      <c r="AF1652">
        <v>1</v>
      </c>
      <c r="AG1652">
        <v>0</v>
      </c>
      <c r="AH1652">
        <v>0</v>
      </c>
      <c r="AI1652">
        <v>0</v>
      </c>
      <c r="AJ1652">
        <v>0</v>
      </c>
      <c r="AK1652">
        <v>0</v>
      </c>
      <c r="AL1652">
        <v>1</v>
      </c>
      <c r="AM1652">
        <v>0</v>
      </c>
      <c r="AN1652">
        <v>54</v>
      </c>
      <c r="AO1652">
        <v>48</v>
      </c>
      <c r="AP1652">
        <f>ifood_data[[#This Row],[MntTotal]]-ifood_data[[#This Row],[MntRegularProds]]</f>
        <v>6</v>
      </c>
      <c r="AQ1652">
        <v>0</v>
      </c>
      <c r="AR1652">
        <f>IF(SUM(ifood_data[[#This Row],[Kidhome]:[Teenhome]])&gt;0,1,0)</f>
        <v>1</v>
      </c>
      <c r="AS1652" t="str">
        <f>IF(SUM(ifood_data[[#This Row],[Kidhome]:[Teenhome]])&gt;0,"Has Family","No Family")</f>
        <v>Has Family</v>
      </c>
      <c r="AT1652" t="str">
        <f>IF(ifood_data[[#This Row],[marital_Married]]=1,"Married", (IF(ifood_data[[#This Row],[marital_Single]]=1,"Single",(IF(ifood_data[[#This Row],[marital_Divorced]]=1,"Divorced",(IF(ifood_data[[#This Row],[marital_Together]]=1,"Living Together",(IF(ifood_data[[#This Row],[marital_Widow]]=1,"Widow","Other")))))))))</f>
        <v>Single</v>
      </c>
      <c r="AU1652" t="str">
        <f>IF(ifood_data[[#This Row],[education_Basic]]=1,"High School",(IF(ifood_data[[#This Row],[education_Graduation]]=1,"Undergraduate Degree",(IF(SUM(AM1652,AL1652,AI1652)&gt;0,"Master's Degree or Higher","Other")))))</f>
        <v>Master's Degree or Higher</v>
      </c>
      <c r="AV1652" t="str">
        <f>IF(ifood_data[[#All],[Income]]&gt;75000,"75K+",(IF(ifood_data[[#All],[Income]]&gt;50000,"50K-75K",(IF(ifood_data[[#All],[Income]]&gt;35000,"35K-50K","&lt;35K")))))</f>
        <v>&lt;35K</v>
      </c>
      <c r="AW1652" t="str">
        <f>IF(ifood_data[[#All],[Age]]&gt;60,"60+",(IF(ifood_data[[#All],[Age]]&gt;50,"50-60",(IF(ifood_data[[#All],[Age]]&gt;40,"40-50",(IF(ifood_data[[#All],[Age]]&gt;30,"30-40","&lt;30")))))))</f>
        <v>30-40</v>
      </c>
      <c r="AX1652">
        <f t="shared" si="100"/>
        <v>15</v>
      </c>
      <c r="AY1652">
        <f t="shared" si="101"/>
        <v>9</v>
      </c>
      <c r="AZ1652">
        <f t="shared" si="102"/>
        <v>2</v>
      </c>
      <c r="BA1652">
        <f t="shared" si="103"/>
        <v>2</v>
      </c>
      <c r="BB1652">
        <f>SUM(ifood_data[[#This Row],[Recency Score]:[Monetary Score]])</f>
        <v>13</v>
      </c>
      <c r="BC1652">
        <f>(_xlfn.PERCENTRANK.INC(ifood_data[[#All],[RFM]],ifood_data[[#This Row],[RFM]],1))*10</f>
        <v>3</v>
      </c>
      <c r="BD1652" t="str">
        <f>VLOOKUP(ifood_data[[#This Row],[RFM Score]],'RFM Analysis'!$A$3:$B$14,2,FALSE)</f>
        <v>At Risk</v>
      </c>
      <c r="BE1652">
        <f>'Regression Models'!$B$101+'Regression Models'!$B$102*ifood_data[[#This Row],[Income]]+'Regression Models'!$B$103*ifood_data[[#This Row],[Age]]+'Regression Models'!$B$104*ifood_data[[#This Row],[Family]]</f>
        <v>102.74102849168827</v>
      </c>
      <c r="BF1652" t="str">
        <f>IF(ifood_data[[#This Row],[AcceptedCmpOverall]]=1,"Campaign Respondent","Non-respondent")</f>
        <v>Non-respondent</v>
      </c>
    </row>
    <row r="1653" spans="1:58" x14ac:dyDescent="0.35">
      <c r="A1653">
        <v>2010</v>
      </c>
      <c r="B1653">
        <v>33562</v>
      </c>
      <c r="C1653">
        <v>1</v>
      </c>
      <c r="D1653">
        <v>2</v>
      </c>
      <c r="E1653">
        <v>33</v>
      </c>
      <c r="F1653">
        <v>21</v>
      </c>
      <c r="G1653">
        <v>12</v>
      </c>
      <c r="H1653">
        <v>12</v>
      </c>
      <c r="I1653">
        <v>0</v>
      </c>
      <c r="J1653">
        <v>3</v>
      </c>
      <c r="K1653">
        <v>3</v>
      </c>
      <c r="L1653">
        <v>3</v>
      </c>
      <c r="M1653">
        <v>2</v>
      </c>
      <c r="N1653">
        <v>0</v>
      </c>
      <c r="O1653">
        <v>4</v>
      </c>
      <c r="P1653">
        <v>4</v>
      </c>
      <c r="Q1653">
        <v>0</v>
      </c>
      <c r="R1653">
        <v>0</v>
      </c>
      <c r="S1653">
        <v>0</v>
      </c>
      <c r="T1653">
        <v>0</v>
      </c>
      <c r="U1653">
        <v>0</v>
      </c>
      <c r="V1653">
        <f>IF(SUM(ifood_data[[#This Row],[AcceptedCmp1]:[AcceptedCmp5]])&gt;0,1,0)</f>
        <v>0</v>
      </c>
      <c r="W1653">
        <v>0</v>
      </c>
      <c r="X1653">
        <v>3</v>
      </c>
      <c r="Y1653">
        <v>11</v>
      </c>
      <c r="Z1653">
        <v>0</v>
      </c>
      <c r="AA1653">
        <v>57</v>
      </c>
      <c r="AB1653">
        <v>2163</v>
      </c>
      <c r="AC1653" s="28">
        <f>ifood_data[[#This Row],[Customer_Days]]/365</f>
        <v>5.9260273972602739</v>
      </c>
      <c r="AD1653">
        <v>0</v>
      </c>
      <c r="AE1653">
        <v>1</v>
      </c>
      <c r="AF1653">
        <v>0</v>
      </c>
      <c r="AG1653">
        <v>0</v>
      </c>
      <c r="AH1653">
        <v>0</v>
      </c>
      <c r="AI1653">
        <v>0</v>
      </c>
      <c r="AJ1653">
        <v>0</v>
      </c>
      <c r="AK1653">
        <v>0</v>
      </c>
      <c r="AL1653">
        <v>1</v>
      </c>
      <c r="AM1653">
        <v>0</v>
      </c>
      <c r="AN1653">
        <v>48</v>
      </c>
      <c r="AO1653">
        <v>45</v>
      </c>
      <c r="AP1653">
        <f>ifood_data[[#This Row],[MntTotal]]-ifood_data[[#This Row],[MntRegularProds]]</f>
        <v>3</v>
      </c>
      <c r="AQ1653">
        <v>0</v>
      </c>
      <c r="AR1653">
        <f>IF(SUM(ifood_data[[#This Row],[Kidhome]:[Teenhome]])&gt;0,1,0)</f>
        <v>1</v>
      </c>
      <c r="AS1653" t="str">
        <f>IF(SUM(ifood_data[[#This Row],[Kidhome]:[Teenhome]])&gt;0,"Has Family","No Family")</f>
        <v>Has Family</v>
      </c>
      <c r="AT1653" t="str">
        <f>IF(ifood_data[[#This Row],[marital_Married]]=1,"Married", (IF(ifood_data[[#This Row],[marital_Single]]=1,"Single",(IF(ifood_data[[#This Row],[marital_Divorced]]=1,"Divorced",(IF(ifood_data[[#This Row],[marital_Together]]=1,"Living Together",(IF(ifood_data[[#This Row],[marital_Widow]]=1,"Widow","Other")))))))))</f>
        <v>Married</v>
      </c>
      <c r="AU1653" t="str">
        <f>IF(ifood_data[[#This Row],[education_Basic]]=1,"High School",(IF(ifood_data[[#This Row],[education_Graduation]]=1,"Undergraduate Degree",(IF(SUM(AM1653,AL1653,AI1653)&gt;0,"Master's Degree or Higher","Other")))))</f>
        <v>Master's Degree or Higher</v>
      </c>
      <c r="AV1653" t="str">
        <f>IF(ifood_data[[#All],[Income]]&gt;75000,"75K+",(IF(ifood_data[[#All],[Income]]&gt;50000,"50K-75K",(IF(ifood_data[[#All],[Income]]&gt;35000,"35K-50K","&lt;35K")))))</f>
        <v>&lt;35K</v>
      </c>
      <c r="AW1653" t="str">
        <f>IF(ifood_data[[#All],[Age]]&gt;60,"60+",(IF(ifood_data[[#All],[Age]]&gt;50,"50-60",(IF(ifood_data[[#All],[Age]]&gt;40,"40-50",(IF(ifood_data[[#All],[Age]]&gt;30,"30-40","&lt;30")))))))</f>
        <v>50-60</v>
      </c>
      <c r="AX1653">
        <f t="shared" si="100"/>
        <v>13</v>
      </c>
      <c r="AY1653">
        <f t="shared" si="101"/>
        <v>7</v>
      </c>
      <c r="AZ1653">
        <f t="shared" si="102"/>
        <v>1</v>
      </c>
      <c r="BA1653">
        <f t="shared" si="103"/>
        <v>2</v>
      </c>
      <c r="BB1653">
        <f>SUM(ifood_data[[#This Row],[Recency Score]:[Monetary Score]])</f>
        <v>10</v>
      </c>
      <c r="BC1653">
        <f>(_xlfn.PERCENTRANK.INC(ifood_data[[#All],[RFM]],ifood_data[[#This Row],[RFM]],1))*10</f>
        <v>2</v>
      </c>
      <c r="BD1653" t="str">
        <f>VLOOKUP(ifood_data[[#This Row],[RFM Score]],'RFM Analysis'!$A$3:$B$14,2,FALSE)</f>
        <v>At Risk</v>
      </c>
      <c r="BE1653">
        <f>'Regression Models'!$B$101+'Regression Models'!$B$102*ifood_data[[#This Row],[Income]]+'Regression Models'!$B$103*ifood_data[[#This Row],[Age]]+'Regression Models'!$B$104*ifood_data[[#This Row],[Family]]</f>
        <v>102.18192160107935</v>
      </c>
      <c r="BF1653" t="str">
        <f>IF(ifood_data[[#This Row],[AcceptedCmpOverall]]=1,"Campaign Respondent","Non-respondent")</f>
        <v>Non-respondent</v>
      </c>
    </row>
    <row r="1654" spans="1:58" x14ac:dyDescent="0.35">
      <c r="A1654">
        <v>1822</v>
      </c>
      <c r="B1654">
        <v>32644</v>
      </c>
      <c r="C1654">
        <v>1</v>
      </c>
      <c r="D1654">
        <v>0</v>
      </c>
      <c r="E1654">
        <v>38</v>
      </c>
      <c r="F1654">
        <v>239</v>
      </c>
      <c r="G1654">
        <v>3</v>
      </c>
      <c r="H1654">
        <v>141</v>
      </c>
      <c r="I1654">
        <v>0</v>
      </c>
      <c r="J1654">
        <v>7</v>
      </c>
      <c r="K1654">
        <v>23</v>
      </c>
      <c r="L1654">
        <v>4</v>
      </c>
      <c r="M1654">
        <v>7</v>
      </c>
      <c r="N1654">
        <v>1</v>
      </c>
      <c r="O1654">
        <v>6</v>
      </c>
      <c r="P1654">
        <v>8</v>
      </c>
      <c r="Q1654">
        <v>0</v>
      </c>
      <c r="R1654">
        <v>0</v>
      </c>
      <c r="S1654">
        <v>1</v>
      </c>
      <c r="T1654">
        <v>0</v>
      </c>
      <c r="U1654">
        <v>0</v>
      </c>
      <c r="V1654">
        <f>IF(SUM(ifood_data[[#This Row],[AcceptedCmp1]:[AcceptedCmp5]])&gt;0,1,0)</f>
        <v>1</v>
      </c>
      <c r="W1654">
        <v>0</v>
      </c>
      <c r="X1654">
        <v>3</v>
      </c>
      <c r="Y1654">
        <v>11</v>
      </c>
      <c r="Z1654">
        <v>0</v>
      </c>
      <c r="AA1654">
        <v>47</v>
      </c>
      <c r="AB1654">
        <v>2688</v>
      </c>
      <c r="AC1654" s="28">
        <f>ifood_data[[#This Row],[Customer_Days]]/365</f>
        <v>7.3643835616438356</v>
      </c>
      <c r="AD1654">
        <v>0</v>
      </c>
      <c r="AE1654">
        <v>1</v>
      </c>
      <c r="AF1654">
        <v>0</v>
      </c>
      <c r="AG1654">
        <v>0</v>
      </c>
      <c r="AH1654">
        <v>0</v>
      </c>
      <c r="AI1654">
        <v>0</v>
      </c>
      <c r="AJ1654">
        <v>0</v>
      </c>
      <c r="AK1654">
        <v>0</v>
      </c>
      <c r="AL1654">
        <v>0</v>
      </c>
      <c r="AM1654">
        <v>1</v>
      </c>
      <c r="AN1654">
        <v>390</v>
      </c>
      <c r="AO1654">
        <v>367</v>
      </c>
      <c r="AP1654">
        <f>ifood_data[[#This Row],[MntTotal]]-ifood_data[[#This Row],[MntRegularProds]]</f>
        <v>23</v>
      </c>
      <c r="AQ1654">
        <v>1</v>
      </c>
      <c r="AR1654">
        <f>IF(SUM(ifood_data[[#This Row],[Kidhome]:[Teenhome]])&gt;0,1,0)</f>
        <v>1</v>
      </c>
      <c r="AS1654" t="str">
        <f>IF(SUM(ifood_data[[#This Row],[Kidhome]:[Teenhome]])&gt;0,"Has Family","No Family")</f>
        <v>Has Family</v>
      </c>
      <c r="AT1654" t="str">
        <f>IF(ifood_data[[#This Row],[marital_Married]]=1,"Married", (IF(ifood_data[[#This Row],[marital_Single]]=1,"Single",(IF(ifood_data[[#This Row],[marital_Divorced]]=1,"Divorced",(IF(ifood_data[[#This Row],[marital_Together]]=1,"Living Together",(IF(ifood_data[[#This Row],[marital_Widow]]=1,"Widow","Other")))))))))</f>
        <v>Married</v>
      </c>
      <c r="AU1654" t="str">
        <f>IF(ifood_data[[#This Row],[education_Basic]]=1,"High School",(IF(ifood_data[[#This Row],[education_Graduation]]=1,"Undergraduate Degree",(IF(SUM(AM1654,AL1654,AI1654)&gt;0,"Master's Degree or Higher","Other")))))</f>
        <v>Master's Degree or Higher</v>
      </c>
      <c r="AV1654" t="str">
        <f>IF(ifood_data[[#All],[Income]]&gt;75000,"75K+",(IF(ifood_data[[#All],[Income]]&gt;50000,"50K-75K",(IF(ifood_data[[#All],[Income]]&gt;35000,"35K-50K","&lt;35K")))))</f>
        <v>&lt;35K</v>
      </c>
      <c r="AW1654" t="str">
        <f>IF(ifood_data[[#All],[Age]]&gt;60,"60+",(IF(ifood_data[[#All],[Age]]&gt;50,"50-60",(IF(ifood_data[[#All],[Age]]&gt;40,"40-50",(IF(ifood_data[[#All],[Age]]&gt;30,"30-40","&lt;30")))))))</f>
        <v>40-50</v>
      </c>
      <c r="AX1654">
        <f t="shared" si="100"/>
        <v>26</v>
      </c>
      <c r="AY1654">
        <f t="shared" si="101"/>
        <v>7</v>
      </c>
      <c r="AZ1654">
        <f t="shared" si="102"/>
        <v>7</v>
      </c>
      <c r="BA1654">
        <f t="shared" si="103"/>
        <v>5</v>
      </c>
      <c r="BB1654">
        <f>SUM(ifood_data[[#This Row],[Recency Score]:[Monetary Score]])</f>
        <v>19</v>
      </c>
      <c r="BC1654">
        <f>(_xlfn.PERCENTRANK.INC(ifood_data[[#All],[RFM]],ifood_data[[#This Row],[RFM]],1))*10</f>
        <v>7</v>
      </c>
      <c r="BD1654" t="str">
        <f>VLOOKUP(ifood_data[[#This Row],[RFM Score]],'RFM Analysis'!$A$3:$B$14,2,FALSE)</f>
        <v>Loyal Customer</v>
      </c>
      <c r="BE1654">
        <f>'Regression Models'!$B$101+'Regression Models'!$B$102*ifood_data[[#This Row],[Income]]+'Regression Models'!$B$103*ifood_data[[#This Row],[Age]]+'Regression Models'!$B$104*ifood_data[[#This Row],[Family]]</f>
        <v>101.82942323392285</v>
      </c>
      <c r="BF1654" t="str">
        <f>IF(ifood_data[[#This Row],[AcceptedCmpOverall]]=1,"Campaign Respondent","Non-respondent")</f>
        <v>Campaign Respondent</v>
      </c>
    </row>
    <row r="1655" spans="1:58" x14ac:dyDescent="0.35">
      <c r="A1655">
        <v>126</v>
      </c>
      <c r="B1655">
        <v>33762</v>
      </c>
      <c r="C1655">
        <v>2</v>
      </c>
      <c r="D1655">
        <v>1</v>
      </c>
      <c r="E1655">
        <v>61</v>
      </c>
      <c r="F1655">
        <v>53</v>
      </c>
      <c r="G1655">
        <v>1</v>
      </c>
      <c r="H1655">
        <v>34</v>
      </c>
      <c r="I1655">
        <v>2</v>
      </c>
      <c r="J1655">
        <v>0</v>
      </c>
      <c r="K1655">
        <v>16</v>
      </c>
      <c r="L1655">
        <v>3</v>
      </c>
      <c r="M1655">
        <v>2</v>
      </c>
      <c r="N1655">
        <v>2</v>
      </c>
      <c r="O1655">
        <v>2</v>
      </c>
      <c r="P1655">
        <v>8</v>
      </c>
      <c r="Q1655">
        <v>0</v>
      </c>
      <c r="R1655">
        <v>0</v>
      </c>
      <c r="S1655">
        <v>0</v>
      </c>
      <c r="T1655">
        <v>0</v>
      </c>
      <c r="U1655">
        <v>0</v>
      </c>
      <c r="V1655">
        <f>IF(SUM(ifood_data[[#This Row],[AcceptedCmp1]:[AcceptedCmp5]])&gt;0,1,0)</f>
        <v>0</v>
      </c>
      <c r="W1655">
        <v>0</v>
      </c>
      <c r="X1655">
        <v>3</v>
      </c>
      <c r="Y1655">
        <v>11</v>
      </c>
      <c r="Z1655">
        <v>0</v>
      </c>
      <c r="AA1655">
        <v>61</v>
      </c>
      <c r="AB1655">
        <v>2516</v>
      </c>
      <c r="AC1655" s="28">
        <f>ifood_data[[#This Row],[Customer_Days]]/365</f>
        <v>6.8931506849315065</v>
      </c>
      <c r="AD1655">
        <v>0</v>
      </c>
      <c r="AE1655">
        <v>1</v>
      </c>
      <c r="AF1655">
        <v>0</v>
      </c>
      <c r="AG1655">
        <v>0</v>
      </c>
      <c r="AH1655">
        <v>0</v>
      </c>
      <c r="AI1655">
        <v>0</v>
      </c>
      <c r="AJ1655">
        <v>0</v>
      </c>
      <c r="AK1655">
        <v>0</v>
      </c>
      <c r="AL1655">
        <v>0</v>
      </c>
      <c r="AM1655">
        <v>1</v>
      </c>
      <c r="AN1655">
        <v>90</v>
      </c>
      <c r="AO1655">
        <v>74</v>
      </c>
      <c r="AP1655">
        <f>ifood_data[[#This Row],[MntTotal]]-ifood_data[[#This Row],[MntRegularProds]]</f>
        <v>16</v>
      </c>
      <c r="AQ1655">
        <v>0</v>
      </c>
      <c r="AR1655">
        <f>IF(SUM(ifood_data[[#This Row],[Kidhome]:[Teenhome]])&gt;0,1,0)</f>
        <v>1</v>
      </c>
      <c r="AS1655" t="str">
        <f>IF(SUM(ifood_data[[#This Row],[Kidhome]:[Teenhome]])&gt;0,"Has Family","No Family")</f>
        <v>Has Family</v>
      </c>
      <c r="AT1655" t="str">
        <f>IF(ifood_data[[#This Row],[marital_Married]]=1,"Married", (IF(ifood_data[[#This Row],[marital_Single]]=1,"Single",(IF(ifood_data[[#This Row],[marital_Divorced]]=1,"Divorced",(IF(ifood_data[[#This Row],[marital_Together]]=1,"Living Together",(IF(ifood_data[[#This Row],[marital_Widow]]=1,"Widow","Other")))))))))</f>
        <v>Married</v>
      </c>
      <c r="AU1655" t="str">
        <f>IF(ifood_data[[#This Row],[education_Basic]]=1,"High School",(IF(ifood_data[[#This Row],[education_Graduation]]=1,"Undergraduate Degree",(IF(SUM(AM1655,AL1655,AI1655)&gt;0,"Master's Degree or Higher","Other")))))</f>
        <v>Master's Degree or Higher</v>
      </c>
      <c r="AV1655" t="str">
        <f>IF(ifood_data[[#All],[Income]]&gt;75000,"75K+",(IF(ifood_data[[#All],[Income]]&gt;50000,"50K-75K",(IF(ifood_data[[#All],[Income]]&gt;35000,"35K-50K","&lt;35K")))))</f>
        <v>&lt;35K</v>
      </c>
      <c r="AW1655" t="str">
        <f>IF(ifood_data[[#All],[Age]]&gt;60,"60+",(IF(ifood_data[[#All],[Age]]&gt;50,"50-60",(IF(ifood_data[[#All],[Age]]&gt;40,"40-50",(IF(ifood_data[[#All],[Age]]&gt;30,"30-40","&lt;30")))))))</f>
        <v>60+</v>
      </c>
      <c r="AX1655">
        <f t="shared" si="100"/>
        <v>17</v>
      </c>
      <c r="AY1655">
        <f t="shared" si="101"/>
        <v>4</v>
      </c>
      <c r="AZ1655">
        <f t="shared" si="102"/>
        <v>3</v>
      </c>
      <c r="BA1655">
        <f t="shared" si="103"/>
        <v>3</v>
      </c>
      <c r="BB1655">
        <f>SUM(ifood_data[[#This Row],[Recency Score]:[Monetary Score]])</f>
        <v>10</v>
      </c>
      <c r="BC1655">
        <f>(_xlfn.PERCENTRANK.INC(ifood_data[[#All],[RFM]],ifood_data[[#This Row],[RFM]],1))*10</f>
        <v>2</v>
      </c>
      <c r="BD1655" t="str">
        <f>VLOOKUP(ifood_data[[#This Row],[RFM Score]],'RFM Analysis'!$A$3:$B$14,2,FALSE)</f>
        <v>At Risk</v>
      </c>
      <c r="BE1655">
        <f>'Regression Models'!$B$101+'Regression Models'!$B$102*ifood_data[[#This Row],[Income]]+'Regression Models'!$B$103*ifood_data[[#This Row],[Age]]+'Regression Models'!$B$104*ifood_data[[#This Row],[Family]]</f>
        <v>98.913918914282021</v>
      </c>
      <c r="BF1655" t="str">
        <f>IF(ifood_data[[#This Row],[AcceptedCmpOverall]]=1,"Campaign Respondent","Non-respondent")</f>
        <v>Non-respondent</v>
      </c>
    </row>
    <row r="1656" spans="1:58" x14ac:dyDescent="0.35">
      <c r="A1656">
        <v>1610</v>
      </c>
      <c r="B1656">
        <v>31859</v>
      </c>
      <c r="C1656">
        <v>1</v>
      </c>
      <c r="D1656">
        <v>0</v>
      </c>
      <c r="E1656">
        <v>3</v>
      </c>
      <c r="F1656">
        <v>3</v>
      </c>
      <c r="G1656">
        <v>4</v>
      </c>
      <c r="H1656">
        <v>7</v>
      </c>
      <c r="I1656">
        <v>15</v>
      </c>
      <c r="J1656">
        <v>8</v>
      </c>
      <c r="K1656">
        <v>11</v>
      </c>
      <c r="L1656">
        <v>1</v>
      </c>
      <c r="M1656">
        <v>1</v>
      </c>
      <c r="N1656">
        <v>0</v>
      </c>
      <c r="O1656">
        <v>3</v>
      </c>
      <c r="P1656">
        <v>7</v>
      </c>
      <c r="Q1656">
        <v>0</v>
      </c>
      <c r="R1656">
        <v>0</v>
      </c>
      <c r="S1656">
        <v>0</v>
      </c>
      <c r="T1656">
        <v>0</v>
      </c>
      <c r="U1656">
        <v>0</v>
      </c>
      <c r="V1656">
        <f>IF(SUM(ifood_data[[#This Row],[AcceptedCmp1]:[AcceptedCmp5]])&gt;0,1,0)</f>
        <v>0</v>
      </c>
      <c r="W1656">
        <v>0</v>
      </c>
      <c r="X1656">
        <v>3</v>
      </c>
      <c r="Y1656">
        <v>11</v>
      </c>
      <c r="Z1656">
        <v>0</v>
      </c>
      <c r="AA1656">
        <v>40</v>
      </c>
      <c r="AB1656">
        <v>2281</v>
      </c>
      <c r="AC1656" s="28">
        <f>ifood_data[[#This Row],[Customer_Days]]/365</f>
        <v>6.2493150684931509</v>
      </c>
      <c r="AD1656">
        <v>0</v>
      </c>
      <c r="AE1656">
        <v>0</v>
      </c>
      <c r="AF1656">
        <v>1</v>
      </c>
      <c r="AG1656">
        <v>0</v>
      </c>
      <c r="AH1656">
        <v>0</v>
      </c>
      <c r="AI1656">
        <v>1</v>
      </c>
      <c r="AJ1656">
        <v>0</v>
      </c>
      <c r="AK1656">
        <v>0</v>
      </c>
      <c r="AL1656">
        <v>0</v>
      </c>
      <c r="AM1656">
        <v>0</v>
      </c>
      <c r="AN1656">
        <v>37</v>
      </c>
      <c r="AO1656">
        <v>26</v>
      </c>
      <c r="AP1656">
        <f>ifood_data[[#This Row],[MntTotal]]-ifood_data[[#This Row],[MntRegularProds]]</f>
        <v>11</v>
      </c>
      <c r="AQ1656">
        <v>0</v>
      </c>
      <c r="AR1656">
        <f>IF(SUM(ifood_data[[#This Row],[Kidhome]:[Teenhome]])&gt;0,1,0)</f>
        <v>1</v>
      </c>
      <c r="AS1656" t="str">
        <f>IF(SUM(ifood_data[[#This Row],[Kidhome]:[Teenhome]])&gt;0,"Has Family","No Family")</f>
        <v>Has Family</v>
      </c>
      <c r="AT1656" t="str">
        <f>IF(ifood_data[[#This Row],[marital_Married]]=1,"Married", (IF(ifood_data[[#This Row],[marital_Single]]=1,"Single",(IF(ifood_data[[#This Row],[marital_Divorced]]=1,"Divorced",(IF(ifood_data[[#This Row],[marital_Together]]=1,"Living Together",(IF(ifood_data[[#This Row],[marital_Widow]]=1,"Widow","Other")))))))))</f>
        <v>Single</v>
      </c>
      <c r="AU1656" t="str">
        <f>IF(ifood_data[[#This Row],[education_Basic]]=1,"High School",(IF(ifood_data[[#This Row],[education_Graduation]]=1,"Undergraduate Degree",(IF(SUM(AM1656,AL1656,AI1656)&gt;0,"Master's Degree or Higher","Other")))))</f>
        <v>Master's Degree or Higher</v>
      </c>
      <c r="AV1656" t="str">
        <f>IF(ifood_data[[#All],[Income]]&gt;75000,"75K+",(IF(ifood_data[[#All],[Income]]&gt;50000,"50K-75K",(IF(ifood_data[[#All],[Income]]&gt;35000,"35K-50K","&lt;35K")))))</f>
        <v>&lt;35K</v>
      </c>
      <c r="AW1656" t="str">
        <f>IF(ifood_data[[#All],[Age]]&gt;60,"60+",(IF(ifood_data[[#All],[Age]]&gt;50,"50-60",(IF(ifood_data[[#All],[Age]]&gt;40,"40-50",(IF(ifood_data[[#All],[Age]]&gt;30,"30-40","&lt;30")))))))</f>
        <v>30-40</v>
      </c>
      <c r="AX1656">
        <f t="shared" si="100"/>
        <v>12</v>
      </c>
      <c r="AY1656">
        <f t="shared" si="101"/>
        <v>10</v>
      </c>
      <c r="AZ1656">
        <f t="shared" si="102"/>
        <v>1</v>
      </c>
      <c r="BA1656">
        <f t="shared" si="103"/>
        <v>1</v>
      </c>
      <c r="BB1656">
        <f>SUM(ifood_data[[#This Row],[Recency Score]:[Monetary Score]])</f>
        <v>12</v>
      </c>
      <c r="BC1656">
        <f>(_xlfn.PERCENTRANK.INC(ifood_data[[#All],[RFM]],ifood_data[[#This Row],[RFM]],1))*10</f>
        <v>3</v>
      </c>
      <c r="BD1656" t="str">
        <f>VLOOKUP(ifood_data[[#This Row],[RFM Score]],'RFM Analysis'!$A$3:$B$14,2,FALSE)</f>
        <v>At Risk</v>
      </c>
      <c r="BE1656">
        <f>'Regression Models'!$B$101+'Regression Models'!$B$102*ifood_data[[#This Row],[Income]]+'Regression Models'!$B$103*ifood_data[[#This Row],[Age]]+'Regression Models'!$B$104*ifood_data[[#This Row],[Family]]</f>
        <v>98.67931379322215</v>
      </c>
      <c r="BF1656" t="str">
        <f>IF(ifood_data[[#This Row],[AcceptedCmpOverall]]=1,"Campaign Respondent","Non-respondent")</f>
        <v>Non-respondent</v>
      </c>
    </row>
    <row r="1657" spans="1:58" x14ac:dyDescent="0.35">
      <c r="A1657">
        <v>259</v>
      </c>
      <c r="B1657">
        <v>33378</v>
      </c>
      <c r="C1657">
        <v>1</v>
      </c>
      <c r="D1657">
        <v>1</v>
      </c>
      <c r="E1657">
        <v>38</v>
      </c>
      <c r="F1657">
        <v>33</v>
      </c>
      <c r="G1657">
        <v>6</v>
      </c>
      <c r="H1657">
        <v>40</v>
      </c>
      <c r="I1657">
        <v>3</v>
      </c>
      <c r="J1657">
        <v>7</v>
      </c>
      <c r="K1657">
        <v>10</v>
      </c>
      <c r="L1657">
        <v>3</v>
      </c>
      <c r="M1657">
        <v>2</v>
      </c>
      <c r="N1657">
        <v>0</v>
      </c>
      <c r="O1657">
        <v>4</v>
      </c>
      <c r="P1657">
        <v>7</v>
      </c>
      <c r="Q1657">
        <v>0</v>
      </c>
      <c r="R1657">
        <v>0</v>
      </c>
      <c r="S1657">
        <v>0</v>
      </c>
      <c r="T1657">
        <v>0</v>
      </c>
      <c r="U1657">
        <v>0</v>
      </c>
      <c r="V1657">
        <f>IF(SUM(ifood_data[[#This Row],[AcceptedCmp1]:[AcceptedCmp5]])&gt;0,1,0)</f>
        <v>0</v>
      </c>
      <c r="W1657">
        <v>0</v>
      </c>
      <c r="X1657">
        <v>3</v>
      </c>
      <c r="Y1657">
        <v>11</v>
      </c>
      <c r="Z1657">
        <v>0</v>
      </c>
      <c r="AA1657">
        <v>57</v>
      </c>
      <c r="AB1657">
        <v>2667</v>
      </c>
      <c r="AC1657" s="28">
        <f>ifood_data[[#This Row],[Customer_Days]]/365</f>
        <v>7.3068493150684928</v>
      </c>
      <c r="AD1657">
        <v>1</v>
      </c>
      <c r="AE1657">
        <v>0</v>
      </c>
      <c r="AF1657">
        <v>0</v>
      </c>
      <c r="AG1657">
        <v>0</v>
      </c>
      <c r="AH1657">
        <v>0</v>
      </c>
      <c r="AI1657">
        <v>0</v>
      </c>
      <c r="AJ1657">
        <v>0</v>
      </c>
      <c r="AK1657">
        <v>1</v>
      </c>
      <c r="AL1657">
        <v>0</v>
      </c>
      <c r="AM1657">
        <v>0</v>
      </c>
      <c r="AN1657">
        <v>89</v>
      </c>
      <c r="AO1657">
        <v>79</v>
      </c>
      <c r="AP1657">
        <f>ifood_data[[#This Row],[MntTotal]]-ifood_data[[#This Row],[MntRegularProds]]</f>
        <v>10</v>
      </c>
      <c r="AQ1657">
        <v>0</v>
      </c>
      <c r="AR1657">
        <f>IF(SUM(ifood_data[[#This Row],[Kidhome]:[Teenhome]])&gt;0,1,0)</f>
        <v>1</v>
      </c>
      <c r="AS1657" t="str">
        <f>IF(SUM(ifood_data[[#This Row],[Kidhome]:[Teenhome]])&gt;0,"Has Family","No Family")</f>
        <v>Has Family</v>
      </c>
      <c r="AT1657" t="str">
        <f>IF(ifood_data[[#This Row],[marital_Married]]=1,"Married", (IF(ifood_data[[#This Row],[marital_Single]]=1,"Single",(IF(ifood_data[[#This Row],[marital_Divorced]]=1,"Divorced",(IF(ifood_data[[#This Row],[marital_Together]]=1,"Living Together",(IF(ifood_data[[#This Row],[marital_Widow]]=1,"Widow","Other")))))))))</f>
        <v>Divorced</v>
      </c>
      <c r="AU1657" t="str">
        <f>IF(ifood_data[[#This Row],[education_Basic]]=1,"High School",(IF(ifood_data[[#This Row],[education_Graduation]]=1,"Undergraduate Degree",(IF(SUM(AM1657,AL1657,AI1657)&gt;0,"Master's Degree or Higher","Other")))))</f>
        <v>Undergraduate Degree</v>
      </c>
      <c r="AV1657" t="str">
        <f>IF(ifood_data[[#All],[Income]]&gt;75000,"75K+",(IF(ifood_data[[#All],[Income]]&gt;50000,"50K-75K",(IF(ifood_data[[#All],[Income]]&gt;35000,"35K-50K","&lt;35K")))))</f>
        <v>&lt;35K</v>
      </c>
      <c r="AW1657" t="str">
        <f>IF(ifood_data[[#All],[Age]]&gt;60,"60+",(IF(ifood_data[[#All],[Age]]&gt;50,"50-60",(IF(ifood_data[[#All],[Age]]&gt;40,"40-50",(IF(ifood_data[[#All],[Age]]&gt;30,"30-40","&lt;30")))))))</f>
        <v>50-60</v>
      </c>
      <c r="AX1657">
        <f t="shared" si="100"/>
        <v>16</v>
      </c>
      <c r="AY1657">
        <f t="shared" si="101"/>
        <v>7</v>
      </c>
      <c r="AZ1657">
        <f t="shared" si="102"/>
        <v>3</v>
      </c>
      <c r="BA1657">
        <f t="shared" si="103"/>
        <v>3</v>
      </c>
      <c r="BB1657">
        <f>SUM(ifood_data[[#This Row],[Recency Score]:[Monetary Score]])</f>
        <v>13</v>
      </c>
      <c r="BC1657">
        <f>(_xlfn.PERCENTRANK.INC(ifood_data[[#All],[RFM]],ifood_data[[#This Row],[RFM]],1))*10</f>
        <v>3</v>
      </c>
      <c r="BD1657" t="str">
        <f>VLOOKUP(ifood_data[[#This Row],[RFM Score]],'RFM Analysis'!$A$3:$B$14,2,FALSE)</f>
        <v>At Risk</v>
      </c>
      <c r="BE1657">
        <f>'Regression Models'!$B$101+'Regression Models'!$B$102*ifood_data[[#This Row],[Income]]+'Regression Models'!$B$103*ifood_data[[#This Row],[Age]]+'Regression Models'!$B$104*ifood_data[[#This Row],[Family]]</f>
        <v>98.430388262601923</v>
      </c>
      <c r="BF1657" t="str">
        <f>IF(ifood_data[[#This Row],[AcceptedCmpOverall]]=1,"Campaign Respondent","Non-respondent")</f>
        <v>Non-respondent</v>
      </c>
    </row>
    <row r="1658" spans="1:58" x14ac:dyDescent="0.35">
      <c r="A1658">
        <v>988</v>
      </c>
      <c r="B1658">
        <v>33168</v>
      </c>
      <c r="C1658">
        <v>0</v>
      </c>
      <c r="D1658">
        <v>1</v>
      </c>
      <c r="E1658">
        <v>0</v>
      </c>
      <c r="F1658">
        <v>80</v>
      </c>
      <c r="G1658">
        <v>1</v>
      </c>
      <c r="H1658">
        <v>37</v>
      </c>
      <c r="I1658">
        <v>0</v>
      </c>
      <c r="J1658">
        <v>1</v>
      </c>
      <c r="K1658">
        <v>3</v>
      </c>
      <c r="L1658">
        <v>3</v>
      </c>
      <c r="M1658">
        <v>2</v>
      </c>
      <c r="N1658">
        <v>1</v>
      </c>
      <c r="O1658">
        <v>4</v>
      </c>
      <c r="P1658">
        <v>7</v>
      </c>
      <c r="Q1658">
        <v>0</v>
      </c>
      <c r="R1658">
        <v>0</v>
      </c>
      <c r="S1658">
        <v>0</v>
      </c>
      <c r="T1658">
        <v>0</v>
      </c>
      <c r="U1658">
        <v>0</v>
      </c>
      <c r="V1658">
        <f>IF(SUM(ifood_data[[#This Row],[AcceptedCmp1]:[AcceptedCmp5]])&gt;0,1,0)</f>
        <v>0</v>
      </c>
      <c r="W1658">
        <v>0</v>
      </c>
      <c r="X1658">
        <v>3</v>
      </c>
      <c r="Y1658">
        <v>11</v>
      </c>
      <c r="Z1658">
        <v>0</v>
      </c>
      <c r="AA1658">
        <v>55</v>
      </c>
      <c r="AB1658">
        <v>2783</v>
      </c>
      <c r="AC1658" s="28">
        <f>ifood_data[[#This Row],[Customer_Days]]/365</f>
        <v>7.624657534246575</v>
      </c>
      <c r="AD1658">
        <v>0</v>
      </c>
      <c r="AE1658">
        <v>0</v>
      </c>
      <c r="AF1658">
        <v>1</v>
      </c>
      <c r="AG1658">
        <v>0</v>
      </c>
      <c r="AH1658">
        <v>0</v>
      </c>
      <c r="AI1658">
        <v>0</v>
      </c>
      <c r="AJ1658">
        <v>0</v>
      </c>
      <c r="AK1658">
        <v>0</v>
      </c>
      <c r="AL1658">
        <v>1</v>
      </c>
      <c r="AM1658">
        <v>0</v>
      </c>
      <c r="AN1658">
        <v>119</v>
      </c>
      <c r="AO1658">
        <v>116</v>
      </c>
      <c r="AP1658">
        <f>ifood_data[[#This Row],[MntTotal]]-ifood_data[[#This Row],[MntRegularProds]]</f>
        <v>3</v>
      </c>
      <c r="AQ1658">
        <v>0</v>
      </c>
      <c r="AR1658">
        <f>IF(SUM(ifood_data[[#This Row],[Kidhome]:[Teenhome]])&gt;0,1,0)</f>
        <v>1</v>
      </c>
      <c r="AS1658" t="str">
        <f>IF(SUM(ifood_data[[#This Row],[Kidhome]:[Teenhome]])&gt;0,"Has Family","No Family")</f>
        <v>Has Family</v>
      </c>
      <c r="AT1658" t="str">
        <f>IF(ifood_data[[#This Row],[marital_Married]]=1,"Married", (IF(ifood_data[[#This Row],[marital_Single]]=1,"Single",(IF(ifood_data[[#This Row],[marital_Divorced]]=1,"Divorced",(IF(ifood_data[[#This Row],[marital_Together]]=1,"Living Together",(IF(ifood_data[[#This Row],[marital_Widow]]=1,"Widow","Other")))))))))</f>
        <v>Single</v>
      </c>
      <c r="AU1658" t="str">
        <f>IF(ifood_data[[#This Row],[education_Basic]]=1,"High School",(IF(ifood_data[[#This Row],[education_Graduation]]=1,"Undergraduate Degree",(IF(SUM(AM1658,AL1658,AI1658)&gt;0,"Master's Degree or Higher","Other")))))</f>
        <v>Master's Degree or Higher</v>
      </c>
      <c r="AV1658" t="str">
        <f>IF(ifood_data[[#All],[Income]]&gt;75000,"75K+",(IF(ifood_data[[#All],[Income]]&gt;50000,"50K-75K",(IF(ifood_data[[#All],[Income]]&gt;35000,"35K-50K","&lt;35K")))))</f>
        <v>&lt;35K</v>
      </c>
      <c r="AW1658" t="str">
        <f>IF(ifood_data[[#All],[Age]]&gt;60,"60+",(IF(ifood_data[[#All],[Age]]&gt;50,"50-60",(IF(ifood_data[[#All],[Age]]&gt;40,"40-50",(IF(ifood_data[[#All],[Age]]&gt;30,"30-40","&lt;30")))))))</f>
        <v>50-60</v>
      </c>
      <c r="AX1658">
        <f t="shared" si="100"/>
        <v>17</v>
      </c>
      <c r="AY1658">
        <f t="shared" si="101"/>
        <v>10</v>
      </c>
      <c r="AZ1658">
        <f t="shared" si="102"/>
        <v>3</v>
      </c>
      <c r="BA1658">
        <f t="shared" si="103"/>
        <v>3</v>
      </c>
      <c r="BB1658">
        <f>SUM(ifood_data[[#This Row],[Recency Score]:[Monetary Score]])</f>
        <v>16</v>
      </c>
      <c r="BC1658">
        <f>(_xlfn.PERCENTRANK.INC(ifood_data[[#All],[RFM]],ifood_data[[#This Row],[RFM]],1))*10</f>
        <v>5</v>
      </c>
      <c r="BD1658" t="str">
        <f>VLOOKUP(ifood_data[[#This Row],[RFM Score]],'RFM Analysis'!$A$3:$B$14,2,FALSE)</f>
        <v>Promising</v>
      </c>
      <c r="BE1658">
        <f>'Regression Models'!$B$101+'Regression Models'!$B$102*ifood_data[[#This Row],[Income]]+'Regression Models'!$B$103*ifood_data[[#This Row],[Age]]+'Regression Models'!$B$104*ifood_data[[#This Row],[Family]]</f>
        <v>97.821625110171681</v>
      </c>
      <c r="BF1658" t="str">
        <f>IF(ifood_data[[#This Row],[AcceptedCmpOverall]]=1,"Campaign Respondent","Non-respondent")</f>
        <v>Non-respondent</v>
      </c>
    </row>
    <row r="1659" spans="1:58" x14ac:dyDescent="0.35">
      <c r="A1659">
        <v>1705</v>
      </c>
      <c r="B1659">
        <v>32889</v>
      </c>
      <c r="C1659">
        <v>1</v>
      </c>
      <c r="D1659">
        <v>1</v>
      </c>
      <c r="E1659">
        <v>78</v>
      </c>
      <c r="F1659">
        <v>28</v>
      </c>
      <c r="G1659">
        <v>0</v>
      </c>
      <c r="H1659">
        <v>13</v>
      </c>
      <c r="I1659">
        <v>4</v>
      </c>
      <c r="J1659">
        <v>2</v>
      </c>
      <c r="K1659">
        <v>8</v>
      </c>
      <c r="L1659">
        <v>3</v>
      </c>
      <c r="M1659">
        <v>2</v>
      </c>
      <c r="N1659">
        <v>1</v>
      </c>
      <c r="O1659">
        <v>3</v>
      </c>
      <c r="P1659">
        <v>5</v>
      </c>
      <c r="Q1659">
        <v>0</v>
      </c>
      <c r="R1659">
        <v>0</v>
      </c>
      <c r="S1659">
        <v>0</v>
      </c>
      <c r="T1659">
        <v>0</v>
      </c>
      <c r="U1659">
        <v>0</v>
      </c>
      <c r="V1659">
        <f>IF(SUM(ifood_data[[#This Row],[AcceptedCmp1]:[AcceptedCmp5]])&gt;0,1,0)</f>
        <v>0</v>
      </c>
      <c r="W1659">
        <v>0</v>
      </c>
      <c r="X1659">
        <v>3</v>
      </c>
      <c r="Y1659">
        <v>11</v>
      </c>
      <c r="Z1659">
        <v>0</v>
      </c>
      <c r="AA1659">
        <v>52</v>
      </c>
      <c r="AB1659">
        <v>2455</v>
      </c>
      <c r="AC1659" s="28">
        <f>ifood_data[[#This Row],[Customer_Days]]/365</f>
        <v>6.7260273972602738</v>
      </c>
      <c r="AD1659">
        <v>0</v>
      </c>
      <c r="AE1659">
        <v>0</v>
      </c>
      <c r="AF1659">
        <v>0</v>
      </c>
      <c r="AG1659">
        <v>1</v>
      </c>
      <c r="AH1659">
        <v>0</v>
      </c>
      <c r="AI1659">
        <v>0</v>
      </c>
      <c r="AJ1659">
        <v>0</v>
      </c>
      <c r="AK1659">
        <v>0</v>
      </c>
      <c r="AL1659">
        <v>1</v>
      </c>
      <c r="AM1659">
        <v>0</v>
      </c>
      <c r="AN1659">
        <v>47</v>
      </c>
      <c r="AO1659">
        <v>39</v>
      </c>
      <c r="AP1659">
        <f>ifood_data[[#This Row],[MntTotal]]-ifood_data[[#This Row],[MntRegularProds]]</f>
        <v>8</v>
      </c>
      <c r="AQ1659">
        <v>0</v>
      </c>
      <c r="AR1659">
        <f>IF(SUM(ifood_data[[#This Row],[Kidhome]:[Teenhome]])&gt;0,1,0)</f>
        <v>1</v>
      </c>
      <c r="AS1659" t="str">
        <f>IF(SUM(ifood_data[[#This Row],[Kidhome]:[Teenhome]])&gt;0,"Has Family","No Family")</f>
        <v>Has Family</v>
      </c>
      <c r="AT1659" t="str">
        <f>IF(ifood_data[[#This Row],[marital_Married]]=1,"Married", (IF(ifood_data[[#This Row],[marital_Single]]=1,"Single",(IF(ifood_data[[#This Row],[marital_Divorced]]=1,"Divorced",(IF(ifood_data[[#This Row],[marital_Together]]=1,"Living Together",(IF(ifood_data[[#This Row],[marital_Widow]]=1,"Widow","Other")))))))))</f>
        <v>Living Together</v>
      </c>
      <c r="AU1659" t="str">
        <f>IF(ifood_data[[#This Row],[education_Basic]]=1,"High School",(IF(ifood_data[[#This Row],[education_Graduation]]=1,"Undergraduate Degree",(IF(SUM(AM1659,AL1659,AI1659)&gt;0,"Master's Degree or Higher","Other")))))</f>
        <v>Master's Degree or Higher</v>
      </c>
      <c r="AV1659" t="str">
        <f>IF(ifood_data[[#All],[Income]]&gt;75000,"75K+",(IF(ifood_data[[#All],[Income]]&gt;50000,"50K-75K",(IF(ifood_data[[#All],[Income]]&gt;35000,"35K-50K","&lt;35K")))))</f>
        <v>&lt;35K</v>
      </c>
      <c r="AW1659" t="str">
        <f>IF(ifood_data[[#All],[Age]]&gt;60,"60+",(IF(ifood_data[[#All],[Age]]&gt;50,"50-60",(IF(ifood_data[[#All],[Age]]&gt;40,"40-50",(IF(ifood_data[[#All],[Age]]&gt;30,"30-40","&lt;30")))))))</f>
        <v>50-60</v>
      </c>
      <c r="AX1659">
        <f t="shared" si="100"/>
        <v>14</v>
      </c>
      <c r="AY1659">
        <f t="shared" si="101"/>
        <v>3.0000000000000004</v>
      </c>
      <c r="AZ1659">
        <f t="shared" si="102"/>
        <v>2</v>
      </c>
      <c r="BA1659">
        <f t="shared" si="103"/>
        <v>2</v>
      </c>
      <c r="BB1659">
        <f>SUM(ifood_data[[#This Row],[Recency Score]:[Monetary Score]])</f>
        <v>7</v>
      </c>
      <c r="BC1659">
        <f>(_xlfn.PERCENTRANK.INC(ifood_data[[#All],[RFM]],ifood_data[[#This Row],[RFM]],1))*10</f>
        <v>1</v>
      </c>
      <c r="BD1659" t="str">
        <f>VLOOKUP(ifood_data[[#This Row],[RFM Score]],'RFM Analysis'!$A$3:$B$14,2,FALSE)</f>
        <v>At Risk</v>
      </c>
      <c r="BE1659">
        <f>'Regression Models'!$B$101+'Regression Models'!$B$102*ifood_data[[#This Row],[Income]]+'Regression Models'!$B$103*ifood_data[[#This Row],[Age]]+'Regression Models'!$B$104*ifood_data[[#This Row],[Family]]</f>
        <v>97.64247603470676</v>
      </c>
      <c r="BF1659" t="str">
        <f>IF(ifood_data[[#This Row],[AcceptedCmpOverall]]=1,"Campaign Respondent","Non-respondent")</f>
        <v>Non-respondent</v>
      </c>
    </row>
    <row r="1660" spans="1:58" x14ac:dyDescent="0.35">
      <c r="A1660">
        <v>25</v>
      </c>
      <c r="B1660">
        <v>18589</v>
      </c>
      <c r="C1660">
        <v>0</v>
      </c>
      <c r="D1660">
        <v>0</v>
      </c>
      <c r="E1660">
        <v>89</v>
      </c>
      <c r="F1660">
        <v>6</v>
      </c>
      <c r="G1660">
        <v>4</v>
      </c>
      <c r="H1660">
        <v>25</v>
      </c>
      <c r="I1660">
        <v>15</v>
      </c>
      <c r="J1660">
        <v>12</v>
      </c>
      <c r="K1660">
        <v>13</v>
      </c>
      <c r="L1660">
        <v>2</v>
      </c>
      <c r="M1660">
        <v>2</v>
      </c>
      <c r="N1660">
        <v>1</v>
      </c>
      <c r="O1660">
        <v>3</v>
      </c>
      <c r="P1660">
        <v>7</v>
      </c>
      <c r="Q1660">
        <v>0</v>
      </c>
      <c r="R1660">
        <v>0</v>
      </c>
      <c r="S1660">
        <v>0</v>
      </c>
      <c r="T1660">
        <v>0</v>
      </c>
      <c r="U1660">
        <v>0</v>
      </c>
      <c r="V1660">
        <f>IF(SUM(ifood_data[[#This Row],[AcceptedCmp1]:[AcceptedCmp5]])&gt;0,1,0)</f>
        <v>0</v>
      </c>
      <c r="W1660">
        <v>0</v>
      </c>
      <c r="X1660">
        <v>3</v>
      </c>
      <c r="Y1660">
        <v>11</v>
      </c>
      <c r="Z1660">
        <v>0</v>
      </c>
      <c r="AA1660">
        <v>51</v>
      </c>
      <c r="AB1660">
        <v>2702</v>
      </c>
      <c r="AC1660" s="28">
        <f>ifood_data[[#This Row],[Customer_Days]]/365</f>
        <v>7.4027397260273968</v>
      </c>
      <c r="AD1660">
        <v>0</v>
      </c>
      <c r="AE1660">
        <v>0</v>
      </c>
      <c r="AF1660">
        <v>1</v>
      </c>
      <c r="AG1660">
        <v>0</v>
      </c>
      <c r="AH1660">
        <v>0</v>
      </c>
      <c r="AI1660">
        <v>0</v>
      </c>
      <c r="AJ1660">
        <v>0</v>
      </c>
      <c r="AK1660">
        <v>1</v>
      </c>
      <c r="AL1660">
        <v>0</v>
      </c>
      <c r="AM1660">
        <v>0</v>
      </c>
      <c r="AN1660">
        <v>62</v>
      </c>
      <c r="AO1660">
        <v>49</v>
      </c>
      <c r="AP1660">
        <f>ifood_data[[#This Row],[MntTotal]]-ifood_data[[#This Row],[MntRegularProds]]</f>
        <v>13</v>
      </c>
      <c r="AQ1660">
        <v>0</v>
      </c>
      <c r="AR1660">
        <f>IF(SUM(ifood_data[[#This Row],[Kidhome]:[Teenhome]])&gt;0,1,0)</f>
        <v>0</v>
      </c>
      <c r="AS1660" t="str">
        <f>IF(SUM(ifood_data[[#This Row],[Kidhome]:[Teenhome]])&gt;0,"Has Family","No Family")</f>
        <v>No Family</v>
      </c>
      <c r="AT1660" t="str">
        <f>IF(ifood_data[[#This Row],[marital_Married]]=1,"Married", (IF(ifood_data[[#This Row],[marital_Single]]=1,"Single",(IF(ifood_data[[#This Row],[marital_Divorced]]=1,"Divorced",(IF(ifood_data[[#This Row],[marital_Together]]=1,"Living Together",(IF(ifood_data[[#This Row],[marital_Widow]]=1,"Widow","Other")))))))))</f>
        <v>Single</v>
      </c>
      <c r="AU1660" t="str">
        <f>IF(ifood_data[[#This Row],[education_Basic]]=1,"High School",(IF(ifood_data[[#This Row],[education_Graduation]]=1,"Undergraduate Degree",(IF(SUM(AM1660,AL1660,AI1660)&gt;0,"Master's Degree or Higher","Other")))))</f>
        <v>Undergraduate Degree</v>
      </c>
      <c r="AV1660" t="str">
        <f>IF(ifood_data[[#All],[Income]]&gt;75000,"75K+",(IF(ifood_data[[#All],[Income]]&gt;50000,"50K-75K",(IF(ifood_data[[#All],[Income]]&gt;35000,"35K-50K","&lt;35K")))))</f>
        <v>&lt;35K</v>
      </c>
      <c r="AW1660" t="str">
        <f>IF(ifood_data[[#All],[Age]]&gt;60,"60+",(IF(ifood_data[[#All],[Age]]&gt;50,"50-60",(IF(ifood_data[[#All],[Age]]&gt;40,"40-50",(IF(ifood_data[[#All],[Age]]&gt;30,"30-40","&lt;30")))))))</f>
        <v>50-60</v>
      </c>
      <c r="AX1660">
        <f t="shared" si="100"/>
        <v>15</v>
      </c>
      <c r="AY1660">
        <f t="shared" si="101"/>
        <v>1.9999999999999996</v>
      </c>
      <c r="AZ1660">
        <f t="shared" si="102"/>
        <v>2</v>
      </c>
      <c r="BA1660">
        <f t="shared" si="103"/>
        <v>2</v>
      </c>
      <c r="BB1660">
        <f>SUM(ifood_data[[#This Row],[Recency Score]:[Monetary Score]])</f>
        <v>6</v>
      </c>
      <c r="BC1660">
        <f>(_xlfn.PERCENTRANK.INC(ifood_data[[#All],[RFM]],ifood_data[[#This Row],[RFM]],1))*10</f>
        <v>0</v>
      </c>
      <c r="BD1660" t="str">
        <f>VLOOKUP(ifood_data[[#This Row],[RFM Score]],'RFM Analysis'!$A$3:$B$14,2,FALSE)</f>
        <v>Lost</v>
      </c>
      <c r="BE1660">
        <f>'Regression Models'!$B$101+'Regression Models'!$B$102*ifood_data[[#This Row],[Income]]+'Regression Models'!$B$103*ifood_data[[#This Row],[Age]]+'Regression Models'!$B$104*ifood_data[[#This Row],[Family]]</f>
        <v>97.533161728862311</v>
      </c>
      <c r="BF1660" t="str">
        <f>IF(ifood_data[[#This Row],[AcceptedCmpOverall]]=1,"Campaign Respondent","Non-respondent")</f>
        <v>Non-respondent</v>
      </c>
    </row>
    <row r="1661" spans="1:58" x14ac:dyDescent="0.35">
      <c r="A1661">
        <v>1079</v>
      </c>
      <c r="B1661">
        <v>33419</v>
      </c>
      <c r="C1661">
        <v>0</v>
      </c>
      <c r="D1661">
        <v>1</v>
      </c>
      <c r="E1661">
        <v>76</v>
      </c>
      <c r="F1661">
        <v>56</v>
      </c>
      <c r="G1661">
        <v>0</v>
      </c>
      <c r="H1661">
        <v>12</v>
      </c>
      <c r="I1661">
        <v>0</v>
      </c>
      <c r="J1661">
        <v>0</v>
      </c>
      <c r="K1661">
        <v>18</v>
      </c>
      <c r="L1661">
        <v>2</v>
      </c>
      <c r="M1661">
        <v>2</v>
      </c>
      <c r="N1661">
        <v>0</v>
      </c>
      <c r="O1661">
        <v>4</v>
      </c>
      <c r="P1661">
        <v>7</v>
      </c>
      <c r="Q1661">
        <v>0</v>
      </c>
      <c r="R1661">
        <v>0</v>
      </c>
      <c r="S1661">
        <v>0</v>
      </c>
      <c r="T1661">
        <v>0</v>
      </c>
      <c r="U1661">
        <v>0</v>
      </c>
      <c r="V1661">
        <f>IF(SUM(ifood_data[[#This Row],[AcceptedCmp1]:[AcceptedCmp5]])&gt;0,1,0)</f>
        <v>0</v>
      </c>
      <c r="W1661">
        <v>0</v>
      </c>
      <c r="X1661">
        <v>3</v>
      </c>
      <c r="Y1661">
        <v>11</v>
      </c>
      <c r="Z1661">
        <v>0</v>
      </c>
      <c r="AA1661">
        <v>58</v>
      </c>
      <c r="AB1661">
        <v>2475</v>
      </c>
      <c r="AC1661" s="28">
        <f>ifood_data[[#This Row],[Customer_Days]]/365</f>
        <v>6.7808219178082192</v>
      </c>
      <c r="AD1661">
        <v>0</v>
      </c>
      <c r="AE1661">
        <v>0</v>
      </c>
      <c r="AF1661">
        <v>1</v>
      </c>
      <c r="AG1661">
        <v>0</v>
      </c>
      <c r="AH1661">
        <v>0</v>
      </c>
      <c r="AI1661">
        <v>0</v>
      </c>
      <c r="AJ1661">
        <v>0</v>
      </c>
      <c r="AK1661">
        <v>0</v>
      </c>
      <c r="AL1661">
        <v>0</v>
      </c>
      <c r="AM1661">
        <v>1</v>
      </c>
      <c r="AN1661">
        <v>68</v>
      </c>
      <c r="AO1661">
        <v>50</v>
      </c>
      <c r="AP1661">
        <f>ifood_data[[#This Row],[MntTotal]]-ifood_data[[#This Row],[MntRegularProds]]</f>
        <v>18</v>
      </c>
      <c r="AQ1661">
        <v>0</v>
      </c>
      <c r="AR1661">
        <f>IF(SUM(ifood_data[[#This Row],[Kidhome]:[Teenhome]])&gt;0,1,0)</f>
        <v>1</v>
      </c>
      <c r="AS1661" t="str">
        <f>IF(SUM(ifood_data[[#This Row],[Kidhome]:[Teenhome]])&gt;0,"Has Family","No Family")</f>
        <v>Has Family</v>
      </c>
      <c r="AT1661" t="str">
        <f>IF(ifood_data[[#This Row],[marital_Married]]=1,"Married", (IF(ifood_data[[#This Row],[marital_Single]]=1,"Single",(IF(ifood_data[[#This Row],[marital_Divorced]]=1,"Divorced",(IF(ifood_data[[#This Row],[marital_Together]]=1,"Living Together",(IF(ifood_data[[#This Row],[marital_Widow]]=1,"Widow","Other")))))))))</f>
        <v>Single</v>
      </c>
      <c r="AU1661" t="str">
        <f>IF(ifood_data[[#This Row],[education_Basic]]=1,"High School",(IF(ifood_data[[#This Row],[education_Graduation]]=1,"Undergraduate Degree",(IF(SUM(AM1661,AL1661,AI1661)&gt;0,"Master's Degree or Higher","Other")))))</f>
        <v>Master's Degree or Higher</v>
      </c>
      <c r="AV1661" t="str">
        <f>IF(ifood_data[[#All],[Income]]&gt;75000,"75K+",(IF(ifood_data[[#All],[Income]]&gt;50000,"50K-75K",(IF(ifood_data[[#All],[Income]]&gt;35000,"35K-50K","&lt;35K")))))</f>
        <v>&lt;35K</v>
      </c>
      <c r="AW1661" t="str">
        <f>IF(ifood_data[[#All],[Age]]&gt;60,"60+",(IF(ifood_data[[#All],[Age]]&gt;50,"50-60",(IF(ifood_data[[#All],[Age]]&gt;40,"40-50",(IF(ifood_data[[#All],[Age]]&gt;30,"30-40","&lt;30")))))))</f>
        <v>50-60</v>
      </c>
      <c r="AX1661">
        <f t="shared" si="100"/>
        <v>15</v>
      </c>
      <c r="AY1661">
        <f t="shared" si="101"/>
        <v>3.0000000000000004</v>
      </c>
      <c r="AZ1661">
        <f t="shared" si="102"/>
        <v>2</v>
      </c>
      <c r="BA1661">
        <f t="shared" si="103"/>
        <v>2</v>
      </c>
      <c r="BB1661">
        <f>SUM(ifood_data[[#This Row],[Recency Score]:[Monetary Score]])</f>
        <v>7</v>
      </c>
      <c r="BC1661">
        <f>(_xlfn.PERCENTRANK.INC(ifood_data[[#All],[RFM]],ifood_data[[#This Row],[RFM]],1))*10</f>
        <v>1</v>
      </c>
      <c r="BD1661" t="str">
        <f>VLOOKUP(ifood_data[[#This Row],[RFM Score]],'RFM Analysis'!$A$3:$B$14,2,FALSE)</f>
        <v>At Risk</v>
      </c>
      <c r="BE1661">
        <f>'Regression Models'!$B$101+'Regression Models'!$B$102*ifood_data[[#This Row],[Income]]+'Regression Models'!$B$103*ifood_data[[#This Row],[Age]]+'Regression Models'!$B$104*ifood_data[[#This Row],[Family]]</f>
        <v>97.429888677607551</v>
      </c>
      <c r="BF1661" t="str">
        <f>IF(ifood_data[[#This Row],[AcceptedCmpOverall]]=1,"Campaign Respondent","Non-respondent")</f>
        <v>Non-respondent</v>
      </c>
    </row>
    <row r="1662" spans="1:58" x14ac:dyDescent="0.35">
      <c r="A1662">
        <v>1805</v>
      </c>
      <c r="B1662">
        <v>31385</v>
      </c>
      <c r="C1662">
        <v>1</v>
      </c>
      <c r="D1662">
        <v>0</v>
      </c>
      <c r="E1662">
        <v>56</v>
      </c>
      <c r="F1662">
        <v>3</v>
      </c>
      <c r="G1662">
        <v>2</v>
      </c>
      <c r="H1662">
        <v>12</v>
      </c>
      <c r="I1662">
        <v>0</v>
      </c>
      <c r="J1662">
        <v>1</v>
      </c>
      <c r="K1662">
        <v>9</v>
      </c>
      <c r="L1662">
        <v>1</v>
      </c>
      <c r="M1662">
        <v>1</v>
      </c>
      <c r="N1662">
        <v>0</v>
      </c>
      <c r="O1662">
        <v>2</v>
      </c>
      <c r="P1662">
        <v>8</v>
      </c>
      <c r="Q1662">
        <v>0</v>
      </c>
      <c r="R1662">
        <v>0</v>
      </c>
      <c r="S1662">
        <v>1</v>
      </c>
      <c r="T1662">
        <v>0</v>
      </c>
      <c r="U1662">
        <v>0</v>
      </c>
      <c r="V1662">
        <f>IF(SUM(ifood_data[[#This Row],[AcceptedCmp1]:[AcceptedCmp5]])&gt;0,1,0)</f>
        <v>1</v>
      </c>
      <c r="W1662">
        <v>0</v>
      </c>
      <c r="X1662">
        <v>3</v>
      </c>
      <c r="Y1662">
        <v>11</v>
      </c>
      <c r="Z1662">
        <v>1</v>
      </c>
      <c r="AA1662">
        <v>36</v>
      </c>
      <c r="AB1662">
        <v>2730</v>
      </c>
      <c r="AC1662" s="28">
        <f>ifood_data[[#This Row],[Customer_Days]]/365</f>
        <v>7.4794520547945202</v>
      </c>
      <c r="AD1662">
        <v>0</v>
      </c>
      <c r="AE1662">
        <v>0</v>
      </c>
      <c r="AF1662">
        <v>1</v>
      </c>
      <c r="AG1662">
        <v>0</v>
      </c>
      <c r="AH1662">
        <v>0</v>
      </c>
      <c r="AI1662">
        <v>0</v>
      </c>
      <c r="AJ1662">
        <v>0</v>
      </c>
      <c r="AK1662">
        <v>0</v>
      </c>
      <c r="AL1662">
        <v>1</v>
      </c>
      <c r="AM1662">
        <v>0</v>
      </c>
      <c r="AN1662">
        <v>18</v>
      </c>
      <c r="AO1662">
        <v>9</v>
      </c>
      <c r="AP1662">
        <f>ifood_data[[#This Row],[MntTotal]]-ifood_data[[#This Row],[MntRegularProds]]</f>
        <v>9</v>
      </c>
      <c r="AQ1662">
        <v>1</v>
      </c>
      <c r="AR1662">
        <f>IF(SUM(ifood_data[[#This Row],[Kidhome]:[Teenhome]])&gt;0,1,0)</f>
        <v>1</v>
      </c>
      <c r="AS1662" t="str">
        <f>IF(SUM(ifood_data[[#This Row],[Kidhome]:[Teenhome]])&gt;0,"Has Family","No Family")</f>
        <v>Has Family</v>
      </c>
      <c r="AT1662" t="str">
        <f>IF(ifood_data[[#This Row],[marital_Married]]=1,"Married", (IF(ifood_data[[#This Row],[marital_Single]]=1,"Single",(IF(ifood_data[[#This Row],[marital_Divorced]]=1,"Divorced",(IF(ifood_data[[#This Row],[marital_Together]]=1,"Living Together",(IF(ifood_data[[#This Row],[marital_Widow]]=1,"Widow","Other")))))))))</f>
        <v>Single</v>
      </c>
      <c r="AU1662" t="str">
        <f>IF(ifood_data[[#This Row],[education_Basic]]=1,"High School",(IF(ifood_data[[#This Row],[education_Graduation]]=1,"Undergraduate Degree",(IF(SUM(AM1662,AL1662,AI1662)&gt;0,"Master's Degree or Higher","Other")))))</f>
        <v>Master's Degree or Higher</v>
      </c>
      <c r="AV1662" t="str">
        <f>IF(ifood_data[[#All],[Income]]&gt;75000,"75K+",(IF(ifood_data[[#All],[Income]]&gt;50000,"50K-75K",(IF(ifood_data[[#All],[Income]]&gt;35000,"35K-50K","&lt;35K")))))</f>
        <v>&lt;35K</v>
      </c>
      <c r="AW1662" t="str">
        <f>IF(ifood_data[[#All],[Age]]&gt;60,"60+",(IF(ifood_data[[#All],[Age]]&gt;50,"50-60",(IF(ifood_data[[#All],[Age]]&gt;40,"40-50",(IF(ifood_data[[#All],[Age]]&gt;30,"30-40","&lt;30")))))))</f>
        <v>30-40</v>
      </c>
      <c r="AX1662">
        <f t="shared" si="100"/>
        <v>12</v>
      </c>
      <c r="AY1662">
        <f t="shared" si="101"/>
        <v>5</v>
      </c>
      <c r="AZ1662">
        <f t="shared" si="102"/>
        <v>1</v>
      </c>
      <c r="BA1662">
        <f t="shared" si="103"/>
        <v>0</v>
      </c>
      <c r="BB1662">
        <f>SUM(ifood_data[[#This Row],[Recency Score]:[Monetary Score]])</f>
        <v>6</v>
      </c>
      <c r="BC1662">
        <f>(_xlfn.PERCENTRANK.INC(ifood_data[[#All],[RFM]],ifood_data[[#This Row],[RFM]],1))*10</f>
        <v>0</v>
      </c>
      <c r="BD1662" t="str">
        <f>VLOOKUP(ifood_data[[#This Row],[RFM Score]],'RFM Analysis'!$A$3:$B$14,2,FALSE)</f>
        <v>Lost</v>
      </c>
      <c r="BE1662">
        <f>'Regression Models'!$B$101+'Regression Models'!$B$102*ifood_data[[#This Row],[Income]]+'Regression Models'!$B$103*ifood_data[[#This Row],[Age]]+'Regression Models'!$B$104*ifood_data[[#This Row],[Family]]</f>
        <v>96.360794008591199</v>
      </c>
      <c r="BF1662" t="str">
        <f>IF(ifood_data[[#This Row],[AcceptedCmpOverall]]=1,"Campaign Respondent","Non-respondent")</f>
        <v>Campaign Respondent</v>
      </c>
    </row>
    <row r="1663" spans="1:58" x14ac:dyDescent="0.35">
      <c r="A1663">
        <v>457</v>
      </c>
      <c r="B1663">
        <v>32233</v>
      </c>
      <c r="C1663">
        <v>1</v>
      </c>
      <c r="D1663">
        <v>0</v>
      </c>
      <c r="E1663">
        <v>26</v>
      </c>
      <c r="F1663">
        <v>138</v>
      </c>
      <c r="G1663">
        <v>15</v>
      </c>
      <c r="H1663">
        <v>35</v>
      </c>
      <c r="I1663">
        <v>25</v>
      </c>
      <c r="J1663">
        <v>11</v>
      </c>
      <c r="K1663">
        <v>72</v>
      </c>
      <c r="L1663">
        <v>2</v>
      </c>
      <c r="M1663">
        <v>6</v>
      </c>
      <c r="N1663">
        <v>2</v>
      </c>
      <c r="O1663">
        <v>2</v>
      </c>
      <c r="P1663">
        <v>9</v>
      </c>
      <c r="Q1663">
        <v>0</v>
      </c>
      <c r="R1663">
        <v>0</v>
      </c>
      <c r="S1663">
        <v>1</v>
      </c>
      <c r="T1663">
        <v>0</v>
      </c>
      <c r="U1663">
        <v>0</v>
      </c>
      <c r="V1663">
        <f>IF(SUM(ifood_data[[#This Row],[AcceptedCmp1]:[AcceptedCmp5]])&gt;0,1,0)</f>
        <v>1</v>
      </c>
      <c r="W1663">
        <v>0</v>
      </c>
      <c r="X1663">
        <v>3</v>
      </c>
      <c r="Y1663">
        <v>11</v>
      </c>
      <c r="Z1663">
        <v>1</v>
      </c>
      <c r="AA1663">
        <v>46</v>
      </c>
      <c r="AB1663">
        <v>2838</v>
      </c>
      <c r="AC1663" s="28">
        <f>ifood_data[[#This Row],[Customer_Days]]/365</f>
        <v>7.7753424657534245</v>
      </c>
      <c r="AD1663">
        <v>0</v>
      </c>
      <c r="AE1663">
        <v>0</v>
      </c>
      <c r="AF1663">
        <v>1</v>
      </c>
      <c r="AG1663">
        <v>0</v>
      </c>
      <c r="AH1663">
        <v>0</v>
      </c>
      <c r="AI1663">
        <v>0</v>
      </c>
      <c r="AJ1663">
        <v>0</v>
      </c>
      <c r="AK1663">
        <v>1</v>
      </c>
      <c r="AL1663">
        <v>0</v>
      </c>
      <c r="AM1663">
        <v>0</v>
      </c>
      <c r="AN1663">
        <v>224</v>
      </c>
      <c r="AO1663">
        <v>152</v>
      </c>
      <c r="AP1663">
        <f>ifood_data[[#This Row],[MntTotal]]-ifood_data[[#This Row],[MntRegularProds]]</f>
        <v>72</v>
      </c>
      <c r="AQ1663">
        <v>1</v>
      </c>
      <c r="AR1663">
        <f>IF(SUM(ifood_data[[#This Row],[Kidhome]:[Teenhome]])&gt;0,1,0)</f>
        <v>1</v>
      </c>
      <c r="AS1663" t="str">
        <f>IF(SUM(ifood_data[[#This Row],[Kidhome]:[Teenhome]])&gt;0,"Has Family","No Family")</f>
        <v>Has Family</v>
      </c>
      <c r="AT1663" t="str">
        <f>IF(ifood_data[[#This Row],[marital_Married]]=1,"Married", (IF(ifood_data[[#This Row],[marital_Single]]=1,"Single",(IF(ifood_data[[#This Row],[marital_Divorced]]=1,"Divorced",(IF(ifood_data[[#This Row],[marital_Together]]=1,"Living Together",(IF(ifood_data[[#This Row],[marital_Widow]]=1,"Widow","Other")))))))))</f>
        <v>Single</v>
      </c>
      <c r="AU1663" t="str">
        <f>IF(ifood_data[[#This Row],[education_Basic]]=1,"High School",(IF(ifood_data[[#This Row],[education_Graduation]]=1,"Undergraduate Degree",(IF(SUM(AM1663,AL1663,AI1663)&gt;0,"Master's Degree or Higher","Other")))))</f>
        <v>Undergraduate Degree</v>
      </c>
      <c r="AV1663" t="str">
        <f>IF(ifood_data[[#All],[Income]]&gt;75000,"75K+",(IF(ifood_data[[#All],[Income]]&gt;50000,"50K-75K",(IF(ifood_data[[#All],[Income]]&gt;35000,"35K-50K","&lt;35K")))))</f>
        <v>&lt;35K</v>
      </c>
      <c r="AW1663" t="str">
        <f>IF(ifood_data[[#All],[Age]]&gt;60,"60+",(IF(ifood_data[[#All],[Age]]&gt;50,"50-60",(IF(ifood_data[[#All],[Age]]&gt;40,"40-50",(IF(ifood_data[[#All],[Age]]&gt;30,"30-40","&lt;30")))))))</f>
        <v>40-50</v>
      </c>
      <c r="AX1663">
        <f t="shared" si="100"/>
        <v>21</v>
      </c>
      <c r="AY1663">
        <f t="shared" si="101"/>
        <v>8</v>
      </c>
      <c r="AZ1663">
        <f t="shared" si="102"/>
        <v>5</v>
      </c>
      <c r="BA1663">
        <f t="shared" si="103"/>
        <v>4</v>
      </c>
      <c r="BB1663">
        <f>SUM(ifood_data[[#This Row],[Recency Score]:[Monetary Score]])</f>
        <v>17</v>
      </c>
      <c r="BC1663">
        <f>(_xlfn.PERCENTRANK.INC(ifood_data[[#All],[RFM]],ifood_data[[#This Row],[RFM]],1))*10</f>
        <v>6</v>
      </c>
      <c r="BD1663" t="str">
        <f>VLOOKUP(ifood_data[[#This Row],[RFM Score]],'RFM Analysis'!$A$3:$B$14,2,FALSE)</f>
        <v>Promising</v>
      </c>
      <c r="BE1663">
        <f>'Regression Models'!$B$101+'Regression Models'!$B$102*ifood_data[[#This Row],[Income]]+'Regression Models'!$B$103*ifood_data[[#This Row],[Age]]+'Regression Models'!$B$104*ifood_data[[#This Row],[Family]]</f>
        <v>95.286078605674675</v>
      </c>
      <c r="BF1663" t="str">
        <f>IF(ifood_data[[#This Row],[AcceptedCmpOverall]]=1,"Campaign Respondent","Non-respondent")</f>
        <v>Campaign Respondent</v>
      </c>
    </row>
    <row r="1664" spans="1:58" x14ac:dyDescent="0.35">
      <c r="A1664">
        <v>962</v>
      </c>
      <c r="B1664">
        <v>32300</v>
      </c>
      <c r="C1664">
        <v>1</v>
      </c>
      <c r="D1664">
        <v>0</v>
      </c>
      <c r="E1664">
        <v>1</v>
      </c>
      <c r="F1664">
        <v>13</v>
      </c>
      <c r="G1664">
        <v>3</v>
      </c>
      <c r="H1664">
        <v>6</v>
      </c>
      <c r="I1664">
        <v>6</v>
      </c>
      <c r="J1664">
        <v>5</v>
      </c>
      <c r="K1664">
        <v>6</v>
      </c>
      <c r="L1664">
        <v>1</v>
      </c>
      <c r="M1664">
        <v>1</v>
      </c>
      <c r="N1664">
        <v>0</v>
      </c>
      <c r="O1664">
        <v>3</v>
      </c>
      <c r="P1664">
        <v>8</v>
      </c>
      <c r="Q1664">
        <v>0</v>
      </c>
      <c r="R1664">
        <v>0</v>
      </c>
      <c r="S1664">
        <v>0</v>
      </c>
      <c r="T1664">
        <v>0</v>
      </c>
      <c r="U1664">
        <v>0</v>
      </c>
      <c r="V1664">
        <f>IF(SUM(ifood_data[[#This Row],[AcceptedCmp1]:[AcceptedCmp5]])&gt;0,1,0)</f>
        <v>0</v>
      </c>
      <c r="W1664">
        <v>0</v>
      </c>
      <c r="X1664">
        <v>3</v>
      </c>
      <c r="Y1664">
        <v>11</v>
      </c>
      <c r="Z1664">
        <v>0</v>
      </c>
      <c r="AA1664">
        <v>47</v>
      </c>
      <c r="AB1664">
        <v>2701</v>
      </c>
      <c r="AC1664" s="28">
        <f>ifood_data[[#This Row],[Customer_Days]]/365</f>
        <v>7.4</v>
      </c>
      <c r="AD1664">
        <v>0</v>
      </c>
      <c r="AE1664">
        <v>1</v>
      </c>
      <c r="AF1664">
        <v>0</v>
      </c>
      <c r="AG1664">
        <v>0</v>
      </c>
      <c r="AH1664">
        <v>0</v>
      </c>
      <c r="AI1664">
        <v>0</v>
      </c>
      <c r="AJ1664">
        <v>0</v>
      </c>
      <c r="AK1664">
        <v>1</v>
      </c>
      <c r="AL1664">
        <v>0</v>
      </c>
      <c r="AM1664">
        <v>0</v>
      </c>
      <c r="AN1664">
        <v>33</v>
      </c>
      <c r="AO1664">
        <v>27</v>
      </c>
      <c r="AP1664">
        <f>ifood_data[[#This Row],[MntTotal]]-ifood_data[[#This Row],[MntRegularProds]]</f>
        <v>6</v>
      </c>
      <c r="AQ1664">
        <v>0</v>
      </c>
      <c r="AR1664">
        <f>IF(SUM(ifood_data[[#This Row],[Kidhome]:[Teenhome]])&gt;0,1,0)</f>
        <v>1</v>
      </c>
      <c r="AS1664" t="str">
        <f>IF(SUM(ifood_data[[#This Row],[Kidhome]:[Teenhome]])&gt;0,"Has Family","No Family")</f>
        <v>Has Family</v>
      </c>
      <c r="AT1664" t="str">
        <f>IF(ifood_data[[#This Row],[marital_Married]]=1,"Married", (IF(ifood_data[[#This Row],[marital_Single]]=1,"Single",(IF(ifood_data[[#This Row],[marital_Divorced]]=1,"Divorced",(IF(ifood_data[[#This Row],[marital_Together]]=1,"Living Together",(IF(ifood_data[[#This Row],[marital_Widow]]=1,"Widow","Other")))))))))</f>
        <v>Married</v>
      </c>
      <c r="AU1664" t="str">
        <f>IF(ifood_data[[#This Row],[education_Basic]]=1,"High School",(IF(ifood_data[[#This Row],[education_Graduation]]=1,"Undergraduate Degree",(IF(SUM(AM1664,AL1664,AI1664)&gt;0,"Master's Degree or Higher","Other")))))</f>
        <v>Undergraduate Degree</v>
      </c>
      <c r="AV1664" t="str">
        <f>IF(ifood_data[[#All],[Income]]&gt;75000,"75K+",(IF(ifood_data[[#All],[Income]]&gt;50000,"50K-75K",(IF(ifood_data[[#All],[Income]]&gt;35000,"35K-50K","&lt;35K")))))</f>
        <v>&lt;35K</v>
      </c>
      <c r="AW1664" t="str">
        <f>IF(ifood_data[[#All],[Age]]&gt;60,"60+",(IF(ifood_data[[#All],[Age]]&gt;50,"50-60",(IF(ifood_data[[#All],[Age]]&gt;40,"40-50",(IF(ifood_data[[#All],[Age]]&gt;30,"30-40","&lt;30")))))))</f>
        <v>40-50</v>
      </c>
      <c r="AX1664">
        <f t="shared" si="100"/>
        <v>13</v>
      </c>
      <c r="AY1664">
        <f t="shared" si="101"/>
        <v>10</v>
      </c>
      <c r="AZ1664">
        <f t="shared" si="102"/>
        <v>1</v>
      </c>
      <c r="BA1664">
        <f t="shared" si="103"/>
        <v>1</v>
      </c>
      <c r="BB1664">
        <f>SUM(ifood_data[[#This Row],[Recency Score]:[Monetary Score]])</f>
        <v>12</v>
      </c>
      <c r="BC1664">
        <f>(_xlfn.PERCENTRANK.INC(ifood_data[[#All],[RFM]],ifood_data[[#This Row],[RFM]],1))*10</f>
        <v>3</v>
      </c>
      <c r="BD1664" t="str">
        <f>VLOOKUP(ifood_data[[#This Row],[RFM Score]],'RFM Analysis'!$A$3:$B$14,2,FALSE)</f>
        <v>At Risk</v>
      </c>
      <c r="BE1664">
        <f>'Regression Models'!$B$101+'Regression Models'!$B$102*ifood_data[[#This Row],[Income]]+'Regression Models'!$B$103*ifood_data[[#This Row],[Age]]+'Regression Models'!$B$104*ifood_data[[#This Row],[Family]]</f>
        <v>94.815686992421661</v>
      </c>
      <c r="BF1664" t="str">
        <f>IF(ifood_data[[#This Row],[AcceptedCmpOverall]]=1,"Campaign Respondent","Non-respondent")</f>
        <v>Non-respondent</v>
      </c>
    </row>
    <row r="1665" spans="1:58" x14ac:dyDescent="0.35">
      <c r="A1665">
        <v>1730</v>
      </c>
      <c r="B1665">
        <v>31158</v>
      </c>
      <c r="C1665">
        <v>1</v>
      </c>
      <c r="D1665">
        <v>0</v>
      </c>
      <c r="E1665">
        <v>62</v>
      </c>
      <c r="F1665">
        <v>25</v>
      </c>
      <c r="G1665">
        <v>6</v>
      </c>
      <c r="H1665">
        <v>16</v>
      </c>
      <c r="I1665">
        <v>20</v>
      </c>
      <c r="J1665">
        <v>0</v>
      </c>
      <c r="K1665">
        <v>5</v>
      </c>
      <c r="L1665">
        <v>2</v>
      </c>
      <c r="M1665">
        <v>2</v>
      </c>
      <c r="N1665">
        <v>0</v>
      </c>
      <c r="O1665">
        <v>3</v>
      </c>
      <c r="P1665">
        <v>8</v>
      </c>
      <c r="Q1665">
        <v>0</v>
      </c>
      <c r="R1665">
        <v>0</v>
      </c>
      <c r="S1665">
        <v>0</v>
      </c>
      <c r="T1665">
        <v>0</v>
      </c>
      <c r="U1665">
        <v>0</v>
      </c>
      <c r="V1665">
        <f>IF(SUM(ifood_data[[#This Row],[AcceptedCmp1]:[AcceptedCmp5]])&gt;0,1,0)</f>
        <v>0</v>
      </c>
      <c r="W1665">
        <v>0</v>
      </c>
      <c r="X1665">
        <v>3</v>
      </c>
      <c r="Y1665">
        <v>11</v>
      </c>
      <c r="Z1665">
        <v>0</v>
      </c>
      <c r="AA1665">
        <v>35</v>
      </c>
      <c r="AB1665">
        <v>2677</v>
      </c>
      <c r="AC1665" s="28">
        <f>ifood_data[[#This Row],[Customer_Days]]/365</f>
        <v>7.3342465753424655</v>
      </c>
      <c r="AD1665">
        <v>0</v>
      </c>
      <c r="AE1665">
        <v>1</v>
      </c>
      <c r="AF1665">
        <v>0</v>
      </c>
      <c r="AG1665">
        <v>0</v>
      </c>
      <c r="AH1665">
        <v>0</v>
      </c>
      <c r="AI1665">
        <v>0</v>
      </c>
      <c r="AJ1665">
        <v>0</v>
      </c>
      <c r="AK1665">
        <v>1</v>
      </c>
      <c r="AL1665">
        <v>0</v>
      </c>
      <c r="AM1665">
        <v>0</v>
      </c>
      <c r="AN1665">
        <v>67</v>
      </c>
      <c r="AO1665">
        <v>62</v>
      </c>
      <c r="AP1665">
        <f>ifood_data[[#This Row],[MntTotal]]-ifood_data[[#This Row],[MntRegularProds]]</f>
        <v>5</v>
      </c>
      <c r="AQ1665">
        <v>0</v>
      </c>
      <c r="AR1665">
        <f>IF(SUM(ifood_data[[#This Row],[Kidhome]:[Teenhome]])&gt;0,1,0)</f>
        <v>1</v>
      </c>
      <c r="AS1665" t="str">
        <f>IF(SUM(ifood_data[[#This Row],[Kidhome]:[Teenhome]])&gt;0,"Has Family","No Family")</f>
        <v>Has Family</v>
      </c>
      <c r="AT1665" t="str">
        <f>IF(ifood_data[[#This Row],[marital_Married]]=1,"Married", (IF(ifood_data[[#This Row],[marital_Single]]=1,"Single",(IF(ifood_data[[#This Row],[marital_Divorced]]=1,"Divorced",(IF(ifood_data[[#This Row],[marital_Together]]=1,"Living Together",(IF(ifood_data[[#This Row],[marital_Widow]]=1,"Widow","Other")))))))))</f>
        <v>Married</v>
      </c>
      <c r="AU1665" t="str">
        <f>IF(ifood_data[[#This Row],[education_Basic]]=1,"High School",(IF(ifood_data[[#This Row],[education_Graduation]]=1,"Undergraduate Degree",(IF(SUM(AM1665,AL1665,AI1665)&gt;0,"Master's Degree or Higher","Other")))))</f>
        <v>Undergraduate Degree</v>
      </c>
      <c r="AV1665" t="str">
        <f>IF(ifood_data[[#All],[Income]]&gt;75000,"75K+",(IF(ifood_data[[#All],[Income]]&gt;50000,"50K-75K",(IF(ifood_data[[#All],[Income]]&gt;35000,"35K-50K","&lt;35K")))))</f>
        <v>&lt;35K</v>
      </c>
      <c r="AW1665" t="str">
        <f>IF(ifood_data[[#All],[Age]]&gt;60,"60+",(IF(ifood_data[[#All],[Age]]&gt;50,"50-60",(IF(ifood_data[[#All],[Age]]&gt;40,"40-50",(IF(ifood_data[[#All],[Age]]&gt;30,"30-40","&lt;30")))))))</f>
        <v>30-40</v>
      </c>
      <c r="AX1665">
        <f t="shared" si="100"/>
        <v>15</v>
      </c>
      <c r="AY1665">
        <f t="shared" si="101"/>
        <v>4</v>
      </c>
      <c r="AZ1665">
        <f t="shared" si="102"/>
        <v>2</v>
      </c>
      <c r="BA1665">
        <f t="shared" si="103"/>
        <v>2</v>
      </c>
      <c r="BB1665">
        <f>SUM(ifood_data[[#This Row],[Recency Score]:[Monetary Score]])</f>
        <v>8</v>
      </c>
      <c r="BC1665">
        <f>(_xlfn.PERCENTRANK.INC(ifood_data[[#All],[RFM]],ifood_data[[#This Row],[RFM]],1))*10</f>
        <v>1</v>
      </c>
      <c r="BD1665" t="str">
        <f>VLOOKUP(ifood_data[[#This Row],[RFM Score]],'RFM Analysis'!$A$3:$B$14,2,FALSE)</f>
        <v>At Risk</v>
      </c>
      <c r="BE1665">
        <f>'Regression Models'!$B$101+'Regression Models'!$B$102*ifood_data[[#This Row],[Income]]+'Regression Models'!$B$103*ifood_data[[#This Row],[Age]]+'Regression Models'!$B$104*ifood_data[[#This Row],[Family]]</f>
        <v>93.56898271882045</v>
      </c>
      <c r="BF1665" t="str">
        <f>IF(ifood_data[[#This Row],[AcceptedCmpOverall]]=1,"Campaign Respondent","Non-respondent")</f>
        <v>Non-respondent</v>
      </c>
    </row>
    <row r="1666" spans="1:58" x14ac:dyDescent="0.35">
      <c r="A1666">
        <v>1751</v>
      </c>
      <c r="B1666">
        <v>31878</v>
      </c>
      <c r="C1666">
        <v>0</v>
      </c>
      <c r="D1666">
        <v>1</v>
      </c>
      <c r="E1666">
        <v>7</v>
      </c>
      <c r="F1666">
        <v>23</v>
      </c>
      <c r="G1666">
        <v>4</v>
      </c>
      <c r="H1666">
        <v>5</v>
      </c>
      <c r="I1666">
        <v>10</v>
      </c>
      <c r="J1666">
        <v>5</v>
      </c>
      <c r="K1666">
        <v>23</v>
      </c>
      <c r="L1666">
        <v>1</v>
      </c>
      <c r="M1666">
        <v>1</v>
      </c>
      <c r="N1666">
        <v>0</v>
      </c>
      <c r="O1666">
        <v>4</v>
      </c>
      <c r="P1666">
        <v>3</v>
      </c>
      <c r="Q1666">
        <v>0</v>
      </c>
      <c r="R1666">
        <v>0</v>
      </c>
      <c r="S1666">
        <v>0</v>
      </c>
      <c r="T1666">
        <v>0</v>
      </c>
      <c r="U1666">
        <v>0</v>
      </c>
      <c r="V1666">
        <f>IF(SUM(ifood_data[[#This Row],[AcceptedCmp1]:[AcceptedCmp5]])&gt;0,1,0)</f>
        <v>0</v>
      </c>
      <c r="W1666">
        <v>0</v>
      </c>
      <c r="X1666">
        <v>3</v>
      </c>
      <c r="Y1666">
        <v>11</v>
      </c>
      <c r="Z1666">
        <v>0</v>
      </c>
      <c r="AA1666">
        <v>43</v>
      </c>
      <c r="AB1666">
        <v>2166</v>
      </c>
      <c r="AC1666" s="28">
        <f>ifood_data[[#This Row],[Customer_Days]]/365</f>
        <v>5.934246575342466</v>
      </c>
      <c r="AD1666">
        <v>0</v>
      </c>
      <c r="AE1666">
        <v>0</v>
      </c>
      <c r="AF1666">
        <v>1</v>
      </c>
      <c r="AG1666">
        <v>0</v>
      </c>
      <c r="AH1666">
        <v>0</v>
      </c>
      <c r="AI1666">
        <v>1</v>
      </c>
      <c r="AJ1666">
        <v>0</v>
      </c>
      <c r="AK1666">
        <v>0</v>
      </c>
      <c r="AL1666">
        <v>0</v>
      </c>
      <c r="AM1666">
        <v>0</v>
      </c>
      <c r="AN1666">
        <v>47</v>
      </c>
      <c r="AO1666">
        <v>24</v>
      </c>
      <c r="AP1666">
        <f>ifood_data[[#This Row],[MntTotal]]-ifood_data[[#This Row],[MntRegularProds]]</f>
        <v>23</v>
      </c>
      <c r="AQ1666">
        <v>0</v>
      </c>
      <c r="AR1666">
        <f>IF(SUM(ifood_data[[#This Row],[Kidhome]:[Teenhome]])&gt;0,1,0)</f>
        <v>1</v>
      </c>
      <c r="AS1666" t="str">
        <f>IF(SUM(ifood_data[[#This Row],[Kidhome]:[Teenhome]])&gt;0,"Has Family","No Family")</f>
        <v>Has Family</v>
      </c>
      <c r="AT1666" t="str">
        <f>IF(ifood_data[[#This Row],[marital_Married]]=1,"Married", (IF(ifood_data[[#This Row],[marital_Single]]=1,"Single",(IF(ifood_data[[#This Row],[marital_Divorced]]=1,"Divorced",(IF(ifood_data[[#This Row],[marital_Together]]=1,"Living Together",(IF(ifood_data[[#This Row],[marital_Widow]]=1,"Widow","Other")))))))))</f>
        <v>Single</v>
      </c>
      <c r="AU1666" t="str">
        <f>IF(ifood_data[[#This Row],[education_Basic]]=1,"High School",(IF(ifood_data[[#This Row],[education_Graduation]]=1,"Undergraduate Degree",(IF(SUM(AM1666,AL1666,AI1666)&gt;0,"Master's Degree or Higher","Other")))))</f>
        <v>Master's Degree or Higher</v>
      </c>
      <c r="AV1666" t="str">
        <f>IF(ifood_data[[#All],[Income]]&gt;75000,"75K+",(IF(ifood_data[[#All],[Income]]&gt;50000,"50K-75K",(IF(ifood_data[[#All],[Income]]&gt;35000,"35K-50K","&lt;35K")))))</f>
        <v>&lt;35K</v>
      </c>
      <c r="AW1666" t="str">
        <f>IF(ifood_data[[#All],[Age]]&gt;60,"60+",(IF(ifood_data[[#All],[Age]]&gt;50,"50-60",(IF(ifood_data[[#All],[Age]]&gt;40,"40-50",(IF(ifood_data[[#All],[Age]]&gt;30,"30-40","&lt;30")))))))</f>
        <v>40-50</v>
      </c>
      <c r="AX1666">
        <f t="shared" ref="AX1666:AX1729" si="104">SUM(L1666:P1666)</f>
        <v>9</v>
      </c>
      <c r="AY1666">
        <f t="shared" ref="AY1666:AY1729" si="105">(1-_xlfn.PERCENTRANK.INC($E$2:$E$2022,E1666,1))*10</f>
        <v>10</v>
      </c>
      <c r="AZ1666">
        <f t="shared" ref="AZ1666:AZ1729" si="106">_xlfn.PERCENTRANK.INC($AX$2:$AX$2022,AX1666,1)*10</f>
        <v>0</v>
      </c>
      <c r="BA1666">
        <f t="shared" ref="BA1666:BA1729" si="107">_xlfn.PERCENTRANK.INC($AN$2:$AN$2022,AN1666,1)*10</f>
        <v>2</v>
      </c>
      <c r="BB1666">
        <f>SUM(ifood_data[[#This Row],[Recency Score]:[Monetary Score]])</f>
        <v>12</v>
      </c>
      <c r="BC1666">
        <f>(_xlfn.PERCENTRANK.INC(ifood_data[[#All],[RFM]],ifood_data[[#This Row],[RFM]],1))*10</f>
        <v>3</v>
      </c>
      <c r="BD1666" t="str">
        <f>VLOOKUP(ifood_data[[#This Row],[RFM Score]],'RFM Analysis'!$A$3:$B$14,2,FALSE)</f>
        <v>At Risk</v>
      </c>
      <c r="BE1666">
        <f>'Regression Models'!$B$101+'Regression Models'!$B$102*ifood_data[[#This Row],[Income]]+'Regression Models'!$B$103*ifood_data[[#This Row],[Age]]+'Regression Models'!$B$104*ifood_data[[#This Row],[Family]]</f>
        <v>93.557383151273484</v>
      </c>
      <c r="BF1666" t="str">
        <f>IF(ifood_data[[#This Row],[AcceptedCmpOverall]]=1,"Campaign Respondent","Non-respondent")</f>
        <v>Non-respondent</v>
      </c>
    </row>
    <row r="1667" spans="1:58" x14ac:dyDescent="0.35">
      <c r="A1667">
        <v>874</v>
      </c>
      <c r="B1667">
        <v>34469</v>
      </c>
      <c r="C1667">
        <v>1</v>
      </c>
      <c r="D1667">
        <v>1</v>
      </c>
      <c r="E1667">
        <v>58</v>
      </c>
      <c r="F1667">
        <v>19</v>
      </c>
      <c r="G1667">
        <v>6</v>
      </c>
      <c r="H1667">
        <v>20</v>
      </c>
      <c r="I1667">
        <v>0</v>
      </c>
      <c r="J1667">
        <v>5</v>
      </c>
      <c r="K1667">
        <v>12</v>
      </c>
      <c r="L1667">
        <v>3</v>
      </c>
      <c r="M1667">
        <v>1</v>
      </c>
      <c r="N1667">
        <v>1</v>
      </c>
      <c r="O1667">
        <v>4</v>
      </c>
      <c r="P1667">
        <v>4</v>
      </c>
      <c r="Q1667">
        <v>0</v>
      </c>
      <c r="R1667">
        <v>0</v>
      </c>
      <c r="S1667">
        <v>0</v>
      </c>
      <c r="T1667">
        <v>0</v>
      </c>
      <c r="U1667">
        <v>0</v>
      </c>
      <c r="V1667">
        <f>IF(SUM(ifood_data[[#This Row],[AcceptedCmp1]:[AcceptedCmp5]])&gt;0,1,0)</f>
        <v>0</v>
      </c>
      <c r="W1667">
        <v>0</v>
      </c>
      <c r="X1667">
        <v>3</v>
      </c>
      <c r="Y1667">
        <v>11</v>
      </c>
      <c r="Z1667">
        <v>0</v>
      </c>
      <c r="AA1667">
        <v>72</v>
      </c>
      <c r="AB1667">
        <v>2215</v>
      </c>
      <c r="AC1667" s="28">
        <f>ifood_data[[#This Row],[Customer_Days]]/365</f>
        <v>6.0684931506849313</v>
      </c>
      <c r="AD1667">
        <v>0</v>
      </c>
      <c r="AE1667">
        <v>1</v>
      </c>
      <c r="AF1667">
        <v>0</v>
      </c>
      <c r="AG1667">
        <v>0</v>
      </c>
      <c r="AH1667">
        <v>0</v>
      </c>
      <c r="AI1667">
        <v>0</v>
      </c>
      <c r="AJ1667">
        <v>0</v>
      </c>
      <c r="AK1667">
        <v>0</v>
      </c>
      <c r="AL1667">
        <v>0</v>
      </c>
      <c r="AM1667">
        <v>1</v>
      </c>
      <c r="AN1667">
        <v>50</v>
      </c>
      <c r="AO1667">
        <v>38</v>
      </c>
      <c r="AP1667">
        <f>ifood_data[[#This Row],[MntTotal]]-ifood_data[[#This Row],[MntRegularProds]]</f>
        <v>12</v>
      </c>
      <c r="AQ1667">
        <v>0</v>
      </c>
      <c r="AR1667">
        <f>IF(SUM(ifood_data[[#This Row],[Kidhome]:[Teenhome]])&gt;0,1,0)</f>
        <v>1</v>
      </c>
      <c r="AS1667" t="str">
        <f>IF(SUM(ifood_data[[#This Row],[Kidhome]:[Teenhome]])&gt;0,"Has Family","No Family")</f>
        <v>Has Family</v>
      </c>
      <c r="AT1667" t="str">
        <f>IF(ifood_data[[#This Row],[marital_Married]]=1,"Married", (IF(ifood_data[[#This Row],[marital_Single]]=1,"Single",(IF(ifood_data[[#This Row],[marital_Divorced]]=1,"Divorced",(IF(ifood_data[[#This Row],[marital_Together]]=1,"Living Together",(IF(ifood_data[[#This Row],[marital_Widow]]=1,"Widow","Other")))))))))</f>
        <v>Married</v>
      </c>
      <c r="AU1667" t="str">
        <f>IF(ifood_data[[#This Row],[education_Basic]]=1,"High School",(IF(ifood_data[[#This Row],[education_Graduation]]=1,"Undergraduate Degree",(IF(SUM(AM1667,AL1667,AI1667)&gt;0,"Master's Degree or Higher","Other")))))</f>
        <v>Master's Degree or Higher</v>
      </c>
      <c r="AV1667" t="str">
        <f>IF(ifood_data[[#All],[Income]]&gt;75000,"75K+",(IF(ifood_data[[#All],[Income]]&gt;50000,"50K-75K",(IF(ifood_data[[#All],[Income]]&gt;35000,"35K-50K","&lt;35K")))))</f>
        <v>&lt;35K</v>
      </c>
      <c r="AW1667" t="str">
        <f>IF(ifood_data[[#All],[Age]]&gt;60,"60+",(IF(ifood_data[[#All],[Age]]&gt;50,"50-60",(IF(ifood_data[[#All],[Age]]&gt;40,"40-50",(IF(ifood_data[[#All],[Age]]&gt;30,"30-40","&lt;30")))))))</f>
        <v>60+</v>
      </c>
      <c r="AX1667">
        <f t="shared" si="104"/>
        <v>13</v>
      </c>
      <c r="AY1667">
        <f t="shared" si="105"/>
        <v>5</v>
      </c>
      <c r="AZ1667">
        <f t="shared" si="106"/>
        <v>1</v>
      </c>
      <c r="BA1667">
        <f t="shared" si="107"/>
        <v>2</v>
      </c>
      <c r="BB1667">
        <f>SUM(ifood_data[[#This Row],[Recency Score]:[Monetary Score]])</f>
        <v>8</v>
      </c>
      <c r="BC1667">
        <f>(_xlfn.PERCENTRANK.INC(ifood_data[[#All],[RFM]],ifood_data[[#This Row],[RFM]],1))*10</f>
        <v>1</v>
      </c>
      <c r="BD1667" t="str">
        <f>VLOOKUP(ifood_data[[#This Row],[RFM Score]],'RFM Analysis'!$A$3:$B$14,2,FALSE)</f>
        <v>At Risk</v>
      </c>
      <c r="BE1667">
        <f>'Regression Models'!$B$101+'Regression Models'!$B$102*ifood_data[[#This Row],[Income]]+'Regression Models'!$B$103*ifood_data[[#This Row],[Age]]+'Regression Models'!$B$104*ifood_data[[#This Row],[Family]]</f>
        <v>93.127948124181557</v>
      </c>
      <c r="BF1667" t="str">
        <f>IF(ifood_data[[#This Row],[AcceptedCmpOverall]]=1,"Campaign Respondent","Non-respondent")</f>
        <v>Non-respondent</v>
      </c>
    </row>
    <row r="1668" spans="1:58" x14ac:dyDescent="0.35">
      <c r="A1668">
        <v>1641</v>
      </c>
      <c r="B1668">
        <v>34074</v>
      </c>
      <c r="C1668">
        <v>1</v>
      </c>
      <c r="D1668">
        <v>1</v>
      </c>
      <c r="E1668">
        <v>69</v>
      </c>
      <c r="F1668">
        <v>135</v>
      </c>
      <c r="G1668">
        <v>1</v>
      </c>
      <c r="H1668">
        <v>41</v>
      </c>
      <c r="I1668">
        <v>10</v>
      </c>
      <c r="J1668">
        <v>1</v>
      </c>
      <c r="K1668">
        <v>67</v>
      </c>
      <c r="L1668">
        <v>5</v>
      </c>
      <c r="M1668">
        <v>3</v>
      </c>
      <c r="N1668">
        <v>3</v>
      </c>
      <c r="O1668">
        <v>3</v>
      </c>
      <c r="P1668">
        <v>6</v>
      </c>
      <c r="Q1668">
        <v>0</v>
      </c>
      <c r="R1668">
        <v>0</v>
      </c>
      <c r="S1668">
        <v>1</v>
      </c>
      <c r="T1668">
        <v>0</v>
      </c>
      <c r="U1668">
        <v>0</v>
      </c>
      <c r="V1668">
        <f>IF(SUM(ifood_data[[#This Row],[AcceptedCmp1]:[AcceptedCmp5]])&gt;0,1,0)</f>
        <v>1</v>
      </c>
      <c r="W1668">
        <v>0</v>
      </c>
      <c r="X1668">
        <v>3</v>
      </c>
      <c r="Y1668">
        <v>11</v>
      </c>
      <c r="Z1668">
        <v>0</v>
      </c>
      <c r="AA1668">
        <v>68</v>
      </c>
      <c r="AB1668">
        <v>2510</v>
      </c>
      <c r="AC1668" s="28">
        <f>ifood_data[[#This Row],[Customer_Days]]/365</f>
        <v>6.8767123287671232</v>
      </c>
      <c r="AD1668">
        <v>0</v>
      </c>
      <c r="AE1668">
        <v>0</v>
      </c>
      <c r="AF1668">
        <v>0</v>
      </c>
      <c r="AG1668">
        <v>1</v>
      </c>
      <c r="AH1668">
        <v>0</v>
      </c>
      <c r="AI1668">
        <v>0</v>
      </c>
      <c r="AJ1668">
        <v>0</v>
      </c>
      <c r="AK1668">
        <v>1</v>
      </c>
      <c r="AL1668">
        <v>0</v>
      </c>
      <c r="AM1668">
        <v>0</v>
      </c>
      <c r="AN1668">
        <v>188</v>
      </c>
      <c r="AO1668">
        <v>121</v>
      </c>
      <c r="AP1668">
        <f>ifood_data[[#This Row],[MntTotal]]-ifood_data[[#This Row],[MntRegularProds]]</f>
        <v>67</v>
      </c>
      <c r="AQ1668">
        <v>1</v>
      </c>
      <c r="AR1668">
        <f>IF(SUM(ifood_data[[#This Row],[Kidhome]:[Teenhome]])&gt;0,1,0)</f>
        <v>1</v>
      </c>
      <c r="AS1668" t="str">
        <f>IF(SUM(ifood_data[[#This Row],[Kidhome]:[Teenhome]])&gt;0,"Has Family","No Family")</f>
        <v>Has Family</v>
      </c>
      <c r="AT1668" t="str">
        <f>IF(ifood_data[[#This Row],[marital_Married]]=1,"Married", (IF(ifood_data[[#This Row],[marital_Single]]=1,"Single",(IF(ifood_data[[#This Row],[marital_Divorced]]=1,"Divorced",(IF(ifood_data[[#This Row],[marital_Together]]=1,"Living Together",(IF(ifood_data[[#This Row],[marital_Widow]]=1,"Widow","Other")))))))))</f>
        <v>Living Together</v>
      </c>
      <c r="AU1668" t="str">
        <f>IF(ifood_data[[#This Row],[education_Basic]]=1,"High School",(IF(ifood_data[[#This Row],[education_Graduation]]=1,"Undergraduate Degree",(IF(SUM(AM1668,AL1668,AI1668)&gt;0,"Master's Degree or Higher","Other")))))</f>
        <v>Undergraduate Degree</v>
      </c>
      <c r="AV1668" t="str">
        <f>IF(ifood_data[[#All],[Income]]&gt;75000,"75K+",(IF(ifood_data[[#All],[Income]]&gt;50000,"50K-75K",(IF(ifood_data[[#All],[Income]]&gt;35000,"35K-50K","&lt;35K")))))</f>
        <v>&lt;35K</v>
      </c>
      <c r="AW1668" t="str">
        <f>IF(ifood_data[[#All],[Age]]&gt;60,"60+",(IF(ifood_data[[#All],[Age]]&gt;50,"50-60",(IF(ifood_data[[#All],[Age]]&gt;40,"40-50",(IF(ifood_data[[#All],[Age]]&gt;30,"30-40","&lt;30")))))))</f>
        <v>60+</v>
      </c>
      <c r="AX1668">
        <f t="shared" si="104"/>
        <v>20</v>
      </c>
      <c r="AY1668">
        <f t="shared" si="105"/>
        <v>4</v>
      </c>
      <c r="AZ1668">
        <f t="shared" si="106"/>
        <v>4</v>
      </c>
      <c r="BA1668">
        <f t="shared" si="107"/>
        <v>4</v>
      </c>
      <c r="BB1668">
        <f>SUM(ifood_data[[#This Row],[Recency Score]:[Monetary Score]])</f>
        <v>12</v>
      </c>
      <c r="BC1668">
        <f>(_xlfn.PERCENTRANK.INC(ifood_data[[#All],[RFM]],ifood_data[[#This Row],[RFM]],1))*10</f>
        <v>3</v>
      </c>
      <c r="BD1668" t="str">
        <f>VLOOKUP(ifood_data[[#This Row],[RFM Score]],'RFM Analysis'!$A$3:$B$14,2,FALSE)</f>
        <v>At Risk</v>
      </c>
      <c r="BE1668">
        <f>'Regression Models'!$B$101+'Regression Models'!$B$102*ifood_data[[#This Row],[Income]]+'Regression Models'!$B$103*ifood_data[[#This Row],[Age]]+'Regression Models'!$B$104*ifood_data[[#This Row],[Family]]</f>
        <v>92.420141022918529</v>
      </c>
      <c r="BF1668" t="str">
        <f>IF(ifood_data[[#This Row],[AcceptedCmpOverall]]=1,"Campaign Respondent","Non-respondent")</f>
        <v>Campaign Respondent</v>
      </c>
    </row>
    <row r="1669" spans="1:58" x14ac:dyDescent="0.35">
      <c r="A1669">
        <v>1743</v>
      </c>
      <c r="B1669">
        <v>31535</v>
      </c>
      <c r="C1669">
        <v>1</v>
      </c>
      <c r="D1669">
        <v>0</v>
      </c>
      <c r="E1669">
        <v>95</v>
      </c>
      <c r="F1669">
        <v>15</v>
      </c>
      <c r="G1669">
        <v>4</v>
      </c>
      <c r="H1669">
        <v>13</v>
      </c>
      <c r="I1669">
        <v>0</v>
      </c>
      <c r="J1669">
        <v>0</v>
      </c>
      <c r="K1669">
        <v>19</v>
      </c>
      <c r="L1669">
        <v>1</v>
      </c>
      <c r="M1669">
        <v>1</v>
      </c>
      <c r="N1669">
        <v>1</v>
      </c>
      <c r="O1669">
        <v>2</v>
      </c>
      <c r="P1669">
        <v>7</v>
      </c>
      <c r="Q1669">
        <v>0</v>
      </c>
      <c r="R1669">
        <v>0</v>
      </c>
      <c r="S1669">
        <v>1</v>
      </c>
      <c r="T1669">
        <v>0</v>
      </c>
      <c r="U1669">
        <v>0</v>
      </c>
      <c r="V1669">
        <f>IF(SUM(ifood_data[[#This Row],[AcceptedCmp1]:[AcceptedCmp5]])&gt;0,1,0)</f>
        <v>1</v>
      </c>
      <c r="W1669">
        <v>0</v>
      </c>
      <c r="X1669">
        <v>3</v>
      </c>
      <c r="Y1669">
        <v>11</v>
      </c>
      <c r="Z1669">
        <v>0</v>
      </c>
      <c r="AA1669">
        <v>40</v>
      </c>
      <c r="AB1669">
        <v>2435</v>
      </c>
      <c r="AC1669" s="28">
        <f>ifood_data[[#This Row],[Customer_Days]]/365</f>
        <v>6.6712328767123283</v>
      </c>
      <c r="AD1669">
        <v>0</v>
      </c>
      <c r="AE1669">
        <v>1</v>
      </c>
      <c r="AF1669">
        <v>0</v>
      </c>
      <c r="AG1669">
        <v>0</v>
      </c>
      <c r="AH1669">
        <v>0</v>
      </c>
      <c r="AI1669">
        <v>0</v>
      </c>
      <c r="AJ1669">
        <v>0</v>
      </c>
      <c r="AK1669">
        <v>0</v>
      </c>
      <c r="AL1669">
        <v>1</v>
      </c>
      <c r="AM1669">
        <v>0</v>
      </c>
      <c r="AN1669">
        <v>32</v>
      </c>
      <c r="AO1669">
        <v>13</v>
      </c>
      <c r="AP1669">
        <f>ifood_data[[#This Row],[MntTotal]]-ifood_data[[#This Row],[MntRegularProds]]</f>
        <v>19</v>
      </c>
      <c r="AQ1669">
        <v>1</v>
      </c>
      <c r="AR1669">
        <f>IF(SUM(ifood_data[[#This Row],[Kidhome]:[Teenhome]])&gt;0,1,0)</f>
        <v>1</v>
      </c>
      <c r="AS1669" t="str">
        <f>IF(SUM(ifood_data[[#This Row],[Kidhome]:[Teenhome]])&gt;0,"Has Family","No Family")</f>
        <v>Has Family</v>
      </c>
      <c r="AT1669" t="str">
        <f>IF(ifood_data[[#This Row],[marital_Married]]=1,"Married", (IF(ifood_data[[#This Row],[marital_Single]]=1,"Single",(IF(ifood_data[[#This Row],[marital_Divorced]]=1,"Divorced",(IF(ifood_data[[#This Row],[marital_Together]]=1,"Living Together",(IF(ifood_data[[#This Row],[marital_Widow]]=1,"Widow","Other")))))))))</f>
        <v>Married</v>
      </c>
      <c r="AU1669" t="str">
        <f>IF(ifood_data[[#This Row],[education_Basic]]=1,"High School",(IF(ifood_data[[#This Row],[education_Graduation]]=1,"Undergraduate Degree",(IF(SUM(AM1669,AL1669,AI1669)&gt;0,"Master's Degree or Higher","Other")))))</f>
        <v>Master's Degree or Higher</v>
      </c>
      <c r="AV1669" t="str">
        <f>IF(ifood_data[[#All],[Income]]&gt;75000,"75K+",(IF(ifood_data[[#All],[Income]]&gt;50000,"50K-75K",(IF(ifood_data[[#All],[Income]]&gt;35000,"35K-50K","&lt;35K")))))</f>
        <v>&lt;35K</v>
      </c>
      <c r="AW1669" t="str">
        <f>IF(ifood_data[[#All],[Age]]&gt;60,"60+",(IF(ifood_data[[#All],[Age]]&gt;50,"50-60",(IF(ifood_data[[#All],[Age]]&gt;40,"40-50",(IF(ifood_data[[#All],[Age]]&gt;30,"30-40","&lt;30")))))))</f>
        <v>30-40</v>
      </c>
      <c r="AX1669">
        <f t="shared" si="104"/>
        <v>12</v>
      </c>
      <c r="AY1669">
        <f t="shared" si="105"/>
        <v>0.99999999999999978</v>
      </c>
      <c r="AZ1669">
        <f t="shared" si="106"/>
        <v>1</v>
      </c>
      <c r="BA1669">
        <f t="shared" si="107"/>
        <v>1</v>
      </c>
      <c r="BB1669">
        <f>SUM(ifood_data[[#This Row],[Recency Score]:[Monetary Score]])</f>
        <v>3</v>
      </c>
      <c r="BC1669">
        <f>(_xlfn.PERCENTRANK.INC(ifood_data[[#All],[RFM]],ifood_data[[#This Row],[RFM]],1))*10</f>
        <v>0</v>
      </c>
      <c r="BD1669" t="str">
        <f>VLOOKUP(ifood_data[[#This Row],[RFM Score]],'RFM Analysis'!$A$3:$B$14,2,FALSE)</f>
        <v>Lost</v>
      </c>
      <c r="BE1669">
        <f>'Regression Models'!$B$101+'Regression Models'!$B$102*ifood_data[[#This Row],[Income]]+'Regression Models'!$B$103*ifood_data[[#This Row],[Age]]+'Regression Models'!$B$104*ifood_data[[#This Row],[Family]]</f>
        <v>92.0733529145989</v>
      </c>
      <c r="BF1669" t="str">
        <f>IF(ifood_data[[#This Row],[AcceptedCmpOverall]]=1,"Campaign Respondent","Non-respondent")</f>
        <v>Campaign Respondent</v>
      </c>
    </row>
    <row r="1670" spans="1:58" x14ac:dyDescent="0.35">
      <c r="A1670">
        <v>1059</v>
      </c>
      <c r="B1670">
        <v>31605</v>
      </c>
      <c r="C1670">
        <v>1</v>
      </c>
      <c r="D1670">
        <v>0</v>
      </c>
      <c r="E1670">
        <v>15</v>
      </c>
      <c r="F1670">
        <v>74</v>
      </c>
      <c r="G1670">
        <v>0</v>
      </c>
      <c r="H1670">
        <v>42</v>
      </c>
      <c r="I1670">
        <v>2</v>
      </c>
      <c r="J1670">
        <v>1</v>
      </c>
      <c r="K1670">
        <v>6</v>
      </c>
      <c r="L1670">
        <v>2</v>
      </c>
      <c r="M1670">
        <v>2</v>
      </c>
      <c r="N1670">
        <v>1</v>
      </c>
      <c r="O1670">
        <v>4</v>
      </c>
      <c r="P1670">
        <v>7</v>
      </c>
      <c r="Q1670">
        <v>0</v>
      </c>
      <c r="R1670">
        <v>0</v>
      </c>
      <c r="S1670">
        <v>0</v>
      </c>
      <c r="T1670">
        <v>0</v>
      </c>
      <c r="U1670">
        <v>0</v>
      </c>
      <c r="V1670">
        <f>IF(SUM(ifood_data[[#This Row],[AcceptedCmp1]:[AcceptedCmp5]])&gt;0,1,0)</f>
        <v>0</v>
      </c>
      <c r="W1670">
        <v>0</v>
      </c>
      <c r="X1670">
        <v>3</v>
      </c>
      <c r="Y1670">
        <v>11</v>
      </c>
      <c r="Z1670">
        <v>0</v>
      </c>
      <c r="AA1670">
        <v>41</v>
      </c>
      <c r="AB1670">
        <v>2743</v>
      </c>
      <c r="AC1670" s="28">
        <f>ifood_data[[#This Row],[Customer_Days]]/365</f>
        <v>7.515068493150685</v>
      </c>
      <c r="AD1670">
        <v>0</v>
      </c>
      <c r="AE1670">
        <v>1</v>
      </c>
      <c r="AF1670">
        <v>0</v>
      </c>
      <c r="AG1670">
        <v>0</v>
      </c>
      <c r="AH1670">
        <v>0</v>
      </c>
      <c r="AI1670">
        <v>0</v>
      </c>
      <c r="AJ1670">
        <v>0</v>
      </c>
      <c r="AK1670">
        <v>0</v>
      </c>
      <c r="AL1670">
        <v>0</v>
      </c>
      <c r="AM1670">
        <v>1</v>
      </c>
      <c r="AN1670">
        <v>119</v>
      </c>
      <c r="AO1670">
        <v>113</v>
      </c>
      <c r="AP1670">
        <f>ifood_data[[#This Row],[MntTotal]]-ifood_data[[#This Row],[MntRegularProds]]</f>
        <v>6</v>
      </c>
      <c r="AQ1670">
        <v>0</v>
      </c>
      <c r="AR1670">
        <f>IF(SUM(ifood_data[[#This Row],[Kidhome]:[Teenhome]])&gt;0,1,0)</f>
        <v>1</v>
      </c>
      <c r="AS1670" t="str">
        <f>IF(SUM(ifood_data[[#This Row],[Kidhome]:[Teenhome]])&gt;0,"Has Family","No Family")</f>
        <v>Has Family</v>
      </c>
      <c r="AT1670" t="str">
        <f>IF(ifood_data[[#This Row],[marital_Married]]=1,"Married", (IF(ifood_data[[#This Row],[marital_Single]]=1,"Single",(IF(ifood_data[[#This Row],[marital_Divorced]]=1,"Divorced",(IF(ifood_data[[#This Row],[marital_Together]]=1,"Living Together",(IF(ifood_data[[#This Row],[marital_Widow]]=1,"Widow","Other")))))))))</f>
        <v>Married</v>
      </c>
      <c r="AU1670" t="str">
        <f>IF(ifood_data[[#This Row],[education_Basic]]=1,"High School",(IF(ifood_data[[#This Row],[education_Graduation]]=1,"Undergraduate Degree",(IF(SUM(AM1670,AL1670,AI1670)&gt;0,"Master's Degree or Higher","Other")))))</f>
        <v>Master's Degree or Higher</v>
      </c>
      <c r="AV1670" t="str">
        <f>IF(ifood_data[[#All],[Income]]&gt;75000,"75K+",(IF(ifood_data[[#All],[Income]]&gt;50000,"50K-75K",(IF(ifood_data[[#All],[Income]]&gt;35000,"35K-50K","&lt;35K")))))</f>
        <v>&lt;35K</v>
      </c>
      <c r="AW1670" t="str">
        <f>IF(ifood_data[[#All],[Age]]&gt;60,"60+",(IF(ifood_data[[#All],[Age]]&gt;50,"50-60",(IF(ifood_data[[#All],[Age]]&gt;40,"40-50",(IF(ifood_data[[#All],[Age]]&gt;30,"30-40","&lt;30")))))))</f>
        <v>40-50</v>
      </c>
      <c r="AX1670">
        <f t="shared" si="104"/>
        <v>16</v>
      </c>
      <c r="AY1670">
        <f t="shared" si="105"/>
        <v>9</v>
      </c>
      <c r="AZ1670">
        <f t="shared" si="106"/>
        <v>3</v>
      </c>
      <c r="BA1670">
        <f t="shared" si="107"/>
        <v>3</v>
      </c>
      <c r="BB1670">
        <f>SUM(ifood_data[[#This Row],[Recency Score]:[Monetary Score]])</f>
        <v>15</v>
      </c>
      <c r="BC1670">
        <f>(_xlfn.PERCENTRANK.INC(ifood_data[[#All],[RFM]],ifood_data[[#This Row],[RFM]],1))*10</f>
        <v>4</v>
      </c>
      <c r="BD1670" t="str">
        <f>VLOOKUP(ifood_data[[#This Row],[RFM Score]],'RFM Analysis'!$A$3:$B$14,2,FALSE)</f>
        <v>At Risk</v>
      </c>
      <c r="BE1670">
        <f>'Regression Models'!$B$101+'Regression Models'!$B$102*ifood_data[[#This Row],[Income]]+'Regression Models'!$B$103*ifood_data[[#This Row],[Age]]+'Regression Models'!$B$104*ifood_data[[#This Row],[Family]]</f>
        <v>91.664127605777594</v>
      </c>
      <c r="BF1670" t="str">
        <f>IF(ifood_data[[#This Row],[AcceptedCmpOverall]]=1,"Campaign Respondent","Non-respondent")</f>
        <v>Non-respondent</v>
      </c>
    </row>
    <row r="1671" spans="1:58" x14ac:dyDescent="0.35">
      <c r="A1671">
        <v>1443</v>
      </c>
      <c r="B1671">
        <v>31859</v>
      </c>
      <c r="C1671">
        <v>1</v>
      </c>
      <c r="D1671">
        <v>0</v>
      </c>
      <c r="E1671">
        <v>77</v>
      </c>
      <c r="F1671">
        <v>3</v>
      </c>
      <c r="G1671">
        <v>1</v>
      </c>
      <c r="H1671">
        <v>3</v>
      </c>
      <c r="I1671">
        <v>8</v>
      </c>
      <c r="J1671">
        <v>0</v>
      </c>
      <c r="K1671">
        <v>5</v>
      </c>
      <c r="L1671">
        <v>1</v>
      </c>
      <c r="M1671">
        <v>1</v>
      </c>
      <c r="N1671">
        <v>0</v>
      </c>
      <c r="O1671">
        <v>2</v>
      </c>
      <c r="P1671">
        <v>7</v>
      </c>
      <c r="Q1671">
        <v>0</v>
      </c>
      <c r="R1671">
        <v>0</v>
      </c>
      <c r="S1671">
        <v>0</v>
      </c>
      <c r="T1671">
        <v>0</v>
      </c>
      <c r="U1671">
        <v>0</v>
      </c>
      <c r="V1671">
        <f>IF(SUM(ifood_data[[#This Row],[AcceptedCmp1]:[AcceptedCmp5]])&gt;0,1,0)</f>
        <v>0</v>
      </c>
      <c r="W1671">
        <v>0</v>
      </c>
      <c r="X1671">
        <v>3</v>
      </c>
      <c r="Y1671">
        <v>11</v>
      </c>
      <c r="Z1671">
        <v>0</v>
      </c>
      <c r="AA1671">
        <v>44</v>
      </c>
      <c r="AB1671">
        <v>2539</v>
      </c>
      <c r="AC1671" s="28">
        <f>ifood_data[[#This Row],[Customer_Days]]/365</f>
        <v>6.956164383561644</v>
      </c>
      <c r="AD1671">
        <v>1</v>
      </c>
      <c r="AE1671">
        <v>0</v>
      </c>
      <c r="AF1671">
        <v>0</v>
      </c>
      <c r="AG1671">
        <v>0</v>
      </c>
      <c r="AH1671">
        <v>0</v>
      </c>
      <c r="AI1671">
        <v>0</v>
      </c>
      <c r="AJ1671">
        <v>0</v>
      </c>
      <c r="AK1671">
        <v>1</v>
      </c>
      <c r="AL1671">
        <v>0</v>
      </c>
      <c r="AM1671">
        <v>0</v>
      </c>
      <c r="AN1671">
        <v>15</v>
      </c>
      <c r="AO1671">
        <v>10</v>
      </c>
      <c r="AP1671">
        <f>ifood_data[[#This Row],[MntTotal]]-ifood_data[[#This Row],[MntRegularProds]]</f>
        <v>5</v>
      </c>
      <c r="AQ1671">
        <v>0</v>
      </c>
      <c r="AR1671">
        <f>IF(SUM(ifood_data[[#This Row],[Kidhome]:[Teenhome]])&gt;0,1,0)</f>
        <v>1</v>
      </c>
      <c r="AS1671" t="str">
        <f>IF(SUM(ifood_data[[#This Row],[Kidhome]:[Teenhome]])&gt;0,"Has Family","No Family")</f>
        <v>Has Family</v>
      </c>
      <c r="AT1671" t="str">
        <f>IF(ifood_data[[#This Row],[marital_Married]]=1,"Married", (IF(ifood_data[[#This Row],[marital_Single]]=1,"Single",(IF(ifood_data[[#This Row],[marital_Divorced]]=1,"Divorced",(IF(ifood_data[[#This Row],[marital_Together]]=1,"Living Together",(IF(ifood_data[[#This Row],[marital_Widow]]=1,"Widow","Other")))))))))</f>
        <v>Divorced</v>
      </c>
      <c r="AU1671" t="str">
        <f>IF(ifood_data[[#This Row],[education_Basic]]=1,"High School",(IF(ifood_data[[#This Row],[education_Graduation]]=1,"Undergraduate Degree",(IF(SUM(AM1671,AL1671,AI1671)&gt;0,"Master's Degree or Higher","Other")))))</f>
        <v>Undergraduate Degree</v>
      </c>
      <c r="AV1671" t="str">
        <f>IF(ifood_data[[#All],[Income]]&gt;75000,"75K+",(IF(ifood_data[[#All],[Income]]&gt;50000,"50K-75K",(IF(ifood_data[[#All],[Income]]&gt;35000,"35K-50K","&lt;35K")))))</f>
        <v>&lt;35K</v>
      </c>
      <c r="AW1671" t="str">
        <f>IF(ifood_data[[#All],[Age]]&gt;60,"60+",(IF(ifood_data[[#All],[Age]]&gt;50,"50-60",(IF(ifood_data[[#All],[Age]]&gt;40,"40-50",(IF(ifood_data[[#All],[Age]]&gt;30,"30-40","&lt;30")))))))</f>
        <v>40-50</v>
      </c>
      <c r="AX1671">
        <f t="shared" si="104"/>
        <v>11</v>
      </c>
      <c r="AY1671">
        <f t="shared" si="105"/>
        <v>3.0000000000000004</v>
      </c>
      <c r="AZ1671">
        <f t="shared" si="106"/>
        <v>0</v>
      </c>
      <c r="BA1671">
        <f t="shared" si="107"/>
        <v>0</v>
      </c>
      <c r="BB1671">
        <f>SUM(ifood_data[[#This Row],[Recency Score]:[Monetary Score]])</f>
        <v>3.0000000000000004</v>
      </c>
      <c r="BC1671">
        <f>(_xlfn.PERCENTRANK.INC(ifood_data[[#All],[RFM]],ifood_data[[#This Row],[RFM]],1))*10</f>
        <v>0</v>
      </c>
      <c r="BD1671" t="str">
        <f>VLOOKUP(ifood_data[[#This Row],[RFM Score]],'RFM Analysis'!$A$3:$B$14,2,FALSE)</f>
        <v>Lost</v>
      </c>
      <c r="BE1671">
        <f>'Regression Models'!$B$101+'Regression Models'!$B$102*ifood_data[[#This Row],[Income]]+'Regression Models'!$B$103*ifood_data[[#This Row],[Age]]+'Regression Models'!$B$104*ifood_data[[#This Row],[Family]]</f>
        <v>91.333557477645058</v>
      </c>
      <c r="BF1671" t="str">
        <f>IF(ifood_data[[#This Row],[AcceptedCmpOverall]]=1,"Campaign Respondent","Non-respondent")</f>
        <v>Non-respondent</v>
      </c>
    </row>
    <row r="1672" spans="1:58" x14ac:dyDescent="0.35">
      <c r="A1672">
        <v>1153</v>
      </c>
      <c r="B1672">
        <v>33438</v>
      </c>
      <c r="C1672">
        <v>1</v>
      </c>
      <c r="D1672">
        <v>1</v>
      </c>
      <c r="E1672">
        <v>81</v>
      </c>
      <c r="F1672">
        <v>62</v>
      </c>
      <c r="G1672">
        <v>1</v>
      </c>
      <c r="H1672">
        <v>16</v>
      </c>
      <c r="I1672">
        <v>3</v>
      </c>
      <c r="J1672">
        <v>2</v>
      </c>
      <c r="K1672">
        <v>6</v>
      </c>
      <c r="L1672">
        <v>4</v>
      </c>
      <c r="M1672">
        <v>2</v>
      </c>
      <c r="N1672">
        <v>1</v>
      </c>
      <c r="O1672">
        <v>4</v>
      </c>
      <c r="P1672">
        <v>5</v>
      </c>
      <c r="Q1672">
        <v>0</v>
      </c>
      <c r="R1672">
        <v>0</v>
      </c>
      <c r="S1672">
        <v>0</v>
      </c>
      <c r="T1672">
        <v>0</v>
      </c>
      <c r="U1672">
        <v>0</v>
      </c>
      <c r="V1672">
        <f>IF(SUM(ifood_data[[#This Row],[AcceptedCmp1]:[AcceptedCmp5]])&gt;0,1,0)</f>
        <v>0</v>
      </c>
      <c r="W1672">
        <v>0</v>
      </c>
      <c r="X1672">
        <v>3</v>
      </c>
      <c r="Y1672">
        <v>11</v>
      </c>
      <c r="Z1672">
        <v>0</v>
      </c>
      <c r="AA1672">
        <v>62</v>
      </c>
      <c r="AB1672">
        <v>2439</v>
      </c>
      <c r="AC1672" s="28">
        <f>ifood_data[[#This Row],[Customer_Days]]/365</f>
        <v>6.6821917808219178</v>
      </c>
      <c r="AD1672">
        <v>0</v>
      </c>
      <c r="AE1672">
        <v>0</v>
      </c>
      <c r="AF1672">
        <v>0</v>
      </c>
      <c r="AG1672">
        <v>0</v>
      </c>
      <c r="AH1672">
        <v>1</v>
      </c>
      <c r="AI1672">
        <v>0</v>
      </c>
      <c r="AJ1672">
        <v>0</v>
      </c>
      <c r="AK1672">
        <v>0</v>
      </c>
      <c r="AL1672">
        <v>0</v>
      </c>
      <c r="AM1672">
        <v>1</v>
      </c>
      <c r="AN1672">
        <v>84</v>
      </c>
      <c r="AO1672">
        <v>78</v>
      </c>
      <c r="AP1672">
        <f>ifood_data[[#This Row],[MntTotal]]-ifood_data[[#This Row],[MntRegularProds]]</f>
        <v>6</v>
      </c>
      <c r="AQ1672">
        <v>0</v>
      </c>
      <c r="AR1672">
        <f>IF(SUM(ifood_data[[#This Row],[Kidhome]:[Teenhome]])&gt;0,1,0)</f>
        <v>1</v>
      </c>
      <c r="AS1672" t="str">
        <f>IF(SUM(ifood_data[[#This Row],[Kidhome]:[Teenhome]])&gt;0,"Has Family","No Family")</f>
        <v>Has Family</v>
      </c>
      <c r="AT1672" t="str">
        <f>IF(ifood_data[[#This Row],[marital_Married]]=1,"Married", (IF(ifood_data[[#This Row],[marital_Single]]=1,"Single",(IF(ifood_data[[#This Row],[marital_Divorced]]=1,"Divorced",(IF(ifood_data[[#This Row],[marital_Together]]=1,"Living Together",(IF(ifood_data[[#This Row],[marital_Widow]]=1,"Widow","Other")))))))))</f>
        <v>Widow</v>
      </c>
      <c r="AU1672" t="str">
        <f>IF(ifood_data[[#This Row],[education_Basic]]=1,"High School",(IF(ifood_data[[#This Row],[education_Graduation]]=1,"Undergraduate Degree",(IF(SUM(AM1672,AL1672,AI1672)&gt;0,"Master's Degree or Higher","Other")))))</f>
        <v>Master's Degree or Higher</v>
      </c>
      <c r="AV1672" t="str">
        <f>IF(ifood_data[[#All],[Income]]&gt;75000,"75K+",(IF(ifood_data[[#All],[Income]]&gt;50000,"50K-75K",(IF(ifood_data[[#All],[Income]]&gt;35000,"35K-50K","&lt;35K")))))</f>
        <v>&lt;35K</v>
      </c>
      <c r="AW1672" t="str">
        <f>IF(ifood_data[[#All],[Age]]&gt;60,"60+",(IF(ifood_data[[#All],[Age]]&gt;50,"50-60",(IF(ifood_data[[#All],[Age]]&gt;40,"40-50",(IF(ifood_data[[#All],[Age]]&gt;30,"30-40","&lt;30")))))))</f>
        <v>60+</v>
      </c>
      <c r="AX1672">
        <f t="shared" si="104"/>
        <v>16</v>
      </c>
      <c r="AY1672">
        <f t="shared" si="105"/>
        <v>1.9999999999999996</v>
      </c>
      <c r="AZ1672">
        <f t="shared" si="106"/>
        <v>3</v>
      </c>
      <c r="BA1672">
        <f t="shared" si="107"/>
        <v>3</v>
      </c>
      <c r="BB1672">
        <f>SUM(ifood_data[[#This Row],[Recency Score]:[Monetary Score]])</f>
        <v>8</v>
      </c>
      <c r="BC1672">
        <f>(_xlfn.PERCENTRANK.INC(ifood_data[[#All],[RFM]],ifood_data[[#This Row],[RFM]],1))*10</f>
        <v>1</v>
      </c>
      <c r="BD1672" t="str">
        <f>VLOOKUP(ifood_data[[#This Row],[RFM Score]],'RFM Analysis'!$A$3:$B$14,2,FALSE)</f>
        <v>At Risk</v>
      </c>
      <c r="BE1672">
        <f>'Regression Models'!$B$101+'Regression Models'!$B$102*ifood_data[[#This Row],[Income]]+'Regression Models'!$B$103*ifood_data[[#This Row],[Age]]+'Regression Models'!$B$104*ifood_data[[#This Row],[Family]]</f>
        <v>90.471518956764498</v>
      </c>
      <c r="BF1672" t="str">
        <f>IF(ifood_data[[#This Row],[AcceptedCmpOverall]]=1,"Campaign Respondent","Non-respondent")</f>
        <v>Non-respondent</v>
      </c>
    </row>
    <row r="1673" spans="1:58" x14ac:dyDescent="0.35">
      <c r="A1673">
        <v>721</v>
      </c>
      <c r="B1673">
        <v>31626</v>
      </c>
      <c r="C1673">
        <v>1</v>
      </c>
      <c r="D1673">
        <v>0</v>
      </c>
      <c r="E1673">
        <v>12</v>
      </c>
      <c r="F1673">
        <v>39</v>
      </c>
      <c r="G1673">
        <v>1</v>
      </c>
      <c r="H1673">
        <v>9</v>
      </c>
      <c r="I1673">
        <v>2</v>
      </c>
      <c r="J1673">
        <v>1</v>
      </c>
      <c r="K1673">
        <v>34</v>
      </c>
      <c r="L1673">
        <v>1</v>
      </c>
      <c r="M1673">
        <v>2</v>
      </c>
      <c r="N1673">
        <v>1</v>
      </c>
      <c r="O1673">
        <v>2</v>
      </c>
      <c r="P1673">
        <v>7</v>
      </c>
      <c r="Q1673">
        <v>0</v>
      </c>
      <c r="R1673">
        <v>0</v>
      </c>
      <c r="S1673">
        <v>1</v>
      </c>
      <c r="T1673">
        <v>0</v>
      </c>
      <c r="U1673">
        <v>0</v>
      </c>
      <c r="V1673">
        <f>IF(SUM(ifood_data[[#This Row],[AcceptedCmp1]:[AcceptedCmp5]])&gt;0,1,0)</f>
        <v>1</v>
      </c>
      <c r="W1673">
        <v>0</v>
      </c>
      <c r="X1673">
        <v>3</v>
      </c>
      <c r="Y1673">
        <v>11</v>
      </c>
      <c r="Z1673">
        <v>1</v>
      </c>
      <c r="AA1673">
        <v>42</v>
      </c>
      <c r="AB1673">
        <v>2574</v>
      </c>
      <c r="AC1673" s="28">
        <f>ifood_data[[#This Row],[Customer_Days]]/365</f>
        <v>7.0520547945205481</v>
      </c>
      <c r="AD1673">
        <v>0</v>
      </c>
      <c r="AE1673">
        <v>0</v>
      </c>
      <c r="AF1673">
        <v>1</v>
      </c>
      <c r="AG1673">
        <v>0</v>
      </c>
      <c r="AH1673">
        <v>0</v>
      </c>
      <c r="AI1673">
        <v>0</v>
      </c>
      <c r="AJ1673">
        <v>0</v>
      </c>
      <c r="AK1673">
        <v>0</v>
      </c>
      <c r="AL1673">
        <v>0</v>
      </c>
      <c r="AM1673">
        <v>1</v>
      </c>
      <c r="AN1673">
        <v>52</v>
      </c>
      <c r="AO1673">
        <v>18</v>
      </c>
      <c r="AP1673">
        <f>ifood_data[[#This Row],[MntTotal]]-ifood_data[[#This Row],[MntRegularProds]]</f>
        <v>34</v>
      </c>
      <c r="AQ1673">
        <v>1</v>
      </c>
      <c r="AR1673">
        <f>IF(SUM(ifood_data[[#This Row],[Kidhome]:[Teenhome]])&gt;0,1,0)</f>
        <v>1</v>
      </c>
      <c r="AS1673" t="str">
        <f>IF(SUM(ifood_data[[#This Row],[Kidhome]:[Teenhome]])&gt;0,"Has Family","No Family")</f>
        <v>Has Family</v>
      </c>
      <c r="AT1673" t="str">
        <f>IF(ifood_data[[#This Row],[marital_Married]]=1,"Married", (IF(ifood_data[[#This Row],[marital_Single]]=1,"Single",(IF(ifood_data[[#This Row],[marital_Divorced]]=1,"Divorced",(IF(ifood_data[[#This Row],[marital_Together]]=1,"Living Together",(IF(ifood_data[[#This Row],[marital_Widow]]=1,"Widow","Other")))))))))</f>
        <v>Single</v>
      </c>
      <c r="AU1673" t="str">
        <f>IF(ifood_data[[#This Row],[education_Basic]]=1,"High School",(IF(ifood_data[[#This Row],[education_Graduation]]=1,"Undergraduate Degree",(IF(SUM(AM1673,AL1673,AI1673)&gt;0,"Master's Degree or Higher","Other")))))</f>
        <v>Master's Degree or Higher</v>
      </c>
      <c r="AV1673" t="str">
        <f>IF(ifood_data[[#All],[Income]]&gt;75000,"75K+",(IF(ifood_data[[#All],[Income]]&gt;50000,"50K-75K",(IF(ifood_data[[#All],[Income]]&gt;35000,"35K-50K","&lt;35K")))))</f>
        <v>&lt;35K</v>
      </c>
      <c r="AW1673" t="str">
        <f>IF(ifood_data[[#All],[Age]]&gt;60,"60+",(IF(ifood_data[[#All],[Age]]&gt;50,"50-60",(IF(ifood_data[[#All],[Age]]&gt;40,"40-50",(IF(ifood_data[[#All],[Age]]&gt;30,"30-40","&lt;30")))))))</f>
        <v>40-50</v>
      </c>
      <c r="AX1673">
        <f t="shared" si="104"/>
        <v>13</v>
      </c>
      <c r="AY1673">
        <f t="shared" si="105"/>
        <v>9</v>
      </c>
      <c r="AZ1673">
        <f t="shared" si="106"/>
        <v>1</v>
      </c>
      <c r="BA1673">
        <f t="shared" si="107"/>
        <v>2</v>
      </c>
      <c r="BB1673">
        <f>SUM(ifood_data[[#This Row],[Recency Score]:[Monetary Score]])</f>
        <v>12</v>
      </c>
      <c r="BC1673">
        <f>(_xlfn.PERCENTRANK.INC(ifood_data[[#All],[RFM]],ifood_data[[#This Row],[RFM]],1))*10</f>
        <v>3</v>
      </c>
      <c r="BD1673" t="str">
        <f>VLOOKUP(ifood_data[[#This Row],[RFM Score]],'RFM Analysis'!$A$3:$B$14,2,FALSE)</f>
        <v>At Risk</v>
      </c>
      <c r="BE1673">
        <f>'Regression Models'!$B$101+'Regression Models'!$B$102*ifood_data[[#This Row],[Income]]+'Regression Models'!$B$103*ifood_data[[#This Row],[Age]]+'Regression Models'!$B$104*ifood_data[[#This Row],[Family]]</f>
        <v>90.255852657905166</v>
      </c>
      <c r="BF1673" t="str">
        <f>IF(ifood_data[[#This Row],[AcceptedCmpOverall]]=1,"Campaign Respondent","Non-respondent")</f>
        <v>Campaign Respondent</v>
      </c>
    </row>
    <row r="1674" spans="1:58" x14ac:dyDescent="0.35">
      <c r="A1674">
        <v>173</v>
      </c>
      <c r="B1674">
        <v>32303</v>
      </c>
      <c r="C1674">
        <v>0</v>
      </c>
      <c r="D1674">
        <v>1</v>
      </c>
      <c r="E1674">
        <v>63</v>
      </c>
      <c r="F1674">
        <v>35</v>
      </c>
      <c r="G1674">
        <v>0</v>
      </c>
      <c r="H1674">
        <v>2</v>
      </c>
      <c r="I1674">
        <v>0</v>
      </c>
      <c r="J1674">
        <v>0</v>
      </c>
      <c r="K1674">
        <v>2</v>
      </c>
      <c r="L1674">
        <v>2</v>
      </c>
      <c r="M1674">
        <v>1</v>
      </c>
      <c r="N1674">
        <v>0</v>
      </c>
      <c r="O1674">
        <v>4</v>
      </c>
      <c r="P1674">
        <v>5</v>
      </c>
      <c r="Q1674">
        <v>0</v>
      </c>
      <c r="R1674">
        <v>0</v>
      </c>
      <c r="S1674">
        <v>0</v>
      </c>
      <c r="T1674">
        <v>0</v>
      </c>
      <c r="U1674">
        <v>0</v>
      </c>
      <c r="V1674">
        <f>IF(SUM(ifood_data[[#This Row],[AcceptedCmp1]:[AcceptedCmp5]])&gt;0,1,0)</f>
        <v>0</v>
      </c>
      <c r="W1674">
        <v>0</v>
      </c>
      <c r="X1674">
        <v>3</v>
      </c>
      <c r="Y1674">
        <v>11</v>
      </c>
      <c r="Z1674">
        <v>0</v>
      </c>
      <c r="AA1674">
        <v>50</v>
      </c>
      <c r="AB1674">
        <v>2272</v>
      </c>
      <c r="AC1674" s="28">
        <f>ifood_data[[#This Row],[Customer_Days]]/365</f>
        <v>6.2246575342465755</v>
      </c>
      <c r="AD1674">
        <v>0</v>
      </c>
      <c r="AE1674">
        <v>0</v>
      </c>
      <c r="AF1674">
        <v>1</v>
      </c>
      <c r="AG1674">
        <v>0</v>
      </c>
      <c r="AH1674">
        <v>0</v>
      </c>
      <c r="AI1674">
        <v>0</v>
      </c>
      <c r="AJ1674">
        <v>0</v>
      </c>
      <c r="AK1674">
        <v>0</v>
      </c>
      <c r="AL1674">
        <v>0</v>
      </c>
      <c r="AM1674">
        <v>1</v>
      </c>
      <c r="AN1674">
        <v>37</v>
      </c>
      <c r="AO1674">
        <v>35</v>
      </c>
      <c r="AP1674">
        <f>ifood_data[[#This Row],[MntTotal]]-ifood_data[[#This Row],[MntRegularProds]]</f>
        <v>2</v>
      </c>
      <c r="AQ1674">
        <v>0</v>
      </c>
      <c r="AR1674">
        <f>IF(SUM(ifood_data[[#This Row],[Kidhome]:[Teenhome]])&gt;0,1,0)</f>
        <v>1</v>
      </c>
      <c r="AS1674" t="str">
        <f>IF(SUM(ifood_data[[#This Row],[Kidhome]:[Teenhome]])&gt;0,"Has Family","No Family")</f>
        <v>Has Family</v>
      </c>
      <c r="AT1674" t="str">
        <f>IF(ifood_data[[#This Row],[marital_Married]]=1,"Married", (IF(ifood_data[[#This Row],[marital_Single]]=1,"Single",(IF(ifood_data[[#This Row],[marital_Divorced]]=1,"Divorced",(IF(ifood_data[[#This Row],[marital_Together]]=1,"Living Together",(IF(ifood_data[[#This Row],[marital_Widow]]=1,"Widow","Other")))))))))</f>
        <v>Single</v>
      </c>
      <c r="AU1674" t="str">
        <f>IF(ifood_data[[#This Row],[education_Basic]]=1,"High School",(IF(ifood_data[[#This Row],[education_Graduation]]=1,"Undergraduate Degree",(IF(SUM(AM1674,AL1674,AI1674)&gt;0,"Master's Degree or Higher","Other")))))</f>
        <v>Master's Degree or Higher</v>
      </c>
      <c r="AV1674" t="str">
        <f>IF(ifood_data[[#All],[Income]]&gt;75000,"75K+",(IF(ifood_data[[#All],[Income]]&gt;50000,"50K-75K",(IF(ifood_data[[#All],[Income]]&gt;35000,"35K-50K","&lt;35K")))))</f>
        <v>&lt;35K</v>
      </c>
      <c r="AW1674" t="str">
        <f>IF(ifood_data[[#All],[Age]]&gt;60,"60+",(IF(ifood_data[[#All],[Age]]&gt;50,"50-60",(IF(ifood_data[[#All],[Age]]&gt;40,"40-50",(IF(ifood_data[[#All],[Age]]&gt;30,"30-40","&lt;30")))))))</f>
        <v>40-50</v>
      </c>
      <c r="AX1674">
        <f t="shared" si="104"/>
        <v>12</v>
      </c>
      <c r="AY1674">
        <f t="shared" si="105"/>
        <v>4</v>
      </c>
      <c r="AZ1674">
        <f t="shared" si="106"/>
        <v>1</v>
      </c>
      <c r="BA1674">
        <f t="shared" si="107"/>
        <v>1</v>
      </c>
      <c r="BB1674">
        <f>SUM(ifood_data[[#This Row],[Recency Score]:[Monetary Score]])</f>
        <v>6</v>
      </c>
      <c r="BC1674">
        <f>(_xlfn.PERCENTRANK.INC(ifood_data[[#All],[RFM]],ifood_data[[#This Row],[RFM]],1))*10</f>
        <v>0</v>
      </c>
      <c r="BD1674" t="str">
        <f>VLOOKUP(ifood_data[[#This Row],[RFM Score]],'RFM Analysis'!$A$3:$B$14,2,FALSE)</f>
        <v>Lost</v>
      </c>
      <c r="BE1674">
        <f>'Regression Models'!$B$101+'Regression Models'!$B$102*ifood_data[[#This Row],[Income]]+'Regression Models'!$B$103*ifood_data[[#This Row],[Age]]+'Regression Models'!$B$104*ifood_data[[#This Row],[Family]]</f>
        <v>89.367536060170551</v>
      </c>
      <c r="BF1674" t="str">
        <f>IF(ifood_data[[#This Row],[AcceptedCmpOverall]]=1,"Campaign Respondent","Non-respondent")</f>
        <v>Non-respondent</v>
      </c>
    </row>
    <row r="1675" spans="1:58" x14ac:dyDescent="0.35">
      <c r="A1675">
        <v>112</v>
      </c>
      <c r="B1675">
        <v>32557</v>
      </c>
      <c r="C1675">
        <v>1</v>
      </c>
      <c r="D1675">
        <v>0</v>
      </c>
      <c r="E1675">
        <v>13</v>
      </c>
      <c r="F1675">
        <v>34</v>
      </c>
      <c r="G1675">
        <v>3</v>
      </c>
      <c r="H1675">
        <v>29</v>
      </c>
      <c r="I1675">
        <v>0</v>
      </c>
      <c r="J1675">
        <v>4</v>
      </c>
      <c r="K1675">
        <v>10</v>
      </c>
      <c r="L1675">
        <v>3</v>
      </c>
      <c r="M1675">
        <v>2</v>
      </c>
      <c r="N1675">
        <v>1</v>
      </c>
      <c r="O1675">
        <v>3</v>
      </c>
      <c r="P1675">
        <v>5</v>
      </c>
      <c r="Q1675">
        <v>0</v>
      </c>
      <c r="R1675">
        <v>0</v>
      </c>
      <c r="S1675">
        <v>0</v>
      </c>
      <c r="T1675">
        <v>0</v>
      </c>
      <c r="U1675">
        <v>0</v>
      </c>
      <c r="V1675">
        <f>IF(SUM(ifood_data[[#This Row],[AcceptedCmp1]:[AcceptedCmp5]])&gt;0,1,0)</f>
        <v>0</v>
      </c>
      <c r="W1675">
        <v>0</v>
      </c>
      <c r="X1675">
        <v>3</v>
      </c>
      <c r="Y1675">
        <v>11</v>
      </c>
      <c r="Z1675">
        <v>1</v>
      </c>
      <c r="AA1675">
        <v>53</v>
      </c>
      <c r="AB1675">
        <v>2284</v>
      </c>
      <c r="AC1675" s="28">
        <f>ifood_data[[#This Row],[Customer_Days]]/365</f>
        <v>6.2575342465753421</v>
      </c>
      <c r="AD1675">
        <v>0</v>
      </c>
      <c r="AE1675">
        <v>0</v>
      </c>
      <c r="AF1675">
        <v>1</v>
      </c>
      <c r="AG1675">
        <v>0</v>
      </c>
      <c r="AH1675">
        <v>0</v>
      </c>
      <c r="AI1675">
        <v>0</v>
      </c>
      <c r="AJ1675">
        <v>0</v>
      </c>
      <c r="AK1675">
        <v>0</v>
      </c>
      <c r="AL1675">
        <v>1</v>
      </c>
      <c r="AM1675">
        <v>0</v>
      </c>
      <c r="AN1675">
        <v>70</v>
      </c>
      <c r="AO1675">
        <v>60</v>
      </c>
      <c r="AP1675">
        <f>ifood_data[[#This Row],[MntTotal]]-ifood_data[[#This Row],[MntRegularProds]]</f>
        <v>10</v>
      </c>
      <c r="AQ1675">
        <v>0</v>
      </c>
      <c r="AR1675">
        <f>IF(SUM(ifood_data[[#This Row],[Kidhome]:[Teenhome]])&gt;0,1,0)</f>
        <v>1</v>
      </c>
      <c r="AS1675" t="str">
        <f>IF(SUM(ifood_data[[#This Row],[Kidhome]:[Teenhome]])&gt;0,"Has Family","No Family")</f>
        <v>Has Family</v>
      </c>
      <c r="AT1675" t="str">
        <f>IF(ifood_data[[#This Row],[marital_Married]]=1,"Married", (IF(ifood_data[[#This Row],[marital_Single]]=1,"Single",(IF(ifood_data[[#This Row],[marital_Divorced]]=1,"Divorced",(IF(ifood_data[[#This Row],[marital_Together]]=1,"Living Together",(IF(ifood_data[[#This Row],[marital_Widow]]=1,"Widow","Other")))))))))</f>
        <v>Single</v>
      </c>
      <c r="AU1675" t="str">
        <f>IF(ifood_data[[#This Row],[education_Basic]]=1,"High School",(IF(ifood_data[[#This Row],[education_Graduation]]=1,"Undergraduate Degree",(IF(SUM(AM1675,AL1675,AI1675)&gt;0,"Master's Degree or Higher","Other")))))</f>
        <v>Master's Degree or Higher</v>
      </c>
      <c r="AV1675" t="str">
        <f>IF(ifood_data[[#All],[Income]]&gt;75000,"75K+",(IF(ifood_data[[#All],[Income]]&gt;50000,"50K-75K",(IF(ifood_data[[#All],[Income]]&gt;35000,"35K-50K","&lt;35K")))))</f>
        <v>&lt;35K</v>
      </c>
      <c r="AW1675" t="str">
        <f>IF(ifood_data[[#All],[Age]]&gt;60,"60+",(IF(ifood_data[[#All],[Age]]&gt;50,"50-60",(IF(ifood_data[[#All],[Age]]&gt;40,"40-50",(IF(ifood_data[[#All],[Age]]&gt;30,"30-40","&lt;30")))))))</f>
        <v>50-60</v>
      </c>
      <c r="AX1675">
        <f t="shared" si="104"/>
        <v>14</v>
      </c>
      <c r="AY1675">
        <f t="shared" si="105"/>
        <v>9</v>
      </c>
      <c r="AZ1675">
        <f t="shared" si="106"/>
        <v>2</v>
      </c>
      <c r="BA1675">
        <f t="shared" si="107"/>
        <v>3</v>
      </c>
      <c r="BB1675">
        <f>SUM(ifood_data[[#This Row],[Recency Score]:[Monetary Score]])</f>
        <v>14</v>
      </c>
      <c r="BC1675">
        <f>(_xlfn.PERCENTRANK.INC(ifood_data[[#All],[RFM]],ifood_data[[#This Row],[RFM]],1))*10</f>
        <v>4</v>
      </c>
      <c r="BD1675" t="str">
        <f>VLOOKUP(ifood_data[[#This Row],[RFM Score]],'RFM Analysis'!$A$3:$B$14,2,FALSE)</f>
        <v>At Risk</v>
      </c>
      <c r="BE1675">
        <f>'Regression Models'!$B$101+'Regression Models'!$B$102*ifood_data[[#This Row],[Income]]+'Regression Models'!$B$103*ifood_data[[#This Row],[Age]]+'Regression Models'!$B$104*ifood_data[[#This Row],[Family]]</f>
        <v>89.036965932038015</v>
      </c>
      <c r="BF1675" t="str">
        <f>IF(ifood_data[[#This Row],[AcceptedCmpOverall]]=1,"Campaign Respondent","Non-respondent")</f>
        <v>Non-respondent</v>
      </c>
    </row>
    <row r="1676" spans="1:58" x14ac:dyDescent="0.35">
      <c r="A1676">
        <v>796</v>
      </c>
      <c r="B1676">
        <v>34026</v>
      </c>
      <c r="C1676">
        <v>1</v>
      </c>
      <c r="D1676">
        <v>1</v>
      </c>
      <c r="E1676">
        <v>11</v>
      </c>
      <c r="F1676">
        <v>18</v>
      </c>
      <c r="G1676">
        <v>6</v>
      </c>
      <c r="H1676">
        <v>15</v>
      </c>
      <c r="I1676">
        <v>12</v>
      </c>
      <c r="J1676">
        <v>8</v>
      </c>
      <c r="K1676">
        <v>17</v>
      </c>
      <c r="L1676">
        <v>3</v>
      </c>
      <c r="M1676">
        <v>2</v>
      </c>
      <c r="N1676">
        <v>1</v>
      </c>
      <c r="O1676">
        <v>3</v>
      </c>
      <c r="P1676">
        <v>5</v>
      </c>
      <c r="Q1676">
        <v>0</v>
      </c>
      <c r="R1676">
        <v>0</v>
      </c>
      <c r="S1676">
        <v>0</v>
      </c>
      <c r="T1676">
        <v>0</v>
      </c>
      <c r="U1676">
        <v>0</v>
      </c>
      <c r="V1676">
        <f>IF(SUM(ifood_data[[#This Row],[AcceptedCmp1]:[AcceptedCmp5]])&gt;0,1,0)</f>
        <v>0</v>
      </c>
      <c r="W1676">
        <v>0</v>
      </c>
      <c r="X1676">
        <v>3</v>
      </c>
      <c r="Y1676">
        <v>11</v>
      </c>
      <c r="Z1676">
        <v>0</v>
      </c>
      <c r="AA1676">
        <v>70</v>
      </c>
      <c r="AB1676">
        <v>2487</v>
      </c>
      <c r="AC1676" s="28">
        <f>ifood_data[[#This Row],[Customer_Days]]/365</f>
        <v>6.8136986301369866</v>
      </c>
      <c r="AD1676">
        <v>0</v>
      </c>
      <c r="AE1676">
        <v>0</v>
      </c>
      <c r="AF1676">
        <v>0</v>
      </c>
      <c r="AG1676">
        <v>1</v>
      </c>
      <c r="AH1676">
        <v>0</v>
      </c>
      <c r="AI1676">
        <v>0</v>
      </c>
      <c r="AJ1676">
        <v>0</v>
      </c>
      <c r="AK1676">
        <v>1</v>
      </c>
      <c r="AL1676">
        <v>0</v>
      </c>
      <c r="AM1676">
        <v>0</v>
      </c>
      <c r="AN1676">
        <v>59</v>
      </c>
      <c r="AO1676">
        <v>42</v>
      </c>
      <c r="AP1676">
        <f>ifood_data[[#This Row],[MntTotal]]-ifood_data[[#This Row],[MntRegularProds]]</f>
        <v>17</v>
      </c>
      <c r="AQ1676">
        <v>0</v>
      </c>
      <c r="AR1676">
        <f>IF(SUM(ifood_data[[#This Row],[Kidhome]:[Teenhome]])&gt;0,1,0)</f>
        <v>1</v>
      </c>
      <c r="AS1676" t="str">
        <f>IF(SUM(ifood_data[[#This Row],[Kidhome]:[Teenhome]])&gt;0,"Has Family","No Family")</f>
        <v>Has Family</v>
      </c>
      <c r="AT1676" t="str">
        <f>IF(ifood_data[[#This Row],[marital_Married]]=1,"Married", (IF(ifood_data[[#This Row],[marital_Single]]=1,"Single",(IF(ifood_data[[#This Row],[marital_Divorced]]=1,"Divorced",(IF(ifood_data[[#This Row],[marital_Together]]=1,"Living Together",(IF(ifood_data[[#This Row],[marital_Widow]]=1,"Widow","Other")))))))))</f>
        <v>Living Together</v>
      </c>
      <c r="AU1676" t="str">
        <f>IF(ifood_data[[#This Row],[education_Basic]]=1,"High School",(IF(ifood_data[[#This Row],[education_Graduation]]=1,"Undergraduate Degree",(IF(SUM(AM1676,AL1676,AI1676)&gt;0,"Master's Degree or Higher","Other")))))</f>
        <v>Undergraduate Degree</v>
      </c>
      <c r="AV1676" t="str">
        <f>IF(ifood_data[[#All],[Income]]&gt;75000,"75K+",(IF(ifood_data[[#All],[Income]]&gt;50000,"50K-75K",(IF(ifood_data[[#All],[Income]]&gt;35000,"35K-50K","&lt;35K")))))</f>
        <v>&lt;35K</v>
      </c>
      <c r="AW1676" t="str">
        <f>IF(ifood_data[[#All],[Age]]&gt;60,"60+",(IF(ifood_data[[#All],[Age]]&gt;50,"50-60",(IF(ifood_data[[#All],[Age]]&gt;40,"40-50",(IF(ifood_data[[#All],[Age]]&gt;30,"30-40","&lt;30")))))))</f>
        <v>60+</v>
      </c>
      <c r="AX1676">
        <f t="shared" si="104"/>
        <v>14</v>
      </c>
      <c r="AY1676">
        <f t="shared" si="105"/>
        <v>9</v>
      </c>
      <c r="AZ1676">
        <f t="shared" si="106"/>
        <v>2</v>
      </c>
      <c r="BA1676">
        <f t="shared" si="107"/>
        <v>2</v>
      </c>
      <c r="BB1676">
        <f>SUM(ifood_data[[#This Row],[Recency Score]:[Monetary Score]])</f>
        <v>13</v>
      </c>
      <c r="BC1676">
        <f>(_xlfn.PERCENTRANK.INC(ifood_data[[#All],[RFM]],ifood_data[[#This Row],[RFM]],1))*10</f>
        <v>3</v>
      </c>
      <c r="BD1676" t="str">
        <f>VLOOKUP(ifood_data[[#This Row],[RFM Score]],'RFM Analysis'!$A$3:$B$14,2,FALSE)</f>
        <v>At Risk</v>
      </c>
      <c r="BE1676">
        <f>'Regression Models'!$B$101+'Regression Models'!$B$102*ifood_data[[#This Row],[Income]]+'Regression Models'!$B$103*ifood_data[[#This Row],[Age]]+'Regression Models'!$B$104*ifood_data[[#This Row],[Family]]</f>
        <v>87.768601994222877</v>
      </c>
      <c r="BF1676" t="str">
        <f>IF(ifood_data[[#This Row],[AcceptedCmpOverall]]=1,"Campaign Respondent","Non-respondent")</f>
        <v>Non-respondent</v>
      </c>
    </row>
    <row r="1677" spans="1:58" x14ac:dyDescent="0.35">
      <c r="A1677">
        <v>62</v>
      </c>
      <c r="B1677">
        <v>32474</v>
      </c>
      <c r="C1677">
        <v>1</v>
      </c>
      <c r="D1677">
        <v>1</v>
      </c>
      <c r="E1677">
        <v>0</v>
      </c>
      <c r="F1677">
        <v>10</v>
      </c>
      <c r="G1677">
        <v>0</v>
      </c>
      <c r="H1677">
        <v>1</v>
      </c>
      <c r="I1677">
        <v>0</v>
      </c>
      <c r="J1677">
        <v>0</v>
      </c>
      <c r="K1677">
        <v>0</v>
      </c>
      <c r="L1677">
        <v>1</v>
      </c>
      <c r="M1677">
        <v>1</v>
      </c>
      <c r="N1677">
        <v>0</v>
      </c>
      <c r="O1677">
        <v>2</v>
      </c>
      <c r="P1677">
        <v>7</v>
      </c>
      <c r="Q1677">
        <v>0</v>
      </c>
      <c r="R1677">
        <v>0</v>
      </c>
      <c r="S1677">
        <v>0</v>
      </c>
      <c r="T1677">
        <v>0</v>
      </c>
      <c r="U1677">
        <v>0</v>
      </c>
      <c r="V1677">
        <f>IF(SUM(ifood_data[[#This Row],[AcceptedCmp1]:[AcceptedCmp5]])&gt;0,1,0)</f>
        <v>0</v>
      </c>
      <c r="W1677">
        <v>0</v>
      </c>
      <c r="X1677">
        <v>3</v>
      </c>
      <c r="Y1677">
        <v>11</v>
      </c>
      <c r="Z1677">
        <v>0</v>
      </c>
      <c r="AA1677">
        <v>53</v>
      </c>
      <c r="AB1677">
        <v>2208</v>
      </c>
      <c r="AC1677" s="28">
        <f>ifood_data[[#This Row],[Customer_Days]]/365</f>
        <v>6.0493150684931507</v>
      </c>
      <c r="AD1677">
        <v>0</v>
      </c>
      <c r="AE1677">
        <v>0</v>
      </c>
      <c r="AF1677">
        <v>0</v>
      </c>
      <c r="AG1677">
        <v>1</v>
      </c>
      <c r="AH1677">
        <v>0</v>
      </c>
      <c r="AI1677">
        <v>0</v>
      </c>
      <c r="AJ1677">
        <v>0</v>
      </c>
      <c r="AK1677">
        <v>1</v>
      </c>
      <c r="AL1677">
        <v>0</v>
      </c>
      <c r="AM1677">
        <v>0</v>
      </c>
      <c r="AN1677">
        <v>11</v>
      </c>
      <c r="AO1677">
        <v>11</v>
      </c>
      <c r="AP1677">
        <f>ifood_data[[#This Row],[MntTotal]]-ifood_data[[#This Row],[MntRegularProds]]</f>
        <v>0</v>
      </c>
      <c r="AQ1677">
        <v>0</v>
      </c>
      <c r="AR1677">
        <f>IF(SUM(ifood_data[[#This Row],[Kidhome]:[Teenhome]])&gt;0,1,0)</f>
        <v>1</v>
      </c>
      <c r="AS1677" t="str">
        <f>IF(SUM(ifood_data[[#This Row],[Kidhome]:[Teenhome]])&gt;0,"Has Family","No Family")</f>
        <v>Has Family</v>
      </c>
      <c r="AT1677" t="str">
        <f>IF(ifood_data[[#This Row],[marital_Married]]=1,"Married", (IF(ifood_data[[#This Row],[marital_Single]]=1,"Single",(IF(ifood_data[[#This Row],[marital_Divorced]]=1,"Divorced",(IF(ifood_data[[#This Row],[marital_Together]]=1,"Living Together",(IF(ifood_data[[#This Row],[marital_Widow]]=1,"Widow","Other")))))))))</f>
        <v>Living Together</v>
      </c>
      <c r="AU1677" t="str">
        <f>IF(ifood_data[[#This Row],[education_Basic]]=1,"High School",(IF(ifood_data[[#This Row],[education_Graduation]]=1,"Undergraduate Degree",(IF(SUM(AM1677,AL1677,AI1677)&gt;0,"Master's Degree or Higher","Other")))))</f>
        <v>Undergraduate Degree</v>
      </c>
      <c r="AV1677" t="str">
        <f>IF(ifood_data[[#All],[Income]]&gt;75000,"75K+",(IF(ifood_data[[#All],[Income]]&gt;50000,"50K-75K",(IF(ifood_data[[#All],[Income]]&gt;35000,"35K-50K","&lt;35K")))))</f>
        <v>&lt;35K</v>
      </c>
      <c r="AW1677" t="str">
        <f>IF(ifood_data[[#All],[Age]]&gt;60,"60+",(IF(ifood_data[[#All],[Age]]&gt;50,"50-60",(IF(ifood_data[[#All],[Age]]&gt;40,"40-50",(IF(ifood_data[[#All],[Age]]&gt;30,"30-40","&lt;30")))))))</f>
        <v>50-60</v>
      </c>
      <c r="AX1677">
        <f t="shared" si="104"/>
        <v>11</v>
      </c>
      <c r="AY1677">
        <f t="shared" si="105"/>
        <v>10</v>
      </c>
      <c r="AZ1677">
        <f t="shared" si="106"/>
        <v>0</v>
      </c>
      <c r="BA1677">
        <f t="shared" si="107"/>
        <v>0</v>
      </c>
      <c r="BB1677">
        <f>SUM(ifood_data[[#This Row],[Recency Score]:[Monetary Score]])</f>
        <v>10</v>
      </c>
      <c r="BC1677">
        <f>(_xlfn.PERCENTRANK.INC(ifood_data[[#All],[RFM]],ifood_data[[#This Row],[RFM]],1))*10</f>
        <v>2</v>
      </c>
      <c r="BD1677" t="str">
        <f>VLOOKUP(ifood_data[[#This Row],[RFM Score]],'RFM Analysis'!$A$3:$B$14,2,FALSE)</f>
        <v>At Risk</v>
      </c>
      <c r="BE1677">
        <f>'Regression Models'!$B$101+'Regression Models'!$B$102*ifood_data[[#This Row],[Income]]+'Regression Models'!$B$103*ifood_data[[#This Row],[Age]]+'Regression Models'!$B$104*ifood_data[[#This Row],[Family]]</f>
        <v>87.344698176094425</v>
      </c>
      <c r="BF1677" t="str">
        <f>IF(ifood_data[[#This Row],[AcceptedCmpOverall]]=1,"Campaign Respondent","Non-respondent")</f>
        <v>Non-respondent</v>
      </c>
    </row>
    <row r="1678" spans="1:58" x14ac:dyDescent="0.35">
      <c r="A1678">
        <v>346</v>
      </c>
      <c r="B1678">
        <v>31615</v>
      </c>
      <c r="C1678">
        <v>1</v>
      </c>
      <c r="D1678">
        <v>0</v>
      </c>
      <c r="E1678">
        <v>82</v>
      </c>
      <c r="F1678">
        <v>2</v>
      </c>
      <c r="G1678">
        <v>3</v>
      </c>
      <c r="H1678">
        <v>20</v>
      </c>
      <c r="I1678">
        <v>6</v>
      </c>
      <c r="J1678">
        <v>11</v>
      </c>
      <c r="K1678">
        <v>9</v>
      </c>
      <c r="L1678">
        <v>2</v>
      </c>
      <c r="M1678">
        <v>2</v>
      </c>
      <c r="N1678">
        <v>0</v>
      </c>
      <c r="O1678">
        <v>3</v>
      </c>
      <c r="P1678">
        <v>7</v>
      </c>
      <c r="Q1678">
        <v>0</v>
      </c>
      <c r="R1678">
        <v>0</v>
      </c>
      <c r="S1678">
        <v>0</v>
      </c>
      <c r="T1678">
        <v>0</v>
      </c>
      <c r="U1678">
        <v>0</v>
      </c>
      <c r="V1678">
        <f>IF(SUM(ifood_data[[#This Row],[AcceptedCmp1]:[AcceptedCmp5]])&gt;0,1,0)</f>
        <v>0</v>
      </c>
      <c r="W1678">
        <v>0</v>
      </c>
      <c r="X1678">
        <v>3</v>
      </c>
      <c r="Y1678">
        <v>11</v>
      </c>
      <c r="Z1678">
        <v>0</v>
      </c>
      <c r="AA1678">
        <v>44</v>
      </c>
      <c r="AB1678">
        <v>2629</v>
      </c>
      <c r="AC1678" s="28">
        <f>ifood_data[[#This Row],[Customer_Days]]/365</f>
        <v>7.2027397260273975</v>
      </c>
      <c r="AD1678">
        <v>1</v>
      </c>
      <c r="AE1678">
        <v>0</v>
      </c>
      <c r="AF1678">
        <v>0</v>
      </c>
      <c r="AG1678">
        <v>0</v>
      </c>
      <c r="AH1678">
        <v>0</v>
      </c>
      <c r="AI1678">
        <v>0</v>
      </c>
      <c r="AJ1678">
        <v>0</v>
      </c>
      <c r="AK1678">
        <v>1</v>
      </c>
      <c r="AL1678">
        <v>0</v>
      </c>
      <c r="AM1678">
        <v>0</v>
      </c>
      <c r="AN1678">
        <v>42</v>
      </c>
      <c r="AO1678">
        <v>33</v>
      </c>
      <c r="AP1678">
        <f>ifood_data[[#This Row],[MntTotal]]-ifood_data[[#This Row],[MntRegularProds]]</f>
        <v>9</v>
      </c>
      <c r="AQ1678">
        <v>0</v>
      </c>
      <c r="AR1678">
        <f>IF(SUM(ifood_data[[#This Row],[Kidhome]:[Teenhome]])&gt;0,1,0)</f>
        <v>1</v>
      </c>
      <c r="AS1678" t="str">
        <f>IF(SUM(ifood_data[[#This Row],[Kidhome]:[Teenhome]])&gt;0,"Has Family","No Family")</f>
        <v>Has Family</v>
      </c>
      <c r="AT1678" t="str">
        <f>IF(ifood_data[[#This Row],[marital_Married]]=1,"Married", (IF(ifood_data[[#This Row],[marital_Single]]=1,"Single",(IF(ifood_data[[#This Row],[marital_Divorced]]=1,"Divorced",(IF(ifood_data[[#This Row],[marital_Together]]=1,"Living Together",(IF(ifood_data[[#This Row],[marital_Widow]]=1,"Widow","Other")))))))))</f>
        <v>Divorced</v>
      </c>
      <c r="AU1678" t="str">
        <f>IF(ifood_data[[#This Row],[education_Basic]]=1,"High School",(IF(ifood_data[[#This Row],[education_Graduation]]=1,"Undergraduate Degree",(IF(SUM(AM1678,AL1678,AI1678)&gt;0,"Master's Degree or Higher","Other")))))</f>
        <v>Undergraduate Degree</v>
      </c>
      <c r="AV1678" t="str">
        <f>IF(ifood_data[[#All],[Income]]&gt;75000,"75K+",(IF(ifood_data[[#All],[Income]]&gt;50000,"50K-75K",(IF(ifood_data[[#All],[Income]]&gt;35000,"35K-50K","&lt;35K")))))</f>
        <v>&lt;35K</v>
      </c>
      <c r="AW1678" t="str">
        <f>IF(ifood_data[[#All],[Age]]&gt;60,"60+",(IF(ifood_data[[#All],[Age]]&gt;50,"50-60",(IF(ifood_data[[#All],[Age]]&gt;40,"40-50",(IF(ifood_data[[#All],[Age]]&gt;30,"30-40","&lt;30")))))))</f>
        <v>40-50</v>
      </c>
      <c r="AX1678">
        <f t="shared" si="104"/>
        <v>14</v>
      </c>
      <c r="AY1678">
        <f t="shared" si="105"/>
        <v>1.9999999999999996</v>
      </c>
      <c r="AZ1678">
        <f t="shared" si="106"/>
        <v>2</v>
      </c>
      <c r="BA1678">
        <f t="shared" si="107"/>
        <v>1</v>
      </c>
      <c r="BB1678">
        <f>SUM(ifood_data[[#This Row],[Recency Score]:[Monetary Score]])</f>
        <v>5</v>
      </c>
      <c r="BC1678">
        <f>(_xlfn.PERCENTRANK.INC(ifood_data[[#All],[RFM]],ifood_data[[#This Row],[RFM]],1))*10</f>
        <v>0</v>
      </c>
      <c r="BD1678" t="str">
        <f>VLOOKUP(ifood_data[[#This Row],[RFM Score]],'RFM Analysis'!$A$3:$B$14,2,FALSE)</f>
        <v>Lost</v>
      </c>
      <c r="BE1678">
        <f>'Regression Models'!$B$101+'Regression Models'!$B$102*ifood_data[[#This Row],[Income]]+'Regression Models'!$B$103*ifood_data[[#This Row],[Age]]+'Regression Models'!$B$104*ifood_data[[#This Row],[Family]]</f>
        <v>86.358698050533803</v>
      </c>
      <c r="BF1678" t="str">
        <f>IF(ifood_data[[#This Row],[AcceptedCmpOverall]]=1,"Campaign Respondent","Non-respondent")</f>
        <v>Non-respondent</v>
      </c>
    </row>
    <row r="1679" spans="1:58" x14ac:dyDescent="0.35">
      <c r="A1679">
        <v>1066</v>
      </c>
      <c r="B1679">
        <v>16581</v>
      </c>
      <c r="C1679">
        <v>0</v>
      </c>
      <c r="D1679">
        <v>0</v>
      </c>
      <c r="E1679">
        <v>51</v>
      </c>
      <c r="F1679">
        <v>1</v>
      </c>
      <c r="G1679">
        <v>3</v>
      </c>
      <c r="H1679">
        <v>4</v>
      </c>
      <c r="I1679">
        <v>2</v>
      </c>
      <c r="J1679">
        <v>3</v>
      </c>
      <c r="K1679">
        <v>11</v>
      </c>
      <c r="L1679">
        <v>1</v>
      </c>
      <c r="M1679">
        <v>0</v>
      </c>
      <c r="N1679">
        <v>0</v>
      </c>
      <c r="O1679">
        <v>3</v>
      </c>
      <c r="P1679">
        <v>4</v>
      </c>
      <c r="Q1679">
        <v>0</v>
      </c>
      <c r="R1679">
        <v>0</v>
      </c>
      <c r="S1679">
        <v>0</v>
      </c>
      <c r="T1679">
        <v>0</v>
      </c>
      <c r="U1679">
        <v>0</v>
      </c>
      <c r="V1679">
        <f>IF(SUM(ifood_data[[#This Row],[AcceptedCmp1]:[AcceptedCmp5]])&gt;0,1,0)</f>
        <v>0</v>
      </c>
      <c r="W1679">
        <v>0</v>
      </c>
      <c r="X1679">
        <v>3</v>
      </c>
      <c r="Y1679">
        <v>11</v>
      </c>
      <c r="Z1679">
        <v>0</v>
      </c>
      <c r="AA1679">
        <v>35</v>
      </c>
      <c r="AB1679">
        <v>2692</v>
      </c>
      <c r="AC1679" s="28">
        <f>ifood_data[[#This Row],[Customer_Days]]/365</f>
        <v>7.375342465753425</v>
      </c>
      <c r="AD1679">
        <v>0</v>
      </c>
      <c r="AE1679">
        <v>0</v>
      </c>
      <c r="AF1679">
        <v>1</v>
      </c>
      <c r="AG1679">
        <v>0</v>
      </c>
      <c r="AH1679">
        <v>0</v>
      </c>
      <c r="AI1679">
        <v>0</v>
      </c>
      <c r="AJ1679">
        <v>1</v>
      </c>
      <c r="AK1679">
        <v>0</v>
      </c>
      <c r="AL1679">
        <v>0</v>
      </c>
      <c r="AM1679">
        <v>0</v>
      </c>
      <c r="AN1679">
        <v>13</v>
      </c>
      <c r="AO1679">
        <v>2</v>
      </c>
      <c r="AP1679">
        <f>ifood_data[[#This Row],[MntTotal]]-ifood_data[[#This Row],[MntRegularProds]]</f>
        <v>11</v>
      </c>
      <c r="AQ1679">
        <v>0</v>
      </c>
      <c r="AR1679">
        <f>IF(SUM(ifood_data[[#This Row],[Kidhome]:[Teenhome]])&gt;0,1,0)</f>
        <v>0</v>
      </c>
      <c r="AS1679" t="str">
        <f>IF(SUM(ifood_data[[#This Row],[Kidhome]:[Teenhome]])&gt;0,"Has Family","No Family")</f>
        <v>No Family</v>
      </c>
      <c r="AT1679" t="str">
        <f>IF(ifood_data[[#This Row],[marital_Married]]=1,"Married", (IF(ifood_data[[#This Row],[marital_Single]]=1,"Single",(IF(ifood_data[[#This Row],[marital_Divorced]]=1,"Divorced",(IF(ifood_data[[#This Row],[marital_Together]]=1,"Living Together",(IF(ifood_data[[#This Row],[marital_Widow]]=1,"Widow","Other")))))))))</f>
        <v>Single</v>
      </c>
      <c r="AU1679" t="str">
        <f>IF(ifood_data[[#This Row],[education_Basic]]=1,"High School",(IF(ifood_data[[#This Row],[education_Graduation]]=1,"Undergraduate Degree",(IF(SUM(AM1679,AL1679,AI1679)&gt;0,"Master's Degree or Higher","Other")))))</f>
        <v>High School</v>
      </c>
      <c r="AV1679" t="str">
        <f>IF(ifood_data[[#All],[Income]]&gt;75000,"75K+",(IF(ifood_data[[#All],[Income]]&gt;50000,"50K-75K",(IF(ifood_data[[#All],[Income]]&gt;35000,"35K-50K","&lt;35K")))))</f>
        <v>&lt;35K</v>
      </c>
      <c r="AW1679" t="str">
        <f>IF(ifood_data[[#All],[Age]]&gt;60,"60+",(IF(ifood_data[[#All],[Age]]&gt;50,"50-60",(IF(ifood_data[[#All],[Age]]&gt;40,"40-50",(IF(ifood_data[[#All],[Age]]&gt;30,"30-40","&lt;30")))))))</f>
        <v>30-40</v>
      </c>
      <c r="AX1679">
        <f t="shared" si="104"/>
        <v>8</v>
      </c>
      <c r="AY1679">
        <f t="shared" si="105"/>
        <v>5</v>
      </c>
      <c r="AZ1679">
        <f t="shared" si="106"/>
        <v>0</v>
      </c>
      <c r="BA1679">
        <f t="shared" si="107"/>
        <v>0</v>
      </c>
      <c r="BB1679">
        <f>SUM(ifood_data[[#This Row],[Recency Score]:[Monetary Score]])</f>
        <v>5</v>
      </c>
      <c r="BC1679">
        <f>(_xlfn.PERCENTRANK.INC(ifood_data[[#All],[RFM]],ifood_data[[#This Row],[RFM]],1))*10</f>
        <v>0</v>
      </c>
      <c r="BD1679" t="str">
        <f>VLOOKUP(ifood_data[[#This Row],[RFM Score]],'RFM Analysis'!$A$3:$B$14,2,FALSE)</f>
        <v>Lost</v>
      </c>
      <c r="BE1679">
        <f>'Regression Models'!$B$101+'Regression Models'!$B$102*ifood_data[[#This Row],[Income]]+'Regression Models'!$B$103*ifood_data[[#This Row],[Age]]+'Regression Models'!$B$104*ifood_data[[#This Row],[Family]]</f>
        <v>85.975540558221709</v>
      </c>
      <c r="BF1679" t="str">
        <f>IF(ifood_data[[#This Row],[AcceptedCmpOverall]]=1,"Campaign Respondent","Non-respondent")</f>
        <v>Non-respondent</v>
      </c>
    </row>
    <row r="1680" spans="1:58" x14ac:dyDescent="0.35">
      <c r="A1680">
        <v>415</v>
      </c>
      <c r="B1680">
        <v>32011</v>
      </c>
      <c r="C1680">
        <v>1</v>
      </c>
      <c r="D1680">
        <v>0</v>
      </c>
      <c r="E1680">
        <v>89</v>
      </c>
      <c r="F1680">
        <v>99</v>
      </c>
      <c r="G1680">
        <v>0</v>
      </c>
      <c r="H1680">
        <v>15</v>
      </c>
      <c r="I1680">
        <v>2</v>
      </c>
      <c r="J1680">
        <v>1</v>
      </c>
      <c r="K1680">
        <v>5</v>
      </c>
      <c r="L1680">
        <v>3</v>
      </c>
      <c r="M1680">
        <v>2</v>
      </c>
      <c r="N1680">
        <v>1</v>
      </c>
      <c r="O1680">
        <v>4</v>
      </c>
      <c r="P1680">
        <v>7</v>
      </c>
      <c r="Q1680">
        <v>0</v>
      </c>
      <c r="R1680">
        <v>0</v>
      </c>
      <c r="S1680">
        <v>0</v>
      </c>
      <c r="T1680">
        <v>0</v>
      </c>
      <c r="U1680">
        <v>0</v>
      </c>
      <c r="V1680">
        <f>IF(SUM(ifood_data[[#This Row],[AcceptedCmp1]:[AcceptedCmp5]])&gt;0,1,0)</f>
        <v>0</v>
      </c>
      <c r="W1680">
        <v>0</v>
      </c>
      <c r="X1680">
        <v>3</v>
      </c>
      <c r="Y1680">
        <v>11</v>
      </c>
      <c r="Z1680">
        <v>0</v>
      </c>
      <c r="AA1680">
        <v>49</v>
      </c>
      <c r="AB1680">
        <v>2470</v>
      </c>
      <c r="AC1680" s="28">
        <f>ifood_data[[#This Row],[Customer_Days]]/365</f>
        <v>6.7671232876712333</v>
      </c>
      <c r="AD1680">
        <v>0</v>
      </c>
      <c r="AE1680">
        <v>1</v>
      </c>
      <c r="AF1680">
        <v>0</v>
      </c>
      <c r="AG1680">
        <v>0</v>
      </c>
      <c r="AH1680">
        <v>0</v>
      </c>
      <c r="AI1680">
        <v>0</v>
      </c>
      <c r="AJ1680">
        <v>0</v>
      </c>
      <c r="AK1680">
        <v>0</v>
      </c>
      <c r="AL1680">
        <v>0</v>
      </c>
      <c r="AM1680">
        <v>1</v>
      </c>
      <c r="AN1680">
        <v>117</v>
      </c>
      <c r="AO1680">
        <v>112</v>
      </c>
      <c r="AP1680">
        <f>ifood_data[[#This Row],[MntTotal]]-ifood_data[[#This Row],[MntRegularProds]]</f>
        <v>5</v>
      </c>
      <c r="AQ1680">
        <v>0</v>
      </c>
      <c r="AR1680">
        <f>IF(SUM(ifood_data[[#This Row],[Kidhome]:[Teenhome]])&gt;0,1,0)</f>
        <v>1</v>
      </c>
      <c r="AS1680" t="str">
        <f>IF(SUM(ifood_data[[#This Row],[Kidhome]:[Teenhome]])&gt;0,"Has Family","No Family")</f>
        <v>Has Family</v>
      </c>
      <c r="AT1680" t="str">
        <f>IF(ifood_data[[#This Row],[marital_Married]]=1,"Married", (IF(ifood_data[[#This Row],[marital_Single]]=1,"Single",(IF(ifood_data[[#This Row],[marital_Divorced]]=1,"Divorced",(IF(ifood_data[[#This Row],[marital_Together]]=1,"Living Together",(IF(ifood_data[[#This Row],[marital_Widow]]=1,"Widow","Other")))))))))</f>
        <v>Married</v>
      </c>
      <c r="AU1680" t="str">
        <f>IF(ifood_data[[#This Row],[education_Basic]]=1,"High School",(IF(ifood_data[[#This Row],[education_Graduation]]=1,"Undergraduate Degree",(IF(SUM(AM1680,AL1680,AI1680)&gt;0,"Master's Degree or Higher","Other")))))</f>
        <v>Master's Degree or Higher</v>
      </c>
      <c r="AV1680" t="str">
        <f>IF(ifood_data[[#All],[Income]]&gt;75000,"75K+",(IF(ifood_data[[#All],[Income]]&gt;50000,"50K-75K",(IF(ifood_data[[#All],[Income]]&gt;35000,"35K-50K","&lt;35K")))))</f>
        <v>&lt;35K</v>
      </c>
      <c r="AW1680" t="str">
        <f>IF(ifood_data[[#All],[Age]]&gt;60,"60+",(IF(ifood_data[[#All],[Age]]&gt;50,"50-60",(IF(ifood_data[[#All],[Age]]&gt;40,"40-50",(IF(ifood_data[[#All],[Age]]&gt;30,"30-40","&lt;30")))))))</f>
        <v>40-50</v>
      </c>
      <c r="AX1680">
        <f t="shared" si="104"/>
        <v>17</v>
      </c>
      <c r="AY1680">
        <f t="shared" si="105"/>
        <v>1.9999999999999996</v>
      </c>
      <c r="AZ1680">
        <f t="shared" si="106"/>
        <v>3</v>
      </c>
      <c r="BA1680">
        <f t="shared" si="107"/>
        <v>3</v>
      </c>
      <c r="BB1680">
        <f>SUM(ifood_data[[#This Row],[Recency Score]:[Monetary Score]])</f>
        <v>8</v>
      </c>
      <c r="BC1680">
        <f>(_xlfn.PERCENTRANK.INC(ifood_data[[#All],[RFM]],ifood_data[[#This Row],[RFM]],1))*10</f>
        <v>1</v>
      </c>
      <c r="BD1680" t="str">
        <f>VLOOKUP(ifood_data[[#This Row],[RFM Score]],'RFM Analysis'!$A$3:$B$14,2,FALSE)</f>
        <v>At Risk</v>
      </c>
      <c r="BE1680">
        <f>'Regression Models'!$B$101+'Regression Models'!$B$102*ifood_data[[#This Row],[Income]]+'Regression Models'!$B$103*ifood_data[[#This Row],[Age]]+'Regression Models'!$B$104*ifood_data[[#This Row],[Family]]</f>
        <v>85.250454841046349</v>
      </c>
      <c r="BF1680" t="str">
        <f>IF(ifood_data[[#This Row],[AcceptedCmpOverall]]=1,"Campaign Respondent","Non-respondent")</f>
        <v>Non-respondent</v>
      </c>
    </row>
    <row r="1681" spans="1:58" x14ac:dyDescent="0.35">
      <c r="A1681">
        <v>843</v>
      </c>
      <c r="B1681">
        <v>31814</v>
      </c>
      <c r="C1681">
        <v>1</v>
      </c>
      <c r="D1681">
        <v>0</v>
      </c>
      <c r="E1681">
        <v>73</v>
      </c>
      <c r="F1681">
        <v>35</v>
      </c>
      <c r="G1681">
        <v>3</v>
      </c>
      <c r="H1681">
        <v>20</v>
      </c>
      <c r="I1681">
        <v>4</v>
      </c>
      <c r="J1681">
        <v>1</v>
      </c>
      <c r="K1681">
        <v>20</v>
      </c>
      <c r="L1681">
        <v>2</v>
      </c>
      <c r="M1681">
        <v>2</v>
      </c>
      <c r="N1681">
        <v>0</v>
      </c>
      <c r="O1681">
        <v>3</v>
      </c>
      <c r="P1681">
        <v>9</v>
      </c>
      <c r="Q1681">
        <v>0</v>
      </c>
      <c r="R1681">
        <v>0</v>
      </c>
      <c r="S1681">
        <v>1</v>
      </c>
      <c r="T1681">
        <v>0</v>
      </c>
      <c r="U1681">
        <v>0</v>
      </c>
      <c r="V1681">
        <f>IF(SUM(ifood_data[[#This Row],[AcceptedCmp1]:[AcceptedCmp5]])&gt;0,1,0)</f>
        <v>1</v>
      </c>
      <c r="W1681">
        <v>0</v>
      </c>
      <c r="X1681">
        <v>3</v>
      </c>
      <c r="Y1681">
        <v>11</v>
      </c>
      <c r="Z1681">
        <v>0</v>
      </c>
      <c r="AA1681">
        <v>47</v>
      </c>
      <c r="AB1681">
        <v>2664</v>
      </c>
      <c r="AC1681" s="28">
        <f>ifood_data[[#This Row],[Customer_Days]]/365</f>
        <v>7.2986301369863016</v>
      </c>
      <c r="AD1681">
        <v>0</v>
      </c>
      <c r="AE1681">
        <v>1</v>
      </c>
      <c r="AF1681">
        <v>0</v>
      </c>
      <c r="AG1681">
        <v>0</v>
      </c>
      <c r="AH1681">
        <v>0</v>
      </c>
      <c r="AI1681">
        <v>0</v>
      </c>
      <c r="AJ1681">
        <v>0</v>
      </c>
      <c r="AK1681">
        <v>1</v>
      </c>
      <c r="AL1681">
        <v>0</v>
      </c>
      <c r="AM1681">
        <v>0</v>
      </c>
      <c r="AN1681">
        <v>63</v>
      </c>
      <c r="AO1681">
        <v>43</v>
      </c>
      <c r="AP1681">
        <f>ifood_data[[#This Row],[MntTotal]]-ifood_data[[#This Row],[MntRegularProds]]</f>
        <v>20</v>
      </c>
      <c r="AQ1681">
        <v>1</v>
      </c>
      <c r="AR1681">
        <f>IF(SUM(ifood_data[[#This Row],[Kidhome]:[Teenhome]])&gt;0,1,0)</f>
        <v>1</v>
      </c>
      <c r="AS1681" t="str">
        <f>IF(SUM(ifood_data[[#This Row],[Kidhome]:[Teenhome]])&gt;0,"Has Family","No Family")</f>
        <v>Has Family</v>
      </c>
      <c r="AT1681" t="str">
        <f>IF(ifood_data[[#This Row],[marital_Married]]=1,"Married", (IF(ifood_data[[#This Row],[marital_Single]]=1,"Single",(IF(ifood_data[[#This Row],[marital_Divorced]]=1,"Divorced",(IF(ifood_data[[#This Row],[marital_Together]]=1,"Living Together",(IF(ifood_data[[#This Row],[marital_Widow]]=1,"Widow","Other")))))))))</f>
        <v>Married</v>
      </c>
      <c r="AU1681" t="str">
        <f>IF(ifood_data[[#This Row],[education_Basic]]=1,"High School",(IF(ifood_data[[#This Row],[education_Graduation]]=1,"Undergraduate Degree",(IF(SUM(AM1681,AL1681,AI1681)&gt;0,"Master's Degree or Higher","Other")))))</f>
        <v>Undergraduate Degree</v>
      </c>
      <c r="AV1681" t="str">
        <f>IF(ifood_data[[#All],[Income]]&gt;75000,"75K+",(IF(ifood_data[[#All],[Income]]&gt;50000,"50K-75K",(IF(ifood_data[[#All],[Income]]&gt;35000,"35K-50K","&lt;35K")))))</f>
        <v>&lt;35K</v>
      </c>
      <c r="AW1681" t="str">
        <f>IF(ifood_data[[#All],[Age]]&gt;60,"60+",(IF(ifood_data[[#All],[Age]]&gt;50,"50-60",(IF(ifood_data[[#All],[Age]]&gt;40,"40-50",(IF(ifood_data[[#All],[Age]]&gt;30,"30-40","&lt;30")))))))</f>
        <v>40-50</v>
      </c>
      <c r="AX1681">
        <f t="shared" si="104"/>
        <v>16</v>
      </c>
      <c r="AY1681">
        <f t="shared" si="105"/>
        <v>3.0000000000000004</v>
      </c>
      <c r="AZ1681">
        <f t="shared" si="106"/>
        <v>3</v>
      </c>
      <c r="BA1681">
        <f t="shared" si="107"/>
        <v>2</v>
      </c>
      <c r="BB1681">
        <f>SUM(ifood_data[[#This Row],[Recency Score]:[Monetary Score]])</f>
        <v>8</v>
      </c>
      <c r="BC1681">
        <f>(_xlfn.PERCENTRANK.INC(ifood_data[[#All],[RFM]],ifood_data[[#This Row],[RFM]],1))*10</f>
        <v>1</v>
      </c>
      <c r="BD1681" t="str">
        <f>VLOOKUP(ifood_data[[#This Row],[RFM Score]],'RFM Analysis'!$A$3:$B$14,2,FALSE)</f>
        <v>At Risk</v>
      </c>
      <c r="BE1681">
        <f>'Regression Models'!$B$101+'Regression Models'!$B$102*ifood_data[[#This Row],[Income]]+'Regression Models'!$B$103*ifood_data[[#This Row],[Age]]+'Regression Models'!$B$104*ifood_data[[#This Row],[Family]]</f>
        <v>84.906745674486842</v>
      </c>
      <c r="BF1681" t="str">
        <f>IF(ifood_data[[#This Row],[AcceptedCmpOverall]]=1,"Campaign Respondent","Non-respondent")</f>
        <v>Campaign Respondent</v>
      </c>
    </row>
    <row r="1682" spans="1:58" x14ac:dyDescent="0.35">
      <c r="A1682">
        <v>572</v>
      </c>
      <c r="B1682">
        <v>31089</v>
      </c>
      <c r="C1682">
        <v>1</v>
      </c>
      <c r="D1682">
        <v>0</v>
      </c>
      <c r="E1682">
        <v>57</v>
      </c>
      <c r="F1682">
        <v>31</v>
      </c>
      <c r="G1682">
        <v>3</v>
      </c>
      <c r="H1682">
        <v>31</v>
      </c>
      <c r="I1682">
        <v>2</v>
      </c>
      <c r="J1682">
        <v>8</v>
      </c>
      <c r="K1682">
        <v>4</v>
      </c>
      <c r="L1682">
        <v>3</v>
      </c>
      <c r="M1682">
        <v>3</v>
      </c>
      <c r="N1682">
        <v>0</v>
      </c>
      <c r="O1682">
        <v>4</v>
      </c>
      <c r="P1682">
        <v>8</v>
      </c>
      <c r="Q1682">
        <v>0</v>
      </c>
      <c r="R1682">
        <v>0</v>
      </c>
      <c r="S1682">
        <v>0</v>
      </c>
      <c r="T1682">
        <v>0</v>
      </c>
      <c r="U1682">
        <v>0</v>
      </c>
      <c r="V1682">
        <f>IF(SUM(ifood_data[[#This Row],[AcceptedCmp1]:[AcceptedCmp5]])&gt;0,1,0)</f>
        <v>0</v>
      </c>
      <c r="W1682">
        <v>0</v>
      </c>
      <c r="X1682">
        <v>3</v>
      </c>
      <c r="Y1682">
        <v>11</v>
      </c>
      <c r="Z1682">
        <v>0</v>
      </c>
      <c r="AA1682">
        <v>39</v>
      </c>
      <c r="AB1682">
        <v>2840</v>
      </c>
      <c r="AC1682" s="28">
        <f>ifood_data[[#This Row],[Customer_Days]]/365</f>
        <v>7.7808219178082192</v>
      </c>
      <c r="AD1682">
        <v>0</v>
      </c>
      <c r="AE1682">
        <v>0</v>
      </c>
      <c r="AF1682">
        <v>0</v>
      </c>
      <c r="AG1682">
        <v>1</v>
      </c>
      <c r="AH1682">
        <v>0</v>
      </c>
      <c r="AI1682">
        <v>0</v>
      </c>
      <c r="AJ1682">
        <v>0</v>
      </c>
      <c r="AK1682">
        <v>1</v>
      </c>
      <c r="AL1682">
        <v>0</v>
      </c>
      <c r="AM1682">
        <v>0</v>
      </c>
      <c r="AN1682">
        <v>75</v>
      </c>
      <c r="AO1682">
        <v>71</v>
      </c>
      <c r="AP1682">
        <f>ifood_data[[#This Row],[MntTotal]]-ifood_data[[#This Row],[MntRegularProds]]</f>
        <v>4</v>
      </c>
      <c r="AQ1682">
        <v>0</v>
      </c>
      <c r="AR1682">
        <f>IF(SUM(ifood_data[[#This Row],[Kidhome]:[Teenhome]])&gt;0,1,0)</f>
        <v>1</v>
      </c>
      <c r="AS1682" t="str">
        <f>IF(SUM(ifood_data[[#This Row],[Kidhome]:[Teenhome]])&gt;0,"Has Family","No Family")</f>
        <v>Has Family</v>
      </c>
      <c r="AT1682" t="str">
        <f>IF(ifood_data[[#This Row],[marital_Married]]=1,"Married", (IF(ifood_data[[#This Row],[marital_Single]]=1,"Single",(IF(ifood_data[[#This Row],[marital_Divorced]]=1,"Divorced",(IF(ifood_data[[#This Row],[marital_Together]]=1,"Living Together",(IF(ifood_data[[#This Row],[marital_Widow]]=1,"Widow","Other")))))))))</f>
        <v>Living Together</v>
      </c>
      <c r="AU1682" t="str">
        <f>IF(ifood_data[[#This Row],[education_Basic]]=1,"High School",(IF(ifood_data[[#This Row],[education_Graduation]]=1,"Undergraduate Degree",(IF(SUM(AM1682,AL1682,AI1682)&gt;0,"Master's Degree or Higher","Other")))))</f>
        <v>Undergraduate Degree</v>
      </c>
      <c r="AV1682" t="str">
        <f>IF(ifood_data[[#All],[Income]]&gt;75000,"75K+",(IF(ifood_data[[#All],[Income]]&gt;50000,"50K-75K",(IF(ifood_data[[#All],[Income]]&gt;35000,"35K-50K","&lt;35K")))))</f>
        <v>&lt;35K</v>
      </c>
      <c r="AW1682" t="str">
        <f>IF(ifood_data[[#All],[Age]]&gt;60,"60+",(IF(ifood_data[[#All],[Age]]&gt;50,"50-60",(IF(ifood_data[[#All],[Age]]&gt;40,"40-50",(IF(ifood_data[[#All],[Age]]&gt;30,"30-40","&lt;30")))))))</f>
        <v>30-40</v>
      </c>
      <c r="AX1682">
        <f t="shared" si="104"/>
        <v>18</v>
      </c>
      <c r="AY1682">
        <f t="shared" si="105"/>
        <v>5</v>
      </c>
      <c r="AZ1682">
        <f t="shared" si="106"/>
        <v>4</v>
      </c>
      <c r="BA1682">
        <f t="shared" si="107"/>
        <v>3</v>
      </c>
      <c r="BB1682">
        <f>SUM(ifood_data[[#This Row],[Recency Score]:[Monetary Score]])</f>
        <v>12</v>
      </c>
      <c r="BC1682">
        <f>(_xlfn.PERCENTRANK.INC(ifood_data[[#All],[RFM]],ifood_data[[#This Row],[RFM]],1))*10</f>
        <v>3</v>
      </c>
      <c r="BD1682" t="str">
        <f>VLOOKUP(ifood_data[[#This Row],[RFM Score]],'RFM Analysis'!$A$3:$B$14,2,FALSE)</f>
        <v>At Risk</v>
      </c>
      <c r="BE1682">
        <f>'Regression Models'!$B$101+'Regression Models'!$B$102*ifood_data[[#This Row],[Income]]+'Regression Models'!$B$103*ifood_data[[#This Row],[Age]]+'Regression Models'!$B$104*ifood_data[[#This Row],[Family]]</f>
        <v>84.816401401314408</v>
      </c>
      <c r="BF1682" t="str">
        <f>IF(ifood_data[[#This Row],[AcceptedCmpOverall]]=1,"Campaign Respondent","Non-respondent")</f>
        <v>Non-respondent</v>
      </c>
    </row>
    <row r="1683" spans="1:58" x14ac:dyDescent="0.35">
      <c r="A1683">
        <v>356</v>
      </c>
      <c r="B1683">
        <v>30279</v>
      </c>
      <c r="C1683">
        <v>1</v>
      </c>
      <c r="D1683">
        <v>0</v>
      </c>
      <c r="E1683">
        <v>13</v>
      </c>
      <c r="F1683">
        <v>10</v>
      </c>
      <c r="G1683">
        <v>4</v>
      </c>
      <c r="H1683">
        <v>14</v>
      </c>
      <c r="I1683">
        <v>4</v>
      </c>
      <c r="J1683">
        <v>4</v>
      </c>
      <c r="K1683">
        <v>1</v>
      </c>
      <c r="L1683">
        <v>1</v>
      </c>
      <c r="M1683">
        <v>1</v>
      </c>
      <c r="N1683">
        <v>0</v>
      </c>
      <c r="O1683">
        <v>3</v>
      </c>
      <c r="P1683">
        <v>8</v>
      </c>
      <c r="Q1683">
        <v>0</v>
      </c>
      <c r="R1683">
        <v>0</v>
      </c>
      <c r="S1683">
        <v>0</v>
      </c>
      <c r="T1683">
        <v>0</v>
      </c>
      <c r="U1683">
        <v>0</v>
      </c>
      <c r="V1683">
        <f>IF(SUM(ifood_data[[#This Row],[AcceptedCmp1]:[AcceptedCmp5]])&gt;0,1,0)</f>
        <v>0</v>
      </c>
      <c r="W1683">
        <v>0</v>
      </c>
      <c r="X1683">
        <v>3</v>
      </c>
      <c r="Y1683">
        <v>11</v>
      </c>
      <c r="Z1683">
        <v>0</v>
      </c>
      <c r="AA1683">
        <v>31</v>
      </c>
      <c r="AB1683">
        <v>2705</v>
      </c>
      <c r="AC1683" s="28">
        <f>ifood_data[[#This Row],[Customer_Days]]/365</f>
        <v>7.4109589041095889</v>
      </c>
      <c r="AD1683">
        <v>0</v>
      </c>
      <c r="AE1683">
        <v>0</v>
      </c>
      <c r="AF1683">
        <v>1</v>
      </c>
      <c r="AG1683">
        <v>0</v>
      </c>
      <c r="AH1683">
        <v>0</v>
      </c>
      <c r="AI1683">
        <v>0</v>
      </c>
      <c r="AJ1683">
        <v>0</v>
      </c>
      <c r="AK1683">
        <v>1</v>
      </c>
      <c r="AL1683">
        <v>0</v>
      </c>
      <c r="AM1683">
        <v>0</v>
      </c>
      <c r="AN1683">
        <v>36</v>
      </c>
      <c r="AO1683">
        <v>35</v>
      </c>
      <c r="AP1683">
        <f>ifood_data[[#This Row],[MntTotal]]-ifood_data[[#This Row],[MntRegularProds]]</f>
        <v>1</v>
      </c>
      <c r="AQ1683">
        <v>0</v>
      </c>
      <c r="AR1683">
        <f>IF(SUM(ifood_data[[#This Row],[Kidhome]:[Teenhome]])&gt;0,1,0)</f>
        <v>1</v>
      </c>
      <c r="AS1683" t="str">
        <f>IF(SUM(ifood_data[[#This Row],[Kidhome]:[Teenhome]])&gt;0,"Has Family","No Family")</f>
        <v>Has Family</v>
      </c>
      <c r="AT1683" t="str">
        <f>IF(ifood_data[[#This Row],[marital_Married]]=1,"Married", (IF(ifood_data[[#This Row],[marital_Single]]=1,"Single",(IF(ifood_data[[#This Row],[marital_Divorced]]=1,"Divorced",(IF(ifood_data[[#This Row],[marital_Together]]=1,"Living Together",(IF(ifood_data[[#This Row],[marital_Widow]]=1,"Widow","Other")))))))))</f>
        <v>Single</v>
      </c>
      <c r="AU1683" t="str">
        <f>IF(ifood_data[[#This Row],[education_Basic]]=1,"High School",(IF(ifood_data[[#This Row],[education_Graduation]]=1,"Undergraduate Degree",(IF(SUM(AM1683,AL1683,AI1683)&gt;0,"Master's Degree or Higher","Other")))))</f>
        <v>Undergraduate Degree</v>
      </c>
      <c r="AV1683" t="str">
        <f>IF(ifood_data[[#All],[Income]]&gt;75000,"75K+",(IF(ifood_data[[#All],[Income]]&gt;50000,"50K-75K",(IF(ifood_data[[#All],[Income]]&gt;35000,"35K-50K","&lt;35K")))))</f>
        <v>&lt;35K</v>
      </c>
      <c r="AW1683" t="str">
        <f>IF(ifood_data[[#All],[Age]]&gt;60,"60+",(IF(ifood_data[[#All],[Age]]&gt;50,"50-60",(IF(ifood_data[[#All],[Age]]&gt;40,"40-50",(IF(ifood_data[[#All],[Age]]&gt;30,"30-40","&lt;30")))))))</f>
        <v>30-40</v>
      </c>
      <c r="AX1683">
        <f t="shared" si="104"/>
        <v>13</v>
      </c>
      <c r="AY1683">
        <f t="shared" si="105"/>
        <v>9</v>
      </c>
      <c r="AZ1683">
        <f t="shared" si="106"/>
        <v>1</v>
      </c>
      <c r="BA1683">
        <f t="shared" si="107"/>
        <v>1</v>
      </c>
      <c r="BB1683">
        <f>SUM(ifood_data[[#This Row],[Recency Score]:[Monetary Score]])</f>
        <v>11</v>
      </c>
      <c r="BC1683">
        <f>(_xlfn.PERCENTRANK.INC(ifood_data[[#All],[RFM]],ifood_data[[#This Row],[RFM]],1))*10</f>
        <v>2</v>
      </c>
      <c r="BD1683" t="str">
        <f>VLOOKUP(ifood_data[[#This Row],[RFM Score]],'RFM Analysis'!$A$3:$B$14,2,FALSE)</f>
        <v>At Risk</v>
      </c>
      <c r="BE1683">
        <f>'Regression Models'!$B$101+'Regression Models'!$B$102*ifood_data[[#This Row],[Income]]+'Regression Models'!$B$103*ifood_data[[#This Row],[Age]]+'Regression Models'!$B$104*ifood_data[[#This Row],[Family]]</f>
        <v>82.993011835910409</v>
      </c>
      <c r="BF1683" t="str">
        <f>IF(ifood_data[[#This Row],[AcceptedCmpOverall]]=1,"Campaign Respondent","Non-respondent")</f>
        <v>Non-respondent</v>
      </c>
    </row>
    <row r="1684" spans="1:58" x14ac:dyDescent="0.35">
      <c r="A1684">
        <v>181</v>
      </c>
      <c r="B1684">
        <v>31353</v>
      </c>
      <c r="C1684">
        <v>1</v>
      </c>
      <c r="D1684">
        <v>1</v>
      </c>
      <c r="E1684">
        <v>24</v>
      </c>
      <c r="F1684">
        <v>10</v>
      </c>
      <c r="G1684">
        <v>0</v>
      </c>
      <c r="H1684">
        <v>10</v>
      </c>
      <c r="I1684">
        <v>3</v>
      </c>
      <c r="J1684">
        <v>1</v>
      </c>
      <c r="K1684">
        <v>7</v>
      </c>
      <c r="L1684">
        <v>2</v>
      </c>
      <c r="M1684">
        <v>1</v>
      </c>
      <c r="N1684">
        <v>1</v>
      </c>
      <c r="O1684">
        <v>2</v>
      </c>
      <c r="P1684">
        <v>8</v>
      </c>
      <c r="Q1684">
        <v>0</v>
      </c>
      <c r="R1684">
        <v>0</v>
      </c>
      <c r="S1684">
        <v>0</v>
      </c>
      <c r="T1684">
        <v>0</v>
      </c>
      <c r="U1684">
        <v>0</v>
      </c>
      <c r="V1684">
        <f>IF(SUM(ifood_data[[#This Row],[AcceptedCmp1]:[AcceptedCmp5]])&gt;0,1,0)</f>
        <v>0</v>
      </c>
      <c r="W1684">
        <v>0</v>
      </c>
      <c r="X1684">
        <v>3</v>
      </c>
      <c r="Y1684">
        <v>11</v>
      </c>
      <c r="Z1684">
        <v>0</v>
      </c>
      <c r="AA1684">
        <v>43</v>
      </c>
      <c r="AB1684">
        <v>2341</v>
      </c>
      <c r="AC1684" s="28">
        <f>ifood_data[[#This Row],[Customer_Days]]/365</f>
        <v>6.4136986301369863</v>
      </c>
      <c r="AD1684">
        <v>0</v>
      </c>
      <c r="AE1684">
        <v>1</v>
      </c>
      <c r="AF1684">
        <v>0</v>
      </c>
      <c r="AG1684">
        <v>0</v>
      </c>
      <c r="AH1684">
        <v>0</v>
      </c>
      <c r="AI1684">
        <v>0</v>
      </c>
      <c r="AJ1684">
        <v>0</v>
      </c>
      <c r="AK1684">
        <v>1</v>
      </c>
      <c r="AL1684">
        <v>0</v>
      </c>
      <c r="AM1684">
        <v>0</v>
      </c>
      <c r="AN1684">
        <v>24</v>
      </c>
      <c r="AO1684">
        <v>17</v>
      </c>
      <c r="AP1684">
        <f>ifood_data[[#This Row],[MntTotal]]-ifood_data[[#This Row],[MntRegularProds]]</f>
        <v>7</v>
      </c>
      <c r="AQ1684">
        <v>0</v>
      </c>
      <c r="AR1684">
        <f>IF(SUM(ifood_data[[#This Row],[Kidhome]:[Teenhome]])&gt;0,1,0)</f>
        <v>1</v>
      </c>
      <c r="AS1684" t="str">
        <f>IF(SUM(ifood_data[[#This Row],[Kidhome]:[Teenhome]])&gt;0,"Has Family","No Family")</f>
        <v>Has Family</v>
      </c>
      <c r="AT1684" t="str">
        <f>IF(ifood_data[[#This Row],[marital_Married]]=1,"Married", (IF(ifood_data[[#This Row],[marital_Single]]=1,"Single",(IF(ifood_data[[#This Row],[marital_Divorced]]=1,"Divorced",(IF(ifood_data[[#This Row],[marital_Together]]=1,"Living Together",(IF(ifood_data[[#This Row],[marital_Widow]]=1,"Widow","Other")))))))))</f>
        <v>Married</v>
      </c>
      <c r="AU1684" t="str">
        <f>IF(ifood_data[[#This Row],[education_Basic]]=1,"High School",(IF(ifood_data[[#This Row],[education_Graduation]]=1,"Undergraduate Degree",(IF(SUM(AM1684,AL1684,AI1684)&gt;0,"Master's Degree or Higher","Other")))))</f>
        <v>Undergraduate Degree</v>
      </c>
      <c r="AV1684" t="str">
        <f>IF(ifood_data[[#All],[Income]]&gt;75000,"75K+",(IF(ifood_data[[#All],[Income]]&gt;50000,"50K-75K",(IF(ifood_data[[#All],[Income]]&gt;35000,"35K-50K","&lt;35K")))))</f>
        <v>&lt;35K</v>
      </c>
      <c r="AW1684" t="str">
        <f>IF(ifood_data[[#All],[Age]]&gt;60,"60+",(IF(ifood_data[[#All],[Age]]&gt;50,"50-60",(IF(ifood_data[[#All],[Age]]&gt;40,"40-50",(IF(ifood_data[[#All],[Age]]&gt;30,"30-40","&lt;30")))))))</f>
        <v>40-50</v>
      </c>
      <c r="AX1684">
        <f t="shared" si="104"/>
        <v>14</v>
      </c>
      <c r="AY1684">
        <f t="shared" si="105"/>
        <v>8</v>
      </c>
      <c r="AZ1684">
        <f t="shared" si="106"/>
        <v>2</v>
      </c>
      <c r="BA1684">
        <f t="shared" si="107"/>
        <v>0</v>
      </c>
      <c r="BB1684">
        <f>SUM(ifood_data[[#This Row],[Recency Score]:[Monetary Score]])</f>
        <v>10</v>
      </c>
      <c r="BC1684">
        <f>(_xlfn.PERCENTRANK.INC(ifood_data[[#All],[RFM]],ifood_data[[#This Row],[RFM]],1))*10</f>
        <v>2</v>
      </c>
      <c r="BD1684" t="str">
        <f>VLOOKUP(ifood_data[[#This Row],[RFM Score]],'RFM Analysis'!$A$3:$B$14,2,FALSE)</f>
        <v>At Risk</v>
      </c>
      <c r="BE1684">
        <f>'Regression Models'!$B$101+'Regression Models'!$B$102*ifood_data[[#This Row],[Income]]+'Regression Models'!$B$103*ifood_data[[#This Row],[Age]]+'Regression Models'!$B$104*ifood_data[[#This Row],[Family]]</f>
        <v>82.853279875726571</v>
      </c>
      <c r="BF1684" t="str">
        <f>IF(ifood_data[[#This Row],[AcceptedCmpOverall]]=1,"Campaign Respondent","Non-respondent")</f>
        <v>Non-respondent</v>
      </c>
    </row>
    <row r="1685" spans="1:58" x14ac:dyDescent="0.35">
      <c r="A1685">
        <v>1489</v>
      </c>
      <c r="B1685">
        <v>31353</v>
      </c>
      <c r="C1685">
        <v>1</v>
      </c>
      <c r="D1685">
        <v>1</v>
      </c>
      <c r="E1685">
        <v>24</v>
      </c>
      <c r="F1685">
        <v>10</v>
      </c>
      <c r="G1685">
        <v>0</v>
      </c>
      <c r="H1685">
        <v>10</v>
      </c>
      <c r="I1685">
        <v>3</v>
      </c>
      <c r="J1685">
        <v>1</v>
      </c>
      <c r="K1685">
        <v>7</v>
      </c>
      <c r="L1685">
        <v>2</v>
      </c>
      <c r="M1685">
        <v>1</v>
      </c>
      <c r="N1685">
        <v>1</v>
      </c>
      <c r="O1685">
        <v>2</v>
      </c>
      <c r="P1685">
        <v>8</v>
      </c>
      <c r="Q1685">
        <v>0</v>
      </c>
      <c r="R1685">
        <v>0</v>
      </c>
      <c r="S1685">
        <v>0</v>
      </c>
      <c r="T1685">
        <v>0</v>
      </c>
      <c r="U1685">
        <v>0</v>
      </c>
      <c r="V1685">
        <f>IF(SUM(ifood_data[[#This Row],[AcceptedCmp1]:[AcceptedCmp5]])&gt;0,1,0)</f>
        <v>0</v>
      </c>
      <c r="W1685">
        <v>0</v>
      </c>
      <c r="X1685">
        <v>3</v>
      </c>
      <c r="Y1685">
        <v>11</v>
      </c>
      <c r="Z1685">
        <v>1</v>
      </c>
      <c r="AA1685">
        <v>43</v>
      </c>
      <c r="AB1685">
        <v>2341</v>
      </c>
      <c r="AC1685" s="28">
        <f>ifood_data[[#This Row],[Customer_Days]]/365</f>
        <v>6.4136986301369863</v>
      </c>
      <c r="AD1685">
        <v>0</v>
      </c>
      <c r="AE1685">
        <v>1</v>
      </c>
      <c r="AF1685">
        <v>0</v>
      </c>
      <c r="AG1685">
        <v>0</v>
      </c>
      <c r="AH1685">
        <v>0</v>
      </c>
      <c r="AI1685">
        <v>0</v>
      </c>
      <c r="AJ1685">
        <v>0</v>
      </c>
      <c r="AK1685">
        <v>1</v>
      </c>
      <c r="AL1685">
        <v>0</v>
      </c>
      <c r="AM1685">
        <v>0</v>
      </c>
      <c r="AN1685">
        <v>24</v>
      </c>
      <c r="AO1685">
        <v>17</v>
      </c>
      <c r="AP1685">
        <f>ifood_data[[#This Row],[MntTotal]]-ifood_data[[#This Row],[MntRegularProds]]</f>
        <v>7</v>
      </c>
      <c r="AQ1685">
        <v>0</v>
      </c>
      <c r="AR1685">
        <f>IF(SUM(ifood_data[[#This Row],[Kidhome]:[Teenhome]])&gt;0,1,0)</f>
        <v>1</v>
      </c>
      <c r="AS1685" t="str">
        <f>IF(SUM(ifood_data[[#This Row],[Kidhome]:[Teenhome]])&gt;0,"Has Family","No Family")</f>
        <v>Has Family</v>
      </c>
      <c r="AT1685" t="str">
        <f>IF(ifood_data[[#This Row],[marital_Married]]=1,"Married", (IF(ifood_data[[#This Row],[marital_Single]]=1,"Single",(IF(ifood_data[[#This Row],[marital_Divorced]]=1,"Divorced",(IF(ifood_data[[#This Row],[marital_Together]]=1,"Living Together",(IF(ifood_data[[#This Row],[marital_Widow]]=1,"Widow","Other")))))))))</f>
        <v>Married</v>
      </c>
      <c r="AU1685" t="str">
        <f>IF(ifood_data[[#This Row],[education_Basic]]=1,"High School",(IF(ifood_data[[#This Row],[education_Graduation]]=1,"Undergraduate Degree",(IF(SUM(AM1685,AL1685,AI1685)&gt;0,"Master's Degree or Higher","Other")))))</f>
        <v>Undergraduate Degree</v>
      </c>
      <c r="AV1685" t="str">
        <f>IF(ifood_data[[#All],[Income]]&gt;75000,"75K+",(IF(ifood_data[[#All],[Income]]&gt;50000,"50K-75K",(IF(ifood_data[[#All],[Income]]&gt;35000,"35K-50K","&lt;35K")))))</f>
        <v>&lt;35K</v>
      </c>
      <c r="AW1685" t="str">
        <f>IF(ifood_data[[#All],[Age]]&gt;60,"60+",(IF(ifood_data[[#All],[Age]]&gt;50,"50-60",(IF(ifood_data[[#All],[Age]]&gt;40,"40-50",(IF(ifood_data[[#All],[Age]]&gt;30,"30-40","&lt;30")))))))</f>
        <v>40-50</v>
      </c>
      <c r="AX1685">
        <f t="shared" si="104"/>
        <v>14</v>
      </c>
      <c r="AY1685">
        <f t="shared" si="105"/>
        <v>8</v>
      </c>
      <c r="AZ1685">
        <f t="shared" si="106"/>
        <v>2</v>
      </c>
      <c r="BA1685">
        <f t="shared" si="107"/>
        <v>0</v>
      </c>
      <c r="BB1685">
        <f>SUM(ifood_data[[#This Row],[Recency Score]:[Monetary Score]])</f>
        <v>10</v>
      </c>
      <c r="BC1685">
        <f>(_xlfn.PERCENTRANK.INC(ifood_data[[#All],[RFM]],ifood_data[[#This Row],[RFM]],1))*10</f>
        <v>2</v>
      </c>
      <c r="BD1685" t="str">
        <f>VLOOKUP(ifood_data[[#This Row],[RFM Score]],'RFM Analysis'!$A$3:$B$14,2,FALSE)</f>
        <v>At Risk</v>
      </c>
      <c r="BE1685">
        <f>'Regression Models'!$B$101+'Regression Models'!$B$102*ifood_data[[#This Row],[Income]]+'Regression Models'!$B$103*ifood_data[[#This Row],[Age]]+'Regression Models'!$B$104*ifood_data[[#This Row],[Family]]</f>
        <v>82.853279875726571</v>
      </c>
      <c r="BF1685" t="str">
        <f>IF(ifood_data[[#This Row],[AcceptedCmpOverall]]=1,"Campaign Respondent","Non-respondent")</f>
        <v>Non-respondent</v>
      </c>
    </row>
    <row r="1686" spans="1:58" x14ac:dyDescent="0.35">
      <c r="A1686">
        <v>1961</v>
      </c>
      <c r="B1686">
        <v>31560</v>
      </c>
      <c r="C1686">
        <v>1</v>
      </c>
      <c r="D1686">
        <v>0</v>
      </c>
      <c r="E1686">
        <v>98</v>
      </c>
      <c r="F1686">
        <v>62</v>
      </c>
      <c r="G1686">
        <v>1</v>
      </c>
      <c r="H1686">
        <v>20</v>
      </c>
      <c r="I1686">
        <v>4</v>
      </c>
      <c r="J1686">
        <v>0</v>
      </c>
      <c r="K1686">
        <v>7</v>
      </c>
      <c r="L1686">
        <v>2</v>
      </c>
      <c r="M1686">
        <v>2</v>
      </c>
      <c r="N1686">
        <v>1</v>
      </c>
      <c r="O1686">
        <v>3</v>
      </c>
      <c r="P1686">
        <v>8</v>
      </c>
      <c r="Q1686">
        <v>0</v>
      </c>
      <c r="R1686">
        <v>0</v>
      </c>
      <c r="S1686">
        <v>0</v>
      </c>
      <c r="T1686">
        <v>0</v>
      </c>
      <c r="U1686">
        <v>0</v>
      </c>
      <c r="V1686">
        <f>IF(SUM(ifood_data[[#This Row],[AcceptedCmp1]:[AcceptedCmp5]])&gt;0,1,0)</f>
        <v>0</v>
      </c>
      <c r="W1686">
        <v>0</v>
      </c>
      <c r="X1686">
        <v>3</v>
      </c>
      <c r="Y1686">
        <v>11</v>
      </c>
      <c r="Z1686">
        <v>0</v>
      </c>
      <c r="AA1686">
        <v>46</v>
      </c>
      <c r="AB1686">
        <v>2529</v>
      </c>
      <c r="AC1686" s="28">
        <f>ifood_data[[#This Row],[Customer_Days]]/365</f>
        <v>6.9287671232876713</v>
      </c>
      <c r="AD1686">
        <v>0</v>
      </c>
      <c r="AE1686">
        <v>0</v>
      </c>
      <c r="AF1686">
        <v>1</v>
      </c>
      <c r="AG1686">
        <v>0</v>
      </c>
      <c r="AH1686">
        <v>0</v>
      </c>
      <c r="AI1686">
        <v>0</v>
      </c>
      <c r="AJ1686">
        <v>0</v>
      </c>
      <c r="AK1686">
        <v>0</v>
      </c>
      <c r="AL1686">
        <v>0</v>
      </c>
      <c r="AM1686">
        <v>1</v>
      </c>
      <c r="AN1686">
        <v>87</v>
      </c>
      <c r="AO1686">
        <v>80</v>
      </c>
      <c r="AP1686">
        <f>ifood_data[[#This Row],[MntTotal]]-ifood_data[[#This Row],[MntRegularProds]]</f>
        <v>7</v>
      </c>
      <c r="AQ1686">
        <v>0</v>
      </c>
      <c r="AR1686">
        <f>IF(SUM(ifood_data[[#This Row],[Kidhome]:[Teenhome]])&gt;0,1,0)</f>
        <v>1</v>
      </c>
      <c r="AS1686" t="str">
        <f>IF(SUM(ifood_data[[#This Row],[Kidhome]:[Teenhome]])&gt;0,"Has Family","No Family")</f>
        <v>Has Family</v>
      </c>
      <c r="AT1686" t="str">
        <f>IF(ifood_data[[#This Row],[marital_Married]]=1,"Married", (IF(ifood_data[[#This Row],[marital_Single]]=1,"Single",(IF(ifood_data[[#This Row],[marital_Divorced]]=1,"Divorced",(IF(ifood_data[[#This Row],[marital_Together]]=1,"Living Together",(IF(ifood_data[[#This Row],[marital_Widow]]=1,"Widow","Other")))))))))</f>
        <v>Single</v>
      </c>
      <c r="AU1686" t="str">
        <f>IF(ifood_data[[#This Row],[education_Basic]]=1,"High School",(IF(ifood_data[[#This Row],[education_Graduation]]=1,"Undergraduate Degree",(IF(SUM(AM1686,AL1686,AI1686)&gt;0,"Master's Degree or Higher","Other")))))</f>
        <v>Master's Degree or Higher</v>
      </c>
      <c r="AV1686" t="str">
        <f>IF(ifood_data[[#All],[Income]]&gt;75000,"75K+",(IF(ifood_data[[#All],[Income]]&gt;50000,"50K-75K",(IF(ifood_data[[#All],[Income]]&gt;35000,"35K-50K","&lt;35K")))))</f>
        <v>&lt;35K</v>
      </c>
      <c r="AW1686" t="str">
        <f>IF(ifood_data[[#All],[Age]]&gt;60,"60+",(IF(ifood_data[[#All],[Age]]&gt;50,"50-60",(IF(ifood_data[[#All],[Age]]&gt;40,"40-50",(IF(ifood_data[[#All],[Age]]&gt;30,"30-40","&lt;30")))))))</f>
        <v>40-50</v>
      </c>
      <c r="AX1686">
        <f t="shared" si="104"/>
        <v>16</v>
      </c>
      <c r="AY1686">
        <f t="shared" si="105"/>
        <v>0.99999999999999978</v>
      </c>
      <c r="AZ1686">
        <f t="shared" si="106"/>
        <v>3</v>
      </c>
      <c r="BA1686">
        <f t="shared" si="107"/>
        <v>3</v>
      </c>
      <c r="BB1686">
        <f>SUM(ifood_data[[#This Row],[Recency Score]:[Monetary Score]])</f>
        <v>7</v>
      </c>
      <c r="BC1686">
        <f>(_xlfn.PERCENTRANK.INC(ifood_data[[#All],[RFM]],ifood_data[[#This Row],[RFM]],1))*10</f>
        <v>1</v>
      </c>
      <c r="BD1686" t="str">
        <f>VLOOKUP(ifood_data[[#This Row],[RFM Score]],'RFM Analysis'!$A$3:$B$14,2,FALSE)</f>
        <v>At Risk</v>
      </c>
      <c r="BE1686">
        <f>'Regression Models'!$B$101+'Regression Models'!$B$102*ifood_data[[#This Row],[Income]]+'Regression Models'!$B$103*ifood_data[[#This Row],[Age]]+'Regression Models'!$B$104*ifood_data[[#This Row],[Family]]</f>
        <v>81.564437644830718</v>
      </c>
      <c r="BF1686" t="str">
        <f>IF(ifood_data[[#This Row],[AcceptedCmpOverall]]=1,"Campaign Respondent","Non-respondent")</f>
        <v>Non-respondent</v>
      </c>
    </row>
    <row r="1687" spans="1:58" x14ac:dyDescent="0.35">
      <c r="A1687">
        <v>630</v>
      </c>
      <c r="B1687">
        <v>18690</v>
      </c>
      <c r="C1687">
        <v>0</v>
      </c>
      <c r="D1687">
        <v>0</v>
      </c>
      <c r="E1687">
        <v>77</v>
      </c>
      <c r="F1687">
        <v>6</v>
      </c>
      <c r="G1687">
        <v>1</v>
      </c>
      <c r="H1687">
        <v>7</v>
      </c>
      <c r="I1687">
        <v>23</v>
      </c>
      <c r="J1687">
        <v>4</v>
      </c>
      <c r="K1687">
        <v>19</v>
      </c>
      <c r="L1687">
        <v>1</v>
      </c>
      <c r="M1687">
        <v>1</v>
      </c>
      <c r="N1687">
        <v>1</v>
      </c>
      <c r="O1687">
        <v>2</v>
      </c>
      <c r="P1687">
        <v>8</v>
      </c>
      <c r="Q1687">
        <v>0</v>
      </c>
      <c r="R1687">
        <v>0</v>
      </c>
      <c r="S1687">
        <v>0</v>
      </c>
      <c r="T1687">
        <v>0</v>
      </c>
      <c r="U1687">
        <v>0</v>
      </c>
      <c r="V1687">
        <f>IF(SUM(ifood_data[[#This Row],[AcceptedCmp1]:[AcceptedCmp5]])&gt;0,1,0)</f>
        <v>0</v>
      </c>
      <c r="W1687">
        <v>0</v>
      </c>
      <c r="X1687">
        <v>3</v>
      </c>
      <c r="Y1687">
        <v>11</v>
      </c>
      <c r="Z1687">
        <v>0</v>
      </c>
      <c r="AA1687">
        <v>61</v>
      </c>
      <c r="AB1687">
        <v>2707</v>
      </c>
      <c r="AC1687" s="28">
        <f>ifood_data[[#This Row],[Customer_Days]]/365</f>
        <v>7.4164383561643836</v>
      </c>
      <c r="AD1687">
        <v>0</v>
      </c>
      <c r="AE1687">
        <v>1</v>
      </c>
      <c r="AF1687">
        <v>0</v>
      </c>
      <c r="AG1687">
        <v>0</v>
      </c>
      <c r="AH1687">
        <v>0</v>
      </c>
      <c r="AI1687">
        <v>0</v>
      </c>
      <c r="AJ1687">
        <v>0</v>
      </c>
      <c r="AK1687">
        <v>1</v>
      </c>
      <c r="AL1687">
        <v>0</v>
      </c>
      <c r="AM1687">
        <v>0</v>
      </c>
      <c r="AN1687">
        <v>41</v>
      </c>
      <c r="AO1687">
        <v>22</v>
      </c>
      <c r="AP1687">
        <f>ifood_data[[#This Row],[MntTotal]]-ifood_data[[#This Row],[MntRegularProds]]</f>
        <v>19</v>
      </c>
      <c r="AQ1687">
        <v>0</v>
      </c>
      <c r="AR1687">
        <f>IF(SUM(ifood_data[[#This Row],[Kidhome]:[Teenhome]])&gt;0,1,0)</f>
        <v>0</v>
      </c>
      <c r="AS1687" t="str">
        <f>IF(SUM(ifood_data[[#This Row],[Kidhome]:[Teenhome]])&gt;0,"Has Family","No Family")</f>
        <v>No Family</v>
      </c>
      <c r="AT1687" t="str">
        <f>IF(ifood_data[[#This Row],[marital_Married]]=1,"Married", (IF(ifood_data[[#This Row],[marital_Single]]=1,"Single",(IF(ifood_data[[#This Row],[marital_Divorced]]=1,"Divorced",(IF(ifood_data[[#This Row],[marital_Together]]=1,"Living Together",(IF(ifood_data[[#This Row],[marital_Widow]]=1,"Widow","Other")))))))))</f>
        <v>Married</v>
      </c>
      <c r="AU1687" t="str">
        <f>IF(ifood_data[[#This Row],[education_Basic]]=1,"High School",(IF(ifood_data[[#This Row],[education_Graduation]]=1,"Undergraduate Degree",(IF(SUM(AM1687,AL1687,AI1687)&gt;0,"Master's Degree or Higher","Other")))))</f>
        <v>Undergraduate Degree</v>
      </c>
      <c r="AV1687" t="str">
        <f>IF(ifood_data[[#All],[Income]]&gt;75000,"75K+",(IF(ifood_data[[#All],[Income]]&gt;50000,"50K-75K",(IF(ifood_data[[#All],[Income]]&gt;35000,"35K-50K","&lt;35K")))))</f>
        <v>&lt;35K</v>
      </c>
      <c r="AW1687" t="str">
        <f>IF(ifood_data[[#All],[Age]]&gt;60,"60+",(IF(ifood_data[[#All],[Age]]&gt;50,"50-60",(IF(ifood_data[[#All],[Age]]&gt;40,"40-50",(IF(ifood_data[[#All],[Age]]&gt;30,"30-40","&lt;30")))))))</f>
        <v>60+</v>
      </c>
      <c r="AX1687">
        <f t="shared" si="104"/>
        <v>13</v>
      </c>
      <c r="AY1687">
        <f t="shared" si="105"/>
        <v>3.0000000000000004</v>
      </c>
      <c r="AZ1687">
        <f t="shared" si="106"/>
        <v>1</v>
      </c>
      <c r="BA1687">
        <f t="shared" si="107"/>
        <v>1</v>
      </c>
      <c r="BB1687">
        <f>SUM(ifood_data[[#This Row],[Recency Score]:[Monetary Score]])</f>
        <v>5</v>
      </c>
      <c r="BC1687">
        <f>(_xlfn.PERCENTRANK.INC(ifood_data[[#All],[RFM]],ifood_data[[#This Row],[RFM]],1))*10</f>
        <v>0</v>
      </c>
      <c r="BD1687" t="str">
        <f>VLOOKUP(ifood_data[[#This Row],[RFM Score]],'RFM Analysis'!$A$3:$B$14,2,FALSE)</f>
        <v>Lost</v>
      </c>
      <c r="BE1687">
        <f>'Regression Models'!$B$101+'Regression Models'!$B$102*ifood_data[[#This Row],[Income]]+'Regression Models'!$B$103*ifood_data[[#This Row],[Age]]+'Regression Models'!$B$104*ifood_data[[#This Row],[Family]]</f>
        <v>81.228036522453337</v>
      </c>
      <c r="BF1687" t="str">
        <f>IF(ifood_data[[#This Row],[AcceptedCmpOverall]]=1,"Campaign Respondent","Non-respondent")</f>
        <v>Non-respondent</v>
      </c>
    </row>
    <row r="1688" spans="1:58" x14ac:dyDescent="0.35">
      <c r="A1688">
        <v>1337</v>
      </c>
      <c r="B1688">
        <v>31086</v>
      </c>
      <c r="C1688">
        <v>1</v>
      </c>
      <c r="D1688">
        <v>1</v>
      </c>
      <c r="E1688">
        <v>79</v>
      </c>
      <c r="F1688">
        <v>16</v>
      </c>
      <c r="G1688">
        <v>2</v>
      </c>
      <c r="H1688">
        <v>11</v>
      </c>
      <c r="I1688">
        <v>3</v>
      </c>
      <c r="J1688">
        <v>0</v>
      </c>
      <c r="K1688">
        <v>16</v>
      </c>
      <c r="L1688">
        <v>2</v>
      </c>
      <c r="M1688">
        <v>1</v>
      </c>
      <c r="N1688">
        <v>1</v>
      </c>
      <c r="O1688">
        <v>2</v>
      </c>
      <c r="P1688">
        <v>8</v>
      </c>
      <c r="Q1688">
        <v>0</v>
      </c>
      <c r="R1688">
        <v>0</v>
      </c>
      <c r="S1688">
        <v>1</v>
      </c>
      <c r="T1688">
        <v>0</v>
      </c>
      <c r="U1688">
        <v>0</v>
      </c>
      <c r="V1688">
        <f>IF(SUM(ifood_data[[#This Row],[AcceptedCmp1]:[AcceptedCmp5]])&gt;0,1,0)</f>
        <v>1</v>
      </c>
      <c r="W1688">
        <v>0</v>
      </c>
      <c r="X1688">
        <v>3</v>
      </c>
      <c r="Y1688">
        <v>11</v>
      </c>
      <c r="Z1688">
        <v>0</v>
      </c>
      <c r="AA1688">
        <v>41</v>
      </c>
      <c r="AB1688">
        <v>2580</v>
      </c>
      <c r="AC1688" s="28">
        <f>ifood_data[[#This Row],[Customer_Days]]/365</f>
        <v>7.0684931506849313</v>
      </c>
      <c r="AD1688">
        <v>0</v>
      </c>
      <c r="AE1688">
        <v>1</v>
      </c>
      <c r="AF1688">
        <v>0</v>
      </c>
      <c r="AG1688">
        <v>0</v>
      </c>
      <c r="AH1688">
        <v>0</v>
      </c>
      <c r="AI1688">
        <v>1</v>
      </c>
      <c r="AJ1688">
        <v>0</v>
      </c>
      <c r="AK1688">
        <v>0</v>
      </c>
      <c r="AL1688">
        <v>0</v>
      </c>
      <c r="AM1688">
        <v>0</v>
      </c>
      <c r="AN1688">
        <v>32</v>
      </c>
      <c r="AO1688">
        <v>16</v>
      </c>
      <c r="AP1688">
        <f>ifood_data[[#This Row],[MntTotal]]-ifood_data[[#This Row],[MntRegularProds]]</f>
        <v>16</v>
      </c>
      <c r="AQ1688">
        <v>1</v>
      </c>
      <c r="AR1688">
        <f>IF(SUM(ifood_data[[#This Row],[Kidhome]:[Teenhome]])&gt;0,1,0)</f>
        <v>1</v>
      </c>
      <c r="AS1688" t="str">
        <f>IF(SUM(ifood_data[[#This Row],[Kidhome]:[Teenhome]])&gt;0,"Has Family","No Family")</f>
        <v>Has Family</v>
      </c>
      <c r="AT1688" t="str">
        <f>IF(ifood_data[[#This Row],[marital_Married]]=1,"Married", (IF(ifood_data[[#This Row],[marital_Single]]=1,"Single",(IF(ifood_data[[#This Row],[marital_Divorced]]=1,"Divorced",(IF(ifood_data[[#This Row],[marital_Together]]=1,"Living Together",(IF(ifood_data[[#This Row],[marital_Widow]]=1,"Widow","Other")))))))))</f>
        <v>Married</v>
      </c>
      <c r="AU1688" t="str">
        <f>IF(ifood_data[[#This Row],[education_Basic]]=1,"High School",(IF(ifood_data[[#This Row],[education_Graduation]]=1,"Undergraduate Degree",(IF(SUM(AM1688,AL1688,AI1688)&gt;0,"Master's Degree or Higher","Other")))))</f>
        <v>Master's Degree or Higher</v>
      </c>
      <c r="AV1688" t="str">
        <f>IF(ifood_data[[#All],[Income]]&gt;75000,"75K+",(IF(ifood_data[[#All],[Income]]&gt;50000,"50K-75K",(IF(ifood_data[[#All],[Income]]&gt;35000,"35K-50K","&lt;35K")))))</f>
        <v>&lt;35K</v>
      </c>
      <c r="AW1688" t="str">
        <f>IF(ifood_data[[#All],[Age]]&gt;60,"60+",(IF(ifood_data[[#All],[Age]]&gt;50,"50-60",(IF(ifood_data[[#All],[Age]]&gt;40,"40-50",(IF(ifood_data[[#All],[Age]]&gt;30,"30-40","&lt;30")))))))</f>
        <v>40-50</v>
      </c>
      <c r="AX1688">
        <f t="shared" si="104"/>
        <v>14</v>
      </c>
      <c r="AY1688">
        <f t="shared" si="105"/>
        <v>3.0000000000000004</v>
      </c>
      <c r="AZ1688">
        <f t="shared" si="106"/>
        <v>2</v>
      </c>
      <c r="BA1688">
        <f t="shared" si="107"/>
        <v>1</v>
      </c>
      <c r="BB1688">
        <f>SUM(ifood_data[[#This Row],[Recency Score]:[Monetary Score]])</f>
        <v>6</v>
      </c>
      <c r="BC1688">
        <f>(_xlfn.PERCENTRANK.INC(ifood_data[[#All],[RFM]],ifood_data[[#This Row],[RFM]],1))*10</f>
        <v>0</v>
      </c>
      <c r="BD1688" t="str">
        <f>VLOOKUP(ifood_data[[#This Row],[RFM Score]],'RFM Analysis'!$A$3:$B$14,2,FALSE)</f>
        <v>Lost</v>
      </c>
      <c r="BE1688">
        <f>'Regression Models'!$B$101+'Regression Models'!$B$102*ifood_data[[#This Row],[Income]]+'Regression Models'!$B$103*ifood_data[[#This Row],[Age]]+'Regression Models'!$B$104*ifood_data[[#This Row],[Family]]</f>
        <v>81.082356939094097</v>
      </c>
      <c r="BF1688" t="str">
        <f>IF(ifood_data[[#This Row],[AcceptedCmpOverall]]=1,"Campaign Respondent","Non-respondent")</f>
        <v>Campaign Respondent</v>
      </c>
    </row>
    <row r="1689" spans="1:58" x14ac:dyDescent="0.35">
      <c r="A1689">
        <v>442</v>
      </c>
      <c r="B1689">
        <v>31880</v>
      </c>
      <c r="C1689">
        <v>1</v>
      </c>
      <c r="D1689">
        <v>0</v>
      </c>
      <c r="E1689">
        <v>13</v>
      </c>
      <c r="F1689">
        <v>4</v>
      </c>
      <c r="G1689">
        <v>1</v>
      </c>
      <c r="H1689">
        <v>5</v>
      </c>
      <c r="I1689">
        <v>2</v>
      </c>
      <c r="J1689">
        <v>0</v>
      </c>
      <c r="K1689">
        <v>3</v>
      </c>
      <c r="L1689">
        <v>1</v>
      </c>
      <c r="M1689">
        <v>1</v>
      </c>
      <c r="N1689">
        <v>0</v>
      </c>
      <c r="O1689">
        <v>2</v>
      </c>
      <c r="P1689">
        <v>8</v>
      </c>
      <c r="Q1689">
        <v>0</v>
      </c>
      <c r="R1689">
        <v>0</v>
      </c>
      <c r="S1689">
        <v>0</v>
      </c>
      <c r="T1689">
        <v>0</v>
      </c>
      <c r="U1689">
        <v>0</v>
      </c>
      <c r="V1689">
        <f>IF(SUM(ifood_data[[#This Row],[AcceptedCmp1]:[AcceptedCmp5]])&gt;0,1,0)</f>
        <v>0</v>
      </c>
      <c r="W1689">
        <v>0</v>
      </c>
      <c r="X1689">
        <v>3</v>
      </c>
      <c r="Y1689">
        <v>11</v>
      </c>
      <c r="Z1689">
        <v>0</v>
      </c>
      <c r="AA1689">
        <v>50</v>
      </c>
      <c r="AB1689">
        <v>2765</v>
      </c>
      <c r="AC1689" s="28">
        <f>ifood_data[[#This Row],[Customer_Days]]/365</f>
        <v>7.5753424657534243</v>
      </c>
      <c r="AD1689">
        <v>0</v>
      </c>
      <c r="AE1689">
        <v>0</v>
      </c>
      <c r="AF1689">
        <v>0</v>
      </c>
      <c r="AG1689">
        <v>0</v>
      </c>
      <c r="AH1689">
        <v>1</v>
      </c>
      <c r="AI1689">
        <v>0</v>
      </c>
      <c r="AJ1689">
        <v>0</v>
      </c>
      <c r="AK1689">
        <v>1</v>
      </c>
      <c r="AL1689">
        <v>0</v>
      </c>
      <c r="AM1689">
        <v>0</v>
      </c>
      <c r="AN1689">
        <v>12</v>
      </c>
      <c r="AO1689">
        <v>9</v>
      </c>
      <c r="AP1689">
        <f>ifood_data[[#This Row],[MntTotal]]-ifood_data[[#This Row],[MntRegularProds]]</f>
        <v>3</v>
      </c>
      <c r="AQ1689">
        <v>0</v>
      </c>
      <c r="AR1689">
        <f>IF(SUM(ifood_data[[#This Row],[Kidhome]:[Teenhome]])&gt;0,1,0)</f>
        <v>1</v>
      </c>
      <c r="AS1689" t="str">
        <f>IF(SUM(ifood_data[[#This Row],[Kidhome]:[Teenhome]])&gt;0,"Has Family","No Family")</f>
        <v>Has Family</v>
      </c>
      <c r="AT1689" t="str">
        <f>IF(ifood_data[[#This Row],[marital_Married]]=1,"Married", (IF(ifood_data[[#This Row],[marital_Single]]=1,"Single",(IF(ifood_data[[#This Row],[marital_Divorced]]=1,"Divorced",(IF(ifood_data[[#This Row],[marital_Together]]=1,"Living Together",(IF(ifood_data[[#This Row],[marital_Widow]]=1,"Widow","Other")))))))))</f>
        <v>Widow</v>
      </c>
      <c r="AU1689" t="str">
        <f>IF(ifood_data[[#This Row],[education_Basic]]=1,"High School",(IF(ifood_data[[#This Row],[education_Graduation]]=1,"Undergraduate Degree",(IF(SUM(AM1689,AL1689,AI1689)&gt;0,"Master's Degree or Higher","Other")))))</f>
        <v>Undergraduate Degree</v>
      </c>
      <c r="AV1689" t="str">
        <f>IF(ifood_data[[#All],[Income]]&gt;75000,"75K+",(IF(ifood_data[[#All],[Income]]&gt;50000,"50K-75K",(IF(ifood_data[[#All],[Income]]&gt;35000,"35K-50K","&lt;35K")))))</f>
        <v>&lt;35K</v>
      </c>
      <c r="AW1689" t="str">
        <f>IF(ifood_data[[#All],[Age]]&gt;60,"60+",(IF(ifood_data[[#All],[Age]]&gt;50,"50-60",(IF(ifood_data[[#All],[Age]]&gt;40,"40-50",(IF(ifood_data[[#All],[Age]]&gt;30,"30-40","&lt;30")))))))</f>
        <v>40-50</v>
      </c>
      <c r="AX1689">
        <f t="shared" si="104"/>
        <v>12</v>
      </c>
      <c r="AY1689">
        <f t="shared" si="105"/>
        <v>9</v>
      </c>
      <c r="AZ1689">
        <f t="shared" si="106"/>
        <v>1</v>
      </c>
      <c r="BA1689">
        <f t="shared" si="107"/>
        <v>0</v>
      </c>
      <c r="BB1689">
        <f>SUM(ifood_data[[#This Row],[Recency Score]:[Monetary Score]])</f>
        <v>10</v>
      </c>
      <c r="BC1689">
        <f>(_xlfn.PERCENTRANK.INC(ifood_data[[#All],[RFM]],ifood_data[[#This Row],[RFM]],1))*10</f>
        <v>2</v>
      </c>
      <c r="BD1689" t="str">
        <f>VLOOKUP(ifood_data[[#This Row],[RFM Score]],'RFM Analysis'!$A$3:$B$14,2,FALSE)</f>
        <v>At Risk</v>
      </c>
      <c r="BE1689">
        <f>'Regression Models'!$B$101+'Regression Models'!$B$102*ifood_data[[#This Row],[Income]]+'Regression Models'!$B$103*ifood_data[[#This Row],[Age]]+'Regression Models'!$B$104*ifood_data[[#This Row],[Family]]</f>
        <v>80.743087135301266</v>
      </c>
      <c r="BF1689" t="str">
        <f>IF(ifood_data[[#This Row],[AcceptedCmpOverall]]=1,"Campaign Respondent","Non-respondent")</f>
        <v>Non-respondent</v>
      </c>
    </row>
    <row r="1690" spans="1:58" x14ac:dyDescent="0.35">
      <c r="A1690">
        <v>1110</v>
      </c>
      <c r="B1690">
        <v>33444</v>
      </c>
      <c r="C1690">
        <v>1</v>
      </c>
      <c r="D1690">
        <v>1</v>
      </c>
      <c r="E1690">
        <v>24</v>
      </c>
      <c r="F1690">
        <v>8</v>
      </c>
      <c r="G1690">
        <v>0</v>
      </c>
      <c r="H1690">
        <v>8</v>
      </c>
      <c r="I1690">
        <v>0</v>
      </c>
      <c r="J1690">
        <v>0</v>
      </c>
      <c r="K1690">
        <v>2</v>
      </c>
      <c r="L1690">
        <v>1</v>
      </c>
      <c r="M1690">
        <v>1</v>
      </c>
      <c r="N1690">
        <v>0</v>
      </c>
      <c r="O1690">
        <v>2</v>
      </c>
      <c r="P1690">
        <v>8</v>
      </c>
      <c r="Q1690">
        <v>0</v>
      </c>
      <c r="R1690">
        <v>0</v>
      </c>
      <c r="S1690">
        <v>0</v>
      </c>
      <c r="T1690">
        <v>0</v>
      </c>
      <c r="U1690">
        <v>0</v>
      </c>
      <c r="V1690">
        <f>IF(SUM(ifood_data[[#This Row],[AcceptedCmp1]:[AcceptedCmp5]])&gt;0,1,0)</f>
        <v>0</v>
      </c>
      <c r="W1690">
        <v>0</v>
      </c>
      <c r="X1690">
        <v>3</v>
      </c>
      <c r="Y1690">
        <v>11</v>
      </c>
      <c r="Z1690">
        <v>0</v>
      </c>
      <c r="AA1690">
        <v>68</v>
      </c>
      <c r="AB1690">
        <v>2762</v>
      </c>
      <c r="AC1690" s="28">
        <f>ifood_data[[#This Row],[Customer_Days]]/365</f>
        <v>7.5671232876712331</v>
      </c>
      <c r="AD1690">
        <v>0</v>
      </c>
      <c r="AE1690">
        <v>1</v>
      </c>
      <c r="AF1690">
        <v>0</v>
      </c>
      <c r="AG1690">
        <v>0</v>
      </c>
      <c r="AH1690">
        <v>0</v>
      </c>
      <c r="AI1690">
        <v>0</v>
      </c>
      <c r="AJ1690">
        <v>0</v>
      </c>
      <c r="AK1690">
        <v>0</v>
      </c>
      <c r="AL1690">
        <v>1</v>
      </c>
      <c r="AM1690">
        <v>0</v>
      </c>
      <c r="AN1690">
        <v>16</v>
      </c>
      <c r="AO1690">
        <v>14</v>
      </c>
      <c r="AP1690">
        <f>ifood_data[[#This Row],[MntTotal]]-ifood_data[[#This Row],[MntRegularProds]]</f>
        <v>2</v>
      </c>
      <c r="AQ1690">
        <v>0</v>
      </c>
      <c r="AR1690">
        <f>IF(SUM(ifood_data[[#This Row],[Kidhome]:[Teenhome]])&gt;0,1,0)</f>
        <v>1</v>
      </c>
      <c r="AS1690" t="str">
        <f>IF(SUM(ifood_data[[#This Row],[Kidhome]:[Teenhome]])&gt;0,"Has Family","No Family")</f>
        <v>Has Family</v>
      </c>
      <c r="AT1690" t="str">
        <f>IF(ifood_data[[#This Row],[marital_Married]]=1,"Married", (IF(ifood_data[[#This Row],[marital_Single]]=1,"Single",(IF(ifood_data[[#This Row],[marital_Divorced]]=1,"Divorced",(IF(ifood_data[[#This Row],[marital_Together]]=1,"Living Together",(IF(ifood_data[[#This Row],[marital_Widow]]=1,"Widow","Other")))))))))</f>
        <v>Married</v>
      </c>
      <c r="AU1690" t="str">
        <f>IF(ifood_data[[#This Row],[education_Basic]]=1,"High School",(IF(ifood_data[[#This Row],[education_Graduation]]=1,"Undergraduate Degree",(IF(SUM(AM1690,AL1690,AI1690)&gt;0,"Master's Degree or Higher","Other")))))</f>
        <v>Master's Degree or Higher</v>
      </c>
      <c r="AV1690" t="str">
        <f>IF(ifood_data[[#All],[Income]]&gt;75000,"75K+",(IF(ifood_data[[#All],[Income]]&gt;50000,"50K-75K",(IF(ifood_data[[#All],[Income]]&gt;35000,"35K-50K","&lt;35K")))))</f>
        <v>&lt;35K</v>
      </c>
      <c r="AW1690" t="str">
        <f>IF(ifood_data[[#All],[Age]]&gt;60,"60+",(IF(ifood_data[[#All],[Age]]&gt;50,"50-60",(IF(ifood_data[[#All],[Age]]&gt;40,"40-50",(IF(ifood_data[[#All],[Age]]&gt;30,"30-40","&lt;30")))))))</f>
        <v>60+</v>
      </c>
      <c r="AX1690">
        <f t="shared" si="104"/>
        <v>12</v>
      </c>
      <c r="AY1690">
        <f t="shared" si="105"/>
        <v>8</v>
      </c>
      <c r="AZ1690">
        <f t="shared" si="106"/>
        <v>1</v>
      </c>
      <c r="BA1690">
        <f t="shared" si="107"/>
        <v>0</v>
      </c>
      <c r="BB1690">
        <f>SUM(ifood_data[[#This Row],[Recency Score]:[Monetary Score]])</f>
        <v>9</v>
      </c>
      <c r="BC1690">
        <f>(_xlfn.PERCENTRANK.INC(ifood_data[[#All],[RFM]],ifood_data[[#This Row],[RFM]],1))*10</f>
        <v>1</v>
      </c>
      <c r="BD1690" t="str">
        <f>VLOOKUP(ifood_data[[#This Row],[RFM Score]],'RFM Analysis'!$A$3:$B$14,2,FALSE)</f>
        <v>At Risk</v>
      </c>
      <c r="BE1690">
        <f>'Regression Models'!$B$101+'Regression Models'!$B$102*ifood_data[[#This Row],[Income]]+'Regression Models'!$B$103*ifood_data[[#This Row],[Age]]+'Regression Models'!$B$104*ifood_data[[#This Row],[Family]]</f>
        <v>79.575217092262278</v>
      </c>
      <c r="BF1690" t="str">
        <f>IF(ifood_data[[#This Row],[AcceptedCmpOverall]]=1,"Campaign Respondent","Non-respondent")</f>
        <v>Non-respondent</v>
      </c>
    </row>
    <row r="1691" spans="1:58" x14ac:dyDescent="0.35">
      <c r="A1691">
        <v>1340</v>
      </c>
      <c r="B1691">
        <v>33402</v>
      </c>
      <c r="C1691">
        <v>1</v>
      </c>
      <c r="D1691">
        <v>1</v>
      </c>
      <c r="E1691">
        <v>60</v>
      </c>
      <c r="F1691">
        <v>26</v>
      </c>
      <c r="G1691">
        <v>2</v>
      </c>
      <c r="H1691">
        <v>19</v>
      </c>
      <c r="I1691">
        <v>10</v>
      </c>
      <c r="J1691">
        <v>5</v>
      </c>
      <c r="K1691">
        <v>8</v>
      </c>
      <c r="L1691">
        <v>3</v>
      </c>
      <c r="M1691">
        <v>2</v>
      </c>
      <c r="N1691">
        <v>1</v>
      </c>
      <c r="O1691">
        <v>3</v>
      </c>
      <c r="P1691">
        <v>8</v>
      </c>
      <c r="Q1691">
        <v>0</v>
      </c>
      <c r="R1691">
        <v>0</v>
      </c>
      <c r="S1691">
        <v>0</v>
      </c>
      <c r="T1691">
        <v>0</v>
      </c>
      <c r="U1691">
        <v>0</v>
      </c>
      <c r="V1691">
        <f>IF(SUM(ifood_data[[#This Row],[AcceptedCmp1]:[AcceptedCmp5]])&gt;0,1,0)</f>
        <v>0</v>
      </c>
      <c r="W1691">
        <v>0</v>
      </c>
      <c r="X1691">
        <v>3</v>
      </c>
      <c r="Y1691">
        <v>11</v>
      </c>
      <c r="Z1691">
        <v>0</v>
      </c>
      <c r="AA1691">
        <v>68</v>
      </c>
      <c r="AB1691">
        <v>2505</v>
      </c>
      <c r="AC1691" s="28">
        <f>ifood_data[[#This Row],[Customer_Days]]/365</f>
        <v>6.8630136986301373</v>
      </c>
      <c r="AD1691">
        <v>0</v>
      </c>
      <c r="AE1691">
        <v>0</v>
      </c>
      <c r="AF1691">
        <v>0</v>
      </c>
      <c r="AG1691">
        <v>1</v>
      </c>
      <c r="AH1691">
        <v>0</v>
      </c>
      <c r="AI1691">
        <v>0</v>
      </c>
      <c r="AJ1691">
        <v>0</v>
      </c>
      <c r="AK1691">
        <v>1</v>
      </c>
      <c r="AL1691">
        <v>0</v>
      </c>
      <c r="AM1691">
        <v>0</v>
      </c>
      <c r="AN1691">
        <v>62</v>
      </c>
      <c r="AO1691">
        <v>54</v>
      </c>
      <c r="AP1691">
        <f>ifood_data[[#This Row],[MntTotal]]-ifood_data[[#This Row],[MntRegularProds]]</f>
        <v>8</v>
      </c>
      <c r="AQ1691">
        <v>0</v>
      </c>
      <c r="AR1691">
        <f>IF(SUM(ifood_data[[#This Row],[Kidhome]:[Teenhome]])&gt;0,1,0)</f>
        <v>1</v>
      </c>
      <c r="AS1691" t="str">
        <f>IF(SUM(ifood_data[[#This Row],[Kidhome]:[Teenhome]])&gt;0,"Has Family","No Family")</f>
        <v>Has Family</v>
      </c>
      <c r="AT1691" t="str">
        <f>IF(ifood_data[[#This Row],[marital_Married]]=1,"Married", (IF(ifood_data[[#This Row],[marital_Single]]=1,"Single",(IF(ifood_data[[#This Row],[marital_Divorced]]=1,"Divorced",(IF(ifood_data[[#This Row],[marital_Together]]=1,"Living Together",(IF(ifood_data[[#This Row],[marital_Widow]]=1,"Widow","Other")))))))))</f>
        <v>Living Together</v>
      </c>
      <c r="AU1691" t="str">
        <f>IF(ifood_data[[#This Row],[education_Basic]]=1,"High School",(IF(ifood_data[[#This Row],[education_Graduation]]=1,"Undergraduate Degree",(IF(SUM(AM1691,AL1691,AI1691)&gt;0,"Master's Degree or Higher","Other")))))</f>
        <v>Undergraduate Degree</v>
      </c>
      <c r="AV1691" t="str">
        <f>IF(ifood_data[[#All],[Income]]&gt;75000,"75K+",(IF(ifood_data[[#All],[Income]]&gt;50000,"50K-75K",(IF(ifood_data[[#All],[Income]]&gt;35000,"35K-50K","&lt;35K")))))</f>
        <v>&lt;35K</v>
      </c>
      <c r="AW1691" t="str">
        <f>IF(ifood_data[[#All],[Age]]&gt;60,"60+",(IF(ifood_data[[#All],[Age]]&gt;50,"50-60",(IF(ifood_data[[#All],[Age]]&gt;40,"40-50",(IF(ifood_data[[#All],[Age]]&gt;30,"30-40","&lt;30")))))))</f>
        <v>60+</v>
      </c>
      <c r="AX1691">
        <f t="shared" si="104"/>
        <v>17</v>
      </c>
      <c r="AY1691">
        <f t="shared" si="105"/>
        <v>4</v>
      </c>
      <c r="AZ1691">
        <f t="shared" si="106"/>
        <v>3</v>
      </c>
      <c r="BA1691">
        <f t="shared" si="107"/>
        <v>2</v>
      </c>
      <c r="BB1691">
        <f>SUM(ifood_data[[#This Row],[Recency Score]:[Monetary Score]])</f>
        <v>9</v>
      </c>
      <c r="BC1691">
        <f>(_xlfn.PERCENTRANK.INC(ifood_data[[#All],[RFM]],ifood_data[[#This Row],[RFM]],1))*10</f>
        <v>1</v>
      </c>
      <c r="BD1691" t="str">
        <f>VLOOKUP(ifood_data[[#This Row],[RFM Score]],'RFM Analysis'!$A$3:$B$14,2,FALSE)</f>
        <v>At Risk</v>
      </c>
      <c r="BE1691">
        <f>'Regression Models'!$B$101+'Regression Models'!$B$102*ifood_data[[#This Row],[Income]]+'Regression Models'!$B$103*ifood_data[[#This Row],[Age]]+'Regression Models'!$B$104*ifood_data[[#This Row],[Family]]</f>
        <v>78.718888830218475</v>
      </c>
      <c r="BF1691" t="str">
        <f>IF(ifood_data[[#This Row],[AcceptedCmpOverall]]=1,"Campaign Respondent","Non-respondent")</f>
        <v>Non-respondent</v>
      </c>
    </row>
    <row r="1692" spans="1:58" x14ac:dyDescent="0.35">
      <c r="A1692">
        <v>1661</v>
      </c>
      <c r="B1692">
        <v>32583</v>
      </c>
      <c r="C1692">
        <v>1</v>
      </c>
      <c r="D1692">
        <v>1</v>
      </c>
      <c r="E1692">
        <v>10</v>
      </c>
      <c r="F1692">
        <v>5</v>
      </c>
      <c r="G1692">
        <v>0</v>
      </c>
      <c r="H1692">
        <v>3</v>
      </c>
      <c r="I1692">
        <v>0</v>
      </c>
      <c r="J1692">
        <v>0</v>
      </c>
      <c r="K1692">
        <v>1</v>
      </c>
      <c r="L1692">
        <v>1</v>
      </c>
      <c r="M1692">
        <v>1</v>
      </c>
      <c r="N1692">
        <v>0</v>
      </c>
      <c r="O1692">
        <v>2</v>
      </c>
      <c r="P1692">
        <v>7</v>
      </c>
      <c r="Q1692">
        <v>0</v>
      </c>
      <c r="R1692">
        <v>0</v>
      </c>
      <c r="S1692">
        <v>0</v>
      </c>
      <c r="T1692">
        <v>0</v>
      </c>
      <c r="U1692">
        <v>0</v>
      </c>
      <c r="V1692">
        <f>IF(SUM(ifood_data[[#This Row],[AcceptedCmp1]:[AcceptedCmp5]])&gt;0,1,0)</f>
        <v>0</v>
      </c>
      <c r="W1692">
        <v>0</v>
      </c>
      <c r="X1692">
        <v>3</v>
      </c>
      <c r="Y1692">
        <v>11</v>
      </c>
      <c r="Z1692">
        <v>0</v>
      </c>
      <c r="AA1692">
        <v>59</v>
      </c>
      <c r="AB1692">
        <v>2173</v>
      </c>
      <c r="AC1692" s="28">
        <f>ifood_data[[#This Row],[Customer_Days]]/365</f>
        <v>5.9534246575342467</v>
      </c>
      <c r="AD1692">
        <v>0</v>
      </c>
      <c r="AE1692">
        <v>0</v>
      </c>
      <c r="AF1692">
        <v>0</v>
      </c>
      <c r="AG1692">
        <v>1</v>
      </c>
      <c r="AH1692">
        <v>0</v>
      </c>
      <c r="AI1692">
        <v>0</v>
      </c>
      <c r="AJ1692">
        <v>0</v>
      </c>
      <c r="AK1692">
        <v>0</v>
      </c>
      <c r="AL1692">
        <v>0</v>
      </c>
      <c r="AM1692">
        <v>1</v>
      </c>
      <c r="AN1692">
        <v>8</v>
      </c>
      <c r="AO1692">
        <v>7</v>
      </c>
      <c r="AP1692">
        <f>ifood_data[[#This Row],[MntTotal]]-ifood_data[[#This Row],[MntRegularProds]]</f>
        <v>1</v>
      </c>
      <c r="AQ1692">
        <v>0</v>
      </c>
      <c r="AR1692">
        <f>IF(SUM(ifood_data[[#This Row],[Kidhome]:[Teenhome]])&gt;0,1,0)</f>
        <v>1</v>
      </c>
      <c r="AS1692" t="str">
        <f>IF(SUM(ifood_data[[#This Row],[Kidhome]:[Teenhome]])&gt;0,"Has Family","No Family")</f>
        <v>Has Family</v>
      </c>
      <c r="AT1692" t="str">
        <f>IF(ifood_data[[#This Row],[marital_Married]]=1,"Married", (IF(ifood_data[[#This Row],[marital_Single]]=1,"Single",(IF(ifood_data[[#This Row],[marital_Divorced]]=1,"Divorced",(IF(ifood_data[[#This Row],[marital_Together]]=1,"Living Together",(IF(ifood_data[[#This Row],[marital_Widow]]=1,"Widow","Other")))))))))</f>
        <v>Living Together</v>
      </c>
      <c r="AU1692" t="str">
        <f>IF(ifood_data[[#This Row],[education_Basic]]=1,"High School",(IF(ifood_data[[#This Row],[education_Graduation]]=1,"Undergraduate Degree",(IF(SUM(AM1692,AL1692,AI1692)&gt;0,"Master's Degree or Higher","Other")))))</f>
        <v>Master's Degree or Higher</v>
      </c>
      <c r="AV1692" t="str">
        <f>IF(ifood_data[[#All],[Income]]&gt;75000,"75K+",(IF(ifood_data[[#All],[Income]]&gt;50000,"50K-75K",(IF(ifood_data[[#All],[Income]]&gt;35000,"35K-50K","&lt;35K")))))</f>
        <v>&lt;35K</v>
      </c>
      <c r="AW1692" t="str">
        <f>IF(ifood_data[[#All],[Age]]&gt;60,"60+",(IF(ifood_data[[#All],[Age]]&gt;50,"50-60",(IF(ifood_data[[#All],[Age]]&gt;40,"40-50",(IF(ifood_data[[#All],[Age]]&gt;30,"30-40","&lt;30")))))))</f>
        <v>50-60</v>
      </c>
      <c r="AX1692">
        <f t="shared" si="104"/>
        <v>11</v>
      </c>
      <c r="AY1692">
        <f t="shared" si="105"/>
        <v>9</v>
      </c>
      <c r="AZ1692">
        <f t="shared" si="106"/>
        <v>0</v>
      </c>
      <c r="BA1692">
        <f t="shared" si="107"/>
        <v>0</v>
      </c>
      <c r="BB1692">
        <f>SUM(ifood_data[[#This Row],[Recency Score]:[Monetary Score]])</f>
        <v>9</v>
      </c>
      <c r="BC1692">
        <f>(_xlfn.PERCENTRANK.INC(ifood_data[[#All],[RFM]],ifood_data[[#This Row],[RFM]],1))*10</f>
        <v>1</v>
      </c>
      <c r="BD1692" t="str">
        <f>VLOOKUP(ifood_data[[#This Row],[RFM Score]],'RFM Analysis'!$A$3:$B$14,2,FALSE)</f>
        <v>At Risk</v>
      </c>
      <c r="BE1692">
        <f>'Regression Models'!$B$101+'Regression Models'!$B$102*ifood_data[[#This Row],[Income]]+'Regression Models'!$B$103*ifood_data[[#This Row],[Age]]+'Regression Models'!$B$104*ifood_data[[#This Row],[Family]]</f>
        <v>78.548439430413737</v>
      </c>
      <c r="BF1692" t="str">
        <f>IF(ifood_data[[#This Row],[AcceptedCmpOverall]]=1,"Campaign Respondent","Non-respondent")</f>
        <v>Non-respondent</v>
      </c>
    </row>
    <row r="1693" spans="1:58" x14ac:dyDescent="0.35">
      <c r="A1693">
        <v>742</v>
      </c>
      <c r="B1693">
        <v>31590</v>
      </c>
      <c r="C1693">
        <v>1</v>
      </c>
      <c r="D1693">
        <v>0</v>
      </c>
      <c r="E1693">
        <v>40</v>
      </c>
      <c r="F1693">
        <v>6</v>
      </c>
      <c r="G1693">
        <v>2</v>
      </c>
      <c r="H1693">
        <v>15</v>
      </c>
      <c r="I1693">
        <v>6</v>
      </c>
      <c r="J1693">
        <v>6</v>
      </c>
      <c r="K1693">
        <v>3</v>
      </c>
      <c r="L1693">
        <v>1</v>
      </c>
      <c r="M1693">
        <v>1</v>
      </c>
      <c r="N1693">
        <v>0</v>
      </c>
      <c r="O1693">
        <v>3</v>
      </c>
      <c r="P1693">
        <v>8</v>
      </c>
      <c r="Q1693">
        <v>0</v>
      </c>
      <c r="R1693">
        <v>0</v>
      </c>
      <c r="S1693">
        <v>0</v>
      </c>
      <c r="T1693">
        <v>0</v>
      </c>
      <c r="U1693">
        <v>0</v>
      </c>
      <c r="V1693">
        <f>IF(SUM(ifood_data[[#This Row],[AcceptedCmp1]:[AcceptedCmp5]])&gt;0,1,0)</f>
        <v>0</v>
      </c>
      <c r="W1693">
        <v>0</v>
      </c>
      <c r="X1693">
        <v>3</v>
      </c>
      <c r="Y1693">
        <v>11</v>
      </c>
      <c r="Z1693">
        <v>0</v>
      </c>
      <c r="AA1693">
        <v>48</v>
      </c>
      <c r="AB1693">
        <v>2535</v>
      </c>
      <c r="AC1693" s="28">
        <f>ifood_data[[#This Row],[Customer_Days]]/365</f>
        <v>6.9452054794520546</v>
      </c>
      <c r="AD1693">
        <v>0</v>
      </c>
      <c r="AE1693">
        <v>0</v>
      </c>
      <c r="AF1693">
        <v>0</v>
      </c>
      <c r="AG1693">
        <v>1</v>
      </c>
      <c r="AH1693">
        <v>0</v>
      </c>
      <c r="AI1693">
        <v>0</v>
      </c>
      <c r="AJ1693">
        <v>0</v>
      </c>
      <c r="AK1693">
        <v>1</v>
      </c>
      <c r="AL1693">
        <v>0</v>
      </c>
      <c r="AM1693">
        <v>0</v>
      </c>
      <c r="AN1693">
        <v>35</v>
      </c>
      <c r="AO1693">
        <v>32</v>
      </c>
      <c r="AP1693">
        <f>ifood_data[[#This Row],[MntTotal]]-ifood_data[[#This Row],[MntRegularProds]]</f>
        <v>3</v>
      </c>
      <c r="AQ1693">
        <v>0</v>
      </c>
      <c r="AR1693">
        <f>IF(SUM(ifood_data[[#This Row],[Kidhome]:[Teenhome]])&gt;0,1,0)</f>
        <v>1</v>
      </c>
      <c r="AS1693" t="str">
        <f>IF(SUM(ifood_data[[#This Row],[Kidhome]:[Teenhome]])&gt;0,"Has Family","No Family")</f>
        <v>Has Family</v>
      </c>
      <c r="AT1693" t="str">
        <f>IF(ifood_data[[#This Row],[marital_Married]]=1,"Married", (IF(ifood_data[[#This Row],[marital_Single]]=1,"Single",(IF(ifood_data[[#This Row],[marital_Divorced]]=1,"Divorced",(IF(ifood_data[[#This Row],[marital_Together]]=1,"Living Together",(IF(ifood_data[[#This Row],[marital_Widow]]=1,"Widow","Other")))))))))</f>
        <v>Living Together</v>
      </c>
      <c r="AU1693" t="str">
        <f>IF(ifood_data[[#This Row],[education_Basic]]=1,"High School",(IF(ifood_data[[#This Row],[education_Graduation]]=1,"Undergraduate Degree",(IF(SUM(AM1693,AL1693,AI1693)&gt;0,"Master's Degree or Higher","Other")))))</f>
        <v>Undergraduate Degree</v>
      </c>
      <c r="AV1693" t="str">
        <f>IF(ifood_data[[#All],[Income]]&gt;75000,"75K+",(IF(ifood_data[[#All],[Income]]&gt;50000,"50K-75K",(IF(ifood_data[[#All],[Income]]&gt;35000,"35K-50K","&lt;35K")))))</f>
        <v>&lt;35K</v>
      </c>
      <c r="AW1693" t="str">
        <f>IF(ifood_data[[#All],[Age]]&gt;60,"60+",(IF(ifood_data[[#All],[Age]]&gt;50,"50-60",(IF(ifood_data[[#All],[Age]]&gt;40,"40-50",(IF(ifood_data[[#All],[Age]]&gt;30,"30-40","&lt;30")))))))</f>
        <v>40-50</v>
      </c>
      <c r="AX1693">
        <f t="shared" si="104"/>
        <v>13</v>
      </c>
      <c r="AY1693">
        <f t="shared" si="105"/>
        <v>6</v>
      </c>
      <c r="AZ1693">
        <f t="shared" si="106"/>
        <v>1</v>
      </c>
      <c r="BA1693">
        <f t="shared" si="107"/>
        <v>1</v>
      </c>
      <c r="BB1693">
        <f>SUM(ifood_data[[#This Row],[Recency Score]:[Monetary Score]])</f>
        <v>8</v>
      </c>
      <c r="BC1693">
        <f>(_xlfn.PERCENTRANK.INC(ifood_data[[#All],[RFM]],ifood_data[[#This Row],[RFM]],1))*10</f>
        <v>1</v>
      </c>
      <c r="BD1693" t="str">
        <f>VLOOKUP(ifood_data[[#This Row],[RFM Score]],'RFM Analysis'!$A$3:$B$14,2,FALSE)</f>
        <v>At Risk</v>
      </c>
      <c r="BE1693">
        <f>'Regression Models'!$B$101+'Regression Models'!$B$102*ifood_data[[#This Row],[Income]]+'Regression Models'!$B$103*ifood_data[[#This Row],[Age]]+'Regression Models'!$B$104*ifood_data[[#This Row],[Family]]</f>
        <v>78.503222531359143</v>
      </c>
      <c r="BF1693" t="str">
        <f>IF(ifood_data[[#This Row],[AcceptedCmpOverall]]=1,"Campaign Respondent","Non-respondent")</f>
        <v>Non-respondent</v>
      </c>
    </row>
    <row r="1694" spans="1:58" x14ac:dyDescent="0.35">
      <c r="A1694">
        <v>170</v>
      </c>
      <c r="B1694">
        <v>30477</v>
      </c>
      <c r="C1694">
        <v>1</v>
      </c>
      <c r="D1694">
        <v>0</v>
      </c>
      <c r="E1694">
        <v>16</v>
      </c>
      <c r="F1694">
        <v>47</v>
      </c>
      <c r="G1694">
        <v>1</v>
      </c>
      <c r="H1694">
        <v>6</v>
      </c>
      <c r="I1694">
        <v>0</v>
      </c>
      <c r="J1694">
        <v>0</v>
      </c>
      <c r="K1694">
        <v>12</v>
      </c>
      <c r="L1694">
        <v>1</v>
      </c>
      <c r="M1694">
        <v>1</v>
      </c>
      <c r="N1694">
        <v>1</v>
      </c>
      <c r="O1694">
        <v>3</v>
      </c>
      <c r="P1694">
        <v>6</v>
      </c>
      <c r="Q1694">
        <v>0</v>
      </c>
      <c r="R1694">
        <v>0</v>
      </c>
      <c r="S1694">
        <v>0</v>
      </c>
      <c r="T1694">
        <v>0</v>
      </c>
      <c r="U1694">
        <v>0</v>
      </c>
      <c r="V1694">
        <f>IF(SUM(ifood_data[[#This Row],[AcceptedCmp1]:[AcceptedCmp5]])&gt;0,1,0)</f>
        <v>0</v>
      </c>
      <c r="W1694">
        <v>0</v>
      </c>
      <c r="X1694">
        <v>3</v>
      </c>
      <c r="Y1694">
        <v>11</v>
      </c>
      <c r="Z1694">
        <v>0</v>
      </c>
      <c r="AA1694">
        <v>36</v>
      </c>
      <c r="AB1694">
        <v>2317</v>
      </c>
      <c r="AC1694" s="28">
        <f>ifood_data[[#This Row],[Customer_Days]]/365</f>
        <v>6.3479452054794523</v>
      </c>
      <c r="AD1694">
        <v>0</v>
      </c>
      <c r="AE1694">
        <v>1</v>
      </c>
      <c r="AF1694">
        <v>0</v>
      </c>
      <c r="AG1694">
        <v>0</v>
      </c>
      <c r="AH1694">
        <v>0</v>
      </c>
      <c r="AI1694">
        <v>0</v>
      </c>
      <c r="AJ1694">
        <v>0</v>
      </c>
      <c r="AK1694">
        <v>0</v>
      </c>
      <c r="AL1694">
        <v>1</v>
      </c>
      <c r="AM1694">
        <v>0</v>
      </c>
      <c r="AN1694">
        <v>54</v>
      </c>
      <c r="AO1694">
        <v>42</v>
      </c>
      <c r="AP1694">
        <f>ifood_data[[#This Row],[MntTotal]]-ifood_data[[#This Row],[MntRegularProds]]</f>
        <v>12</v>
      </c>
      <c r="AQ1694">
        <v>0</v>
      </c>
      <c r="AR1694">
        <f>IF(SUM(ifood_data[[#This Row],[Kidhome]:[Teenhome]])&gt;0,1,0)</f>
        <v>1</v>
      </c>
      <c r="AS1694" t="str">
        <f>IF(SUM(ifood_data[[#This Row],[Kidhome]:[Teenhome]])&gt;0,"Has Family","No Family")</f>
        <v>Has Family</v>
      </c>
      <c r="AT1694" t="str">
        <f>IF(ifood_data[[#This Row],[marital_Married]]=1,"Married", (IF(ifood_data[[#This Row],[marital_Single]]=1,"Single",(IF(ifood_data[[#This Row],[marital_Divorced]]=1,"Divorced",(IF(ifood_data[[#This Row],[marital_Together]]=1,"Living Together",(IF(ifood_data[[#This Row],[marital_Widow]]=1,"Widow","Other")))))))))</f>
        <v>Married</v>
      </c>
      <c r="AU1694" t="str">
        <f>IF(ifood_data[[#This Row],[education_Basic]]=1,"High School",(IF(ifood_data[[#This Row],[education_Graduation]]=1,"Undergraduate Degree",(IF(SUM(AM1694,AL1694,AI1694)&gt;0,"Master's Degree or Higher","Other")))))</f>
        <v>Master's Degree or Higher</v>
      </c>
      <c r="AV1694" t="str">
        <f>IF(ifood_data[[#All],[Income]]&gt;75000,"75K+",(IF(ifood_data[[#All],[Income]]&gt;50000,"50K-75K",(IF(ifood_data[[#All],[Income]]&gt;35000,"35K-50K","&lt;35K")))))</f>
        <v>&lt;35K</v>
      </c>
      <c r="AW1694" t="str">
        <f>IF(ifood_data[[#All],[Age]]&gt;60,"60+",(IF(ifood_data[[#All],[Age]]&gt;50,"50-60",(IF(ifood_data[[#All],[Age]]&gt;40,"40-50",(IF(ifood_data[[#All],[Age]]&gt;30,"30-40","&lt;30")))))))</f>
        <v>30-40</v>
      </c>
      <c r="AX1694">
        <f t="shared" si="104"/>
        <v>12</v>
      </c>
      <c r="AY1694">
        <f t="shared" si="105"/>
        <v>9</v>
      </c>
      <c r="AZ1694">
        <f t="shared" si="106"/>
        <v>1</v>
      </c>
      <c r="BA1694">
        <f t="shared" si="107"/>
        <v>2</v>
      </c>
      <c r="BB1694">
        <f>SUM(ifood_data[[#This Row],[Recency Score]:[Monetary Score]])</f>
        <v>12</v>
      </c>
      <c r="BC1694">
        <f>(_xlfn.PERCENTRANK.INC(ifood_data[[#All],[RFM]],ifood_data[[#This Row],[RFM]],1))*10</f>
        <v>3</v>
      </c>
      <c r="BD1694" t="str">
        <f>VLOOKUP(ifood_data[[#This Row],[RFM Score]],'RFM Analysis'!$A$3:$B$14,2,FALSE)</f>
        <v>At Risk</v>
      </c>
      <c r="BE1694">
        <f>'Regression Models'!$B$101+'Regression Models'!$B$102*ifood_data[[#This Row],[Income]]+'Regression Models'!$B$103*ifood_data[[#This Row],[Age]]+'Regression Models'!$B$104*ifood_data[[#This Row],[Family]]</f>
        <v>77.847792533931113</v>
      </c>
      <c r="BF1694" t="str">
        <f>IF(ifood_data[[#This Row],[AcceptedCmpOverall]]=1,"Campaign Respondent","Non-respondent")</f>
        <v>Non-respondent</v>
      </c>
    </row>
    <row r="1695" spans="1:58" x14ac:dyDescent="0.35">
      <c r="A1695">
        <v>1895</v>
      </c>
      <c r="B1695">
        <v>30828</v>
      </c>
      <c r="C1695">
        <v>1</v>
      </c>
      <c r="D1695">
        <v>0</v>
      </c>
      <c r="E1695">
        <v>16</v>
      </c>
      <c r="F1695">
        <v>16</v>
      </c>
      <c r="G1695">
        <v>11</v>
      </c>
      <c r="H1695">
        <v>15</v>
      </c>
      <c r="I1695">
        <v>2</v>
      </c>
      <c r="J1695">
        <v>0</v>
      </c>
      <c r="K1695">
        <v>12</v>
      </c>
      <c r="L1695">
        <v>2</v>
      </c>
      <c r="M1695">
        <v>1</v>
      </c>
      <c r="N1695">
        <v>1</v>
      </c>
      <c r="O1695">
        <v>4</v>
      </c>
      <c r="P1695">
        <v>3</v>
      </c>
      <c r="Q1695">
        <v>0</v>
      </c>
      <c r="R1695">
        <v>0</v>
      </c>
      <c r="S1695">
        <v>0</v>
      </c>
      <c r="T1695">
        <v>0</v>
      </c>
      <c r="U1695">
        <v>0</v>
      </c>
      <c r="V1695">
        <f>IF(SUM(ifood_data[[#This Row],[AcceptedCmp1]:[AcceptedCmp5]])&gt;0,1,0)</f>
        <v>0</v>
      </c>
      <c r="W1695">
        <v>0</v>
      </c>
      <c r="X1695">
        <v>3</v>
      </c>
      <c r="Y1695">
        <v>11</v>
      </c>
      <c r="Z1695">
        <v>0</v>
      </c>
      <c r="AA1695">
        <v>40</v>
      </c>
      <c r="AB1695">
        <v>2427</v>
      </c>
      <c r="AC1695" s="28">
        <f>ifood_data[[#This Row],[Customer_Days]]/365</f>
        <v>6.6493150684931503</v>
      </c>
      <c r="AD1695">
        <v>0</v>
      </c>
      <c r="AE1695">
        <v>0</v>
      </c>
      <c r="AF1695">
        <v>1</v>
      </c>
      <c r="AG1695">
        <v>0</v>
      </c>
      <c r="AH1695">
        <v>0</v>
      </c>
      <c r="AI1695">
        <v>0</v>
      </c>
      <c r="AJ1695">
        <v>0</v>
      </c>
      <c r="AK1695">
        <v>1</v>
      </c>
      <c r="AL1695">
        <v>0</v>
      </c>
      <c r="AM1695">
        <v>0</v>
      </c>
      <c r="AN1695">
        <v>44</v>
      </c>
      <c r="AO1695">
        <v>32</v>
      </c>
      <c r="AP1695">
        <f>ifood_data[[#This Row],[MntTotal]]-ifood_data[[#This Row],[MntRegularProds]]</f>
        <v>12</v>
      </c>
      <c r="AQ1695">
        <v>0</v>
      </c>
      <c r="AR1695">
        <f>IF(SUM(ifood_data[[#This Row],[Kidhome]:[Teenhome]])&gt;0,1,0)</f>
        <v>1</v>
      </c>
      <c r="AS1695" t="str">
        <f>IF(SUM(ifood_data[[#This Row],[Kidhome]:[Teenhome]])&gt;0,"Has Family","No Family")</f>
        <v>Has Family</v>
      </c>
      <c r="AT1695" t="str">
        <f>IF(ifood_data[[#This Row],[marital_Married]]=1,"Married", (IF(ifood_data[[#This Row],[marital_Single]]=1,"Single",(IF(ifood_data[[#This Row],[marital_Divorced]]=1,"Divorced",(IF(ifood_data[[#This Row],[marital_Together]]=1,"Living Together",(IF(ifood_data[[#This Row],[marital_Widow]]=1,"Widow","Other")))))))))</f>
        <v>Single</v>
      </c>
      <c r="AU1695" t="str">
        <f>IF(ifood_data[[#This Row],[education_Basic]]=1,"High School",(IF(ifood_data[[#This Row],[education_Graduation]]=1,"Undergraduate Degree",(IF(SUM(AM1695,AL1695,AI1695)&gt;0,"Master's Degree or Higher","Other")))))</f>
        <v>Undergraduate Degree</v>
      </c>
      <c r="AV1695" t="str">
        <f>IF(ifood_data[[#All],[Income]]&gt;75000,"75K+",(IF(ifood_data[[#All],[Income]]&gt;50000,"50K-75K",(IF(ifood_data[[#All],[Income]]&gt;35000,"35K-50K","&lt;35K")))))</f>
        <v>&lt;35K</v>
      </c>
      <c r="AW1695" t="str">
        <f>IF(ifood_data[[#All],[Age]]&gt;60,"60+",(IF(ifood_data[[#All],[Age]]&gt;50,"50-60",(IF(ifood_data[[#All],[Age]]&gt;40,"40-50",(IF(ifood_data[[#All],[Age]]&gt;30,"30-40","&lt;30")))))))</f>
        <v>30-40</v>
      </c>
      <c r="AX1695">
        <f t="shared" si="104"/>
        <v>11</v>
      </c>
      <c r="AY1695">
        <f t="shared" si="105"/>
        <v>9</v>
      </c>
      <c r="AZ1695">
        <f t="shared" si="106"/>
        <v>0</v>
      </c>
      <c r="BA1695">
        <f t="shared" si="107"/>
        <v>2</v>
      </c>
      <c r="BB1695">
        <f>SUM(ifood_data[[#This Row],[Recency Score]:[Monetary Score]])</f>
        <v>11</v>
      </c>
      <c r="BC1695">
        <f>(_xlfn.PERCENTRANK.INC(ifood_data[[#All],[RFM]],ifood_data[[#This Row],[RFM]],1))*10</f>
        <v>2</v>
      </c>
      <c r="BD1695" t="str">
        <f>VLOOKUP(ifood_data[[#This Row],[RFM Score]],'RFM Analysis'!$A$3:$B$14,2,FALSE)</f>
        <v>At Risk</v>
      </c>
      <c r="BE1695">
        <f>'Regression Models'!$B$101+'Regression Models'!$B$102*ifood_data[[#This Row],[Income]]+'Regression Models'!$B$103*ifood_data[[#This Row],[Age]]+'Regression Models'!$B$104*ifood_data[[#This Row],[Family]]</f>
        <v>77.658493836862476</v>
      </c>
      <c r="BF1695" t="str">
        <f>IF(ifood_data[[#This Row],[AcceptedCmpOverall]]=1,"Campaign Respondent","Non-respondent")</f>
        <v>Non-respondent</v>
      </c>
    </row>
    <row r="1696" spans="1:58" x14ac:dyDescent="0.35">
      <c r="A1696">
        <v>977</v>
      </c>
      <c r="B1696">
        <v>31056</v>
      </c>
      <c r="C1696">
        <v>1</v>
      </c>
      <c r="D1696">
        <v>0</v>
      </c>
      <c r="E1696">
        <v>99</v>
      </c>
      <c r="F1696">
        <v>5</v>
      </c>
      <c r="G1696">
        <v>10</v>
      </c>
      <c r="H1696">
        <v>13</v>
      </c>
      <c r="I1696">
        <v>3</v>
      </c>
      <c r="J1696">
        <v>8</v>
      </c>
      <c r="K1696">
        <v>16</v>
      </c>
      <c r="L1696">
        <v>1</v>
      </c>
      <c r="M1696">
        <v>1</v>
      </c>
      <c r="N1696">
        <v>0</v>
      </c>
      <c r="O1696">
        <v>3</v>
      </c>
      <c r="P1696">
        <v>8</v>
      </c>
      <c r="Q1696">
        <v>0</v>
      </c>
      <c r="R1696">
        <v>0</v>
      </c>
      <c r="S1696">
        <v>0</v>
      </c>
      <c r="T1696">
        <v>0</v>
      </c>
      <c r="U1696">
        <v>0</v>
      </c>
      <c r="V1696">
        <f>IF(SUM(ifood_data[[#This Row],[AcceptedCmp1]:[AcceptedCmp5]])&gt;0,1,0)</f>
        <v>0</v>
      </c>
      <c r="W1696">
        <v>0</v>
      </c>
      <c r="X1696">
        <v>3</v>
      </c>
      <c r="Y1696">
        <v>11</v>
      </c>
      <c r="Z1696">
        <v>0</v>
      </c>
      <c r="AA1696">
        <v>43</v>
      </c>
      <c r="AB1696">
        <v>2682</v>
      </c>
      <c r="AC1696" s="28">
        <f>ifood_data[[#This Row],[Customer_Days]]/365</f>
        <v>7.3479452054794523</v>
      </c>
      <c r="AD1696">
        <v>0</v>
      </c>
      <c r="AE1696">
        <v>1</v>
      </c>
      <c r="AF1696">
        <v>0</v>
      </c>
      <c r="AG1696">
        <v>0</v>
      </c>
      <c r="AH1696">
        <v>0</v>
      </c>
      <c r="AI1696">
        <v>1</v>
      </c>
      <c r="AJ1696">
        <v>0</v>
      </c>
      <c r="AK1696">
        <v>0</v>
      </c>
      <c r="AL1696">
        <v>0</v>
      </c>
      <c r="AM1696">
        <v>0</v>
      </c>
      <c r="AN1696">
        <v>39</v>
      </c>
      <c r="AO1696">
        <v>23</v>
      </c>
      <c r="AP1696">
        <f>ifood_data[[#This Row],[MntTotal]]-ifood_data[[#This Row],[MntRegularProds]]</f>
        <v>16</v>
      </c>
      <c r="AQ1696">
        <v>0</v>
      </c>
      <c r="AR1696">
        <f>IF(SUM(ifood_data[[#This Row],[Kidhome]:[Teenhome]])&gt;0,1,0)</f>
        <v>1</v>
      </c>
      <c r="AS1696" t="str">
        <f>IF(SUM(ifood_data[[#This Row],[Kidhome]:[Teenhome]])&gt;0,"Has Family","No Family")</f>
        <v>Has Family</v>
      </c>
      <c r="AT1696" t="str">
        <f>IF(ifood_data[[#This Row],[marital_Married]]=1,"Married", (IF(ifood_data[[#This Row],[marital_Single]]=1,"Single",(IF(ifood_data[[#This Row],[marital_Divorced]]=1,"Divorced",(IF(ifood_data[[#This Row],[marital_Together]]=1,"Living Together",(IF(ifood_data[[#This Row],[marital_Widow]]=1,"Widow","Other")))))))))</f>
        <v>Married</v>
      </c>
      <c r="AU1696" t="str">
        <f>IF(ifood_data[[#This Row],[education_Basic]]=1,"High School",(IF(ifood_data[[#This Row],[education_Graduation]]=1,"Undergraduate Degree",(IF(SUM(AM1696,AL1696,AI1696)&gt;0,"Master's Degree or Higher","Other")))))</f>
        <v>Master's Degree or Higher</v>
      </c>
      <c r="AV1696" t="str">
        <f>IF(ifood_data[[#All],[Income]]&gt;75000,"75K+",(IF(ifood_data[[#All],[Income]]&gt;50000,"50K-75K",(IF(ifood_data[[#All],[Income]]&gt;35000,"35K-50K","&lt;35K")))))</f>
        <v>&lt;35K</v>
      </c>
      <c r="AW1696" t="str">
        <f>IF(ifood_data[[#All],[Age]]&gt;60,"60+",(IF(ifood_data[[#All],[Age]]&gt;50,"50-60",(IF(ifood_data[[#All],[Age]]&gt;40,"40-50",(IF(ifood_data[[#All],[Age]]&gt;30,"30-40","&lt;30")))))))</f>
        <v>40-50</v>
      </c>
      <c r="AX1696">
        <f t="shared" si="104"/>
        <v>13</v>
      </c>
      <c r="AY1696">
        <f t="shared" si="105"/>
        <v>0.99999999999999978</v>
      </c>
      <c r="AZ1696">
        <f t="shared" si="106"/>
        <v>1</v>
      </c>
      <c r="BA1696">
        <f t="shared" si="107"/>
        <v>1</v>
      </c>
      <c r="BB1696">
        <f>SUM(ifood_data[[#This Row],[Recency Score]:[Monetary Score]])</f>
        <v>3</v>
      </c>
      <c r="BC1696">
        <f>(_xlfn.PERCENTRANK.INC(ifood_data[[#All],[RFM]],ifood_data[[#This Row],[RFM]],1))*10</f>
        <v>0</v>
      </c>
      <c r="BD1696" t="str">
        <f>VLOOKUP(ifood_data[[#This Row],[RFM Score]],'RFM Analysis'!$A$3:$B$14,2,FALSE)</f>
        <v>Lost</v>
      </c>
      <c r="BE1696">
        <f>'Regression Models'!$B$101+'Regression Models'!$B$102*ifood_data[[#This Row],[Income]]+'Regression Models'!$B$103*ifood_data[[#This Row],[Age]]+'Regression Models'!$B$104*ifood_data[[#This Row],[Family]]</f>
        <v>76.797815736988582</v>
      </c>
      <c r="BF1696" t="str">
        <f>IF(ifood_data[[#This Row],[AcceptedCmpOverall]]=1,"Campaign Respondent","Non-respondent")</f>
        <v>Non-respondent</v>
      </c>
    </row>
    <row r="1697" spans="1:58" x14ac:dyDescent="0.35">
      <c r="A1697">
        <v>209</v>
      </c>
      <c r="B1697">
        <v>30732</v>
      </c>
      <c r="C1697">
        <v>1</v>
      </c>
      <c r="D1697">
        <v>0</v>
      </c>
      <c r="E1697">
        <v>44</v>
      </c>
      <c r="F1697">
        <v>155</v>
      </c>
      <c r="G1697">
        <v>1</v>
      </c>
      <c r="H1697">
        <v>25</v>
      </c>
      <c r="I1697">
        <v>0</v>
      </c>
      <c r="J1697">
        <v>1</v>
      </c>
      <c r="K1697">
        <v>3</v>
      </c>
      <c r="L1697">
        <v>4</v>
      </c>
      <c r="M1697">
        <v>4</v>
      </c>
      <c r="N1697">
        <v>1</v>
      </c>
      <c r="O1697">
        <v>4</v>
      </c>
      <c r="P1697">
        <v>8</v>
      </c>
      <c r="Q1697">
        <v>0</v>
      </c>
      <c r="R1697">
        <v>0</v>
      </c>
      <c r="S1697">
        <v>0</v>
      </c>
      <c r="T1697">
        <v>0</v>
      </c>
      <c r="U1697">
        <v>0</v>
      </c>
      <c r="V1697">
        <f>IF(SUM(ifood_data[[#This Row],[AcceptedCmp1]:[AcceptedCmp5]])&gt;0,1,0)</f>
        <v>0</v>
      </c>
      <c r="W1697">
        <v>0</v>
      </c>
      <c r="X1697">
        <v>3</v>
      </c>
      <c r="Y1697">
        <v>11</v>
      </c>
      <c r="Z1697">
        <v>0</v>
      </c>
      <c r="AA1697">
        <v>40</v>
      </c>
      <c r="AB1697">
        <v>2699</v>
      </c>
      <c r="AC1697" s="28">
        <f>ifood_data[[#This Row],[Customer_Days]]/365</f>
        <v>7.3945205479452056</v>
      </c>
      <c r="AD1697">
        <v>0</v>
      </c>
      <c r="AE1697">
        <v>1</v>
      </c>
      <c r="AF1697">
        <v>0</v>
      </c>
      <c r="AG1697">
        <v>0</v>
      </c>
      <c r="AH1697">
        <v>0</v>
      </c>
      <c r="AI1697">
        <v>0</v>
      </c>
      <c r="AJ1697">
        <v>0</v>
      </c>
      <c r="AK1697">
        <v>0</v>
      </c>
      <c r="AL1697">
        <v>0</v>
      </c>
      <c r="AM1697">
        <v>1</v>
      </c>
      <c r="AN1697">
        <v>182</v>
      </c>
      <c r="AO1697">
        <v>179</v>
      </c>
      <c r="AP1697">
        <f>ifood_data[[#This Row],[MntTotal]]-ifood_data[[#This Row],[MntRegularProds]]</f>
        <v>3</v>
      </c>
      <c r="AQ1697">
        <v>0</v>
      </c>
      <c r="AR1697">
        <f>IF(SUM(ifood_data[[#This Row],[Kidhome]:[Teenhome]])&gt;0,1,0)</f>
        <v>1</v>
      </c>
      <c r="AS1697" t="str">
        <f>IF(SUM(ifood_data[[#This Row],[Kidhome]:[Teenhome]])&gt;0,"Has Family","No Family")</f>
        <v>Has Family</v>
      </c>
      <c r="AT1697" t="str">
        <f>IF(ifood_data[[#This Row],[marital_Married]]=1,"Married", (IF(ifood_data[[#This Row],[marital_Single]]=1,"Single",(IF(ifood_data[[#This Row],[marital_Divorced]]=1,"Divorced",(IF(ifood_data[[#This Row],[marital_Together]]=1,"Living Together",(IF(ifood_data[[#This Row],[marital_Widow]]=1,"Widow","Other")))))))))</f>
        <v>Married</v>
      </c>
      <c r="AU1697" t="str">
        <f>IF(ifood_data[[#This Row],[education_Basic]]=1,"High School",(IF(ifood_data[[#This Row],[education_Graduation]]=1,"Undergraduate Degree",(IF(SUM(AM1697,AL1697,AI1697)&gt;0,"Master's Degree or Higher","Other")))))</f>
        <v>Master's Degree or Higher</v>
      </c>
      <c r="AV1697" t="str">
        <f>IF(ifood_data[[#All],[Income]]&gt;75000,"75K+",(IF(ifood_data[[#All],[Income]]&gt;50000,"50K-75K",(IF(ifood_data[[#All],[Income]]&gt;35000,"35K-50K","&lt;35K")))))</f>
        <v>&lt;35K</v>
      </c>
      <c r="AW1697" t="str">
        <f>IF(ifood_data[[#All],[Age]]&gt;60,"60+",(IF(ifood_data[[#All],[Age]]&gt;50,"50-60",(IF(ifood_data[[#All],[Age]]&gt;40,"40-50",(IF(ifood_data[[#All],[Age]]&gt;30,"30-40","&lt;30")))))))</f>
        <v>30-40</v>
      </c>
      <c r="AX1697">
        <f t="shared" si="104"/>
        <v>21</v>
      </c>
      <c r="AY1697">
        <f t="shared" si="105"/>
        <v>6</v>
      </c>
      <c r="AZ1697">
        <f t="shared" si="106"/>
        <v>5</v>
      </c>
      <c r="BA1697">
        <f t="shared" si="107"/>
        <v>4</v>
      </c>
      <c r="BB1697">
        <f>SUM(ifood_data[[#This Row],[Recency Score]:[Monetary Score]])</f>
        <v>15</v>
      </c>
      <c r="BC1697">
        <f>(_xlfn.PERCENTRANK.INC(ifood_data[[#All],[RFM]],ifood_data[[#This Row],[RFM]],1))*10</f>
        <v>4</v>
      </c>
      <c r="BD1697" t="str">
        <f>VLOOKUP(ifood_data[[#This Row],[RFM Score]],'RFM Analysis'!$A$3:$B$14,2,FALSE)</f>
        <v>At Risk</v>
      </c>
      <c r="BE1697">
        <f>'Regression Models'!$B$101+'Regression Models'!$B$102*ifood_data[[#This Row],[Income]]+'Regression Models'!$B$103*ifood_data[[#This Row],[Age]]+'Regression Models'!$B$104*ifood_data[[#This Row],[Family]]</f>
        <v>75.70117209504815</v>
      </c>
      <c r="BF1697" t="str">
        <f>IF(ifood_data[[#This Row],[AcceptedCmpOverall]]=1,"Campaign Respondent","Non-respondent")</f>
        <v>Non-respondent</v>
      </c>
    </row>
    <row r="1698" spans="1:58" x14ac:dyDescent="0.35">
      <c r="A1698">
        <v>235</v>
      </c>
      <c r="B1698">
        <v>31160</v>
      </c>
      <c r="C1698">
        <v>1</v>
      </c>
      <c r="D1698">
        <v>0</v>
      </c>
      <c r="E1698">
        <v>59</v>
      </c>
      <c r="F1698">
        <v>16</v>
      </c>
      <c r="G1698">
        <v>3</v>
      </c>
      <c r="H1698">
        <v>25</v>
      </c>
      <c r="I1698">
        <v>6</v>
      </c>
      <c r="J1698">
        <v>1</v>
      </c>
      <c r="K1698">
        <v>13</v>
      </c>
      <c r="L1698">
        <v>2</v>
      </c>
      <c r="M1698">
        <v>2</v>
      </c>
      <c r="N1698">
        <v>0</v>
      </c>
      <c r="O1698">
        <v>3</v>
      </c>
      <c r="P1698">
        <v>8</v>
      </c>
      <c r="Q1698">
        <v>0</v>
      </c>
      <c r="R1698">
        <v>0</v>
      </c>
      <c r="S1698">
        <v>0</v>
      </c>
      <c r="T1698">
        <v>0</v>
      </c>
      <c r="U1698">
        <v>0</v>
      </c>
      <c r="V1698">
        <f>IF(SUM(ifood_data[[#This Row],[AcceptedCmp1]:[AcceptedCmp5]])&gt;0,1,0)</f>
        <v>0</v>
      </c>
      <c r="W1698">
        <v>0</v>
      </c>
      <c r="X1698">
        <v>3</v>
      </c>
      <c r="Y1698">
        <v>11</v>
      </c>
      <c r="Z1698">
        <v>0</v>
      </c>
      <c r="AA1698">
        <v>45</v>
      </c>
      <c r="AB1698">
        <v>2445</v>
      </c>
      <c r="AC1698" s="28">
        <f>ifood_data[[#This Row],[Customer_Days]]/365</f>
        <v>6.6986301369863011</v>
      </c>
      <c r="AD1698">
        <v>0</v>
      </c>
      <c r="AE1698">
        <v>0</v>
      </c>
      <c r="AF1698">
        <v>1</v>
      </c>
      <c r="AG1698">
        <v>0</v>
      </c>
      <c r="AH1698">
        <v>0</v>
      </c>
      <c r="AI1698">
        <v>0</v>
      </c>
      <c r="AJ1698">
        <v>0</v>
      </c>
      <c r="AK1698">
        <v>0</v>
      </c>
      <c r="AL1698">
        <v>1</v>
      </c>
      <c r="AM1698">
        <v>0</v>
      </c>
      <c r="AN1698">
        <v>51</v>
      </c>
      <c r="AO1698">
        <v>38</v>
      </c>
      <c r="AP1698">
        <f>ifood_data[[#This Row],[MntTotal]]-ifood_data[[#This Row],[MntRegularProds]]</f>
        <v>13</v>
      </c>
      <c r="AQ1698">
        <v>0</v>
      </c>
      <c r="AR1698">
        <f>IF(SUM(ifood_data[[#This Row],[Kidhome]:[Teenhome]])&gt;0,1,0)</f>
        <v>1</v>
      </c>
      <c r="AS1698" t="str">
        <f>IF(SUM(ifood_data[[#This Row],[Kidhome]:[Teenhome]])&gt;0,"Has Family","No Family")</f>
        <v>Has Family</v>
      </c>
      <c r="AT1698" t="str">
        <f>IF(ifood_data[[#This Row],[marital_Married]]=1,"Married", (IF(ifood_data[[#This Row],[marital_Single]]=1,"Single",(IF(ifood_data[[#This Row],[marital_Divorced]]=1,"Divorced",(IF(ifood_data[[#This Row],[marital_Together]]=1,"Living Together",(IF(ifood_data[[#This Row],[marital_Widow]]=1,"Widow","Other")))))))))</f>
        <v>Single</v>
      </c>
      <c r="AU1698" t="str">
        <f>IF(ifood_data[[#This Row],[education_Basic]]=1,"High School",(IF(ifood_data[[#This Row],[education_Graduation]]=1,"Undergraduate Degree",(IF(SUM(AM1698,AL1698,AI1698)&gt;0,"Master's Degree or Higher","Other")))))</f>
        <v>Master's Degree or Higher</v>
      </c>
      <c r="AV1698" t="str">
        <f>IF(ifood_data[[#All],[Income]]&gt;75000,"75K+",(IF(ifood_data[[#All],[Income]]&gt;50000,"50K-75K",(IF(ifood_data[[#All],[Income]]&gt;35000,"35K-50K","&lt;35K")))))</f>
        <v>&lt;35K</v>
      </c>
      <c r="AW1698" t="str">
        <f>IF(ifood_data[[#All],[Age]]&gt;60,"60+",(IF(ifood_data[[#All],[Age]]&gt;50,"50-60",(IF(ifood_data[[#All],[Age]]&gt;40,"40-50",(IF(ifood_data[[#All],[Age]]&gt;30,"30-40","&lt;30")))))))</f>
        <v>40-50</v>
      </c>
      <c r="AX1698">
        <f t="shared" si="104"/>
        <v>15</v>
      </c>
      <c r="AY1698">
        <f t="shared" si="105"/>
        <v>4</v>
      </c>
      <c r="AZ1698">
        <f t="shared" si="106"/>
        <v>2</v>
      </c>
      <c r="BA1698">
        <f t="shared" si="107"/>
        <v>2</v>
      </c>
      <c r="BB1698">
        <f>SUM(ifood_data[[#This Row],[Recency Score]:[Monetary Score]])</f>
        <v>8</v>
      </c>
      <c r="BC1698">
        <f>(_xlfn.PERCENTRANK.INC(ifood_data[[#All],[RFM]],ifood_data[[#This Row],[RFM]],1))*10</f>
        <v>1</v>
      </c>
      <c r="BD1698" t="str">
        <f>VLOOKUP(ifood_data[[#This Row],[RFM Score]],'RFM Analysis'!$A$3:$B$14,2,FALSE)</f>
        <v>At Risk</v>
      </c>
      <c r="BE1698">
        <f>'Regression Models'!$B$101+'Regression Models'!$B$102*ifood_data[[#This Row],[Income]]+'Regression Models'!$B$103*ifood_data[[#This Row],[Age]]+'Regression Models'!$B$104*ifood_data[[#This Row],[Family]]</f>
        <v>75.245369466165471</v>
      </c>
      <c r="BF1698" t="str">
        <f>IF(ifood_data[[#This Row],[AcceptedCmpOverall]]=1,"Campaign Respondent","Non-respondent")</f>
        <v>Non-respondent</v>
      </c>
    </row>
    <row r="1699" spans="1:58" x14ac:dyDescent="0.35">
      <c r="A1699">
        <v>114</v>
      </c>
      <c r="B1699">
        <v>30992</v>
      </c>
      <c r="C1699">
        <v>1</v>
      </c>
      <c r="D1699">
        <v>0</v>
      </c>
      <c r="E1699">
        <v>83</v>
      </c>
      <c r="F1699">
        <v>17</v>
      </c>
      <c r="G1699">
        <v>0</v>
      </c>
      <c r="H1699">
        <v>14</v>
      </c>
      <c r="I1699">
        <v>7</v>
      </c>
      <c r="J1699">
        <v>3</v>
      </c>
      <c r="K1699">
        <v>2</v>
      </c>
      <c r="L1699">
        <v>1</v>
      </c>
      <c r="M1699">
        <v>1</v>
      </c>
      <c r="N1699">
        <v>0</v>
      </c>
      <c r="O1699">
        <v>3</v>
      </c>
      <c r="P1699">
        <v>7</v>
      </c>
      <c r="Q1699">
        <v>0</v>
      </c>
      <c r="R1699">
        <v>0</v>
      </c>
      <c r="S1699">
        <v>0</v>
      </c>
      <c r="T1699">
        <v>0</v>
      </c>
      <c r="U1699">
        <v>0</v>
      </c>
      <c r="V1699">
        <f>IF(SUM(ifood_data[[#This Row],[AcceptedCmp1]:[AcceptedCmp5]])&gt;0,1,0)</f>
        <v>0</v>
      </c>
      <c r="W1699">
        <v>0</v>
      </c>
      <c r="X1699">
        <v>3</v>
      </c>
      <c r="Y1699">
        <v>11</v>
      </c>
      <c r="Z1699">
        <v>0</v>
      </c>
      <c r="AA1699">
        <v>44</v>
      </c>
      <c r="AB1699">
        <v>2592</v>
      </c>
      <c r="AC1699" s="28">
        <f>ifood_data[[#This Row],[Customer_Days]]/365</f>
        <v>7.1013698630136988</v>
      </c>
      <c r="AD1699">
        <v>1</v>
      </c>
      <c r="AE1699">
        <v>0</v>
      </c>
      <c r="AF1699">
        <v>0</v>
      </c>
      <c r="AG1699">
        <v>0</v>
      </c>
      <c r="AH1699">
        <v>0</v>
      </c>
      <c r="AI1699">
        <v>0</v>
      </c>
      <c r="AJ1699">
        <v>0</v>
      </c>
      <c r="AK1699">
        <v>1</v>
      </c>
      <c r="AL1699">
        <v>0</v>
      </c>
      <c r="AM1699">
        <v>0</v>
      </c>
      <c r="AN1699">
        <v>41</v>
      </c>
      <c r="AO1699">
        <v>39</v>
      </c>
      <c r="AP1699">
        <f>ifood_data[[#This Row],[MntTotal]]-ifood_data[[#This Row],[MntRegularProds]]</f>
        <v>2</v>
      </c>
      <c r="AQ1699">
        <v>0</v>
      </c>
      <c r="AR1699">
        <f>IF(SUM(ifood_data[[#This Row],[Kidhome]:[Teenhome]])&gt;0,1,0)</f>
        <v>1</v>
      </c>
      <c r="AS1699" t="str">
        <f>IF(SUM(ifood_data[[#This Row],[Kidhome]:[Teenhome]])&gt;0,"Has Family","No Family")</f>
        <v>Has Family</v>
      </c>
      <c r="AT1699" t="str">
        <f>IF(ifood_data[[#This Row],[marital_Married]]=1,"Married", (IF(ifood_data[[#This Row],[marital_Single]]=1,"Single",(IF(ifood_data[[#This Row],[marital_Divorced]]=1,"Divorced",(IF(ifood_data[[#This Row],[marital_Together]]=1,"Living Together",(IF(ifood_data[[#This Row],[marital_Widow]]=1,"Widow","Other")))))))))</f>
        <v>Divorced</v>
      </c>
      <c r="AU1699" t="str">
        <f>IF(ifood_data[[#This Row],[education_Basic]]=1,"High School",(IF(ifood_data[[#This Row],[education_Graduation]]=1,"Undergraduate Degree",(IF(SUM(AM1699,AL1699,AI1699)&gt;0,"Master's Degree or Higher","Other")))))</f>
        <v>Undergraduate Degree</v>
      </c>
      <c r="AV1699" t="str">
        <f>IF(ifood_data[[#All],[Income]]&gt;75000,"75K+",(IF(ifood_data[[#All],[Income]]&gt;50000,"50K-75K",(IF(ifood_data[[#All],[Income]]&gt;35000,"35K-50K","&lt;35K")))))</f>
        <v>&lt;35K</v>
      </c>
      <c r="AW1699" t="str">
        <f>IF(ifood_data[[#All],[Age]]&gt;60,"60+",(IF(ifood_data[[#All],[Age]]&gt;50,"50-60",(IF(ifood_data[[#All],[Age]]&gt;40,"40-50",(IF(ifood_data[[#All],[Age]]&gt;30,"30-40","&lt;30")))))))</f>
        <v>40-50</v>
      </c>
      <c r="AX1699">
        <f t="shared" si="104"/>
        <v>12</v>
      </c>
      <c r="AY1699">
        <f t="shared" si="105"/>
        <v>1.9999999999999996</v>
      </c>
      <c r="AZ1699">
        <f t="shared" si="106"/>
        <v>1</v>
      </c>
      <c r="BA1699">
        <f t="shared" si="107"/>
        <v>1</v>
      </c>
      <c r="BB1699">
        <f>SUM(ifood_data[[#This Row],[Recency Score]:[Monetary Score]])</f>
        <v>3.9999999999999996</v>
      </c>
      <c r="BC1699">
        <f>(_xlfn.PERCENTRANK.INC(ifood_data[[#All],[RFM]],ifood_data[[#This Row],[RFM]],1))*10</f>
        <v>0</v>
      </c>
      <c r="BD1699" t="str">
        <f>VLOOKUP(ifood_data[[#This Row],[RFM Score]],'RFM Analysis'!$A$3:$B$14,2,FALSE)</f>
        <v>Lost</v>
      </c>
      <c r="BE1699">
        <f>'Regression Models'!$B$101+'Regression Models'!$B$102*ifood_data[[#This Row],[Income]]+'Regression Models'!$B$103*ifood_data[[#This Row],[Age]]+'Regression Models'!$B$104*ifood_data[[#This Row],[Family]]</f>
        <v>73.656495496884759</v>
      </c>
      <c r="BF1699" t="str">
        <f>IF(ifood_data[[#This Row],[AcceptedCmpOverall]]=1,"Campaign Respondent","Non-respondent")</f>
        <v>Non-respondent</v>
      </c>
    </row>
    <row r="1700" spans="1:58" x14ac:dyDescent="0.35">
      <c r="A1700">
        <v>310</v>
      </c>
      <c r="B1700">
        <v>29999</v>
      </c>
      <c r="C1700">
        <v>1</v>
      </c>
      <c r="D1700">
        <v>0</v>
      </c>
      <c r="E1700">
        <v>22</v>
      </c>
      <c r="F1700">
        <v>68</v>
      </c>
      <c r="G1700">
        <v>7</v>
      </c>
      <c r="H1700">
        <v>59</v>
      </c>
      <c r="I1700">
        <v>10</v>
      </c>
      <c r="J1700">
        <v>5</v>
      </c>
      <c r="K1700">
        <v>11</v>
      </c>
      <c r="L1700">
        <v>4</v>
      </c>
      <c r="M1700">
        <v>3</v>
      </c>
      <c r="N1700">
        <v>1</v>
      </c>
      <c r="O1700">
        <v>4</v>
      </c>
      <c r="P1700">
        <v>8</v>
      </c>
      <c r="Q1700">
        <v>0</v>
      </c>
      <c r="R1700">
        <v>0</v>
      </c>
      <c r="S1700">
        <v>0</v>
      </c>
      <c r="T1700">
        <v>0</v>
      </c>
      <c r="U1700">
        <v>0</v>
      </c>
      <c r="V1700">
        <f>IF(SUM(ifood_data[[#This Row],[AcceptedCmp1]:[AcceptedCmp5]])&gt;0,1,0)</f>
        <v>0</v>
      </c>
      <c r="W1700">
        <v>0</v>
      </c>
      <c r="X1700">
        <v>3</v>
      </c>
      <c r="Y1700">
        <v>11</v>
      </c>
      <c r="Z1700">
        <v>0</v>
      </c>
      <c r="AA1700">
        <v>34</v>
      </c>
      <c r="AB1700">
        <v>2660</v>
      </c>
      <c r="AC1700" s="28">
        <f>ifood_data[[#This Row],[Customer_Days]]/365</f>
        <v>7.2876712328767121</v>
      </c>
      <c r="AD1700">
        <v>0</v>
      </c>
      <c r="AE1700">
        <v>0</v>
      </c>
      <c r="AF1700">
        <v>1</v>
      </c>
      <c r="AG1700">
        <v>0</v>
      </c>
      <c r="AH1700">
        <v>0</v>
      </c>
      <c r="AI1700">
        <v>0</v>
      </c>
      <c r="AJ1700">
        <v>0</v>
      </c>
      <c r="AK1700">
        <v>0</v>
      </c>
      <c r="AL1700">
        <v>0</v>
      </c>
      <c r="AM1700">
        <v>1</v>
      </c>
      <c r="AN1700">
        <v>149</v>
      </c>
      <c r="AO1700">
        <v>138</v>
      </c>
      <c r="AP1700">
        <f>ifood_data[[#This Row],[MntTotal]]-ifood_data[[#This Row],[MntRegularProds]]</f>
        <v>11</v>
      </c>
      <c r="AQ1700">
        <v>0</v>
      </c>
      <c r="AR1700">
        <f>IF(SUM(ifood_data[[#This Row],[Kidhome]:[Teenhome]])&gt;0,1,0)</f>
        <v>1</v>
      </c>
      <c r="AS1700" t="str">
        <f>IF(SUM(ifood_data[[#This Row],[Kidhome]:[Teenhome]])&gt;0,"Has Family","No Family")</f>
        <v>Has Family</v>
      </c>
      <c r="AT1700" t="str">
        <f>IF(ifood_data[[#This Row],[marital_Married]]=1,"Married", (IF(ifood_data[[#This Row],[marital_Single]]=1,"Single",(IF(ifood_data[[#This Row],[marital_Divorced]]=1,"Divorced",(IF(ifood_data[[#This Row],[marital_Together]]=1,"Living Together",(IF(ifood_data[[#This Row],[marital_Widow]]=1,"Widow","Other")))))))))</f>
        <v>Single</v>
      </c>
      <c r="AU1700" t="str">
        <f>IF(ifood_data[[#This Row],[education_Basic]]=1,"High School",(IF(ifood_data[[#This Row],[education_Graduation]]=1,"Undergraduate Degree",(IF(SUM(AM1700,AL1700,AI1700)&gt;0,"Master's Degree or Higher","Other")))))</f>
        <v>Master's Degree or Higher</v>
      </c>
      <c r="AV1700" t="str">
        <f>IF(ifood_data[[#All],[Income]]&gt;75000,"75K+",(IF(ifood_data[[#All],[Income]]&gt;50000,"50K-75K",(IF(ifood_data[[#All],[Income]]&gt;35000,"35K-50K","&lt;35K")))))</f>
        <v>&lt;35K</v>
      </c>
      <c r="AW1700" t="str">
        <f>IF(ifood_data[[#All],[Age]]&gt;60,"60+",(IF(ifood_data[[#All],[Age]]&gt;50,"50-60",(IF(ifood_data[[#All],[Age]]&gt;40,"40-50",(IF(ifood_data[[#All],[Age]]&gt;30,"30-40","&lt;30")))))))</f>
        <v>30-40</v>
      </c>
      <c r="AX1700">
        <f t="shared" si="104"/>
        <v>20</v>
      </c>
      <c r="AY1700">
        <f t="shared" si="105"/>
        <v>8</v>
      </c>
      <c r="AZ1700">
        <f t="shared" si="106"/>
        <v>4</v>
      </c>
      <c r="BA1700">
        <f t="shared" si="107"/>
        <v>3</v>
      </c>
      <c r="BB1700">
        <f>SUM(ifood_data[[#This Row],[Recency Score]:[Monetary Score]])</f>
        <v>15</v>
      </c>
      <c r="BC1700">
        <f>(_xlfn.PERCENTRANK.INC(ifood_data[[#All],[RFM]],ifood_data[[#This Row],[RFM]],1))*10</f>
        <v>4</v>
      </c>
      <c r="BD1700" t="str">
        <f>VLOOKUP(ifood_data[[#This Row],[RFM Score]],'RFM Analysis'!$A$3:$B$14,2,FALSE)</f>
        <v>At Risk</v>
      </c>
      <c r="BE1700">
        <f>'Regression Models'!$B$101+'Regression Models'!$B$102*ifood_data[[#This Row],[Income]]+'Regression Models'!$B$103*ifood_data[[#This Row],[Age]]+'Regression Models'!$B$104*ifood_data[[#This Row],[Family]]</f>
        <v>71.774839518935948</v>
      </c>
      <c r="BF1700" t="str">
        <f>IF(ifood_data[[#This Row],[AcceptedCmpOverall]]=1,"Campaign Respondent","Non-respondent")</f>
        <v>Non-respondent</v>
      </c>
    </row>
    <row r="1701" spans="1:58" x14ac:dyDescent="0.35">
      <c r="A1701">
        <v>1333</v>
      </c>
      <c r="B1701">
        <v>31163</v>
      </c>
      <c r="C1701">
        <v>1</v>
      </c>
      <c r="D1701">
        <v>0</v>
      </c>
      <c r="E1701">
        <v>54</v>
      </c>
      <c r="F1701">
        <v>2</v>
      </c>
      <c r="G1701">
        <v>3</v>
      </c>
      <c r="H1701">
        <v>10</v>
      </c>
      <c r="I1701">
        <v>11</v>
      </c>
      <c r="J1701">
        <v>2</v>
      </c>
      <c r="K1701">
        <v>10</v>
      </c>
      <c r="L1701">
        <v>1</v>
      </c>
      <c r="M1701">
        <v>1</v>
      </c>
      <c r="N1701">
        <v>0</v>
      </c>
      <c r="O1701">
        <v>3</v>
      </c>
      <c r="P1701">
        <v>6</v>
      </c>
      <c r="Q1701">
        <v>0</v>
      </c>
      <c r="R1701">
        <v>0</v>
      </c>
      <c r="S1701">
        <v>0</v>
      </c>
      <c r="T1701">
        <v>0</v>
      </c>
      <c r="U1701">
        <v>0</v>
      </c>
      <c r="V1701">
        <f>IF(SUM(ifood_data[[#This Row],[AcceptedCmp1]:[AcceptedCmp5]])&gt;0,1,0)</f>
        <v>0</v>
      </c>
      <c r="W1701">
        <v>0</v>
      </c>
      <c r="X1701">
        <v>3</v>
      </c>
      <c r="Y1701">
        <v>11</v>
      </c>
      <c r="Z1701">
        <v>0</v>
      </c>
      <c r="AA1701">
        <v>47</v>
      </c>
      <c r="AB1701">
        <v>2295</v>
      </c>
      <c r="AC1701" s="28">
        <f>ifood_data[[#This Row],[Customer_Days]]/365</f>
        <v>6.2876712328767121</v>
      </c>
      <c r="AD1701">
        <v>1</v>
      </c>
      <c r="AE1701">
        <v>0</v>
      </c>
      <c r="AF1701">
        <v>0</v>
      </c>
      <c r="AG1701">
        <v>0</v>
      </c>
      <c r="AH1701">
        <v>0</v>
      </c>
      <c r="AI1701">
        <v>1</v>
      </c>
      <c r="AJ1701">
        <v>0</v>
      </c>
      <c r="AK1701">
        <v>0</v>
      </c>
      <c r="AL1701">
        <v>0</v>
      </c>
      <c r="AM1701">
        <v>0</v>
      </c>
      <c r="AN1701">
        <v>28</v>
      </c>
      <c r="AO1701">
        <v>18</v>
      </c>
      <c r="AP1701">
        <f>ifood_data[[#This Row],[MntTotal]]-ifood_data[[#This Row],[MntRegularProds]]</f>
        <v>10</v>
      </c>
      <c r="AQ1701">
        <v>0</v>
      </c>
      <c r="AR1701">
        <f>IF(SUM(ifood_data[[#This Row],[Kidhome]:[Teenhome]])&gt;0,1,0)</f>
        <v>1</v>
      </c>
      <c r="AS1701" t="str">
        <f>IF(SUM(ifood_data[[#This Row],[Kidhome]:[Teenhome]])&gt;0,"Has Family","No Family")</f>
        <v>Has Family</v>
      </c>
      <c r="AT1701" t="str">
        <f>IF(ifood_data[[#This Row],[marital_Married]]=1,"Married", (IF(ifood_data[[#This Row],[marital_Single]]=1,"Single",(IF(ifood_data[[#This Row],[marital_Divorced]]=1,"Divorced",(IF(ifood_data[[#This Row],[marital_Together]]=1,"Living Together",(IF(ifood_data[[#This Row],[marital_Widow]]=1,"Widow","Other")))))))))</f>
        <v>Divorced</v>
      </c>
      <c r="AU1701" t="str">
        <f>IF(ifood_data[[#This Row],[education_Basic]]=1,"High School",(IF(ifood_data[[#This Row],[education_Graduation]]=1,"Undergraduate Degree",(IF(SUM(AM1701,AL1701,AI1701)&gt;0,"Master's Degree or Higher","Other")))))</f>
        <v>Master's Degree or Higher</v>
      </c>
      <c r="AV1701" t="str">
        <f>IF(ifood_data[[#All],[Income]]&gt;75000,"75K+",(IF(ifood_data[[#All],[Income]]&gt;50000,"50K-75K",(IF(ifood_data[[#All],[Income]]&gt;35000,"35K-50K","&lt;35K")))))</f>
        <v>&lt;35K</v>
      </c>
      <c r="AW1701" t="str">
        <f>IF(ifood_data[[#All],[Age]]&gt;60,"60+",(IF(ifood_data[[#All],[Age]]&gt;50,"50-60",(IF(ifood_data[[#All],[Age]]&gt;40,"40-50",(IF(ifood_data[[#All],[Age]]&gt;30,"30-40","&lt;30")))))))</f>
        <v>40-50</v>
      </c>
      <c r="AX1701">
        <f t="shared" si="104"/>
        <v>11</v>
      </c>
      <c r="AY1701">
        <f t="shared" si="105"/>
        <v>5</v>
      </c>
      <c r="AZ1701">
        <f t="shared" si="106"/>
        <v>0</v>
      </c>
      <c r="BA1701">
        <f t="shared" si="107"/>
        <v>0</v>
      </c>
      <c r="BB1701">
        <f>SUM(ifood_data[[#This Row],[Recency Score]:[Monetary Score]])</f>
        <v>5</v>
      </c>
      <c r="BC1701">
        <f>(_xlfn.PERCENTRANK.INC(ifood_data[[#All],[RFM]],ifood_data[[#This Row],[RFM]],1))*10</f>
        <v>0</v>
      </c>
      <c r="BD1701" t="str">
        <f>VLOOKUP(ifood_data[[#This Row],[RFM Score]],'RFM Analysis'!$A$3:$B$14,2,FALSE)</f>
        <v>Lost</v>
      </c>
      <c r="BE1701">
        <f>'Regression Models'!$B$101+'Regression Models'!$B$102*ifood_data[[#This Row],[Income]]+'Regression Models'!$B$103*ifood_data[[#This Row],[Age]]+'Regression Models'!$B$104*ifood_data[[#This Row],[Family]]</f>
        <v>71.633657612808634</v>
      </c>
      <c r="BF1701" t="str">
        <f>IF(ifood_data[[#This Row],[AcceptedCmpOverall]]=1,"Campaign Respondent","Non-respondent")</f>
        <v>Non-respondent</v>
      </c>
    </row>
    <row r="1702" spans="1:58" x14ac:dyDescent="0.35">
      <c r="A1702">
        <v>823</v>
      </c>
      <c r="B1702">
        <v>30545</v>
      </c>
      <c r="C1702">
        <v>1</v>
      </c>
      <c r="D1702">
        <v>0</v>
      </c>
      <c r="E1702">
        <v>71</v>
      </c>
      <c r="F1702">
        <v>4</v>
      </c>
      <c r="G1702">
        <v>12</v>
      </c>
      <c r="H1702">
        <v>15</v>
      </c>
      <c r="I1702">
        <v>19</v>
      </c>
      <c r="J1702">
        <v>7</v>
      </c>
      <c r="K1702">
        <v>12</v>
      </c>
      <c r="L1702">
        <v>2</v>
      </c>
      <c r="M1702">
        <v>2</v>
      </c>
      <c r="N1702">
        <v>0</v>
      </c>
      <c r="O1702">
        <v>3</v>
      </c>
      <c r="P1702">
        <v>7</v>
      </c>
      <c r="Q1702">
        <v>0</v>
      </c>
      <c r="R1702">
        <v>0</v>
      </c>
      <c r="S1702">
        <v>0</v>
      </c>
      <c r="T1702">
        <v>0</v>
      </c>
      <c r="U1702">
        <v>0</v>
      </c>
      <c r="V1702">
        <f>IF(SUM(ifood_data[[#This Row],[AcceptedCmp1]:[AcceptedCmp5]])&gt;0,1,0)</f>
        <v>0</v>
      </c>
      <c r="W1702">
        <v>0</v>
      </c>
      <c r="X1702">
        <v>3</v>
      </c>
      <c r="Y1702">
        <v>11</v>
      </c>
      <c r="Z1702">
        <v>0</v>
      </c>
      <c r="AA1702">
        <v>41</v>
      </c>
      <c r="AB1702">
        <v>2779</v>
      </c>
      <c r="AC1702" s="28">
        <f>ifood_data[[#This Row],[Customer_Days]]/365</f>
        <v>7.6136986301369864</v>
      </c>
      <c r="AD1702">
        <v>0</v>
      </c>
      <c r="AE1702">
        <v>0</v>
      </c>
      <c r="AF1702">
        <v>0</v>
      </c>
      <c r="AG1702">
        <v>1</v>
      </c>
      <c r="AH1702">
        <v>0</v>
      </c>
      <c r="AI1702">
        <v>0</v>
      </c>
      <c r="AJ1702">
        <v>0</v>
      </c>
      <c r="AK1702">
        <v>1</v>
      </c>
      <c r="AL1702">
        <v>0</v>
      </c>
      <c r="AM1702">
        <v>0</v>
      </c>
      <c r="AN1702">
        <v>57</v>
      </c>
      <c r="AO1702">
        <v>45</v>
      </c>
      <c r="AP1702">
        <f>ifood_data[[#This Row],[MntTotal]]-ifood_data[[#This Row],[MntRegularProds]]</f>
        <v>12</v>
      </c>
      <c r="AQ1702">
        <v>0</v>
      </c>
      <c r="AR1702">
        <f>IF(SUM(ifood_data[[#This Row],[Kidhome]:[Teenhome]])&gt;0,1,0)</f>
        <v>1</v>
      </c>
      <c r="AS1702" t="str">
        <f>IF(SUM(ifood_data[[#This Row],[Kidhome]:[Teenhome]])&gt;0,"Has Family","No Family")</f>
        <v>Has Family</v>
      </c>
      <c r="AT1702" t="str">
        <f>IF(ifood_data[[#This Row],[marital_Married]]=1,"Married", (IF(ifood_data[[#This Row],[marital_Single]]=1,"Single",(IF(ifood_data[[#This Row],[marital_Divorced]]=1,"Divorced",(IF(ifood_data[[#This Row],[marital_Together]]=1,"Living Together",(IF(ifood_data[[#This Row],[marital_Widow]]=1,"Widow","Other")))))))))</f>
        <v>Living Together</v>
      </c>
      <c r="AU1702" t="str">
        <f>IF(ifood_data[[#This Row],[education_Basic]]=1,"High School",(IF(ifood_data[[#This Row],[education_Graduation]]=1,"Undergraduate Degree",(IF(SUM(AM1702,AL1702,AI1702)&gt;0,"Master's Degree or Higher","Other")))))</f>
        <v>Undergraduate Degree</v>
      </c>
      <c r="AV1702" t="str">
        <f>IF(ifood_data[[#All],[Income]]&gt;75000,"75K+",(IF(ifood_data[[#All],[Income]]&gt;50000,"50K-75K",(IF(ifood_data[[#All],[Income]]&gt;35000,"35K-50K","&lt;35K")))))</f>
        <v>&lt;35K</v>
      </c>
      <c r="AW1702" t="str">
        <f>IF(ifood_data[[#All],[Age]]&gt;60,"60+",(IF(ifood_data[[#All],[Age]]&gt;50,"50-60",(IF(ifood_data[[#All],[Age]]&gt;40,"40-50",(IF(ifood_data[[#All],[Age]]&gt;30,"30-40","&lt;30")))))))</f>
        <v>40-50</v>
      </c>
      <c r="AX1702">
        <f t="shared" si="104"/>
        <v>14</v>
      </c>
      <c r="AY1702">
        <f t="shared" si="105"/>
        <v>3.0000000000000004</v>
      </c>
      <c r="AZ1702">
        <f t="shared" si="106"/>
        <v>2</v>
      </c>
      <c r="BA1702">
        <f t="shared" si="107"/>
        <v>2</v>
      </c>
      <c r="BB1702">
        <f>SUM(ifood_data[[#This Row],[Recency Score]:[Monetary Score]])</f>
        <v>7</v>
      </c>
      <c r="BC1702">
        <f>(_xlfn.PERCENTRANK.INC(ifood_data[[#All],[RFM]],ifood_data[[#This Row],[RFM]],1))*10</f>
        <v>1</v>
      </c>
      <c r="BD1702" t="str">
        <f>VLOOKUP(ifood_data[[#This Row],[RFM Score]],'RFM Analysis'!$A$3:$B$14,2,FALSE)</f>
        <v>At Risk</v>
      </c>
      <c r="BE1702">
        <f>'Regression Models'!$B$101+'Regression Models'!$B$102*ifood_data[[#This Row],[Income]]+'Regression Models'!$B$103*ifood_data[[#This Row],[Age]]+'Regression Models'!$B$104*ifood_data[[#This Row],[Family]]</f>
        <v>70.05203337324474</v>
      </c>
      <c r="BF1702" t="str">
        <f>IF(ifood_data[[#This Row],[AcceptedCmpOverall]]=1,"Campaign Respondent","Non-respondent")</f>
        <v>Non-respondent</v>
      </c>
    </row>
    <row r="1703" spans="1:58" x14ac:dyDescent="0.35">
      <c r="A1703">
        <v>774</v>
      </c>
      <c r="B1703">
        <v>30772</v>
      </c>
      <c r="C1703">
        <v>1</v>
      </c>
      <c r="D1703">
        <v>1</v>
      </c>
      <c r="E1703">
        <v>89</v>
      </c>
      <c r="F1703">
        <v>7</v>
      </c>
      <c r="G1703">
        <v>2</v>
      </c>
      <c r="H1703">
        <v>4</v>
      </c>
      <c r="I1703">
        <v>2</v>
      </c>
      <c r="J1703">
        <v>1</v>
      </c>
      <c r="K1703">
        <v>4</v>
      </c>
      <c r="L1703">
        <v>1</v>
      </c>
      <c r="M1703">
        <v>1</v>
      </c>
      <c r="N1703">
        <v>0</v>
      </c>
      <c r="O1703">
        <v>2</v>
      </c>
      <c r="P1703">
        <v>6</v>
      </c>
      <c r="Q1703">
        <v>0</v>
      </c>
      <c r="R1703">
        <v>0</v>
      </c>
      <c r="S1703">
        <v>0</v>
      </c>
      <c r="T1703">
        <v>0</v>
      </c>
      <c r="U1703">
        <v>0</v>
      </c>
      <c r="V1703">
        <f>IF(SUM(ifood_data[[#This Row],[AcceptedCmp1]:[AcceptedCmp5]])&gt;0,1,0)</f>
        <v>0</v>
      </c>
      <c r="W1703">
        <v>0</v>
      </c>
      <c r="X1703">
        <v>3</v>
      </c>
      <c r="Y1703">
        <v>11</v>
      </c>
      <c r="Z1703">
        <v>0</v>
      </c>
      <c r="AA1703">
        <v>44</v>
      </c>
      <c r="AB1703">
        <v>2268</v>
      </c>
      <c r="AC1703" s="28">
        <f>ifood_data[[#This Row],[Customer_Days]]/365</f>
        <v>6.2136986301369861</v>
      </c>
      <c r="AD1703">
        <v>0</v>
      </c>
      <c r="AE1703">
        <v>1</v>
      </c>
      <c r="AF1703">
        <v>0</v>
      </c>
      <c r="AG1703">
        <v>0</v>
      </c>
      <c r="AH1703">
        <v>0</v>
      </c>
      <c r="AI1703">
        <v>0</v>
      </c>
      <c r="AJ1703">
        <v>0</v>
      </c>
      <c r="AK1703">
        <v>1</v>
      </c>
      <c r="AL1703">
        <v>0</v>
      </c>
      <c r="AM1703">
        <v>0</v>
      </c>
      <c r="AN1703">
        <v>16</v>
      </c>
      <c r="AO1703">
        <v>12</v>
      </c>
      <c r="AP1703">
        <f>ifood_data[[#This Row],[MntTotal]]-ifood_data[[#This Row],[MntRegularProds]]</f>
        <v>4</v>
      </c>
      <c r="AQ1703">
        <v>0</v>
      </c>
      <c r="AR1703">
        <f>IF(SUM(ifood_data[[#This Row],[Kidhome]:[Teenhome]])&gt;0,1,0)</f>
        <v>1</v>
      </c>
      <c r="AS1703" t="str">
        <f>IF(SUM(ifood_data[[#This Row],[Kidhome]:[Teenhome]])&gt;0,"Has Family","No Family")</f>
        <v>Has Family</v>
      </c>
      <c r="AT1703" t="str">
        <f>IF(ifood_data[[#This Row],[marital_Married]]=1,"Married", (IF(ifood_data[[#This Row],[marital_Single]]=1,"Single",(IF(ifood_data[[#This Row],[marital_Divorced]]=1,"Divorced",(IF(ifood_data[[#This Row],[marital_Together]]=1,"Living Together",(IF(ifood_data[[#This Row],[marital_Widow]]=1,"Widow","Other")))))))))</f>
        <v>Married</v>
      </c>
      <c r="AU1703" t="str">
        <f>IF(ifood_data[[#This Row],[education_Basic]]=1,"High School",(IF(ifood_data[[#This Row],[education_Graduation]]=1,"Undergraduate Degree",(IF(SUM(AM1703,AL1703,AI1703)&gt;0,"Master's Degree or Higher","Other")))))</f>
        <v>Undergraduate Degree</v>
      </c>
      <c r="AV1703" t="str">
        <f>IF(ifood_data[[#All],[Income]]&gt;75000,"75K+",(IF(ifood_data[[#All],[Income]]&gt;50000,"50K-75K",(IF(ifood_data[[#All],[Income]]&gt;35000,"35K-50K","&lt;35K")))))</f>
        <v>&lt;35K</v>
      </c>
      <c r="AW1703" t="str">
        <f>IF(ifood_data[[#All],[Age]]&gt;60,"60+",(IF(ifood_data[[#All],[Age]]&gt;50,"50-60",(IF(ifood_data[[#All],[Age]]&gt;40,"40-50",(IF(ifood_data[[#All],[Age]]&gt;30,"30-40","&lt;30")))))))</f>
        <v>40-50</v>
      </c>
      <c r="AX1703">
        <f t="shared" si="104"/>
        <v>10</v>
      </c>
      <c r="AY1703">
        <f t="shared" si="105"/>
        <v>1.9999999999999996</v>
      </c>
      <c r="AZ1703">
        <f t="shared" si="106"/>
        <v>0</v>
      </c>
      <c r="BA1703">
        <f t="shared" si="107"/>
        <v>0</v>
      </c>
      <c r="BB1703">
        <f>SUM(ifood_data[[#This Row],[Recency Score]:[Monetary Score]])</f>
        <v>1.9999999999999996</v>
      </c>
      <c r="BC1703">
        <f>(_xlfn.PERCENTRANK.INC(ifood_data[[#All],[RFM]],ifood_data[[#This Row],[RFM]],1))*10</f>
        <v>0</v>
      </c>
      <c r="BD1703" t="str">
        <f>VLOOKUP(ifood_data[[#This Row],[RFM Score]],'RFM Analysis'!$A$3:$B$14,2,FALSE)</f>
        <v>Lost</v>
      </c>
      <c r="BE1703">
        <f>'Regression Models'!$B$101+'Regression Models'!$B$102*ifood_data[[#This Row],[Income]]+'Regression Models'!$B$103*ifood_data[[#This Row],[Age]]+'Regression Models'!$B$104*ifood_data[[#This Row],[Family]]</f>
        <v>69.170966505227057</v>
      </c>
      <c r="BF1703" t="str">
        <f>IF(ifood_data[[#This Row],[AcceptedCmpOverall]]=1,"Campaign Respondent","Non-respondent")</f>
        <v>Non-respondent</v>
      </c>
    </row>
    <row r="1704" spans="1:58" x14ac:dyDescent="0.35">
      <c r="A1704">
        <v>236</v>
      </c>
      <c r="B1704">
        <v>29938</v>
      </c>
      <c r="C1704">
        <v>1</v>
      </c>
      <c r="D1704">
        <v>0</v>
      </c>
      <c r="E1704">
        <v>52</v>
      </c>
      <c r="F1704">
        <v>3</v>
      </c>
      <c r="G1704">
        <v>3</v>
      </c>
      <c r="H1704">
        <v>7</v>
      </c>
      <c r="I1704">
        <v>0</v>
      </c>
      <c r="J1704">
        <v>2</v>
      </c>
      <c r="K1704">
        <v>11</v>
      </c>
      <c r="L1704">
        <v>2</v>
      </c>
      <c r="M1704">
        <v>1</v>
      </c>
      <c r="N1704">
        <v>0</v>
      </c>
      <c r="O1704">
        <v>3</v>
      </c>
      <c r="P1704">
        <v>6</v>
      </c>
      <c r="Q1704">
        <v>0</v>
      </c>
      <c r="R1704">
        <v>0</v>
      </c>
      <c r="S1704">
        <v>0</v>
      </c>
      <c r="T1704">
        <v>0</v>
      </c>
      <c r="U1704">
        <v>0</v>
      </c>
      <c r="V1704">
        <f>IF(SUM(ifood_data[[#This Row],[AcceptedCmp1]:[AcceptedCmp5]])&gt;0,1,0)</f>
        <v>0</v>
      </c>
      <c r="W1704">
        <v>0</v>
      </c>
      <c r="X1704">
        <v>3</v>
      </c>
      <c r="Y1704">
        <v>11</v>
      </c>
      <c r="Z1704">
        <v>0</v>
      </c>
      <c r="AA1704">
        <v>35</v>
      </c>
      <c r="AB1704">
        <v>2404</v>
      </c>
      <c r="AC1704" s="28">
        <f>ifood_data[[#This Row],[Customer_Days]]/365</f>
        <v>6.5863013698630137</v>
      </c>
      <c r="AD1704">
        <v>0</v>
      </c>
      <c r="AE1704">
        <v>0</v>
      </c>
      <c r="AF1704">
        <v>1</v>
      </c>
      <c r="AG1704">
        <v>0</v>
      </c>
      <c r="AH1704">
        <v>0</v>
      </c>
      <c r="AI1704">
        <v>0</v>
      </c>
      <c r="AJ1704">
        <v>0</v>
      </c>
      <c r="AK1704">
        <v>1</v>
      </c>
      <c r="AL1704">
        <v>0</v>
      </c>
      <c r="AM1704">
        <v>0</v>
      </c>
      <c r="AN1704">
        <v>15</v>
      </c>
      <c r="AO1704">
        <v>4</v>
      </c>
      <c r="AP1704">
        <f>ifood_data[[#This Row],[MntTotal]]-ifood_data[[#This Row],[MntRegularProds]]</f>
        <v>11</v>
      </c>
      <c r="AQ1704">
        <v>0</v>
      </c>
      <c r="AR1704">
        <f>IF(SUM(ifood_data[[#This Row],[Kidhome]:[Teenhome]])&gt;0,1,0)</f>
        <v>1</v>
      </c>
      <c r="AS1704" t="str">
        <f>IF(SUM(ifood_data[[#This Row],[Kidhome]:[Teenhome]])&gt;0,"Has Family","No Family")</f>
        <v>Has Family</v>
      </c>
      <c r="AT1704" t="str">
        <f>IF(ifood_data[[#This Row],[marital_Married]]=1,"Married", (IF(ifood_data[[#This Row],[marital_Single]]=1,"Single",(IF(ifood_data[[#This Row],[marital_Divorced]]=1,"Divorced",(IF(ifood_data[[#This Row],[marital_Together]]=1,"Living Together",(IF(ifood_data[[#This Row],[marital_Widow]]=1,"Widow","Other")))))))))</f>
        <v>Single</v>
      </c>
      <c r="AU1704" t="str">
        <f>IF(ifood_data[[#This Row],[education_Basic]]=1,"High School",(IF(ifood_data[[#This Row],[education_Graduation]]=1,"Undergraduate Degree",(IF(SUM(AM1704,AL1704,AI1704)&gt;0,"Master's Degree or Higher","Other")))))</f>
        <v>Undergraduate Degree</v>
      </c>
      <c r="AV1704" t="str">
        <f>IF(ifood_data[[#All],[Income]]&gt;75000,"75K+",(IF(ifood_data[[#All],[Income]]&gt;50000,"50K-75K",(IF(ifood_data[[#All],[Income]]&gt;35000,"35K-50K","&lt;35K")))))</f>
        <v>&lt;35K</v>
      </c>
      <c r="AW1704" t="str">
        <f>IF(ifood_data[[#All],[Age]]&gt;60,"60+",(IF(ifood_data[[#All],[Age]]&gt;50,"50-60",(IF(ifood_data[[#All],[Age]]&gt;40,"40-50",(IF(ifood_data[[#All],[Age]]&gt;30,"30-40","&lt;30")))))))</f>
        <v>30-40</v>
      </c>
      <c r="AX1704">
        <f t="shared" si="104"/>
        <v>12</v>
      </c>
      <c r="AY1704">
        <f t="shared" si="105"/>
        <v>5</v>
      </c>
      <c r="AZ1704">
        <f t="shared" si="106"/>
        <v>1</v>
      </c>
      <c r="BA1704">
        <f t="shared" si="107"/>
        <v>0</v>
      </c>
      <c r="BB1704">
        <f>SUM(ifood_data[[#This Row],[Recency Score]:[Monetary Score]])</f>
        <v>6</v>
      </c>
      <c r="BC1704">
        <f>(_xlfn.PERCENTRANK.INC(ifood_data[[#All],[RFM]],ifood_data[[#This Row],[RFM]],1))*10</f>
        <v>0</v>
      </c>
      <c r="BD1704" t="str">
        <f>VLOOKUP(ifood_data[[#This Row],[RFM Score]],'RFM Analysis'!$A$3:$B$14,2,FALSE)</f>
        <v>Lost</v>
      </c>
      <c r="BE1704">
        <f>'Regression Models'!$B$101+'Regression Models'!$B$102*ifood_data[[#This Row],[Income]]+'Regression Models'!$B$103*ifood_data[[#This Row],[Age]]+'Regression Models'!$B$104*ifood_data[[#This Row],[Family]]</f>
        <v>68.694685583263833</v>
      </c>
      <c r="BF1704" t="str">
        <f>IF(ifood_data[[#This Row],[AcceptedCmpOverall]]=1,"Campaign Respondent","Non-respondent")</f>
        <v>Non-respondent</v>
      </c>
    </row>
    <row r="1705" spans="1:58" x14ac:dyDescent="0.35">
      <c r="A1705">
        <v>86</v>
      </c>
      <c r="B1705">
        <v>30096</v>
      </c>
      <c r="C1705">
        <v>1</v>
      </c>
      <c r="D1705">
        <v>0</v>
      </c>
      <c r="E1705">
        <v>30</v>
      </c>
      <c r="F1705">
        <v>5</v>
      </c>
      <c r="G1705">
        <v>3</v>
      </c>
      <c r="H1705">
        <v>11</v>
      </c>
      <c r="I1705">
        <v>12</v>
      </c>
      <c r="J1705">
        <v>5</v>
      </c>
      <c r="K1705">
        <v>9</v>
      </c>
      <c r="L1705">
        <v>1</v>
      </c>
      <c r="M1705">
        <v>2</v>
      </c>
      <c r="N1705">
        <v>0</v>
      </c>
      <c r="O1705">
        <v>3</v>
      </c>
      <c r="P1705">
        <v>6</v>
      </c>
      <c r="Q1705">
        <v>0</v>
      </c>
      <c r="R1705">
        <v>0</v>
      </c>
      <c r="S1705">
        <v>0</v>
      </c>
      <c r="T1705">
        <v>0</v>
      </c>
      <c r="U1705">
        <v>0</v>
      </c>
      <c r="V1705">
        <f>IF(SUM(ifood_data[[#This Row],[AcceptedCmp1]:[AcceptedCmp5]])&gt;0,1,0)</f>
        <v>0</v>
      </c>
      <c r="W1705">
        <v>0</v>
      </c>
      <c r="X1705">
        <v>3</v>
      </c>
      <c r="Y1705">
        <v>11</v>
      </c>
      <c r="Z1705">
        <v>0</v>
      </c>
      <c r="AA1705">
        <v>37</v>
      </c>
      <c r="AB1705">
        <v>2197</v>
      </c>
      <c r="AC1705" s="28">
        <f>ifood_data[[#This Row],[Customer_Days]]/365</f>
        <v>6.0191780821917806</v>
      </c>
      <c r="AD1705">
        <v>0</v>
      </c>
      <c r="AE1705">
        <v>1</v>
      </c>
      <c r="AF1705">
        <v>0</v>
      </c>
      <c r="AG1705">
        <v>0</v>
      </c>
      <c r="AH1705">
        <v>0</v>
      </c>
      <c r="AI1705">
        <v>0</v>
      </c>
      <c r="AJ1705">
        <v>0</v>
      </c>
      <c r="AK1705">
        <v>1</v>
      </c>
      <c r="AL1705">
        <v>0</v>
      </c>
      <c r="AM1705">
        <v>0</v>
      </c>
      <c r="AN1705">
        <v>36</v>
      </c>
      <c r="AO1705">
        <v>27</v>
      </c>
      <c r="AP1705">
        <f>ifood_data[[#This Row],[MntTotal]]-ifood_data[[#This Row],[MntRegularProds]]</f>
        <v>9</v>
      </c>
      <c r="AQ1705">
        <v>0</v>
      </c>
      <c r="AR1705">
        <f>IF(SUM(ifood_data[[#This Row],[Kidhome]:[Teenhome]])&gt;0,1,0)</f>
        <v>1</v>
      </c>
      <c r="AS1705" t="str">
        <f>IF(SUM(ifood_data[[#This Row],[Kidhome]:[Teenhome]])&gt;0,"Has Family","No Family")</f>
        <v>Has Family</v>
      </c>
      <c r="AT1705" t="str">
        <f>IF(ifood_data[[#This Row],[marital_Married]]=1,"Married", (IF(ifood_data[[#This Row],[marital_Single]]=1,"Single",(IF(ifood_data[[#This Row],[marital_Divorced]]=1,"Divorced",(IF(ifood_data[[#This Row],[marital_Together]]=1,"Living Together",(IF(ifood_data[[#This Row],[marital_Widow]]=1,"Widow","Other")))))))))</f>
        <v>Married</v>
      </c>
      <c r="AU1705" t="str">
        <f>IF(ifood_data[[#This Row],[education_Basic]]=1,"High School",(IF(ifood_data[[#This Row],[education_Graduation]]=1,"Undergraduate Degree",(IF(SUM(AM1705,AL1705,AI1705)&gt;0,"Master's Degree or Higher","Other")))))</f>
        <v>Undergraduate Degree</v>
      </c>
      <c r="AV1705" t="str">
        <f>IF(ifood_data[[#All],[Income]]&gt;75000,"75K+",(IF(ifood_data[[#All],[Income]]&gt;50000,"50K-75K",(IF(ifood_data[[#All],[Income]]&gt;35000,"35K-50K","&lt;35K")))))</f>
        <v>&lt;35K</v>
      </c>
      <c r="AW1705" t="str">
        <f>IF(ifood_data[[#All],[Age]]&gt;60,"60+",(IF(ifood_data[[#All],[Age]]&gt;50,"50-60",(IF(ifood_data[[#All],[Age]]&gt;40,"40-50",(IF(ifood_data[[#All],[Age]]&gt;30,"30-40","&lt;30")))))))</f>
        <v>30-40</v>
      </c>
      <c r="AX1705">
        <f t="shared" si="104"/>
        <v>12</v>
      </c>
      <c r="AY1705">
        <f t="shared" si="105"/>
        <v>7</v>
      </c>
      <c r="AZ1705">
        <f t="shared" si="106"/>
        <v>1</v>
      </c>
      <c r="BA1705">
        <f t="shared" si="107"/>
        <v>1</v>
      </c>
      <c r="BB1705">
        <f>SUM(ifood_data[[#This Row],[Recency Score]:[Monetary Score]])</f>
        <v>9</v>
      </c>
      <c r="BC1705">
        <f>(_xlfn.PERCENTRANK.INC(ifood_data[[#All],[RFM]],ifood_data[[#This Row],[RFM]],1))*10</f>
        <v>1</v>
      </c>
      <c r="BD1705" t="str">
        <f>VLOOKUP(ifood_data[[#This Row],[RFM Score]],'RFM Analysis'!$A$3:$B$14,2,FALSE)</f>
        <v>At Risk</v>
      </c>
      <c r="BE1705">
        <f>'Regression Models'!$B$101+'Regression Models'!$B$102*ifood_data[[#This Row],[Income]]+'Regression Models'!$B$103*ifood_data[[#This Row],[Age]]+'Regression Models'!$B$104*ifood_data[[#This Row],[Family]]</f>
        <v>68.243232792211359</v>
      </c>
      <c r="BF1705" t="str">
        <f>IF(ifood_data[[#This Row],[AcceptedCmpOverall]]=1,"Campaign Respondent","Non-respondent")</f>
        <v>Non-respondent</v>
      </c>
    </row>
    <row r="1706" spans="1:58" x14ac:dyDescent="0.35">
      <c r="A1706">
        <v>240</v>
      </c>
      <c r="B1706">
        <v>30899</v>
      </c>
      <c r="C1706">
        <v>1</v>
      </c>
      <c r="D1706">
        <v>0</v>
      </c>
      <c r="E1706">
        <v>35</v>
      </c>
      <c r="F1706">
        <v>24</v>
      </c>
      <c r="G1706">
        <v>0</v>
      </c>
      <c r="H1706">
        <v>8</v>
      </c>
      <c r="I1706">
        <v>0</v>
      </c>
      <c r="J1706">
        <v>0</v>
      </c>
      <c r="K1706">
        <v>1</v>
      </c>
      <c r="L1706">
        <v>2</v>
      </c>
      <c r="M1706">
        <v>1</v>
      </c>
      <c r="N1706">
        <v>0</v>
      </c>
      <c r="O1706">
        <v>3</v>
      </c>
      <c r="P1706">
        <v>6</v>
      </c>
      <c r="Q1706">
        <v>0</v>
      </c>
      <c r="R1706">
        <v>0</v>
      </c>
      <c r="S1706">
        <v>0</v>
      </c>
      <c r="T1706">
        <v>0</v>
      </c>
      <c r="U1706">
        <v>0</v>
      </c>
      <c r="V1706">
        <f>IF(SUM(ifood_data[[#This Row],[AcceptedCmp1]:[AcceptedCmp5]])&gt;0,1,0)</f>
        <v>0</v>
      </c>
      <c r="W1706">
        <v>0</v>
      </c>
      <c r="X1706">
        <v>3</v>
      </c>
      <c r="Y1706">
        <v>11</v>
      </c>
      <c r="Z1706">
        <v>0</v>
      </c>
      <c r="AA1706">
        <v>46</v>
      </c>
      <c r="AB1706">
        <v>2783</v>
      </c>
      <c r="AC1706" s="28">
        <f>ifood_data[[#This Row],[Customer_Days]]/365</f>
        <v>7.624657534246575</v>
      </c>
      <c r="AD1706">
        <v>0</v>
      </c>
      <c r="AE1706">
        <v>0</v>
      </c>
      <c r="AF1706">
        <v>1</v>
      </c>
      <c r="AG1706">
        <v>0</v>
      </c>
      <c r="AH1706">
        <v>0</v>
      </c>
      <c r="AI1706">
        <v>0</v>
      </c>
      <c r="AJ1706">
        <v>0</v>
      </c>
      <c r="AK1706">
        <v>0</v>
      </c>
      <c r="AL1706">
        <v>0</v>
      </c>
      <c r="AM1706">
        <v>1</v>
      </c>
      <c r="AN1706">
        <v>32</v>
      </c>
      <c r="AO1706">
        <v>31</v>
      </c>
      <c r="AP1706">
        <f>ifood_data[[#This Row],[MntTotal]]-ifood_data[[#This Row],[MntRegularProds]]</f>
        <v>1</v>
      </c>
      <c r="AQ1706">
        <v>0</v>
      </c>
      <c r="AR1706">
        <f>IF(SUM(ifood_data[[#This Row],[Kidhome]:[Teenhome]])&gt;0,1,0)</f>
        <v>1</v>
      </c>
      <c r="AS1706" t="str">
        <f>IF(SUM(ifood_data[[#This Row],[Kidhome]:[Teenhome]])&gt;0,"Has Family","No Family")</f>
        <v>Has Family</v>
      </c>
      <c r="AT1706" t="str">
        <f>IF(ifood_data[[#This Row],[marital_Married]]=1,"Married", (IF(ifood_data[[#This Row],[marital_Single]]=1,"Single",(IF(ifood_data[[#This Row],[marital_Divorced]]=1,"Divorced",(IF(ifood_data[[#This Row],[marital_Together]]=1,"Living Together",(IF(ifood_data[[#This Row],[marital_Widow]]=1,"Widow","Other")))))))))</f>
        <v>Single</v>
      </c>
      <c r="AU1706" t="str">
        <f>IF(ifood_data[[#This Row],[education_Basic]]=1,"High School",(IF(ifood_data[[#This Row],[education_Graduation]]=1,"Undergraduate Degree",(IF(SUM(AM1706,AL1706,AI1706)&gt;0,"Master's Degree or Higher","Other")))))</f>
        <v>Master's Degree or Higher</v>
      </c>
      <c r="AV1706" t="str">
        <f>IF(ifood_data[[#All],[Income]]&gt;75000,"75K+",(IF(ifood_data[[#All],[Income]]&gt;50000,"50K-75K",(IF(ifood_data[[#All],[Income]]&gt;35000,"35K-50K","&lt;35K")))))</f>
        <v>&lt;35K</v>
      </c>
      <c r="AW1706" t="str">
        <f>IF(ifood_data[[#All],[Age]]&gt;60,"60+",(IF(ifood_data[[#All],[Age]]&gt;50,"50-60",(IF(ifood_data[[#All],[Age]]&gt;40,"40-50",(IF(ifood_data[[#All],[Age]]&gt;30,"30-40","&lt;30")))))))</f>
        <v>40-50</v>
      </c>
      <c r="AX1706">
        <f t="shared" si="104"/>
        <v>12</v>
      </c>
      <c r="AY1706">
        <f t="shared" si="105"/>
        <v>7</v>
      </c>
      <c r="AZ1706">
        <f t="shared" si="106"/>
        <v>1</v>
      </c>
      <c r="BA1706">
        <f t="shared" si="107"/>
        <v>1</v>
      </c>
      <c r="BB1706">
        <f>SUM(ifood_data[[#This Row],[Recency Score]:[Monetary Score]])</f>
        <v>9</v>
      </c>
      <c r="BC1706">
        <f>(_xlfn.PERCENTRANK.INC(ifood_data[[#All],[RFM]],ifood_data[[#This Row],[RFM]],1))*10</f>
        <v>1</v>
      </c>
      <c r="BD1706" t="str">
        <f>VLOOKUP(ifood_data[[#This Row],[RFM Score]],'RFM Analysis'!$A$3:$B$14,2,FALSE)</f>
        <v>At Risk</v>
      </c>
      <c r="BE1706">
        <f>'Regression Models'!$B$101+'Regression Models'!$B$102*ifood_data[[#This Row],[Income]]+'Regression Models'!$B$103*ifood_data[[#This Row],[Age]]+'Regression Models'!$B$104*ifood_data[[#This Row],[Family]]</f>
        <v>68.087461901713596</v>
      </c>
      <c r="BF1706" t="str">
        <f>IF(ifood_data[[#This Row],[AcceptedCmpOverall]]=1,"Campaign Respondent","Non-respondent")</f>
        <v>Non-respondent</v>
      </c>
    </row>
    <row r="1707" spans="1:58" x14ac:dyDescent="0.35">
      <c r="A1707">
        <v>580</v>
      </c>
      <c r="B1707">
        <v>30801</v>
      </c>
      <c r="C1707">
        <v>0</v>
      </c>
      <c r="D1707">
        <v>1</v>
      </c>
      <c r="E1707">
        <v>23</v>
      </c>
      <c r="F1707">
        <v>8</v>
      </c>
      <c r="G1707">
        <v>4</v>
      </c>
      <c r="H1707">
        <v>5</v>
      </c>
      <c r="I1707">
        <v>15</v>
      </c>
      <c r="J1707">
        <v>2</v>
      </c>
      <c r="K1707">
        <v>11</v>
      </c>
      <c r="L1707">
        <v>2</v>
      </c>
      <c r="M1707">
        <v>1</v>
      </c>
      <c r="N1707">
        <v>0</v>
      </c>
      <c r="O1707">
        <v>3</v>
      </c>
      <c r="P1707">
        <v>7</v>
      </c>
      <c r="Q1707">
        <v>0</v>
      </c>
      <c r="R1707">
        <v>0</v>
      </c>
      <c r="S1707">
        <v>0</v>
      </c>
      <c r="T1707">
        <v>0</v>
      </c>
      <c r="U1707">
        <v>0</v>
      </c>
      <c r="V1707">
        <f>IF(SUM(ifood_data[[#This Row],[AcceptedCmp1]:[AcceptedCmp5]])&gt;0,1,0)</f>
        <v>0</v>
      </c>
      <c r="W1707">
        <v>0</v>
      </c>
      <c r="X1707">
        <v>3</v>
      </c>
      <c r="Y1707">
        <v>11</v>
      </c>
      <c r="Z1707">
        <v>0</v>
      </c>
      <c r="AA1707">
        <v>45</v>
      </c>
      <c r="AB1707">
        <v>2770</v>
      </c>
      <c r="AC1707" s="28">
        <f>ifood_data[[#This Row],[Customer_Days]]/365</f>
        <v>7.5890410958904111</v>
      </c>
      <c r="AD1707">
        <v>0</v>
      </c>
      <c r="AE1707">
        <v>1</v>
      </c>
      <c r="AF1707">
        <v>0</v>
      </c>
      <c r="AG1707">
        <v>0</v>
      </c>
      <c r="AH1707">
        <v>0</v>
      </c>
      <c r="AI1707">
        <v>0</v>
      </c>
      <c r="AJ1707">
        <v>1</v>
      </c>
      <c r="AK1707">
        <v>0</v>
      </c>
      <c r="AL1707">
        <v>0</v>
      </c>
      <c r="AM1707">
        <v>0</v>
      </c>
      <c r="AN1707">
        <v>34</v>
      </c>
      <c r="AO1707">
        <v>23</v>
      </c>
      <c r="AP1707">
        <f>ifood_data[[#This Row],[MntTotal]]-ifood_data[[#This Row],[MntRegularProds]]</f>
        <v>11</v>
      </c>
      <c r="AQ1707">
        <v>0</v>
      </c>
      <c r="AR1707">
        <f>IF(SUM(ifood_data[[#This Row],[Kidhome]:[Teenhome]])&gt;0,1,0)</f>
        <v>1</v>
      </c>
      <c r="AS1707" t="str">
        <f>IF(SUM(ifood_data[[#This Row],[Kidhome]:[Teenhome]])&gt;0,"Has Family","No Family")</f>
        <v>Has Family</v>
      </c>
      <c r="AT1707" t="str">
        <f>IF(ifood_data[[#This Row],[marital_Married]]=1,"Married", (IF(ifood_data[[#This Row],[marital_Single]]=1,"Single",(IF(ifood_data[[#This Row],[marital_Divorced]]=1,"Divorced",(IF(ifood_data[[#This Row],[marital_Together]]=1,"Living Together",(IF(ifood_data[[#This Row],[marital_Widow]]=1,"Widow","Other")))))))))</f>
        <v>Married</v>
      </c>
      <c r="AU1707" t="str">
        <f>IF(ifood_data[[#This Row],[education_Basic]]=1,"High School",(IF(ifood_data[[#This Row],[education_Graduation]]=1,"Undergraduate Degree",(IF(SUM(AM1707,AL1707,AI1707)&gt;0,"Master's Degree or Higher","Other")))))</f>
        <v>High School</v>
      </c>
      <c r="AV1707" t="str">
        <f>IF(ifood_data[[#All],[Income]]&gt;75000,"75K+",(IF(ifood_data[[#All],[Income]]&gt;50000,"50K-75K",(IF(ifood_data[[#All],[Income]]&gt;35000,"35K-50K","&lt;35K")))))</f>
        <v>&lt;35K</v>
      </c>
      <c r="AW1707" t="str">
        <f>IF(ifood_data[[#All],[Age]]&gt;60,"60+",(IF(ifood_data[[#All],[Age]]&gt;50,"50-60",(IF(ifood_data[[#All],[Age]]&gt;40,"40-50",(IF(ifood_data[[#All],[Age]]&gt;30,"30-40","&lt;30")))))))</f>
        <v>40-50</v>
      </c>
      <c r="AX1707">
        <f t="shared" si="104"/>
        <v>13</v>
      </c>
      <c r="AY1707">
        <f t="shared" si="105"/>
        <v>8</v>
      </c>
      <c r="AZ1707">
        <f t="shared" si="106"/>
        <v>1</v>
      </c>
      <c r="BA1707">
        <f t="shared" si="107"/>
        <v>1</v>
      </c>
      <c r="BB1707">
        <f>SUM(ifood_data[[#This Row],[Recency Score]:[Monetary Score]])</f>
        <v>10</v>
      </c>
      <c r="BC1707">
        <f>(_xlfn.PERCENTRANK.INC(ifood_data[[#All],[RFM]],ifood_data[[#This Row],[RFM]],1))*10</f>
        <v>2</v>
      </c>
      <c r="BD1707" t="str">
        <f>VLOOKUP(ifood_data[[#This Row],[RFM Score]],'RFM Analysis'!$A$3:$B$14,2,FALSE)</f>
        <v>At Risk</v>
      </c>
      <c r="BE1707">
        <f>'Regression Models'!$B$101+'Regression Models'!$B$102*ifood_data[[#This Row],[Income]]+'Regression Models'!$B$103*ifood_data[[#This Row],[Age]]+'Regression Models'!$B$104*ifood_data[[#This Row],[Family]]</f>
        <v>67.925801702505851</v>
      </c>
      <c r="BF1707" t="str">
        <f>IF(ifood_data[[#This Row],[AcceptedCmpOverall]]=1,"Campaign Respondent","Non-respondent")</f>
        <v>Non-respondent</v>
      </c>
    </row>
    <row r="1708" spans="1:58" x14ac:dyDescent="0.35">
      <c r="A1708">
        <v>192</v>
      </c>
      <c r="B1708">
        <v>29604</v>
      </c>
      <c r="C1708">
        <v>1</v>
      </c>
      <c r="D1708">
        <v>0</v>
      </c>
      <c r="E1708">
        <v>88</v>
      </c>
      <c r="F1708">
        <v>7</v>
      </c>
      <c r="G1708">
        <v>6</v>
      </c>
      <c r="H1708">
        <v>13</v>
      </c>
      <c r="I1708">
        <v>7</v>
      </c>
      <c r="J1708">
        <v>6</v>
      </c>
      <c r="K1708">
        <v>14</v>
      </c>
      <c r="L1708">
        <v>1</v>
      </c>
      <c r="M1708">
        <v>1</v>
      </c>
      <c r="N1708">
        <v>0</v>
      </c>
      <c r="O1708">
        <v>3</v>
      </c>
      <c r="P1708">
        <v>9</v>
      </c>
      <c r="Q1708">
        <v>0</v>
      </c>
      <c r="R1708">
        <v>0</v>
      </c>
      <c r="S1708">
        <v>1</v>
      </c>
      <c r="T1708">
        <v>0</v>
      </c>
      <c r="U1708">
        <v>0</v>
      </c>
      <c r="V1708">
        <f>IF(SUM(ifood_data[[#This Row],[AcceptedCmp1]:[AcceptedCmp5]])&gt;0,1,0)</f>
        <v>1</v>
      </c>
      <c r="W1708">
        <v>0</v>
      </c>
      <c r="X1708">
        <v>3</v>
      </c>
      <c r="Y1708">
        <v>11</v>
      </c>
      <c r="Z1708">
        <v>0</v>
      </c>
      <c r="AA1708">
        <v>32</v>
      </c>
      <c r="AB1708">
        <v>2362</v>
      </c>
      <c r="AC1708" s="28">
        <f>ifood_data[[#This Row],[Customer_Days]]/365</f>
        <v>6.4712328767123291</v>
      </c>
      <c r="AD1708">
        <v>0</v>
      </c>
      <c r="AE1708">
        <v>0</v>
      </c>
      <c r="AF1708">
        <v>0</v>
      </c>
      <c r="AG1708">
        <v>1</v>
      </c>
      <c r="AH1708">
        <v>0</v>
      </c>
      <c r="AI1708">
        <v>0</v>
      </c>
      <c r="AJ1708">
        <v>0</v>
      </c>
      <c r="AK1708">
        <v>1</v>
      </c>
      <c r="AL1708">
        <v>0</v>
      </c>
      <c r="AM1708">
        <v>0</v>
      </c>
      <c r="AN1708">
        <v>39</v>
      </c>
      <c r="AO1708">
        <v>25</v>
      </c>
      <c r="AP1708">
        <f>ifood_data[[#This Row],[MntTotal]]-ifood_data[[#This Row],[MntRegularProds]]</f>
        <v>14</v>
      </c>
      <c r="AQ1708">
        <v>1</v>
      </c>
      <c r="AR1708">
        <f>IF(SUM(ifood_data[[#This Row],[Kidhome]:[Teenhome]])&gt;0,1,0)</f>
        <v>1</v>
      </c>
      <c r="AS1708" t="str">
        <f>IF(SUM(ifood_data[[#This Row],[Kidhome]:[Teenhome]])&gt;0,"Has Family","No Family")</f>
        <v>Has Family</v>
      </c>
      <c r="AT1708" t="str">
        <f>IF(ifood_data[[#This Row],[marital_Married]]=1,"Married", (IF(ifood_data[[#This Row],[marital_Single]]=1,"Single",(IF(ifood_data[[#This Row],[marital_Divorced]]=1,"Divorced",(IF(ifood_data[[#This Row],[marital_Together]]=1,"Living Together",(IF(ifood_data[[#This Row],[marital_Widow]]=1,"Widow","Other")))))))))</f>
        <v>Living Together</v>
      </c>
      <c r="AU1708" t="str">
        <f>IF(ifood_data[[#This Row],[education_Basic]]=1,"High School",(IF(ifood_data[[#This Row],[education_Graduation]]=1,"Undergraduate Degree",(IF(SUM(AM1708,AL1708,AI1708)&gt;0,"Master's Degree or Higher","Other")))))</f>
        <v>Undergraduate Degree</v>
      </c>
      <c r="AV1708" t="str">
        <f>IF(ifood_data[[#All],[Income]]&gt;75000,"75K+",(IF(ifood_data[[#All],[Income]]&gt;50000,"50K-75K",(IF(ifood_data[[#All],[Income]]&gt;35000,"35K-50K","&lt;35K")))))</f>
        <v>&lt;35K</v>
      </c>
      <c r="AW1708" t="str">
        <f>IF(ifood_data[[#All],[Age]]&gt;60,"60+",(IF(ifood_data[[#All],[Age]]&gt;50,"50-60",(IF(ifood_data[[#All],[Age]]&gt;40,"40-50",(IF(ifood_data[[#All],[Age]]&gt;30,"30-40","&lt;30")))))))</f>
        <v>30-40</v>
      </c>
      <c r="AX1708">
        <f t="shared" si="104"/>
        <v>14</v>
      </c>
      <c r="AY1708">
        <f t="shared" si="105"/>
        <v>1.9999999999999996</v>
      </c>
      <c r="AZ1708">
        <f t="shared" si="106"/>
        <v>2</v>
      </c>
      <c r="BA1708">
        <f t="shared" si="107"/>
        <v>1</v>
      </c>
      <c r="BB1708">
        <f>SUM(ifood_data[[#This Row],[Recency Score]:[Monetary Score]])</f>
        <v>5</v>
      </c>
      <c r="BC1708">
        <f>(_xlfn.PERCENTRANK.INC(ifood_data[[#All],[RFM]],ifood_data[[#This Row],[RFM]],1))*10</f>
        <v>0</v>
      </c>
      <c r="BD1708" t="str">
        <f>VLOOKUP(ifood_data[[#This Row],[RFM Score]],'RFM Analysis'!$A$3:$B$14,2,FALSE)</f>
        <v>Lost</v>
      </c>
      <c r="BE1708">
        <f>'Regression Models'!$B$101+'Regression Models'!$B$102*ifood_data[[#This Row],[Income]]+'Regression Models'!$B$103*ifood_data[[#This Row],[Age]]+'Regression Models'!$B$104*ifood_data[[#This Row],[Family]]</f>
        <v>67.394154259884488</v>
      </c>
      <c r="BF1708" t="str">
        <f>IF(ifood_data[[#This Row],[AcceptedCmpOverall]]=1,"Campaign Respondent","Non-respondent")</f>
        <v>Campaign Respondent</v>
      </c>
    </row>
    <row r="1709" spans="1:58" x14ac:dyDescent="0.35">
      <c r="A1709">
        <v>1871</v>
      </c>
      <c r="B1709">
        <v>32871</v>
      </c>
      <c r="C1709">
        <v>1</v>
      </c>
      <c r="D1709">
        <v>1</v>
      </c>
      <c r="E1709">
        <v>28</v>
      </c>
      <c r="F1709">
        <v>22</v>
      </c>
      <c r="G1709">
        <v>2</v>
      </c>
      <c r="H1709">
        <v>12</v>
      </c>
      <c r="I1709">
        <v>0</v>
      </c>
      <c r="J1709">
        <v>2</v>
      </c>
      <c r="K1709">
        <v>5</v>
      </c>
      <c r="L1709">
        <v>1</v>
      </c>
      <c r="M1709">
        <v>1</v>
      </c>
      <c r="N1709">
        <v>0</v>
      </c>
      <c r="O1709">
        <v>3</v>
      </c>
      <c r="P1709">
        <v>4</v>
      </c>
      <c r="Q1709">
        <v>0</v>
      </c>
      <c r="R1709">
        <v>0</v>
      </c>
      <c r="S1709">
        <v>0</v>
      </c>
      <c r="T1709">
        <v>0</v>
      </c>
      <c r="U1709">
        <v>0</v>
      </c>
      <c r="V1709">
        <f>IF(SUM(ifood_data[[#This Row],[AcceptedCmp1]:[AcceptedCmp5]])&gt;0,1,0)</f>
        <v>0</v>
      </c>
      <c r="W1709">
        <v>0</v>
      </c>
      <c r="X1709">
        <v>3</v>
      </c>
      <c r="Y1709">
        <v>11</v>
      </c>
      <c r="Z1709">
        <v>0</v>
      </c>
      <c r="AA1709">
        <v>69</v>
      </c>
      <c r="AB1709">
        <v>2636</v>
      </c>
      <c r="AC1709" s="28">
        <f>ifood_data[[#This Row],[Customer_Days]]/365</f>
        <v>7.2219178082191782</v>
      </c>
      <c r="AD1709">
        <v>0</v>
      </c>
      <c r="AE1709">
        <v>1</v>
      </c>
      <c r="AF1709">
        <v>0</v>
      </c>
      <c r="AG1709">
        <v>0</v>
      </c>
      <c r="AH1709">
        <v>0</v>
      </c>
      <c r="AI1709">
        <v>0</v>
      </c>
      <c r="AJ1709">
        <v>0</v>
      </c>
      <c r="AK1709">
        <v>1</v>
      </c>
      <c r="AL1709">
        <v>0</v>
      </c>
      <c r="AM1709">
        <v>0</v>
      </c>
      <c r="AN1709">
        <v>38</v>
      </c>
      <c r="AO1709">
        <v>33</v>
      </c>
      <c r="AP1709">
        <f>ifood_data[[#This Row],[MntTotal]]-ifood_data[[#This Row],[MntRegularProds]]</f>
        <v>5</v>
      </c>
      <c r="AQ1709">
        <v>0</v>
      </c>
      <c r="AR1709">
        <f>IF(SUM(ifood_data[[#This Row],[Kidhome]:[Teenhome]])&gt;0,1,0)</f>
        <v>1</v>
      </c>
      <c r="AS1709" t="str">
        <f>IF(SUM(ifood_data[[#This Row],[Kidhome]:[Teenhome]])&gt;0,"Has Family","No Family")</f>
        <v>Has Family</v>
      </c>
      <c r="AT1709" t="str">
        <f>IF(ifood_data[[#This Row],[marital_Married]]=1,"Married", (IF(ifood_data[[#This Row],[marital_Single]]=1,"Single",(IF(ifood_data[[#This Row],[marital_Divorced]]=1,"Divorced",(IF(ifood_data[[#This Row],[marital_Together]]=1,"Living Together",(IF(ifood_data[[#This Row],[marital_Widow]]=1,"Widow","Other")))))))))</f>
        <v>Married</v>
      </c>
      <c r="AU1709" t="str">
        <f>IF(ifood_data[[#This Row],[education_Basic]]=1,"High School",(IF(ifood_data[[#This Row],[education_Graduation]]=1,"Undergraduate Degree",(IF(SUM(AM1709,AL1709,AI1709)&gt;0,"Master's Degree or Higher","Other")))))</f>
        <v>Undergraduate Degree</v>
      </c>
      <c r="AV1709" t="str">
        <f>IF(ifood_data[[#All],[Income]]&gt;75000,"75K+",(IF(ifood_data[[#All],[Income]]&gt;50000,"50K-75K",(IF(ifood_data[[#All],[Income]]&gt;35000,"35K-50K","&lt;35K")))))</f>
        <v>&lt;35K</v>
      </c>
      <c r="AW1709" t="str">
        <f>IF(ifood_data[[#All],[Age]]&gt;60,"60+",(IF(ifood_data[[#All],[Age]]&gt;50,"50-60",(IF(ifood_data[[#All],[Age]]&gt;40,"40-50",(IF(ifood_data[[#All],[Age]]&gt;30,"30-40","&lt;30")))))))</f>
        <v>60+</v>
      </c>
      <c r="AX1709">
        <f t="shared" si="104"/>
        <v>9</v>
      </c>
      <c r="AY1709">
        <f t="shared" si="105"/>
        <v>8</v>
      </c>
      <c r="AZ1709">
        <f t="shared" si="106"/>
        <v>0</v>
      </c>
      <c r="BA1709">
        <f t="shared" si="107"/>
        <v>1</v>
      </c>
      <c r="BB1709">
        <f>SUM(ifood_data[[#This Row],[Recency Score]:[Monetary Score]])</f>
        <v>9</v>
      </c>
      <c r="BC1709">
        <f>(_xlfn.PERCENTRANK.INC(ifood_data[[#All],[RFM]],ifood_data[[#This Row],[RFM]],1))*10</f>
        <v>1</v>
      </c>
      <c r="BD1709" t="str">
        <f>VLOOKUP(ifood_data[[#This Row],[RFM Score]],'RFM Analysis'!$A$3:$B$14,2,FALSE)</f>
        <v>At Risk</v>
      </c>
      <c r="BE1709">
        <f>'Regression Models'!$B$101+'Regression Models'!$B$102*ifood_data[[#This Row],[Income]]+'Regression Models'!$B$103*ifood_data[[#This Row],[Age]]+'Regression Models'!$B$104*ifood_data[[#This Row],[Family]]</f>
        <v>66.056013866913872</v>
      </c>
      <c r="BF1709" t="str">
        <f>IF(ifood_data[[#This Row],[AcceptedCmpOverall]]=1,"Campaign Respondent","Non-respondent")</f>
        <v>Non-respondent</v>
      </c>
    </row>
    <row r="1710" spans="1:58" x14ac:dyDescent="0.35">
      <c r="A1710">
        <v>230</v>
      </c>
      <c r="B1710">
        <v>31686</v>
      </c>
      <c r="C1710">
        <v>1</v>
      </c>
      <c r="D1710">
        <v>1</v>
      </c>
      <c r="E1710">
        <v>31</v>
      </c>
      <c r="F1710">
        <v>11</v>
      </c>
      <c r="G1710">
        <v>0</v>
      </c>
      <c r="H1710">
        <v>5</v>
      </c>
      <c r="I1710">
        <v>0</v>
      </c>
      <c r="J1710">
        <v>0</v>
      </c>
      <c r="K1710">
        <v>1</v>
      </c>
      <c r="L1710">
        <v>2</v>
      </c>
      <c r="M1710">
        <v>1</v>
      </c>
      <c r="N1710">
        <v>0</v>
      </c>
      <c r="O1710">
        <v>3</v>
      </c>
      <c r="P1710">
        <v>6</v>
      </c>
      <c r="Q1710">
        <v>0</v>
      </c>
      <c r="R1710">
        <v>0</v>
      </c>
      <c r="S1710">
        <v>0</v>
      </c>
      <c r="T1710">
        <v>0</v>
      </c>
      <c r="U1710">
        <v>0</v>
      </c>
      <c r="V1710">
        <f>IF(SUM(ifood_data[[#This Row],[AcceptedCmp1]:[AcceptedCmp5]])&gt;0,1,0)</f>
        <v>0</v>
      </c>
      <c r="W1710">
        <v>0</v>
      </c>
      <c r="X1710">
        <v>3</v>
      </c>
      <c r="Y1710">
        <v>11</v>
      </c>
      <c r="Z1710">
        <v>0</v>
      </c>
      <c r="AA1710">
        <v>56</v>
      </c>
      <c r="AB1710">
        <v>2183</v>
      </c>
      <c r="AC1710" s="28">
        <f>ifood_data[[#This Row],[Customer_Days]]/365</f>
        <v>5.9808219178082194</v>
      </c>
      <c r="AD1710">
        <v>0</v>
      </c>
      <c r="AE1710">
        <v>1</v>
      </c>
      <c r="AF1710">
        <v>0</v>
      </c>
      <c r="AG1710">
        <v>0</v>
      </c>
      <c r="AH1710">
        <v>0</v>
      </c>
      <c r="AI1710">
        <v>0</v>
      </c>
      <c r="AJ1710">
        <v>0</v>
      </c>
      <c r="AK1710">
        <v>0</v>
      </c>
      <c r="AL1710">
        <v>0</v>
      </c>
      <c r="AM1710">
        <v>1</v>
      </c>
      <c r="AN1710">
        <v>16</v>
      </c>
      <c r="AO1710">
        <v>15</v>
      </c>
      <c r="AP1710">
        <f>ifood_data[[#This Row],[MntTotal]]-ifood_data[[#This Row],[MntRegularProds]]</f>
        <v>1</v>
      </c>
      <c r="AQ1710">
        <v>0</v>
      </c>
      <c r="AR1710">
        <f>IF(SUM(ifood_data[[#This Row],[Kidhome]:[Teenhome]])&gt;0,1,0)</f>
        <v>1</v>
      </c>
      <c r="AS1710" t="str">
        <f>IF(SUM(ifood_data[[#This Row],[Kidhome]:[Teenhome]])&gt;0,"Has Family","No Family")</f>
        <v>Has Family</v>
      </c>
      <c r="AT1710" t="str">
        <f>IF(ifood_data[[#This Row],[marital_Married]]=1,"Married", (IF(ifood_data[[#This Row],[marital_Single]]=1,"Single",(IF(ifood_data[[#This Row],[marital_Divorced]]=1,"Divorced",(IF(ifood_data[[#This Row],[marital_Together]]=1,"Living Together",(IF(ifood_data[[#This Row],[marital_Widow]]=1,"Widow","Other")))))))))</f>
        <v>Married</v>
      </c>
      <c r="AU1710" t="str">
        <f>IF(ifood_data[[#This Row],[education_Basic]]=1,"High School",(IF(ifood_data[[#This Row],[education_Graduation]]=1,"Undergraduate Degree",(IF(SUM(AM1710,AL1710,AI1710)&gt;0,"Master's Degree or Higher","Other")))))</f>
        <v>Master's Degree or Higher</v>
      </c>
      <c r="AV1710" t="str">
        <f>IF(ifood_data[[#All],[Income]]&gt;75000,"75K+",(IF(ifood_data[[#All],[Income]]&gt;50000,"50K-75K",(IF(ifood_data[[#All],[Income]]&gt;35000,"35K-50K","&lt;35K")))))</f>
        <v>&lt;35K</v>
      </c>
      <c r="AW1710" t="str">
        <f>IF(ifood_data[[#All],[Age]]&gt;60,"60+",(IF(ifood_data[[#All],[Age]]&gt;50,"50-60",(IF(ifood_data[[#All],[Age]]&gt;40,"40-50",(IF(ifood_data[[#All],[Age]]&gt;30,"30-40","&lt;30")))))))</f>
        <v>50-60</v>
      </c>
      <c r="AX1710">
        <f t="shared" si="104"/>
        <v>12</v>
      </c>
      <c r="AY1710">
        <f t="shared" si="105"/>
        <v>7</v>
      </c>
      <c r="AZ1710">
        <f t="shared" si="106"/>
        <v>1</v>
      </c>
      <c r="BA1710">
        <f t="shared" si="107"/>
        <v>0</v>
      </c>
      <c r="BB1710">
        <f>SUM(ifood_data[[#This Row],[Recency Score]:[Monetary Score]])</f>
        <v>8</v>
      </c>
      <c r="BC1710">
        <f>(_xlfn.PERCENTRANK.INC(ifood_data[[#All],[RFM]],ifood_data[[#This Row],[RFM]],1))*10</f>
        <v>1</v>
      </c>
      <c r="BD1710" t="str">
        <f>VLOOKUP(ifood_data[[#This Row],[RFM Score]],'RFM Analysis'!$A$3:$B$14,2,FALSE)</f>
        <v>At Risk</v>
      </c>
      <c r="BE1710">
        <f>'Regression Models'!$B$101+'Regression Models'!$B$102*ifood_data[[#This Row],[Income]]+'Regression Models'!$B$103*ifood_data[[#This Row],[Age]]+'Regression Models'!$B$104*ifood_data[[#This Row],[Family]]</f>
        <v>65.769031642019286</v>
      </c>
      <c r="BF1710" t="str">
        <f>IF(ifood_data[[#This Row],[AcceptedCmpOverall]]=1,"Campaign Respondent","Non-respondent")</f>
        <v>Non-respondent</v>
      </c>
    </row>
    <row r="1711" spans="1:58" x14ac:dyDescent="0.35">
      <c r="A1711">
        <v>75</v>
      </c>
      <c r="B1711">
        <v>29760</v>
      </c>
      <c r="C1711">
        <v>1</v>
      </c>
      <c r="D1711">
        <v>0</v>
      </c>
      <c r="E1711">
        <v>87</v>
      </c>
      <c r="F1711">
        <v>64</v>
      </c>
      <c r="G1711">
        <v>4</v>
      </c>
      <c r="H1711">
        <v>68</v>
      </c>
      <c r="I1711">
        <v>7</v>
      </c>
      <c r="J1711">
        <v>5</v>
      </c>
      <c r="K1711">
        <v>17</v>
      </c>
      <c r="L1711">
        <v>4</v>
      </c>
      <c r="M1711">
        <v>3</v>
      </c>
      <c r="N1711">
        <v>1</v>
      </c>
      <c r="O1711">
        <v>4</v>
      </c>
      <c r="P1711">
        <v>8</v>
      </c>
      <c r="Q1711">
        <v>0</v>
      </c>
      <c r="R1711">
        <v>0</v>
      </c>
      <c r="S1711">
        <v>0</v>
      </c>
      <c r="T1711">
        <v>0</v>
      </c>
      <c r="U1711">
        <v>0</v>
      </c>
      <c r="V1711">
        <f>IF(SUM(ifood_data[[#This Row],[AcceptedCmp1]:[AcceptedCmp5]])&gt;0,1,0)</f>
        <v>0</v>
      </c>
      <c r="W1711">
        <v>0</v>
      </c>
      <c r="X1711">
        <v>3</v>
      </c>
      <c r="Y1711">
        <v>11</v>
      </c>
      <c r="Z1711">
        <v>0</v>
      </c>
      <c r="AA1711">
        <v>35</v>
      </c>
      <c r="AB1711">
        <v>2828</v>
      </c>
      <c r="AC1711" s="28">
        <f>ifood_data[[#This Row],[Customer_Days]]/365</f>
        <v>7.7479452054794518</v>
      </c>
      <c r="AD1711">
        <v>0</v>
      </c>
      <c r="AE1711">
        <v>0</v>
      </c>
      <c r="AF1711">
        <v>1</v>
      </c>
      <c r="AG1711">
        <v>0</v>
      </c>
      <c r="AH1711">
        <v>0</v>
      </c>
      <c r="AI1711">
        <v>0</v>
      </c>
      <c r="AJ1711">
        <v>0</v>
      </c>
      <c r="AK1711">
        <v>1</v>
      </c>
      <c r="AL1711">
        <v>0</v>
      </c>
      <c r="AM1711">
        <v>0</v>
      </c>
      <c r="AN1711">
        <v>148</v>
      </c>
      <c r="AO1711">
        <v>131</v>
      </c>
      <c r="AP1711">
        <f>ifood_data[[#This Row],[MntTotal]]-ifood_data[[#This Row],[MntRegularProds]]</f>
        <v>17</v>
      </c>
      <c r="AQ1711">
        <v>0</v>
      </c>
      <c r="AR1711">
        <f>IF(SUM(ifood_data[[#This Row],[Kidhome]:[Teenhome]])&gt;0,1,0)</f>
        <v>1</v>
      </c>
      <c r="AS1711" t="str">
        <f>IF(SUM(ifood_data[[#This Row],[Kidhome]:[Teenhome]])&gt;0,"Has Family","No Family")</f>
        <v>Has Family</v>
      </c>
      <c r="AT1711" t="str">
        <f>IF(ifood_data[[#This Row],[marital_Married]]=1,"Married", (IF(ifood_data[[#This Row],[marital_Single]]=1,"Single",(IF(ifood_data[[#This Row],[marital_Divorced]]=1,"Divorced",(IF(ifood_data[[#This Row],[marital_Together]]=1,"Living Together",(IF(ifood_data[[#This Row],[marital_Widow]]=1,"Widow","Other")))))))))</f>
        <v>Single</v>
      </c>
      <c r="AU1711" t="str">
        <f>IF(ifood_data[[#This Row],[education_Basic]]=1,"High School",(IF(ifood_data[[#This Row],[education_Graduation]]=1,"Undergraduate Degree",(IF(SUM(AM1711,AL1711,AI1711)&gt;0,"Master's Degree or Higher","Other")))))</f>
        <v>Undergraduate Degree</v>
      </c>
      <c r="AV1711" t="str">
        <f>IF(ifood_data[[#All],[Income]]&gt;75000,"75K+",(IF(ifood_data[[#All],[Income]]&gt;50000,"50K-75K",(IF(ifood_data[[#All],[Income]]&gt;35000,"35K-50K","&lt;35K")))))</f>
        <v>&lt;35K</v>
      </c>
      <c r="AW1711" t="str">
        <f>IF(ifood_data[[#All],[Age]]&gt;60,"60+",(IF(ifood_data[[#All],[Age]]&gt;50,"50-60",(IF(ifood_data[[#All],[Age]]&gt;40,"40-50",(IF(ifood_data[[#All],[Age]]&gt;30,"30-40","&lt;30")))))))</f>
        <v>30-40</v>
      </c>
      <c r="AX1711">
        <f t="shared" si="104"/>
        <v>20</v>
      </c>
      <c r="AY1711">
        <f t="shared" si="105"/>
        <v>1.9999999999999996</v>
      </c>
      <c r="AZ1711">
        <f t="shared" si="106"/>
        <v>4</v>
      </c>
      <c r="BA1711">
        <f t="shared" si="107"/>
        <v>3</v>
      </c>
      <c r="BB1711">
        <f>SUM(ifood_data[[#This Row],[Recency Score]:[Monetary Score]])</f>
        <v>9</v>
      </c>
      <c r="BC1711">
        <f>(_xlfn.PERCENTRANK.INC(ifood_data[[#All],[RFM]],ifood_data[[#This Row],[RFM]],1))*10</f>
        <v>1</v>
      </c>
      <c r="BD1711" t="str">
        <f>VLOOKUP(ifood_data[[#This Row],[RFM Score]],'RFM Analysis'!$A$3:$B$14,2,FALSE)</f>
        <v>At Risk</v>
      </c>
      <c r="BE1711">
        <f>'Regression Models'!$B$101+'Regression Models'!$B$102*ifood_data[[#This Row],[Income]]+'Regression Models'!$B$103*ifood_data[[#This Row],[Age]]+'Regression Models'!$B$104*ifood_data[[#This Row],[Family]]</f>
        <v>65.065484853649821</v>
      </c>
      <c r="BF1711" t="str">
        <f>IF(ifood_data[[#This Row],[AcceptedCmpOverall]]=1,"Campaign Respondent","Non-respondent")</f>
        <v>Non-respondent</v>
      </c>
    </row>
    <row r="1712" spans="1:58" x14ac:dyDescent="0.35">
      <c r="A1712">
        <v>1510</v>
      </c>
      <c r="B1712">
        <v>30560</v>
      </c>
      <c r="C1712">
        <v>1</v>
      </c>
      <c r="D1712">
        <v>0</v>
      </c>
      <c r="E1712">
        <v>6</v>
      </c>
      <c r="F1712">
        <v>9</v>
      </c>
      <c r="G1712">
        <v>1</v>
      </c>
      <c r="H1712">
        <v>5</v>
      </c>
      <c r="I1712">
        <v>4</v>
      </c>
      <c r="J1712">
        <v>5</v>
      </c>
      <c r="K1712">
        <v>7</v>
      </c>
      <c r="L1712">
        <v>1</v>
      </c>
      <c r="M1712">
        <v>1</v>
      </c>
      <c r="N1712">
        <v>0</v>
      </c>
      <c r="O1712">
        <v>3</v>
      </c>
      <c r="P1712">
        <v>7</v>
      </c>
      <c r="Q1712">
        <v>0</v>
      </c>
      <c r="R1712">
        <v>0</v>
      </c>
      <c r="S1712">
        <v>0</v>
      </c>
      <c r="T1712">
        <v>0</v>
      </c>
      <c r="U1712">
        <v>0</v>
      </c>
      <c r="V1712">
        <f>IF(SUM(ifood_data[[#This Row],[AcceptedCmp1]:[AcceptedCmp5]])&gt;0,1,0)</f>
        <v>0</v>
      </c>
      <c r="W1712">
        <v>0</v>
      </c>
      <c r="X1712">
        <v>3</v>
      </c>
      <c r="Y1712">
        <v>11</v>
      </c>
      <c r="Z1712">
        <v>0</v>
      </c>
      <c r="AA1712">
        <v>44</v>
      </c>
      <c r="AB1712">
        <v>2526</v>
      </c>
      <c r="AC1712" s="28">
        <f>ifood_data[[#This Row],[Customer_Days]]/365</f>
        <v>6.9205479452054792</v>
      </c>
      <c r="AD1712">
        <v>0</v>
      </c>
      <c r="AE1712">
        <v>0</v>
      </c>
      <c r="AF1712">
        <v>0</v>
      </c>
      <c r="AG1712">
        <v>1</v>
      </c>
      <c r="AH1712">
        <v>0</v>
      </c>
      <c r="AI1712">
        <v>0</v>
      </c>
      <c r="AJ1712">
        <v>0</v>
      </c>
      <c r="AK1712">
        <v>0</v>
      </c>
      <c r="AL1712">
        <v>1</v>
      </c>
      <c r="AM1712">
        <v>0</v>
      </c>
      <c r="AN1712">
        <v>24</v>
      </c>
      <c r="AO1712">
        <v>17</v>
      </c>
      <c r="AP1712">
        <f>ifood_data[[#This Row],[MntTotal]]-ifood_data[[#This Row],[MntRegularProds]]</f>
        <v>7</v>
      </c>
      <c r="AQ1712">
        <v>0</v>
      </c>
      <c r="AR1712">
        <f>IF(SUM(ifood_data[[#This Row],[Kidhome]:[Teenhome]])&gt;0,1,0)</f>
        <v>1</v>
      </c>
      <c r="AS1712" t="str">
        <f>IF(SUM(ifood_data[[#This Row],[Kidhome]:[Teenhome]])&gt;0,"Has Family","No Family")</f>
        <v>Has Family</v>
      </c>
      <c r="AT1712" t="str">
        <f>IF(ifood_data[[#This Row],[marital_Married]]=1,"Married", (IF(ifood_data[[#This Row],[marital_Single]]=1,"Single",(IF(ifood_data[[#This Row],[marital_Divorced]]=1,"Divorced",(IF(ifood_data[[#This Row],[marital_Together]]=1,"Living Together",(IF(ifood_data[[#This Row],[marital_Widow]]=1,"Widow","Other")))))))))</f>
        <v>Living Together</v>
      </c>
      <c r="AU1712" t="str">
        <f>IF(ifood_data[[#This Row],[education_Basic]]=1,"High School",(IF(ifood_data[[#This Row],[education_Graduation]]=1,"Undergraduate Degree",(IF(SUM(AM1712,AL1712,AI1712)&gt;0,"Master's Degree or Higher","Other")))))</f>
        <v>Master's Degree or Higher</v>
      </c>
      <c r="AV1712" t="str">
        <f>IF(ifood_data[[#All],[Income]]&gt;75000,"75K+",(IF(ifood_data[[#All],[Income]]&gt;50000,"50K-75K",(IF(ifood_data[[#All],[Income]]&gt;35000,"35K-50K","&lt;35K")))))</f>
        <v>&lt;35K</v>
      </c>
      <c r="AW1712" t="str">
        <f>IF(ifood_data[[#All],[Age]]&gt;60,"60+",(IF(ifood_data[[#All],[Age]]&gt;50,"50-60",(IF(ifood_data[[#All],[Age]]&gt;40,"40-50",(IF(ifood_data[[#All],[Age]]&gt;30,"30-40","&lt;30")))))))</f>
        <v>40-50</v>
      </c>
      <c r="AX1712">
        <f t="shared" si="104"/>
        <v>12</v>
      </c>
      <c r="AY1712">
        <f t="shared" si="105"/>
        <v>10</v>
      </c>
      <c r="AZ1712">
        <f t="shared" si="106"/>
        <v>1</v>
      </c>
      <c r="BA1712">
        <f t="shared" si="107"/>
        <v>0</v>
      </c>
      <c r="BB1712">
        <f>SUM(ifood_data[[#This Row],[Recency Score]:[Monetary Score]])</f>
        <v>11</v>
      </c>
      <c r="BC1712">
        <f>(_xlfn.PERCENTRANK.INC(ifood_data[[#All],[RFM]],ifood_data[[#This Row],[RFM]],1))*10</f>
        <v>2</v>
      </c>
      <c r="BD1712" t="str">
        <f>VLOOKUP(ifood_data[[#This Row],[RFM Score]],'RFM Analysis'!$A$3:$B$14,2,FALSE)</f>
        <v>At Risk</v>
      </c>
      <c r="BE1712">
        <f>'Regression Models'!$B$101+'Regression Models'!$B$102*ifood_data[[#This Row],[Income]]+'Regression Models'!$B$103*ifood_data[[#This Row],[Age]]+'Regression Models'!$B$104*ifood_data[[#This Row],[Family]]</f>
        <v>64.848547658720463</v>
      </c>
      <c r="BF1712" t="str">
        <f>IF(ifood_data[[#This Row],[AcceptedCmpOverall]]=1,"Campaign Respondent","Non-respondent")</f>
        <v>Non-respondent</v>
      </c>
    </row>
    <row r="1713" spans="1:58" x14ac:dyDescent="0.35">
      <c r="A1713">
        <v>972</v>
      </c>
      <c r="B1713">
        <v>32173</v>
      </c>
      <c r="C1713">
        <v>0</v>
      </c>
      <c r="D1713">
        <v>1</v>
      </c>
      <c r="E1713">
        <v>0</v>
      </c>
      <c r="F1713">
        <v>18</v>
      </c>
      <c r="G1713">
        <v>0</v>
      </c>
      <c r="H1713">
        <v>2</v>
      </c>
      <c r="I1713">
        <v>0</v>
      </c>
      <c r="J1713">
        <v>0</v>
      </c>
      <c r="K1713">
        <v>2</v>
      </c>
      <c r="L1713">
        <v>1</v>
      </c>
      <c r="M1713">
        <v>1</v>
      </c>
      <c r="N1713">
        <v>0</v>
      </c>
      <c r="O1713">
        <v>3</v>
      </c>
      <c r="P1713">
        <v>4</v>
      </c>
      <c r="Q1713">
        <v>0</v>
      </c>
      <c r="R1713">
        <v>0</v>
      </c>
      <c r="S1713">
        <v>0</v>
      </c>
      <c r="T1713">
        <v>0</v>
      </c>
      <c r="U1713">
        <v>0</v>
      </c>
      <c r="V1713">
        <f>IF(SUM(ifood_data[[#This Row],[AcceptedCmp1]:[AcceptedCmp5]])&gt;0,1,0)</f>
        <v>0</v>
      </c>
      <c r="W1713">
        <v>0</v>
      </c>
      <c r="X1713">
        <v>3</v>
      </c>
      <c r="Y1713">
        <v>11</v>
      </c>
      <c r="Z1713">
        <v>0</v>
      </c>
      <c r="AA1713">
        <v>62</v>
      </c>
      <c r="AB1713">
        <v>2491</v>
      </c>
      <c r="AC1713" s="28">
        <f>ifood_data[[#This Row],[Customer_Days]]/365</f>
        <v>6.8246575342465752</v>
      </c>
      <c r="AD1713">
        <v>1</v>
      </c>
      <c r="AE1713">
        <v>0</v>
      </c>
      <c r="AF1713">
        <v>0</v>
      </c>
      <c r="AG1713">
        <v>0</v>
      </c>
      <c r="AH1713">
        <v>0</v>
      </c>
      <c r="AI1713">
        <v>0</v>
      </c>
      <c r="AJ1713">
        <v>0</v>
      </c>
      <c r="AK1713">
        <v>0</v>
      </c>
      <c r="AL1713">
        <v>0</v>
      </c>
      <c r="AM1713">
        <v>1</v>
      </c>
      <c r="AN1713">
        <v>20</v>
      </c>
      <c r="AO1713">
        <v>18</v>
      </c>
      <c r="AP1713">
        <f>ifood_data[[#This Row],[MntTotal]]-ifood_data[[#This Row],[MntRegularProds]]</f>
        <v>2</v>
      </c>
      <c r="AQ1713">
        <v>0</v>
      </c>
      <c r="AR1713">
        <f>IF(SUM(ifood_data[[#This Row],[Kidhome]:[Teenhome]])&gt;0,1,0)</f>
        <v>1</v>
      </c>
      <c r="AS1713" t="str">
        <f>IF(SUM(ifood_data[[#This Row],[Kidhome]:[Teenhome]])&gt;0,"Has Family","No Family")</f>
        <v>Has Family</v>
      </c>
      <c r="AT1713" t="str">
        <f>IF(ifood_data[[#This Row],[marital_Married]]=1,"Married", (IF(ifood_data[[#This Row],[marital_Single]]=1,"Single",(IF(ifood_data[[#This Row],[marital_Divorced]]=1,"Divorced",(IF(ifood_data[[#This Row],[marital_Together]]=1,"Living Together",(IF(ifood_data[[#This Row],[marital_Widow]]=1,"Widow","Other")))))))))</f>
        <v>Divorced</v>
      </c>
      <c r="AU1713" t="str">
        <f>IF(ifood_data[[#This Row],[education_Basic]]=1,"High School",(IF(ifood_data[[#This Row],[education_Graduation]]=1,"Undergraduate Degree",(IF(SUM(AM1713,AL1713,AI1713)&gt;0,"Master's Degree or Higher","Other")))))</f>
        <v>Master's Degree or Higher</v>
      </c>
      <c r="AV1713" t="str">
        <f>IF(ifood_data[[#All],[Income]]&gt;75000,"75K+",(IF(ifood_data[[#All],[Income]]&gt;50000,"50K-75K",(IF(ifood_data[[#All],[Income]]&gt;35000,"35K-50K","&lt;35K")))))</f>
        <v>&lt;35K</v>
      </c>
      <c r="AW1713" t="str">
        <f>IF(ifood_data[[#All],[Age]]&gt;60,"60+",(IF(ifood_data[[#All],[Age]]&gt;50,"50-60",(IF(ifood_data[[#All],[Age]]&gt;40,"40-50",(IF(ifood_data[[#All],[Age]]&gt;30,"30-40","&lt;30")))))))</f>
        <v>60+</v>
      </c>
      <c r="AX1713">
        <f t="shared" si="104"/>
        <v>9</v>
      </c>
      <c r="AY1713">
        <f t="shared" si="105"/>
        <v>10</v>
      </c>
      <c r="AZ1713">
        <f t="shared" si="106"/>
        <v>0</v>
      </c>
      <c r="BA1713">
        <f t="shared" si="107"/>
        <v>0</v>
      </c>
      <c r="BB1713">
        <f>SUM(ifood_data[[#This Row],[Recency Score]:[Monetary Score]])</f>
        <v>10</v>
      </c>
      <c r="BC1713">
        <f>(_xlfn.PERCENTRANK.INC(ifood_data[[#All],[RFM]],ifood_data[[#This Row],[RFM]],1))*10</f>
        <v>2</v>
      </c>
      <c r="BD1713" t="str">
        <f>VLOOKUP(ifood_data[[#This Row],[RFM Score]],'RFM Analysis'!$A$3:$B$14,2,FALSE)</f>
        <v>At Risk</v>
      </c>
      <c r="BE1713">
        <f>'Regression Models'!$B$101+'Regression Models'!$B$102*ifood_data[[#This Row],[Income]]+'Regression Models'!$B$103*ifood_data[[#This Row],[Age]]+'Regression Models'!$B$104*ifood_data[[#This Row],[Family]]</f>
        <v>64.67972725473237</v>
      </c>
      <c r="BF1713" t="str">
        <f>IF(ifood_data[[#This Row],[AcceptedCmpOverall]]=1,"Campaign Respondent","Non-respondent")</f>
        <v>Non-respondent</v>
      </c>
    </row>
    <row r="1714" spans="1:58" x14ac:dyDescent="0.35">
      <c r="A1714">
        <v>1828</v>
      </c>
      <c r="B1714">
        <v>30368</v>
      </c>
      <c r="C1714">
        <v>0</v>
      </c>
      <c r="D1714">
        <v>1</v>
      </c>
      <c r="E1714">
        <v>97</v>
      </c>
      <c r="F1714">
        <v>35</v>
      </c>
      <c r="G1714">
        <v>0</v>
      </c>
      <c r="H1714">
        <v>13</v>
      </c>
      <c r="I1714">
        <v>2</v>
      </c>
      <c r="J1714">
        <v>0</v>
      </c>
      <c r="K1714">
        <v>2</v>
      </c>
      <c r="L1714">
        <v>2</v>
      </c>
      <c r="M1714">
        <v>2</v>
      </c>
      <c r="N1714">
        <v>0</v>
      </c>
      <c r="O1714">
        <v>3</v>
      </c>
      <c r="P1714">
        <v>8</v>
      </c>
      <c r="Q1714">
        <v>0</v>
      </c>
      <c r="R1714">
        <v>0</v>
      </c>
      <c r="S1714">
        <v>0</v>
      </c>
      <c r="T1714">
        <v>0</v>
      </c>
      <c r="U1714">
        <v>0</v>
      </c>
      <c r="V1714">
        <f>IF(SUM(ifood_data[[#This Row],[AcceptedCmp1]:[AcceptedCmp5]])&gt;0,1,0)</f>
        <v>0</v>
      </c>
      <c r="W1714">
        <v>0</v>
      </c>
      <c r="X1714">
        <v>3</v>
      </c>
      <c r="Y1714">
        <v>11</v>
      </c>
      <c r="Z1714">
        <v>0</v>
      </c>
      <c r="AA1714">
        <v>43</v>
      </c>
      <c r="AB1714">
        <v>2393</v>
      </c>
      <c r="AC1714" s="28">
        <f>ifood_data[[#This Row],[Customer_Days]]/365</f>
        <v>6.5561643835616437</v>
      </c>
      <c r="AD1714">
        <v>0</v>
      </c>
      <c r="AE1714">
        <v>1</v>
      </c>
      <c r="AF1714">
        <v>0</v>
      </c>
      <c r="AG1714">
        <v>0</v>
      </c>
      <c r="AH1714">
        <v>0</v>
      </c>
      <c r="AI1714">
        <v>0</v>
      </c>
      <c r="AJ1714">
        <v>0</v>
      </c>
      <c r="AK1714">
        <v>1</v>
      </c>
      <c r="AL1714">
        <v>0</v>
      </c>
      <c r="AM1714">
        <v>0</v>
      </c>
      <c r="AN1714">
        <v>50</v>
      </c>
      <c r="AO1714">
        <v>48</v>
      </c>
      <c r="AP1714">
        <f>ifood_data[[#This Row],[MntTotal]]-ifood_data[[#This Row],[MntRegularProds]]</f>
        <v>2</v>
      </c>
      <c r="AQ1714">
        <v>0</v>
      </c>
      <c r="AR1714">
        <f>IF(SUM(ifood_data[[#This Row],[Kidhome]:[Teenhome]])&gt;0,1,0)</f>
        <v>1</v>
      </c>
      <c r="AS1714" t="str">
        <f>IF(SUM(ifood_data[[#This Row],[Kidhome]:[Teenhome]])&gt;0,"Has Family","No Family")</f>
        <v>Has Family</v>
      </c>
      <c r="AT1714" t="str">
        <f>IF(ifood_data[[#This Row],[marital_Married]]=1,"Married", (IF(ifood_data[[#This Row],[marital_Single]]=1,"Single",(IF(ifood_data[[#This Row],[marital_Divorced]]=1,"Divorced",(IF(ifood_data[[#This Row],[marital_Together]]=1,"Living Together",(IF(ifood_data[[#This Row],[marital_Widow]]=1,"Widow","Other")))))))))</f>
        <v>Married</v>
      </c>
      <c r="AU1714" t="str">
        <f>IF(ifood_data[[#This Row],[education_Basic]]=1,"High School",(IF(ifood_data[[#This Row],[education_Graduation]]=1,"Undergraduate Degree",(IF(SUM(AM1714,AL1714,AI1714)&gt;0,"Master's Degree or Higher","Other")))))</f>
        <v>Undergraduate Degree</v>
      </c>
      <c r="AV1714" t="str">
        <f>IF(ifood_data[[#All],[Income]]&gt;75000,"75K+",(IF(ifood_data[[#All],[Income]]&gt;50000,"50K-75K",(IF(ifood_data[[#All],[Income]]&gt;35000,"35K-50K","&lt;35K")))))</f>
        <v>&lt;35K</v>
      </c>
      <c r="AW1714" t="str">
        <f>IF(ifood_data[[#All],[Age]]&gt;60,"60+",(IF(ifood_data[[#All],[Age]]&gt;50,"50-60",(IF(ifood_data[[#All],[Age]]&gt;40,"40-50",(IF(ifood_data[[#All],[Age]]&gt;30,"30-40","&lt;30")))))))</f>
        <v>40-50</v>
      </c>
      <c r="AX1714">
        <f t="shared" si="104"/>
        <v>15</v>
      </c>
      <c r="AY1714">
        <f t="shared" si="105"/>
        <v>0.99999999999999978</v>
      </c>
      <c r="AZ1714">
        <f t="shared" si="106"/>
        <v>2</v>
      </c>
      <c r="BA1714">
        <f t="shared" si="107"/>
        <v>2</v>
      </c>
      <c r="BB1714">
        <f>SUM(ifood_data[[#This Row],[Recency Score]:[Monetary Score]])</f>
        <v>5</v>
      </c>
      <c r="BC1714">
        <f>(_xlfn.PERCENTRANK.INC(ifood_data[[#All],[RFM]],ifood_data[[#This Row],[RFM]],1))*10</f>
        <v>0</v>
      </c>
      <c r="BD1714" t="str">
        <f>VLOOKUP(ifood_data[[#This Row],[RFM Score]],'RFM Analysis'!$A$3:$B$14,2,FALSE)</f>
        <v>Lost</v>
      </c>
      <c r="BE1714">
        <f>'Regression Models'!$B$101+'Regression Models'!$B$102*ifood_data[[#This Row],[Income]]+'Regression Models'!$B$103*ifood_data[[#This Row],[Age]]+'Regression Models'!$B$104*ifood_data[[#This Row],[Family]]</f>
        <v>62.770343253986084</v>
      </c>
      <c r="BF1714" t="str">
        <f>IF(ifood_data[[#This Row],[AcceptedCmpOverall]]=1,"Campaign Respondent","Non-respondent")</f>
        <v>Non-respondent</v>
      </c>
    </row>
    <row r="1715" spans="1:58" x14ac:dyDescent="0.35">
      <c r="A1715">
        <v>268</v>
      </c>
      <c r="B1715">
        <v>30631</v>
      </c>
      <c r="C1715">
        <v>1</v>
      </c>
      <c r="D1715">
        <v>0</v>
      </c>
      <c r="E1715">
        <v>75</v>
      </c>
      <c r="F1715">
        <v>15</v>
      </c>
      <c r="G1715">
        <v>6</v>
      </c>
      <c r="H1715">
        <v>20</v>
      </c>
      <c r="I1715">
        <v>4</v>
      </c>
      <c r="J1715">
        <v>5</v>
      </c>
      <c r="K1715">
        <v>20</v>
      </c>
      <c r="L1715">
        <v>1</v>
      </c>
      <c r="M1715">
        <v>3</v>
      </c>
      <c r="N1715">
        <v>1</v>
      </c>
      <c r="O1715">
        <v>2</v>
      </c>
      <c r="P1715">
        <v>7</v>
      </c>
      <c r="Q1715">
        <v>0</v>
      </c>
      <c r="R1715">
        <v>0</v>
      </c>
      <c r="S1715">
        <v>0</v>
      </c>
      <c r="T1715">
        <v>0</v>
      </c>
      <c r="U1715">
        <v>0</v>
      </c>
      <c r="V1715">
        <f>IF(SUM(ifood_data[[#This Row],[AcceptedCmp1]:[AcceptedCmp5]])&gt;0,1,0)</f>
        <v>0</v>
      </c>
      <c r="W1715">
        <v>0</v>
      </c>
      <c r="X1715">
        <v>3</v>
      </c>
      <c r="Y1715">
        <v>11</v>
      </c>
      <c r="Z1715">
        <v>0</v>
      </c>
      <c r="AA1715">
        <v>46</v>
      </c>
      <c r="AB1715">
        <v>2511</v>
      </c>
      <c r="AC1715" s="28">
        <f>ifood_data[[#This Row],[Customer_Days]]/365</f>
        <v>6.8794520547945206</v>
      </c>
      <c r="AD1715">
        <v>0</v>
      </c>
      <c r="AE1715">
        <v>1</v>
      </c>
      <c r="AF1715">
        <v>0</v>
      </c>
      <c r="AG1715">
        <v>0</v>
      </c>
      <c r="AH1715">
        <v>0</v>
      </c>
      <c r="AI1715">
        <v>0</v>
      </c>
      <c r="AJ1715">
        <v>0</v>
      </c>
      <c r="AK1715">
        <v>1</v>
      </c>
      <c r="AL1715">
        <v>0</v>
      </c>
      <c r="AM1715">
        <v>0</v>
      </c>
      <c r="AN1715">
        <v>50</v>
      </c>
      <c r="AO1715">
        <v>30</v>
      </c>
      <c r="AP1715">
        <f>ifood_data[[#This Row],[MntTotal]]-ifood_data[[#This Row],[MntRegularProds]]</f>
        <v>20</v>
      </c>
      <c r="AQ1715">
        <v>0</v>
      </c>
      <c r="AR1715">
        <f>IF(SUM(ifood_data[[#This Row],[Kidhome]:[Teenhome]])&gt;0,1,0)</f>
        <v>1</v>
      </c>
      <c r="AS1715" t="str">
        <f>IF(SUM(ifood_data[[#This Row],[Kidhome]:[Teenhome]])&gt;0,"Has Family","No Family")</f>
        <v>Has Family</v>
      </c>
      <c r="AT1715" t="str">
        <f>IF(ifood_data[[#This Row],[marital_Married]]=1,"Married", (IF(ifood_data[[#This Row],[marital_Single]]=1,"Single",(IF(ifood_data[[#This Row],[marital_Divorced]]=1,"Divorced",(IF(ifood_data[[#This Row],[marital_Together]]=1,"Living Together",(IF(ifood_data[[#This Row],[marital_Widow]]=1,"Widow","Other")))))))))</f>
        <v>Married</v>
      </c>
      <c r="AU1715" t="str">
        <f>IF(ifood_data[[#This Row],[education_Basic]]=1,"High School",(IF(ifood_data[[#This Row],[education_Graduation]]=1,"Undergraduate Degree",(IF(SUM(AM1715,AL1715,AI1715)&gt;0,"Master's Degree or Higher","Other")))))</f>
        <v>Undergraduate Degree</v>
      </c>
      <c r="AV1715" t="str">
        <f>IF(ifood_data[[#All],[Income]]&gt;75000,"75K+",(IF(ifood_data[[#All],[Income]]&gt;50000,"50K-75K",(IF(ifood_data[[#All],[Income]]&gt;35000,"35K-50K","&lt;35K")))))</f>
        <v>&lt;35K</v>
      </c>
      <c r="AW1715" t="str">
        <f>IF(ifood_data[[#All],[Age]]&gt;60,"60+",(IF(ifood_data[[#All],[Age]]&gt;50,"50-60",(IF(ifood_data[[#All],[Age]]&gt;40,"40-50",(IF(ifood_data[[#All],[Age]]&gt;30,"30-40","&lt;30")))))))</f>
        <v>40-50</v>
      </c>
      <c r="AX1715">
        <f t="shared" si="104"/>
        <v>14</v>
      </c>
      <c r="AY1715">
        <f t="shared" si="105"/>
        <v>3.0000000000000004</v>
      </c>
      <c r="AZ1715">
        <f t="shared" si="106"/>
        <v>2</v>
      </c>
      <c r="BA1715">
        <f t="shared" si="107"/>
        <v>2</v>
      </c>
      <c r="BB1715">
        <f>SUM(ifood_data[[#This Row],[Recency Score]:[Monetary Score]])</f>
        <v>7</v>
      </c>
      <c r="BC1715">
        <f>(_xlfn.PERCENTRANK.INC(ifood_data[[#All],[RFM]],ifood_data[[#This Row],[RFM]],1))*10</f>
        <v>1</v>
      </c>
      <c r="BD1715" t="str">
        <f>VLOOKUP(ifood_data[[#This Row],[RFM Score]],'RFM Analysis'!$A$3:$B$14,2,FALSE)</f>
        <v>At Risk</v>
      </c>
      <c r="BE1715">
        <f>'Regression Models'!$B$101+'Regression Models'!$B$102*ifood_data[[#This Row],[Income]]+'Regression Models'!$B$103*ifood_data[[#This Row],[Age]]+'Regression Models'!$B$104*ifood_data[[#This Row],[Family]]</f>
        <v>62.623272039148674</v>
      </c>
      <c r="BF1715" t="str">
        <f>IF(ifood_data[[#This Row],[AcceptedCmpOverall]]=1,"Campaign Respondent","Non-respondent")</f>
        <v>Non-respondent</v>
      </c>
    </row>
    <row r="1716" spans="1:58" x14ac:dyDescent="0.35">
      <c r="A1716">
        <v>1105</v>
      </c>
      <c r="B1716">
        <v>14421</v>
      </c>
      <c r="C1716">
        <v>0</v>
      </c>
      <c r="D1716">
        <v>0</v>
      </c>
      <c r="E1716">
        <v>81</v>
      </c>
      <c r="F1716">
        <v>0</v>
      </c>
      <c r="G1716">
        <v>0</v>
      </c>
      <c r="H1716">
        <v>2</v>
      </c>
      <c r="I1716">
        <v>3</v>
      </c>
      <c r="J1716">
        <v>3</v>
      </c>
      <c r="K1716">
        <v>8</v>
      </c>
      <c r="L1716">
        <v>1</v>
      </c>
      <c r="M1716">
        <v>1</v>
      </c>
      <c r="N1716">
        <v>0</v>
      </c>
      <c r="O1716">
        <v>2</v>
      </c>
      <c r="P1716">
        <v>5</v>
      </c>
      <c r="Q1716">
        <v>0</v>
      </c>
      <c r="R1716">
        <v>0</v>
      </c>
      <c r="S1716">
        <v>1</v>
      </c>
      <c r="T1716">
        <v>0</v>
      </c>
      <c r="U1716">
        <v>0</v>
      </c>
      <c r="V1716">
        <f>IF(SUM(ifood_data[[#This Row],[AcceptedCmp1]:[AcceptedCmp5]])&gt;0,1,0)</f>
        <v>1</v>
      </c>
      <c r="W1716">
        <v>0</v>
      </c>
      <c r="X1716">
        <v>3</v>
      </c>
      <c r="Y1716">
        <v>11</v>
      </c>
      <c r="Z1716">
        <v>0</v>
      </c>
      <c r="AA1716">
        <v>24</v>
      </c>
      <c r="AB1716">
        <v>2291</v>
      </c>
      <c r="AC1716" s="28">
        <f>ifood_data[[#This Row],[Customer_Days]]/365</f>
        <v>6.2767123287671236</v>
      </c>
      <c r="AD1716">
        <v>0</v>
      </c>
      <c r="AE1716">
        <v>1</v>
      </c>
      <c r="AF1716">
        <v>0</v>
      </c>
      <c r="AG1716">
        <v>0</v>
      </c>
      <c r="AH1716">
        <v>0</v>
      </c>
      <c r="AI1716">
        <v>0</v>
      </c>
      <c r="AJ1716">
        <v>1</v>
      </c>
      <c r="AK1716">
        <v>0</v>
      </c>
      <c r="AL1716">
        <v>0</v>
      </c>
      <c r="AM1716">
        <v>0</v>
      </c>
      <c r="AN1716">
        <v>8</v>
      </c>
      <c r="AO1716">
        <v>0</v>
      </c>
      <c r="AP1716">
        <f>ifood_data[[#This Row],[MntTotal]]-ifood_data[[#This Row],[MntRegularProds]]</f>
        <v>8</v>
      </c>
      <c r="AQ1716">
        <v>1</v>
      </c>
      <c r="AR1716">
        <f>IF(SUM(ifood_data[[#This Row],[Kidhome]:[Teenhome]])&gt;0,1,0)</f>
        <v>0</v>
      </c>
      <c r="AS1716" t="str">
        <f>IF(SUM(ifood_data[[#This Row],[Kidhome]:[Teenhome]])&gt;0,"Has Family","No Family")</f>
        <v>No Family</v>
      </c>
      <c r="AT1716" t="str">
        <f>IF(ifood_data[[#This Row],[marital_Married]]=1,"Married", (IF(ifood_data[[#This Row],[marital_Single]]=1,"Single",(IF(ifood_data[[#This Row],[marital_Divorced]]=1,"Divorced",(IF(ifood_data[[#This Row],[marital_Together]]=1,"Living Together",(IF(ifood_data[[#This Row],[marital_Widow]]=1,"Widow","Other")))))))))</f>
        <v>Married</v>
      </c>
      <c r="AU1716" t="str">
        <f>IF(ifood_data[[#This Row],[education_Basic]]=1,"High School",(IF(ifood_data[[#This Row],[education_Graduation]]=1,"Undergraduate Degree",(IF(SUM(AM1716,AL1716,AI1716)&gt;0,"Master's Degree or Higher","Other")))))</f>
        <v>High School</v>
      </c>
      <c r="AV1716" t="str">
        <f>IF(ifood_data[[#All],[Income]]&gt;75000,"75K+",(IF(ifood_data[[#All],[Income]]&gt;50000,"50K-75K",(IF(ifood_data[[#All],[Income]]&gt;35000,"35K-50K","&lt;35K")))))</f>
        <v>&lt;35K</v>
      </c>
      <c r="AW1716" t="str">
        <f>IF(ifood_data[[#All],[Age]]&gt;60,"60+",(IF(ifood_data[[#All],[Age]]&gt;50,"50-60",(IF(ifood_data[[#All],[Age]]&gt;40,"40-50",(IF(ifood_data[[#All],[Age]]&gt;30,"30-40","&lt;30")))))))</f>
        <v>&lt;30</v>
      </c>
      <c r="AX1716">
        <f t="shared" si="104"/>
        <v>9</v>
      </c>
      <c r="AY1716">
        <f t="shared" si="105"/>
        <v>1.9999999999999996</v>
      </c>
      <c r="AZ1716">
        <f t="shared" si="106"/>
        <v>0</v>
      </c>
      <c r="BA1716">
        <f t="shared" si="107"/>
        <v>0</v>
      </c>
      <c r="BB1716">
        <f>SUM(ifood_data[[#This Row],[Recency Score]:[Monetary Score]])</f>
        <v>1.9999999999999996</v>
      </c>
      <c r="BC1716">
        <f>(_xlfn.PERCENTRANK.INC(ifood_data[[#All],[RFM]],ifood_data[[#This Row],[RFM]],1))*10</f>
        <v>0</v>
      </c>
      <c r="BD1716" t="str">
        <f>VLOOKUP(ifood_data[[#This Row],[RFM Score]],'RFM Analysis'!$A$3:$B$14,2,FALSE)</f>
        <v>Lost</v>
      </c>
      <c r="BE1716">
        <f>'Regression Models'!$B$101+'Regression Models'!$B$102*ifood_data[[#This Row],[Income]]+'Regression Models'!$B$103*ifood_data[[#This Row],[Age]]+'Regression Models'!$B$104*ifood_data[[#This Row],[Family]]</f>
        <v>62.136631235237196</v>
      </c>
      <c r="BF1716" t="str">
        <f>IF(ifood_data[[#This Row],[AcceptedCmpOverall]]=1,"Campaign Respondent","Non-respondent")</f>
        <v>Campaign Respondent</v>
      </c>
    </row>
    <row r="1717" spans="1:58" x14ac:dyDescent="0.35">
      <c r="A1717">
        <v>956</v>
      </c>
      <c r="B1717">
        <v>30168</v>
      </c>
      <c r="C1717">
        <v>1</v>
      </c>
      <c r="D1717">
        <v>0</v>
      </c>
      <c r="E1717">
        <v>51</v>
      </c>
      <c r="F1717">
        <v>154</v>
      </c>
      <c r="G1717">
        <v>20</v>
      </c>
      <c r="H1717">
        <v>66</v>
      </c>
      <c r="I1717">
        <v>0</v>
      </c>
      <c r="J1717">
        <v>12</v>
      </c>
      <c r="K1717">
        <v>27</v>
      </c>
      <c r="L1717">
        <v>7</v>
      </c>
      <c r="M1717">
        <v>6</v>
      </c>
      <c r="N1717">
        <v>1</v>
      </c>
      <c r="O1717">
        <v>4</v>
      </c>
      <c r="P1717">
        <v>9</v>
      </c>
      <c r="Q1717">
        <v>0</v>
      </c>
      <c r="R1717">
        <v>0</v>
      </c>
      <c r="S1717">
        <v>0</v>
      </c>
      <c r="T1717">
        <v>0</v>
      </c>
      <c r="U1717">
        <v>0</v>
      </c>
      <c r="V1717">
        <f>IF(SUM(ifood_data[[#This Row],[AcceptedCmp1]:[AcceptedCmp5]])&gt;0,1,0)</f>
        <v>0</v>
      </c>
      <c r="W1717">
        <v>0</v>
      </c>
      <c r="X1717">
        <v>3</v>
      </c>
      <c r="Y1717">
        <v>11</v>
      </c>
      <c r="Z1717">
        <v>0</v>
      </c>
      <c r="AA1717">
        <v>42</v>
      </c>
      <c r="AB1717">
        <v>2638</v>
      </c>
      <c r="AC1717" s="28">
        <f>ifood_data[[#This Row],[Customer_Days]]/365</f>
        <v>7.2273972602739729</v>
      </c>
      <c r="AD1717">
        <v>0</v>
      </c>
      <c r="AE1717">
        <v>0</v>
      </c>
      <c r="AF1717">
        <v>1</v>
      </c>
      <c r="AG1717">
        <v>0</v>
      </c>
      <c r="AH1717">
        <v>0</v>
      </c>
      <c r="AI1717">
        <v>0</v>
      </c>
      <c r="AJ1717">
        <v>0</v>
      </c>
      <c r="AK1717">
        <v>1</v>
      </c>
      <c r="AL1717">
        <v>0</v>
      </c>
      <c r="AM1717">
        <v>0</v>
      </c>
      <c r="AN1717">
        <v>252</v>
      </c>
      <c r="AO1717">
        <v>225</v>
      </c>
      <c r="AP1717">
        <f>ifood_data[[#This Row],[MntTotal]]-ifood_data[[#This Row],[MntRegularProds]]</f>
        <v>27</v>
      </c>
      <c r="AQ1717">
        <v>0</v>
      </c>
      <c r="AR1717">
        <f>IF(SUM(ifood_data[[#This Row],[Kidhome]:[Teenhome]])&gt;0,1,0)</f>
        <v>1</v>
      </c>
      <c r="AS1717" t="str">
        <f>IF(SUM(ifood_data[[#This Row],[Kidhome]:[Teenhome]])&gt;0,"Has Family","No Family")</f>
        <v>Has Family</v>
      </c>
      <c r="AT1717" t="str">
        <f>IF(ifood_data[[#This Row],[marital_Married]]=1,"Married", (IF(ifood_data[[#This Row],[marital_Single]]=1,"Single",(IF(ifood_data[[#This Row],[marital_Divorced]]=1,"Divorced",(IF(ifood_data[[#This Row],[marital_Together]]=1,"Living Together",(IF(ifood_data[[#This Row],[marital_Widow]]=1,"Widow","Other")))))))))</f>
        <v>Single</v>
      </c>
      <c r="AU1717" t="str">
        <f>IF(ifood_data[[#This Row],[education_Basic]]=1,"High School",(IF(ifood_data[[#This Row],[education_Graduation]]=1,"Undergraduate Degree",(IF(SUM(AM1717,AL1717,AI1717)&gt;0,"Master's Degree or Higher","Other")))))</f>
        <v>Undergraduate Degree</v>
      </c>
      <c r="AV1717" t="str">
        <f>IF(ifood_data[[#All],[Income]]&gt;75000,"75K+",(IF(ifood_data[[#All],[Income]]&gt;50000,"50K-75K",(IF(ifood_data[[#All],[Income]]&gt;35000,"35K-50K","&lt;35K")))))</f>
        <v>&lt;35K</v>
      </c>
      <c r="AW1717" t="str">
        <f>IF(ifood_data[[#All],[Age]]&gt;60,"60+",(IF(ifood_data[[#All],[Age]]&gt;50,"50-60",(IF(ifood_data[[#All],[Age]]&gt;40,"40-50",(IF(ifood_data[[#All],[Age]]&gt;30,"30-40","&lt;30")))))))</f>
        <v>40-50</v>
      </c>
      <c r="AX1717">
        <f t="shared" si="104"/>
        <v>27</v>
      </c>
      <c r="AY1717">
        <f t="shared" si="105"/>
        <v>5</v>
      </c>
      <c r="AZ1717">
        <f t="shared" si="106"/>
        <v>7</v>
      </c>
      <c r="BA1717">
        <f t="shared" si="107"/>
        <v>4</v>
      </c>
      <c r="BB1717">
        <f>SUM(ifood_data[[#This Row],[Recency Score]:[Monetary Score]])</f>
        <v>16</v>
      </c>
      <c r="BC1717">
        <f>(_xlfn.PERCENTRANK.INC(ifood_data[[#All],[RFM]],ifood_data[[#This Row],[RFM]],1))*10</f>
        <v>5</v>
      </c>
      <c r="BD1717" t="str">
        <f>VLOOKUP(ifood_data[[#This Row],[RFM Score]],'RFM Analysis'!$A$3:$B$14,2,FALSE)</f>
        <v>Promising</v>
      </c>
      <c r="BE1717">
        <f>'Regression Models'!$B$101+'Regression Models'!$B$102*ifood_data[[#This Row],[Income]]+'Regression Models'!$B$103*ifood_data[[#This Row],[Age]]+'Regression Models'!$B$104*ifood_data[[#This Row],[Family]]</f>
        <v>60.529028704100597</v>
      </c>
      <c r="BF1717" t="str">
        <f>IF(ifood_data[[#This Row],[AcceptedCmpOverall]]=1,"Campaign Respondent","Non-respondent")</f>
        <v>Non-respondent</v>
      </c>
    </row>
    <row r="1718" spans="1:58" x14ac:dyDescent="0.35">
      <c r="A1718">
        <v>318</v>
      </c>
      <c r="B1718">
        <v>30675</v>
      </c>
      <c r="C1718">
        <v>1</v>
      </c>
      <c r="D1718">
        <v>0</v>
      </c>
      <c r="E1718">
        <v>14</v>
      </c>
      <c r="F1718">
        <v>10</v>
      </c>
      <c r="G1718">
        <v>2</v>
      </c>
      <c r="H1718">
        <v>16</v>
      </c>
      <c r="I1718">
        <v>11</v>
      </c>
      <c r="J1718">
        <v>2</v>
      </c>
      <c r="K1718">
        <v>21</v>
      </c>
      <c r="L1718">
        <v>1</v>
      </c>
      <c r="M1718">
        <v>1</v>
      </c>
      <c r="N1718">
        <v>0</v>
      </c>
      <c r="O1718">
        <v>3</v>
      </c>
      <c r="P1718">
        <v>8</v>
      </c>
      <c r="Q1718">
        <v>0</v>
      </c>
      <c r="R1718">
        <v>0</v>
      </c>
      <c r="S1718">
        <v>0</v>
      </c>
      <c r="T1718">
        <v>0</v>
      </c>
      <c r="U1718">
        <v>0</v>
      </c>
      <c r="V1718">
        <f>IF(SUM(ifood_data[[#This Row],[AcceptedCmp1]:[AcceptedCmp5]])&gt;0,1,0)</f>
        <v>0</v>
      </c>
      <c r="W1718">
        <v>0</v>
      </c>
      <c r="X1718">
        <v>3</v>
      </c>
      <c r="Y1718">
        <v>11</v>
      </c>
      <c r="Z1718">
        <v>0</v>
      </c>
      <c r="AA1718">
        <v>48</v>
      </c>
      <c r="AB1718">
        <v>2753</v>
      </c>
      <c r="AC1718" s="28">
        <f>ifood_data[[#This Row],[Customer_Days]]/365</f>
        <v>7.5424657534246577</v>
      </c>
      <c r="AD1718">
        <v>0</v>
      </c>
      <c r="AE1718">
        <v>1</v>
      </c>
      <c r="AF1718">
        <v>0</v>
      </c>
      <c r="AG1718">
        <v>0</v>
      </c>
      <c r="AH1718">
        <v>0</v>
      </c>
      <c r="AI1718">
        <v>0</v>
      </c>
      <c r="AJ1718">
        <v>0</v>
      </c>
      <c r="AK1718">
        <v>1</v>
      </c>
      <c r="AL1718">
        <v>0</v>
      </c>
      <c r="AM1718">
        <v>0</v>
      </c>
      <c r="AN1718">
        <v>41</v>
      </c>
      <c r="AO1718">
        <v>20</v>
      </c>
      <c r="AP1718">
        <f>ifood_data[[#This Row],[MntTotal]]-ifood_data[[#This Row],[MntRegularProds]]</f>
        <v>21</v>
      </c>
      <c r="AQ1718">
        <v>0</v>
      </c>
      <c r="AR1718">
        <f>IF(SUM(ifood_data[[#This Row],[Kidhome]:[Teenhome]])&gt;0,1,0)</f>
        <v>1</v>
      </c>
      <c r="AS1718" t="str">
        <f>IF(SUM(ifood_data[[#This Row],[Kidhome]:[Teenhome]])&gt;0,"Has Family","No Family")</f>
        <v>Has Family</v>
      </c>
      <c r="AT1718" t="str">
        <f>IF(ifood_data[[#This Row],[marital_Married]]=1,"Married", (IF(ifood_data[[#This Row],[marital_Single]]=1,"Single",(IF(ifood_data[[#This Row],[marital_Divorced]]=1,"Divorced",(IF(ifood_data[[#This Row],[marital_Together]]=1,"Living Together",(IF(ifood_data[[#This Row],[marital_Widow]]=1,"Widow","Other")))))))))</f>
        <v>Married</v>
      </c>
      <c r="AU1718" t="str">
        <f>IF(ifood_data[[#This Row],[education_Basic]]=1,"High School",(IF(ifood_data[[#This Row],[education_Graduation]]=1,"Undergraduate Degree",(IF(SUM(AM1718,AL1718,AI1718)&gt;0,"Master's Degree or Higher","Other")))))</f>
        <v>Undergraduate Degree</v>
      </c>
      <c r="AV1718" t="str">
        <f>IF(ifood_data[[#All],[Income]]&gt;75000,"75K+",(IF(ifood_data[[#All],[Income]]&gt;50000,"50K-75K",(IF(ifood_data[[#All],[Income]]&gt;35000,"35K-50K","&lt;35K")))))</f>
        <v>&lt;35K</v>
      </c>
      <c r="AW1718" t="str">
        <f>IF(ifood_data[[#All],[Age]]&gt;60,"60+",(IF(ifood_data[[#All],[Age]]&gt;50,"50-60",(IF(ifood_data[[#All],[Age]]&gt;40,"40-50",(IF(ifood_data[[#All],[Age]]&gt;30,"30-40","&lt;30")))))))</f>
        <v>40-50</v>
      </c>
      <c r="AX1718">
        <f t="shared" si="104"/>
        <v>13</v>
      </c>
      <c r="AY1718">
        <f t="shared" si="105"/>
        <v>9</v>
      </c>
      <c r="AZ1718">
        <f t="shared" si="106"/>
        <v>1</v>
      </c>
      <c r="BA1718">
        <f t="shared" si="107"/>
        <v>1</v>
      </c>
      <c r="BB1718">
        <f>SUM(ifood_data[[#This Row],[Recency Score]:[Monetary Score]])</f>
        <v>11</v>
      </c>
      <c r="BC1718">
        <f>(_xlfn.PERCENTRANK.INC(ifood_data[[#All],[RFM]],ifood_data[[#This Row],[RFM]],1))*10</f>
        <v>2</v>
      </c>
      <c r="BD1718" t="str">
        <f>VLOOKUP(ifood_data[[#This Row],[RFM Score]],'RFM Analysis'!$A$3:$B$14,2,FALSE)</f>
        <v>At Risk</v>
      </c>
      <c r="BE1718">
        <f>'Regression Models'!$B$101+'Regression Models'!$B$102*ifood_data[[#This Row],[Income]]+'Regression Models'!$B$103*ifood_data[[#This Row],[Age]]+'Regression Models'!$B$104*ifood_data[[#This Row],[Family]]</f>
        <v>59.847499679691737</v>
      </c>
      <c r="BF1718" t="str">
        <f>IF(ifood_data[[#This Row],[AcceptedCmpOverall]]=1,"Campaign Respondent","Non-respondent")</f>
        <v>Non-respondent</v>
      </c>
    </row>
    <row r="1719" spans="1:58" x14ac:dyDescent="0.35">
      <c r="A1719">
        <v>1122</v>
      </c>
      <c r="B1719">
        <v>31497</v>
      </c>
      <c r="C1719">
        <v>0</v>
      </c>
      <c r="D1719">
        <v>1</v>
      </c>
      <c r="E1719">
        <v>22</v>
      </c>
      <c r="F1719">
        <v>108</v>
      </c>
      <c r="G1719">
        <v>1</v>
      </c>
      <c r="H1719">
        <v>28</v>
      </c>
      <c r="I1719">
        <v>13</v>
      </c>
      <c r="J1719">
        <v>1</v>
      </c>
      <c r="K1719">
        <v>4</v>
      </c>
      <c r="L1719">
        <v>2</v>
      </c>
      <c r="M1719">
        <v>3</v>
      </c>
      <c r="N1719">
        <v>1</v>
      </c>
      <c r="O1719">
        <v>4</v>
      </c>
      <c r="P1719">
        <v>8</v>
      </c>
      <c r="Q1719">
        <v>0</v>
      </c>
      <c r="R1719">
        <v>0</v>
      </c>
      <c r="S1719">
        <v>0</v>
      </c>
      <c r="T1719">
        <v>0</v>
      </c>
      <c r="U1719">
        <v>0</v>
      </c>
      <c r="V1719">
        <f>IF(SUM(ifood_data[[#This Row],[AcceptedCmp1]:[AcceptedCmp5]])&gt;0,1,0)</f>
        <v>0</v>
      </c>
      <c r="W1719">
        <v>0</v>
      </c>
      <c r="X1719">
        <v>3</v>
      </c>
      <c r="Y1719">
        <v>11</v>
      </c>
      <c r="Z1719">
        <v>0</v>
      </c>
      <c r="AA1719">
        <v>58</v>
      </c>
      <c r="AB1719">
        <v>2729</v>
      </c>
      <c r="AC1719" s="28">
        <f>ifood_data[[#This Row],[Customer_Days]]/365</f>
        <v>7.4767123287671229</v>
      </c>
      <c r="AD1719">
        <v>0</v>
      </c>
      <c r="AE1719">
        <v>0</v>
      </c>
      <c r="AF1719">
        <v>0</v>
      </c>
      <c r="AG1719">
        <v>1</v>
      </c>
      <c r="AH1719">
        <v>0</v>
      </c>
      <c r="AI1719">
        <v>0</v>
      </c>
      <c r="AJ1719">
        <v>0</v>
      </c>
      <c r="AK1719">
        <v>0</v>
      </c>
      <c r="AL1719">
        <v>0</v>
      </c>
      <c r="AM1719">
        <v>1</v>
      </c>
      <c r="AN1719">
        <v>151</v>
      </c>
      <c r="AO1719">
        <v>147</v>
      </c>
      <c r="AP1719">
        <f>ifood_data[[#This Row],[MntTotal]]-ifood_data[[#This Row],[MntRegularProds]]</f>
        <v>4</v>
      </c>
      <c r="AQ1719">
        <v>0</v>
      </c>
      <c r="AR1719">
        <f>IF(SUM(ifood_data[[#This Row],[Kidhome]:[Teenhome]])&gt;0,1,0)</f>
        <v>1</v>
      </c>
      <c r="AS1719" t="str">
        <f>IF(SUM(ifood_data[[#This Row],[Kidhome]:[Teenhome]])&gt;0,"Has Family","No Family")</f>
        <v>Has Family</v>
      </c>
      <c r="AT1719" t="str">
        <f>IF(ifood_data[[#This Row],[marital_Married]]=1,"Married", (IF(ifood_data[[#This Row],[marital_Single]]=1,"Single",(IF(ifood_data[[#This Row],[marital_Divorced]]=1,"Divorced",(IF(ifood_data[[#This Row],[marital_Together]]=1,"Living Together",(IF(ifood_data[[#This Row],[marital_Widow]]=1,"Widow","Other")))))))))</f>
        <v>Living Together</v>
      </c>
      <c r="AU1719" t="str">
        <f>IF(ifood_data[[#This Row],[education_Basic]]=1,"High School",(IF(ifood_data[[#This Row],[education_Graduation]]=1,"Undergraduate Degree",(IF(SUM(AM1719,AL1719,AI1719)&gt;0,"Master's Degree or Higher","Other")))))</f>
        <v>Master's Degree or Higher</v>
      </c>
      <c r="AV1719" t="str">
        <f>IF(ifood_data[[#All],[Income]]&gt;75000,"75K+",(IF(ifood_data[[#All],[Income]]&gt;50000,"50K-75K",(IF(ifood_data[[#All],[Income]]&gt;35000,"35K-50K","&lt;35K")))))</f>
        <v>&lt;35K</v>
      </c>
      <c r="AW1719" t="str">
        <f>IF(ifood_data[[#All],[Age]]&gt;60,"60+",(IF(ifood_data[[#All],[Age]]&gt;50,"50-60",(IF(ifood_data[[#All],[Age]]&gt;40,"40-50",(IF(ifood_data[[#All],[Age]]&gt;30,"30-40","&lt;30")))))))</f>
        <v>50-60</v>
      </c>
      <c r="AX1719">
        <f t="shared" si="104"/>
        <v>18</v>
      </c>
      <c r="AY1719">
        <f t="shared" si="105"/>
        <v>8</v>
      </c>
      <c r="AZ1719">
        <f t="shared" si="106"/>
        <v>4</v>
      </c>
      <c r="BA1719">
        <f t="shared" si="107"/>
        <v>3</v>
      </c>
      <c r="BB1719">
        <f>SUM(ifood_data[[#This Row],[Recency Score]:[Monetary Score]])</f>
        <v>15</v>
      </c>
      <c r="BC1719">
        <f>(_xlfn.PERCENTRANK.INC(ifood_data[[#All],[RFM]],ifood_data[[#This Row],[RFM]],1))*10</f>
        <v>4</v>
      </c>
      <c r="BD1719" t="str">
        <f>VLOOKUP(ifood_data[[#This Row],[RFM Score]],'RFM Analysis'!$A$3:$B$14,2,FALSE)</f>
        <v>At Risk</v>
      </c>
      <c r="BE1719">
        <f>'Regression Models'!$B$101+'Regression Models'!$B$102*ifood_data[[#This Row],[Income]]+'Regression Models'!$B$103*ifood_data[[#This Row],[Age]]+'Regression Models'!$B$104*ifood_data[[#This Row],[Family]]</f>
        <v>58.24267630503391</v>
      </c>
      <c r="BF1719" t="str">
        <f>IF(ifood_data[[#This Row],[AcceptedCmpOverall]]=1,"Campaign Respondent","Non-respondent")</f>
        <v>Non-respondent</v>
      </c>
    </row>
    <row r="1720" spans="1:58" x14ac:dyDescent="0.35">
      <c r="A1720">
        <v>1671</v>
      </c>
      <c r="B1720">
        <v>29236</v>
      </c>
      <c r="C1720">
        <v>1</v>
      </c>
      <c r="D1720">
        <v>0</v>
      </c>
      <c r="E1720">
        <v>30</v>
      </c>
      <c r="F1720">
        <v>37</v>
      </c>
      <c r="G1720">
        <v>4</v>
      </c>
      <c r="H1720">
        <v>24</v>
      </c>
      <c r="I1720">
        <v>16</v>
      </c>
      <c r="J1720">
        <v>9</v>
      </c>
      <c r="K1720">
        <v>9</v>
      </c>
      <c r="L1720">
        <v>2</v>
      </c>
      <c r="M1720">
        <v>4</v>
      </c>
      <c r="N1720">
        <v>0</v>
      </c>
      <c r="O1720">
        <v>3</v>
      </c>
      <c r="P1720">
        <v>9</v>
      </c>
      <c r="Q1720">
        <v>0</v>
      </c>
      <c r="R1720">
        <v>0</v>
      </c>
      <c r="S1720">
        <v>0</v>
      </c>
      <c r="T1720">
        <v>0</v>
      </c>
      <c r="U1720">
        <v>0</v>
      </c>
      <c r="V1720">
        <f>IF(SUM(ifood_data[[#This Row],[AcceptedCmp1]:[AcceptedCmp5]])&gt;0,1,0)</f>
        <v>0</v>
      </c>
      <c r="W1720">
        <v>0</v>
      </c>
      <c r="X1720">
        <v>3</v>
      </c>
      <c r="Y1720">
        <v>11</v>
      </c>
      <c r="Z1720">
        <v>0</v>
      </c>
      <c r="AA1720">
        <v>33</v>
      </c>
      <c r="AB1720">
        <v>2423</v>
      </c>
      <c r="AC1720" s="28">
        <f>ifood_data[[#This Row],[Customer_Days]]/365</f>
        <v>6.6383561643835618</v>
      </c>
      <c r="AD1720">
        <v>0</v>
      </c>
      <c r="AE1720">
        <v>0</v>
      </c>
      <c r="AF1720">
        <v>1</v>
      </c>
      <c r="AG1720">
        <v>0</v>
      </c>
      <c r="AH1720">
        <v>0</v>
      </c>
      <c r="AI1720">
        <v>0</v>
      </c>
      <c r="AJ1720">
        <v>0</v>
      </c>
      <c r="AK1720">
        <v>1</v>
      </c>
      <c r="AL1720">
        <v>0</v>
      </c>
      <c r="AM1720">
        <v>0</v>
      </c>
      <c r="AN1720">
        <v>90</v>
      </c>
      <c r="AO1720">
        <v>81</v>
      </c>
      <c r="AP1720">
        <f>ifood_data[[#This Row],[MntTotal]]-ifood_data[[#This Row],[MntRegularProds]]</f>
        <v>9</v>
      </c>
      <c r="AQ1720">
        <v>0</v>
      </c>
      <c r="AR1720">
        <f>IF(SUM(ifood_data[[#This Row],[Kidhome]:[Teenhome]])&gt;0,1,0)</f>
        <v>1</v>
      </c>
      <c r="AS1720" t="str">
        <f>IF(SUM(ifood_data[[#This Row],[Kidhome]:[Teenhome]])&gt;0,"Has Family","No Family")</f>
        <v>Has Family</v>
      </c>
      <c r="AT1720" t="str">
        <f>IF(ifood_data[[#This Row],[marital_Married]]=1,"Married", (IF(ifood_data[[#This Row],[marital_Single]]=1,"Single",(IF(ifood_data[[#This Row],[marital_Divorced]]=1,"Divorced",(IF(ifood_data[[#This Row],[marital_Together]]=1,"Living Together",(IF(ifood_data[[#This Row],[marital_Widow]]=1,"Widow","Other")))))))))</f>
        <v>Single</v>
      </c>
      <c r="AU1720" t="str">
        <f>IF(ifood_data[[#This Row],[education_Basic]]=1,"High School",(IF(ifood_data[[#This Row],[education_Graduation]]=1,"Undergraduate Degree",(IF(SUM(AM1720,AL1720,AI1720)&gt;0,"Master's Degree or Higher","Other")))))</f>
        <v>Undergraduate Degree</v>
      </c>
      <c r="AV1720" t="str">
        <f>IF(ifood_data[[#All],[Income]]&gt;75000,"75K+",(IF(ifood_data[[#All],[Income]]&gt;50000,"50K-75K",(IF(ifood_data[[#All],[Income]]&gt;35000,"35K-50K","&lt;35K")))))</f>
        <v>&lt;35K</v>
      </c>
      <c r="AW1720" t="str">
        <f>IF(ifood_data[[#All],[Age]]&gt;60,"60+",(IF(ifood_data[[#All],[Age]]&gt;50,"50-60",(IF(ifood_data[[#All],[Age]]&gt;40,"40-50",(IF(ifood_data[[#All],[Age]]&gt;30,"30-40","&lt;30")))))))</f>
        <v>30-40</v>
      </c>
      <c r="AX1720">
        <f t="shared" si="104"/>
        <v>18</v>
      </c>
      <c r="AY1720">
        <f t="shared" si="105"/>
        <v>7</v>
      </c>
      <c r="AZ1720">
        <f t="shared" si="106"/>
        <v>4</v>
      </c>
      <c r="BA1720">
        <f t="shared" si="107"/>
        <v>3</v>
      </c>
      <c r="BB1720">
        <f>SUM(ifood_data[[#This Row],[Recency Score]:[Monetary Score]])</f>
        <v>14</v>
      </c>
      <c r="BC1720">
        <f>(_xlfn.PERCENTRANK.INC(ifood_data[[#All],[RFM]],ifood_data[[#This Row],[RFM]],1))*10</f>
        <v>4</v>
      </c>
      <c r="BD1720" t="str">
        <f>VLOOKUP(ifood_data[[#This Row],[RFM Score]],'RFM Analysis'!$A$3:$B$14,2,FALSE)</f>
        <v>At Risk</v>
      </c>
      <c r="BE1720">
        <f>'Regression Models'!$B$101+'Regression Models'!$B$102*ifood_data[[#This Row],[Income]]+'Regression Models'!$B$103*ifood_data[[#This Row],[Age]]+'Regression Models'!$B$104*ifood_data[[#This Row],[Family]]</f>
        <v>58.054648504035356</v>
      </c>
      <c r="BF1720" t="str">
        <f>IF(ifood_data[[#This Row],[AcceptedCmpOverall]]=1,"Campaign Respondent","Non-respondent")</f>
        <v>Non-respondent</v>
      </c>
    </row>
    <row r="1721" spans="1:58" x14ac:dyDescent="0.35">
      <c r="A1721">
        <v>358</v>
      </c>
      <c r="B1721">
        <v>30822</v>
      </c>
      <c r="C1721">
        <v>1</v>
      </c>
      <c r="D1721">
        <v>0</v>
      </c>
      <c r="E1721">
        <v>92</v>
      </c>
      <c r="F1721">
        <v>3</v>
      </c>
      <c r="G1721">
        <v>9</v>
      </c>
      <c r="H1721">
        <v>13</v>
      </c>
      <c r="I1721">
        <v>2</v>
      </c>
      <c r="J1721">
        <v>12</v>
      </c>
      <c r="K1721">
        <v>12</v>
      </c>
      <c r="L1721">
        <v>1</v>
      </c>
      <c r="M1721">
        <v>1</v>
      </c>
      <c r="N1721">
        <v>0</v>
      </c>
      <c r="O1721">
        <v>3</v>
      </c>
      <c r="P1721">
        <v>7</v>
      </c>
      <c r="Q1721">
        <v>0</v>
      </c>
      <c r="R1721">
        <v>0</v>
      </c>
      <c r="S1721">
        <v>0</v>
      </c>
      <c r="T1721">
        <v>0</v>
      </c>
      <c r="U1721">
        <v>0</v>
      </c>
      <c r="V1721">
        <f>IF(SUM(ifood_data[[#This Row],[AcceptedCmp1]:[AcceptedCmp5]])&gt;0,1,0)</f>
        <v>0</v>
      </c>
      <c r="W1721">
        <v>0</v>
      </c>
      <c r="X1721">
        <v>3</v>
      </c>
      <c r="Y1721">
        <v>11</v>
      </c>
      <c r="Z1721">
        <v>0</v>
      </c>
      <c r="AA1721">
        <v>51</v>
      </c>
      <c r="AB1721">
        <v>2539</v>
      </c>
      <c r="AC1721" s="28">
        <f>ifood_data[[#This Row],[Customer_Days]]/365</f>
        <v>6.956164383561644</v>
      </c>
      <c r="AD1721">
        <v>0</v>
      </c>
      <c r="AE1721">
        <v>0</v>
      </c>
      <c r="AF1721">
        <v>1</v>
      </c>
      <c r="AG1721">
        <v>0</v>
      </c>
      <c r="AH1721">
        <v>0</v>
      </c>
      <c r="AI1721">
        <v>0</v>
      </c>
      <c r="AJ1721">
        <v>0</v>
      </c>
      <c r="AK1721">
        <v>1</v>
      </c>
      <c r="AL1721">
        <v>0</v>
      </c>
      <c r="AM1721">
        <v>0</v>
      </c>
      <c r="AN1721">
        <v>39</v>
      </c>
      <c r="AO1721">
        <v>27</v>
      </c>
      <c r="AP1721">
        <f>ifood_data[[#This Row],[MntTotal]]-ifood_data[[#This Row],[MntRegularProds]]</f>
        <v>12</v>
      </c>
      <c r="AQ1721">
        <v>0</v>
      </c>
      <c r="AR1721">
        <f>IF(SUM(ifood_data[[#This Row],[Kidhome]:[Teenhome]])&gt;0,1,0)</f>
        <v>1</v>
      </c>
      <c r="AS1721" t="str">
        <f>IF(SUM(ifood_data[[#This Row],[Kidhome]:[Teenhome]])&gt;0,"Has Family","No Family")</f>
        <v>Has Family</v>
      </c>
      <c r="AT1721" t="str">
        <f>IF(ifood_data[[#This Row],[marital_Married]]=1,"Married", (IF(ifood_data[[#This Row],[marital_Single]]=1,"Single",(IF(ifood_data[[#This Row],[marital_Divorced]]=1,"Divorced",(IF(ifood_data[[#This Row],[marital_Together]]=1,"Living Together",(IF(ifood_data[[#This Row],[marital_Widow]]=1,"Widow","Other")))))))))</f>
        <v>Single</v>
      </c>
      <c r="AU1721" t="str">
        <f>IF(ifood_data[[#This Row],[education_Basic]]=1,"High School",(IF(ifood_data[[#This Row],[education_Graduation]]=1,"Undergraduate Degree",(IF(SUM(AM1721,AL1721,AI1721)&gt;0,"Master's Degree or Higher","Other")))))</f>
        <v>Undergraduate Degree</v>
      </c>
      <c r="AV1721" t="str">
        <f>IF(ifood_data[[#All],[Income]]&gt;75000,"75K+",(IF(ifood_data[[#All],[Income]]&gt;50000,"50K-75K",(IF(ifood_data[[#All],[Income]]&gt;35000,"35K-50K","&lt;35K")))))</f>
        <v>&lt;35K</v>
      </c>
      <c r="AW1721" t="str">
        <f>IF(ifood_data[[#All],[Age]]&gt;60,"60+",(IF(ifood_data[[#All],[Age]]&gt;50,"50-60",(IF(ifood_data[[#All],[Age]]&gt;40,"40-50",(IF(ifood_data[[#All],[Age]]&gt;30,"30-40","&lt;30")))))))</f>
        <v>50-60</v>
      </c>
      <c r="AX1721">
        <f t="shared" si="104"/>
        <v>12</v>
      </c>
      <c r="AY1721">
        <f t="shared" si="105"/>
        <v>0.99999999999999978</v>
      </c>
      <c r="AZ1721">
        <f t="shared" si="106"/>
        <v>1</v>
      </c>
      <c r="BA1721">
        <f t="shared" si="107"/>
        <v>1</v>
      </c>
      <c r="BB1721">
        <f>SUM(ifood_data[[#This Row],[Recency Score]:[Monetary Score]])</f>
        <v>3</v>
      </c>
      <c r="BC1721">
        <f>(_xlfn.PERCENTRANK.INC(ifood_data[[#All],[RFM]],ifood_data[[#This Row],[RFM]],1))*10</f>
        <v>0</v>
      </c>
      <c r="BD1721" t="str">
        <f>VLOOKUP(ifood_data[[#This Row],[RFM Score]],'RFM Analysis'!$A$3:$B$14,2,FALSE)</f>
        <v>Lost</v>
      </c>
      <c r="BE1721">
        <f>'Regression Models'!$B$101+'Regression Models'!$B$102*ifood_data[[#This Row],[Income]]+'Regression Models'!$B$103*ifood_data[[#This Row],[Age]]+'Regression Models'!$B$104*ifood_data[[#This Row],[Family]]</f>
        <v>57.335331360162058</v>
      </c>
      <c r="BF1721" t="str">
        <f>IF(ifood_data[[#This Row],[AcceptedCmpOverall]]=1,"Campaign Respondent","Non-respondent")</f>
        <v>Non-respondent</v>
      </c>
    </row>
    <row r="1722" spans="1:58" x14ac:dyDescent="0.35">
      <c r="A1722">
        <v>9</v>
      </c>
      <c r="B1722">
        <v>30351</v>
      </c>
      <c r="C1722">
        <v>1</v>
      </c>
      <c r="D1722">
        <v>0</v>
      </c>
      <c r="E1722">
        <v>19</v>
      </c>
      <c r="F1722">
        <v>14</v>
      </c>
      <c r="G1722">
        <v>0</v>
      </c>
      <c r="H1722">
        <v>24</v>
      </c>
      <c r="I1722">
        <v>3</v>
      </c>
      <c r="J1722">
        <v>3</v>
      </c>
      <c r="K1722">
        <v>2</v>
      </c>
      <c r="L1722">
        <v>1</v>
      </c>
      <c r="M1722">
        <v>3</v>
      </c>
      <c r="N1722">
        <v>0</v>
      </c>
      <c r="O1722">
        <v>2</v>
      </c>
      <c r="P1722">
        <v>9</v>
      </c>
      <c r="Q1722">
        <v>0</v>
      </c>
      <c r="R1722">
        <v>0</v>
      </c>
      <c r="S1722">
        <v>0</v>
      </c>
      <c r="T1722">
        <v>0</v>
      </c>
      <c r="U1722">
        <v>0</v>
      </c>
      <c r="V1722">
        <f>IF(SUM(ifood_data[[#This Row],[AcceptedCmp1]:[AcceptedCmp5]])&gt;0,1,0)</f>
        <v>0</v>
      </c>
      <c r="W1722">
        <v>0</v>
      </c>
      <c r="X1722">
        <v>3</v>
      </c>
      <c r="Y1722">
        <v>11</v>
      </c>
      <c r="Z1722">
        <v>1</v>
      </c>
      <c r="AA1722">
        <v>46</v>
      </c>
      <c r="AB1722">
        <v>2547</v>
      </c>
      <c r="AC1722" s="28">
        <f>ifood_data[[#This Row],[Customer_Days]]/365</f>
        <v>6.978082191780822</v>
      </c>
      <c r="AD1722">
        <v>0</v>
      </c>
      <c r="AE1722">
        <v>0</v>
      </c>
      <c r="AF1722">
        <v>0</v>
      </c>
      <c r="AG1722">
        <v>1</v>
      </c>
      <c r="AH1722">
        <v>0</v>
      </c>
      <c r="AI1722">
        <v>0</v>
      </c>
      <c r="AJ1722">
        <v>0</v>
      </c>
      <c r="AK1722">
        <v>0</v>
      </c>
      <c r="AL1722">
        <v>0</v>
      </c>
      <c r="AM1722">
        <v>1</v>
      </c>
      <c r="AN1722">
        <v>44</v>
      </c>
      <c r="AO1722">
        <v>42</v>
      </c>
      <c r="AP1722">
        <f>ifood_data[[#This Row],[MntTotal]]-ifood_data[[#This Row],[MntRegularProds]]</f>
        <v>2</v>
      </c>
      <c r="AQ1722">
        <v>0</v>
      </c>
      <c r="AR1722">
        <f>IF(SUM(ifood_data[[#This Row],[Kidhome]:[Teenhome]])&gt;0,1,0)</f>
        <v>1</v>
      </c>
      <c r="AS1722" t="str">
        <f>IF(SUM(ifood_data[[#This Row],[Kidhome]:[Teenhome]])&gt;0,"Has Family","No Family")</f>
        <v>Has Family</v>
      </c>
      <c r="AT1722" t="str">
        <f>IF(ifood_data[[#This Row],[marital_Married]]=1,"Married", (IF(ifood_data[[#This Row],[marital_Single]]=1,"Single",(IF(ifood_data[[#This Row],[marital_Divorced]]=1,"Divorced",(IF(ifood_data[[#This Row],[marital_Together]]=1,"Living Together",(IF(ifood_data[[#This Row],[marital_Widow]]=1,"Widow","Other")))))))))</f>
        <v>Living Together</v>
      </c>
      <c r="AU1722" t="str">
        <f>IF(ifood_data[[#This Row],[education_Basic]]=1,"High School",(IF(ifood_data[[#This Row],[education_Graduation]]=1,"Undergraduate Degree",(IF(SUM(AM1722,AL1722,AI1722)&gt;0,"Master's Degree or Higher","Other")))))</f>
        <v>Master's Degree or Higher</v>
      </c>
      <c r="AV1722" t="str">
        <f>IF(ifood_data[[#All],[Income]]&gt;75000,"75K+",(IF(ifood_data[[#All],[Income]]&gt;50000,"50K-75K",(IF(ifood_data[[#All],[Income]]&gt;35000,"35K-50K","&lt;35K")))))</f>
        <v>&lt;35K</v>
      </c>
      <c r="AW1722" t="str">
        <f>IF(ifood_data[[#All],[Age]]&gt;60,"60+",(IF(ifood_data[[#All],[Age]]&gt;50,"50-60",(IF(ifood_data[[#All],[Age]]&gt;40,"40-50",(IF(ifood_data[[#All],[Age]]&gt;30,"30-40","&lt;30")))))))</f>
        <v>40-50</v>
      </c>
      <c r="AX1722">
        <f t="shared" si="104"/>
        <v>15</v>
      </c>
      <c r="AY1722">
        <f t="shared" si="105"/>
        <v>9</v>
      </c>
      <c r="AZ1722">
        <f t="shared" si="106"/>
        <v>2</v>
      </c>
      <c r="BA1722">
        <f t="shared" si="107"/>
        <v>2</v>
      </c>
      <c r="BB1722">
        <f>SUM(ifood_data[[#This Row],[Recency Score]:[Monetary Score]])</f>
        <v>13</v>
      </c>
      <c r="BC1722">
        <f>(_xlfn.PERCENTRANK.INC(ifood_data[[#All],[RFM]],ifood_data[[#This Row],[RFM]],1))*10</f>
        <v>3</v>
      </c>
      <c r="BD1722" t="str">
        <f>VLOOKUP(ifood_data[[#This Row],[RFM Score]],'RFM Analysis'!$A$3:$B$14,2,FALSE)</f>
        <v>At Risk</v>
      </c>
      <c r="BE1722">
        <f>'Regression Models'!$B$101+'Regression Models'!$B$102*ifood_data[[#This Row],[Income]]+'Regression Models'!$B$103*ifood_data[[#This Row],[Age]]+'Regression Models'!$B$104*ifood_data[[#This Row],[Family]]</f>
        <v>56.914416958857032</v>
      </c>
      <c r="BF1722" t="str">
        <f>IF(ifood_data[[#This Row],[AcceptedCmpOverall]]=1,"Campaign Respondent","Non-respondent")</f>
        <v>Non-respondent</v>
      </c>
    </row>
    <row r="1723" spans="1:58" x14ac:dyDescent="0.35">
      <c r="A1723">
        <v>386</v>
      </c>
      <c r="B1723">
        <v>30351</v>
      </c>
      <c r="C1723">
        <v>1</v>
      </c>
      <c r="D1723">
        <v>0</v>
      </c>
      <c r="E1723">
        <v>19</v>
      </c>
      <c r="F1723">
        <v>14</v>
      </c>
      <c r="G1723">
        <v>0</v>
      </c>
      <c r="H1723">
        <v>24</v>
      </c>
      <c r="I1723">
        <v>3</v>
      </c>
      <c r="J1723">
        <v>3</v>
      </c>
      <c r="K1723">
        <v>2</v>
      </c>
      <c r="L1723">
        <v>1</v>
      </c>
      <c r="M1723">
        <v>3</v>
      </c>
      <c r="N1723">
        <v>0</v>
      </c>
      <c r="O1723">
        <v>2</v>
      </c>
      <c r="P1723">
        <v>9</v>
      </c>
      <c r="Q1723">
        <v>0</v>
      </c>
      <c r="R1723">
        <v>0</v>
      </c>
      <c r="S1723">
        <v>0</v>
      </c>
      <c r="T1723">
        <v>0</v>
      </c>
      <c r="U1723">
        <v>0</v>
      </c>
      <c r="V1723">
        <f>IF(SUM(ifood_data[[#This Row],[AcceptedCmp1]:[AcceptedCmp5]])&gt;0,1,0)</f>
        <v>0</v>
      </c>
      <c r="W1723">
        <v>0</v>
      </c>
      <c r="X1723">
        <v>3</v>
      </c>
      <c r="Y1723">
        <v>11</v>
      </c>
      <c r="Z1723">
        <v>0</v>
      </c>
      <c r="AA1723">
        <v>46</v>
      </c>
      <c r="AB1723">
        <v>2547</v>
      </c>
      <c r="AC1723" s="28">
        <f>ifood_data[[#This Row],[Customer_Days]]/365</f>
        <v>6.978082191780822</v>
      </c>
      <c r="AD1723">
        <v>0</v>
      </c>
      <c r="AE1723">
        <v>0</v>
      </c>
      <c r="AF1723">
        <v>0</v>
      </c>
      <c r="AG1723">
        <v>1</v>
      </c>
      <c r="AH1723">
        <v>0</v>
      </c>
      <c r="AI1723">
        <v>0</v>
      </c>
      <c r="AJ1723">
        <v>0</v>
      </c>
      <c r="AK1723">
        <v>0</v>
      </c>
      <c r="AL1723">
        <v>0</v>
      </c>
      <c r="AM1723">
        <v>1</v>
      </c>
      <c r="AN1723">
        <v>44</v>
      </c>
      <c r="AO1723">
        <v>42</v>
      </c>
      <c r="AP1723">
        <f>ifood_data[[#This Row],[MntTotal]]-ifood_data[[#This Row],[MntRegularProds]]</f>
        <v>2</v>
      </c>
      <c r="AQ1723">
        <v>0</v>
      </c>
      <c r="AR1723">
        <f>IF(SUM(ifood_data[[#This Row],[Kidhome]:[Teenhome]])&gt;0,1,0)</f>
        <v>1</v>
      </c>
      <c r="AS1723" t="str">
        <f>IF(SUM(ifood_data[[#This Row],[Kidhome]:[Teenhome]])&gt;0,"Has Family","No Family")</f>
        <v>Has Family</v>
      </c>
      <c r="AT1723" t="str">
        <f>IF(ifood_data[[#This Row],[marital_Married]]=1,"Married", (IF(ifood_data[[#This Row],[marital_Single]]=1,"Single",(IF(ifood_data[[#This Row],[marital_Divorced]]=1,"Divorced",(IF(ifood_data[[#This Row],[marital_Together]]=1,"Living Together",(IF(ifood_data[[#This Row],[marital_Widow]]=1,"Widow","Other")))))))))</f>
        <v>Living Together</v>
      </c>
      <c r="AU1723" t="str">
        <f>IF(ifood_data[[#This Row],[education_Basic]]=1,"High School",(IF(ifood_data[[#This Row],[education_Graduation]]=1,"Undergraduate Degree",(IF(SUM(AM1723,AL1723,AI1723)&gt;0,"Master's Degree or Higher","Other")))))</f>
        <v>Master's Degree or Higher</v>
      </c>
      <c r="AV1723" t="str">
        <f>IF(ifood_data[[#All],[Income]]&gt;75000,"75K+",(IF(ifood_data[[#All],[Income]]&gt;50000,"50K-75K",(IF(ifood_data[[#All],[Income]]&gt;35000,"35K-50K","&lt;35K")))))</f>
        <v>&lt;35K</v>
      </c>
      <c r="AW1723" t="str">
        <f>IF(ifood_data[[#All],[Age]]&gt;60,"60+",(IF(ifood_data[[#All],[Age]]&gt;50,"50-60",(IF(ifood_data[[#All],[Age]]&gt;40,"40-50",(IF(ifood_data[[#All],[Age]]&gt;30,"30-40","&lt;30")))))))</f>
        <v>40-50</v>
      </c>
      <c r="AX1723">
        <f t="shared" si="104"/>
        <v>15</v>
      </c>
      <c r="AY1723">
        <f t="shared" si="105"/>
        <v>9</v>
      </c>
      <c r="AZ1723">
        <f t="shared" si="106"/>
        <v>2</v>
      </c>
      <c r="BA1723">
        <f t="shared" si="107"/>
        <v>2</v>
      </c>
      <c r="BB1723">
        <f>SUM(ifood_data[[#This Row],[Recency Score]:[Monetary Score]])</f>
        <v>13</v>
      </c>
      <c r="BC1723">
        <f>(_xlfn.PERCENTRANK.INC(ifood_data[[#All],[RFM]],ifood_data[[#This Row],[RFM]],1))*10</f>
        <v>3</v>
      </c>
      <c r="BD1723" t="str">
        <f>VLOOKUP(ifood_data[[#This Row],[RFM Score]],'RFM Analysis'!$A$3:$B$14,2,FALSE)</f>
        <v>At Risk</v>
      </c>
      <c r="BE1723">
        <f>'Regression Models'!$B$101+'Regression Models'!$B$102*ifood_data[[#This Row],[Income]]+'Regression Models'!$B$103*ifood_data[[#This Row],[Age]]+'Regression Models'!$B$104*ifood_data[[#This Row],[Family]]</f>
        <v>56.914416958857032</v>
      </c>
      <c r="BF1723" t="str">
        <f>IF(ifood_data[[#This Row],[AcceptedCmpOverall]]=1,"Campaign Respondent","Non-respondent")</f>
        <v>Non-respondent</v>
      </c>
    </row>
    <row r="1724" spans="1:58" x14ac:dyDescent="0.35">
      <c r="A1724">
        <v>1998</v>
      </c>
      <c r="B1724">
        <v>32144</v>
      </c>
      <c r="C1724">
        <v>1</v>
      </c>
      <c r="D1724">
        <v>1</v>
      </c>
      <c r="E1724">
        <v>76</v>
      </c>
      <c r="F1724">
        <v>41</v>
      </c>
      <c r="G1724">
        <v>0</v>
      </c>
      <c r="H1724">
        <v>10</v>
      </c>
      <c r="I1724">
        <v>0</v>
      </c>
      <c r="J1724">
        <v>0</v>
      </c>
      <c r="K1724">
        <v>3</v>
      </c>
      <c r="L1724">
        <v>4</v>
      </c>
      <c r="M1724">
        <v>2</v>
      </c>
      <c r="N1724">
        <v>1</v>
      </c>
      <c r="O1724">
        <v>3</v>
      </c>
      <c r="P1724">
        <v>7</v>
      </c>
      <c r="Q1724">
        <v>0</v>
      </c>
      <c r="R1724">
        <v>0</v>
      </c>
      <c r="S1724">
        <v>0</v>
      </c>
      <c r="T1724">
        <v>1</v>
      </c>
      <c r="U1724">
        <v>0</v>
      </c>
      <c r="V1724">
        <f>IF(SUM(ifood_data[[#This Row],[AcceptedCmp1]:[AcceptedCmp5]])&gt;0,1,0)</f>
        <v>1</v>
      </c>
      <c r="W1724">
        <v>0</v>
      </c>
      <c r="X1724">
        <v>3</v>
      </c>
      <c r="Y1724">
        <v>11</v>
      </c>
      <c r="Z1724">
        <v>0</v>
      </c>
      <c r="AA1724">
        <v>66</v>
      </c>
      <c r="AB1724">
        <v>2257</v>
      </c>
      <c r="AC1724" s="28">
        <f>ifood_data[[#This Row],[Customer_Days]]/365</f>
        <v>6.183561643835616</v>
      </c>
      <c r="AD1724">
        <v>0</v>
      </c>
      <c r="AE1724">
        <v>0</v>
      </c>
      <c r="AF1724">
        <v>0</v>
      </c>
      <c r="AG1724">
        <v>1</v>
      </c>
      <c r="AH1724">
        <v>0</v>
      </c>
      <c r="AI1724">
        <v>0</v>
      </c>
      <c r="AJ1724">
        <v>0</v>
      </c>
      <c r="AK1724">
        <v>1</v>
      </c>
      <c r="AL1724">
        <v>0</v>
      </c>
      <c r="AM1724">
        <v>0</v>
      </c>
      <c r="AN1724">
        <v>51</v>
      </c>
      <c r="AO1724">
        <v>48</v>
      </c>
      <c r="AP1724">
        <f>ifood_data[[#This Row],[MntTotal]]-ifood_data[[#This Row],[MntRegularProds]]</f>
        <v>3</v>
      </c>
      <c r="AQ1724">
        <v>1</v>
      </c>
      <c r="AR1724">
        <f>IF(SUM(ifood_data[[#This Row],[Kidhome]:[Teenhome]])&gt;0,1,0)</f>
        <v>1</v>
      </c>
      <c r="AS1724" t="str">
        <f>IF(SUM(ifood_data[[#This Row],[Kidhome]:[Teenhome]])&gt;0,"Has Family","No Family")</f>
        <v>Has Family</v>
      </c>
      <c r="AT1724" t="str">
        <f>IF(ifood_data[[#This Row],[marital_Married]]=1,"Married", (IF(ifood_data[[#This Row],[marital_Single]]=1,"Single",(IF(ifood_data[[#This Row],[marital_Divorced]]=1,"Divorced",(IF(ifood_data[[#This Row],[marital_Together]]=1,"Living Together",(IF(ifood_data[[#This Row],[marital_Widow]]=1,"Widow","Other")))))))))</f>
        <v>Living Together</v>
      </c>
      <c r="AU1724" t="str">
        <f>IF(ifood_data[[#This Row],[education_Basic]]=1,"High School",(IF(ifood_data[[#This Row],[education_Graduation]]=1,"Undergraduate Degree",(IF(SUM(AM1724,AL1724,AI1724)&gt;0,"Master's Degree or Higher","Other")))))</f>
        <v>Undergraduate Degree</v>
      </c>
      <c r="AV1724" t="str">
        <f>IF(ifood_data[[#All],[Income]]&gt;75000,"75K+",(IF(ifood_data[[#All],[Income]]&gt;50000,"50K-75K",(IF(ifood_data[[#All],[Income]]&gt;35000,"35K-50K","&lt;35K")))))</f>
        <v>&lt;35K</v>
      </c>
      <c r="AW1724" t="str">
        <f>IF(ifood_data[[#All],[Age]]&gt;60,"60+",(IF(ifood_data[[#All],[Age]]&gt;50,"50-60",(IF(ifood_data[[#All],[Age]]&gt;40,"40-50",(IF(ifood_data[[#All],[Age]]&gt;30,"30-40","&lt;30")))))))</f>
        <v>60+</v>
      </c>
      <c r="AX1724">
        <f t="shared" si="104"/>
        <v>17</v>
      </c>
      <c r="AY1724">
        <f t="shared" si="105"/>
        <v>3.0000000000000004</v>
      </c>
      <c r="AZ1724">
        <f t="shared" si="106"/>
        <v>3</v>
      </c>
      <c r="BA1724">
        <f t="shared" si="107"/>
        <v>2</v>
      </c>
      <c r="BB1724">
        <f>SUM(ifood_data[[#This Row],[Recency Score]:[Monetary Score]])</f>
        <v>8</v>
      </c>
      <c r="BC1724">
        <f>(_xlfn.PERCENTRANK.INC(ifood_data[[#All],[RFM]],ifood_data[[#This Row],[RFM]],1))*10</f>
        <v>1</v>
      </c>
      <c r="BD1724" t="str">
        <f>VLOOKUP(ifood_data[[#This Row],[RFM Score]],'RFM Analysis'!$A$3:$B$14,2,FALSE)</f>
        <v>At Risk</v>
      </c>
      <c r="BE1724">
        <f>'Regression Models'!$B$101+'Regression Models'!$B$102*ifood_data[[#This Row],[Income]]+'Regression Models'!$B$103*ifood_data[[#This Row],[Age]]+'Regression Models'!$B$104*ifood_data[[#This Row],[Family]]</f>
        <v>56.742696662982212</v>
      </c>
      <c r="BF1724" t="str">
        <f>IF(ifood_data[[#This Row],[AcceptedCmpOverall]]=1,"Campaign Respondent","Non-respondent")</f>
        <v>Campaign Respondent</v>
      </c>
    </row>
    <row r="1725" spans="1:58" x14ac:dyDescent="0.35">
      <c r="A1725">
        <v>741</v>
      </c>
      <c r="B1725">
        <v>30467</v>
      </c>
      <c r="C1725">
        <v>1</v>
      </c>
      <c r="D1725">
        <v>0</v>
      </c>
      <c r="E1725">
        <v>8</v>
      </c>
      <c r="F1725">
        <v>1</v>
      </c>
      <c r="G1725">
        <v>3</v>
      </c>
      <c r="H1725">
        <v>8</v>
      </c>
      <c r="I1725">
        <v>2</v>
      </c>
      <c r="J1725">
        <v>5</v>
      </c>
      <c r="K1725">
        <v>5</v>
      </c>
      <c r="L1725">
        <v>1</v>
      </c>
      <c r="M1725">
        <v>1</v>
      </c>
      <c r="N1725">
        <v>0</v>
      </c>
      <c r="O1725">
        <v>2</v>
      </c>
      <c r="P1725">
        <v>7</v>
      </c>
      <c r="Q1725">
        <v>0</v>
      </c>
      <c r="R1725">
        <v>0</v>
      </c>
      <c r="S1725">
        <v>0</v>
      </c>
      <c r="T1725">
        <v>0</v>
      </c>
      <c r="U1725">
        <v>0</v>
      </c>
      <c r="V1725">
        <f>IF(SUM(ifood_data[[#This Row],[AcceptedCmp1]:[AcceptedCmp5]])&gt;0,1,0)</f>
        <v>0</v>
      </c>
      <c r="W1725">
        <v>0</v>
      </c>
      <c r="X1725">
        <v>3</v>
      </c>
      <c r="Y1725">
        <v>11</v>
      </c>
      <c r="Z1725">
        <v>0</v>
      </c>
      <c r="AA1725">
        <v>48</v>
      </c>
      <c r="AB1725">
        <v>2261</v>
      </c>
      <c r="AC1725" s="28">
        <f>ifood_data[[#This Row],[Customer_Days]]/365</f>
        <v>6.1945205479452055</v>
      </c>
      <c r="AD1725">
        <v>0</v>
      </c>
      <c r="AE1725">
        <v>1</v>
      </c>
      <c r="AF1725">
        <v>0</v>
      </c>
      <c r="AG1725">
        <v>0</v>
      </c>
      <c r="AH1725">
        <v>0</v>
      </c>
      <c r="AI1725">
        <v>0</v>
      </c>
      <c r="AJ1725">
        <v>0</v>
      </c>
      <c r="AK1725">
        <v>1</v>
      </c>
      <c r="AL1725">
        <v>0</v>
      </c>
      <c r="AM1725">
        <v>0</v>
      </c>
      <c r="AN1725">
        <v>19</v>
      </c>
      <c r="AO1725">
        <v>14</v>
      </c>
      <c r="AP1725">
        <f>ifood_data[[#This Row],[MntTotal]]-ifood_data[[#This Row],[MntRegularProds]]</f>
        <v>5</v>
      </c>
      <c r="AQ1725">
        <v>0</v>
      </c>
      <c r="AR1725">
        <f>IF(SUM(ifood_data[[#This Row],[Kidhome]:[Teenhome]])&gt;0,1,0)</f>
        <v>1</v>
      </c>
      <c r="AS1725" t="str">
        <f>IF(SUM(ifood_data[[#This Row],[Kidhome]:[Teenhome]])&gt;0,"Has Family","No Family")</f>
        <v>Has Family</v>
      </c>
      <c r="AT1725" t="str">
        <f>IF(ifood_data[[#This Row],[marital_Married]]=1,"Married", (IF(ifood_data[[#This Row],[marital_Single]]=1,"Single",(IF(ifood_data[[#This Row],[marital_Divorced]]=1,"Divorced",(IF(ifood_data[[#This Row],[marital_Together]]=1,"Living Together",(IF(ifood_data[[#This Row],[marital_Widow]]=1,"Widow","Other")))))))))</f>
        <v>Married</v>
      </c>
      <c r="AU1725" t="str">
        <f>IF(ifood_data[[#This Row],[education_Basic]]=1,"High School",(IF(ifood_data[[#This Row],[education_Graduation]]=1,"Undergraduate Degree",(IF(SUM(AM1725,AL1725,AI1725)&gt;0,"Master's Degree or Higher","Other")))))</f>
        <v>Undergraduate Degree</v>
      </c>
      <c r="AV1725" t="str">
        <f>IF(ifood_data[[#All],[Income]]&gt;75000,"75K+",(IF(ifood_data[[#All],[Income]]&gt;50000,"50K-75K",(IF(ifood_data[[#All],[Income]]&gt;35000,"35K-50K","&lt;35K")))))</f>
        <v>&lt;35K</v>
      </c>
      <c r="AW1725" t="str">
        <f>IF(ifood_data[[#All],[Age]]&gt;60,"60+",(IF(ifood_data[[#All],[Age]]&gt;50,"50-60",(IF(ifood_data[[#All],[Age]]&gt;40,"40-50",(IF(ifood_data[[#All],[Age]]&gt;30,"30-40","&lt;30")))))))</f>
        <v>40-50</v>
      </c>
      <c r="AX1725">
        <f t="shared" si="104"/>
        <v>11</v>
      </c>
      <c r="AY1725">
        <f t="shared" si="105"/>
        <v>10</v>
      </c>
      <c r="AZ1725">
        <f t="shared" si="106"/>
        <v>0</v>
      </c>
      <c r="BA1725">
        <f t="shared" si="107"/>
        <v>0</v>
      </c>
      <c r="BB1725">
        <f>SUM(ifood_data[[#This Row],[Recency Score]:[Monetary Score]])</f>
        <v>10</v>
      </c>
      <c r="BC1725">
        <f>(_xlfn.PERCENTRANK.INC(ifood_data[[#All],[RFM]],ifood_data[[#This Row],[RFM]],1))*10</f>
        <v>2</v>
      </c>
      <c r="BD1725" t="str">
        <f>VLOOKUP(ifood_data[[#This Row],[RFM Score]],'RFM Analysis'!$A$3:$B$14,2,FALSE)</f>
        <v>At Risk</v>
      </c>
      <c r="BE1725">
        <f>'Regression Models'!$B$101+'Regression Models'!$B$102*ifood_data[[#This Row],[Income]]+'Regression Models'!$B$103*ifood_data[[#This Row],[Age]]+'Regression Models'!$B$104*ifood_data[[#This Row],[Family]]</f>
        <v>55.606635905760754</v>
      </c>
      <c r="BF1725" t="str">
        <f>IF(ifood_data[[#This Row],[AcceptedCmpOverall]]=1,"Campaign Respondent","Non-respondent")</f>
        <v>Non-respondent</v>
      </c>
    </row>
    <row r="1726" spans="1:58" x14ac:dyDescent="0.35">
      <c r="A1726">
        <v>1707</v>
      </c>
      <c r="B1726">
        <v>30538</v>
      </c>
      <c r="C1726">
        <v>1</v>
      </c>
      <c r="D1726">
        <v>0</v>
      </c>
      <c r="E1726">
        <v>27</v>
      </c>
      <c r="F1726">
        <v>284</v>
      </c>
      <c r="G1726">
        <v>0</v>
      </c>
      <c r="H1726">
        <v>52</v>
      </c>
      <c r="I1726">
        <v>8</v>
      </c>
      <c r="J1726">
        <v>3</v>
      </c>
      <c r="K1726">
        <v>20</v>
      </c>
      <c r="L1726">
        <v>4</v>
      </c>
      <c r="M1726">
        <v>9</v>
      </c>
      <c r="N1726">
        <v>0</v>
      </c>
      <c r="O1726">
        <v>4</v>
      </c>
      <c r="P1726">
        <v>10</v>
      </c>
      <c r="Q1726">
        <v>0</v>
      </c>
      <c r="R1726">
        <v>0</v>
      </c>
      <c r="S1726">
        <v>0</v>
      </c>
      <c r="T1726">
        <v>0</v>
      </c>
      <c r="U1726">
        <v>0</v>
      </c>
      <c r="V1726">
        <f>IF(SUM(ifood_data[[#This Row],[AcceptedCmp1]:[AcceptedCmp5]])&gt;0,1,0)</f>
        <v>0</v>
      </c>
      <c r="W1726">
        <v>0</v>
      </c>
      <c r="X1726">
        <v>3</v>
      </c>
      <c r="Y1726">
        <v>11</v>
      </c>
      <c r="Z1726">
        <v>0</v>
      </c>
      <c r="AA1726">
        <v>49</v>
      </c>
      <c r="AB1726">
        <v>2795</v>
      </c>
      <c r="AC1726" s="28">
        <f>ifood_data[[#This Row],[Customer_Days]]/365</f>
        <v>7.6575342465753424</v>
      </c>
      <c r="AD1726">
        <v>0</v>
      </c>
      <c r="AE1726">
        <v>0</v>
      </c>
      <c r="AF1726">
        <v>0</v>
      </c>
      <c r="AG1726">
        <v>1</v>
      </c>
      <c r="AH1726">
        <v>0</v>
      </c>
      <c r="AI1726">
        <v>0</v>
      </c>
      <c r="AJ1726">
        <v>0</v>
      </c>
      <c r="AK1726">
        <v>0</v>
      </c>
      <c r="AL1726">
        <v>1</v>
      </c>
      <c r="AM1726">
        <v>0</v>
      </c>
      <c r="AN1726">
        <v>347</v>
      </c>
      <c r="AO1726">
        <v>327</v>
      </c>
      <c r="AP1726">
        <f>ifood_data[[#This Row],[MntTotal]]-ifood_data[[#This Row],[MntRegularProds]]</f>
        <v>20</v>
      </c>
      <c r="AQ1726">
        <v>0</v>
      </c>
      <c r="AR1726">
        <f>IF(SUM(ifood_data[[#This Row],[Kidhome]:[Teenhome]])&gt;0,1,0)</f>
        <v>1</v>
      </c>
      <c r="AS1726" t="str">
        <f>IF(SUM(ifood_data[[#This Row],[Kidhome]:[Teenhome]])&gt;0,"Has Family","No Family")</f>
        <v>Has Family</v>
      </c>
      <c r="AT1726" t="str">
        <f>IF(ifood_data[[#This Row],[marital_Married]]=1,"Married", (IF(ifood_data[[#This Row],[marital_Single]]=1,"Single",(IF(ifood_data[[#This Row],[marital_Divorced]]=1,"Divorced",(IF(ifood_data[[#This Row],[marital_Together]]=1,"Living Together",(IF(ifood_data[[#This Row],[marital_Widow]]=1,"Widow","Other")))))))))</f>
        <v>Living Together</v>
      </c>
      <c r="AU1726" t="str">
        <f>IF(ifood_data[[#This Row],[education_Basic]]=1,"High School",(IF(ifood_data[[#This Row],[education_Graduation]]=1,"Undergraduate Degree",(IF(SUM(AM1726,AL1726,AI1726)&gt;0,"Master's Degree or Higher","Other")))))</f>
        <v>Master's Degree or Higher</v>
      </c>
      <c r="AV1726" t="str">
        <f>IF(ifood_data[[#All],[Income]]&gt;75000,"75K+",(IF(ifood_data[[#All],[Income]]&gt;50000,"50K-75K",(IF(ifood_data[[#All],[Income]]&gt;35000,"35K-50K","&lt;35K")))))</f>
        <v>&lt;35K</v>
      </c>
      <c r="AW1726" t="str">
        <f>IF(ifood_data[[#All],[Age]]&gt;60,"60+",(IF(ifood_data[[#All],[Age]]&gt;50,"50-60",(IF(ifood_data[[#All],[Age]]&gt;40,"40-50",(IF(ifood_data[[#All],[Age]]&gt;30,"30-40","&lt;30")))))))</f>
        <v>40-50</v>
      </c>
      <c r="AX1726">
        <f t="shared" si="104"/>
        <v>27</v>
      </c>
      <c r="AY1726">
        <f t="shared" si="105"/>
        <v>8</v>
      </c>
      <c r="AZ1726">
        <f t="shared" si="106"/>
        <v>7</v>
      </c>
      <c r="BA1726">
        <f t="shared" si="107"/>
        <v>5</v>
      </c>
      <c r="BB1726">
        <f>SUM(ifood_data[[#This Row],[Recency Score]:[Monetary Score]])</f>
        <v>20</v>
      </c>
      <c r="BC1726">
        <f>(_xlfn.PERCENTRANK.INC(ifood_data[[#All],[RFM]],ifood_data[[#This Row],[RFM]],1))*10</f>
        <v>7</v>
      </c>
      <c r="BD1726" t="str">
        <f>VLOOKUP(ifood_data[[#This Row],[RFM Score]],'RFM Analysis'!$A$3:$B$14,2,FALSE)</f>
        <v>Loyal Customer</v>
      </c>
      <c r="BE1726">
        <f>'Regression Models'!$B$101+'Regression Models'!$B$102*ifood_data[[#This Row],[Income]]+'Regression Models'!$B$103*ifood_data[[#This Row],[Age]]+'Regression Models'!$B$104*ifood_data[[#This Row],[Family]]</f>
        <v>55.217799365083351</v>
      </c>
      <c r="BF1726" t="str">
        <f>IF(ifood_data[[#This Row],[AcceptedCmpOverall]]=1,"Campaign Respondent","Non-respondent")</f>
        <v>Non-respondent</v>
      </c>
    </row>
    <row r="1727" spans="1:58" x14ac:dyDescent="0.35">
      <c r="A1727">
        <v>1189</v>
      </c>
      <c r="B1727">
        <v>31454</v>
      </c>
      <c r="C1727">
        <v>1</v>
      </c>
      <c r="D1727">
        <v>1</v>
      </c>
      <c r="E1727">
        <v>40</v>
      </c>
      <c r="F1727">
        <v>28</v>
      </c>
      <c r="G1727">
        <v>0</v>
      </c>
      <c r="H1727">
        <v>11</v>
      </c>
      <c r="I1727">
        <v>0</v>
      </c>
      <c r="J1727">
        <v>0</v>
      </c>
      <c r="K1727">
        <v>9</v>
      </c>
      <c r="L1727">
        <v>3</v>
      </c>
      <c r="M1727">
        <v>2</v>
      </c>
      <c r="N1727">
        <v>0</v>
      </c>
      <c r="O1727">
        <v>3</v>
      </c>
      <c r="P1727">
        <v>8</v>
      </c>
      <c r="Q1727">
        <v>0</v>
      </c>
      <c r="R1727">
        <v>0</v>
      </c>
      <c r="S1727">
        <v>0</v>
      </c>
      <c r="T1727">
        <v>0</v>
      </c>
      <c r="U1727">
        <v>0</v>
      </c>
      <c r="V1727">
        <f>IF(SUM(ifood_data[[#This Row],[AcceptedCmp1]:[AcceptedCmp5]])&gt;0,1,0)</f>
        <v>0</v>
      </c>
      <c r="W1727">
        <v>0</v>
      </c>
      <c r="X1727">
        <v>3</v>
      </c>
      <c r="Y1727">
        <v>11</v>
      </c>
      <c r="Z1727">
        <v>0</v>
      </c>
      <c r="AA1727">
        <v>60</v>
      </c>
      <c r="AB1727">
        <v>2517</v>
      </c>
      <c r="AC1727" s="28">
        <f>ifood_data[[#This Row],[Customer_Days]]/365</f>
        <v>6.8958904109589039</v>
      </c>
      <c r="AD1727">
        <v>0</v>
      </c>
      <c r="AE1727">
        <v>1</v>
      </c>
      <c r="AF1727">
        <v>0</v>
      </c>
      <c r="AG1727">
        <v>0</v>
      </c>
      <c r="AH1727">
        <v>0</v>
      </c>
      <c r="AI1727">
        <v>0</v>
      </c>
      <c r="AJ1727">
        <v>0</v>
      </c>
      <c r="AK1727">
        <v>1</v>
      </c>
      <c r="AL1727">
        <v>0</v>
      </c>
      <c r="AM1727">
        <v>0</v>
      </c>
      <c r="AN1727">
        <v>39</v>
      </c>
      <c r="AO1727">
        <v>30</v>
      </c>
      <c r="AP1727">
        <f>ifood_data[[#This Row],[MntTotal]]-ifood_data[[#This Row],[MntRegularProds]]</f>
        <v>9</v>
      </c>
      <c r="AQ1727">
        <v>0</v>
      </c>
      <c r="AR1727">
        <f>IF(SUM(ifood_data[[#This Row],[Kidhome]:[Teenhome]])&gt;0,1,0)</f>
        <v>1</v>
      </c>
      <c r="AS1727" t="str">
        <f>IF(SUM(ifood_data[[#This Row],[Kidhome]:[Teenhome]])&gt;0,"Has Family","No Family")</f>
        <v>Has Family</v>
      </c>
      <c r="AT1727" t="str">
        <f>IF(ifood_data[[#This Row],[marital_Married]]=1,"Married", (IF(ifood_data[[#This Row],[marital_Single]]=1,"Single",(IF(ifood_data[[#This Row],[marital_Divorced]]=1,"Divorced",(IF(ifood_data[[#This Row],[marital_Together]]=1,"Living Together",(IF(ifood_data[[#This Row],[marital_Widow]]=1,"Widow","Other")))))))))</f>
        <v>Married</v>
      </c>
      <c r="AU1727" t="str">
        <f>IF(ifood_data[[#This Row],[education_Basic]]=1,"High School",(IF(ifood_data[[#This Row],[education_Graduation]]=1,"Undergraduate Degree",(IF(SUM(AM1727,AL1727,AI1727)&gt;0,"Master's Degree or Higher","Other")))))</f>
        <v>Undergraduate Degree</v>
      </c>
      <c r="AV1727" t="str">
        <f>IF(ifood_data[[#All],[Income]]&gt;75000,"75K+",(IF(ifood_data[[#All],[Income]]&gt;50000,"50K-75K",(IF(ifood_data[[#All],[Income]]&gt;35000,"35K-50K","&lt;35K")))))</f>
        <v>&lt;35K</v>
      </c>
      <c r="AW1727" t="str">
        <f>IF(ifood_data[[#All],[Age]]&gt;60,"60+",(IF(ifood_data[[#All],[Age]]&gt;50,"50-60",(IF(ifood_data[[#All],[Age]]&gt;40,"40-50",(IF(ifood_data[[#All],[Age]]&gt;30,"30-40","&lt;30")))))))</f>
        <v>50-60</v>
      </c>
      <c r="AX1727">
        <f t="shared" si="104"/>
        <v>16</v>
      </c>
      <c r="AY1727">
        <f t="shared" si="105"/>
        <v>6</v>
      </c>
      <c r="AZ1727">
        <f t="shared" si="106"/>
        <v>3</v>
      </c>
      <c r="BA1727">
        <f t="shared" si="107"/>
        <v>1</v>
      </c>
      <c r="BB1727">
        <f>SUM(ifood_data[[#This Row],[Recency Score]:[Monetary Score]])</f>
        <v>10</v>
      </c>
      <c r="BC1727">
        <f>(_xlfn.PERCENTRANK.INC(ifood_data[[#All],[RFM]],ifood_data[[#This Row],[RFM]],1))*10</f>
        <v>2</v>
      </c>
      <c r="BD1727" t="str">
        <f>VLOOKUP(ifood_data[[#This Row],[RFM Score]],'RFM Analysis'!$A$3:$B$14,2,FALSE)</f>
        <v>At Risk</v>
      </c>
      <c r="BE1727">
        <f>'Regression Models'!$B$101+'Regression Models'!$B$102*ifood_data[[#This Row],[Income]]+'Regression Models'!$B$103*ifood_data[[#This Row],[Age]]+'Regression Models'!$B$104*ifood_data[[#This Row],[Family]]</f>
        <v>53.693081117057659</v>
      </c>
      <c r="BF1727" t="str">
        <f>IF(ifood_data[[#This Row],[AcceptedCmpOverall]]=1,"Campaign Respondent","Non-respondent")</f>
        <v>Non-respondent</v>
      </c>
    </row>
    <row r="1728" spans="1:58" x14ac:dyDescent="0.35">
      <c r="A1728">
        <v>893</v>
      </c>
      <c r="B1728">
        <v>14906</v>
      </c>
      <c r="C1728">
        <v>0</v>
      </c>
      <c r="D1728">
        <v>0</v>
      </c>
      <c r="E1728">
        <v>86</v>
      </c>
      <c r="F1728">
        <v>7</v>
      </c>
      <c r="G1728">
        <v>7</v>
      </c>
      <c r="H1728">
        <v>14</v>
      </c>
      <c r="I1728">
        <v>7</v>
      </c>
      <c r="J1728">
        <v>16</v>
      </c>
      <c r="K1728">
        <v>15</v>
      </c>
      <c r="L1728">
        <v>3</v>
      </c>
      <c r="M1728">
        <v>2</v>
      </c>
      <c r="N1728">
        <v>1</v>
      </c>
      <c r="O1728">
        <v>3</v>
      </c>
      <c r="P1728">
        <v>7</v>
      </c>
      <c r="Q1728">
        <v>0</v>
      </c>
      <c r="R1728">
        <v>0</v>
      </c>
      <c r="S1728">
        <v>0</v>
      </c>
      <c r="T1728">
        <v>0</v>
      </c>
      <c r="U1728">
        <v>0</v>
      </c>
      <c r="V1728">
        <f>IF(SUM(ifood_data[[#This Row],[AcceptedCmp1]:[AcceptedCmp5]])&gt;0,1,0)</f>
        <v>0</v>
      </c>
      <c r="W1728">
        <v>0</v>
      </c>
      <c r="X1728">
        <v>3</v>
      </c>
      <c r="Y1728">
        <v>11</v>
      </c>
      <c r="Z1728">
        <v>0</v>
      </c>
      <c r="AA1728">
        <v>34</v>
      </c>
      <c r="AB1728">
        <v>2713</v>
      </c>
      <c r="AC1728" s="28">
        <f>ifood_data[[#This Row],[Customer_Days]]/365</f>
        <v>7.4328767123287669</v>
      </c>
      <c r="AD1728">
        <v>0</v>
      </c>
      <c r="AE1728">
        <v>0</v>
      </c>
      <c r="AF1728">
        <v>1</v>
      </c>
      <c r="AG1728">
        <v>0</v>
      </c>
      <c r="AH1728">
        <v>0</v>
      </c>
      <c r="AI1728">
        <v>0</v>
      </c>
      <c r="AJ1728">
        <v>1</v>
      </c>
      <c r="AK1728">
        <v>0</v>
      </c>
      <c r="AL1728">
        <v>0</v>
      </c>
      <c r="AM1728">
        <v>0</v>
      </c>
      <c r="AN1728">
        <v>51</v>
      </c>
      <c r="AO1728">
        <v>36</v>
      </c>
      <c r="AP1728">
        <f>ifood_data[[#This Row],[MntTotal]]-ifood_data[[#This Row],[MntRegularProds]]</f>
        <v>15</v>
      </c>
      <c r="AQ1728">
        <v>0</v>
      </c>
      <c r="AR1728">
        <f>IF(SUM(ifood_data[[#This Row],[Kidhome]:[Teenhome]])&gt;0,1,0)</f>
        <v>0</v>
      </c>
      <c r="AS1728" t="str">
        <f>IF(SUM(ifood_data[[#This Row],[Kidhome]:[Teenhome]])&gt;0,"Has Family","No Family")</f>
        <v>No Family</v>
      </c>
      <c r="AT1728" t="str">
        <f>IF(ifood_data[[#This Row],[marital_Married]]=1,"Married", (IF(ifood_data[[#This Row],[marital_Single]]=1,"Single",(IF(ifood_data[[#This Row],[marital_Divorced]]=1,"Divorced",(IF(ifood_data[[#This Row],[marital_Together]]=1,"Living Together",(IF(ifood_data[[#This Row],[marital_Widow]]=1,"Widow","Other")))))))))</f>
        <v>Single</v>
      </c>
      <c r="AU1728" t="str">
        <f>IF(ifood_data[[#This Row],[education_Basic]]=1,"High School",(IF(ifood_data[[#This Row],[education_Graduation]]=1,"Undergraduate Degree",(IF(SUM(AM1728,AL1728,AI1728)&gt;0,"Master's Degree or Higher","Other")))))</f>
        <v>High School</v>
      </c>
      <c r="AV1728" t="str">
        <f>IF(ifood_data[[#All],[Income]]&gt;75000,"75K+",(IF(ifood_data[[#All],[Income]]&gt;50000,"50K-75K",(IF(ifood_data[[#All],[Income]]&gt;35000,"35K-50K","&lt;35K")))))</f>
        <v>&lt;35K</v>
      </c>
      <c r="AW1728" t="str">
        <f>IF(ifood_data[[#All],[Age]]&gt;60,"60+",(IF(ifood_data[[#All],[Age]]&gt;50,"50-60",(IF(ifood_data[[#All],[Age]]&gt;40,"40-50",(IF(ifood_data[[#All],[Age]]&gt;30,"30-40","&lt;30")))))))</f>
        <v>30-40</v>
      </c>
      <c r="AX1728">
        <f t="shared" si="104"/>
        <v>16</v>
      </c>
      <c r="AY1728">
        <f t="shared" si="105"/>
        <v>1.9999999999999996</v>
      </c>
      <c r="AZ1728">
        <f t="shared" si="106"/>
        <v>3</v>
      </c>
      <c r="BA1728">
        <f t="shared" si="107"/>
        <v>2</v>
      </c>
      <c r="BB1728">
        <f>SUM(ifood_data[[#This Row],[Recency Score]:[Monetary Score]])</f>
        <v>7</v>
      </c>
      <c r="BC1728">
        <f>(_xlfn.PERCENTRANK.INC(ifood_data[[#All],[RFM]],ifood_data[[#This Row],[RFM]],1))*10</f>
        <v>1</v>
      </c>
      <c r="BD1728" t="str">
        <f>VLOOKUP(ifood_data[[#This Row],[RFM Score]],'RFM Analysis'!$A$3:$B$14,2,FALSE)</f>
        <v>At Risk</v>
      </c>
      <c r="BE1728">
        <f>'Regression Models'!$B$101+'Regression Models'!$B$102*ifood_data[[#This Row],[Income]]+'Regression Models'!$B$103*ifood_data[[#This Row],[Age]]+'Regression Models'!$B$104*ifood_data[[#This Row],[Family]]</f>
        <v>53.660792996085362</v>
      </c>
      <c r="BF1728" t="str">
        <f>IF(ifood_data[[#This Row],[AcceptedCmpOverall]]=1,"Campaign Respondent","Non-respondent")</f>
        <v>Non-respondent</v>
      </c>
    </row>
    <row r="1729" spans="1:58" x14ac:dyDescent="0.35">
      <c r="A1729">
        <v>109</v>
      </c>
      <c r="B1729">
        <v>30753</v>
      </c>
      <c r="C1729">
        <v>1</v>
      </c>
      <c r="D1729">
        <v>1</v>
      </c>
      <c r="E1729">
        <v>85</v>
      </c>
      <c r="F1729">
        <v>12</v>
      </c>
      <c r="G1729">
        <v>5</v>
      </c>
      <c r="H1729">
        <v>25</v>
      </c>
      <c r="I1729">
        <v>0</v>
      </c>
      <c r="J1729">
        <v>9</v>
      </c>
      <c r="K1729">
        <v>30</v>
      </c>
      <c r="L1729">
        <v>2</v>
      </c>
      <c r="M1729">
        <v>1</v>
      </c>
      <c r="N1729">
        <v>1</v>
      </c>
      <c r="O1729">
        <v>3</v>
      </c>
      <c r="P1729">
        <v>5</v>
      </c>
      <c r="Q1729">
        <v>0</v>
      </c>
      <c r="R1729">
        <v>0</v>
      </c>
      <c r="S1729">
        <v>0</v>
      </c>
      <c r="T1729">
        <v>0</v>
      </c>
      <c r="U1729">
        <v>0</v>
      </c>
      <c r="V1729">
        <f>IF(SUM(ifood_data[[#This Row],[AcceptedCmp1]:[AcceptedCmp5]])&gt;0,1,0)</f>
        <v>0</v>
      </c>
      <c r="W1729">
        <v>0</v>
      </c>
      <c r="X1729">
        <v>3</v>
      </c>
      <c r="Y1729">
        <v>11</v>
      </c>
      <c r="Z1729">
        <v>0</v>
      </c>
      <c r="AA1729">
        <v>53</v>
      </c>
      <c r="AB1729">
        <v>2512</v>
      </c>
      <c r="AC1729" s="28">
        <f>ifood_data[[#This Row],[Customer_Days]]/365</f>
        <v>6.882191780821918</v>
      </c>
      <c r="AD1729">
        <v>0</v>
      </c>
      <c r="AE1729">
        <v>0</v>
      </c>
      <c r="AF1729">
        <v>0</v>
      </c>
      <c r="AG1729">
        <v>1</v>
      </c>
      <c r="AH1729">
        <v>0</v>
      </c>
      <c r="AI1729">
        <v>1</v>
      </c>
      <c r="AJ1729">
        <v>0</v>
      </c>
      <c r="AK1729">
        <v>0</v>
      </c>
      <c r="AL1729">
        <v>0</v>
      </c>
      <c r="AM1729">
        <v>0</v>
      </c>
      <c r="AN1729">
        <v>51</v>
      </c>
      <c r="AO1729">
        <v>21</v>
      </c>
      <c r="AP1729">
        <f>ifood_data[[#This Row],[MntTotal]]-ifood_data[[#This Row],[MntRegularProds]]</f>
        <v>30</v>
      </c>
      <c r="AQ1729">
        <v>0</v>
      </c>
      <c r="AR1729">
        <f>IF(SUM(ifood_data[[#This Row],[Kidhome]:[Teenhome]])&gt;0,1,0)</f>
        <v>1</v>
      </c>
      <c r="AS1729" t="str">
        <f>IF(SUM(ifood_data[[#This Row],[Kidhome]:[Teenhome]])&gt;0,"Has Family","No Family")</f>
        <v>Has Family</v>
      </c>
      <c r="AT1729" t="str">
        <f>IF(ifood_data[[#This Row],[marital_Married]]=1,"Married", (IF(ifood_data[[#This Row],[marital_Single]]=1,"Single",(IF(ifood_data[[#This Row],[marital_Divorced]]=1,"Divorced",(IF(ifood_data[[#This Row],[marital_Together]]=1,"Living Together",(IF(ifood_data[[#This Row],[marital_Widow]]=1,"Widow","Other")))))))))</f>
        <v>Living Together</v>
      </c>
      <c r="AU1729" t="str">
        <f>IF(ifood_data[[#This Row],[education_Basic]]=1,"High School",(IF(ifood_data[[#This Row],[education_Graduation]]=1,"Undergraduate Degree",(IF(SUM(AM1729,AL1729,AI1729)&gt;0,"Master's Degree or Higher","Other")))))</f>
        <v>Master's Degree or Higher</v>
      </c>
      <c r="AV1729" t="str">
        <f>IF(ifood_data[[#All],[Income]]&gt;75000,"75K+",(IF(ifood_data[[#All],[Income]]&gt;50000,"50K-75K",(IF(ifood_data[[#All],[Income]]&gt;35000,"35K-50K","&lt;35K")))))</f>
        <v>&lt;35K</v>
      </c>
      <c r="AW1729" t="str">
        <f>IF(ifood_data[[#All],[Age]]&gt;60,"60+",(IF(ifood_data[[#All],[Age]]&gt;50,"50-60",(IF(ifood_data[[#All],[Age]]&gt;40,"40-50",(IF(ifood_data[[#All],[Age]]&gt;30,"30-40","&lt;30")))))))</f>
        <v>50-60</v>
      </c>
      <c r="AX1729">
        <f t="shared" si="104"/>
        <v>12</v>
      </c>
      <c r="AY1729">
        <f t="shared" si="105"/>
        <v>1.9999999999999996</v>
      </c>
      <c r="AZ1729">
        <f t="shared" si="106"/>
        <v>1</v>
      </c>
      <c r="BA1729">
        <f t="shared" si="107"/>
        <v>2</v>
      </c>
      <c r="BB1729">
        <f>SUM(ifood_data[[#This Row],[Recency Score]:[Monetary Score]])</f>
        <v>5</v>
      </c>
      <c r="BC1729">
        <f>(_xlfn.PERCENTRANK.INC(ifood_data[[#All],[RFM]],ifood_data[[#This Row],[RFM]],1))*10</f>
        <v>0</v>
      </c>
      <c r="BD1729" t="str">
        <f>VLOOKUP(ifood_data[[#This Row],[RFM Score]],'RFM Analysis'!$A$3:$B$14,2,FALSE)</f>
        <v>Lost</v>
      </c>
      <c r="BE1729">
        <f>'Regression Models'!$B$101+'Regression Models'!$B$102*ifood_data[[#This Row],[Income]]+'Regression Models'!$B$103*ifood_data[[#This Row],[Age]]+'Regression Models'!$B$104*ifood_data[[#This Row],[Family]]</f>
        <v>52.255628200444448</v>
      </c>
      <c r="BF1729" t="str">
        <f>IF(ifood_data[[#This Row],[AcceptedCmpOverall]]=1,"Campaign Respondent","Non-respondent")</f>
        <v>Non-respondent</v>
      </c>
    </row>
    <row r="1730" spans="1:58" x14ac:dyDescent="0.35">
      <c r="A1730">
        <v>807</v>
      </c>
      <c r="B1730">
        <v>30843</v>
      </c>
      <c r="C1730">
        <v>1</v>
      </c>
      <c r="D1730">
        <v>1</v>
      </c>
      <c r="E1730">
        <v>43</v>
      </c>
      <c r="F1730">
        <v>24</v>
      </c>
      <c r="G1730">
        <v>0</v>
      </c>
      <c r="H1730">
        <v>2</v>
      </c>
      <c r="I1730">
        <v>0</v>
      </c>
      <c r="J1730">
        <v>0</v>
      </c>
      <c r="K1730">
        <v>9</v>
      </c>
      <c r="L1730">
        <v>2</v>
      </c>
      <c r="M1730">
        <v>1</v>
      </c>
      <c r="N1730">
        <v>1</v>
      </c>
      <c r="O1730">
        <v>2</v>
      </c>
      <c r="P1730">
        <v>5</v>
      </c>
      <c r="Q1730">
        <v>0</v>
      </c>
      <c r="R1730">
        <v>0</v>
      </c>
      <c r="S1730">
        <v>1</v>
      </c>
      <c r="T1730">
        <v>0</v>
      </c>
      <c r="U1730">
        <v>0</v>
      </c>
      <c r="V1730">
        <f>IF(SUM(ifood_data[[#This Row],[AcceptedCmp1]:[AcceptedCmp5]])&gt;0,1,0)</f>
        <v>1</v>
      </c>
      <c r="W1730">
        <v>0</v>
      </c>
      <c r="X1730">
        <v>3</v>
      </c>
      <c r="Y1730">
        <v>11</v>
      </c>
      <c r="Z1730">
        <v>0</v>
      </c>
      <c r="AA1730">
        <v>54</v>
      </c>
      <c r="AB1730">
        <v>2193</v>
      </c>
      <c r="AC1730" s="28">
        <f>ifood_data[[#This Row],[Customer_Days]]/365</f>
        <v>6.0082191780821921</v>
      </c>
      <c r="AD1730">
        <v>0</v>
      </c>
      <c r="AE1730">
        <v>0</v>
      </c>
      <c r="AF1730">
        <v>0</v>
      </c>
      <c r="AG1730">
        <v>1</v>
      </c>
      <c r="AH1730">
        <v>0</v>
      </c>
      <c r="AI1730">
        <v>0</v>
      </c>
      <c r="AJ1730">
        <v>0</v>
      </c>
      <c r="AK1730">
        <v>0</v>
      </c>
      <c r="AL1730">
        <v>0</v>
      </c>
      <c r="AM1730">
        <v>1</v>
      </c>
      <c r="AN1730">
        <v>26</v>
      </c>
      <c r="AO1730">
        <v>17</v>
      </c>
      <c r="AP1730">
        <f>ifood_data[[#This Row],[MntTotal]]-ifood_data[[#This Row],[MntRegularProds]]</f>
        <v>9</v>
      </c>
      <c r="AQ1730">
        <v>1</v>
      </c>
      <c r="AR1730">
        <f>IF(SUM(ifood_data[[#This Row],[Kidhome]:[Teenhome]])&gt;0,1,0)</f>
        <v>1</v>
      </c>
      <c r="AS1730" t="str">
        <f>IF(SUM(ifood_data[[#This Row],[Kidhome]:[Teenhome]])&gt;0,"Has Family","No Family")</f>
        <v>Has Family</v>
      </c>
      <c r="AT1730" t="str">
        <f>IF(ifood_data[[#This Row],[marital_Married]]=1,"Married", (IF(ifood_data[[#This Row],[marital_Single]]=1,"Single",(IF(ifood_data[[#This Row],[marital_Divorced]]=1,"Divorced",(IF(ifood_data[[#This Row],[marital_Together]]=1,"Living Together",(IF(ifood_data[[#This Row],[marital_Widow]]=1,"Widow","Other")))))))))</f>
        <v>Living Together</v>
      </c>
      <c r="AU1730" t="str">
        <f>IF(ifood_data[[#This Row],[education_Basic]]=1,"High School",(IF(ifood_data[[#This Row],[education_Graduation]]=1,"Undergraduate Degree",(IF(SUM(AM1730,AL1730,AI1730)&gt;0,"Master's Degree or Higher","Other")))))</f>
        <v>Master's Degree or Higher</v>
      </c>
      <c r="AV1730" t="str">
        <f>IF(ifood_data[[#All],[Income]]&gt;75000,"75K+",(IF(ifood_data[[#All],[Income]]&gt;50000,"50K-75K",(IF(ifood_data[[#All],[Income]]&gt;35000,"35K-50K","&lt;35K")))))</f>
        <v>&lt;35K</v>
      </c>
      <c r="AW1730" t="str">
        <f>IF(ifood_data[[#All],[Age]]&gt;60,"60+",(IF(ifood_data[[#All],[Age]]&gt;50,"50-60",(IF(ifood_data[[#All],[Age]]&gt;40,"40-50",(IF(ifood_data[[#All],[Age]]&gt;30,"30-40","&lt;30")))))))</f>
        <v>50-60</v>
      </c>
      <c r="AX1730">
        <f t="shared" ref="AX1730:AX1793" si="108">SUM(L1730:P1730)</f>
        <v>11</v>
      </c>
      <c r="AY1730">
        <f t="shared" ref="AY1730:AY1793" si="109">(1-_xlfn.PERCENTRANK.INC($E$2:$E$2022,E1730,1))*10</f>
        <v>6</v>
      </c>
      <c r="AZ1730">
        <f t="shared" ref="AZ1730:AZ1793" si="110">_xlfn.PERCENTRANK.INC($AX$2:$AX$2022,AX1730,1)*10</f>
        <v>0</v>
      </c>
      <c r="BA1730">
        <f t="shared" ref="BA1730:BA1793" si="111">_xlfn.PERCENTRANK.INC($AN$2:$AN$2022,AN1730,1)*10</f>
        <v>0</v>
      </c>
      <c r="BB1730">
        <f>SUM(ifood_data[[#This Row],[Recency Score]:[Monetary Score]])</f>
        <v>6</v>
      </c>
      <c r="BC1730">
        <f>(_xlfn.PERCENTRANK.INC(ifood_data[[#All],[RFM]],ifood_data[[#This Row],[RFM]],1))*10</f>
        <v>0</v>
      </c>
      <c r="BD1730" t="str">
        <f>VLOOKUP(ifood_data[[#This Row],[RFM Score]],'RFM Analysis'!$A$3:$B$14,2,FALSE)</f>
        <v>Lost</v>
      </c>
      <c r="BE1730">
        <f>'Regression Models'!$B$101+'Regression Models'!$B$102*ifood_data[[#This Row],[Income]]+'Regression Models'!$B$103*ifood_data[[#This Row],[Age]]+'Regression Models'!$B$104*ifood_data[[#This Row],[Family]]</f>
        <v>52.254178254501085</v>
      </c>
      <c r="BF1730" t="str">
        <f>IF(ifood_data[[#This Row],[AcceptedCmpOverall]]=1,"Campaign Respondent","Non-respondent")</f>
        <v>Campaign Respondent</v>
      </c>
    </row>
    <row r="1731" spans="1:58" x14ac:dyDescent="0.35">
      <c r="A1731">
        <v>328</v>
      </c>
      <c r="B1731">
        <v>30372</v>
      </c>
      <c r="C1731">
        <v>1</v>
      </c>
      <c r="D1731">
        <v>1</v>
      </c>
      <c r="E1731">
        <v>33</v>
      </c>
      <c r="F1731">
        <v>15</v>
      </c>
      <c r="G1731">
        <v>0</v>
      </c>
      <c r="H1731">
        <v>12</v>
      </c>
      <c r="I1731">
        <v>7</v>
      </c>
      <c r="J1731">
        <v>3</v>
      </c>
      <c r="K1731">
        <v>7</v>
      </c>
      <c r="L1731">
        <v>3</v>
      </c>
      <c r="M1731">
        <v>2</v>
      </c>
      <c r="N1731">
        <v>0</v>
      </c>
      <c r="O1731">
        <v>3</v>
      </c>
      <c r="P1731">
        <v>7</v>
      </c>
      <c r="Q1731">
        <v>0</v>
      </c>
      <c r="R1731">
        <v>0</v>
      </c>
      <c r="S1731">
        <v>0</v>
      </c>
      <c r="T1731">
        <v>0</v>
      </c>
      <c r="U1731">
        <v>0</v>
      </c>
      <c r="V1731">
        <f>IF(SUM(ifood_data[[#This Row],[AcceptedCmp1]:[AcceptedCmp5]])&gt;0,1,0)</f>
        <v>0</v>
      </c>
      <c r="W1731">
        <v>0</v>
      </c>
      <c r="X1731">
        <v>3</v>
      </c>
      <c r="Y1731">
        <v>11</v>
      </c>
      <c r="Z1731">
        <v>0</v>
      </c>
      <c r="AA1731">
        <v>49</v>
      </c>
      <c r="AB1731">
        <v>2710</v>
      </c>
      <c r="AC1731" s="28">
        <f>ifood_data[[#This Row],[Customer_Days]]/365</f>
        <v>7.4246575342465757</v>
      </c>
      <c r="AD1731">
        <v>0</v>
      </c>
      <c r="AE1731">
        <v>0</v>
      </c>
      <c r="AF1731">
        <v>0</v>
      </c>
      <c r="AG1731">
        <v>0</v>
      </c>
      <c r="AH1731">
        <v>1</v>
      </c>
      <c r="AI1731">
        <v>0</v>
      </c>
      <c r="AJ1731">
        <v>0</v>
      </c>
      <c r="AK1731">
        <v>1</v>
      </c>
      <c r="AL1731">
        <v>0</v>
      </c>
      <c r="AM1731">
        <v>0</v>
      </c>
      <c r="AN1731">
        <v>37</v>
      </c>
      <c r="AO1731">
        <v>30</v>
      </c>
      <c r="AP1731">
        <f>ifood_data[[#This Row],[MntTotal]]-ifood_data[[#This Row],[MntRegularProds]]</f>
        <v>7</v>
      </c>
      <c r="AQ1731">
        <v>0</v>
      </c>
      <c r="AR1731">
        <f>IF(SUM(ifood_data[[#This Row],[Kidhome]:[Teenhome]])&gt;0,1,0)</f>
        <v>1</v>
      </c>
      <c r="AS1731" t="str">
        <f>IF(SUM(ifood_data[[#This Row],[Kidhome]:[Teenhome]])&gt;0,"Has Family","No Family")</f>
        <v>Has Family</v>
      </c>
      <c r="AT1731" t="str">
        <f>IF(ifood_data[[#This Row],[marital_Married]]=1,"Married", (IF(ifood_data[[#This Row],[marital_Single]]=1,"Single",(IF(ifood_data[[#This Row],[marital_Divorced]]=1,"Divorced",(IF(ifood_data[[#This Row],[marital_Together]]=1,"Living Together",(IF(ifood_data[[#This Row],[marital_Widow]]=1,"Widow","Other")))))))))</f>
        <v>Widow</v>
      </c>
      <c r="AU1731" t="str">
        <f>IF(ifood_data[[#This Row],[education_Basic]]=1,"High School",(IF(ifood_data[[#This Row],[education_Graduation]]=1,"Undergraduate Degree",(IF(SUM(AM1731,AL1731,AI1731)&gt;0,"Master's Degree or Higher","Other")))))</f>
        <v>Undergraduate Degree</v>
      </c>
      <c r="AV1731" t="str">
        <f>IF(ifood_data[[#All],[Income]]&gt;75000,"75K+",(IF(ifood_data[[#All],[Income]]&gt;50000,"50K-75K",(IF(ifood_data[[#All],[Income]]&gt;35000,"35K-50K","&lt;35K")))))</f>
        <v>&lt;35K</v>
      </c>
      <c r="AW1731" t="str">
        <f>IF(ifood_data[[#All],[Age]]&gt;60,"60+",(IF(ifood_data[[#All],[Age]]&gt;50,"50-60",(IF(ifood_data[[#All],[Age]]&gt;40,"40-50",(IF(ifood_data[[#All],[Age]]&gt;30,"30-40","&lt;30")))))))</f>
        <v>40-50</v>
      </c>
      <c r="AX1731">
        <f t="shared" si="108"/>
        <v>15</v>
      </c>
      <c r="AY1731">
        <f t="shared" si="109"/>
        <v>7</v>
      </c>
      <c r="AZ1731">
        <f t="shared" si="110"/>
        <v>2</v>
      </c>
      <c r="BA1731">
        <f t="shared" si="111"/>
        <v>1</v>
      </c>
      <c r="BB1731">
        <f>SUM(ifood_data[[#This Row],[Recency Score]:[Monetary Score]])</f>
        <v>10</v>
      </c>
      <c r="BC1731">
        <f>(_xlfn.PERCENTRANK.INC(ifood_data[[#All],[RFM]],ifood_data[[#This Row],[RFM]],1))*10</f>
        <v>2</v>
      </c>
      <c r="BD1731" t="str">
        <f>VLOOKUP(ifood_data[[#This Row],[RFM Score]],'RFM Analysis'!$A$3:$B$14,2,FALSE)</f>
        <v>At Risk</v>
      </c>
      <c r="BE1731">
        <f>'Regression Models'!$B$101+'Regression Models'!$B$102*ifood_data[[#This Row],[Income]]+'Regression Models'!$B$103*ifood_data[[#This Row],[Age]]+'Regression Models'!$B$104*ifood_data[[#This Row],[Family]]</f>
        <v>51.833263853196058</v>
      </c>
      <c r="BF1731" t="str">
        <f>IF(ifood_data[[#This Row],[AcceptedCmpOverall]]=1,"Campaign Respondent","Non-respondent")</f>
        <v>Non-respondent</v>
      </c>
    </row>
    <row r="1732" spans="1:58" x14ac:dyDescent="0.35">
      <c r="A1732">
        <v>619</v>
      </c>
      <c r="B1732">
        <v>29103</v>
      </c>
      <c r="C1732">
        <v>1</v>
      </c>
      <c r="D1732">
        <v>0</v>
      </c>
      <c r="E1732">
        <v>38</v>
      </c>
      <c r="F1732">
        <v>16</v>
      </c>
      <c r="G1732">
        <v>0</v>
      </c>
      <c r="H1732">
        <v>17</v>
      </c>
      <c r="I1732">
        <v>6</v>
      </c>
      <c r="J1732">
        <v>3</v>
      </c>
      <c r="K1732">
        <v>6</v>
      </c>
      <c r="L1732">
        <v>2</v>
      </c>
      <c r="M1732">
        <v>1</v>
      </c>
      <c r="N1732">
        <v>0</v>
      </c>
      <c r="O1732">
        <v>3</v>
      </c>
      <c r="P1732">
        <v>9</v>
      </c>
      <c r="Q1732">
        <v>0</v>
      </c>
      <c r="R1732">
        <v>0</v>
      </c>
      <c r="S1732">
        <v>0</v>
      </c>
      <c r="T1732">
        <v>0</v>
      </c>
      <c r="U1732">
        <v>0</v>
      </c>
      <c r="V1732">
        <f>IF(SUM(ifood_data[[#This Row],[AcceptedCmp1]:[AcceptedCmp5]])&gt;0,1,0)</f>
        <v>0</v>
      </c>
      <c r="W1732">
        <v>0</v>
      </c>
      <c r="X1732">
        <v>3</v>
      </c>
      <c r="Y1732">
        <v>11</v>
      </c>
      <c r="Z1732">
        <v>0</v>
      </c>
      <c r="AA1732">
        <v>35</v>
      </c>
      <c r="AB1732">
        <v>2830</v>
      </c>
      <c r="AC1732" s="28">
        <f>ifood_data[[#This Row],[Customer_Days]]/365</f>
        <v>7.7534246575342465</v>
      </c>
      <c r="AD1732">
        <v>0</v>
      </c>
      <c r="AE1732">
        <v>0</v>
      </c>
      <c r="AF1732">
        <v>0</v>
      </c>
      <c r="AG1732">
        <v>1</v>
      </c>
      <c r="AH1732">
        <v>0</v>
      </c>
      <c r="AI1732">
        <v>0</v>
      </c>
      <c r="AJ1732">
        <v>0</v>
      </c>
      <c r="AK1732">
        <v>1</v>
      </c>
      <c r="AL1732">
        <v>0</v>
      </c>
      <c r="AM1732">
        <v>0</v>
      </c>
      <c r="AN1732">
        <v>42</v>
      </c>
      <c r="AO1732">
        <v>36</v>
      </c>
      <c r="AP1732">
        <f>ifood_data[[#This Row],[MntTotal]]-ifood_data[[#This Row],[MntRegularProds]]</f>
        <v>6</v>
      </c>
      <c r="AQ1732">
        <v>0</v>
      </c>
      <c r="AR1732">
        <f>IF(SUM(ifood_data[[#This Row],[Kidhome]:[Teenhome]])&gt;0,1,0)</f>
        <v>1</v>
      </c>
      <c r="AS1732" t="str">
        <f>IF(SUM(ifood_data[[#This Row],[Kidhome]:[Teenhome]])&gt;0,"Has Family","No Family")</f>
        <v>Has Family</v>
      </c>
      <c r="AT1732" t="str">
        <f>IF(ifood_data[[#This Row],[marital_Married]]=1,"Married", (IF(ifood_data[[#This Row],[marital_Single]]=1,"Single",(IF(ifood_data[[#This Row],[marital_Divorced]]=1,"Divorced",(IF(ifood_data[[#This Row],[marital_Together]]=1,"Living Together",(IF(ifood_data[[#This Row],[marital_Widow]]=1,"Widow","Other")))))))))</f>
        <v>Living Together</v>
      </c>
      <c r="AU1732" t="str">
        <f>IF(ifood_data[[#This Row],[education_Basic]]=1,"High School",(IF(ifood_data[[#This Row],[education_Graduation]]=1,"Undergraduate Degree",(IF(SUM(AM1732,AL1732,AI1732)&gt;0,"Master's Degree or Higher","Other")))))</f>
        <v>Undergraduate Degree</v>
      </c>
      <c r="AV1732" t="str">
        <f>IF(ifood_data[[#All],[Income]]&gt;75000,"75K+",(IF(ifood_data[[#All],[Income]]&gt;50000,"50K-75K",(IF(ifood_data[[#All],[Income]]&gt;35000,"35K-50K","&lt;35K")))))</f>
        <v>&lt;35K</v>
      </c>
      <c r="AW1732" t="str">
        <f>IF(ifood_data[[#All],[Age]]&gt;60,"60+",(IF(ifood_data[[#All],[Age]]&gt;50,"50-60",(IF(ifood_data[[#All],[Age]]&gt;40,"40-50",(IF(ifood_data[[#All],[Age]]&gt;30,"30-40","&lt;30")))))))</f>
        <v>30-40</v>
      </c>
      <c r="AX1732">
        <f t="shared" si="108"/>
        <v>15</v>
      </c>
      <c r="AY1732">
        <f t="shared" si="109"/>
        <v>7</v>
      </c>
      <c r="AZ1732">
        <f t="shared" si="110"/>
        <v>2</v>
      </c>
      <c r="BA1732">
        <f t="shared" si="111"/>
        <v>1</v>
      </c>
      <c r="BB1732">
        <f>SUM(ifood_data[[#This Row],[Recency Score]:[Monetary Score]])</f>
        <v>10</v>
      </c>
      <c r="BC1732">
        <f>(_xlfn.PERCENTRANK.INC(ifood_data[[#All],[RFM]],ifood_data[[#This Row],[RFM]],1))*10</f>
        <v>2</v>
      </c>
      <c r="BD1732" t="str">
        <f>VLOOKUP(ifood_data[[#This Row],[RFM Score]],'RFM Analysis'!$A$3:$B$14,2,FALSE)</f>
        <v>At Risk</v>
      </c>
      <c r="BE1732">
        <f>'Regression Models'!$B$101+'Regression Models'!$B$102*ifood_data[[#This Row],[Income]]+'Regression Models'!$B$103*ifood_data[[#This Row],[Age]]+'Regression Models'!$B$104*ifood_data[[#This Row],[Family]]</f>
        <v>51.670064183108309</v>
      </c>
      <c r="BF1732" t="str">
        <f>IF(ifood_data[[#This Row],[AcceptedCmpOverall]]=1,"Campaign Respondent","Non-respondent")</f>
        <v>Non-respondent</v>
      </c>
    </row>
    <row r="1733" spans="1:58" x14ac:dyDescent="0.35">
      <c r="A1733">
        <v>1841</v>
      </c>
      <c r="B1733">
        <v>30261</v>
      </c>
      <c r="C1733">
        <v>1</v>
      </c>
      <c r="D1733">
        <v>2</v>
      </c>
      <c r="E1733">
        <v>75</v>
      </c>
      <c r="F1733">
        <v>8</v>
      </c>
      <c r="G1733">
        <v>0</v>
      </c>
      <c r="H1733">
        <v>5</v>
      </c>
      <c r="I1733">
        <v>0</v>
      </c>
      <c r="J1733">
        <v>3</v>
      </c>
      <c r="K1733">
        <v>6</v>
      </c>
      <c r="L1733">
        <v>1</v>
      </c>
      <c r="M1733">
        <v>0</v>
      </c>
      <c r="N1733">
        <v>0</v>
      </c>
      <c r="O1733">
        <v>3</v>
      </c>
      <c r="P1733">
        <v>8</v>
      </c>
      <c r="Q1733">
        <v>0</v>
      </c>
      <c r="R1733">
        <v>0</v>
      </c>
      <c r="S1733">
        <v>0</v>
      </c>
      <c r="T1733">
        <v>0</v>
      </c>
      <c r="U1733">
        <v>0</v>
      </c>
      <c r="V1733">
        <f>IF(SUM(ifood_data[[#This Row],[AcceptedCmp1]:[AcceptedCmp5]])&gt;0,1,0)</f>
        <v>0</v>
      </c>
      <c r="W1733">
        <v>0</v>
      </c>
      <c r="X1733">
        <v>3</v>
      </c>
      <c r="Y1733">
        <v>11</v>
      </c>
      <c r="Z1733">
        <v>0</v>
      </c>
      <c r="AA1733">
        <v>48</v>
      </c>
      <c r="AB1733">
        <v>2801</v>
      </c>
      <c r="AC1733" s="28">
        <f>ifood_data[[#This Row],[Customer_Days]]/365</f>
        <v>7.6739726027397257</v>
      </c>
      <c r="AD1733">
        <v>0</v>
      </c>
      <c r="AE1733">
        <v>0</v>
      </c>
      <c r="AF1733">
        <v>0</v>
      </c>
      <c r="AG1733">
        <v>1</v>
      </c>
      <c r="AH1733">
        <v>0</v>
      </c>
      <c r="AI1733">
        <v>0</v>
      </c>
      <c r="AJ1733">
        <v>0</v>
      </c>
      <c r="AK1733">
        <v>1</v>
      </c>
      <c r="AL1733">
        <v>0</v>
      </c>
      <c r="AM1733">
        <v>0</v>
      </c>
      <c r="AN1733">
        <v>16</v>
      </c>
      <c r="AO1733">
        <v>10</v>
      </c>
      <c r="AP1733">
        <f>ifood_data[[#This Row],[MntTotal]]-ifood_data[[#This Row],[MntRegularProds]]</f>
        <v>6</v>
      </c>
      <c r="AQ1733">
        <v>0</v>
      </c>
      <c r="AR1733">
        <f>IF(SUM(ifood_data[[#This Row],[Kidhome]:[Teenhome]])&gt;0,1,0)</f>
        <v>1</v>
      </c>
      <c r="AS1733" t="str">
        <f>IF(SUM(ifood_data[[#This Row],[Kidhome]:[Teenhome]])&gt;0,"Has Family","No Family")</f>
        <v>Has Family</v>
      </c>
      <c r="AT1733" t="str">
        <f>IF(ifood_data[[#This Row],[marital_Married]]=1,"Married", (IF(ifood_data[[#This Row],[marital_Single]]=1,"Single",(IF(ifood_data[[#This Row],[marital_Divorced]]=1,"Divorced",(IF(ifood_data[[#This Row],[marital_Together]]=1,"Living Together",(IF(ifood_data[[#This Row],[marital_Widow]]=1,"Widow","Other")))))))))</f>
        <v>Living Together</v>
      </c>
      <c r="AU1733" t="str">
        <f>IF(ifood_data[[#This Row],[education_Basic]]=1,"High School",(IF(ifood_data[[#This Row],[education_Graduation]]=1,"Undergraduate Degree",(IF(SUM(AM1733,AL1733,AI1733)&gt;0,"Master's Degree or Higher","Other")))))</f>
        <v>Undergraduate Degree</v>
      </c>
      <c r="AV1733" t="str">
        <f>IF(ifood_data[[#All],[Income]]&gt;75000,"75K+",(IF(ifood_data[[#All],[Income]]&gt;50000,"50K-75K",(IF(ifood_data[[#All],[Income]]&gt;35000,"35K-50K","&lt;35K")))))</f>
        <v>&lt;35K</v>
      </c>
      <c r="AW1733" t="str">
        <f>IF(ifood_data[[#All],[Age]]&gt;60,"60+",(IF(ifood_data[[#All],[Age]]&gt;50,"50-60",(IF(ifood_data[[#All],[Age]]&gt;40,"40-50",(IF(ifood_data[[#All],[Age]]&gt;30,"30-40","&lt;30")))))))</f>
        <v>40-50</v>
      </c>
      <c r="AX1733">
        <f t="shared" si="108"/>
        <v>12</v>
      </c>
      <c r="AY1733">
        <f t="shared" si="109"/>
        <v>3.0000000000000004</v>
      </c>
      <c r="AZ1733">
        <f t="shared" si="110"/>
        <v>1</v>
      </c>
      <c r="BA1733">
        <f t="shared" si="111"/>
        <v>0</v>
      </c>
      <c r="BB1733">
        <f>SUM(ifood_data[[#This Row],[Recency Score]:[Monetary Score]])</f>
        <v>4</v>
      </c>
      <c r="BC1733">
        <f>(_xlfn.PERCENTRANK.INC(ifood_data[[#All],[RFM]],ifood_data[[#This Row],[RFM]],1))*10</f>
        <v>0</v>
      </c>
      <c r="BD1733" t="str">
        <f>VLOOKUP(ifood_data[[#This Row],[RFM Score]],'RFM Analysis'!$A$3:$B$14,2,FALSE)</f>
        <v>Lost</v>
      </c>
      <c r="BE1733">
        <f>'Regression Models'!$B$101+'Regression Models'!$B$102*ifood_data[[#This Row],[Income]]+'Regression Models'!$B$103*ifood_data[[#This Row],[Age]]+'Regression Models'!$B$104*ifood_data[[#This Row],[Family]]</f>
        <v>51.406549668117577</v>
      </c>
      <c r="BF1733" t="str">
        <f>IF(ifood_data[[#This Row],[AcceptedCmpOverall]]=1,"Campaign Respondent","Non-respondent")</f>
        <v>Non-respondent</v>
      </c>
    </row>
    <row r="1734" spans="1:58" x14ac:dyDescent="0.35">
      <c r="A1734">
        <v>417</v>
      </c>
      <c r="B1734">
        <v>28691</v>
      </c>
      <c r="C1734">
        <v>1</v>
      </c>
      <c r="D1734">
        <v>0</v>
      </c>
      <c r="E1734">
        <v>56</v>
      </c>
      <c r="F1734">
        <v>5</v>
      </c>
      <c r="G1734">
        <v>4</v>
      </c>
      <c r="H1734">
        <v>13</v>
      </c>
      <c r="I1734">
        <v>8</v>
      </c>
      <c r="J1734">
        <v>0</v>
      </c>
      <c r="K1734">
        <v>4</v>
      </c>
      <c r="L1734">
        <v>1</v>
      </c>
      <c r="M1734">
        <v>1</v>
      </c>
      <c r="N1734">
        <v>0</v>
      </c>
      <c r="O1734">
        <v>3</v>
      </c>
      <c r="P1734">
        <v>8</v>
      </c>
      <c r="Q1734">
        <v>0</v>
      </c>
      <c r="R1734">
        <v>0</v>
      </c>
      <c r="S1734">
        <v>0</v>
      </c>
      <c r="T1734">
        <v>0</v>
      </c>
      <c r="U1734">
        <v>0</v>
      </c>
      <c r="V1734">
        <f>IF(SUM(ifood_data[[#This Row],[AcceptedCmp1]:[AcceptedCmp5]])&gt;0,1,0)</f>
        <v>0</v>
      </c>
      <c r="W1734">
        <v>0</v>
      </c>
      <c r="X1734">
        <v>3</v>
      </c>
      <c r="Y1734">
        <v>11</v>
      </c>
      <c r="Z1734">
        <v>0</v>
      </c>
      <c r="AA1734">
        <v>31</v>
      </c>
      <c r="AB1734">
        <v>2519</v>
      </c>
      <c r="AC1734" s="28">
        <f>ifood_data[[#This Row],[Customer_Days]]/365</f>
        <v>6.9013698630136986</v>
      </c>
      <c r="AD1734">
        <v>0</v>
      </c>
      <c r="AE1734">
        <v>1</v>
      </c>
      <c r="AF1734">
        <v>0</v>
      </c>
      <c r="AG1734">
        <v>0</v>
      </c>
      <c r="AH1734">
        <v>0</v>
      </c>
      <c r="AI1734">
        <v>0</v>
      </c>
      <c r="AJ1734">
        <v>0</v>
      </c>
      <c r="AK1734">
        <v>1</v>
      </c>
      <c r="AL1734">
        <v>0</v>
      </c>
      <c r="AM1734">
        <v>0</v>
      </c>
      <c r="AN1734">
        <v>30</v>
      </c>
      <c r="AO1734">
        <v>26</v>
      </c>
      <c r="AP1734">
        <f>ifood_data[[#This Row],[MntTotal]]-ifood_data[[#This Row],[MntRegularProds]]</f>
        <v>4</v>
      </c>
      <c r="AQ1734">
        <v>0</v>
      </c>
      <c r="AR1734">
        <f>IF(SUM(ifood_data[[#This Row],[Kidhome]:[Teenhome]])&gt;0,1,0)</f>
        <v>1</v>
      </c>
      <c r="AS1734" t="str">
        <f>IF(SUM(ifood_data[[#This Row],[Kidhome]:[Teenhome]])&gt;0,"Has Family","No Family")</f>
        <v>Has Family</v>
      </c>
      <c r="AT1734" t="str">
        <f>IF(ifood_data[[#This Row],[marital_Married]]=1,"Married", (IF(ifood_data[[#This Row],[marital_Single]]=1,"Single",(IF(ifood_data[[#This Row],[marital_Divorced]]=1,"Divorced",(IF(ifood_data[[#This Row],[marital_Together]]=1,"Living Together",(IF(ifood_data[[#This Row],[marital_Widow]]=1,"Widow","Other")))))))))</f>
        <v>Married</v>
      </c>
      <c r="AU1734" t="str">
        <f>IF(ifood_data[[#This Row],[education_Basic]]=1,"High School",(IF(ifood_data[[#This Row],[education_Graduation]]=1,"Undergraduate Degree",(IF(SUM(AM1734,AL1734,AI1734)&gt;0,"Master's Degree or Higher","Other")))))</f>
        <v>Undergraduate Degree</v>
      </c>
      <c r="AV1734" t="str">
        <f>IF(ifood_data[[#All],[Income]]&gt;75000,"75K+",(IF(ifood_data[[#All],[Income]]&gt;50000,"50K-75K",(IF(ifood_data[[#All],[Income]]&gt;35000,"35K-50K","&lt;35K")))))</f>
        <v>&lt;35K</v>
      </c>
      <c r="AW1734" t="str">
        <f>IF(ifood_data[[#All],[Age]]&gt;60,"60+",(IF(ifood_data[[#All],[Age]]&gt;50,"50-60",(IF(ifood_data[[#All],[Age]]&gt;40,"40-50",(IF(ifood_data[[#All],[Age]]&gt;30,"30-40","&lt;30")))))))</f>
        <v>30-40</v>
      </c>
      <c r="AX1734">
        <f t="shared" si="108"/>
        <v>13</v>
      </c>
      <c r="AY1734">
        <f t="shared" si="109"/>
        <v>5</v>
      </c>
      <c r="AZ1734">
        <f t="shared" si="110"/>
        <v>1</v>
      </c>
      <c r="BA1734">
        <f t="shared" si="111"/>
        <v>1</v>
      </c>
      <c r="BB1734">
        <f>SUM(ifood_data[[#This Row],[Recency Score]:[Monetary Score]])</f>
        <v>7</v>
      </c>
      <c r="BC1734">
        <f>(_xlfn.PERCENTRANK.INC(ifood_data[[#All],[RFM]],ifood_data[[#This Row],[RFM]],1))*10</f>
        <v>1</v>
      </c>
      <c r="BD1734" t="str">
        <f>VLOOKUP(ifood_data[[#This Row],[RFM Score]],'RFM Analysis'!$A$3:$B$14,2,FALSE)</f>
        <v>At Risk</v>
      </c>
      <c r="BE1734">
        <f>'Regression Models'!$B$101+'Regression Models'!$B$102*ifood_data[[#This Row],[Income]]+'Regression Models'!$B$103*ifood_data[[#This Row],[Age]]+'Regression Models'!$B$104*ifood_data[[#This Row],[Family]]</f>
        <v>50.615648023399046</v>
      </c>
      <c r="BF1734" t="str">
        <f>IF(ifood_data[[#This Row],[AcceptedCmpOverall]]=1,"Campaign Respondent","Non-respondent")</f>
        <v>Non-respondent</v>
      </c>
    </row>
    <row r="1735" spans="1:58" x14ac:dyDescent="0.35">
      <c r="A1735">
        <v>1720</v>
      </c>
      <c r="B1735">
        <v>30396</v>
      </c>
      <c r="C1735">
        <v>1</v>
      </c>
      <c r="D1735">
        <v>0</v>
      </c>
      <c r="E1735">
        <v>22</v>
      </c>
      <c r="F1735">
        <v>15</v>
      </c>
      <c r="G1735">
        <v>0</v>
      </c>
      <c r="H1735">
        <v>6</v>
      </c>
      <c r="I1735">
        <v>0</v>
      </c>
      <c r="J1735">
        <v>1</v>
      </c>
      <c r="K1735">
        <v>12</v>
      </c>
      <c r="L1735">
        <v>2</v>
      </c>
      <c r="M1735">
        <v>1</v>
      </c>
      <c r="N1735">
        <v>1</v>
      </c>
      <c r="O1735">
        <v>2</v>
      </c>
      <c r="P1735">
        <v>7</v>
      </c>
      <c r="Q1735">
        <v>0</v>
      </c>
      <c r="R1735">
        <v>0</v>
      </c>
      <c r="S1735">
        <v>1</v>
      </c>
      <c r="T1735">
        <v>0</v>
      </c>
      <c r="U1735">
        <v>0</v>
      </c>
      <c r="V1735">
        <f>IF(SUM(ifood_data[[#This Row],[AcceptedCmp1]:[AcceptedCmp5]])&gt;0,1,0)</f>
        <v>1</v>
      </c>
      <c r="W1735">
        <v>0</v>
      </c>
      <c r="X1735">
        <v>3</v>
      </c>
      <c r="Y1735">
        <v>11</v>
      </c>
      <c r="Z1735">
        <v>1</v>
      </c>
      <c r="AA1735">
        <v>51</v>
      </c>
      <c r="AB1735">
        <v>2219</v>
      </c>
      <c r="AC1735" s="28">
        <f>ifood_data[[#This Row],[Customer_Days]]/365</f>
        <v>6.0794520547945208</v>
      </c>
      <c r="AD1735">
        <v>0</v>
      </c>
      <c r="AE1735">
        <v>1</v>
      </c>
      <c r="AF1735">
        <v>0</v>
      </c>
      <c r="AG1735">
        <v>0</v>
      </c>
      <c r="AH1735">
        <v>0</v>
      </c>
      <c r="AI1735">
        <v>0</v>
      </c>
      <c r="AJ1735">
        <v>0</v>
      </c>
      <c r="AK1735">
        <v>0</v>
      </c>
      <c r="AL1735">
        <v>0</v>
      </c>
      <c r="AM1735">
        <v>1</v>
      </c>
      <c r="AN1735">
        <v>22</v>
      </c>
      <c r="AO1735">
        <v>10</v>
      </c>
      <c r="AP1735">
        <f>ifood_data[[#This Row],[MntTotal]]-ifood_data[[#This Row],[MntRegularProds]]</f>
        <v>12</v>
      </c>
      <c r="AQ1735">
        <v>1</v>
      </c>
      <c r="AR1735">
        <f>IF(SUM(ifood_data[[#This Row],[Kidhome]:[Teenhome]])&gt;0,1,0)</f>
        <v>1</v>
      </c>
      <c r="AS1735" t="str">
        <f>IF(SUM(ifood_data[[#This Row],[Kidhome]:[Teenhome]])&gt;0,"Has Family","No Family")</f>
        <v>Has Family</v>
      </c>
      <c r="AT1735" t="str">
        <f>IF(ifood_data[[#This Row],[marital_Married]]=1,"Married", (IF(ifood_data[[#This Row],[marital_Single]]=1,"Single",(IF(ifood_data[[#This Row],[marital_Divorced]]=1,"Divorced",(IF(ifood_data[[#This Row],[marital_Together]]=1,"Living Together",(IF(ifood_data[[#This Row],[marital_Widow]]=1,"Widow","Other")))))))))</f>
        <v>Married</v>
      </c>
      <c r="AU1735" t="str">
        <f>IF(ifood_data[[#This Row],[education_Basic]]=1,"High School",(IF(ifood_data[[#This Row],[education_Graduation]]=1,"Undergraduate Degree",(IF(SUM(AM1735,AL1735,AI1735)&gt;0,"Master's Degree or Higher","Other")))))</f>
        <v>Master's Degree or Higher</v>
      </c>
      <c r="AV1735" t="str">
        <f>IF(ifood_data[[#All],[Income]]&gt;75000,"75K+",(IF(ifood_data[[#All],[Income]]&gt;50000,"50K-75K",(IF(ifood_data[[#All],[Income]]&gt;35000,"35K-50K","&lt;35K")))))</f>
        <v>&lt;35K</v>
      </c>
      <c r="AW1735" t="str">
        <f>IF(ifood_data[[#All],[Age]]&gt;60,"60+",(IF(ifood_data[[#All],[Age]]&gt;50,"50-60",(IF(ifood_data[[#All],[Age]]&gt;40,"40-50",(IF(ifood_data[[#All],[Age]]&gt;30,"30-40","&lt;30")))))))</f>
        <v>50-60</v>
      </c>
      <c r="AX1735">
        <f t="shared" si="108"/>
        <v>13</v>
      </c>
      <c r="AY1735">
        <f t="shared" si="109"/>
        <v>8</v>
      </c>
      <c r="AZ1735">
        <f t="shared" si="110"/>
        <v>1</v>
      </c>
      <c r="BA1735">
        <f t="shared" si="111"/>
        <v>0</v>
      </c>
      <c r="BB1735">
        <f>SUM(ifood_data[[#This Row],[Recency Score]:[Monetary Score]])</f>
        <v>9</v>
      </c>
      <c r="BC1735">
        <f>(_xlfn.PERCENTRANK.INC(ifood_data[[#All],[RFM]],ifood_data[[#This Row],[RFM]],1))*10</f>
        <v>1</v>
      </c>
      <c r="BD1735" t="str">
        <f>VLOOKUP(ifood_data[[#This Row],[RFM Score]],'RFM Analysis'!$A$3:$B$14,2,FALSE)</f>
        <v>At Risk</v>
      </c>
      <c r="BE1735">
        <f>'Regression Models'!$B$101+'Regression Models'!$B$102*ifood_data[[#This Row],[Income]]+'Regression Models'!$B$103*ifood_data[[#This Row],[Age]]+'Regression Models'!$B$104*ifood_data[[#This Row],[Family]]</f>
        <v>48.649716130861066</v>
      </c>
      <c r="BF1735" t="str">
        <f>IF(ifood_data[[#This Row],[AcceptedCmpOverall]]=1,"Campaign Respondent","Non-respondent")</f>
        <v>Campaign Respondent</v>
      </c>
    </row>
    <row r="1736" spans="1:58" x14ac:dyDescent="0.35">
      <c r="A1736">
        <v>1044</v>
      </c>
      <c r="B1736">
        <v>30023</v>
      </c>
      <c r="C1736">
        <v>1</v>
      </c>
      <c r="D1736">
        <v>0</v>
      </c>
      <c r="E1736">
        <v>28</v>
      </c>
      <c r="F1736">
        <v>11</v>
      </c>
      <c r="G1736">
        <v>0</v>
      </c>
      <c r="H1736">
        <v>16</v>
      </c>
      <c r="I1736">
        <v>7</v>
      </c>
      <c r="J1736">
        <v>6</v>
      </c>
      <c r="K1736">
        <v>21</v>
      </c>
      <c r="L1736">
        <v>1</v>
      </c>
      <c r="M1736">
        <v>2</v>
      </c>
      <c r="N1736">
        <v>0</v>
      </c>
      <c r="O1736">
        <v>3</v>
      </c>
      <c r="P1736">
        <v>8</v>
      </c>
      <c r="Q1736">
        <v>0</v>
      </c>
      <c r="R1736">
        <v>0</v>
      </c>
      <c r="S1736">
        <v>0</v>
      </c>
      <c r="T1736">
        <v>0</v>
      </c>
      <c r="U1736">
        <v>0</v>
      </c>
      <c r="V1736">
        <f>IF(SUM(ifood_data[[#This Row],[AcceptedCmp1]:[AcceptedCmp5]])&gt;0,1,0)</f>
        <v>0</v>
      </c>
      <c r="W1736">
        <v>0</v>
      </c>
      <c r="X1736">
        <v>3</v>
      </c>
      <c r="Y1736">
        <v>11</v>
      </c>
      <c r="Z1736">
        <v>0</v>
      </c>
      <c r="AA1736">
        <v>48</v>
      </c>
      <c r="AB1736">
        <v>2256</v>
      </c>
      <c r="AC1736" s="28">
        <f>ifood_data[[#This Row],[Customer_Days]]/365</f>
        <v>6.1808219178082195</v>
      </c>
      <c r="AD1736">
        <v>0</v>
      </c>
      <c r="AE1736">
        <v>1</v>
      </c>
      <c r="AF1736">
        <v>0</v>
      </c>
      <c r="AG1736">
        <v>0</v>
      </c>
      <c r="AH1736">
        <v>0</v>
      </c>
      <c r="AI1736">
        <v>0</v>
      </c>
      <c r="AJ1736">
        <v>0</v>
      </c>
      <c r="AK1736">
        <v>1</v>
      </c>
      <c r="AL1736">
        <v>0</v>
      </c>
      <c r="AM1736">
        <v>0</v>
      </c>
      <c r="AN1736">
        <v>40</v>
      </c>
      <c r="AO1736">
        <v>19</v>
      </c>
      <c r="AP1736">
        <f>ifood_data[[#This Row],[MntTotal]]-ifood_data[[#This Row],[MntRegularProds]]</f>
        <v>21</v>
      </c>
      <c r="AQ1736">
        <v>0</v>
      </c>
      <c r="AR1736">
        <f>IF(SUM(ifood_data[[#This Row],[Kidhome]:[Teenhome]])&gt;0,1,0)</f>
        <v>1</v>
      </c>
      <c r="AS1736" t="str">
        <f>IF(SUM(ifood_data[[#This Row],[Kidhome]:[Teenhome]])&gt;0,"Has Family","No Family")</f>
        <v>Has Family</v>
      </c>
      <c r="AT1736" t="str">
        <f>IF(ifood_data[[#This Row],[marital_Married]]=1,"Married", (IF(ifood_data[[#This Row],[marital_Single]]=1,"Single",(IF(ifood_data[[#This Row],[marital_Divorced]]=1,"Divorced",(IF(ifood_data[[#This Row],[marital_Together]]=1,"Living Together",(IF(ifood_data[[#This Row],[marital_Widow]]=1,"Widow","Other")))))))))</f>
        <v>Married</v>
      </c>
      <c r="AU1736" t="str">
        <f>IF(ifood_data[[#This Row],[education_Basic]]=1,"High School",(IF(ifood_data[[#This Row],[education_Graduation]]=1,"Undergraduate Degree",(IF(SUM(AM1736,AL1736,AI1736)&gt;0,"Master's Degree or Higher","Other")))))</f>
        <v>Undergraduate Degree</v>
      </c>
      <c r="AV1736" t="str">
        <f>IF(ifood_data[[#All],[Income]]&gt;75000,"75K+",(IF(ifood_data[[#All],[Income]]&gt;50000,"50K-75K",(IF(ifood_data[[#All],[Income]]&gt;35000,"35K-50K","&lt;35K")))))</f>
        <v>&lt;35K</v>
      </c>
      <c r="AW1736" t="str">
        <f>IF(ifood_data[[#All],[Age]]&gt;60,"60+",(IF(ifood_data[[#All],[Age]]&gt;50,"50-60",(IF(ifood_data[[#All],[Age]]&gt;40,"40-50",(IF(ifood_data[[#All],[Age]]&gt;30,"30-40","&lt;30")))))))</f>
        <v>40-50</v>
      </c>
      <c r="AX1736">
        <f t="shared" si="108"/>
        <v>14</v>
      </c>
      <c r="AY1736">
        <f t="shared" si="109"/>
        <v>8</v>
      </c>
      <c r="AZ1736">
        <f t="shared" si="110"/>
        <v>2</v>
      </c>
      <c r="BA1736">
        <f t="shared" si="111"/>
        <v>1</v>
      </c>
      <c r="BB1736">
        <f>SUM(ifood_data[[#This Row],[Recency Score]:[Monetary Score]])</f>
        <v>11</v>
      </c>
      <c r="BC1736">
        <f>(_xlfn.PERCENTRANK.INC(ifood_data[[#All],[RFM]],ifood_data[[#This Row],[RFM]],1))*10</f>
        <v>2</v>
      </c>
      <c r="BD1736" t="str">
        <f>VLOOKUP(ifood_data[[#This Row],[RFM Score]],'RFM Analysis'!$A$3:$B$14,2,FALSE)</f>
        <v>At Risk</v>
      </c>
      <c r="BE1736">
        <f>'Regression Models'!$B$101+'Regression Models'!$B$102*ifood_data[[#This Row],[Income]]+'Regression Models'!$B$103*ifood_data[[#This Row],[Age]]+'Regression Models'!$B$104*ifood_data[[#This Row],[Family]]</f>
        <v>46.554022849869625</v>
      </c>
      <c r="BF1736" t="str">
        <f>IF(ifood_data[[#This Row],[AcceptedCmpOverall]]=1,"Campaign Respondent","Non-respondent")</f>
        <v>Non-respondent</v>
      </c>
    </row>
    <row r="1737" spans="1:58" x14ac:dyDescent="0.35">
      <c r="A1737">
        <v>494</v>
      </c>
      <c r="B1737">
        <v>30630</v>
      </c>
      <c r="C1737">
        <v>1</v>
      </c>
      <c r="D1737">
        <v>1</v>
      </c>
      <c r="E1737">
        <v>67</v>
      </c>
      <c r="F1737">
        <v>27</v>
      </c>
      <c r="G1737">
        <v>1</v>
      </c>
      <c r="H1737">
        <v>12</v>
      </c>
      <c r="I1737">
        <v>2</v>
      </c>
      <c r="J1737">
        <v>0</v>
      </c>
      <c r="K1737">
        <v>10</v>
      </c>
      <c r="L1737">
        <v>2</v>
      </c>
      <c r="M1737">
        <v>2</v>
      </c>
      <c r="N1737">
        <v>0</v>
      </c>
      <c r="O1737">
        <v>3</v>
      </c>
      <c r="P1737">
        <v>7</v>
      </c>
      <c r="Q1737">
        <v>0</v>
      </c>
      <c r="R1737">
        <v>0</v>
      </c>
      <c r="S1737">
        <v>0</v>
      </c>
      <c r="T1737">
        <v>0</v>
      </c>
      <c r="U1737">
        <v>0</v>
      </c>
      <c r="V1737">
        <f>IF(SUM(ifood_data[[#This Row],[AcceptedCmp1]:[AcceptedCmp5]])&gt;0,1,0)</f>
        <v>0</v>
      </c>
      <c r="W1737">
        <v>0</v>
      </c>
      <c r="X1737">
        <v>3</v>
      </c>
      <c r="Y1737">
        <v>11</v>
      </c>
      <c r="Z1737">
        <v>0</v>
      </c>
      <c r="AA1737">
        <v>55</v>
      </c>
      <c r="AB1737">
        <v>2312</v>
      </c>
      <c r="AC1737" s="28">
        <f>ifood_data[[#This Row],[Customer_Days]]/365</f>
        <v>6.3342465753424655</v>
      </c>
      <c r="AD1737">
        <v>1</v>
      </c>
      <c r="AE1737">
        <v>0</v>
      </c>
      <c r="AF1737">
        <v>0</v>
      </c>
      <c r="AG1737">
        <v>0</v>
      </c>
      <c r="AH1737">
        <v>0</v>
      </c>
      <c r="AI1737">
        <v>0</v>
      </c>
      <c r="AJ1737">
        <v>0</v>
      </c>
      <c r="AK1737">
        <v>1</v>
      </c>
      <c r="AL1737">
        <v>0</v>
      </c>
      <c r="AM1737">
        <v>0</v>
      </c>
      <c r="AN1737">
        <v>42</v>
      </c>
      <c r="AO1737">
        <v>32</v>
      </c>
      <c r="AP1737">
        <f>ifood_data[[#This Row],[MntTotal]]-ifood_data[[#This Row],[MntRegularProds]]</f>
        <v>10</v>
      </c>
      <c r="AQ1737">
        <v>0</v>
      </c>
      <c r="AR1737">
        <f>IF(SUM(ifood_data[[#This Row],[Kidhome]:[Teenhome]])&gt;0,1,0)</f>
        <v>1</v>
      </c>
      <c r="AS1737" t="str">
        <f>IF(SUM(ifood_data[[#This Row],[Kidhome]:[Teenhome]])&gt;0,"Has Family","No Family")</f>
        <v>Has Family</v>
      </c>
      <c r="AT1737" t="str">
        <f>IF(ifood_data[[#This Row],[marital_Married]]=1,"Married", (IF(ifood_data[[#This Row],[marital_Single]]=1,"Single",(IF(ifood_data[[#This Row],[marital_Divorced]]=1,"Divorced",(IF(ifood_data[[#This Row],[marital_Together]]=1,"Living Together",(IF(ifood_data[[#This Row],[marital_Widow]]=1,"Widow","Other")))))))))</f>
        <v>Divorced</v>
      </c>
      <c r="AU1737" t="str">
        <f>IF(ifood_data[[#This Row],[education_Basic]]=1,"High School",(IF(ifood_data[[#This Row],[education_Graduation]]=1,"Undergraduate Degree",(IF(SUM(AM1737,AL1737,AI1737)&gt;0,"Master's Degree or Higher","Other")))))</f>
        <v>Undergraduate Degree</v>
      </c>
      <c r="AV1737" t="str">
        <f>IF(ifood_data[[#All],[Income]]&gt;75000,"75K+",(IF(ifood_data[[#All],[Income]]&gt;50000,"50K-75K",(IF(ifood_data[[#All],[Income]]&gt;35000,"35K-50K","&lt;35K")))))</f>
        <v>&lt;35K</v>
      </c>
      <c r="AW1737" t="str">
        <f>IF(ifood_data[[#All],[Age]]&gt;60,"60+",(IF(ifood_data[[#All],[Age]]&gt;50,"50-60",(IF(ifood_data[[#All],[Age]]&gt;40,"40-50",(IF(ifood_data[[#All],[Age]]&gt;30,"30-40","&lt;30")))))))</f>
        <v>50-60</v>
      </c>
      <c r="AX1737">
        <f t="shared" si="108"/>
        <v>14</v>
      </c>
      <c r="AY1737">
        <f t="shared" si="109"/>
        <v>4</v>
      </c>
      <c r="AZ1737">
        <f t="shared" si="110"/>
        <v>2</v>
      </c>
      <c r="BA1737">
        <f t="shared" si="111"/>
        <v>1</v>
      </c>
      <c r="BB1737">
        <f>SUM(ifood_data[[#This Row],[Recency Score]:[Monetary Score]])</f>
        <v>7</v>
      </c>
      <c r="BC1737">
        <f>(_xlfn.PERCENTRANK.INC(ifood_data[[#All],[RFM]],ifood_data[[#This Row],[RFM]],1))*10</f>
        <v>1</v>
      </c>
      <c r="BD1737" t="str">
        <f>VLOOKUP(ifood_data[[#This Row],[RFM Score]],'RFM Analysis'!$A$3:$B$14,2,FALSE)</f>
        <v>At Risk</v>
      </c>
      <c r="BE1737">
        <f>'Regression Models'!$B$101+'Regression Models'!$B$102*ifood_data[[#This Row],[Income]]+'Regression Models'!$B$103*ifood_data[[#This Row],[Age]]+'Regression Models'!$B$104*ifood_data[[#This Row],[Family]]</f>
        <v>46.074931560956315</v>
      </c>
      <c r="BF1737" t="str">
        <f>IF(ifood_data[[#This Row],[AcceptedCmpOverall]]=1,"Campaign Respondent","Non-respondent")</f>
        <v>Non-respondent</v>
      </c>
    </row>
    <row r="1738" spans="1:58" x14ac:dyDescent="0.35">
      <c r="A1738">
        <v>419</v>
      </c>
      <c r="B1738">
        <v>18100</v>
      </c>
      <c r="C1738">
        <v>0</v>
      </c>
      <c r="D1738">
        <v>0</v>
      </c>
      <c r="E1738">
        <v>14</v>
      </c>
      <c r="F1738">
        <v>3</v>
      </c>
      <c r="G1738">
        <v>1</v>
      </c>
      <c r="H1738">
        <v>2</v>
      </c>
      <c r="I1738">
        <v>4</v>
      </c>
      <c r="J1738">
        <v>3</v>
      </c>
      <c r="K1738">
        <v>1</v>
      </c>
      <c r="L1738">
        <v>1</v>
      </c>
      <c r="M1738">
        <v>0</v>
      </c>
      <c r="N1738">
        <v>0</v>
      </c>
      <c r="O1738">
        <v>3</v>
      </c>
      <c r="P1738">
        <v>5</v>
      </c>
      <c r="Q1738">
        <v>0</v>
      </c>
      <c r="R1738">
        <v>0</v>
      </c>
      <c r="S1738">
        <v>0</v>
      </c>
      <c r="T1738">
        <v>0</v>
      </c>
      <c r="U1738">
        <v>0</v>
      </c>
      <c r="V1738">
        <f>IF(SUM(ifood_data[[#This Row],[AcceptedCmp1]:[AcceptedCmp5]])&gt;0,1,0)</f>
        <v>0</v>
      </c>
      <c r="W1738">
        <v>0</v>
      </c>
      <c r="X1738">
        <v>3</v>
      </c>
      <c r="Y1738">
        <v>11</v>
      </c>
      <c r="Z1738">
        <v>0</v>
      </c>
      <c r="AA1738">
        <v>74</v>
      </c>
      <c r="AB1738">
        <v>2486</v>
      </c>
      <c r="AC1738" s="28">
        <f>ifood_data[[#This Row],[Customer_Days]]/365</f>
        <v>6.8109589041095893</v>
      </c>
      <c r="AD1738">
        <v>0</v>
      </c>
      <c r="AE1738">
        <v>1</v>
      </c>
      <c r="AF1738">
        <v>0</v>
      </c>
      <c r="AG1738">
        <v>0</v>
      </c>
      <c r="AH1738">
        <v>0</v>
      </c>
      <c r="AI1738">
        <v>0</v>
      </c>
      <c r="AJ1738">
        <v>0</v>
      </c>
      <c r="AK1738">
        <v>1</v>
      </c>
      <c r="AL1738">
        <v>0</v>
      </c>
      <c r="AM1738">
        <v>0</v>
      </c>
      <c r="AN1738">
        <v>13</v>
      </c>
      <c r="AO1738">
        <v>12</v>
      </c>
      <c r="AP1738">
        <f>ifood_data[[#This Row],[MntTotal]]-ifood_data[[#This Row],[MntRegularProds]]</f>
        <v>1</v>
      </c>
      <c r="AQ1738">
        <v>0</v>
      </c>
      <c r="AR1738">
        <f>IF(SUM(ifood_data[[#This Row],[Kidhome]:[Teenhome]])&gt;0,1,0)</f>
        <v>0</v>
      </c>
      <c r="AS1738" t="str">
        <f>IF(SUM(ifood_data[[#This Row],[Kidhome]:[Teenhome]])&gt;0,"Has Family","No Family")</f>
        <v>No Family</v>
      </c>
      <c r="AT1738" t="str">
        <f>IF(ifood_data[[#This Row],[marital_Married]]=1,"Married", (IF(ifood_data[[#This Row],[marital_Single]]=1,"Single",(IF(ifood_data[[#This Row],[marital_Divorced]]=1,"Divorced",(IF(ifood_data[[#This Row],[marital_Together]]=1,"Living Together",(IF(ifood_data[[#This Row],[marital_Widow]]=1,"Widow","Other")))))))))</f>
        <v>Married</v>
      </c>
      <c r="AU1738" t="str">
        <f>IF(ifood_data[[#This Row],[education_Basic]]=1,"High School",(IF(ifood_data[[#This Row],[education_Graduation]]=1,"Undergraduate Degree",(IF(SUM(AM1738,AL1738,AI1738)&gt;0,"Master's Degree or Higher","Other")))))</f>
        <v>Undergraduate Degree</v>
      </c>
      <c r="AV1738" t="str">
        <f>IF(ifood_data[[#All],[Income]]&gt;75000,"75K+",(IF(ifood_data[[#All],[Income]]&gt;50000,"50K-75K",(IF(ifood_data[[#All],[Income]]&gt;35000,"35K-50K","&lt;35K")))))</f>
        <v>&lt;35K</v>
      </c>
      <c r="AW1738" t="str">
        <f>IF(ifood_data[[#All],[Age]]&gt;60,"60+",(IF(ifood_data[[#All],[Age]]&gt;50,"50-60",(IF(ifood_data[[#All],[Age]]&gt;40,"40-50",(IF(ifood_data[[#All],[Age]]&gt;30,"30-40","&lt;30")))))))</f>
        <v>60+</v>
      </c>
      <c r="AX1738">
        <f t="shared" si="108"/>
        <v>9</v>
      </c>
      <c r="AY1738">
        <f t="shared" si="109"/>
        <v>9</v>
      </c>
      <c r="AZ1738">
        <f t="shared" si="110"/>
        <v>0</v>
      </c>
      <c r="BA1738">
        <f t="shared" si="111"/>
        <v>0</v>
      </c>
      <c r="BB1738">
        <f>SUM(ifood_data[[#This Row],[Recency Score]:[Monetary Score]])</f>
        <v>9</v>
      </c>
      <c r="BC1738">
        <f>(_xlfn.PERCENTRANK.INC(ifood_data[[#All],[RFM]],ifood_data[[#This Row],[RFM]],1))*10</f>
        <v>1</v>
      </c>
      <c r="BD1738" t="str">
        <f>VLOOKUP(ifood_data[[#This Row],[RFM Score]],'RFM Analysis'!$A$3:$B$14,2,FALSE)</f>
        <v>At Risk</v>
      </c>
      <c r="BE1738">
        <f>'Regression Models'!$B$101+'Regression Models'!$B$102*ifood_data[[#This Row],[Income]]+'Regression Models'!$B$103*ifood_data[[#This Row],[Age]]+'Regression Models'!$B$104*ifood_data[[#This Row],[Family]]</f>
        <v>45.324955291927409</v>
      </c>
      <c r="BF1738" t="str">
        <f>IF(ifood_data[[#This Row],[AcceptedCmpOverall]]=1,"Campaign Respondent","Non-respondent")</f>
        <v>Non-respondent</v>
      </c>
    </row>
    <row r="1739" spans="1:58" x14ac:dyDescent="0.35">
      <c r="A1739">
        <v>378</v>
      </c>
      <c r="B1739">
        <v>31395</v>
      </c>
      <c r="C1739">
        <v>1</v>
      </c>
      <c r="D1739">
        <v>1</v>
      </c>
      <c r="E1739">
        <v>80</v>
      </c>
      <c r="F1739">
        <v>23</v>
      </c>
      <c r="G1739">
        <v>1</v>
      </c>
      <c r="H1739">
        <v>25</v>
      </c>
      <c r="I1739">
        <v>0</v>
      </c>
      <c r="J1739">
        <v>8</v>
      </c>
      <c r="K1739">
        <v>7</v>
      </c>
      <c r="L1739">
        <v>4</v>
      </c>
      <c r="M1739">
        <v>2</v>
      </c>
      <c r="N1739">
        <v>1</v>
      </c>
      <c r="O1739">
        <v>3</v>
      </c>
      <c r="P1739">
        <v>6</v>
      </c>
      <c r="Q1739">
        <v>0</v>
      </c>
      <c r="R1739">
        <v>0</v>
      </c>
      <c r="S1739">
        <v>0</v>
      </c>
      <c r="T1739">
        <v>0</v>
      </c>
      <c r="U1739">
        <v>0</v>
      </c>
      <c r="V1739">
        <f>IF(SUM(ifood_data[[#This Row],[AcceptedCmp1]:[AcceptedCmp5]])&gt;0,1,0)</f>
        <v>0</v>
      </c>
      <c r="W1739">
        <v>0</v>
      </c>
      <c r="X1739">
        <v>3</v>
      </c>
      <c r="Y1739">
        <v>11</v>
      </c>
      <c r="Z1739">
        <v>0</v>
      </c>
      <c r="AA1739">
        <v>64</v>
      </c>
      <c r="AB1739">
        <v>2622</v>
      </c>
      <c r="AC1739" s="28">
        <f>ifood_data[[#This Row],[Customer_Days]]/365</f>
        <v>7.183561643835616</v>
      </c>
      <c r="AD1739">
        <v>1</v>
      </c>
      <c r="AE1739">
        <v>0</v>
      </c>
      <c r="AF1739">
        <v>0</v>
      </c>
      <c r="AG1739">
        <v>0</v>
      </c>
      <c r="AH1739">
        <v>0</v>
      </c>
      <c r="AI1739">
        <v>1</v>
      </c>
      <c r="AJ1739">
        <v>0</v>
      </c>
      <c r="AK1739">
        <v>0</v>
      </c>
      <c r="AL1739">
        <v>0</v>
      </c>
      <c r="AM1739">
        <v>0</v>
      </c>
      <c r="AN1739">
        <v>57</v>
      </c>
      <c r="AO1739">
        <v>50</v>
      </c>
      <c r="AP1739">
        <f>ifood_data[[#This Row],[MntTotal]]-ifood_data[[#This Row],[MntRegularProds]]</f>
        <v>7</v>
      </c>
      <c r="AQ1739">
        <v>0</v>
      </c>
      <c r="AR1739">
        <f>IF(SUM(ifood_data[[#This Row],[Kidhome]:[Teenhome]])&gt;0,1,0)</f>
        <v>1</v>
      </c>
      <c r="AS1739" t="str">
        <f>IF(SUM(ifood_data[[#This Row],[Kidhome]:[Teenhome]])&gt;0,"Has Family","No Family")</f>
        <v>Has Family</v>
      </c>
      <c r="AT1739" t="str">
        <f>IF(ifood_data[[#This Row],[marital_Married]]=1,"Married", (IF(ifood_data[[#This Row],[marital_Single]]=1,"Single",(IF(ifood_data[[#This Row],[marital_Divorced]]=1,"Divorced",(IF(ifood_data[[#This Row],[marital_Together]]=1,"Living Together",(IF(ifood_data[[#This Row],[marital_Widow]]=1,"Widow","Other")))))))))</f>
        <v>Divorced</v>
      </c>
      <c r="AU1739" t="str">
        <f>IF(ifood_data[[#This Row],[education_Basic]]=1,"High School",(IF(ifood_data[[#This Row],[education_Graduation]]=1,"Undergraduate Degree",(IF(SUM(AM1739,AL1739,AI1739)&gt;0,"Master's Degree or Higher","Other")))))</f>
        <v>Master's Degree or Higher</v>
      </c>
      <c r="AV1739" t="str">
        <f>IF(ifood_data[[#All],[Income]]&gt;75000,"75K+",(IF(ifood_data[[#All],[Income]]&gt;50000,"50K-75K",(IF(ifood_data[[#All],[Income]]&gt;35000,"35K-50K","&lt;35K")))))</f>
        <v>&lt;35K</v>
      </c>
      <c r="AW1739" t="str">
        <f>IF(ifood_data[[#All],[Age]]&gt;60,"60+",(IF(ifood_data[[#All],[Age]]&gt;50,"50-60",(IF(ifood_data[[#All],[Age]]&gt;40,"40-50",(IF(ifood_data[[#All],[Age]]&gt;30,"30-40","&lt;30")))))))</f>
        <v>60+</v>
      </c>
      <c r="AX1739">
        <f t="shared" si="108"/>
        <v>16</v>
      </c>
      <c r="AY1739">
        <f t="shared" si="109"/>
        <v>1.9999999999999996</v>
      </c>
      <c r="AZ1739">
        <f t="shared" si="110"/>
        <v>3</v>
      </c>
      <c r="BA1739">
        <f t="shared" si="111"/>
        <v>2</v>
      </c>
      <c r="BB1739">
        <f>SUM(ifood_data[[#This Row],[Recency Score]:[Monetary Score]])</f>
        <v>7</v>
      </c>
      <c r="BC1739">
        <f>(_xlfn.PERCENTRANK.INC(ifood_data[[#All],[RFM]],ifood_data[[#This Row],[RFM]],1))*10</f>
        <v>1</v>
      </c>
      <c r="BD1739" t="str">
        <f>VLOOKUP(ifood_data[[#This Row],[RFM Score]],'RFM Analysis'!$A$3:$B$14,2,FALSE)</f>
        <v>At Risk</v>
      </c>
      <c r="BE1739">
        <f>'Regression Models'!$B$101+'Regression Models'!$B$102*ifood_data[[#This Row],[Income]]+'Regression Models'!$B$103*ifood_data[[#This Row],[Age]]+'Regression Models'!$B$104*ifood_data[[#This Row],[Family]]</f>
        <v>45.144387480990531</v>
      </c>
      <c r="BF1739" t="str">
        <f>IF(ifood_data[[#This Row],[AcceptedCmpOverall]]=1,"Campaign Respondent","Non-respondent")</f>
        <v>Non-respondent</v>
      </c>
    </row>
    <row r="1740" spans="1:58" x14ac:dyDescent="0.35">
      <c r="A1740">
        <v>1785</v>
      </c>
      <c r="B1740">
        <v>29478</v>
      </c>
      <c r="C1740">
        <v>1</v>
      </c>
      <c r="D1740">
        <v>0</v>
      </c>
      <c r="E1740">
        <v>59</v>
      </c>
      <c r="F1740">
        <v>8</v>
      </c>
      <c r="G1740">
        <v>0</v>
      </c>
      <c r="H1740">
        <v>7</v>
      </c>
      <c r="I1740">
        <v>3</v>
      </c>
      <c r="J1740">
        <v>1</v>
      </c>
      <c r="K1740">
        <v>1</v>
      </c>
      <c r="L1740">
        <v>1</v>
      </c>
      <c r="M1740">
        <v>1</v>
      </c>
      <c r="N1740">
        <v>0</v>
      </c>
      <c r="O1740">
        <v>3</v>
      </c>
      <c r="P1740">
        <v>6</v>
      </c>
      <c r="Q1740">
        <v>0</v>
      </c>
      <c r="R1740">
        <v>0</v>
      </c>
      <c r="S1740">
        <v>0</v>
      </c>
      <c r="T1740">
        <v>0</v>
      </c>
      <c r="U1740">
        <v>0</v>
      </c>
      <c r="V1740">
        <f>IF(SUM(ifood_data[[#This Row],[AcceptedCmp1]:[AcceptedCmp5]])&gt;0,1,0)</f>
        <v>0</v>
      </c>
      <c r="W1740">
        <v>0</v>
      </c>
      <c r="X1740">
        <v>3</v>
      </c>
      <c r="Y1740">
        <v>11</v>
      </c>
      <c r="Z1740">
        <v>0</v>
      </c>
      <c r="AA1740">
        <v>44</v>
      </c>
      <c r="AB1740">
        <v>2322</v>
      </c>
      <c r="AC1740" s="28">
        <f>ifood_data[[#This Row],[Customer_Days]]/365</f>
        <v>6.3616438356164382</v>
      </c>
      <c r="AD1740">
        <v>0</v>
      </c>
      <c r="AE1740">
        <v>0</v>
      </c>
      <c r="AF1740">
        <v>0</v>
      </c>
      <c r="AG1740">
        <v>1</v>
      </c>
      <c r="AH1740">
        <v>0</v>
      </c>
      <c r="AI1740">
        <v>0</v>
      </c>
      <c r="AJ1740">
        <v>0</v>
      </c>
      <c r="AK1740">
        <v>1</v>
      </c>
      <c r="AL1740">
        <v>0</v>
      </c>
      <c r="AM1740">
        <v>0</v>
      </c>
      <c r="AN1740">
        <v>19</v>
      </c>
      <c r="AO1740">
        <v>18</v>
      </c>
      <c r="AP1740">
        <f>ifood_data[[#This Row],[MntTotal]]-ifood_data[[#This Row],[MntRegularProds]]</f>
        <v>1</v>
      </c>
      <c r="AQ1740">
        <v>0</v>
      </c>
      <c r="AR1740">
        <f>IF(SUM(ifood_data[[#This Row],[Kidhome]:[Teenhome]])&gt;0,1,0)</f>
        <v>1</v>
      </c>
      <c r="AS1740" t="str">
        <f>IF(SUM(ifood_data[[#This Row],[Kidhome]:[Teenhome]])&gt;0,"Has Family","No Family")</f>
        <v>Has Family</v>
      </c>
      <c r="AT1740" t="str">
        <f>IF(ifood_data[[#This Row],[marital_Married]]=1,"Married", (IF(ifood_data[[#This Row],[marital_Single]]=1,"Single",(IF(ifood_data[[#This Row],[marital_Divorced]]=1,"Divorced",(IF(ifood_data[[#This Row],[marital_Together]]=1,"Living Together",(IF(ifood_data[[#This Row],[marital_Widow]]=1,"Widow","Other")))))))))</f>
        <v>Living Together</v>
      </c>
      <c r="AU1740" t="str">
        <f>IF(ifood_data[[#This Row],[education_Basic]]=1,"High School",(IF(ifood_data[[#This Row],[education_Graduation]]=1,"Undergraduate Degree",(IF(SUM(AM1740,AL1740,AI1740)&gt;0,"Master's Degree or Higher","Other")))))</f>
        <v>Undergraduate Degree</v>
      </c>
      <c r="AV1740" t="str">
        <f>IF(ifood_data[[#All],[Income]]&gt;75000,"75K+",(IF(ifood_data[[#All],[Income]]&gt;50000,"50K-75K",(IF(ifood_data[[#All],[Income]]&gt;35000,"35K-50K","&lt;35K")))))</f>
        <v>&lt;35K</v>
      </c>
      <c r="AW1740" t="str">
        <f>IF(ifood_data[[#All],[Age]]&gt;60,"60+",(IF(ifood_data[[#All],[Age]]&gt;50,"50-60",(IF(ifood_data[[#All],[Age]]&gt;40,"40-50",(IF(ifood_data[[#All],[Age]]&gt;30,"30-40","&lt;30")))))))</f>
        <v>40-50</v>
      </c>
      <c r="AX1740">
        <f t="shared" si="108"/>
        <v>11</v>
      </c>
      <c r="AY1740">
        <f t="shared" si="109"/>
        <v>4</v>
      </c>
      <c r="AZ1740">
        <f t="shared" si="110"/>
        <v>0</v>
      </c>
      <c r="BA1740">
        <f t="shared" si="111"/>
        <v>0</v>
      </c>
      <c r="BB1740">
        <f>SUM(ifood_data[[#This Row],[Recency Score]:[Monetary Score]])</f>
        <v>4</v>
      </c>
      <c r="BC1740">
        <f>(_xlfn.PERCENTRANK.INC(ifood_data[[#All],[RFM]],ifood_data[[#This Row],[RFM]],1))*10</f>
        <v>0</v>
      </c>
      <c r="BD1740" t="str">
        <f>VLOOKUP(ifood_data[[#This Row],[RFM Score]],'RFM Analysis'!$A$3:$B$14,2,FALSE)</f>
        <v>Lost</v>
      </c>
      <c r="BE1740">
        <f>'Regression Models'!$B$101+'Regression Models'!$B$102*ifood_data[[#This Row],[Income]]+'Regression Models'!$B$103*ifood_data[[#This Row],[Age]]+'Regression Models'!$B$104*ifood_data[[#This Row],[Family]]</f>
        <v>42.787900527021861</v>
      </c>
      <c r="BF1740" t="str">
        <f>IF(ifood_data[[#This Row],[AcceptedCmpOverall]]=1,"Campaign Respondent","Non-respondent")</f>
        <v>Non-respondent</v>
      </c>
    </row>
    <row r="1741" spans="1:58" x14ac:dyDescent="0.35">
      <c r="A1741">
        <v>411</v>
      </c>
      <c r="B1741">
        <v>30015</v>
      </c>
      <c r="C1741">
        <v>1</v>
      </c>
      <c r="D1741">
        <v>0</v>
      </c>
      <c r="E1741">
        <v>28</v>
      </c>
      <c r="F1741">
        <v>25</v>
      </c>
      <c r="G1741">
        <v>0</v>
      </c>
      <c r="H1741">
        <v>22</v>
      </c>
      <c r="I1741">
        <v>2</v>
      </c>
      <c r="J1741">
        <v>3</v>
      </c>
      <c r="K1741">
        <v>5</v>
      </c>
      <c r="L1741">
        <v>2</v>
      </c>
      <c r="M1741">
        <v>1</v>
      </c>
      <c r="N1741">
        <v>0</v>
      </c>
      <c r="O1741">
        <v>4</v>
      </c>
      <c r="P1741">
        <v>5</v>
      </c>
      <c r="Q1741">
        <v>0</v>
      </c>
      <c r="R1741">
        <v>0</v>
      </c>
      <c r="S1741">
        <v>0</v>
      </c>
      <c r="T1741">
        <v>0</v>
      </c>
      <c r="U1741">
        <v>0</v>
      </c>
      <c r="V1741">
        <f>IF(SUM(ifood_data[[#This Row],[AcceptedCmp1]:[AcceptedCmp5]])&gt;0,1,0)</f>
        <v>0</v>
      </c>
      <c r="W1741">
        <v>0</v>
      </c>
      <c r="X1741">
        <v>3</v>
      </c>
      <c r="Y1741">
        <v>11</v>
      </c>
      <c r="Z1741">
        <v>0</v>
      </c>
      <c r="AA1741">
        <v>50</v>
      </c>
      <c r="AB1741">
        <v>2306</v>
      </c>
      <c r="AC1741" s="28">
        <f>ifood_data[[#This Row],[Customer_Days]]/365</f>
        <v>6.3178082191780822</v>
      </c>
      <c r="AD1741">
        <v>0</v>
      </c>
      <c r="AE1741">
        <v>0</v>
      </c>
      <c r="AF1741">
        <v>1</v>
      </c>
      <c r="AG1741">
        <v>0</v>
      </c>
      <c r="AH1741">
        <v>0</v>
      </c>
      <c r="AI1741">
        <v>0</v>
      </c>
      <c r="AJ1741">
        <v>0</v>
      </c>
      <c r="AK1741">
        <v>1</v>
      </c>
      <c r="AL1741">
        <v>0</v>
      </c>
      <c r="AM1741">
        <v>0</v>
      </c>
      <c r="AN1741">
        <v>52</v>
      </c>
      <c r="AO1741">
        <v>47</v>
      </c>
      <c r="AP1741">
        <f>ifood_data[[#This Row],[MntTotal]]-ifood_data[[#This Row],[MntRegularProds]]</f>
        <v>5</v>
      </c>
      <c r="AQ1741">
        <v>0</v>
      </c>
      <c r="AR1741">
        <f>IF(SUM(ifood_data[[#This Row],[Kidhome]:[Teenhome]])&gt;0,1,0)</f>
        <v>1</v>
      </c>
      <c r="AS1741" t="str">
        <f>IF(SUM(ifood_data[[#This Row],[Kidhome]:[Teenhome]])&gt;0,"Has Family","No Family")</f>
        <v>Has Family</v>
      </c>
      <c r="AT1741" t="str">
        <f>IF(ifood_data[[#This Row],[marital_Married]]=1,"Married", (IF(ifood_data[[#This Row],[marital_Single]]=1,"Single",(IF(ifood_data[[#This Row],[marital_Divorced]]=1,"Divorced",(IF(ifood_data[[#This Row],[marital_Together]]=1,"Living Together",(IF(ifood_data[[#This Row],[marital_Widow]]=1,"Widow","Other")))))))))</f>
        <v>Single</v>
      </c>
      <c r="AU1741" t="str">
        <f>IF(ifood_data[[#This Row],[education_Basic]]=1,"High School",(IF(ifood_data[[#This Row],[education_Graduation]]=1,"Undergraduate Degree",(IF(SUM(AM1741,AL1741,AI1741)&gt;0,"Master's Degree or Higher","Other")))))</f>
        <v>Undergraduate Degree</v>
      </c>
      <c r="AV1741" t="str">
        <f>IF(ifood_data[[#All],[Income]]&gt;75000,"75K+",(IF(ifood_data[[#All],[Income]]&gt;50000,"50K-75K",(IF(ifood_data[[#All],[Income]]&gt;35000,"35K-50K","&lt;35K")))))</f>
        <v>&lt;35K</v>
      </c>
      <c r="AW1741" t="str">
        <f>IF(ifood_data[[#All],[Age]]&gt;60,"60+",(IF(ifood_data[[#All],[Age]]&gt;50,"50-60",(IF(ifood_data[[#All],[Age]]&gt;40,"40-50",(IF(ifood_data[[#All],[Age]]&gt;30,"30-40","&lt;30")))))))</f>
        <v>40-50</v>
      </c>
      <c r="AX1741">
        <f t="shared" si="108"/>
        <v>12</v>
      </c>
      <c r="AY1741">
        <f t="shared" si="109"/>
        <v>8</v>
      </c>
      <c r="AZ1741">
        <f t="shared" si="110"/>
        <v>1</v>
      </c>
      <c r="BA1741">
        <f t="shared" si="111"/>
        <v>2</v>
      </c>
      <c r="BB1741">
        <f>SUM(ifood_data[[#This Row],[Recency Score]:[Monetary Score]])</f>
        <v>11</v>
      </c>
      <c r="BC1741">
        <f>(_xlfn.PERCENTRANK.INC(ifood_data[[#All],[RFM]],ifood_data[[#This Row],[RFM]],1))*10</f>
        <v>2</v>
      </c>
      <c r="BD1741" t="str">
        <f>VLOOKUP(ifood_data[[#This Row],[RFM Score]],'RFM Analysis'!$A$3:$B$14,2,FALSE)</f>
        <v>At Risk</v>
      </c>
      <c r="BE1741">
        <f>'Regression Models'!$B$101+'Regression Models'!$B$102*ifood_data[[#This Row],[Income]]+'Regression Models'!$B$103*ifood_data[[#This Row],[Age]]+'Regression Models'!$B$104*ifood_data[[#This Row],[Family]]</f>
        <v>42.718034546929971</v>
      </c>
      <c r="BF1741" t="str">
        <f>IF(ifood_data[[#This Row],[AcceptedCmpOverall]]=1,"Campaign Respondent","Non-respondent")</f>
        <v>Non-respondent</v>
      </c>
    </row>
    <row r="1742" spans="1:58" x14ac:dyDescent="0.35">
      <c r="A1742">
        <v>1863</v>
      </c>
      <c r="B1742">
        <v>29009</v>
      </c>
      <c r="C1742">
        <v>1</v>
      </c>
      <c r="D1742">
        <v>0</v>
      </c>
      <c r="E1742">
        <v>19</v>
      </c>
      <c r="F1742">
        <v>6</v>
      </c>
      <c r="G1742">
        <v>6</v>
      </c>
      <c r="H1742">
        <v>15</v>
      </c>
      <c r="I1742">
        <v>10</v>
      </c>
      <c r="J1742">
        <v>5</v>
      </c>
      <c r="K1742">
        <v>2</v>
      </c>
      <c r="L1742">
        <v>2</v>
      </c>
      <c r="M1742">
        <v>2</v>
      </c>
      <c r="N1742">
        <v>0</v>
      </c>
      <c r="O1742">
        <v>3</v>
      </c>
      <c r="P1742">
        <v>6</v>
      </c>
      <c r="Q1742">
        <v>0</v>
      </c>
      <c r="R1742">
        <v>0</v>
      </c>
      <c r="S1742">
        <v>0</v>
      </c>
      <c r="T1742">
        <v>0</v>
      </c>
      <c r="U1742">
        <v>0</v>
      </c>
      <c r="V1742">
        <f>IF(SUM(ifood_data[[#This Row],[AcceptedCmp1]:[AcceptedCmp5]])&gt;0,1,0)</f>
        <v>0</v>
      </c>
      <c r="W1742">
        <v>0</v>
      </c>
      <c r="X1742">
        <v>3</v>
      </c>
      <c r="Y1742">
        <v>11</v>
      </c>
      <c r="Z1742">
        <v>0</v>
      </c>
      <c r="AA1742">
        <v>39</v>
      </c>
      <c r="AB1742">
        <v>2371</v>
      </c>
      <c r="AC1742" s="28">
        <f>ifood_data[[#This Row],[Customer_Days]]/365</f>
        <v>6.4958904109589044</v>
      </c>
      <c r="AD1742">
        <v>0</v>
      </c>
      <c r="AE1742">
        <v>1</v>
      </c>
      <c r="AF1742">
        <v>0</v>
      </c>
      <c r="AG1742">
        <v>0</v>
      </c>
      <c r="AH1742">
        <v>0</v>
      </c>
      <c r="AI1742">
        <v>0</v>
      </c>
      <c r="AJ1742">
        <v>0</v>
      </c>
      <c r="AK1742">
        <v>1</v>
      </c>
      <c r="AL1742">
        <v>0</v>
      </c>
      <c r="AM1742">
        <v>0</v>
      </c>
      <c r="AN1742">
        <v>42</v>
      </c>
      <c r="AO1742">
        <v>40</v>
      </c>
      <c r="AP1742">
        <f>ifood_data[[#This Row],[MntTotal]]-ifood_data[[#This Row],[MntRegularProds]]</f>
        <v>2</v>
      </c>
      <c r="AQ1742">
        <v>0</v>
      </c>
      <c r="AR1742">
        <f>IF(SUM(ifood_data[[#This Row],[Kidhome]:[Teenhome]])&gt;0,1,0)</f>
        <v>1</v>
      </c>
      <c r="AS1742" t="str">
        <f>IF(SUM(ifood_data[[#This Row],[Kidhome]:[Teenhome]])&gt;0,"Has Family","No Family")</f>
        <v>Has Family</v>
      </c>
      <c r="AT1742" t="str">
        <f>IF(ifood_data[[#This Row],[marital_Married]]=1,"Married", (IF(ifood_data[[#This Row],[marital_Single]]=1,"Single",(IF(ifood_data[[#This Row],[marital_Divorced]]=1,"Divorced",(IF(ifood_data[[#This Row],[marital_Together]]=1,"Living Together",(IF(ifood_data[[#This Row],[marital_Widow]]=1,"Widow","Other")))))))))</f>
        <v>Married</v>
      </c>
      <c r="AU1742" t="str">
        <f>IF(ifood_data[[#This Row],[education_Basic]]=1,"High School",(IF(ifood_data[[#This Row],[education_Graduation]]=1,"Undergraduate Degree",(IF(SUM(AM1742,AL1742,AI1742)&gt;0,"Master's Degree or Higher","Other")))))</f>
        <v>Undergraduate Degree</v>
      </c>
      <c r="AV1742" t="str">
        <f>IF(ifood_data[[#All],[Income]]&gt;75000,"75K+",(IF(ifood_data[[#All],[Income]]&gt;50000,"50K-75K",(IF(ifood_data[[#All],[Income]]&gt;35000,"35K-50K","&lt;35K")))))</f>
        <v>&lt;35K</v>
      </c>
      <c r="AW1742" t="str">
        <f>IF(ifood_data[[#All],[Age]]&gt;60,"60+",(IF(ifood_data[[#All],[Age]]&gt;50,"50-60",(IF(ifood_data[[#All],[Age]]&gt;40,"40-50",(IF(ifood_data[[#All],[Age]]&gt;30,"30-40","&lt;30")))))))</f>
        <v>30-40</v>
      </c>
      <c r="AX1742">
        <f t="shared" si="108"/>
        <v>13</v>
      </c>
      <c r="AY1742">
        <f t="shared" si="109"/>
        <v>9</v>
      </c>
      <c r="AZ1742">
        <f t="shared" si="110"/>
        <v>1</v>
      </c>
      <c r="BA1742">
        <f t="shared" si="111"/>
        <v>1</v>
      </c>
      <c r="BB1742">
        <f>SUM(ifood_data[[#This Row],[Recency Score]:[Monetary Score]])</f>
        <v>11</v>
      </c>
      <c r="BC1742">
        <f>(_xlfn.PERCENTRANK.INC(ifood_data[[#All],[RFM]],ifood_data[[#This Row],[RFM]],1))*10</f>
        <v>2</v>
      </c>
      <c r="BD1742" t="str">
        <f>VLOOKUP(ifood_data[[#This Row],[RFM Score]],'RFM Analysis'!$A$3:$B$14,2,FALSE)</f>
        <v>At Risk</v>
      </c>
      <c r="BE1742">
        <f>'Regression Models'!$B$101+'Regression Models'!$B$102*ifood_data[[#This Row],[Income]]+'Regression Models'!$B$103*ifood_data[[#This Row],[Age]]+'Regression Models'!$B$104*ifood_data[[#This Row],[Family]]</f>
        <v>42.407763662004697</v>
      </c>
      <c r="BF1742" t="str">
        <f>IF(ifood_data[[#This Row],[AcceptedCmpOverall]]=1,"Campaign Respondent","Non-respondent")</f>
        <v>Non-respondent</v>
      </c>
    </row>
    <row r="1743" spans="1:58" x14ac:dyDescent="0.35">
      <c r="A1743">
        <v>1304</v>
      </c>
      <c r="B1743">
        <v>29791</v>
      </c>
      <c r="C1743">
        <v>1</v>
      </c>
      <c r="D1743">
        <v>0</v>
      </c>
      <c r="E1743">
        <v>21</v>
      </c>
      <c r="F1743">
        <v>14</v>
      </c>
      <c r="G1743">
        <v>0</v>
      </c>
      <c r="H1743">
        <v>6</v>
      </c>
      <c r="I1743">
        <v>0</v>
      </c>
      <c r="J1743">
        <v>0</v>
      </c>
      <c r="K1743">
        <v>0</v>
      </c>
      <c r="L1743">
        <v>2</v>
      </c>
      <c r="M1743">
        <v>2</v>
      </c>
      <c r="N1743">
        <v>0</v>
      </c>
      <c r="O1743">
        <v>3</v>
      </c>
      <c r="P1743">
        <v>5</v>
      </c>
      <c r="Q1743">
        <v>0</v>
      </c>
      <c r="R1743">
        <v>0</v>
      </c>
      <c r="S1743">
        <v>0</v>
      </c>
      <c r="T1743">
        <v>0</v>
      </c>
      <c r="U1743">
        <v>0</v>
      </c>
      <c r="V1743">
        <f>IF(SUM(ifood_data[[#This Row],[AcceptedCmp1]:[AcceptedCmp5]])&gt;0,1,0)</f>
        <v>0</v>
      </c>
      <c r="W1743">
        <v>0</v>
      </c>
      <c r="X1743">
        <v>3</v>
      </c>
      <c r="Y1743">
        <v>11</v>
      </c>
      <c r="Z1743">
        <v>0</v>
      </c>
      <c r="AA1743">
        <v>48</v>
      </c>
      <c r="AB1743">
        <v>2204</v>
      </c>
      <c r="AC1743" s="28">
        <f>ifood_data[[#This Row],[Customer_Days]]/365</f>
        <v>6.0383561643835613</v>
      </c>
      <c r="AD1743">
        <v>0</v>
      </c>
      <c r="AE1743">
        <v>1</v>
      </c>
      <c r="AF1743">
        <v>0</v>
      </c>
      <c r="AG1743">
        <v>0</v>
      </c>
      <c r="AH1743">
        <v>0</v>
      </c>
      <c r="AI1743">
        <v>0</v>
      </c>
      <c r="AJ1743">
        <v>0</v>
      </c>
      <c r="AK1743">
        <v>0</v>
      </c>
      <c r="AL1743">
        <v>0</v>
      </c>
      <c r="AM1743">
        <v>1</v>
      </c>
      <c r="AN1743">
        <v>20</v>
      </c>
      <c r="AO1743">
        <v>20</v>
      </c>
      <c r="AP1743">
        <f>ifood_data[[#This Row],[MntTotal]]-ifood_data[[#This Row],[MntRegularProds]]</f>
        <v>0</v>
      </c>
      <c r="AQ1743">
        <v>0</v>
      </c>
      <c r="AR1743">
        <f>IF(SUM(ifood_data[[#This Row],[Kidhome]:[Teenhome]])&gt;0,1,0)</f>
        <v>1</v>
      </c>
      <c r="AS1743" t="str">
        <f>IF(SUM(ifood_data[[#This Row],[Kidhome]:[Teenhome]])&gt;0,"Has Family","No Family")</f>
        <v>Has Family</v>
      </c>
      <c r="AT1743" t="str">
        <f>IF(ifood_data[[#This Row],[marital_Married]]=1,"Married", (IF(ifood_data[[#This Row],[marital_Single]]=1,"Single",(IF(ifood_data[[#This Row],[marital_Divorced]]=1,"Divorced",(IF(ifood_data[[#This Row],[marital_Together]]=1,"Living Together",(IF(ifood_data[[#This Row],[marital_Widow]]=1,"Widow","Other")))))))))</f>
        <v>Married</v>
      </c>
      <c r="AU1743" t="str">
        <f>IF(ifood_data[[#This Row],[education_Basic]]=1,"High School",(IF(ifood_data[[#This Row],[education_Graduation]]=1,"Undergraduate Degree",(IF(SUM(AM1743,AL1743,AI1743)&gt;0,"Master's Degree or Higher","Other")))))</f>
        <v>Master's Degree or Higher</v>
      </c>
      <c r="AV1743" t="str">
        <f>IF(ifood_data[[#All],[Income]]&gt;75000,"75K+",(IF(ifood_data[[#All],[Income]]&gt;50000,"50K-75K",(IF(ifood_data[[#All],[Income]]&gt;35000,"35K-50K","&lt;35K")))))</f>
        <v>&lt;35K</v>
      </c>
      <c r="AW1743" t="str">
        <f>IF(ifood_data[[#All],[Age]]&gt;60,"60+",(IF(ifood_data[[#All],[Age]]&gt;50,"50-60",(IF(ifood_data[[#All],[Age]]&gt;40,"40-50",(IF(ifood_data[[#All],[Age]]&gt;30,"30-40","&lt;30")))))))</f>
        <v>40-50</v>
      </c>
      <c r="AX1743">
        <f t="shared" si="108"/>
        <v>12</v>
      </c>
      <c r="AY1743">
        <f t="shared" si="109"/>
        <v>8</v>
      </c>
      <c r="AZ1743">
        <f t="shared" si="110"/>
        <v>1</v>
      </c>
      <c r="BA1743">
        <f t="shared" si="111"/>
        <v>0</v>
      </c>
      <c r="BB1743">
        <f>SUM(ifood_data[[#This Row],[Recency Score]:[Monetary Score]])</f>
        <v>9</v>
      </c>
      <c r="BC1743">
        <f>(_xlfn.PERCENTRANK.INC(ifood_data[[#All],[RFM]],ifood_data[[#This Row],[RFM]],1))*10</f>
        <v>1</v>
      </c>
      <c r="BD1743" t="str">
        <f>VLOOKUP(ifood_data[[#This Row],[RFM Score]],'RFM Analysis'!$A$3:$B$14,2,FALSE)</f>
        <v>At Risk</v>
      </c>
      <c r="BE1743">
        <f>'Regression Models'!$B$101+'Regression Models'!$B$102*ifood_data[[#This Row],[Income]]+'Regression Models'!$B$103*ifood_data[[#This Row],[Age]]+'Regression Models'!$B$104*ifood_data[[#This Row],[Family]]</f>
        <v>41.82382864048509</v>
      </c>
      <c r="BF1743" t="str">
        <f>IF(ifood_data[[#This Row],[AcceptedCmpOverall]]=1,"Campaign Respondent","Non-respondent")</f>
        <v>Non-respondent</v>
      </c>
    </row>
    <row r="1744" spans="1:58" x14ac:dyDescent="0.35">
      <c r="A1744">
        <v>1738</v>
      </c>
      <c r="B1744">
        <v>29819</v>
      </c>
      <c r="C1744">
        <v>1</v>
      </c>
      <c r="D1744">
        <v>0</v>
      </c>
      <c r="E1744">
        <v>77</v>
      </c>
      <c r="F1744">
        <v>9</v>
      </c>
      <c r="G1744">
        <v>1</v>
      </c>
      <c r="H1744">
        <v>24</v>
      </c>
      <c r="I1744">
        <v>2</v>
      </c>
      <c r="J1744">
        <v>1</v>
      </c>
      <c r="K1744">
        <v>2</v>
      </c>
      <c r="L1744">
        <v>3</v>
      </c>
      <c r="M1744">
        <v>3</v>
      </c>
      <c r="N1744">
        <v>0</v>
      </c>
      <c r="O1744">
        <v>3</v>
      </c>
      <c r="P1744">
        <v>6</v>
      </c>
      <c r="Q1744">
        <v>0</v>
      </c>
      <c r="R1744">
        <v>0</v>
      </c>
      <c r="S1744">
        <v>0</v>
      </c>
      <c r="T1744">
        <v>0</v>
      </c>
      <c r="U1744">
        <v>0</v>
      </c>
      <c r="V1744">
        <f>IF(SUM(ifood_data[[#This Row],[AcceptedCmp1]:[AcceptedCmp5]])&gt;0,1,0)</f>
        <v>0</v>
      </c>
      <c r="W1744">
        <v>0</v>
      </c>
      <c r="X1744">
        <v>3</v>
      </c>
      <c r="Y1744">
        <v>11</v>
      </c>
      <c r="Z1744">
        <v>0</v>
      </c>
      <c r="AA1744">
        <v>49</v>
      </c>
      <c r="AB1744">
        <v>2407</v>
      </c>
      <c r="AC1744" s="28">
        <f>ifood_data[[#This Row],[Customer_Days]]/365</f>
        <v>6.5945205479452058</v>
      </c>
      <c r="AD1744">
        <v>1</v>
      </c>
      <c r="AE1744">
        <v>0</v>
      </c>
      <c r="AF1744">
        <v>0</v>
      </c>
      <c r="AG1744">
        <v>0</v>
      </c>
      <c r="AH1744">
        <v>0</v>
      </c>
      <c r="AI1744">
        <v>0</v>
      </c>
      <c r="AJ1744">
        <v>0</v>
      </c>
      <c r="AK1744">
        <v>1</v>
      </c>
      <c r="AL1744">
        <v>0</v>
      </c>
      <c r="AM1744">
        <v>0</v>
      </c>
      <c r="AN1744">
        <v>37</v>
      </c>
      <c r="AO1744">
        <v>35</v>
      </c>
      <c r="AP1744">
        <f>ifood_data[[#This Row],[MntTotal]]-ifood_data[[#This Row],[MntRegularProds]]</f>
        <v>2</v>
      </c>
      <c r="AQ1744">
        <v>0</v>
      </c>
      <c r="AR1744">
        <f>IF(SUM(ifood_data[[#This Row],[Kidhome]:[Teenhome]])&gt;0,1,0)</f>
        <v>1</v>
      </c>
      <c r="AS1744" t="str">
        <f>IF(SUM(ifood_data[[#This Row],[Kidhome]:[Teenhome]])&gt;0,"Has Family","No Family")</f>
        <v>Has Family</v>
      </c>
      <c r="AT1744" t="str">
        <f>IF(ifood_data[[#This Row],[marital_Married]]=1,"Married", (IF(ifood_data[[#This Row],[marital_Single]]=1,"Single",(IF(ifood_data[[#This Row],[marital_Divorced]]=1,"Divorced",(IF(ifood_data[[#This Row],[marital_Together]]=1,"Living Together",(IF(ifood_data[[#This Row],[marital_Widow]]=1,"Widow","Other")))))))))</f>
        <v>Divorced</v>
      </c>
      <c r="AU1744" t="str">
        <f>IF(ifood_data[[#This Row],[education_Basic]]=1,"High School",(IF(ifood_data[[#This Row],[education_Graduation]]=1,"Undergraduate Degree",(IF(SUM(AM1744,AL1744,AI1744)&gt;0,"Master's Degree or Higher","Other")))))</f>
        <v>Undergraduate Degree</v>
      </c>
      <c r="AV1744" t="str">
        <f>IF(ifood_data[[#All],[Income]]&gt;75000,"75K+",(IF(ifood_data[[#All],[Income]]&gt;50000,"50K-75K",(IF(ifood_data[[#All],[Income]]&gt;35000,"35K-50K","&lt;35K")))))</f>
        <v>&lt;35K</v>
      </c>
      <c r="AW1744" t="str">
        <f>IF(ifood_data[[#All],[Age]]&gt;60,"60+",(IF(ifood_data[[#All],[Age]]&gt;50,"50-60",(IF(ifood_data[[#All],[Age]]&gt;40,"40-50",(IF(ifood_data[[#All],[Age]]&gt;30,"30-40","&lt;30")))))))</f>
        <v>40-50</v>
      </c>
      <c r="AX1744">
        <f t="shared" si="108"/>
        <v>15</v>
      </c>
      <c r="AY1744">
        <f t="shared" si="109"/>
        <v>3.0000000000000004</v>
      </c>
      <c r="AZ1744">
        <f t="shared" si="110"/>
        <v>2</v>
      </c>
      <c r="BA1744">
        <f t="shared" si="111"/>
        <v>1</v>
      </c>
      <c r="BB1744">
        <f>SUM(ifood_data[[#This Row],[Recency Score]:[Monetary Score]])</f>
        <v>6</v>
      </c>
      <c r="BC1744">
        <f>(_xlfn.PERCENTRANK.INC(ifood_data[[#All],[RFM]],ifood_data[[#This Row],[RFM]],1))*10</f>
        <v>0</v>
      </c>
      <c r="BD1744" t="str">
        <f>VLOOKUP(ifood_data[[#This Row],[RFM Score]],'RFM Analysis'!$A$3:$B$14,2,FALSE)</f>
        <v>Lost</v>
      </c>
      <c r="BE1744">
        <f>'Regression Models'!$B$101+'Regression Models'!$B$102*ifood_data[[#This Row],[Income]]+'Regression Models'!$B$103*ifood_data[[#This Row],[Age]]+'Regression Models'!$B$104*ifood_data[[#This Row],[Family]]</f>
        <v>40.558275069619981</v>
      </c>
      <c r="BF1744" t="str">
        <f>IF(ifood_data[[#This Row],[AcceptedCmpOverall]]=1,"Campaign Respondent","Non-respondent")</f>
        <v>Non-respondent</v>
      </c>
    </row>
    <row r="1745" spans="1:58" x14ac:dyDescent="0.35">
      <c r="A1745">
        <v>1944</v>
      </c>
      <c r="B1745">
        <v>29732</v>
      </c>
      <c r="C1745">
        <v>1</v>
      </c>
      <c r="D1745">
        <v>0</v>
      </c>
      <c r="E1745">
        <v>23</v>
      </c>
      <c r="F1745">
        <v>25</v>
      </c>
      <c r="G1745">
        <v>0</v>
      </c>
      <c r="H1745">
        <v>8</v>
      </c>
      <c r="I1745">
        <v>0</v>
      </c>
      <c r="J1745">
        <v>1</v>
      </c>
      <c r="K1745">
        <v>4</v>
      </c>
      <c r="L1745">
        <v>1</v>
      </c>
      <c r="M1745">
        <v>2</v>
      </c>
      <c r="N1745">
        <v>0</v>
      </c>
      <c r="O1745">
        <v>2</v>
      </c>
      <c r="P1745">
        <v>9</v>
      </c>
      <c r="Q1745">
        <v>0</v>
      </c>
      <c r="R1745">
        <v>0</v>
      </c>
      <c r="S1745">
        <v>0</v>
      </c>
      <c r="T1745">
        <v>0</v>
      </c>
      <c r="U1745">
        <v>0</v>
      </c>
      <c r="V1745">
        <f>IF(SUM(ifood_data[[#This Row],[AcceptedCmp1]:[AcceptedCmp5]])&gt;0,1,0)</f>
        <v>0</v>
      </c>
      <c r="W1745">
        <v>0</v>
      </c>
      <c r="X1745">
        <v>3</v>
      </c>
      <c r="Y1745">
        <v>11</v>
      </c>
      <c r="Z1745">
        <v>0</v>
      </c>
      <c r="AA1745">
        <v>49</v>
      </c>
      <c r="AB1745">
        <v>2255</v>
      </c>
      <c r="AC1745" s="28">
        <f>ifood_data[[#This Row],[Customer_Days]]/365</f>
        <v>6.1780821917808222</v>
      </c>
      <c r="AD1745">
        <v>0</v>
      </c>
      <c r="AE1745">
        <v>0</v>
      </c>
      <c r="AF1745">
        <v>0</v>
      </c>
      <c r="AG1745">
        <v>1</v>
      </c>
      <c r="AH1745">
        <v>0</v>
      </c>
      <c r="AI1745">
        <v>0</v>
      </c>
      <c r="AJ1745">
        <v>0</v>
      </c>
      <c r="AK1745">
        <v>0</v>
      </c>
      <c r="AL1745">
        <v>0</v>
      </c>
      <c r="AM1745">
        <v>1</v>
      </c>
      <c r="AN1745">
        <v>34</v>
      </c>
      <c r="AO1745">
        <v>30</v>
      </c>
      <c r="AP1745">
        <f>ifood_data[[#This Row],[MntTotal]]-ifood_data[[#This Row],[MntRegularProds]]</f>
        <v>4</v>
      </c>
      <c r="AQ1745">
        <v>0</v>
      </c>
      <c r="AR1745">
        <f>IF(SUM(ifood_data[[#This Row],[Kidhome]:[Teenhome]])&gt;0,1,0)</f>
        <v>1</v>
      </c>
      <c r="AS1745" t="str">
        <f>IF(SUM(ifood_data[[#This Row],[Kidhome]:[Teenhome]])&gt;0,"Has Family","No Family")</f>
        <v>Has Family</v>
      </c>
      <c r="AT1745" t="str">
        <f>IF(ifood_data[[#This Row],[marital_Married]]=1,"Married", (IF(ifood_data[[#This Row],[marital_Single]]=1,"Single",(IF(ifood_data[[#This Row],[marital_Divorced]]=1,"Divorced",(IF(ifood_data[[#This Row],[marital_Together]]=1,"Living Together",(IF(ifood_data[[#This Row],[marital_Widow]]=1,"Widow","Other")))))))))</f>
        <v>Living Together</v>
      </c>
      <c r="AU1745" t="str">
        <f>IF(ifood_data[[#This Row],[education_Basic]]=1,"High School",(IF(ifood_data[[#This Row],[education_Graduation]]=1,"Undergraduate Degree",(IF(SUM(AM1745,AL1745,AI1745)&gt;0,"Master's Degree or Higher","Other")))))</f>
        <v>Master's Degree or Higher</v>
      </c>
      <c r="AV1745" t="str">
        <f>IF(ifood_data[[#All],[Income]]&gt;75000,"75K+",(IF(ifood_data[[#All],[Income]]&gt;50000,"50K-75K",(IF(ifood_data[[#All],[Income]]&gt;35000,"35K-50K","&lt;35K")))))</f>
        <v>&lt;35K</v>
      </c>
      <c r="AW1745" t="str">
        <f>IF(ifood_data[[#All],[Age]]&gt;60,"60+",(IF(ifood_data[[#All],[Age]]&gt;50,"50-60",(IF(ifood_data[[#All],[Age]]&gt;40,"40-50",(IF(ifood_data[[#All],[Age]]&gt;30,"30-40","&lt;30")))))))</f>
        <v>40-50</v>
      </c>
      <c r="AX1745">
        <f t="shared" si="108"/>
        <v>14</v>
      </c>
      <c r="AY1745">
        <f t="shared" si="109"/>
        <v>8</v>
      </c>
      <c r="AZ1745">
        <f t="shared" si="110"/>
        <v>2</v>
      </c>
      <c r="BA1745">
        <f t="shared" si="111"/>
        <v>1</v>
      </c>
      <c r="BB1745">
        <f>SUM(ifood_data[[#This Row],[Recency Score]:[Monetary Score]])</f>
        <v>11</v>
      </c>
      <c r="BC1745">
        <f>(_xlfn.PERCENTRANK.INC(ifood_data[[#All],[RFM]],ifood_data[[#This Row],[RFM]],1))*10</f>
        <v>2</v>
      </c>
      <c r="BD1745" t="str">
        <f>VLOOKUP(ifood_data[[#This Row],[RFM Score]],'RFM Analysis'!$A$3:$B$14,2,FALSE)</f>
        <v>At Risk</v>
      </c>
      <c r="BE1745">
        <f>'Regression Models'!$B$101+'Regression Models'!$B$102*ifood_data[[#This Row],[Income]]+'Regression Models'!$B$103*ifood_data[[#This Row],[Age]]+'Regression Models'!$B$104*ifood_data[[#This Row],[Family]]</f>
        <v>38.78445224110078</v>
      </c>
      <c r="BF1745" t="str">
        <f>IF(ifood_data[[#This Row],[AcceptedCmpOverall]]=1,"Campaign Respondent","Non-respondent")</f>
        <v>Non-respondent</v>
      </c>
    </row>
    <row r="1746" spans="1:58" x14ac:dyDescent="0.35">
      <c r="A1746">
        <v>159</v>
      </c>
      <c r="B1746">
        <v>28718</v>
      </c>
      <c r="C1746">
        <v>1</v>
      </c>
      <c r="D1746">
        <v>0</v>
      </c>
      <c r="E1746">
        <v>78</v>
      </c>
      <c r="F1746">
        <v>12</v>
      </c>
      <c r="G1746">
        <v>4</v>
      </c>
      <c r="H1746">
        <v>6</v>
      </c>
      <c r="I1746">
        <v>11</v>
      </c>
      <c r="J1746">
        <v>8</v>
      </c>
      <c r="K1746">
        <v>16</v>
      </c>
      <c r="L1746">
        <v>2</v>
      </c>
      <c r="M1746">
        <v>2</v>
      </c>
      <c r="N1746">
        <v>0</v>
      </c>
      <c r="O1746">
        <v>3</v>
      </c>
      <c r="P1746">
        <v>8</v>
      </c>
      <c r="Q1746">
        <v>0</v>
      </c>
      <c r="R1746">
        <v>0</v>
      </c>
      <c r="S1746">
        <v>0</v>
      </c>
      <c r="T1746">
        <v>0</v>
      </c>
      <c r="U1746">
        <v>0</v>
      </c>
      <c r="V1746">
        <f>IF(SUM(ifood_data[[#This Row],[AcceptedCmp1]:[AcceptedCmp5]])&gt;0,1,0)</f>
        <v>0</v>
      </c>
      <c r="W1746">
        <v>0</v>
      </c>
      <c r="X1746">
        <v>3</v>
      </c>
      <c r="Y1746">
        <v>11</v>
      </c>
      <c r="Z1746">
        <v>0</v>
      </c>
      <c r="AA1746">
        <v>38</v>
      </c>
      <c r="AB1746">
        <v>2510</v>
      </c>
      <c r="AC1746" s="28">
        <f>ifood_data[[#This Row],[Customer_Days]]/365</f>
        <v>6.8767123287671232</v>
      </c>
      <c r="AD1746">
        <v>0</v>
      </c>
      <c r="AE1746">
        <v>1</v>
      </c>
      <c r="AF1746">
        <v>0</v>
      </c>
      <c r="AG1746">
        <v>0</v>
      </c>
      <c r="AH1746">
        <v>0</v>
      </c>
      <c r="AI1746">
        <v>0</v>
      </c>
      <c r="AJ1746">
        <v>0</v>
      </c>
      <c r="AK1746">
        <v>1</v>
      </c>
      <c r="AL1746">
        <v>0</v>
      </c>
      <c r="AM1746">
        <v>0</v>
      </c>
      <c r="AN1746">
        <v>41</v>
      </c>
      <c r="AO1746">
        <v>25</v>
      </c>
      <c r="AP1746">
        <f>ifood_data[[#This Row],[MntTotal]]-ifood_data[[#This Row],[MntRegularProds]]</f>
        <v>16</v>
      </c>
      <c r="AQ1746">
        <v>0</v>
      </c>
      <c r="AR1746">
        <f>IF(SUM(ifood_data[[#This Row],[Kidhome]:[Teenhome]])&gt;0,1,0)</f>
        <v>1</v>
      </c>
      <c r="AS1746" t="str">
        <f>IF(SUM(ifood_data[[#This Row],[Kidhome]:[Teenhome]])&gt;0,"Has Family","No Family")</f>
        <v>Has Family</v>
      </c>
      <c r="AT1746" t="str">
        <f>IF(ifood_data[[#This Row],[marital_Married]]=1,"Married", (IF(ifood_data[[#This Row],[marital_Single]]=1,"Single",(IF(ifood_data[[#This Row],[marital_Divorced]]=1,"Divorced",(IF(ifood_data[[#This Row],[marital_Together]]=1,"Living Together",(IF(ifood_data[[#This Row],[marital_Widow]]=1,"Widow","Other")))))))))</f>
        <v>Married</v>
      </c>
      <c r="AU1746" t="str">
        <f>IF(ifood_data[[#This Row],[education_Basic]]=1,"High School",(IF(ifood_data[[#This Row],[education_Graduation]]=1,"Undergraduate Degree",(IF(SUM(AM1746,AL1746,AI1746)&gt;0,"Master's Degree or Higher","Other")))))</f>
        <v>Undergraduate Degree</v>
      </c>
      <c r="AV1746" t="str">
        <f>IF(ifood_data[[#All],[Income]]&gt;75000,"75K+",(IF(ifood_data[[#All],[Income]]&gt;50000,"50K-75K",(IF(ifood_data[[#All],[Income]]&gt;35000,"35K-50K","&lt;35K")))))</f>
        <v>&lt;35K</v>
      </c>
      <c r="AW1746" t="str">
        <f>IF(ifood_data[[#All],[Age]]&gt;60,"60+",(IF(ifood_data[[#All],[Age]]&gt;50,"50-60",(IF(ifood_data[[#All],[Age]]&gt;40,"40-50",(IF(ifood_data[[#All],[Age]]&gt;30,"30-40","&lt;30")))))))</f>
        <v>30-40</v>
      </c>
      <c r="AX1746">
        <f t="shared" si="108"/>
        <v>15</v>
      </c>
      <c r="AY1746">
        <f t="shared" si="109"/>
        <v>3.0000000000000004</v>
      </c>
      <c r="AZ1746">
        <f t="shared" si="110"/>
        <v>2</v>
      </c>
      <c r="BA1746">
        <f t="shared" si="111"/>
        <v>1</v>
      </c>
      <c r="BB1746">
        <f>SUM(ifood_data[[#This Row],[Recency Score]:[Monetary Score]])</f>
        <v>6</v>
      </c>
      <c r="BC1746">
        <f>(_xlfn.PERCENTRANK.INC(ifood_data[[#All],[RFM]],ifood_data[[#This Row],[RFM]],1))*10</f>
        <v>0</v>
      </c>
      <c r="BD1746" t="str">
        <f>VLOOKUP(ifood_data[[#This Row],[RFM Score]],'RFM Analysis'!$A$3:$B$14,2,FALSE)</f>
        <v>Lost</v>
      </c>
      <c r="BE1746">
        <f>'Regression Models'!$B$101+'Regression Models'!$B$102*ifood_data[[#This Row],[Income]]+'Regression Models'!$B$103*ifood_data[[#This Row],[Age]]+'Regression Models'!$B$104*ifood_data[[#This Row],[Family]]</f>
        <v>38.311071211024398</v>
      </c>
      <c r="BF1746" t="str">
        <f>IF(ifood_data[[#This Row],[AcceptedCmpOverall]]=1,"Campaign Respondent","Non-respondent")</f>
        <v>Non-respondent</v>
      </c>
    </row>
    <row r="1747" spans="1:58" x14ac:dyDescent="0.35">
      <c r="A1747">
        <v>508</v>
      </c>
      <c r="B1747">
        <v>28567</v>
      </c>
      <c r="C1747">
        <v>1</v>
      </c>
      <c r="D1747">
        <v>0</v>
      </c>
      <c r="E1747">
        <v>57</v>
      </c>
      <c r="F1747">
        <v>11</v>
      </c>
      <c r="G1747">
        <v>3</v>
      </c>
      <c r="H1747">
        <v>22</v>
      </c>
      <c r="I1747">
        <v>2</v>
      </c>
      <c r="J1747">
        <v>2</v>
      </c>
      <c r="K1747">
        <v>6</v>
      </c>
      <c r="L1747">
        <v>2</v>
      </c>
      <c r="M1747">
        <v>2</v>
      </c>
      <c r="N1747">
        <v>0</v>
      </c>
      <c r="O1747">
        <v>3</v>
      </c>
      <c r="P1747">
        <v>6</v>
      </c>
      <c r="Q1747">
        <v>0</v>
      </c>
      <c r="R1747">
        <v>0</v>
      </c>
      <c r="S1747">
        <v>0</v>
      </c>
      <c r="T1747">
        <v>0</v>
      </c>
      <c r="U1747">
        <v>0</v>
      </c>
      <c r="V1747">
        <f>IF(SUM(ifood_data[[#This Row],[AcceptedCmp1]:[AcceptedCmp5]])&gt;0,1,0)</f>
        <v>0</v>
      </c>
      <c r="W1747">
        <v>0</v>
      </c>
      <c r="X1747">
        <v>3</v>
      </c>
      <c r="Y1747">
        <v>11</v>
      </c>
      <c r="Z1747">
        <v>0</v>
      </c>
      <c r="AA1747">
        <v>38</v>
      </c>
      <c r="AB1747">
        <v>2536</v>
      </c>
      <c r="AC1747" s="28">
        <f>ifood_data[[#This Row],[Customer_Days]]/365</f>
        <v>6.9479452054794519</v>
      </c>
      <c r="AD1747">
        <v>0</v>
      </c>
      <c r="AE1747">
        <v>0</v>
      </c>
      <c r="AF1747">
        <v>1</v>
      </c>
      <c r="AG1747">
        <v>0</v>
      </c>
      <c r="AH1747">
        <v>0</v>
      </c>
      <c r="AI1747">
        <v>0</v>
      </c>
      <c r="AJ1747">
        <v>0</v>
      </c>
      <c r="AK1747">
        <v>1</v>
      </c>
      <c r="AL1747">
        <v>0</v>
      </c>
      <c r="AM1747">
        <v>0</v>
      </c>
      <c r="AN1747">
        <v>40</v>
      </c>
      <c r="AO1747">
        <v>34</v>
      </c>
      <c r="AP1747">
        <f>ifood_data[[#This Row],[MntTotal]]-ifood_data[[#This Row],[MntRegularProds]]</f>
        <v>6</v>
      </c>
      <c r="AQ1747">
        <v>0</v>
      </c>
      <c r="AR1747">
        <f>IF(SUM(ifood_data[[#This Row],[Kidhome]:[Teenhome]])&gt;0,1,0)</f>
        <v>1</v>
      </c>
      <c r="AS1747" t="str">
        <f>IF(SUM(ifood_data[[#This Row],[Kidhome]:[Teenhome]])&gt;0,"Has Family","No Family")</f>
        <v>Has Family</v>
      </c>
      <c r="AT1747" t="str">
        <f>IF(ifood_data[[#This Row],[marital_Married]]=1,"Married", (IF(ifood_data[[#This Row],[marital_Single]]=1,"Single",(IF(ifood_data[[#This Row],[marital_Divorced]]=1,"Divorced",(IF(ifood_data[[#This Row],[marital_Together]]=1,"Living Together",(IF(ifood_data[[#This Row],[marital_Widow]]=1,"Widow","Other")))))))))</f>
        <v>Single</v>
      </c>
      <c r="AU1747" t="str">
        <f>IF(ifood_data[[#This Row],[education_Basic]]=1,"High School",(IF(ifood_data[[#This Row],[education_Graduation]]=1,"Undergraduate Degree",(IF(SUM(AM1747,AL1747,AI1747)&gt;0,"Master's Degree or Higher","Other")))))</f>
        <v>Undergraduate Degree</v>
      </c>
      <c r="AV1747" t="str">
        <f>IF(ifood_data[[#All],[Income]]&gt;75000,"75K+",(IF(ifood_data[[#All],[Income]]&gt;50000,"50K-75K",(IF(ifood_data[[#All],[Income]]&gt;35000,"35K-50K","&lt;35K")))))</f>
        <v>&lt;35K</v>
      </c>
      <c r="AW1747" t="str">
        <f>IF(ifood_data[[#All],[Age]]&gt;60,"60+",(IF(ifood_data[[#All],[Age]]&gt;50,"50-60",(IF(ifood_data[[#All],[Age]]&gt;40,"40-50",(IF(ifood_data[[#All],[Age]]&gt;30,"30-40","&lt;30")))))))</f>
        <v>30-40</v>
      </c>
      <c r="AX1747">
        <f t="shared" si="108"/>
        <v>13</v>
      </c>
      <c r="AY1747">
        <f t="shared" si="109"/>
        <v>5</v>
      </c>
      <c r="AZ1747">
        <f t="shared" si="110"/>
        <v>1</v>
      </c>
      <c r="BA1747">
        <f t="shared" si="111"/>
        <v>1</v>
      </c>
      <c r="BB1747">
        <f>SUM(ifood_data[[#This Row],[Recency Score]:[Monetary Score]])</f>
        <v>7</v>
      </c>
      <c r="BC1747">
        <f>(_xlfn.PERCENTRANK.INC(ifood_data[[#All],[RFM]],ifood_data[[#This Row],[RFM]],1))*10</f>
        <v>1</v>
      </c>
      <c r="BD1747" t="str">
        <f>VLOOKUP(ifood_data[[#This Row],[RFM Score]],'RFM Analysis'!$A$3:$B$14,2,FALSE)</f>
        <v>At Risk</v>
      </c>
      <c r="BE1747">
        <f>'Regression Models'!$B$101+'Regression Models'!$B$102*ifood_data[[#This Row],[Income]]+'Regression Models'!$B$103*ifood_data[[#This Row],[Age]]+'Regression Models'!$B$104*ifood_data[[#This Row],[Family]]</f>
        <v>35.232367221295647</v>
      </c>
      <c r="BF1747" t="str">
        <f>IF(ifood_data[[#This Row],[AcceptedCmpOverall]]=1,"Campaign Respondent","Non-respondent")</f>
        <v>Non-respondent</v>
      </c>
    </row>
    <row r="1748" spans="1:58" x14ac:dyDescent="0.35">
      <c r="A1748">
        <v>589</v>
      </c>
      <c r="B1748">
        <v>30522</v>
      </c>
      <c r="C1748">
        <v>0</v>
      </c>
      <c r="D1748">
        <v>1</v>
      </c>
      <c r="E1748">
        <v>6</v>
      </c>
      <c r="F1748">
        <v>179</v>
      </c>
      <c r="G1748">
        <v>8</v>
      </c>
      <c r="H1748">
        <v>83</v>
      </c>
      <c r="I1748">
        <v>19</v>
      </c>
      <c r="J1748">
        <v>11</v>
      </c>
      <c r="K1748">
        <v>26</v>
      </c>
      <c r="L1748">
        <v>5</v>
      </c>
      <c r="M1748">
        <v>1</v>
      </c>
      <c r="N1748">
        <v>2</v>
      </c>
      <c r="O1748">
        <v>9</v>
      </c>
      <c r="P1748">
        <v>2</v>
      </c>
      <c r="Q1748">
        <v>0</v>
      </c>
      <c r="R1748">
        <v>0</v>
      </c>
      <c r="S1748">
        <v>0</v>
      </c>
      <c r="T1748">
        <v>0</v>
      </c>
      <c r="U1748">
        <v>0</v>
      </c>
      <c r="V1748">
        <f>IF(SUM(ifood_data[[#This Row],[AcceptedCmp1]:[AcceptedCmp5]])&gt;0,1,0)</f>
        <v>0</v>
      </c>
      <c r="W1748">
        <v>0</v>
      </c>
      <c r="X1748">
        <v>3</v>
      </c>
      <c r="Y1748">
        <v>11</v>
      </c>
      <c r="Z1748">
        <v>0</v>
      </c>
      <c r="AA1748">
        <v>60</v>
      </c>
      <c r="AB1748">
        <v>2840</v>
      </c>
      <c r="AC1748" s="28">
        <f>ifood_data[[#This Row],[Customer_Days]]/365</f>
        <v>7.7808219178082192</v>
      </c>
      <c r="AD1748">
        <v>0</v>
      </c>
      <c r="AE1748">
        <v>1</v>
      </c>
      <c r="AF1748">
        <v>0</v>
      </c>
      <c r="AG1748">
        <v>0</v>
      </c>
      <c r="AH1748">
        <v>0</v>
      </c>
      <c r="AI1748">
        <v>0</v>
      </c>
      <c r="AJ1748">
        <v>0</v>
      </c>
      <c r="AK1748">
        <v>0</v>
      </c>
      <c r="AL1748">
        <v>1</v>
      </c>
      <c r="AM1748">
        <v>0</v>
      </c>
      <c r="AN1748">
        <v>300</v>
      </c>
      <c r="AO1748">
        <v>274</v>
      </c>
      <c r="AP1748">
        <f>ifood_data[[#This Row],[MntTotal]]-ifood_data[[#This Row],[MntRegularProds]]</f>
        <v>26</v>
      </c>
      <c r="AQ1748">
        <v>0</v>
      </c>
      <c r="AR1748">
        <f>IF(SUM(ifood_data[[#This Row],[Kidhome]:[Teenhome]])&gt;0,1,0)</f>
        <v>1</v>
      </c>
      <c r="AS1748" t="str">
        <f>IF(SUM(ifood_data[[#This Row],[Kidhome]:[Teenhome]])&gt;0,"Has Family","No Family")</f>
        <v>Has Family</v>
      </c>
      <c r="AT1748" t="str">
        <f>IF(ifood_data[[#This Row],[marital_Married]]=1,"Married", (IF(ifood_data[[#This Row],[marital_Single]]=1,"Single",(IF(ifood_data[[#This Row],[marital_Divorced]]=1,"Divorced",(IF(ifood_data[[#This Row],[marital_Together]]=1,"Living Together",(IF(ifood_data[[#This Row],[marital_Widow]]=1,"Widow","Other")))))))))</f>
        <v>Married</v>
      </c>
      <c r="AU1748" t="str">
        <f>IF(ifood_data[[#This Row],[education_Basic]]=1,"High School",(IF(ifood_data[[#This Row],[education_Graduation]]=1,"Undergraduate Degree",(IF(SUM(AM1748,AL1748,AI1748)&gt;0,"Master's Degree or Higher","Other")))))</f>
        <v>Master's Degree or Higher</v>
      </c>
      <c r="AV1748" t="str">
        <f>IF(ifood_data[[#All],[Income]]&gt;75000,"75K+",(IF(ifood_data[[#All],[Income]]&gt;50000,"50K-75K",(IF(ifood_data[[#All],[Income]]&gt;35000,"35K-50K","&lt;35K")))))</f>
        <v>&lt;35K</v>
      </c>
      <c r="AW1748" t="str">
        <f>IF(ifood_data[[#All],[Age]]&gt;60,"60+",(IF(ifood_data[[#All],[Age]]&gt;50,"50-60",(IF(ifood_data[[#All],[Age]]&gt;40,"40-50",(IF(ifood_data[[#All],[Age]]&gt;30,"30-40","&lt;30")))))))</f>
        <v>50-60</v>
      </c>
      <c r="AX1748">
        <f t="shared" si="108"/>
        <v>19</v>
      </c>
      <c r="AY1748">
        <f t="shared" si="109"/>
        <v>10</v>
      </c>
      <c r="AZ1748">
        <f t="shared" si="110"/>
        <v>4</v>
      </c>
      <c r="BA1748">
        <f t="shared" si="111"/>
        <v>4</v>
      </c>
      <c r="BB1748">
        <f>SUM(ifood_data[[#This Row],[Recency Score]:[Monetary Score]])</f>
        <v>18</v>
      </c>
      <c r="BC1748">
        <f>(_xlfn.PERCENTRANK.INC(ifood_data[[#All],[RFM]],ifood_data[[#This Row],[RFM]],1))*10</f>
        <v>6</v>
      </c>
      <c r="BD1748" t="str">
        <f>VLOOKUP(ifood_data[[#This Row],[RFM Score]],'RFM Analysis'!$A$3:$B$14,2,FALSE)</f>
        <v>Promising</v>
      </c>
      <c r="BE1748">
        <f>'Regression Models'!$B$101+'Regression Models'!$B$102*ifood_data[[#This Row],[Income]]+'Regression Models'!$B$103*ifood_data[[#This Row],[Age]]+'Regression Models'!$B$104*ifood_data[[#This Row],[Family]]</f>
        <v>34.690749206943906</v>
      </c>
      <c r="BF1748" t="str">
        <f>IF(ifood_data[[#This Row],[AcceptedCmpOverall]]=1,"Campaign Respondent","Non-respondent")</f>
        <v>Non-respondent</v>
      </c>
    </row>
    <row r="1749" spans="1:58" x14ac:dyDescent="0.35">
      <c r="A1749">
        <v>1162</v>
      </c>
      <c r="B1749">
        <v>28427</v>
      </c>
      <c r="C1749">
        <v>1</v>
      </c>
      <c r="D1749">
        <v>0</v>
      </c>
      <c r="E1749">
        <v>67</v>
      </c>
      <c r="F1749">
        <v>18</v>
      </c>
      <c r="G1749">
        <v>3</v>
      </c>
      <c r="H1749">
        <v>19</v>
      </c>
      <c r="I1749">
        <v>3</v>
      </c>
      <c r="J1749">
        <v>3</v>
      </c>
      <c r="K1749">
        <v>6</v>
      </c>
      <c r="L1749">
        <v>2</v>
      </c>
      <c r="M1749">
        <v>2</v>
      </c>
      <c r="N1749">
        <v>0</v>
      </c>
      <c r="O1749">
        <v>3</v>
      </c>
      <c r="P1749">
        <v>8</v>
      </c>
      <c r="Q1749">
        <v>0</v>
      </c>
      <c r="R1749">
        <v>0</v>
      </c>
      <c r="S1749">
        <v>0</v>
      </c>
      <c r="T1749">
        <v>0</v>
      </c>
      <c r="U1749">
        <v>0</v>
      </c>
      <c r="V1749">
        <f>IF(SUM(ifood_data[[#This Row],[AcceptedCmp1]:[AcceptedCmp5]])&gt;0,1,0)</f>
        <v>0</v>
      </c>
      <c r="W1749">
        <v>0</v>
      </c>
      <c r="X1749">
        <v>3</v>
      </c>
      <c r="Y1749">
        <v>11</v>
      </c>
      <c r="Z1749">
        <v>0</v>
      </c>
      <c r="AA1749">
        <v>37</v>
      </c>
      <c r="AB1749">
        <v>2624</v>
      </c>
      <c r="AC1749" s="28">
        <f>ifood_data[[#This Row],[Customer_Days]]/365</f>
        <v>7.1890410958904107</v>
      </c>
      <c r="AD1749">
        <v>0</v>
      </c>
      <c r="AE1749">
        <v>0</v>
      </c>
      <c r="AF1749">
        <v>0</v>
      </c>
      <c r="AG1749">
        <v>1</v>
      </c>
      <c r="AH1749">
        <v>0</v>
      </c>
      <c r="AI1749">
        <v>0</v>
      </c>
      <c r="AJ1749">
        <v>0</v>
      </c>
      <c r="AK1749">
        <v>1</v>
      </c>
      <c r="AL1749">
        <v>0</v>
      </c>
      <c r="AM1749">
        <v>0</v>
      </c>
      <c r="AN1749">
        <v>46</v>
      </c>
      <c r="AO1749">
        <v>40</v>
      </c>
      <c r="AP1749">
        <f>ifood_data[[#This Row],[MntTotal]]-ifood_data[[#This Row],[MntRegularProds]]</f>
        <v>6</v>
      </c>
      <c r="AQ1749">
        <v>0</v>
      </c>
      <c r="AR1749">
        <f>IF(SUM(ifood_data[[#This Row],[Kidhome]:[Teenhome]])&gt;0,1,0)</f>
        <v>1</v>
      </c>
      <c r="AS1749" t="str">
        <f>IF(SUM(ifood_data[[#This Row],[Kidhome]:[Teenhome]])&gt;0,"Has Family","No Family")</f>
        <v>Has Family</v>
      </c>
      <c r="AT1749" t="str">
        <f>IF(ifood_data[[#This Row],[marital_Married]]=1,"Married", (IF(ifood_data[[#This Row],[marital_Single]]=1,"Single",(IF(ifood_data[[#This Row],[marital_Divorced]]=1,"Divorced",(IF(ifood_data[[#This Row],[marital_Together]]=1,"Living Together",(IF(ifood_data[[#This Row],[marital_Widow]]=1,"Widow","Other")))))))))</f>
        <v>Living Together</v>
      </c>
      <c r="AU1749" t="str">
        <f>IF(ifood_data[[#This Row],[education_Basic]]=1,"High School",(IF(ifood_data[[#This Row],[education_Graduation]]=1,"Undergraduate Degree",(IF(SUM(AM1749,AL1749,AI1749)&gt;0,"Master's Degree or Higher","Other")))))</f>
        <v>Undergraduate Degree</v>
      </c>
      <c r="AV1749" t="str">
        <f>IF(ifood_data[[#All],[Income]]&gt;75000,"75K+",(IF(ifood_data[[#All],[Income]]&gt;50000,"50K-75K",(IF(ifood_data[[#All],[Income]]&gt;35000,"35K-50K","&lt;35K")))))</f>
        <v>&lt;35K</v>
      </c>
      <c r="AW1749" t="str">
        <f>IF(ifood_data[[#All],[Age]]&gt;60,"60+",(IF(ifood_data[[#All],[Age]]&gt;50,"50-60",(IF(ifood_data[[#All],[Age]]&gt;40,"40-50",(IF(ifood_data[[#All],[Age]]&gt;30,"30-40","&lt;30")))))))</f>
        <v>30-40</v>
      </c>
      <c r="AX1749">
        <f t="shared" si="108"/>
        <v>15</v>
      </c>
      <c r="AY1749">
        <f t="shared" si="109"/>
        <v>4</v>
      </c>
      <c r="AZ1749">
        <f t="shared" si="110"/>
        <v>2</v>
      </c>
      <c r="BA1749">
        <f t="shared" si="111"/>
        <v>2</v>
      </c>
      <c r="BB1749">
        <f>SUM(ifood_data[[#This Row],[Recency Score]:[Monetary Score]])</f>
        <v>8</v>
      </c>
      <c r="BC1749">
        <f>(_xlfn.PERCENTRANK.INC(ifood_data[[#All],[RFM]],ifood_data[[#This Row],[RFM]],1))*10</f>
        <v>1</v>
      </c>
      <c r="BD1749" t="str">
        <f>VLOOKUP(ifood_data[[#This Row],[RFM Score]],'RFM Analysis'!$A$3:$B$14,2,FALSE)</f>
        <v>At Risk</v>
      </c>
      <c r="BE1749">
        <f>'Regression Models'!$B$101+'Regression Models'!$B$102*ifood_data[[#This Row],[Income]]+'Regression Models'!$B$103*ifood_data[[#This Row],[Age]]+'Regression Models'!$B$104*ifood_data[[#This Row],[Family]]</f>
        <v>34.214378760044099</v>
      </c>
      <c r="BF1749" t="str">
        <f>IF(ifood_data[[#This Row],[AcceptedCmpOverall]]=1,"Campaign Respondent","Non-respondent")</f>
        <v>Non-respondent</v>
      </c>
    </row>
    <row r="1750" spans="1:58" x14ac:dyDescent="0.35">
      <c r="A1750">
        <v>54</v>
      </c>
      <c r="B1750">
        <v>27938</v>
      </c>
      <c r="C1750">
        <v>1</v>
      </c>
      <c r="D1750">
        <v>0</v>
      </c>
      <c r="E1750">
        <v>31</v>
      </c>
      <c r="F1750">
        <v>13</v>
      </c>
      <c r="G1750">
        <v>0</v>
      </c>
      <c r="H1750">
        <v>8</v>
      </c>
      <c r="I1750">
        <v>2</v>
      </c>
      <c r="J1750">
        <v>1</v>
      </c>
      <c r="K1750">
        <v>5</v>
      </c>
      <c r="L1750">
        <v>1</v>
      </c>
      <c r="M1750">
        <v>1</v>
      </c>
      <c r="N1750">
        <v>0</v>
      </c>
      <c r="O1750">
        <v>4</v>
      </c>
      <c r="P1750">
        <v>3</v>
      </c>
      <c r="Q1750">
        <v>0</v>
      </c>
      <c r="R1750">
        <v>0</v>
      </c>
      <c r="S1750">
        <v>0</v>
      </c>
      <c r="T1750">
        <v>0</v>
      </c>
      <c r="U1750">
        <v>0</v>
      </c>
      <c r="V1750">
        <f>IF(SUM(ifood_data[[#This Row],[AcceptedCmp1]:[AcceptedCmp5]])&gt;0,1,0)</f>
        <v>0</v>
      </c>
      <c r="W1750">
        <v>0</v>
      </c>
      <c r="X1750">
        <v>3</v>
      </c>
      <c r="Y1750">
        <v>11</v>
      </c>
      <c r="Z1750">
        <v>0</v>
      </c>
      <c r="AA1750">
        <v>32</v>
      </c>
      <c r="AB1750">
        <v>2221</v>
      </c>
      <c r="AC1750" s="28">
        <f>ifood_data[[#This Row],[Customer_Days]]/365</f>
        <v>6.0849315068493155</v>
      </c>
      <c r="AD1750">
        <v>0</v>
      </c>
      <c r="AE1750">
        <v>0</v>
      </c>
      <c r="AF1750">
        <v>1</v>
      </c>
      <c r="AG1750">
        <v>0</v>
      </c>
      <c r="AH1750">
        <v>0</v>
      </c>
      <c r="AI1750">
        <v>0</v>
      </c>
      <c r="AJ1750">
        <v>0</v>
      </c>
      <c r="AK1750">
        <v>1</v>
      </c>
      <c r="AL1750">
        <v>0</v>
      </c>
      <c r="AM1750">
        <v>0</v>
      </c>
      <c r="AN1750">
        <v>24</v>
      </c>
      <c r="AO1750">
        <v>19</v>
      </c>
      <c r="AP1750">
        <f>ifood_data[[#This Row],[MntTotal]]-ifood_data[[#This Row],[MntRegularProds]]</f>
        <v>5</v>
      </c>
      <c r="AQ1750">
        <v>0</v>
      </c>
      <c r="AR1750">
        <f>IF(SUM(ifood_data[[#This Row],[Kidhome]:[Teenhome]])&gt;0,1,0)</f>
        <v>1</v>
      </c>
      <c r="AS1750" t="str">
        <f>IF(SUM(ifood_data[[#This Row],[Kidhome]:[Teenhome]])&gt;0,"Has Family","No Family")</f>
        <v>Has Family</v>
      </c>
      <c r="AT1750" t="str">
        <f>IF(ifood_data[[#This Row],[marital_Married]]=1,"Married", (IF(ifood_data[[#This Row],[marital_Single]]=1,"Single",(IF(ifood_data[[#This Row],[marital_Divorced]]=1,"Divorced",(IF(ifood_data[[#This Row],[marital_Together]]=1,"Living Together",(IF(ifood_data[[#This Row],[marital_Widow]]=1,"Widow","Other")))))))))</f>
        <v>Single</v>
      </c>
      <c r="AU1750" t="str">
        <f>IF(ifood_data[[#This Row],[education_Basic]]=1,"High School",(IF(ifood_data[[#This Row],[education_Graduation]]=1,"Undergraduate Degree",(IF(SUM(AM1750,AL1750,AI1750)&gt;0,"Master's Degree or Higher","Other")))))</f>
        <v>Undergraduate Degree</v>
      </c>
      <c r="AV1750" t="str">
        <f>IF(ifood_data[[#All],[Income]]&gt;75000,"75K+",(IF(ifood_data[[#All],[Income]]&gt;50000,"50K-75K",(IF(ifood_data[[#All],[Income]]&gt;35000,"35K-50K","&lt;35K")))))</f>
        <v>&lt;35K</v>
      </c>
      <c r="AW1750" t="str">
        <f>IF(ifood_data[[#All],[Age]]&gt;60,"60+",(IF(ifood_data[[#All],[Age]]&gt;50,"50-60",(IF(ifood_data[[#All],[Age]]&gt;40,"40-50",(IF(ifood_data[[#All],[Age]]&gt;30,"30-40","&lt;30")))))))</f>
        <v>30-40</v>
      </c>
      <c r="AX1750">
        <f t="shared" si="108"/>
        <v>9</v>
      </c>
      <c r="AY1750">
        <f t="shared" si="109"/>
        <v>7</v>
      </c>
      <c r="AZ1750">
        <f t="shared" si="110"/>
        <v>0</v>
      </c>
      <c r="BA1750">
        <f t="shared" si="111"/>
        <v>0</v>
      </c>
      <c r="BB1750">
        <f>SUM(ifood_data[[#This Row],[Recency Score]:[Monetary Score]])</f>
        <v>7</v>
      </c>
      <c r="BC1750">
        <f>(_xlfn.PERCENTRANK.INC(ifood_data[[#All],[RFM]],ifood_data[[#This Row],[RFM]],1))*10</f>
        <v>1</v>
      </c>
      <c r="BD1750" t="str">
        <f>VLOOKUP(ifood_data[[#This Row],[RFM Score]],'RFM Analysis'!$A$3:$B$14,2,FALSE)</f>
        <v>At Risk</v>
      </c>
      <c r="BE1750">
        <f>'Regression Models'!$B$101+'Regression Models'!$B$102*ifood_data[[#This Row],[Income]]+'Regression Models'!$B$103*ifood_data[[#This Row],[Age]]+'Regression Models'!$B$104*ifood_data[[#This Row],[Family]]</f>
        <v>33.426466532148936</v>
      </c>
      <c r="BF1750" t="str">
        <f>IF(ifood_data[[#This Row],[AcceptedCmpOverall]]=1,"Campaign Respondent","Non-respondent")</f>
        <v>Non-respondent</v>
      </c>
    </row>
    <row r="1751" spans="1:58" x14ac:dyDescent="0.35">
      <c r="A1751">
        <v>351</v>
      </c>
      <c r="B1751">
        <v>29548</v>
      </c>
      <c r="C1751">
        <v>1</v>
      </c>
      <c r="D1751">
        <v>0</v>
      </c>
      <c r="E1751">
        <v>52</v>
      </c>
      <c r="F1751">
        <v>7</v>
      </c>
      <c r="G1751">
        <v>1</v>
      </c>
      <c r="H1751">
        <v>6</v>
      </c>
      <c r="I1751">
        <v>3</v>
      </c>
      <c r="J1751">
        <v>1</v>
      </c>
      <c r="K1751">
        <v>11</v>
      </c>
      <c r="L1751">
        <v>1</v>
      </c>
      <c r="M1751">
        <v>1</v>
      </c>
      <c r="N1751">
        <v>1</v>
      </c>
      <c r="O1751">
        <v>2</v>
      </c>
      <c r="P1751">
        <v>4</v>
      </c>
      <c r="Q1751">
        <v>0</v>
      </c>
      <c r="R1751">
        <v>0</v>
      </c>
      <c r="S1751">
        <v>1</v>
      </c>
      <c r="T1751">
        <v>0</v>
      </c>
      <c r="U1751">
        <v>0</v>
      </c>
      <c r="V1751">
        <f>IF(SUM(ifood_data[[#This Row],[AcceptedCmp1]:[AcceptedCmp5]])&gt;0,1,0)</f>
        <v>1</v>
      </c>
      <c r="W1751">
        <v>0</v>
      </c>
      <c r="X1751">
        <v>3</v>
      </c>
      <c r="Y1751">
        <v>11</v>
      </c>
      <c r="Z1751">
        <v>0</v>
      </c>
      <c r="AA1751">
        <v>50</v>
      </c>
      <c r="AB1751">
        <v>2463</v>
      </c>
      <c r="AC1751" s="28">
        <f>ifood_data[[#This Row],[Customer_Days]]/365</f>
        <v>6.7479452054794518</v>
      </c>
      <c r="AD1751">
        <v>0</v>
      </c>
      <c r="AE1751">
        <v>0</v>
      </c>
      <c r="AF1751">
        <v>1</v>
      </c>
      <c r="AG1751">
        <v>0</v>
      </c>
      <c r="AH1751">
        <v>0</v>
      </c>
      <c r="AI1751">
        <v>0</v>
      </c>
      <c r="AJ1751">
        <v>0</v>
      </c>
      <c r="AK1751">
        <v>0</v>
      </c>
      <c r="AL1751">
        <v>1</v>
      </c>
      <c r="AM1751">
        <v>0</v>
      </c>
      <c r="AN1751">
        <v>18</v>
      </c>
      <c r="AO1751">
        <v>7</v>
      </c>
      <c r="AP1751">
        <f>ifood_data[[#This Row],[MntTotal]]-ifood_data[[#This Row],[MntRegularProds]]</f>
        <v>11</v>
      </c>
      <c r="AQ1751">
        <v>1</v>
      </c>
      <c r="AR1751">
        <f>IF(SUM(ifood_data[[#This Row],[Kidhome]:[Teenhome]])&gt;0,1,0)</f>
        <v>1</v>
      </c>
      <c r="AS1751" t="str">
        <f>IF(SUM(ifood_data[[#This Row],[Kidhome]:[Teenhome]])&gt;0,"Has Family","No Family")</f>
        <v>Has Family</v>
      </c>
      <c r="AT1751" t="str">
        <f>IF(ifood_data[[#This Row],[marital_Married]]=1,"Married", (IF(ifood_data[[#This Row],[marital_Single]]=1,"Single",(IF(ifood_data[[#This Row],[marital_Divorced]]=1,"Divorced",(IF(ifood_data[[#This Row],[marital_Together]]=1,"Living Together",(IF(ifood_data[[#This Row],[marital_Widow]]=1,"Widow","Other")))))))))</f>
        <v>Single</v>
      </c>
      <c r="AU1751" t="str">
        <f>IF(ifood_data[[#This Row],[education_Basic]]=1,"High School",(IF(ifood_data[[#This Row],[education_Graduation]]=1,"Undergraduate Degree",(IF(SUM(AM1751,AL1751,AI1751)&gt;0,"Master's Degree or Higher","Other")))))</f>
        <v>Master's Degree or Higher</v>
      </c>
      <c r="AV1751" t="str">
        <f>IF(ifood_data[[#All],[Income]]&gt;75000,"75K+",(IF(ifood_data[[#All],[Income]]&gt;50000,"50K-75K",(IF(ifood_data[[#All],[Income]]&gt;35000,"35K-50K","&lt;35K")))))</f>
        <v>&lt;35K</v>
      </c>
      <c r="AW1751" t="str">
        <f>IF(ifood_data[[#All],[Age]]&gt;60,"60+",(IF(ifood_data[[#All],[Age]]&gt;50,"50-60",(IF(ifood_data[[#All],[Age]]&gt;40,"40-50",(IF(ifood_data[[#All],[Age]]&gt;30,"30-40","&lt;30")))))))</f>
        <v>40-50</v>
      </c>
      <c r="AX1751">
        <f t="shared" si="108"/>
        <v>9</v>
      </c>
      <c r="AY1751">
        <f t="shared" si="109"/>
        <v>5</v>
      </c>
      <c r="AZ1751">
        <f t="shared" si="110"/>
        <v>0</v>
      </c>
      <c r="BA1751">
        <f t="shared" si="111"/>
        <v>0</v>
      </c>
      <c r="BB1751">
        <f>SUM(ifood_data[[#This Row],[Recency Score]:[Monetary Score]])</f>
        <v>5</v>
      </c>
      <c r="BC1751">
        <f>(_xlfn.PERCENTRANK.INC(ifood_data[[#All],[RFM]],ifood_data[[#This Row],[RFM]],1))*10</f>
        <v>0</v>
      </c>
      <c r="BD1751" t="str">
        <f>VLOOKUP(ifood_data[[#This Row],[RFM Score]],'RFM Analysis'!$A$3:$B$14,2,FALSE)</f>
        <v>Lost</v>
      </c>
      <c r="BE1751">
        <f>'Regression Models'!$B$101+'Regression Models'!$B$102*ifood_data[[#This Row],[Income]]+'Regression Models'!$B$103*ifood_data[[#This Row],[Age]]+'Regression Models'!$B$104*ifood_data[[#This Row],[Family]]</f>
        <v>33.196479823729192</v>
      </c>
      <c r="BF1751" t="str">
        <f>IF(ifood_data[[#This Row],[AcceptedCmpOverall]]=1,"Campaign Respondent","Non-respondent")</f>
        <v>Campaign Respondent</v>
      </c>
    </row>
    <row r="1752" spans="1:58" x14ac:dyDescent="0.35">
      <c r="A1752">
        <v>1491</v>
      </c>
      <c r="B1752">
        <v>28359</v>
      </c>
      <c r="C1752">
        <v>1</v>
      </c>
      <c r="D1752">
        <v>0</v>
      </c>
      <c r="E1752">
        <v>35</v>
      </c>
      <c r="F1752">
        <v>6</v>
      </c>
      <c r="G1752">
        <v>0</v>
      </c>
      <c r="H1752">
        <v>5</v>
      </c>
      <c r="I1752">
        <v>2</v>
      </c>
      <c r="J1752">
        <v>1</v>
      </c>
      <c r="K1752">
        <v>2</v>
      </c>
      <c r="L1752">
        <v>1</v>
      </c>
      <c r="M1752">
        <v>1</v>
      </c>
      <c r="N1752">
        <v>0</v>
      </c>
      <c r="O1752">
        <v>2</v>
      </c>
      <c r="P1752">
        <v>7</v>
      </c>
      <c r="Q1752">
        <v>0</v>
      </c>
      <c r="R1752">
        <v>0</v>
      </c>
      <c r="S1752">
        <v>0</v>
      </c>
      <c r="T1752">
        <v>0</v>
      </c>
      <c r="U1752">
        <v>0</v>
      </c>
      <c r="V1752">
        <f>IF(SUM(ifood_data[[#This Row],[AcceptedCmp1]:[AcceptedCmp5]])&gt;0,1,0)</f>
        <v>0</v>
      </c>
      <c r="W1752">
        <v>0</v>
      </c>
      <c r="X1752">
        <v>3</v>
      </c>
      <c r="Y1752">
        <v>11</v>
      </c>
      <c r="Z1752">
        <v>0</v>
      </c>
      <c r="AA1752">
        <v>37</v>
      </c>
      <c r="AB1752">
        <v>2404</v>
      </c>
      <c r="AC1752" s="28">
        <f>ifood_data[[#This Row],[Customer_Days]]/365</f>
        <v>6.5863013698630137</v>
      </c>
      <c r="AD1752">
        <v>0</v>
      </c>
      <c r="AE1752">
        <v>0</v>
      </c>
      <c r="AF1752">
        <v>0</v>
      </c>
      <c r="AG1752">
        <v>1</v>
      </c>
      <c r="AH1752">
        <v>0</v>
      </c>
      <c r="AI1752">
        <v>0</v>
      </c>
      <c r="AJ1752">
        <v>0</v>
      </c>
      <c r="AK1752">
        <v>1</v>
      </c>
      <c r="AL1752">
        <v>0</v>
      </c>
      <c r="AM1752">
        <v>0</v>
      </c>
      <c r="AN1752">
        <v>14</v>
      </c>
      <c r="AO1752">
        <v>12</v>
      </c>
      <c r="AP1752">
        <f>ifood_data[[#This Row],[MntTotal]]-ifood_data[[#This Row],[MntRegularProds]]</f>
        <v>2</v>
      </c>
      <c r="AQ1752">
        <v>0</v>
      </c>
      <c r="AR1752">
        <f>IF(SUM(ifood_data[[#This Row],[Kidhome]:[Teenhome]])&gt;0,1,0)</f>
        <v>1</v>
      </c>
      <c r="AS1752" t="str">
        <f>IF(SUM(ifood_data[[#This Row],[Kidhome]:[Teenhome]])&gt;0,"Has Family","No Family")</f>
        <v>Has Family</v>
      </c>
      <c r="AT1752" t="str">
        <f>IF(ifood_data[[#This Row],[marital_Married]]=1,"Married", (IF(ifood_data[[#This Row],[marital_Single]]=1,"Single",(IF(ifood_data[[#This Row],[marital_Divorced]]=1,"Divorced",(IF(ifood_data[[#This Row],[marital_Together]]=1,"Living Together",(IF(ifood_data[[#This Row],[marital_Widow]]=1,"Widow","Other")))))))))</f>
        <v>Living Together</v>
      </c>
      <c r="AU1752" t="str">
        <f>IF(ifood_data[[#This Row],[education_Basic]]=1,"High School",(IF(ifood_data[[#This Row],[education_Graduation]]=1,"Undergraduate Degree",(IF(SUM(AM1752,AL1752,AI1752)&gt;0,"Master's Degree or Higher","Other")))))</f>
        <v>Undergraduate Degree</v>
      </c>
      <c r="AV1752" t="str">
        <f>IF(ifood_data[[#All],[Income]]&gt;75000,"75K+",(IF(ifood_data[[#All],[Income]]&gt;50000,"50K-75K",(IF(ifood_data[[#All],[Income]]&gt;35000,"35K-50K","&lt;35K")))))</f>
        <v>&lt;35K</v>
      </c>
      <c r="AW1752" t="str">
        <f>IF(ifood_data[[#All],[Age]]&gt;60,"60+",(IF(ifood_data[[#All],[Age]]&gt;50,"50-60",(IF(ifood_data[[#All],[Age]]&gt;40,"40-50",(IF(ifood_data[[#All],[Age]]&gt;30,"30-40","&lt;30")))))))</f>
        <v>30-40</v>
      </c>
      <c r="AX1752">
        <f t="shared" si="108"/>
        <v>11</v>
      </c>
      <c r="AY1752">
        <f t="shared" si="109"/>
        <v>7</v>
      </c>
      <c r="AZ1752">
        <f t="shared" si="110"/>
        <v>0</v>
      </c>
      <c r="BA1752">
        <f t="shared" si="111"/>
        <v>0</v>
      </c>
      <c r="BB1752">
        <f>SUM(ifood_data[[#This Row],[Recency Score]:[Monetary Score]])</f>
        <v>7</v>
      </c>
      <c r="BC1752">
        <f>(_xlfn.PERCENTRANK.INC(ifood_data[[#All],[RFM]],ifood_data[[#This Row],[RFM]],1))*10</f>
        <v>1</v>
      </c>
      <c r="BD1752" t="str">
        <f>VLOOKUP(ifood_data[[#This Row],[RFM Score]],'RFM Analysis'!$A$3:$B$14,2,FALSE)</f>
        <v>At Risk</v>
      </c>
      <c r="BE1752">
        <f>'Regression Models'!$B$101+'Regression Models'!$B$102*ifood_data[[#This Row],[Income]]+'Regression Models'!$B$103*ifood_data[[#This Row],[Age]]+'Regression Models'!$B$104*ifood_data[[#This Row],[Family]]</f>
        <v>32.827942526258937</v>
      </c>
      <c r="BF1752" t="str">
        <f>IF(ifood_data[[#This Row],[AcceptedCmpOverall]]=1,"Campaign Respondent","Non-respondent")</f>
        <v>Non-respondent</v>
      </c>
    </row>
    <row r="1753" spans="1:58" x14ac:dyDescent="0.35">
      <c r="A1753">
        <v>532</v>
      </c>
      <c r="B1753">
        <v>15315</v>
      </c>
      <c r="C1753">
        <v>0</v>
      </c>
      <c r="D1753">
        <v>0</v>
      </c>
      <c r="E1753">
        <v>27</v>
      </c>
      <c r="F1753">
        <v>7</v>
      </c>
      <c r="G1753">
        <v>4</v>
      </c>
      <c r="H1753">
        <v>13</v>
      </c>
      <c r="I1753">
        <v>15</v>
      </c>
      <c r="J1753">
        <v>8</v>
      </c>
      <c r="K1753">
        <v>17</v>
      </c>
      <c r="L1753">
        <v>2</v>
      </c>
      <c r="M1753">
        <v>2</v>
      </c>
      <c r="N1753">
        <v>0</v>
      </c>
      <c r="O1753">
        <v>4</v>
      </c>
      <c r="P1753">
        <v>5</v>
      </c>
      <c r="Q1753">
        <v>0</v>
      </c>
      <c r="R1753">
        <v>0</v>
      </c>
      <c r="S1753">
        <v>0</v>
      </c>
      <c r="T1753">
        <v>0</v>
      </c>
      <c r="U1753">
        <v>0</v>
      </c>
      <c r="V1753">
        <f>IF(SUM(ifood_data[[#This Row],[AcceptedCmp1]:[AcceptedCmp5]])&gt;0,1,0)</f>
        <v>0</v>
      </c>
      <c r="W1753">
        <v>0</v>
      </c>
      <c r="X1753">
        <v>3</v>
      </c>
      <c r="Y1753">
        <v>11</v>
      </c>
      <c r="Z1753">
        <v>0</v>
      </c>
      <c r="AA1753">
        <v>50</v>
      </c>
      <c r="AB1753">
        <v>2489</v>
      </c>
      <c r="AC1753" s="28">
        <f>ifood_data[[#This Row],[Customer_Days]]/365</f>
        <v>6.8191780821917805</v>
      </c>
      <c r="AD1753">
        <v>0</v>
      </c>
      <c r="AE1753">
        <v>1</v>
      </c>
      <c r="AF1753">
        <v>0</v>
      </c>
      <c r="AG1753">
        <v>0</v>
      </c>
      <c r="AH1753">
        <v>0</v>
      </c>
      <c r="AI1753">
        <v>1</v>
      </c>
      <c r="AJ1753">
        <v>0</v>
      </c>
      <c r="AK1753">
        <v>0</v>
      </c>
      <c r="AL1753">
        <v>0</v>
      </c>
      <c r="AM1753">
        <v>0</v>
      </c>
      <c r="AN1753">
        <v>47</v>
      </c>
      <c r="AO1753">
        <v>30</v>
      </c>
      <c r="AP1753">
        <f>ifood_data[[#This Row],[MntTotal]]-ifood_data[[#This Row],[MntRegularProds]]</f>
        <v>17</v>
      </c>
      <c r="AQ1753">
        <v>0</v>
      </c>
      <c r="AR1753">
        <f>IF(SUM(ifood_data[[#This Row],[Kidhome]:[Teenhome]])&gt;0,1,0)</f>
        <v>0</v>
      </c>
      <c r="AS1753" t="str">
        <f>IF(SUM(ifood_data[[#This Row],[Kidhome]:[Teenhome]])&gt;0,"Has Family","No Family")</f>
        <v>No Family</v>
      </c>
      <c r="AT1753" t="str">
        <f>IF(ifood_data[[#This Row],[marital_Married]]=1,"Married", (IF(ifood_data[[#This Row],[marital_Single]]=1,"Single",(IF(ifood_data[[#This Row],[marital_Divorced]]=1,"Divorced",(IF(ifood_data[[#This Row],[marital_Together]]=1,"Living Together",(IF(ifood_data[[#This Row],[marital_Widow]]=1,"Widow","Other")))))))))</f>
        <v>Married</v>
      </c>
      <c r="AU1753" t="str">
        <f>IF(ifood_data[[#This Row],[education_Basic]]=1,"High School",(IF(ifood_data[[#This Row],[education_Graduation]]=1,"Undergraduate Degree",(IF(SUM(AM1753,AL1753,AI1753)&gt;0,"Master's Degree or Higher","Other")))))</f>
        <v>Master's Degree or Higher</v>
      </c>
      <c r="AV1753" t="str">
        <f>IF(ifood_data[[#All],[Income]]&gt;75000,"75K+",(IF(ifood_data[[#All],[Income]]&gt;50000,"50K-75K",(IF(ifood_data[[#All],[Income]]&gt;35000,"35K-50K","&lt;35K")))))</f>
        <v>&lt;35K</v>
      </c>
      <c r="AW1753" t="str">
        <f>IF(ifood_data[[#All],[Age]]&gt;60,"60+",(IF(ifood_data[[#All],[Age]]&gt;50,"50-60",(IF(ifood_data[[#All],[Age]]&gt;40,"40-50",(IF(ifood_data[[#All],[Age]]&gt;30,"30-40","&lt;30")))))))</f>
        <v>40-50</v>
      </c>
      <c r="AX1753">
        <f t="shared" si="108"/>
        <v>13</v>
      </c>
      <c r="AY1753">
        <f t="shared" si="109"/>
        <v>8</v>
      </c>
      <c r="AZ1753">
        <f t="shared" si="110"/>
        <v>1</v>
      </c>
      <c r="BA1753">
        <f t="shared" si="111"/>
        <v>2</v>
      </c>
      <c r="BB1753">
        <f>SUM(ifood_data[[#This Row],[Recency Score]:[Monetary Score]])</f>
        <v>11</v>
      </c>
      <c r="BC1753">
        <f>(_xlfn.PERCENTRANK.INC(ifood_data[[#All],[RFM]],ifood_data[[#This Row],[RFM]],1))*10</f>
        <v>2</v>
      </c>
      <c r="BD1753" t="str">
        <f>VLOOKUP(ifood_data[[#This Row],[RFM Score]],'RFM Analysis'!$A$3:$B$14,2,FALSE)</f>
        <v>At Risk</v>
      </c>
      <c r="BE1753">
        <f>'Regression Models'!$B$101+'Regression Models'!$B$102*ifood_data[[#This Row],[Income]]+'Regression Models'!$B$103*ifood_data[[#This Row],[Age]]+'Regression Models'!$B$104*ifood_data[[#This Row],[Family]]</f>
        <v>32.616773904631614</v>
      </c>
      <c r="BF1753" t="str">
        <f>IF(ifood_data[[#This Row],[AcceptedCmpOverall]]=1,"Campaign Respondent","Non-respondent")</f>
        <v>Non-respondent</v>
      </c>
    </row>
    <row r="1754" spans="1:58" x14ac:dyDescent="0.35">
      <c r="A1754">
        <v>1362</v>
      </c>
      <c r="B1754">
        <v>28072</v>
      </c>
      <c r="C1754">
        <v>1</v>
      </c>
      <c r="D1754">
        <v>0</v>
      </c>
      <c r="E1754">
        <v>10</v>
      </c>
      <c r="F1754">
        <v>30</v>
      </c>
      <c r="G1754">
        <v>0</v>
      </c>
      <c r="H1754">
        <v>10</v>
      </c>
      <c r="I1754">
        <v>2</v>
      </c>
      <c r="J1754">
        <v>0</v>
      </c>
      <c r="K1754">
        <v>5</v>
      </c>
      <c r="L1754">
        <v>1</v>
      </c>
      <c r="M1754">
        <v>1</v>
      </c>
      <c r="N1754">
        <v>0</v>
      </c>
      <c r="O1754">
        <v>3</v>
      </c>
      <c r="P1754">
        <v>7</v>
      </c>
      <c r="Q1754">
        <v>0</v>
      </c>
      <c r="R1754">
        <v>0</v>
      </c>
      <c r="S1754">
        <v>0</v>
      </c>
      <c r="T1754">
        <v>0</v>
      </c>
      <c r="U1754">
        <v>0</v>
      </c>
      <c r="V1754">
        <f>IF(SUM(ifood_data[[#This Row],[AcceptedCmp1]:[AcceptedCmp5]])&gt;0,1,0)</f>
        <v>0</v>
      </c>
      <c r="W1754">
        <v>0</v>
      </c>
      <c r="X1754">
        <v>3</v>
      </c>
      <c r="Y1754">
        <v>11</v>
      </c>
      <c r="Z1754">
        <v>0</v>
      </c>
      <c r="AA1754">
        <v>34</v>
      </c>
      <c r="AB1754">
        <v>2515</v>
      </c>
      <c r="AC1754" s="28">
        <f>ifood_data[[#This Row],[Customer_Days]]/365</f>
        <v>6.8904109589041092</v>
      </c>
      <c r="AD1754">
        <v>0</v>
      </c>
      <c r="AE1754">
        <v>1</v>
      </c>
      <c r="AF1754">
        <v>0</v>
      </c>
      <c r="AG1754">
        <v>0</v>
      </c>
      <c r="AH1754">
        <v>0</v>
      </c>
      <c r="AI1754">
        <v>0</v>
      </c>
      <c r="AJ1754">
        <v>0</v>
      </c>
      <c r="AK1754">
        <v>0</v>
      </c>
      <c r="AL1754">
        <v>1</v>
      </c>
      <c r="AM1754">
        <v>0</v>
      </c>
      <c r="AN1754">
        <v>42</v>
      </c>
      <c r="AO1754">
        <v>37</v>
      </c>
      <c r="AP1754">
        <f>ifood_data[[#This Row],[MntTotal]]-ifood_data[[#This Row],[MntRegularProds]]</f>
        <v>5</v>
      </c>
      <c r="AQ1754">
        <v>0</v>
      </c>
      <c r="AR1754">
        <f>IF(SUM(ifood_data[[#This Row],[Kidhome]:[Teenhome]])&gt;0,1,0)</f>
        <v>1</v>
      </c>
      <c r="AS1754" t="str">
        <f>IF(SUM(ifood_data[[#This Row],[Kidhome]:[Teenhome]])&gt;0,"Has Family","No Family")</f>
        <v>Has Family</v>
      </c>
      <c r="AT1754" t="str">
        <f>IF(ifood_data[[#This Row],[marital_Married]]=1,"Married", (IF(ifood_data[[#This Row],[marital_Single]]=1,"Single",(IF(ifood_data[[#This Row],[marital_Divorced]]=1,"Divorced",(IF(ifood_data[[#This Row],[marital_Together]]=1,"Living Together",(IF(ifood_data[[#This Row],[marital_Widow]]=1,"Widow","Other")))))))))</f>
        <v>Married</v>
      </c>
      <c r="AU1754" t="str">
        <f>IF(ifood_data[[#This Row],[education_Basic]]=1,"High School",(IF(ifood_data[[#This Row],[education_Graduation]]=1,"Undergraduate Degree",(IF(SUM(AM1754,AL1754,AI1754)&gt;0,"Master's Degree or Higher","Other")))))</f>
        <v>Master's Degree or Higher</v>
      </c>
      <c r="AV1754" t="str">
        <f>IF(ifood_data[[#All],[Income]]&gt;75000,"75K+",(IF(ifood_data[[#All],[Income]]&gt;50000,"50K-75K",(IF(ifood_data[[#All],[Income]]&gt;35000,"35K-50K","&lt;35K")))))</f>
        <v>&lt;35K</v>
      </c>
      <c r="AW1754" t="str">
        <f>IF(ifood_data[[#All],[Age]]&gt;60,"60+",(IF(ifood_data[[#All],[Age]]&gt;50,"50-60",(IF(ifood_data[[#All],[Age]]&gt;40,"40-50",(IF(ifood_data[[#All],[Age]]&gt;30,"30-40","&lt;30")))))))</f>
        <v>30-40</v>
      </c>
      <c r="AX1754">
        <f t="shared" si="108"/>
        <v>12</v>
      </c>
      <c r="AY1754">
        <f t="shared" si="109"/>
        <v>9</v>
      </c>
      <c r="AZ1754">
        <f t="shared" si="110"/>
        <v>1</v>
      </c>
      <c r="BA1754">
        <f t="shared" si="111"/>
        <v>1</v>
      </c>
      <c r="BB1754">
        <f>SUM(ifood_data[[#This Row],[Recency Score]:[Monetary Score]])</f>
        <v>11</v>
      </c>
      <c r="BC1754">
        <f>(_xlfn.PERCENTRANK.INC(ifood_data[[#All],[RFM]],ifood_data[[#This Row],[RFM]],1))*10</f>
        <v>2</v>
      </c>
      <c r="BD1754" t="str">
        <f>VLOOKUP(ifood_data[[#This Row],[RFM Score]],'RFM Analysis'!$A$3:$B$14,2,FALSE)</f>
        <v>At Risk</v>
      </c>
      <c r="BE1754">
        <f>'Regression Models'!$B$101+'Regression Models'!$B$102*ifood_data[[#This Row],[Income]]+'Regression Models'!$B$103*ifood_data[[#This Row],[Age]]+'Regression Models'!$B$104*ifood_data[[#This Row],[Family]]</f>
        <v>32.485683305642794</v>
      </c>
      <c r="BF1754" t="str">
        <f>IF(ifood_data[[#This Row],[AcceptedCmpOverall]]=1,"Campaign Respondent","Non-respondent")</f>
        <v>Non-respondent</v>
      </c>
    </row>
    <row r="1755" spans="1:58" x14ac:dyDescent="0.35">
      <c r="A1755">
        <v>1112</v>
      </c>
      <c r="B1755">
        <v>28510</v>
      </c>
      <c r="C1755">
        <v>1</v>
      </c>
      <c r="D1755">
        <v>1</v>
      </c>
      <c r="E1755">
        <v>72</v>
      </c>
      <c r="F1755">
        <v>44</v>
      </c>
      <c r="G1755">
        <v>5</v>
      </c>
      <c r="H1755">
        <v>19</v>
      </c>
      <c r="I1755">
        <v>0</v>
      </c>
      <c r="J1755">
        <v>4</v>
      </c>
      <c r="K1755">
        <v>19</v>
      </c>
      <c r="L1755">
        <v>3</v>
      </c>
      <c r="M1755">
        <v>2</v>
      </c>
      <c r="N1755">
        <v>0</v>
      </c>
      <c r="O1755">
        <v>4</v>
      </c>
      <c r="P1755">
        <v>5</v>
      </c>
      <c r="Q1755">
        <v>0</v>
      </c>
      <c r="R1755">
        <v>0</v>
      </c>
      <c r="S1755">
        <v>0</v>
      </c>
      <c r="T1755">
        <v>0</v>
      </c>
      <c r="U1755">
        <v>0</v>
      </c>
      <c r="V1755">
        <f>IF(SUM(ifood_data[[#This Row],[AcceptedCmp1]:[AcceptedCmp5]])&gt;0,1,0)</f>
        <v>0</v>
      </c>
      <c r="W1755">
        <v>0</v>
      </c>
      <c r="X1755">
        <v>3</v>
      </c>
      <c r="Y1755">
        <v>11</v>
      </c>
      <c r="Z1755">
        <v>0</v>
      </c>
      <c r="AA1755">
        <v>39</v>
      </c>
      <c r="AB1755">
        <v>2601</v>
      </c>
      <c r="AC1755" s="28">
        <f>ifood_data[[#This Row],[Customer_Days]]/365</f>
        <v>7.1260273972602741</v>
      </c>
      <c r="AD1755">
        <v>1</v>
      </c>
      <c r="AE1755">
        <v>0</v>
      </c>
      <c r="AF1755">
        <v>0</v>
      </c>
      <c r="AG1755">
        <v>0</v>
      </c>
      <c r="AH1755">
        <v>0</v>
      </c>
      <c r="AI1755">
        <v>0</v>
      </c>
      <c r="AJ1755">
        <v>0</v>
      </c>
      <c r="AK1755">
        <v>1</v>
      </c>
      <c r="AL1755">
        <v>0</v>
      </c>
      <c r="AM1755">
        <v>0</v>
      </c>
      <c r="AN1755">
        <v>72</v>
      </c>
      <c r="AO1755">
        <v>53</v>
      </c>
      <c r="AP1755">
        <f>ifood_data[[#This Row],[MntTotal]]-ifood_data[[#This Row],[MntRegularProds]]</f>
        <v>19</v>
      </c>
      <c r="AQ1755">
        <v>0</v>
      </c>
      <c r="AR1755">
        <f>IF(SUM(ifood_data[[#This Row],[Kidhome]:[Teenhome]])&gt;0,1,0)</f>
        <v>1</v>
      </c>
      <c r="AS1755" t="str">
        <f>IF(SUM(ifood_data[[#This Row],[Kidhome]:[Teenhome]])&gt;0,"Has Family","No Family")</f>
        <v>Has Family</v>
      </c>
      <c r="AT1755" t="str">
        <f>IF(ifood_data[[#This Row],[marital_Married]]=1,"Married", (IF(ifood_data[[#This Row],[marital_Single]]=1,"Single",(IF(ifood_data[[#This Row],[marital_Divorced]]=1,"Divorced",(IF(ifood_data[[#This Row],[marital_Together]]=1,"Living Together",(IF(ifood_data[[#This Row],[marital_Widow]]=1,"Widow","Other")))))))))</f>
        <v>Divorced</v>
      </c>
      <c r="AU1755" t="str">
        <f>IF(ifood_data[[#This Row],[education_Basic]]=1,"High School",(IF(ifood_data[[#This Row],[education_Graduation]]=1,"Undergraduate Degree",(IF(SUM(AM1755,AL1755,AI1755)&gt;0,"Master's Degree or Higher","Other")))))</f>
        <v>Undergraduate Degree</v>
      </c>
      <c r="AV1755" t="str">
        <f>IF(ifood_data[[#All],[Income]]&gt;75000,"75K+",(IF(ifood_data[[#All],[Income]]&gt;50000,"50K-75K",(IF(ifood_data[[#All],[Income]]&gt;35000,"35K-50K","&lt;35K")))))</f>
        <v>&lt;35K</v>
      </c>
      <c r="AW1755" t="str">
        <f>IF(ifood_data[[#All],[Age]]&gt;60,"60+",(IF(ifood_data[[#All],[Age]]&gt;50,"50-60",(IF(ifood_data[[#All],[Age]]&gt;40,"40-50",(IF(ifood_data[[#All],[Age]]&gt;30,"30-40","&lt;30")))))))</f>
        <v>30-40</v>
      </c>
      <c r="AX1755">
        <f t="shared" si="108"/>
        <v>14</v>
      </c>
      <c r="AY1755">
        <f t="shared" si="109"/>
        <v>3.0000000000000004</v>
      </c>
      <c r="AZ1755">
        <f t="shared" si="110"/>
        <v>2</v>
      </c>
      <c r="BA1755">
        <f t="shared" si="111"/>
        <v>3</v>
      </c>
      <c r="BB1755">
        <f>SUM(ifood_data[[#This Row],[Recency Score]:[Monetary Score]])</f>
        <v>8</v>
      </c>
      <c r="BC1755">
        <f>(_xlfn.PERCENTRANK.INC(ifood_data[[#All],[RFM]],ifood_data[[#This Row],[RFM]],1))*10</f>
        <v>1</v>
      </c>
      <c r="BD1755" t="str">
        <f>VLOOKUP(ifood_data[[#This Row],[RFM Score]],'RFM Analysis'!$A$3:$B$14,2,FALSE)</f>
        <v>At Risk</v>
      </c>
      <c r="BE1755">
        <f>'Regression Models'!$B$101+'Regression Models'!$B$102*ifood_data[[#This Row],[Income]]+'Regression Models'!$B$103*ifood_data[[#This Row],[Age]]+'Regression Models'!$B$104*ifood_data[[#This Row],[Family]]</f>
        <v>32.233768358199143</v>
      </c>
      <c r="BF1755" t="str">
        <f>IF(ifood_data[[#This Row],[AcceptedCmpOverall]]=1,"Campaign Respondent","Non-respondent")</f>
        <v>Non-respondent</v>
      </c>
    </row>
    <row r="1756" spans="1:58" x14ac:dyDescent="0.35">
      <c r="A1756">
        <v>149</v>
      </c>
      <c r="B1756">
        <v>30523</v>
      </c>
      <c r="C1756">
        <v>2</v>
      </c>
      <c r="D1756">
        <v>1</v>
      </c>
      <c r="E1756">
        <v>0</v>
      </c>
      <c r="F1756">
        <v>5</v>
      </c>
      <c r="G1756">
        <v>0</v>
      </c>
      <c r="H1756">
        <v>3</v>
      </c>
      <c r="I1756">
        <v>0</v>
      </c>
      <c r="J1756">
        <v>0</v>
      </c>
      <c r="K1756">
        <v>5</v>
      </c>
      <c r="L1756">
        <v>1</v>
      </c>
      <c r="M1756">
        <v>1</v>
      </c>
      <c r="N1756">
        <v>0</v>
      </c>
      <c r="O1756">
        <v>2</v>
      </c>
      <c r="P1756">
        <v>7</v>
      </c>
      <c r="Q1756">
        <v>0</v>
      </c>
      <c r="R1756">
        <v>0</v>
      </c>
      <c r="S1756">
        <v>0</v>
      </c>
      <c r="T1756">
        <v>0</v>
      </c>
      <c r="U1756">
        <v>0</v>
      </c>
      <c r="V1756">
        <f>IF(SUM(ifood_data[[#This Row],[AcceptedCmp1]:[AcceptedCmp5]])&gt;0,1,0)</f>
        <v>0</v>
      </c>
      <c r="W1756">
        <v>0</v>
      </c>
      <c r="X1756">
        <v>3</v>
      </c>
      <c r="Y1756">
        <v>11</v>
      </c>
      <c r="Z1756">
        <v>0</v>
      </c>
      <c r="AA1756">
        <v>62</v>
      </c>
      <c r="AB1756">
        <v>2522</v>
      </c>
      <c r="AC1756" s="28">
        <f>ifood_data[[#This Row],[Customer_Days]]/365</f>
        <v>6.9095890410958907</v>
      </c>
      <c r="AD1756">
        <v>0</v>
      </c>
      <c r="AE1756">
        <v>0</v>
      </c>
      <c r="AF1756">
        <v>1</v>
      </c>
      <c r="AG1756">
        <v>0</v>
      </c>
      <c r="AH1756">
        <v>0</v>
      </c>
      <c r="AI1756">
        <v>0</v>
      </c>
      <c r="AJ1756">
        <v>0</v>
      </c>
      <c r="AK1756">
        <v>0</v>
      </c>
      <c r="AL1756">
        <v>1</v>
      </c>
      <c r="AM1756">
        <v>0</v>
      </c>
      <c r="AN1756">
        <v>8</v>
      </c>
      <c r="AO1756">
        <v>3</v>
      </c>
      <c r="AP1756">
        <f>ifood_data[[#This Row],[MntTotal]]-ifood_data[[#This Row],[MntRegularProds]]</f>
        <v>5</v>
      </c>
      <c r="AQ1756">
        <v>0</v>
      </c>
      <c r="AR1756">
        <f>IF(SUM(ifood_data[[#This Row],[Kidhome]:[Teenhome]])&gt;0,1,0)</f>
        <v>1</v>
      </c>
      <c r="AS1756" t="str">
        <f>IF(SUM(ifood_data[[#This Row],[Kidhome]:[Teenhome]])&gt;0,"Has Family","No Family")</f>
        <v>Has Family</v>
      </c>
      <c r="AT1756" t="str">
        <f>IF(ifood_data[[#This Row],[marital_Married]]=1,"Married", (IF(ifood_data[[#This Row],[marital_Single]]=1,"Single",(IF(ifood_data[[#This Row],[marital_Divorced]]=1,"Divorced",(IF(ifood_data[[#This Row],[marital_Together]]=1,"Living Together",(IF(ifood_data[[#This Row],[marital_Widow]]=1,"Widow","Other")))))))))</f>
        <v>Single</v>
      </c>
      <c r="AU1756" t="str">
        <f>IF(ifood_data[[#This Row],[education_Basic]]=1,"High School",(IF(ifood_data[[#This Row],[education_Graduation]]=1,"Undergraduate Degree",(IF(SUM(AM1756,AL1756,AI1756)&gt;0,"Master's Degree or Higher","Other")))))</f>
        <v>Master's Degree or Higher</v>
      </c>
      <c r="AV1756" t="str">
        <f>IF(ifood_data[[#All],[Income]]&gt;75000,"75K+",(IF(ifood_data[[#All],[Income]]&gt;50000,"50K-75K",(IF(ifood_data[[#All],[Income]]&gt;35000,"35K-50K","&lt;35K")))))</f>
        <v>&lt;35K</v>
      </c>
      <c r="AW1756" t="str">
        <f>IF(ifood_data[[#All],[Age]]&gt;60,"60+",(IF(ifood_data[[#All],[Age]]&gt;50,"50-60",(IF(ifood_data[[#All],[Age]]&gt;40,"40-50",(IF(ifood_data[[#All],[Age]]&gt;30,"30-40","&lt;30")))))))</f>
        <v>60+</v>
      </c>
      <c r="AX1756">
        <f t="shared" si="108"/>
        <v>11</v>
      </c>
      <c r="AY1756">
        <f t="shared" si="109"/>
        <v>10</v>
      </c>
      <c r="AZ1756">
        <f t="shared" si="110"/>
        <v>0</v>
      </c>
      <c r="BA1756">
        <f t="shared" si="111"/>
        <v>0</v>
      </c>
      <c r="BB1756">
        <f>SUM(ifood_data[[#This Row],[Recency Score]:[Monetary Score]])</f>
        <v>10</v>
      </c>
      <c r="BC1756">
        <f>(_xlfn.PERCENTRANK.INC(ifood_data[[#All],[RFM]],ifood_data[[#This Row],[RFM]],1))*10</f>
        <v>2</v>
      </c>
      <c r="BD1756" t="str">
        <f>VLOOKUP(ifood_data[[#This Row],[RFM Score]],'RFM Analysis'!$A$3:$B$14,2,FALSE)</f>
        <v>At Risk</v>
      </c>
      <c r="BE1756">
        <f>'Regression Models'!$B$101+'Regression Models'!$B$102*ifood_data[[#This Row],[Income]]+'Regression Models'!$B$103*ifood_data[[#This Row],[Age]]+'Regression Models'!$B$104*ifood_data[[#This Row],[Family]]</f>
        <v>31.038259817299263</v>
      </c>
      <c r="BF1756" t="str">
        <f>IF(ifood_data[[#This Row],[AcceptedCmpOverall]]=1,"Campaign Respondent","Non-respondent")</f>
        <v>Non-respondent</v>
      </c>
    </row>
    <row r="1757" spans="1:58" x14ac:dyDescent="0.35">
      <c r="A1757">
        <v>599</v>
      </c>
      <c r="B1757">
        <v>28769</v>
      </c>
      <c r="C1757">
        <v>1</v>
      </c>
      <c r="D1757">
        <v>0</v>
      </c>
      <c r="E1757">
        <v>76</v>
      </c>
      <c r="F1757">
        <v>41</v>
      </c>
      <c r="G1757">
        <v>5</v>
      </c>
      <c r="H1757">
        <v>129</v>
      </c>
      <c r="I1757">
        <v>10</v>
      </c>
      <c r="J1757">
        <v>3</v>
      </c>
      <c r="K1757">
        <v>3</v>
      </c>
      <c r="L1757">
        <v>3</v>
      </c>
      <c r="M1757">
        <v>4</v>
      </c>
      <c r="N1757">
        <v>1</v>
      </c>
      <c r="O1757">
        <v>4</v>
      </c>
      <c r="P1757">
        <v>9</v>
      </c>
      <c r="Q1757">
        <v>0</v>
      </c>
      <c r="R1757">
        <v>0</v>
      </c>
      <c r="S1757">
        <v>0</v>
      </c>
      <c r="T1757">
        <v>0</v>
      </c>
      <c r="U1757">
        <v>0</v>
      </c>
      <c r="V1757">
        <f>IF(SUM(ifood_data[[#This Row],[AcceptedCmp1]:[AcceptedCmp5]])&gt;0,1,0)</f>
        <v>0</v>
      </c>
      <c r="W1757">
        <v>0</v>
      </c>
      <c r="X1757">
        <v>3</v>
      </c>
      <c r="Y1757">
        <v>11</v>
      </c>
      <c r="Z1757">
        <v>0</v>
      </c>
      <c r="AA1757">
        <v>43</v>
      </c>
      <c r="AB1757">
        <v>2717</v>
      </c>
      <c r="AC1757" s="28">
        <f>ifood_data[[#This Row],[Customer_Days]]/365</f>
        <v>7.4438356164383563</v>
      </c>
      <c r="AD1757">
        <v>0</v>
      </c>
      <c r="AE1757">
        <v>0</v>
      </c>
      <c r="AF1757">
        <v>1</v>
      </c>
      <c r="AG1757">
        <v>0</v>
      </c>
      <c r="AH1757">
        <v>0</v>
      </c>
      <c r="AI1757">
        <v>0</v>
      </c>
      <c r="AJ1757">
        <v>0</v>
      </c>
      <c r="AK1757">
        <v>1</v>
      </c>
      <c r="AL1757">
        <v>0</v>
      </c>
      <c r="AM1757">
        <v>0</v>
      </c>
      <c r="AN1757">
        <v>188</v>
      </c>
      <c r="AO1757">
        <v>185</v>
      </c>
      <c r="AP1757">
        <f>ifood_data[[#This Row],[MntTotal]]-ifood_data[[#This Row],[MntRegularProds]]</f>
        <v>3</v>
      </c>
      <c r="AQ1757">
        <v>0</v>
      </c>
      <c r="AR1757">
        <f>IF(SUM(ifood_data[[#This Row],[Kidhome]:[Teenhome]])&gt;0,1,0)</f>
        <v>1</v>
      </c>
      <c r="AS1757" t="str">
        <f>IF(SUM(ifood_data[[#This Row],[Kidhome]:[Teenhome]])&gt;0,"Has Family","No Family")</f>
        <v>Has Family</v>
      </c>
      <c r="AT1757" t="str">
        <f>IF(ifood_data[[#This Row],[marital_Married]]=1,"Married", (IF(ifood_data[[#This Row],[marital_Single]]=1,"Single",(IF(ifood_data[[#This Row],[marital_Divorced]]=1,"Divorced",(IF(ifood_data[[#This Row],[marital_Together]]=1,"Living Together",(IF(ifood_data[[#This Row],[marital_Widow]]=1,"Widow","Other")))))))))</f>
        <v>Single</v>
      </c>
      <c r="AU1757" t="str">
        <f>IF(ifood_data[[#This Row],[education_Basic]]=1,"High School",(IF(ifood_data[[#This Row],[education_Graduation]]=1,"Undergraduate Degree",(IF(SUM(AM1757,AL1757,AI1757)&gt;0,"Master's Degree or Higher","Other")))))</f>
        <v>Undergraduate Degree</v>
      </c>
      <c r="AV1757" t="str">
        <f>IF(ifood_data[[#All],[Income]]&gt;75000,"75K+",(IF(ifood_data[[#All],[Income]]&gt;50000,"50K-75K",(IF(ifood_data[[#All],[Income]]&gt;35000,"35K-50K","&lt;35K")))))</f>
        <v>&lt;35K</v>
      </c>
      <c r="AW1757" t="str">
        <f>IF(ifood_data[[#All],[Age]]&gt;60,"60+",(IF(ifood_data[[#All],[Age]]&gt;50,"50-60",(IF(ifood_data[[#All],[Age]]&gt;40,"40-50",(IF(ifood_data[[#All],[Age]]&gt;30,"30-40","&lt;30")))))))</f>
        <v>40-50</v>
      </c>
      <c r="AX1757">
        <f t="shared" si="108"/>
        <v>21</v>
      </c>
      <c r="AY1757">
        <f t="shared" si="109"/>
        <v>3.0000000000000004</v>
      </c>
      <c r="AZ1757">
        <f t="shared" si="110"/>
        <v>5</v>
      </c>
      <c r="BA1757">
        <f t="shared" si="111"/>
        <v>4</v>
      </c>
      <c r="BB1757">
        <f>SUM(ifood_data[[#This Row],[Recency Score]:[Monetary Score]])</f>
        <v>12</v>
      </c>
      <c r="BC1757">
        <f>(_xlfn.PERCENTRANK.INC(ifood_data[[#All],[RFM]],ifood_data[[#This Row],[RFM]],1))*10</f>
        <v>3</v>
      </c>
      <c r="BD1757" t="str">
        <f>VLOOKUP(ifood_data[[#This Row],[RFM Score]],'RFM Analysis'!$A$3:$B$14,2,FALSE)</f>
        <v>At Risk</v>
      </c>
      <c r="BE1757">
        <f>'Regression Models'!$B$101+'Regression Models'!$B$102*ifood_data[[#This Row],[Income]]+'Regression Models'!$B$103*ifood_data[[#This Row],[Age]]+'Regression Models'!$B$104*ifood_data[[#This Row],[Family]]</f>
        <v>30.168702991891791</v>
      </c>
      <c r="BF1757" t="str">
        <f>IF(ifood_data[[#This Row],[AcceptedCmpOverall]]=1,"Campaign Respondent","Non-respondent")</f>
        <v>Non-respondent</v>
      </c>
    </row>
    <row r="1758" spans="1:58" x14ac:dyDescent="0.35">
      <c r="A1758">
        <v>970</v>
      </c>
      <c r="B1758">
        <v>28647</v>
      </c>
      <c r="C1758">
        <v>1</v>
      </c>
      <c r="D1758">
        <v>0</v>
      </c>
      <c r="E1758">
        <v>54</v>
      </c>
      <c r="F1758">
        <v>19</v>
      </c>
      <c r="G1758">
        <v>8</v>
      </c>
      <c r="H1758">
        <v>29</v>
      </c>
      <c r="I1758">
        <v>0</v>
      </c>
      <c r="J1758">
        <v>12</v>
      </c>
      <c r="K1758">
        <v>26</v>
      </c>
      <c r="L1758">
        <v>1</v>
      </c>
      <c r="M1758">
        <v>2</v>
      </c>
      <c r="N1758">
        <v>2</v>
      </c>
      <c r="O1758">
        <v>2</v>
      </c>
      <c r="P1758">
        <v>7</v>
      </c>
      <c r="Q1758">
        <v>0</v>
      </c>
      <c r="R1758">
        <v>0</v>
      </c>
      <c r="S1758">
        <v>1</v>
      </c>
      <c r="T1758">
        <v>0</v>
      </c>
      <c r="U1758">
        <v>0</v>
      </c>
      <c r="V1758">
        <f>IF(SUM(ifood_data[[#This Row],[AcceptedCmp1]:[AcceptedCmp5]])&gt;0,1,0)</f>
        <v>1</v>
      </c>
      <c r="W1758">
        <v>0</v>
      </c>
      <c r="X1758">
        <v>3</v>
      </c>
      <c r="Y1758">
        <v>11</v>
      </c>
      <c r="Z1758">
        <v>1</v>
      </c>
      <c r="AA1758">
        <v>42</v>
      </c>
      <c r="AB1758">
        <v>2471</v>
      </c>
      <c r="AC1758" s="28">
        <f>ifood_data[[#This Row],[Customer_Days]]/365</f>
        <v>6.7698630136986298</v>
      </c>
      <c r="AD1758">
        <v>0</v>
      </c>
      <c r="AE1758">
        <v>0</v>
      </c>
      <c r="AF1758">
        <v>1</v>
      </c>
      <c r="AG1758">
        <v>0</v>
      </c>
      <c r="AH1758">
        <v>0</v>
      </c>
      <c r="AI1758">
        <v>0</v>
      </c>
      <c r="AJ1758">
        <v>0</v>
      </c>
      <c r="AK1758">
        <v>1</v>
      </c>
      <c r="AL1758">
        <v>0</v>
      </c>
      <c r="AM1758">
        <v>0</v>
      </c>
      <c r="AN1758">
        <v>68</v>
      </c>
      <c r="AO1758">
        <v>42</v>
      </c>
      <c r="AP1758">
        <f>ifood_data[[#This Row],[MntTotal]]-ifood_data[[#This Row],[MntRegularProds]]</f>
        <v>26</v>
      </c>
      <c r="AQ1758">
        <v>1</v>
      </c>
      <c r="AR1758">
        <f>IF(SUM(ifood_data[[#This Row],[Kidhome]:[Teenhome]])&gt;0,1,0)</f>
        <v>1</v>
      </c>
      <c r="AS1758" t="str">
        <f>IF(SUM(ifood_data[[#This Row],[Kidhome]:[Teenhome]])&gt;0,"Has Family","No Family")</f>
        <v>Has Family</v>
      </c>
      <c r="AT1758" t="str">
        <f>IF(ifood_data[[#This Row],[marital_Married]]=1,"Married", (IF(ifood_data[[#This Row],[marital_Single]]=1,"Single",(IF(ifood_data[[#This Row],[marital_Divorced]]=1,"Divorced",(IF(ifood_data[[#This Row],[marital_Together]]=1,"Living Together",(IF(ifood_data[[#This Row],[marital_Widow]]=1,"Widow","Other")))))))))</f>
        <v>Single</v>
      </c>
      <c r="AU1758" t="str">
        <f>IF(ifood_data[[#This Row],[education_Basic]]=1,"High School",(IF(ifood_data[[#This Row],[education_Graduation]]=1,"Undergraduate Degree",(IF(SUM(AM1758,AL1758,AI1758)&gt;0,"Master's Degree or Higher","Other")))))</f>
        <v>Undergraduate Degree</v>
      </c>
      <c r="AV1758" t="str">
        <f>IF(ifood_data[[#All],[Income]]&gt;75000,"75K+",(IF(ifood_data[[#All],[Income]]&gt;50000,"50K-75K",(IF(ifood_data[[#All],[Income]]&gt;35000,"35K-50K","&lt;35K")))))</f>
        <v>&lt;35K</v>
      </c>
      <c r="AW1758" t="str">
        <f>IF(ifood_data[[#All],[Age]]&gt;60,"60+",(IF(ifood_data[[#All],[Age]]&gt;50,"50-60",(IF(ifood_data[[#All],[Age]]&gt;40,"40-50",(IF(ifood_data[[#All],[Age]]&gt;30,"30-40","&lt;30")))))))</f>
        <v>40-50</v>
      </c>
      <c r="AX1758">
        <f t="shared" si="108"/>
        <v>14</v>
      </c>
      <c r="AY1758">
        <f t="shared" si="109"/>
        <v>5</v>
      </c>
      <c r="AZ1758">
        <f t="shared" si="110"/>
        <v>2</v>
      </c>
      <c r="BA1758">
        <f t="shared" si="111"/>
        <v>2</v>
      </c>
      <c r="BB1758">
        <f>SUM(ifood_data[[#This Row],[Recency Score]:[Monetary Score]])</f>
        <v>9</v>
      </c>
      <c r="BC1758">
        <f>(_xlfn.PERCENTRANK.INC(ifood_data[[#All],[RFM]],ifood_data[[#This Row],[RFM]],1))*10</f>
        <v>1</v>
      </c>
      <c r="BD1758" t="str">
        <f>VLOOKUP(ifood_data[[#This Row],[RFM Score]],'RFM Analysis'!$A$3:$B$14,2,FALSE)</f>
        <v>At Risk</v>
      </c>
      <c r="BE1758">
        <f>'Regression Models'!$B$101+'Regression Models'!$B$102*ifood_data[[#This Row],[Income]]+'Regression Models'!$B$103*ifood_data[[#This Row],[Age]]+'Regression Models'!$B$104*ifood_data[[#This Row],[Family]]</f>
        <v>29.51771235723038</v>
      </c>
      <c r="BF1758" t="str">
        <f>IF(ifood_data[[#This Row],[AcceptedCmpOverall]]=1,"Campaign Respondent","Non-respondent")</f>
        <v>Campaign Respondent</v>
      </c>
    </row>
    <row r="1759" spans="1:58" x14ac:dyDescent="0.35">
      <c r="A1759">
        <v>1763</v>
      </c>
      <c r="B1759">
        <v>29543</v>
      </c>
      <c r="C1759">
        <v>2</v>
      </c>
      <c r="D1759">
        <v>0</v>
      </c>
      <c r="E1759">
        <v>47</v>
      </c>
      <c r="F1759">
        <v>17</v>
      </c>
      <c r="G1759">
        <v>3</v>
      </c>
      <c r="H1759">
        <v>18</v>
      </c>
      <c r="I1759">
        <v>3</v>
      </c>
      <c r="J1759">
        <v>4</v>
      </c>
      <c r="K1759">
        <v>18</v>
      </c>
      <c r="L1759">
        <v>2</v>
      </c>
      <c r="M1759">
        <v>3</v>
      </c>
      <c r="N1759">
        <v>1</v>
      </c>
      <c r="O1759">
        <v>2</v>
      </c>
      <c r="P1759">
        <v>7</v>
      </c>
      <c r="Q1759">
        <v>0</v>
      </c>
      <c r="R1759">
        <v>0</v>
      </c>
      <c r="S1759">
        <v>0</v>
      </c>
      <c r="T1759">
        <v>0</v>
      </c>
      <c r="U1759">
        <v>0</v>
      </c>
      <c r="V1759">
        <f>IF(SUM(ifood_data[[#This Row],[AcceptedCmp1]:[AcceptedCmp5]])&gt;0,1,0)</f>
        <v>0</v>
      </c>
      <c r="W1759">
        <v>0</v>
      </c>
      <c r="X1759">
        <v>3</v>
      </c>
      <c r="Y1759">
        <v>11</v>
      </c>
      <c r="Z1759">
        <v>0</v>
      </c>
      <c r="AA1759">
        <v>52</v>
      </c>
      <c r="AB1759">
        <v>2248</v>
      </c>
      <c r="AC1759" s="28">
        <f>ifood_data[[#This Row],[Customer_Days]]/365</f>
        <v>6.1589041095890407</v>
      </c>
      <c r="AD1759">
        <v>0</v>
      </c>
      <c r="AE1759">
        <v>1</v>
      </c>
      <c r="AF1759">
        <v>0</v>
      </c>
      <c r="AG1759">
        <v>0</v>
      </c>
      <c r="AH1759">
        <v>0</v>
      </c>
      <c r="AI1759">
        <v>0</v>
      </c>
      <c r="AJ1759">
        <v>0</v>
      </c>
      <c r="AK1759">
        <v>0</v>
      </c>
      <c r="AL1759">
        <v>1</v>
      </c>
      <c r="AM1759">
        <v>0</v>
      </c>
      <c r="AN1759">
        <v>45</v>
      </c>
      <c r="AO1759">
        <v>27</v>
      </c>
      <c r="AP1759">
        <f>ifood_data[[#This Row],[MntTotal]]-ifood_data[[#This Row],[MntRegularProds]]</f>
        <v>18</v>
      </c>
      <c r="AQ1759">
        <v>0</v>
      </c>
      <c r="AR1759">
        <f>IF(SUM(ifood_data[[#This Row],[Kidhome]:[Teenhome]])&gt;0,1,0)</f>
        <v>1</v>
      </c>
      <c r="AS1759" t="str">
        <f>IF(SUM(ifood_data[[#This Row],[Kidhome]:[Teenhome]])&gt;0,"Has Family","No Family")</f>
        <v>Has Family</v>
      </c>
      <c r="AT1759" t="str">
        <f>IF(ifood_data[[#This Row],[marital_Married]]=1,"Married", (IF(ifood_data[[#This Row],[marital_Single]]=1,"Single",(IF(ifood_data[[#This Row],[marital_Divorced]]=1,"Divorced",(IF(ifood_data[[#This Row],[marital_Together]]=1,"Living Together",(IF(ifood_data[[#This Row],[marital_Widow]]=1,"Widow","Other")))))))))</f>
        <v>Married</v>
      </c>
      <c r="AU1759" t="str">
        <f>IF(ifood_data[[#This Row],[education_Basic]]=1,"High School",(IF(ifood_data[[#This Row],[education_Graduation]]=1,"Undergraduate Degree",(IF(SUM(AM1759,AL1759,AI1759)&gt;0,"Master's Degree or Higher","Other")))))</f>
        <v>Master's Degree or Higher</v>
      </c>
      <c r="AV1759" t="str">
        <f>IF(ifood_data[[#All],[Income]]&gt;75000,"75K+",(IF(ifood_data[[#All],[Income]]&gt;50000,"50K-75K",(IF(ifood_data[[#All],[Income]]&gt;35000,"35K-50K","&lt;35K")))))</f>
        <v>&lt;35K</v>
      </c>
      <c r="AW1759" t="str">
        <f>IF(ifood_data[[#All],[Age]]&gt;60,"60+",(IF(ifood_data[[#All],[Age]]&gt;50,"50-60",(IF(ifood_data[[#All],[Age]]&gt;40,"40-50",(IF(ifood_data[[#All],[Age]]&gt;30,"30-40","&lt;30")))))))</f>
        <v>50-60</v>
      </c>
      <c r="AX1759">
        <f t="shared" si="108"/>
        <v>15</v>
      </c>
      <c r="AY1759">
        <f t="shared" si="109"/>
        <v>6</v>
      </c>
      <c r="AZ1759">
        <f t="shared" si="110"/>
        <v>2</v>
      </c>
      <c r="BA1759">
        <f t="shared" si="111"/>
        <v>2</v>
      </c>
      <c r="BB1759">
        <f>SUM(ifood_data[[#This Row],[Recency Score]:[Monetary Score]])</f>
        <v>10</v>
      </c>
      <c r="BC1759">
        <f>(_xlfn.PERCENTRANK.INC(ifood_data[[#All],[RFM]],ifood_data[[#This Row],[RFM]],1))*10</f>
        <v>2</v>
      </c>
      <c r="BD1759" t="str">
        <f>VLOOKUP(ifood_data[[#This Row],[RFM Score]],'RFM Analysis'!$A$3:$B$14,2,FALSE)</f>
        <v>At Risk</v>
      </c>
      <c r="BE1759">
        <f>'Regression Models'!$B$101+'Regression Models'!$B$102*ifood_data[[#This Row],[Income]]+'Regression Models'!$B$103*ifood_data[[#This Row],[Age]]+'Regression Models'!$B$104*ifood_data[[#This Row],[Family]]</f>
        <v>29.421657825221132</v>
      </c>
      <c r="BF1759" t="str">
        <f>IF(ifood_data[[#This Row],[AcceptedCmpOverall]]=1,"Campaign Respondent","Non-respondent")</f>
        <v>Non-respondent</v>
      </c>
    </row>
    <row r="1760" spans="1:58" x14ac:dyDescent="0.35">
      <c r="A1760">
        <v>1842</v>
      </c>
      <c r="B1760">
        <v>28587</v>
      </c>
      <c r="C1760">
        <v>1</v>
      </c>
      <c r="D1760">
        <v>0</v>
      </c>
      <c r="E1760">
        <v>42</v>
      </c>
      <c r="F1760">
        <v>22</v>
      </c>
      <c r="G1760">
        <v>4</v>
      </c>
      <c r="H1760">
        <v>17</v>
      </c>
      <c r="I1760">
        <v>12</v>
      </c>
      <c r="J1760">
        <v>10</v>
      </c>
      <c r="K1760">
        <v>13</v>
      </c>
      <c r="L1760">
        <v>3</v>
      </c>
      <c r="M1760">
        <v>2</v>
      </c>
      <c r="N1760">
        <v>0</v>
      </c>
      <c r="O1760">
        <v>4</v>
      </c>
      <c r="P1760">
        <v>6</v>
      </c>
      <c r="Q1760">
        <v>0</v>
      </c>
      <c r="R1760">
        <v>0</v>
      </c>
      <c r="S1760">
        <v>0</v>
      </c>
      <c r="T1760">
        <v>0</v>
      </c>
      <c r="U1760">
        <v>0</v>
      </c>
      <c r="V1760">
        <f>IF(SUM(ifood_data[[#This Row],[AcceptedCmp1]:[AcceptedCmp5]])&gt;0,1,0)</f>
        <v>0</v>
      </c>
      <c r="W1760">
        <v>0</v>
      </c>
      <c r="X1760">
        <v>3</v>
      </c>
      <c r="Y1760">
        <v>11</v>
      </c>
      <c r="Z1760">
        <v>0</v>
      </c>
      <c r="AA1760">
        <v>42</v>
      </c>
      <c r="AB1760">
        <v>2296</v>
      </c>
      <c r="AC1760" s="28">
        <f>ifood_data[[#This Row],[Customer_Days]]/365</f>
        <v>6.2904109589041095</v>
      </c>
      <c r="AD1760">
        <v>0</v>
      </c>
      <c r="AE1760">
        <v>0</v>
      </c>
      <c r="AF1760">
        <v>0</v>
      </c>
      <c r="AG1760">
        <v>1</v>
      </c>
      <c r="AH1760">
        <v>0</v>
      </c>
      <c r="AI1760">
        <v>0</v>
      </c>
      <c r="AJ1760">
        <v>0</v>
      </c>
      <c r="AK1760">
        <v>1</v>
      </c>
      <c r="AL1760">
        <v>0</v>
      </c>
      <c r="AM1760">
        <v>0</v>
      </c>
      <c r="AN1760">
        <v>65</v>
      </c>
      <c r="AO1760">
        <v>52</v>
      </c>
      <c r="AP1760">
        <f>ifood_data[[#This Row],[MntTotal]]-ifood_data[[#This Row],[MntRegularProds]]</f>
        <v>13</v>
      </c>
      <c r="AQ1760">
        <v>0</v>
      </c>
      <c r="AR1760">
        <f>IF(SUM(ifood_data[[#This Row],[Kidhome]:[Teenhome]])&gt;0,1,0)</f>
        <v>1</v>
      </c>
      <c r="AS1760" t="str">
        <f>IF(SUM(ifood_data[[#This Row],[Kidhome]:[Teenhome]])&gt;0,"Has Family","No Family")</f>
        <v>Has Family</v>
      </c>
      <c r="AT1760" t="str">
        <f>IF(ifood_data[[#This Row],[marital_Married]]=1,"Married", (IF(ifood_data[[#This Row],[marital_Single]]=1,"Single",(IF(ifood_data[[#This Row],[marital_Divorced]]=1,"Divorced",(IF(ifood_data[[#This Row],[marital_Together]]=1,"Living Together",(IF(ifood_data[[#This Row],[marital_Widow]]=1,"Widow","Other")))))))))</f>
        <v>Living Together</v>
      </c>
      <c r="AU1760" t="str">
        <f>IF(ifood_data[[#This Row],[education_Basic]]=1,"High School",(IF(ifood_data[[#This Row],[education_Graduation]]=1,"Undergraduate Degree",(IF(SUM(AM1760,AL1760,AI1760)&gt;0,"Master's Degree or Higher","Other")))))</f>
        <v>Undergraduate Degree</v>
      </c>
      <c r="AV1760" t="str">
        <f>IF(ifood_data[[#All],[Income]]&gt;75000,"75K+",(IF(ifood_data[[#All],[Income]]&gt;50000,"50K-75K",(IF(ifood_data[[#All],[Income]]&gt;35000,"35K-50K","&lt;35K")))))</f>
        <v>&lt;35K</v>
      </c>
      <c r="AW1760" t="str">
        <f>IF(ifood_data[[#All],[Age]]&gt;60,"60+",(IF(ifood_data[[#All],[Age]]&gt;50,"50-60",(IF(ifood_data[[#All],[Age]]&gt;40,"40-50",(IF(ifood_data[[#All],[Age]]&gt;30,"30-40","&lt;30")))))))</f>
        <v>40-50</v>
      </c>
      <c r="AX1760">
        <f t="shared" si="108"/>
        <v>15</v>
      </c>
      <c r="AY1760">
        <f t="shared" si="109"/>
        <v>6</v>
      </c>
      <c r="AZ1760">
        <f t="shared" si="110"/>
        <v>2</v>
      </c>
      <c r="BA1760">
        <f t="shared" si="111"/>
        <v>2</v>
      </c>
      <c r="BB1760">
        <f>SUM(ifood_data[[#This Row],[Recency Score]:[Monetary Score]])</f>
        <v>10</v>
      </c>
      <c r="BC1760">
        <f>(_xlfn.PERCENTRANK.INC(ifood_data[[#All],[RFM]],ifood_data[[#This Row],[RFM]],1))*10</f>
        <v>2</v>
      </c>
      <c r="BD1760" t="str">
        <f>VLOOKUP(ifood_data[[#This Row],[RFM Score]],'RFM Analysis'!$A$3:$B$14,2,FALSE)</f>
        <v>At Risk</v>
      </c>
      <c r="BE1760">
        <f>'Regression Models'!$B$101+'Regression Models'!$B$102*ifood_data[[#This Row],[Income]]+'Regression Models'!$B$103*ifood_data[[#This Row],[Age]]+'Regression Models'!$B$104*ifood_data[[#This Row],[Family]]</f>
        <v>28.294386268596554</v>
      </c>
      <c r="BF1760" t="str">
        <f>IF(ifood_data[[#This Row],[AcceptedCmpOverall]]=1,"Campaign Respondent","Non-respondent")</f>
        <v>Non-respondent</v>
      </c>
    </row>
    <row r="1761" spans="1:58" x14ac:dyDescent="0.35">
      <c r="A1761">
        <v>573</v>
      </c>
      <c r="B1761">
        <v>30081</v>
      </c>
      <c r="C1761">
        <v>0</v>
      </c>
      <c r="D1761">
        <v>1</v>
      </c>
      <c r="E1761">
        <v>27</v>
      </c>
      <c r="F1761">
        <v>36</v>
      </c>
      <c r="G1761">
        <v>0</v>
      </c>
      <c r="H1761">
        <v>2</v>
      </c>
      <c r="I1761">
        <v>0</v>
      </c>
      <c r="J1761">
        <v>0</v>
      </c>
      <c r="K1761">
        <v>4</v>
      </c>
      <c r="L1761">
        <v>1</v>
      </c>
      <c r="M1761">
        <v>1</v>
      </c>
      <c r="N1761">
        <v>0</v>
      </c>
      <c r="O1761">
        <v>3</v>
      </c>
      <c r="P1761">
        <v>7</v>
      </c>
      <c r="Q1761">
        <v>0</v>
      </c>
      <c r="R1761">
        <v>0</v>
      </c>
      <c r="S1761">
        <v>0</v>
      </c>
      <c r="T1761">
        <v>0</v>
      </c>
      <c r="U1761">
        <v>0</v>
      </c>
      <c r="V1761">
        <f>IF(SUM(ifood_data[[#This Row],[AcceptedCmp1]:[AcceptedCmp5]])&gt;0,1,0)</f>
        <v>0</v>
      </c>
      <c r="W1761">
        <v>0</v>
      </c>
      <c r="X1761">
        <v>3</v>
      </c>
      <c r="Y1761">
        <v>11</v>
      </c>
      <c r="Z1761">
        <v>0</v>
      </c>
      <c r="AA1761">
        <v>59</v>
      </c>
      <c r="AB1761">
        <v>2652</v>
      </c>
      <c r="AC1761" s="28">
        <f>ifood_data[[#This Row],[Customer_Days]]/365</f>
        <v>7.2657534246575342</v>
      </c>
      <c r="AD1761">
        <v>0</v>
      </c>
      <c r="AE1761">
        <v>0</v>
      </c>
      <c r="AF1761">
        <v>1</v>
      </c>
      <c r="AG1761">
        <v>0</v>
      </c>
      <c r="AH1761">
        <v>0</v>
      </c>
      <c r="AI1761">
        <v>0</v>
      </c>
      <c r="AJ1761">
        <v>0</v>
      </c>
      <c r="AK1761">
        <v>1</v>
      </c>
      <c r="AL1761">
        <v>0</v>
      </c>
      <c r="AM1761">
        <v>0</v>
      </c>
      <c r="AN1761">
        <v>38</v>
      </c>
      <c r="AO1761">
        <v>34</v>
      </c>
      <c r="AP1761">
        <f>ifood_data[[#This Row],[MntTotal]]-ifood_data[[#This Row],[MntRegularProds]]</f>
        <v>4</v>
      </c>
      <c r="AQ1761">
        <v>0</v>
      </c>
      <c r="AR1761">
        <f>IF(SUM(ifood_data[[#This Row],[Kidhome]:[Teenhome]])&gt;0,1,0)</f>
        <v>1</v>
      </c>
      <c r="AS1761" t="str">
        <f>IF(SUM(ifood_data[[#This Row],[Kidhome]:[Teenhome]])&gt;0,"Has Family","No Family")</f>
        <v>Has Family</v>
      </c>
      <c r="AT1761" t="str">
        <f>IF(ifood_data[[#This Row],[marital_Married]]=1,"Married", (IF(ifood_data[[#This Row],[marital_Single]]=1,"Single",(IF(ifood_data[[#This Row],[marital_Divorced]]=1,"Divorced",(IF(ifood_data[[#This Row],[marital_Together]]=1,"Living Together",(IF(ifood_data[[#This Row],[marital_Widow]]=1,"Widow","Other")))))))))</f>
        <v>Single</v>
      </c>
      <c r="AU1761" t="str">
        <f>IF(ifood_data[[#This Row],[education_Basic]]=1,"High School",(IF(ifood_data[[#This Row],[education_Graduation]]=1,"Undergraduate Degree",(IF(SUM(AM1761,AL1761,AI1761)&gt;0,"Master's Degree or Higher","Other")))))</f>
        <v>Undergraduate Degree</v>
      </c>
      <c r="AV1761" t="str">
        <f>IF(ifood_data[[#All],[Income]]&gt;75000,"75K+",(IF(ifood_data[[#All],[Income]]&gt;50000,"50K-75K",(IF(ifood_data[[#All],[Income]]&gt;35000,"35K-50K","&lt;35K")))))</f>
        <v>&lt;35K</v>
      </c>
      <c r="AW1761" t="str">
        <f>IF(ifood_data[[#All],[Age]]&gt;60,"60+",(IF(ifood_data[[#All],[Age]]&gt;50,"50-60",(IF(ifood_data[[#All],[Age]]&gt;40,"40-50",(IF(ifood_data[[#All],[Age]]&gt;30,"30-40","&lt;30")))))))</f>
        <v>50-60</v>
      </c>
      <c r="AX1761">
        <f t="shared" si="108"/>
        <v>12</v>
      </c>
      <c r="AY1761">
        <f t="shared" si="109"/>
        <v>8</v>
      </c>
      <c r="AZ1761">
        <f t="shared" si="110"/>
        <v>1</v>
      </c>
      <c r="BA1761">
        <f t="shared" si="111"/>
        <v>1</v>
      </c>
      <c r="BB1761">
        <f>SUM(ifood_data[[#This Row],[Recency Score]:[Monetary Score]])</f>
        <v>10</v>
      </c>
      <c r="BC1761">
        <f>(_xlfn.PERCENTRANK.INC(ifood_data[[#All],[RFM]],ifood_data[[#This Row],[RFM]],1))*10</f>
        <v>2</v>
      </c>
      <c r="BD1761" t="str">
        <f>VLOOKUP(ifood_data[[#This Row],[RFM Score]],'RFM Analysis'!$A$3:$B$14,2,FALSE)</f>
        <v>At Risk</v>
      </c>
      <c r="BE1761">
        <f>'Regression Models'!$B$101+'Regression Models'!$B$102*ifood_data[[#This Row],[Income]]+'Regression Models'!$B$103*ifood_data[[#This Row],[Age]]+'Regression Models'!$B$104*ifood_data[[#This Row],[Family]]</f>
        <v>27.535741534378758</v>
      </c>
      <c r="BF1761" t="str">
        <f>IF(ifood_data[[#This Row],[AcceptedCmpOverall]]=1,"Campaign Respondent","Non-respondent")</f>
        <v>Non-respondent</v>
      </c>
    </row>
    <row r="1762" spans="1:58" x14ac:dyDescent="0.35">
      <c r="A1762">
        <v>277</v>
      </c>
      <c r="B1762">
        <v>29672</v>
      </c>
      <c r="C1762">
        <v>1</v>
      </c>
      <c r="D1762">
        <v>1</v>
      </c>
      <c r="E1762">
        <v>6</v>
      </c>
      <c r="F1762">
        <v>9</v>
      </c>
      <c r="G1762">
        <v>1</v>
      </c>
      <c r="H1762">
        <v>3</v>
      </c>
      <c r="I1762">
        <v>0</v>
      </c>
      <c r="J1762">
        <v>4</v>
      </c>
      <c r="K1762">
        <v>8</v>
      </c>
      <c r="L1762">
        <v>1</v>
      </c>
      <c r="M1762">
        <v>0</v>
      </c>
      <c r="N1762">
        <v>0</v>
      </c>
      <c r="O1762">
        <v>3</v>
      </c>
      <c r="P1762">
        <v>6</v>
      </c>
      <c r="Q1762">
        <v>0</v>
      </c>
      <c r="R1762">
        <v>0</v>
      </c>
      <c r="S1762">
        <v>0</v>
      </c>
      <c r="T1762">
        <v>0</v>
      </c>
      <c r="U1762">
        <v>0</v>
      </c>
      <c r="V1762">
        <f>IF(SUM(ifood_data[[#This Row],[AcceptedCmp1]:[AcceptedCmp5]])&gt;0,1,0)</f>
        <v>0</v>
      </c>
      <c r="W1762">
        <v>0</v>
      </c>
      <c r="X1762">
        <v>3</v>
      </c>
      <c r="Y1762">
        <v>11</v>
      </c>
      <c r="Z1762">
        <v>0</v>
      </c>
      <c r="AA1762">
        <v>55</v>
      </c>
      <c r="AB1762">
        <v>2633</v>
      </c>
      <c r="AC1762" s="28">
        <f>ifood_data[[#This Row],[Customer_Days]]/365</f>
        <v>7.2136986301369861</v>
      </c>
      <c r="AD1762">
        <v>0</v>
      </c>
      <c r="AE1762">
        <v>0</v>
      </c>
      <c r="AF1762">
        <v>0</v>
      </c>
      <c r="AG1762">
        <v>1</v>
      </c>
      <c r="AH1762">
        <v>0</v>
      </c>
      <c r="AI1762">
        <v>0</v>
      </c>
      <c r="AJ1762">
        <v>0</v>
      </c>
      <c r="AK1762">
        <v>1</v>
      </c>
      <c r="AL1762">
        <v>0</v>
      </c>
      <c r="AM1762">
        <v>0</v>
      </c>
      <c r="AN1762">
        <v>17</v>
      </c>
      <c r="AO1762">
        <v>9</v>
      </c>
      <c r="AP1762">
        <f>ifood_data[[#This Row],[MntTotal]]-ifood_data[[#This Row],[MntRegularProds]]</f>
        <v>8</v>
      </c>
      <c r="AQ1762">
        <v>0</v>
      </c>
      <c r="AR1762">
        <f>IF(SUM(ifood_data[[#This Row],[Kidhome]:[Teenhome]])&gt;0,1,0)</f>
        <v>1</v>
      </c>
      <c r="AS1762" t="str">
        <f>IF(SUM(ifood_data[[#This Row],[Kidhome]:[Teenhome]])&gt;0,"Has Family","No Family")</f>
        <v>Has Family</v>
      </c>
      <c r="AT1762" t="str">
        <f>IF(ifood_data[[#This Row],[marital_Married]]=1,"Married", (IF(ifood_data[[#This Row],[marital_Single]]=1,"Single",(IF(ifood_data[[#This Row],[marital_Divorced]]=1,"Divorced",(IF(ifood_data[[#This Row],[marital_Together]]=1,"Living Together",(IF(ifood_data[[#This Row],[marital_Widow]]=1,"Widow","Other")))))))))</f>
        <v>Living Together</v>
      </c>
      <c r="AU1762" t="str">
        <f>IF(ifood_data[[#This Row],[education_Basic]]=1,"High School",(IF(ifood_data[[#This Row],[education_Graduation]]=1,"Undergraduate Degree",(IF(SUM(AM1762,AL1762,AI1762)&gt;0,"Master's Degree or Higher","Other")))))</f>
        <v>Undergraduate Degree</v>
      </c>
      <c r="AV1762" t="str">
        <f>IF(ifood_data[[#All],[Income]]&gt;75000,"75K+",(IF(ifood_data[[#All],[Income]]&gt;50000,"50K-75K",(IF(ifood_data[[#All],[Income]]&gt;35000,"35K-50K","&lt;35K")))))</f>
        <v>&lt;35K</v>
      </c>
      <c r="AW1762" t="str">
        <f>IF(ifood_data[[#All],[Age]]&gt;60,"60+",(IF(ifood_data[[#All],[Age]]&gt;50,"50-60",(IF(ifood_data[[#All],[Age]]&gt;40,"40-50",(IF(ifood_data[[#All],[Age]]&gt;30,"30-40","&lt;30")))))))</f>
        <v>50-60</v>
      </c>
      <c r="AX1762">
        <f t="shared" si="108"/>
        <v>10</v>
      </c>
      <c r="AY1762">
        <f t="shared" si="109"/>
        <v>10</v>
      </c>
      <c r="AZ1762">
        <f t="shared" si="110"/>
        <v>0</v>
      </c>
      <c r="BA1762">
        <f t="shared" si="111"/>
        <v>0</v>
      </c>
      <c r="BB1762">
        <f>SUM(ifood_data[[#This Row],[Recency Score]:[Monetary Score]])</f>
        <v>10</v>
      </c>
      <c r="BC1762">
        <f>(_xlfn.PERCENTRANK.INC(ifood_data[[#All],[RFM]],ifood_data[[#This Row],[RFM]],1))*10</f>
        <v>2</v>
      </c>
      <c r="BD1762" t="str">
        <f>VLOOKUP(ifood_data[[#This Row],[RFM Score]],'RFM Analysis'!$A$3:$B$14,2,FALSE)</f>
        <v>At Risk</v>
      </c>
      <c r="BE1762">
        <f>'Regression Models'!$B$101+'Regression Models'!$B$102*ifood_data[[#This Row],[Income]]+'Regression Models'!$B$103*ifood_data[[#This Row],[Age]]+'Regression Models'!$B$104*ifood_data[[#This Row],[Family]]</f>
        <v>26.542491679101204</v>
      </c>
      <c r="BF1762" t="str">
        <f>IF(ifood_data[[#This Row],[AcceptedCmpOverall]]=1,"Campaign Respondent","Non-respondent")</f>
        <v>Non-respondent</v>
      </c>
    </row>
    <row r="1763" spans="1:58" x14ac:dyDescent="0.35">
      <c r="A1763">
        <v>750</v>
      </c>
      <c r="B1763">
        <v>16813</v>
      </c>
      <c r="C1763">
        <v>0</v>
      </c>
      <c r="D1763">
        <v>0</v>
      </c>
      <c r="E1763">
        <v>49</v>
      </c>
      <c r="F1763">
        <v>4</v>
      </c>
      <c r="G1763">
        <v>8</v>
      </c>
      <c r="H1763">
        <v>11</v>
      </c>
      <c r="I1763">
        <v>12</v>
      </c>
      <c r="J1763">
        <v>2</v>
      </c>
      <c r="K1763">
        <v>13</v>
      </c>
      <c r="L1763">
        <v>1</v>
      </c>
      <c r="M1763">
        <v>2</v>
      </c>
      <c r="N1763">
        <v>0</v>
      </c>
      <c r="O1763">
        <v>3</v>
      </c>
      <c r="P1763">
        <v>7</v>
      </c>
      <c r="Q1763">
        <v>0</v>
      </c>
      <c r="R1763">
        <v>0</v>
      </c>
      <c r="S1763">
        <v>1</v>
      </c>
      <c r="T1763">
        <v>0</v>
      </c>
      <c r="U1763">
        <v>0</v>
      </c>
      <c r="V1763">
        <f>IF(SUM(ifood_data[[#This Row],[AcceptedCmp1]:[AcceptedCmp5]])&gt;0,1,0)</f>
        <v>1</v>
      </c>
      <c r="W1763">
        <v>0</v>
      </c>
      <c r="X1763">
        <v>3</v>
      </c>
      <c r="Y1763">
        <v>11</v>
      </c>
      <c r="Z1763">
        <v>0</v>
      </c>
      <c r="AA1763">
        <v>70</v>
      </c>
      <c r="AB1763">
        <v>2504</v>
      </c>
      <c r="AC1763" s="28">
        <f>ifood_data[[#This Row],[Customer_Days]]/365</f>
        <v>6.86027397260274</v>
      </c>
      <c r="AD1763">
        <v>0</v>
      </c>
      <c r="AE1763">
        <v>0</v>
      </c>
      <c r="AF1763">
        <v>1</v>
      </c>
      <c r="AG1763">
        <v>0</v>
      </c>
      <c r="AH1763">
        <v>0</v>
      </c>
      <c r="AI1763">
        <v>0</v>
      </c>
      <c r="AJ1763">
        <v>0</v>
      </c>
      <c r="AK1763">
        <v>1</v>
      </c>
      <c r="AL1763">
        <v>0</v>
      </c>
      <c r="AM1763">
        <v>0</v>
      </c>
      <c r="AN1763">
        <v>37</v>
      </c>
      <c r="AO1763">
        <v>24</v>
      </c>
      <c r="AP1763">
        <f>ifood_data[[#This Row],[MntTotal]]-ifood_data[[#This Row],[MntRegularProds]]</f>
        <v>13</v>
      </c>
      <c r="AQ1763">
        <v>1</v>
      </c>
      <c r="AR1763">
        <f>IF(SUM(ifood_data[[#This Row],[Kidhome]:[Teenhome]])&gt;0,1,0)</f>
        <v>0</v>
      </c>
      <c r="AS1763" t="str">
        <f>IF(SUM(ifood_data[[#This Row],[Kidhome]:[Teenhome]])&gt;0,"Has Family","No Family")</f>
        <v>No Family</v>
      </c>
      <c r="AT1763" t="str">
        <f>IF(ifood_data[[#This Row],[marital_Married]]=1,"Married", (IF(ifood_data[[#This Row],[marital_Single]]=1,"Single",(IF(ifood_data[[#This Row],[marital_Divorced]]=1,"Divorced",(IF(ifood_data[[#This Row],[marital_Together]]=1,"Living Together",(IF(ifood_data[[#This Row],[marital_Widow]]=1,"Widow","Other")))))))))</f>
        <v>Single</v>
      </c>
      <c r="AU1763" t="str">
        <f>IF(ifood_data[[#This Row],[education_Basic]]=1,"High School",(IF(ifood_data[[#This Row],[education_Graduation]]=1,"Undergraduate Degree",(IF(SUM(AM1763,AL1763,AI1763)&gt;0,"Master's Degree or Higher","Other")))))</f>
        <v>Undergraduate Degree</v>
      </c>
      <c r="AV1763" t="str">
        <f>IF(ifood_data[[#All],[Income]]&gt;75000,"75K+",(IF(ifood_data[[#All],[Income]]&gt;50000,"50K-75K",(IF(ifood_data[[#All],[Income]]&gt;35000,"35K-50K","&lt;35K")))))</f>
        <v>&lt;35K</v>
      </c>
      <c r="AW1763" t="str">
        <f>IF(ifood_data[[#All],[Age]]&gt;60,"60+",(IF(ifood_data[[#All],[Age]]&gt;50,"50-60",(IF(ifood_data[[#All],[Age]]&gt;40,"40-50",(IF(ifood_data[[#All],[Age]]&gt;30,"30-40","&lt;30")))))))</f>
        <v>60+</v>
      </c>
      <c r="AX1763">
        <f t="shared" si="108"/>
        <v>13</v>
      </c>
      <c r="AY1763">
        <f t="shared" si="109"/>
        <v>6</v>
      </c>
      <c r="AZ1763">
        <f t="shared" si="110"/>
        <v>1</v>
      </c>
      <c r="BA1763">
        <f t="shared" si="111"/>
        <v>1</v>
      </c>
      <c r="BB1763">
        <f>SUM(ifood_data[[#This Row],[Recency Score]:[Monetary Score]])</f>
        <v>8</v>
      </c>
      <c r="BC1763">
        <f>(_xlfn.PERCENTRANK.INC(ifood_data[[#All],[RFM]],ifood_data[[#This Row],[RFM]],1))*10</f>
        <v>1</v>
      </c>
      <c r="BD1763" t="str">
        <f>VLOOKUP(ifood_data[[#This Row],[RFM Score]],'RFM Analysis'!$A$3:$B$14,2,FALSE)</f>
        <v>At Risk</v>
      </c>
      <c r="BE1763">
        <f>'Regression Models'!$B$101+'Regression Models'!$B$102*ifood_data[[#This Row],[Income]]+'Regression Models'!$B$103*ifood_data[[#This Row],[Age]]+'Regression Models'!$B$104*ifood_data[[#This Row],[Family]]</f>
        <v>26.430367006306682</v>
      </c>
      <c r="BF1763" t="str">
        <f>IF(ifood_data[[#This Row],[AcceptedCmpOverall]]=1,"Campaign Respondent","Non-respondent")</f>
        <v>Campaign Respondent</v>
      </c>
    </row>
    <row r="1764" spans="1:58" x14ac:dyDescent="0.35">
      <c r="A1764">
        <v>342</v>
      </c>
      <c r="B1764">
        <v>28442</v>
      </c>
      <c r="C1764">
        <v>2</v>
      </c>
      <c r="D1764">
        <v>0</v>
      </c>
      <c r="E1764">
        <v>53</v>
      </c>
      <c r="F1764">
        <v>19</v>
      </c>
      <c r="G1764">
        <v>3</v>
      </c>
      <c r="H1764">
        <v>10</v>
      </c>
      <c r="I1764">
        <v>11</v>
      </c>
      <c r="J1764">
        <v>8</v>
      </c>
      <c r="K1764">
        <v>6</v>
      </c>
      <c r="L1764">
        <v>3</v>
      </c>
      <c r="M1764">
        <v>2</v>
      </c>
      <c r="N1764">
        <v>1</v>
      </c>
      <c r="O1764">
        <v>4</v>
      </c>
      <c r="P1764">
        <v>4</v>
      </c>
      <c r="Q1764">
        <v>0</v>
      </c>
      <c r="R1764">
        <v>0</v>
      </c>
      <c r="S1764">
        <v>0</v>
      </c>
      <c r="T1764">
        <v>0</v>
      </c>
      <c r="U1764">
        <v>0</v>
      </c>
      <c r="V1764">
        <f>IF(SUM(ifood_data[[#This Row],[AcceptedCmp1]:[AcceptedCmp5]])&gt;0,1,0)</f>
        <v>0</v>
      </c>
      <c r="W1764">
        <v>0</v>
      </c>
      <c r="X1764">
        <v>3</v>
      </c>
      <c r="Y1764">
        <v>11</v>
      </c>
      <c r="Z1764">
        <v>0</v>
      </c>
      <c r="AA1764">
        <v>42</v>
      </c>
      <c r="AB1764">
        <v>2284</v>
      </c>
      <c r="AC1764" s="28">
        <f>ifood_data[[#This Row],[Customer_Days]]/365</f>
        <v>6.2575342465753421</v>
      </c>
      <c r="AD1764">
        <v>0</v>
      </c>
      <c r="AE1764">
        <v>1</v>
      </c>
      <c r="AF1764">
        <v>0</v>
      </c>
      <c r="AG1764">
        <v>0</v>
      </c>
      <c r="AH1764">
        <v>0</v>
      </c>
      <c r="AI1764">
        <v>0</v>
      </c>
      <c r="AJ1764">
        <v>0</v>
      </c>
      <c r="AK1764">
        <v>1</v>
      </c>
      <c r="AL1764">
        <v>0</v>
      </c>
      <c r="AM1764">
        <v>0</v>
      </c>
      <c r="AN1764">
        <v>51</v>
      </c>
      <c r="AO1764">
        <v>45</v>
      </c>
      <c r="AP1764">
        <f>ifood_data[[#This Row],[MntTotal]]-ifood_data[[#This Row],[MntRegularProds]]</f>
        <v>6</v>
      </c>
      <c r="AQ1764">
        <v>0</v>
      </c>
      <c r="AR1764">
        <f>IF(SUM(ifood_data[[#This Row],[Kidhome]:[Teenhome]])&gt;0,1,0)</f>
        <v>1</v>
      </c>
      <c r="AS1764" t="str">
        <f>IF(SUM(ifood_data[[#This Row],[Kidhome]:[Teenhome]])&gt;0,"Has Family","No Family")</f>
        <v>Has Family</v>
      </c>
      <c r="AT1764" t="str">
        <f>IF(ifood_data[[#This Row],[marital_Married]]=1,"Married", (IF(ifood_data[[#This Row],[marital_Single]]=1,"Single",(IF(ifood_data[[#This Row],[marital_Divorced]]=1,"Divorced",(IF(ifood_data[[#This Row],[marital_Together]]=1,"Living Together",(IF(ifood_data[[#This Row],[marital_Widow]]=1,"Widow","Other")))))))))</f>
        <v>Married</v>
      </c>
      <c r="AU1764" t="str">
        <f>IF(ifood_data[[#This Row],[education_Basic]]=1,"High School",(IF(ifood_data[[#This Row],[education_Graduation]]=1,"Undergraduate Degree",(IF(SUM(AM1764,AL1764,AI1764)&gt;0,"Master's Degree or Higher","Other")))))</f>
        <v>Undergraduate Degree</v>
      </c>
      <c r="AV1764" t="str">
        <f>IF(ifood_data[[#All],[Income]]&gt;75000,"75K+",(IF(ifood_data[[#All],[Income]]&gt;50000,"50K-75K",(IF(ifood_data[[#All],[Income]]&gt;35000,"35K-50K","&lt;35K")))))</f>
        <v>&lt;35K</v>
      </c>
      <c r="AW1764" t="str">
        <f>IF(ifood_data[[#All],[Age]]&gt;60,"60+",(IF(ifood_data[[#All],[Age]]&gt;50,"50-60",(IF(ifood_data[[#All],[Age]]&gt;40,"40-50",(IF(ifood_data[[#All],[Age]]&gt;30,"30-40","&lt;30")))))))</f>
        <v>40-50</v>
      </c>
      <c r="AX1764">
        <f t="shared" si="108"/>
        <v>14</v>
      </c>
      <c r="AY1764">
        <f t="shared" si="109"/>
        <v>5</v>
      </c>
      <c r="AZ1764">
        <f t="shared" si="110"/>
        <v>2</v>
      </c>
      <c r="BA1764">
        <f t="shared" si="111"/>
        <v>2</v>
      </c>
      <c r="BB1764">
        <f>SUM(ifood_data[[#This Row],[Recency Score]:[Monetary Score]])</f>
        <v>9</v>
      </c>
      <c r="BC1764">
        <f>(_xlfn.PERCENTRANK.INC(ifood_data[[#All],[RFM]],ifood_data[[#This Row],[RFM]],1))*10</f>
        <v>1</v>
      </c>
      <c r="BD1764" t="str">
        <f>VLOOKUP(ifood_data[[#This Row],[RFM Score]],'RFM Analysis'!$A$3:$B$14,2,FALSE)</f>
        <v>At Risk</v>
      </c>
      <c r="BE1764">
        <f>'Regression Models'!$B$101+'Regression Models'!$B$102*ifood_data[[#This Row],[Income]]+'Regression Models'!$B$103*ifood_data[[#This Row],[Age]]+'Regression Models'!$B$104*ifood_data[[#This Row],[Family]]</f>
        <v>25.338014887731219</v>
      </c>
      <c r="BF1764" t="str">
        <f>IF(ifood_data[[#This Row],[AcceptedCmpOverall]]=1,"Campaign Respondent","Non-respondent")</f>
        <v>Non-respondent</v>
      </c>
    </row>
    <row r="1765" spans="1:58" x14ac:dyDescent="0.35">
      <c r="A1765">
        <v>300</v>
      </c>
      <c r="B1765">
        <v>30833</v>
      </c>
      <c r="C1765">
        <v>1</v>
      </c>
      <c r="D1765">
        <v>1</v>
      </c>
      <c r="E1765">
        <v>33</v>
      </c>
      <c r="F1765">
        <v>11</v>
      </c>
      <c r="G1765">
        <v>0</v>
      </c>
      <c r="H1765">
        <v>7</v>
      </c>
      <c r="I1765">
        <v>3</v>
      </c>
      <c r="J1765">
        <v>1</v>
      </c>
      <c r="K1765">
        <v>6</v>
      </c>
      <c r="L1765">
        <v>2</v>
      </c>
      <c r="M1765">
        <v>1</v>
      </c>
      <c r="N1765">
        <v>0</v>
      </c>
      <c r="O1765">
        <v>3</v>
      </c>
      <c r="P1765">
        <v>5</v>
      </c>
      <c r="Q1765">
        <v>0</v>
      </c>
      <c r="R1765">
        <v>0</v>
      </c>
      <c r="S1765">
        <v>0</v>
      </c>
      <c r="T1765">
        <v>0</v>
      </c>
      <c r="U1765">
        <v>0</v>
      </c>
      <c r="V1765">
        <f>IF(SUM(ifood_data[[#This Row],[AcceptedCmp1]:[AcceptedCmp5]])&gt;0,1,0)</f>
        <v>0</v>
      </c>
      <c r="W1765">
        <v>0</v>
      </c>
      <c r="X1765">
        <v>3</v>
      </c>
      <c r="Y1765">
        <v>11</v>
      </c>
      <c r="Z1765">
        <v>0</v>
      </c>
      <c r="AA1765">
        <v>69</v>
      </c>
      <c r="AB1765">
        <v>2507</v>
      </c>
      <c r="AC1765" s="28">
        <f>ifood_data[[#This Row],[Customer_Days]]/365</f>
        <v>6.8684931506849312</v>
      </c>
      <c r="AD1765">
        <v>0</v>
      </c>
      <c r="AE1765">
        <v>1</v>
      </c>
      <c r="AF1765">
        <v>0</v>
      </c>
      <c r="AG1765">
        <v>0</v>
      </c>
      <c r="AH1765">
        <v>0</v>
      </c>
      <c r="AI1765">
        <v>0</v>
      </c>
      <c r="AJ1765">
        <v>0</v>
      </c>
      <c r="AK1765">
        <v>1</v>
      </c>
      <c r="AL1765">
        <v>0</v>
      </c>
      <c r="AM1765">
        <v>0</v>
      </c>
      <c r="AN1765">
        <v>22</v>
      </c>
      <c r="AO1765">
        <v>16</v>
      </c>
      <c r="AP1765">
        <f>ifood_data[[#This Row],[MntTotal]]-ifood_data[[#This Row],[MntRegularProds]]</f>
        <v>6</v>
      </c>
      <c r="AQ1765">
        <v>0</v>
      </c>
      <c r="AR1765">
        <f>IF(SUM(ifood_data[[#This Row],[Kidhome]:[Teenhome]])&gt;0,1,0)</f>
        <v>1</v>
      </c>
      <c r="AS1765" t="str">
        <f>IF(SUM(ifood_data[[#This Row],[Kidhome]:[Teenhome]])&gt;0,"Has Family","No Family")</f>
        <v>Has Family</v>
      </c>
      <c r="AT1765" t="str">
        <f>IF(ifood_data[[#This Row],[marital_Married]]=1,"Married", (IF(ifood_data[[#This Row],[marital_Single]]=1,"Single",(IF(ifood_data[[#This Row],[marital_Divorced]]=1,"Divorced",(IF(ifood_data[[#This Row],[marital_Together]]=1,"Living Together",(IF(ifood_data[[#This Row],[marital_Widow]]=1,"Widow","Other")))))))))</f>
        <v>Married</v>
      </c>
      <c r="AU1765" t="str">
        <f>IF(ifood_data[[#This Row],[education_Basic]]=1,"High School",(IF(ifood_data[[#This Row],[education_Graduation]]=1,"Undergraduate Degree",(IF(SUM(AM1765,AL1765,AI1765)&gt;0,"Master's Degree or Higher","Other")))))</f>
        <v>Undergraduate Degree</v>
      </c>
      <c r="AV1765" t="str">
        <f>IF(ifood_data[[#All],[Income]]&gt;75000,"75K+",(IF(ifood_data[[#All],[Income]]&gt;50000,"50K-75K",(IF(ifood_data[[#All],[Income]]&gt;35000,"35K-50K","&lt;35K")))))</f>
        <v>&lt;35K</v>
      </c>
      <c r="AW1765" t="str">
        <f>IF(ifood_data[[#All],[Age]]&gt;60,"60+",(IF(ifood_data[[#All],[Age]]&gt;50,"50-60",(IF(ifood_data[[#All],[Age]]&gt;40,"40-50",(IF(ifood_data[[#All],[Age]]&gt;30,"30-40","&lt;30")))))))</f>
        <v>60+</v>
      </c>
      <c r="AX1765">
        <f t="shared" si="108"/>
        <v>11</v>
      </c>
      <c r="AY1765">
        <f t="shared" si="109"/>
        <v>7</v>
      </c>
      <c r="AZ1765">
        <f t="shared" si="110"/>
        <v>0</v>
      </c>
      <c r="BA1765">
        <f t="shared" si="111"/>
        <v>0</v>
      </c>
      <c r="BB1765">
        <f>SUM(ifood_data[[#This Row],[Recency Score]:[Monetary Score]])</f>
        <v>7</v>
      </c>
      <c r="BC1765">
        <f>(_xlfn.PERCENTRANK.INC(ifood_data[[#All],[RFM]],ifood_data[[#This Row],[RFM]],1))*10</f>
        <v>1</v>
      </c>
      <c r="BD1765" t="str">
        <f>VLOOKUP(ifood_data[[#This Row],[RFM Score]],'RFM Analysis'!$A$3:$B$14,2,FALSE)</f>
        <v>At Risk</v>
      </c>
      <c r="BE1765">
        <f>'Regression Models'!$B$101+'Regression Models'!$B$102*ifood_data[[#This Row],[Income]]+'Regression Models'!$B$103*ifood_data[[#This Row],[Age]]+'Regression Models'!$B$104*ifood_data[[#This Row],[Family]]</f>
        <v>24.503704389647964</v>
      </c>
      <c r="BF1765" t="str">
        <f>IF(ifood_data[[#This Row],[AcceptedCmpOverall]]=1,"Campaign Respondent","Non-respondent")</f>
        <v>Non-respondent</v>
      </c>
    </row>
    <row r="1766" spans="1:58" x14ac:dyDescent="0.35">
      <c r="A1766">
        <v>1937</v>
      </c>
      <c r="B1766">
        <v>29435</v>
      </c>
      <c r="C1766">
        <v>1</v>
      </c>
      <c r="D1766">
        <v>1</v>
      </c>
      <c r="E1766">
        <v>11</v>
      </c>
      <c r="F1766">
        <v>70</v>
      </c>
      <c r="G1766">
        <v>3</v>
      </c>
      <c r="H1766">
        <v>37</v>
      </c>
      <c r="I1766">
        <v>4</v>
      </c>
      <c r="J1766">
        <v>2</v>
      </c>
      <c r="K1766">
        <v>64</v>
      </c>
      <c r="L1766">
        <v>4</v>
      </c>
      <c r="M1766">
        <v>3</v>
      </c>
      <c r="N1766">
        <v>2</v>
      </c>
      <c r="O1766">
        <v>2</v>
      </c>
      <c r="P1766">
        <v>9</v>
      </c>
      <c r="Q1766">
        <v>0</v>
      </c>
      <c r="R1766">
        <v>0</v>
      </c>
      <c r="S1766">
        <v>0</v>
      </c>
      <c r="T1766">
        <v>0</v>
      </c>
      <c r="U1766">
        <v>0</v>
      </c>
      <c r="V1766">
        <f>IF(SUM(ifood_data[[#This Row],[AcceptedCmp1]:[AcceptedCmp5]])&gt;0,1,0)</f>
        <v>0</v>
      </c>
      <c r="W1766">
        <v>0</v>
      </c>
      <c r="X1766">
        <v>3</v>
      </c>
      <c r="Y1766">
        <v>11</v>
      </c>
      <c r="Z1766">
        <v>1</v>
      </c>
      <c r="AA1766">
        <v>54</v>
      </c>
      <c r="AB1766">
        <v>2851</v>
      </c>
      <c r="AC1766" s="28">
        <f>ifood_data[[#This Row],[Customer_Days]]/365</f>
        <v>7.8109589041095893</v>
      </c>
      <c r="AD1766">
        <v>1</v>
      </c>
      <c r="AE1766">
        <v>0</v>
      </c>
      <c r="AF1766">
        <v>0</v>
      </c>
      <c r="AG1766">
        <v>0</v>
      </c>
      <c r="AH1766">
        <v>0</v>
      </c>
      <c r="AI1766">
        <v>0</v>
      </c>
      <c r="AJ1766">
        <v>0</v>
      </c>
      <c r="AK1766">
        <v>0</v>
      </c>
      <c r="AL1766">
        <v>1</v>
      </c>
      <c r="AM1766">
        <v>0</v>
      </c>
      <c r="AN1766">
        <v>116</v>
      </c>
      <c r="AO1766">
        <v>52</v>
      </c>
      <c r="AP1766">
        <f>ifood_data[[#This Row],[MntTotal]]-ifood_data[[#This Row],[MntRegularProds]]</f>
        <v>64</v>
      </c>
      <c r="AQ1766">
        <v>0</v>
      </c>
      <c r="AR1766">
        <f>IF(SUM(ifood_data[[#This Row],[Kidhome]:[Teenhome]])&gt;0,1,0)</f>
        <v>1</v>
      </c>
      <c r="AS1766" t="str">
        <f>IF(SUM(ifood_data[[#This Row],[Kidhome]:[Teenhome]])&gt;0,"Has Family","No Family")</f>
        <v>Has Family</v>
      </c>
      <c r="AT1766" t="str">
        <f>IF(ifood_data[[#This Row],[marital_Married]]=1,"Married", (IF(ifood_data[[#This Row],[marital_Single]]=1,"Single",(IF(ifood_data[[#This Row],[marital_Divorced]]=1,"Divorced",(IF(ifood_data[[#This Row],[marital_Together]]=1,"Living Together",(IF(ifood_data[[#This Row],[marital_Widow]]=1,"Widow","Other")))))))))</f>
        <v>Divorced</v>
      </c>
      <c r="AU1766" t="str">
        <f>IF(ifood_data[[#This Row],[education_Basic]]=1,"High School",(IF(ifood_data[[#This Row],[education_Graduation]]=1,"Undergraduate Degree",(IF(SUM(AM1766,AL1766,AI1766)&gt;0,"Master's Degree or Higher","Other")))))</f>
        <v>Master's Degree or Higher</v>
      </c>
      <c r="AV1766" t="str">
        <f>IF(ifood_data[[#All],[Income]]&gt;75000,"75K+",(IF(ifood_data[[#All],[Income]]&gt;50000,"50K-75K",(IF(ifood_data[[#All],[Income]]&gt;35000,"35K-50K","&lt;35K")))))</f>
        <v>&lt;35K</v>
      </c>
      <c r="AW1766" t="str">
        <f>IF(ifood_data[[#All],[Age]]&gt;60,"60+",(IF(ifood_data[[#All],[Age]]&gt;50,"50-60",(IF(ifood_data[[#All],[Age]]&gt;40,"40-50",(IF(ifood_data[[#All],[Age]]&gt;30,"30-40","&lt;30")))))))</f>
        <v>50-60</v>
      </c>
      <c r="AX1766">
        <f t="shared" si="108"/>
        <v>20</v>
      </c>
      <c r="AY1766">
        <f t="shared" si="109"/>
        <v>9</v>
      </c>
      <c r="AZ1766">
        <f t="shared" si="110"/>
        <v>4</v>
      </c>
      <c r="BA1766">
        <f t="shared" si="111"/>
        <v>3</v>
      </c>
      <c r="BB1766">
        <f>SUM(ifood_data[[#This Row],[Recency Score]:[Monetary Score]])</f>
        <v>16</v>
      </c>
      <c r="BC1766">
        <f>(_xlfn.PERCENTRANK.INC(ifood_data[[#All],[RFM]],ifood_data[[#This Row],[RFM]],1))*10</f>
        <v>5</v>
      </c>
      <c r="BD1766" t="str">
        <f>VLOOKUP(ifood_data[[#This Row],[RFM Score]],'RFM Analysis'!$A$3:$B$14,2,FALSE)</f>
        <v>Promising</v>
      </c>
      <c r="BE1766">
        <f>'Regression Models'!$B$101+'Regression Models'!$B$102*ifood_data[[#This Row],[Income]]+'Regression Models'!$B$103*ifood_data[[#This Row],[Age]]+'Regression Models'!$B$104*ifood_data[[#This Row],[Family]]</f>
        <v>23.546792707891427</v>
      </c>
      <c r="BF1766" t="str">
        <f>IF(ifood_data[[#This Row],[AcceptedCmpOverall]]=1,"Campaign Respondent","Non-respondent")</f>
        <v>Non-respondent</v>
      </c>
    </row>
    <row r="1767" spans="1:58" x14ac:dyDescent="0.35">
      <c r="A1767">
        <v>633</v>
      </c>
      <c r="B1767">
        <v>29187</v>
      </c>
      <c r="C1767">
        <v>1</v>
      </c>
      <c r="D1767">
        <v>0</v>
      </c>
      <c r="E1767">
        <v>43</v>
      </c>
      <c r="F1767">
        <v>26</v>
      </c>
      <c r="G1767">
        <v>0</v>
      </c>
      <c r="H1767">
        <v>6</v>
      </c>
      <c r="I1767">
        <v>0</v>
      </c>
      <c r="J1767">
        <v>0</v>
      </c>
      <c r="K1767">
        <v>2</v>
      </c>
      <c r="L1767">
        <v>1</v>
      </c>
      <c r="M1767">
        <v>1</v>
      </c>
      <c r="N1767">
        <v>0</v>
      </c>
      <c r="O1767">
        <v>3</v>
      </c>
      <c r="P1767">
        <v>8</v>
      </c>
      <c r="Q1767">
        <v>0</v>
      </c>
      <c r="R1767">
        <v>0</v>
      </c>
      <c r="S1767">
        <v>0</v>
      </c>
      <c r="T1767">
        <v>0</v>
      </c>
      <c r="U1767">
        <v>0</v>
      </c>
      <c r="V1767">
        <f>IF(SUM(ifood_data[[#This Row],[AcceptedCmp1]:[AcceptedCmp5]])&gt;0,1,0)</f>
        <v>0</v>
      </c>
      <c r="W1767">
        <v>0</v>
      </c>
      <c r="X1767">
        <v>3</v>
      </c>
      <c r="Y1767">
        <v>11</v>
      </c>
      <c r="Z1767">
        <v>0</v>
      </c>
      <c r="AA1767">
        <v>52</v>
      </c>
      <c r="AB1767">
        <v>2575</v>
      </c>
      <c r="AC1767" s="28">
        <f>ifood_data[[#This Row],[Customer_Days]]/365</f>
        <v>7.0547945205479454</v>
      </c>
      <c r="AD1767">
        <v>0</v>
      </c>
      <c r="AE1767">
        <v>1</v>
      </c>
      <c r="AF1767">
        <v>0</v>
      </c>
      <c r="AG1767">
        <v>0</v>
      </c>
      <c r="AH1767">
        <v>0</v>
      </c>
      <c r="AI1767">
        <v>0</v>
      </c>
      <c r="AJ1767">
        <v>0</v>
      </c>
      <c r="AK1767">
        <v>0</v>
      </c>
      <c r="AL1767">
        <v>0</v>
      </c>
      <c r="AM1767">
        <v>1</v>
      </c>
      <c r="AN1767">
        <v>32</v>
      </c>
      <c r="AO1767">
        <v>30</v>
      </c>
      <c r="AP1767">
        <f>ifood_data[[#This Row],[MntTotal]]-ifood_data[[#This Row],[MntRegularProds]]</f>
        <v>2</v>
      </c>
      <c r="AQ1767">
        <v>0</v>
      </c>
      <c r="AR1767">
        <f>IF(SUM(ifood_data[[#This Row],[Kidhome]:[Teenhome]])&gt;0,1,0)</f>
        <v>1</v>
      </c>
      <c r="AS1767" t="str">
        <f>IF(SUM(ifood_data[[#This Row],[Kidhome]:[Teenhome]])&gt;0,"Has Family","No Family")</f>
        <v>Has Family</v>
      </c>
      <c r="AT1767" t="str">
        <f>IF(ifood_data[[#This Row],[marital_Married]]=1,"Married", (IF(ifood_data[[#This Row],[marital_Single]]=1,"Single",(IF(ifood_data[[#This Row],[marital_Divorced]]=1,"Divorced",(IF(ifood_data[[#This Row],[marital_Together]]=1,"Living Together",(IF(ifood_data[[#This Row],[marital_Widow]]=1,"Widow","Other")))))))))</f>
        <v>Married</v>
      </c>
      <c r="AU1767" t="str">
        <f>IF(ifood_data[[#This Row],[education_Basic]]=1,"High School",(IF(ifood_data[[#This Row],[education_Graduation]]=1,"Undergraduate Degree",(IF(SUM(AM1767,AL1767,AI1767)&gt;0,"Master's Degree or Higher","Other")))))</f>
        <v>Master's Degree or Higher</v>
      </c>
      <c r="AV1767" t="str">
        <f>IF(ifood_data[[#All],[Income]]&gt;75000,"75K+",(IF(ifood_data[[#All],[Income]]&gt;50000,"50K-75K",(IF(ifood_data[[#All],[Income]]&gt;35000,"35K-50K","&lt;35K")))))</f>
        <v>&lt;35K</v>
      </c>
      <c r="AW1767" t="str">
        <f>IF(ifood_data[[#All],[Age]]&gt;60,"60+",(IF(ifood_data[[#All],[Age]]&gt;50,"50-60",(IF(ifood_data[[#All],[Age]]&gt;40,"40-50",(IF(ifood_data[[#All],[Age]]&gt;30,"30-40","&lt;30")))))))</f>
        <v>50-60</v>
      </c>
      <c r="AX1767">
        <f t="shared" si="108"/>
        <v>13</v>
      </c>
      <c r="AY1767">
        <f t="shared" si="109"/>
        <v>6</v>
      </c>
      <c r="AZ1767">
        <f t="shared" si="110"/>
        <v>1</v>
      </c>
      <c r="BA1767">
        <f t="shared" si="111"/>
        <v>1</v>
      </c>
      <c r="BB1767">
        <f>SUM(ifood_data[[#This Row],[Recency Score]:[Monetary Score]])</f>
        <v>8</v>
      </c>
      <c r="BC1767">
        <f>(_xlfn.PERCENTRANK.INC(ifood_data[[#All],[RFM]],ifood_data[[#This Row],[RFM]],1))*10</f>
        <v>1</v>
      </c>
      <c r="BD1767" t="str">
        <f>VLOOKUP(ifood_data[[#This Row],[RFM Score]],'RFM Analysis'!$A$3:$B$14,2,FALSE)</f>
        <v>At Risk</v>
      </c>
      <c r="BE1767">
        <f>'Regression Models'!$B$101+'Regression Models'!$B$102*ifood_data[[#This Row],[Income]]+'Regression Models'!$B$103*ifood_data[[#This Row],[Age]]+'Regression Models'!$B$104*ifood_data[[#This Row],[Family]]</f>
        <v>22.163256365993107</v>
      </c>
      <c r="BF1767" t="str">
        <f>IF(ifood_data[[#This Row],[AcceptedCmpOverall]]=1,"Campaign Respondent","Non-respondent")</f>
        <v>Non-respondent</v>
      </c>
    </row>
    <row r="1768" spans="1:58" x14ac:dyDescent="0.35">
      <c r="A1768">
        <v>965</v>
      </c>
      <c r="B1768">
        <v>28440</v>
      </c>
      <c r="C1768">
        <v>1</v>
      </c>
      <c r="D1768">
        <v>0</v>
      </c>
      <c r="E1768">
        <v>87</v>
      </c>
      <c r="F1768">
        <v>38</v>
      </c>
      <c r="G1768">
        <v>1</v>
      </c>
      <c r="H1768">
        <v>24</v>
      </c>
      <c r="I1768">
        <v>0</v>
      </c>
      <c r="J1768">
        <v>0</v>
      </c>
      <c r="K1768">
        <v>0</v>
      </c>
      <c r="L1768">
        <v>1</v>
      </c>
      <c r="M1768">
        <v>2</v>
      </c>
      <c r="N1768">
        <v>0</v>
      </c>
      <c r="O1768">
        <v>3</v>
      </c>
      <c r="P1768">
        <v>8</v>
      </c>
      <c r="Q1768">
        <v>0</v>
      </c>
      <c r="R1768">
        <v>0</v>
      </c>
      <c r="S1768">
        <v>0</v>
      </c>
      <c r="T1768">
        <v>0</v>
      </c>
      <c r="U1768">
        <v>0</v>
      </c>
      <c r="V1768">
        <f>IF(SUM(ifood_data[[#This Row],[AcceptedCmp1]:[AcceptedCmp5]])&gt;0,1,0)</f>
        <v>0</v>
      </c>
      <c r="W1768">
        <v>0</v>
      </c>
      <c r="X1768">
        <v>3</v>
      </c>
      <c r="Y1768">
        <v>11</v>
      </c>
      <c r="Z1768">
        <v>0</v>
      </c>
      <c r="AA1768">
        <v>46</v>
      </c>
      <c r="AB1768">
        <v>2516</v>
      </c>
      <c r="AC1768" s="28">
        <f>ifood_data[[#This Row],[Customer_Days]]/365</f>
        <v>6.8931506849315065</v>
      </c>
      <c r="AD1768">
        <v>0</v>
      </c>
      <c r="AE1768">
        <v>0</v>
      </c>
      <c r="AF1768">
        <v>0</v>
      </c>
      <c r="AG1768">
        <v>1</v>
      </c>
      <c r="AH1768">
        <v>0</v>
      </c>
      <c r="AI1768">
        <v>0</v>
      </c>
      <c r="AJ1768">
        <v>0</v>
      </c>
      <c r="AK1768">
        <v>0</v>
      </c>
      <c r="AL1768">
        <v>0</v>
      </c>
      <c r="AM1768">
        <v>1</v>
      </c>
      <c r="AN1768">
        <v>63</v>
      </c>
      <c r="AO1768">
        <v>63</v>
      </c>
      <c r="AP1768">
        <f>ifood_data[[#This Row],[MntTotal]]-ifood_data[[#This Row],[MntRegularProds]]</f>
        <v>0</v>
      </c>
      <c r="AQ1768">
        <v>0</v>
      </c>
      <c r="AR1768">
        <f>IF(SUM(ifood_data[[#This Row],[Kidhome]:[Teenhome]])&gt;0,1,0)</f>
        <v>1</v>
      </c>
      <c r="AS1768" t="str">
        <f>IF(SUM(ifood_data[[#This Row],[Kidhome]:[Teenhome]])&gt;0,"Has Family","No Family")</f>
        <v>Has Family</v>
      </c>
      <c r="AT1768" t="str">
        <f>IF(ifood_data[[#This Row],[marital_Married]]=1,"Married", (IF(ifood_data[[#This Row],[marital_Single]]=1,"Single",(IF(ifood_data[[#This Row],[marital_Divorced]]=1,"Divorced",(IF(ifood_data[[#This Row],[marital_Together]]=1,"Living Together",(IF(ifood_data[[#This Row],[marital_Widow]]=1,"Widow","Other")))))))))</f>
        <v>Living Together</v>
      </c>
      <c r="AU1768" t="str">
        <f>IF(ifood_data[[#This Row],[education_Basic]]=1,"High School",(IF(ifood_data[[#This Row],[education_Graduation]]=1,"Undergraduate Degree",(IF(SUM(AM1768,AL1768,AI1768)&gt;0,"Master's Degree or Higher","Other")))))</f>
        <v>Master's Degree or Higher</v>
      </c>
      <c r="AV1768" t="str">
        <f>IF(ifood_data[[#All],[Income]]&gt;75000,"75K+",(IF(ifood_data[[#All],[Income]]&gt;50000,"50K-75K",(IF(ifood_data[[#All],[Income]]&gt;35000,"35K-50K","&lt;35K")))))</f>
        <v>&lt;35K</v>
      </c>
      <c r="AW1768" t="str">
        <f>IF(ifood_data[[#All],[Age]]&gt;60,"60+",(IF(ifood_data[[#All],[Age]]&gt;50,"50-60",(IF(ifood_data[[#All],[Age]]&gt;40,"40-50",(IF(ifood_data[[#All],[Age]]&gt;30,"30-40","&lt;30")))))))</f>
        <v>40-50</v>
      </c>
      <c r="AX1768">
        <f t="shared" si="108"/>
        <v>14</v>
      </c>
      <c r="AY1768">
        <f t="shared" si="109"/>
        <v>1.9999999999999996</v>
      </c>
      <c r="AZ1768">
        <f t="shared" si="110"/>
        <v>2</v>
      </c>
      <c r="BA1768">
        <f t="shared" si="111"/>
        <v>2</v>
      </c>
      <c r="BB1768">
        <f>SUM(ifood_data[[#This Row],[Recency Score]:[Monetary Score]])</f>
        <v>6</v>
      </c>
      <c r="BC1768">
        <f>(_xlfn.PERCENTRANK.INC(ifood_data[[#All],[RFM]],ifood_data[[#This Row],[RFM]],1))*10</f>
        <v>0</v>
      </c>
      <c r="BD1768" t="str">
        <f>VLOOKUP(ifood_data[[#This Row],[RFM Score]],'RFM Analysis'!$A$3:$B$14,2,FALSE)</f>
        <v>Lost</v>
      </c>
      <c r="BE1768">
        <f>'Regression Models'!$B$101+'Regression Models'!$B$102*ifood_data[[#This Row],[Income]]+'Regression Models'!$B$103*ifood_data[[#This Row],[Age]]+'Regression Models'!$B$104*ifood_data[[#This Row],[Family]]</f>
        <v>17.951481035866323</v>
      </c>
      <c r="BF1768" t="str">
        <f>IF(ifood_data[[#This Row],[AcceptedCmpOverall]]=1,"Campaign Respondent","Non-respondent")</f>
        <v>Non-respondent</v>
      </c>
    </row>
    <row r="1769" spans="1:58" x14ac:dyDescent="0.35">
      <c r="A1769">
        <v>846</v>
      </c>
      <c r="B1769">
        <v>26868</v>
      </c>
      <c r="C1769">
        <v>1</v>
      </c>
      <c r="D1769">
        <v>0</v>
      </c>
      <c r="E1769">
        <v>52</v>
      </c>
      <c r="F1769">
        <v>0</v>
      </c>
      <c r="G1769">
        <v>0</v>
      </c>
      <c r="H1769">
        <v>1</v>
      </c>
      <c r="I1769">
        <v>8</v>
      </c>
      <c r="J1769">
        <v>3</v>
      </c>
      <c r="K1769">
        <v>2</v>
      </c>
      <c r="L1769">
        <v>1</v>
      </c>
      <c r="M1769">
        <v>1</v>
      </c>
      <c r="N1769">
        <v>0</v>
      </c>
      <c r="O1769">
        <v>2</v>
      </c>
      <c r="P1769">
        <v>7</v>
      </c>
      <c r="Q1769">
        <v>0</v>
      </c>
      <c r="R1769">
        <v>0</v>
      </c>
      <c r="S1769">
        <v>0</v>
      </c>
      <c r="T1769">
        <v>0</v>
      </c>
      <c r="U1769">
        <v>0</v>
      </c>
      <c r="V1769">
        <f>IF(SUM(ifood_data[[#This Row],[AcceptedCmp1]:[AcceptedCmp5]])&gt;0,1,0)</f>
        <v>0</v>
      </c>
      <c r="W1769">
        <v>0</v>
      </c>
      <c r="X1769">
        <v>3</v>
      </c>
      <c r="Y1769">
        <v>11</v>
      </c>
      <c r="Z1769">
        <v>0</v>
      </c>
      <c r="AA1769">
        <v>29</v>
      </c>
      <c r="AB1769">
        <v>2219</v>
      </c>
      <c r="AC1769" s="28">
        <f>ifood_data[[#This Row],[Customer_Days]]/365</f>
        <v>6.0794520547945208</v>
      </c>
      <c r="AD1769">
        <v>0</v>
      </c>
      <c r="AE1769">
        <v>0</v>
      </c>
      <c r="AF1769">
        <v>1</v>
      </c>
      <c r="AG1769">
        <v>0</v>
      </c>
      <c r="AH1769">
        <v>0</v>
      </c>
      <c r="AI1769">
        <v>0</v>
      </c>
      <c r="AJ1769">
        <v>1</v>
      </c>
      <c r="AK1769">
        <v>0</v>
      </c>
      <c r="AL1769">
        <v>0</v>
      </c>
      <c r="AM1769">
        <v>0</v>
      </c>
      <c r="AN1769">
        <v>12</v>
      </c>
      <c r="AO1769">
        <v>10</v>
      </c>
      <c r="AP1769">
        <f>ifood_data[[#This Row],[MntTotal]]-ifood_data[[#This Row],[MntRegularProds]]</f>
        <v>2</v>
      </c>
      <c r="AQ1769">
        <v>0</v>
      </c>
      <c r="AR1769">
        <f>IF(SUM(ifood_data[[#This Row],[Kidhome]:[Teenhome]])&gt;0,1,0)</f>
        <v>1</v>
      </c>
      <c r="AS1769" t="str">
        <f>IF(SUM(ifood_data[[#This Row],[Kidhome]:[Teenhome]])&gt;0,"Has Family","No Family")</f>
        <v>Has Family</v>
      </c>
      <c r="AT1769" t="str">
        <f>IF(ifood_data[[#This Row],[marital_Married]]=1,"Married", (IF(ifood_data[[#This Row],[marital_Single]]=1,"Single",(IF(ifood_data[[#This Row],[marital_Divorced]]=1,"Divorced",(IF(ifood_data[[#This Row],[marital_Together]]=1,"Living Together",(IF(ifood_data[[#This Row],[marital_Widow]]=1,"Widow","Other")))))))))</f>
        <v>Single</v>
      </c>
      <c r="AU1769" t="str">
        <f>IF(ifood_data[[#This Row],[education_Basic]]=1,"High School",(IF(ifood_data[[#This Row],[education_Graduation]]=1,"Undergraduate Degree",(IF(SUM(AM1769,AL1769,AI1769)&gt;0,"Master's Degree or Higher","Other")))))</f>
        <v>High School</v>
      </c>
      <c r="AV1769" t="str">
        <f>IF(ifood_data[[#All],[Income]]&gt;75000,"75K+",(IF(ifood_data[[#All],[Income]]&gt;50000,"50K-75K",(IF(ifood_data[[#All],[Income]]&gt;35000,"35K-50K","&lt;35K")))))</f>
        <v>&lt;35K</v>
      </c>
      <c r="AW1769" t="str">
        <f>IF(ifood_data[[#All],[Age]]&gt;60,"60+",(IF(ifood_data[[#All],[Age]]&gt;50,"50-60",(IF(ifood_data[[#All],[Age]]&gt;40,"40-50",(IF(ifood_data[[#All],[Age]]&gt;30,"30-40","&lt;30")))))))</f>
        <v>&lt;30</v>
      </c>
      <c r="AX1769">
        <f t="shared" si="108"/>
        <v>11</v>
      </c>
      <c r="AY1769">
        <f t="shared" si="109"/>
        <v>5</v>
      </c>
      <c r="AZ1769">
        <f t="shared" si="110"/>
        <v>0</v>
      </c>
      <c r="BA1769">
        <f t="shared" si="111"/>
        <v>0</v>
      </c>
      <c r="BB1769">
        <f>SUM(ifood_data[[#This Row],[Recency Score]:[Monetary Score]])</f>
        <v>5</v>
      </c>
      <c r="BC1769">
        <f>(_xlfn.PERCENTRANK.INC(ifood_data[[#All],[RFM]],ifood_data[[#This Row],[RFM]],1))*10</f>
        <v>0</v>
      </c>
      <c r="BD1769" t="str">
        <f>VLOOKUP(ifood_data[[#This Row],[RFM Score]],'RFM Analysis'!$A$3:$B$14,2,FALSE)</f>
        <v>Lost</v>
      </c>
      <c r="BE1769">
        <f>'Regression Models'!$B$101+'Regression Models'!$B$102*ifood_data[[#This Row],[Income]]+'Regression Models'!$B$103*ifood_data[[#This Row],[Age]]+'Regression Models'!$B$104*ifood_data[[#This Row],[Family]]</f>
        <v>17.119801854859986</v>
      </c>
      <c r="BF1769" t="str">
        <f>IF(ifood_data[[#This Row],[AcceptedCmpOverall]]=1,"Campaign Respondent","Non-respondent")</f>
        <v>Non-respondent</v>
      </c>
    </row>
    <row r="1770" spans="1:58" x14ac:dyDescent="0.35">
      <c r="A1770">
        <v>899</v>
      </c>
      <c r="B1770">
        <v>27922</v>
      </c>
      <c r="C1770">
        <v>1</v>
      </c>
      <c r="D1770">
        <v>0</v>
      </c>
      <c r="E1770">
        <v>80</v>
      </c>
      <c r="F1770">
        <v>11</v>
      </c>
      <c r="G1770">
        <v>0</v>
      </c>
      <c r="H1770">
        <v>13</v>
      </c>
      <c r="I1770">
        <v>2</v>
      </c>
      <c r="J1770">
        <v>4</v>
      </c>
      <c r="K1770">
        <v>11</v>
      </c>
      <c r="L1770">
        <v>1</v>
      </c>
      <c r="M1770">
        <v>2</v>
      </c>
      <c r="N1770">
        <v>0</v>
      </c>
      <c r="O1770">
        <v>3</v>
      </c>
      <c r="P1770">
        <v>4</v>
      </c>
      <c r="Q1770">
        <v>0</v>
      </c>
      <c r="R1770">
        <v>0</v>
      </c>
      <c r="S1770">
        <v>0</v>
      </c>
      <c r="T1770">
        <v>0</v>
      </c>
      <c r="U1770">
        <v>0</v>
      </c>
      <c r="V1770">
        <f>IF(SUM(ifood_data[[#This Row],[AcceptedCmp1]:[AcceptedCmp5]])&gt;0,1,0)</f>
        <v>0</v>
      </c>
      <c r="W1770">
        <v>0</v>
      </c>
      <c r="X1770">
        <v>3</v>
      </c>
      <c r="Y1770">
        <v>11</v>
      </c>
      <c r="Z1770">
        <v>0</v>
      </c>
      <c r="AA1770">
        <v>41</v>
      </c>
      <c r="AB1770">
        <v>2209</v>
      </c>
      <c r="AC1770" s="28">
        <f>ifood_data[[#This Row],[Customer_Days]]/365</f>
        <v>6.0520547945205481</v>
      </c>
      <c r="AD1770">
        <v>0</v>
      </c>
      <c r="AE1770">
        <v>0</v>
      </c>
      <c r="AF1770">
        <v>0</v>
      </c>
      <c r="AG1770">
        <v>1</v>
      </c>
      <c r="AH1770">
        <v>0</v>
      </c>
      <c r="AI1770">
        <v>0</v>
      </c>
      <c r="AJ1770">
        <v>0</v>
      </c>
      <c r="AK1770">
        <v>0</v>
      </c>
      <c r="AL1770">
        <v>0</v>
      </c>
      <c r="AM1770">
        <v>1</v>
      </c>
      <c r="AN1770">
        <v>30</v>
      </c>
      <c r="AO1770">
        <v>19</v>
      </c>
      <c r="AP1770">
        <f>ifood_data[[#This Row],[MntTotal]]-ifood_data[[#This Row],[MntRegularProds]]</f>
        <v>11</v>
      </c>
      <c r="AQ1770">
        <v>0</v>
      </c>
      <c r="AR1770">
        <f>IF(SUM(ifood_data[[#This Row],[Kidhome]:[Teenhome]])&gt;0,1,0)</f>
        <v>1</v>
      </c>
      <c r="AS1770" t="str">
        <f>IF(SUM(ifood_data[[#This Row],[Kidhome]:[Teenhome]])&gt;0,"Has Family","No Family")</f>
        <v>Has Family</v>
      </c>
      <c r="AT1770" t="str">
        <f>IF(ifood_data[[#This Row],[marital_Married]]=1,"Married", (IF(ifood_data[[#This Row],[marital_Single]]=1,"Single",(IF(ifood_data[[#This Row],[marital_Divorced]]=1,"Divorced",(IF(ifood_data[[#This Row],[marital_Together]]=1,"Living Together",(IF(ifood_data[[#This Row],[marital_Widow]]=1,"Widow","Other")))))))))</f>
        <v>Living Together</v>
      </c>
      <c r="AU1770" t="str">
        <f>IF(ifood_data[[#This Row],[education_Basic]]=1,"High School",(IF(ifood_data[[#This Row],[education_Graduation]]=1,"Undergraduate Degree",(IF(SUM(AM1770,AL1770,AI1770)&gt;0,"Master's Degree or Higher","Other")))))</f>
        <v>Master's Degree or Higher</v>
      </c>
      <c r="AV1770" t="str">
        <f>IF(ifood_data[[#All],[Income]]&gt;75000,"75K+",(IF(ifood_data[[#All],[Income]]&gt;50000,"50K-75K",(IF(ifood_data[[#All],[Income]]&gt;35000,"35K-50K","&lt;35K")))))</f>
        <v>&lt;35K</v>
      </c>
      <c r="AW1770" t="str">
        <f>IF(ifood_data[[#All],[Age]]&gt;60,"60+",(IF(ifood_data[[#All],[Age]]&gt;50,"50-60",(IF(ifood_data[[#All],[Age]]&gt;40,"40-50",(IF(ifood_data[[#All],[Age]]&gt;30,"30-40","&lt;30")))))))</f>
        <v>40-50</v>
      </c>
      <c r="AX1770">
        <f t="shared" si="108"/>
        <v>10</v>
      </c>
      <c r="AY1770">
        <f t="shared" si="109"/>
        <v>1.9999999999999996</v>
      </c>
      <c r="AZ1770">
        <f t="shared" si="110"/>
        <v>0</v>
      </c>
      <c r="BA1770">
        <f t="shared" si="111"/>
        <v>1</v>
      </c>
      <c r="BB1770">
        <f>SUM(ifood_data[[#This Row],[Recency Score]:[Monetary Score]])</f>
        <v>2.9999999999999996</v>
      </c>
      <c r="BC1770">
        <f>(_xlfn.PERCENTRANK.INC(ifood_data[[#All],[RFM]],ifood_data[[#This Row],[RFM]],1))*10</f>
        <v>0</v>
      </c>
      <c r="BD1770" t="str">
        <f>VLOOKUP(ifood_data[[#This Row],[RFM Score]],'RFM Analysis'!$A$3:$B$14,2,FALSE)</f>
        <v>Lost</v>
      </c>
      <c r="BE1770">
        <f>'Regression Models'!$B$101+'Regression Models'!$B$102*ifood_data[[#This Row],[Income]]+'Regression Models'!$B$103*ifood_data[[#This Row],[Age]]+'Regression Models'!$B$104*ifood_data[[#This Row],[Family]]</f>
        <v>16.572294531797979</v>
      </c>
      <c r="BF1770" t="str">
        <f>IF(ifood_data[[#This Row],[AcceptedCmpOverall]]=1,"Campaign Respondent","Non-respondent")</f>
        <v>Non-respondent</v>
      </c>
    </row>
    <row r="1771" spans="1:58" x14ac:dyDescent="0.35">
      <c r="A1771">
        <v>1919</v>
      </c>
      <c r="B1771">
        <v>27733</v>
      </c>
      <c r="C1771">
        <v>1</v>
      </c>
      <c r="D1771">
        <v>0</v>
      </c>
      <c r="E1771">
        <v>16</v>
      </c>
      <c r="F1771">
        <v>0</v>
      </c>
      <c r="G1771">
        <v>7</v>
      </c>
      <c r="H1771">
        <v>5</v>
      </c>
      <c r="I1771">
        <v>26</v>
      </c>
      <c r="J1771">
        <v>2</v>
      </c>
      <c r="K1771">
        <v>17</v>
      </c>
      <c r="L1771">
        <v>2</v>
      </c>
      <c r="M1771">
        <v>2</v>
      </c>
      <c r="N1771">
        <v>0</v>
      </c>
      <c r="O1771">
        <v>3</v>
      </c>
      <c r="P1771">
        <v>7</v>
      </c>
      <c r="Q1771">
        <v>0</v>
      </c>
      <c r="R1771">
        <v>0</v>
      </c>
      <c r="S1771">
        <v>0</v>
      </c>
      <c r="T1771">
        <v>0</v>
      </c>
      <c r="U1771">
        <v>0</v>
      </c>
      <c r="V1771">
        <f>IF(SUM(ifood_data[[#This Row],[AcceptedCmp1]:[AcceptedCmp5]])&gt;0,1,0)</f>
        <v>0</v>
      </c>
      <c r="W1771">
        <v>0</v>
      </c>
      <c r="X1771">
        <v>3</v>
      </c>
      <c r="Y1771">
        <v>11</v>
      </c>
      <c r="Z1771">
        <v>0</v>
      </c>
      <c r="AA1771">
        <v>39</v>
      </c>
      <c r="AB1771">
        <v>2466</v>
      </c>
      <c r="AC1771" s="28">
        <f>ifood_data[[#This Row],[Customer_Days]]/365</f>
        <v>6.7561643835616438</v>
      </c>
      <c r="AD1771">
        <v>0</v>
      </c>
      <c r="AE1771">
        <v>1</v>
      </c>
      <c r="AF1771">
        <v>0</v>
      </c>
      <c r="AG1771">
        <v>0</v>
      </c>
      <c r="AH1771">
        <v>0</v>
      </c>
      <c r="AI1771">
        <v>1</v>
      </c>
      <c r="AJ1771">
        <v>0</v>
      </c>
      <c r="AK1771">
        <v>0</v>
      </c>
      <c r="AL1771">
        <v>0</v>
      </c>
      <c r="AM1771">
        <v>0</v>
      </c>
      <c r="AN1771">
        <v>40</v>
      </c>
      <c r="AO1771">
        <v>23</v>
      </c>
      <c r="AP1771">
        <f>ifood_data[[#This Row],[MntTotal]]-ifood_data[[#This Row],[MntRegularProds]]</f>
        <v>17</v>
      </c>
      <c r="AQ1771">
        <v>0</v>
      </c>
      <c r="AR1771">
        <f>IF(SUM(ifood_data[[#This Row],[Kidhome]:[Teenhome]])&gt;0,1,0)</f>
        <v>1</v>
      </c>
      <c r="AS1771" t="str">
        <f>IF(SUM(ifood_data[[#This Row],[Kidhome]:[Teenhome]])&gt;0,"Has Family","No Family")</f>
        <v>Has Family</v>
      </c>
      <c r="AT1771" t="str">
        <f>IF(ifood_data[[#This Row],[marital_Married]]=1,"Married", (IF(ifood_data[[#This Row],[marital_Single]]=1,"Single",(IF(ifood_data[[#This Row],[marital_Divorced]]=1,"Divorced",(IF(ifood_data[[#This Row],[marital_Together]]=1,"Living Together",(IF(ifood_data[[#This Row],[marital_Widow]]=1,"Widow","Other")))))))))</f>
        <v>Married</v>
      </c>
      <c r="AU1771" t="str">
        <f>IF(ifood_data[[#This Row],[education_Basic]]=1,"High School",(IF(ifood_data[[#This Row],[education_Graduation]]=1,"Undergraduate Degree",(IF(SUM(AM1771,AL1771,AI1771)&gt;0,"Master's Degree or Higher","Other")))))</f>
        <v>Master's Degree or Higher</v>
      </c>
      <c r="AV1771" t="str">
        <f>IF(ifood_data[[#All],[Income]]&gt;75000,"75K+",(IF(ifood_data[[#All],[Income]]&gt;50000,"50K-75K",(IF(ifood_data[[#All],[Income]]&gt;35000,"35K-50K","&lt;35K")))))</f>
        <v>&lt;35K</v>
      </c>
      <c r="AW1771" t="str">
        <f>IF(ifood_data[[#All],[Age]]&gt;60,"60+",(IF(ifood_data[[#All],[Age]]&gt;50,"50-60",(IF(ifood_data[[#All],[Age]]&gt;40,"40-50",(IF(ifood_data[[#All],[Age]]&gt;30,"30-40","&lt;30")))))))</f>
        <v>30-40</v>
      </c>
      <c r="AX1771">
        <f t="shared" si="108"/>
        <v>14</v>
      </c>
      <c r="AY1771">
        <f t="shared" si="109"/>
        <v>9</v>
      </c>
      <c r="AZ1771">
        <f t="shared" si="110"/>
        <v>2</v>
      </c>
      <c r="BA1771">
        <f t="shared" si="111"/>
        <v>1</v>
      </c>
      <c r="BB1771">
        <f>SUM(ifood_data[[#This Row],[Recency Score]:[Monetary Score]])</f>
        <v>12</v>
      </c>
      <c r="BC1771">
        <f>(_xlfn.PERCENTRANK.INC(ifood_data[[#All],[RFM]],ifood_data[[#This Row],[RFM]],1))*10</f>
        <v>3</v>
      </c>
      <c r="BD1771" t="str">
        <f>VLOOKUP(ifood_data[[#This Row],[RFM Score]],'RFM Analysis'!$A$3:$B$14,2,FALSE)</f>
        <v>At Risk</v>
      </c>
      <c r="BE1771">
        <f>'Regression Models'!$B$101+'Regression Models'!$B$102*ifood_data[[#This Row],[Income]]+'Regression Models'!$B$103*ifood_data[[#This Row],[Age]]+'Regression Models'!$B$104*ifood_data[[#This Row],[Family]]</f>
        <v>16.391695510389752</v>
      </c>
      <c r="BF1771" t="str">
        <f>IF(ifood_data[[#This Row],[AcceptedCmpOverall]]=1,"Campaign Respondent","Non-respondent")</f>
        <v>Non-respondent</v>
      </c>
    </row>
    <row r="1772" spans="1:58" x14ac:dyDescent="0.35">
      <c r="A1772">
        <v>1215</v>
      </c>
      <c r="B1772">
        <v>15759</v>
      </c>
      <c r="C1772">
        <v>0</v>
      </c>
      <c r="D1772">
        <v>0</v>
      </c>
      <c r="E1772">
        <v>12</v>
      </c>
      <c r="F1772">
        <v>1</v>
      </c>
      <c r="G1772">
        <v>2</v>
      </c>
      <c r="H1772">
        <v>5</v>
      </c>
      <c r="I1772">
        <v>6</v>
      </c>
      <c r="J1772">
        <v>0</v>
      </c>
      <c r="K1772">
        <v>3</v>
      </c>
      <c r="L1772">
        <v>1</v>
      </c>
      <c r="M1772">
        <v>1</v>
      </c>
      <c r="N1772">
        <v>0</v>
      </c>
      <c r="O1772">
        <v>2</v>
      </c>
      <c r="P1772">
        <v>7</v>
      </c>
      <c r="Q1772">
        <v>0</v>
      </c>
      <c r="R1772">
        <v>0</v>
      </c>
      <c r="S1772">
        <v>0</v>
      </c>
      <c r="T1772">
        <v>0</v>
      </c>
      <c r="U1772">
        <v>0</v>
      </c>
      <c r="V1772">
        <f>IF(SUM(ifood_data[[#This Row],[AcceptedCmp1]:[AcceptedCmp5]])&gt;0,1,0)</f>
        <v>0</v>
      </c>
      <c r="W1772">
        <v>0</v>
      </c>
      <c r="X1772">
        <v>3</v>
      </c>
      <c r="Y1772">
        <v>11</v>
      </c>
      <c r="Z1772">
        <v>0</v>
      </c>
      <c r="AA1772">
        <v>64</v>
      </c>
      <c r="AB1772">
        <v>2456</v>
      </c>
      <c r="AC1772" s="28">
        <f>ifood_data[[#This Row],[Customer_Days]]/365</f>
        <v>6.7287671232876711</v>
      </c>
      <c r="AD1772">
        <v>0</v>
      </c>
      <c r="AE1772">
        <v>1</v>
      </c>
      <c r="AF1772">
        <v>0</v>
      </c>
      <c r="AG1772">
        <v>0</v>
      </c>
      <c r="AH1772">
        <v>0</v>
      </c>
      <c r="AI1772">
        <v>0</v>
      </c>
      <c r="AJ1772">
        <v>0</v>
      </c>
      <c r="AK1772">
        <v>1</v>
      </c>
      <c r="AL1772">
        <v>0</v>
      </c>
      <c r="AM1772">
        <v>0</v>
      </c>
      <c r="AN1772">
        <v>14</v>
      </c>
      <c r="AO1772">
        <v>11</v>
      </c>
      <c r="AP1772">
        <f>ifood_data[[#This Row],[MntTotal]]-ifood_data[[#This Row],[MntRegularProds]]</f>
        <v>3</v>
      </c>
      <c r="AQ1772">
        <v>0</v>
      </c>
      <c r="AR1772">
        <f>IF(SUM(ifood_data[[#This Row],[Kidhome]:[Teenhome]])&gt;0,1,0)</f>
        <v>0</v>
      </c>
      <c r="AS1772" t="str">
        <f>IF(SUM(ifood_data[[#This Row],[Kidhome]:[Teenhome]])&gt;0,"Has Family","No Family")</f>
        <v>No Family</v>
      </c>
      <c r="AT1772" t="str">
        <f>IF(ifood_data[[#This Row],[marital_Married]]=1,"Married", (IF(ifood_data[[#This Row],[marital_Single]]=1,"Single",(IF(ifood_data[[#This Row],[marital_Divorced]]=1,"Divorced",(IF(ifood_data[[#This Row],[marital_Together]]=1,"Living Together",(IF(ifood_data[[#This Row],[marital_Widow]]=1,"Widow","Other")))))))))</f>
        <v>Married</v>
      </c>
      <c r="AU1772" t="str">
        <f>IF(ifood_data[[#This Row],[education_Basic]]=1,"High School",(IF(ifood_data[[#This Row],[education_Graduation]]=1,"Undergraduate Degree",(IF(SUM(AM1772,AL1772,AI1772)&gt;0,"Master's Degree or Higher","Other")))))</f>
        <v>Undergraduate Degree</v>
      </c>
      <c r="AV1772" t="str">
        <f>IF(ifood_data[[#All],[Income]]&gt;75000,"75K+",(IF(ifood_data[[#All],[Income]]&gt;50000,"50K-75K",(IF(ifood_data[[#All],[Income]]&gt;35000,"35K-50K","&lt;35K")))))</f>
        <v>&lt;35K</v>
      </c>
      <c r="AW1772" t="str">
        <f>IF(ifood_data[[#All],[Age]]&gt;60,"60+",(IF(ifood_data[[#All],[Age]]&gt;50,"50-60",(IF(ifood_data[[#All],[Age]]&gt;40,"40-50",(IF(ifood_data[[#All],[Age]]&gt;30,"30-40","&lt;30")))))))</f>
        <v>60+</v>
      </c>
      <c r="AX1772">
        <f t="shared" si="108"/>
        <v>11</v>
      </c>
      <c r="AY1772">
        <f t="shared" si="109"/>
        <v>9</v>
      </c>
      <c r="AZ1772">
        <f t="shared" si="110"/>
        <v>0</v>
      </c>
      <c r="BA1772">
        <f t="shared" si="111"/>
        <v>0</v>
      </c>
      <c r="BB1772">
        <f>SUM(ifood_data[[#This Row],[Recency Score]:[Monetary Score]])</f>
        <v>9</v>
      </c>
      <c r="BC1772">
        <f>(_xlfn.PERCENTRANK.INC(ifood_data[[#All],[RFM]],ifood_data[[#This Row],[RFM]],1))*10</f>
        <v>1</v>
      </c>
      <c r="BD1772" t="str">
        <f>VLOOKUP(ifood_data[[#This Row],[RFM Score]],'RFM Analysis'!$A$3:$B$14,2,FALSE)</f>
        <v>At Risk</v>
      </c>
      <c r="BE1772">
        <f>'Regression Models'!$B$101+'Regression Models'!$B$102*ifood_data[[#This Row],[Income]]+'Regression Models'!$B$103*ifood_data[[#This Row],[Age]]+'Regression Models'!$B$104*ifood_data[[#This Row],[Family]]</f>
        <v>15.959239856002895</v>
      </c>
      <c r="BF1772" t="str">
        <f>IF(ifood_data[[#This Row],[AcceptedCmpOverall]]=1,"Campaign Respondent","Non-respondent")</f>
        <v>Non-respondent</v>
      </c>
    </row>
    <row r="1773" spans="1:58" x14ac:dyDescent="0.35">
      <c r="A1773">
        <v>1038</v>
      </c>
      <c r="B1773">
        <v>27590</v>
      </c>
      <c r="C1773">
        <v>1</v>
      </c>
      <c r="D1773">
        <v>0</v>
      </c>
      <c r="E1773">
        <v>38</v>
      </c>
      <c r="F1773">
        <v>6</v>
      </c>
      <c r="G1773">
        <v>0</v>
      </c>
      <c r="H1773">
        <v>5</v>
      </c>
      <c r="I1773">
        <v>0</v>
      </c>
      <c r="J1773">
        <v>0</v>
      </c>
      <c r="K1773">
        <v>1</v>
      </c>
      <c r="L1773">
        <v>1</v>
      </c>
      <c r="M1773">
        <v>1</v>
      </c>
      <c r="N1773">
        <v>0</v>
      </c>
      <c r="O1773">
        <v>2</v>
      </c>
      <c r="P1773">
        <v>7</v>
      </c>
      <c r="Q1773">
        <v>0</v>
      </c>
      <c r="R1773">
        <v>0</v>
      </c>
      <c r="S1773">
        <v>0</v>
      </c>
      <c r="T1773">
        <v>0</v>
      </c>
      <c r="U1773">
        <v>0</v>
      </c>
      <c r="V1773">
        <f>IF(SUM(ifood_data[[#This Row],[AcceptedCmp1]:[AcceptedCmp5]])&gt;0,1,0)</f>
        <v>0</v>
      </c>
      <c r="W1773">
        <v>0</v>
      </c>
      <c r="X1773">
        <v>3</v>
      </c>
      <c r="Y1773">
        <v>11</v>
      </c>
      <c r="Z1773">
        <v>0</v>
      </c>
      <c r="AA1773">
        <v>38</v>
      </c>
      <c r="AB1773">
        <v>2591</v>
      </c>
      <c r="AC1773" s="28">
        <f>ifood_data[[#This Row],[Customer_Days]]/365</f>
        <v>7.0986301369863014</v>
      </c>
      <c r="AD1773">
        <v>0</v>
      </c>
      <c r="AE1773">
        <v>0</v>
      </c>
      <c r="AF1773">
        <v>0</v>
      </c>
      <c r="AG1773">
        <v>1</v>
      </c>
      <c r="AH1773">
        <v>0</v>
      </c>
      <c r="AI1773">
        <v>0</v>
      </c>
      <c r="AJ1773">
        <v>0</v>
      </c>
      <c r="AK1773">
        <v>0</v>
      </c>
      <c r="AL1773">
        <v>1</v>
      </c>
      <c r="AM1773">
        <v>0</v>
      </c>
      <c r="AN1773">
        <v>11</v>
      </c>
      <c r="AO1773">
        <v>10</v>
      </c>
      <c r="AP1773">
        <f>ifood_data[[#This Row],[MntTotal]]-ifood_data[[#This Row],[MntRegularProds]]</f>
        <v>1</v>
      </c>
      <c r="AQ1773">
        <v>0</v>
      </c>
      <c r="AR1773">
        <f>IF(SUM(ifood_data[[#This Row],[Kidhome]:[Teenhome]])&gt;0,1,0)</f>
        <v>1</v>
      </c>
      <c r="AS1773" t="str">
        <f>IF(SUM(ifood_data[[#This Row],[Kidhome]:[Teenhome]])&gt;0,"Has Family","No Family")</f>
        <v>Has Family</v>
      </c>
      <c r="AT1773" t="str">
        <f>IF(ifood_data[[#This Row],[marital_Married]]=1,"Married", (IF(ifood_data[[#This Row],[marital_Single]]=1,"Single",(IF(ifood_data[[#This Row],[marital_Divorced]]=1,"Divorced",(IF(ifood_data[[#This Row],[marital_Together]]=1,"Living Together",(IF(ifood_data[[#This Row],[marital_Widow]]=1,"Widow","Other")))))))))</f>
        <v>Living Together</v>
      </c>
      <c r="AU1773" t="str">
        <f>IF(ifood_data[[#This Row],[education_Basic]]=1,"High School",(IF(ifood_data[[#This Row],[education_Graduation]]=1,"Undergraduate Degree",(IF(SUM(AM1773,AL1773,AI1773)&gt;0,"Master's Degree or Higher","Other")))))</f>
        <v>Master's Degree or Higher</v>
      </c>
      <c r="AV1773" t="str">
        <f>IF(ifood_data[[#All],[Income]]&gt;75000,"75K+",(IF(ifood_data[[#All],[Income]]&gt;50000,"50K-75K",(IF(ifood_data[[#All],[Income]]&gt;35000,"35K-50K","&lt;35K")))))</f>
        <v>&lt;35K</v>
      </c>
      <c r="AW1773" t="str">
        <f>IF(ifood_data[[#All],[Age]]&gt;60,"60+",(IF(ifood_data[[#All],[Age]]&gt;50,"50-60",(IF(ifood_data[[#All],[Age]]&gt;40,"40-50",(IF(ifood_data[[#All],[Age]]&gt;30,"30-40","&lt;30")))))))</f>
        <v>30-40</v>
      </c>
      <c r="AX1773">
        <f t="shared" si="108"/>
        <v>11</v>
      </c>
      <c r="AY1773">
        <f t="shared" si="109"/>
        <v>7</v>
      </c>
      <c r="AZ1773">
        <f t="shared" si="110"/>
        <v>0</v>
      </c>
      <c r="BA1773">
        <f t="shared" si="111"/>
        <v>0</v>
      </c>
      <c r="BB1773">
        <f>SUM(ifood_data[[#This Row],[Recency Score]:[Monetary Score]])</f>
        <v>7</v>
      </c>
      <c r="BC1773">
        <f>(_xlfn.PERCENTRANK.INC(ifood_data[[#All],[RFM]],ifood_data[[#This Row],[RFM]],1))*10</f>
        <v>1</v>
      </c>
      <c r="BD1773" t="str">
        <f>VLOOKUP(ifood_data[[#This Row],[RFM Score]],'RFM Analysis'!$A$3:$B$14,2,FALSE)</f>
        <v>At Risk</v>
      </c>
      <c r="BE1773">
        <f>'Regression Models'!$B$101+'Regression Models'!$B$102*ifood_data[[#This Row],[Income]]+'Regression Models'!$B$103*ifood_data[[#This Row],[Age]]+'Regression Models'!$B$104*ifood_data[[#This Row],[Family]]</f>
        <v>15.312540744706496</v>
      </c>
      <c r="BF1773" t="str">
        <f>IF(ifood_data[[#This Row],[AcceptedCmpOverall]]=1,"Campaign Respondent","Non-respondent")</f>
        <v>Non-respondent</v>
      </c>
    </row>
    <row r="1774" spans="1:58" x14ac:dyDescent="0.35">
      <c r="A1774">
        <v>1455</v>
      </c>
      <c r="B1774">
        <v>27161</v>
      </c>
      <c r="C1774">
        <v>1</v>
      </c>
      <c r="D1774">
        <v>0</v>
      </c>
      <c r="E1774">
        <v>41</v>
      </c>
      <c r="F1774">
        <v>7</v>
      </c>
      <c r="G1774">
        <v>4</v>
      </c>
      <c r="H1774">
        <v>23</v>
      </c>
      <c r="I1774">
        <v>7</v>
      </c>
      <c r="J1774">
        <v>0</v>
      </c>
      <c r="K1774">
        <v>11</v>
      </c>
      <c r="L1774">
        <v>1</v>
      </c>
      <c r="M1774">
        <v>1</v>
      </c>
      <c r="N1774">
        <v>0</v>
      </c>
      <c r="O1774">
        <v>3</v>
      </c>
      <c r="P1774">
        <v>7</v>
      </c>
      <c r="Q1774">
        <v>0</v>
      </c>
      <c r="R1774">
        <v>0</v>
      </c>
      <c r="S1774">
        <v>0</v>
      </c>
      <c r="T1774">
        <v>0</v>
      </c>
      <c r="U1774">
        <v>0</v>
      </c>
      <c r="V1774">
        <f>IF(SUM(ifood_data[[#This Row],[AcceptedCmp1]:[AcceptedCmp5]])&gt;0,1,0)</f>
        <v>0</v>
      </c>
      <c r="W1774">
        <v>0</v>
      </c>
      <c r="X1774">
        <v>3</v>
      </c>
      <c r="Y1774">
        <v>11</v>
      </c>
      <c r="Z1774">
        <v>0</v>
      </c>
      <c r="AA1774">
        <v>34</v>
      </c>
      <c r="AB1774">
        <v>2403</v>
      </c>
      <c r="AC1774" s="28">
        <f>ifood_data[[#This Row],[Customer_Days]]/365</f>
        <v>6.5835616438356164</v>
      </c>
      <c r="AD1774">
        <v>0</v>
      </c>
      <c r="AE1774">
        <v>1</v>
      </c>
      <c r="AF1774">
        <v>0</v>
      </c>
      <c r="AG1774">
        <v>0</v>
      </c>
      <c r="AH1774">
        <v>0</v>
      </c>
      <c r="AI1774">
        <v>0</v>
      </c>
      <c r="AJ1774">
        <v>0</v>
      </c>
      <c r="AK1774">
        <v>0</v>
      </c>
      <c r="AL1774">
        <v>1</v>
      </c>
      <c r="AM1774">
        <v>0</v>
      </c>
      <c r="AN1774">
        <v>41</v>
      </c>
      <c r="AO1774">
        <v>30</v>
      </c>
      <c r="AP1774">
        <f>ifood_data[[#This Row],[MntTotal]]-ifood_data[[#This Row],[MntRegularProds]]</f>
        <v>11</v>
      </c>
      <c r="AQ1774">
        <v>0</v>
      </c>
      <c r="AR1774">
        <f>IF(SUM(ifood_data[[#This Row],[Kidhome]:[Teenhome]])&gt;0,1,0)</f>
        <v>1</v>
      </c>
      <c r="AS1774" t="str">
        <f>IF(SUM(ifood_data[[#This Row],[Kidhome]:[Teenhome]])&gt;0,"Has Family","No Family")</f>
        <v>Has Family</v>
      </c>
      <c r="AT1774" t="str">
        <f>IF(ifood_data[[#This Row],[marital_Married]]=1,"Married", (IF(ifood_data[[#This Row],[marital_Single]]=1,"Single",(IF(ifood_data[[#This Row],[marital_Divorced]]=1,"Divorced",(IF(ifood_data[[#This Row],[marital_Together]]=1,"Living Together",(IF(ifood_data[[#This Row],[marital_Widow]]=1,"Widow","Other")))))))))</f>
        <v>Married</v>
      </c>
      <c r="AU1774" t="str">
        <f>IF(ifood_data[[#This Row],[education_Basic]]=1,"High School",(IF(ifood_data[[#This Row],[education_Graduation]]=1,"Undergraduate Degree",(IF(SUM(AM1774,AL1774,AI1774)&gt;0,"Master's Degree or Higher","Other")))))</f>
        <v>Master's Degree or Higher</v>
      </c>
      <c r="AV1774" t="str">
        <f>IF(ifood_data[[#All],[Income]]&gt;75000,"75K+",(IF(ifood_data[[#All],[Income]]&gt;50000,"50K-75K",(IF(ifood_data[[#All],[Income]]&gt;35000,"35K-50K","&lt;35K")))))</f>
        <v>&lt;35K</v>
      </c>
      <c r="AW1774" t="str">
        <f>IF(ifood_data[[#All],[Age]]&gt;60,"60+",(IF(ifood_data[[#All],[Age]]&gt;50,"50-60",(IF(ifood_data[[#All],[Age]]&gt;40,"40-50",(IF(ifood_data[[#All],[Age]]&gt;30,"30-40","&lt;30")))))))</f>
        <v>30-40</v>
      </c>
      <c r="AX1774">
        <f t="shared" si="108"/>
        <v>12</v>
      </c>
      <c r="AY1774">
        <f t="shared" si="109"/>
        <v>6</v>
      </c>
      <c r="AZ1774">
        <f t="shared" si="110"/>
        <v>1</v>
      </c>
      <c r="BA1774">
        <f t="shared" si="111"/>
        <v>1</v>
      </c>
      <c r="BB1774">
        <f>SUM(ifood_data[[#This Row],[Recency Score]:[Monetary Score]])</f>
        <v>8</v>
      </c>
      <c r="BC1774">
        <f>(_xlfn.PERCENTRANK.INC(ifood_data[[#All],[RFM]],ifood_data[[#This Row],[RFM]],1))*10</f>
        <v>1</v>
      </c>
      <c r="BD1774" t="str">
        <f>VLOOKUP(ifood_data[[#This Row],[RFM Score]],'RFM Analysis'!$A$3:$B$14,2,FALSE)</f>
        <v>At Risk</v>
      </c>
      <c r="BE1774">
        <f>'Regression Models'!$B$101+'Regression Models'!$B$102*ifood_data[[#This Row],[Income]]+'Regression Models'!$B$103*ifood_data[[#This Row],[Age]]+'Regression Models'!$B$104*ifood_data[[#This Row],[Family]]</f>
        <v>13.911515526551</v>
      </c>
      <c r="BF1774" t="str">
        <f>IF(ifood_data[[#This Row],[AcceptedCmpOverall]]=1,"Campaign Respondent","Non-respondent")</f>
        <v>Non-respondent</v>
      </c>
    </row>
    <row r="1775" spans="1:58" x14ac:dyDescent="0.35">
      <c r="A1775">
        <v>1909</v>
      </c>
      <c r="B1775">
        <v>14188</v>
      </c>
      <c r="C1775">
        <v>0</v>
      </c>
      <c r="D1775">
        <v>0</v>
      </c>
      <c r="E1775">
        <v>40</v>
      </c>
      <c r="F1775">
        <v>2</v>
      </c>
      <c r="G1775">
        <v>7</v>
      </c>
      <c r="H1775">
        <v>11</v>
      </c>
      <c r="I1775">
        <v>16</v>
      </c>
      <c r="J1775">
        <v>12</v>
      </c>
      <c r="K1775">
        <v>27</v>
      </c>
      <c r="L1775">
        <v>1</v>
      </c>
      <c r="M1775">
        <v>2</v>
      </c>
      <c r="N1775">
        <v>0</v>
      </c>
      <c r="O1775">
        <v>4</v>
      </c>
      <c r="P1775">
        <v>6</v>
      </c>
      <c r="Q1775">
        <v>0</v>
      </c>
      <c r="R1775">
        <v>0</v>
      </c>
      <c r="S1775">
        <v>0</v>
      </c>
      <c r="T1775">
        <v>0</v>
      </c>
      <c r="U1775">
        <v>0</v>
      </c>
      <c r="V1775">
        <f>IF(SUM(ifood_data[[#This Row],[AcceptedCmp1]:[AcceptedCmp5]])&gt;0,1,0)</f>
        <v>0</v>
      </c>
      <c r="W1775">
        <v>0</v>
      </c>
      <c r="X1775">
        <v>3</v>
      </c>
      <c r="Y1775">
        <v>11</v>
      </c>
      <c r="Z1775">
        <v>0</v>
      </c>
      <c r="AA1775">
        <v>48</v>
      </c>
      <c r="AB1775">
        <v>2645</v>
      </c>
      <c r="AC1775" s="28">
        <f>ifood_data[[#This Row],[Customer_Days]]/365</f>
        <v>7.2465753424657535</v>
      </c>
      <c r="AD1775">
        <v>0</v>
      </c>
      <c r="AE1775">
        <v>1</v>
      </c>
      <c r="AF1775">
        <v>0</v>
      </c>
      <c r="AG1775">
        <v>0</v>
      </c>
      <c r="AH1775">
        <v>0</v>
      </c>
      <c r="AI1775">
        <v>0</v>
      </c>
      <c r="AJ1775">
        <v>1</v>
      </c>
      <c r="AK1775">
        <v>0</v>
      </c>
      <c r="AL1775">
        <v>0</v>
      </c>
      <c r="AM1775">
        <v>0</v>
      </c>
      <c r="AN1775">
        <v>48</v>
      </c>
      <c r="AO1775">
        <v>21</v>
      </c>
      <c r="AP1775">
        <f>ifood_data[[#This Row],[MntTotal]]-ifood_data[[#This Row],[MntRegularProds]]</f>
        <v>27</v>
      </c>
      <c r="AQ1775">
        <v>0</v>
      </c>
      <c r="AR1775">
        <f>IF(SUM(ifood_data[[#This Row],[Kidhome]:[Teenhome]])&gt;0,1,0)</f>
        <v>0</v>
      </c>
      <c r="AS1775" t="str">
        <f>IF(SUM(ifood_data[[#This Row],[Kidhome]:[Teenhome]])&gt;0,"Has Family","No Family")</f>
        <v>No Family</v>
      </c>
      <c r="AT1775" t="str">
        <f>IF(ifood_data[[#This Row],[marital_Married]]=1,"Married", (IF(ifood_data[[#This Row],[marital_Single]]=1,"Single",(IF(ifood_data[[#This Row],[marital_Divorced]]=1,"Divorced",(IF(ifood_data[[#This Row],[marital_Together]]=1,"Living Together",(IF(ifood_data[[#This Row],[marital_Widow]]=1,"Widow","Other")))))))))</f>
        <v>Married</v>
      </c>
      <c r="AU1775" t="str">
        <f>IF(ifood_data[[#This Row],[education_Basic]]=1,"High School",(IF(ifood_data[[#This Row],[education_Graduation]]=1,"Undergraduate Degree",(IF(SUM(AM1775,AL1775,AI1775)&gt;0,"Master's Degree or Higher","Other")))))</f>
        <v>High School</v>
      </c>
      <c r="AV1775" t="str">
        <f>IF(ifood_data[[#All],[Income]]&gt;75000,"75K+",(IF(ifood_data[[#All],[Income]]&gt;50000,"50K-75K",(IF(ifood_data[[#All],[Income]]&gt;35000,"35K-50K","&lt;35K")))))</f>
        <v>&lt;35K</v>
      </c>
      <c r="AW1775" t="str">
        <f>IF(ifood_data[[#All],[Age]]&gt;60,"60+",(IF(ifood_data[[#All],[Age]]&gt;50,"50-60",(IF(ifood_data[[#All],[Age]]&gt;40,"40-50",(IF(ifood_data[[#All],[Age]]&gt;30,"30-40","&lt;30")))))))</f>
        <v>40-50</v>
      </c>
      <c r="AX1775">
        <f t="shared" si="108"/>
        <v>13</v>
      </c>
      <c r="AY1775">
        <f t="shared" si="109"/>
        <v>6</v>
      </c>
      <c r="AZ1775">
        <f t="shared" si="110"/>
        <v>1</v>
      </c>
      <c r="BA1775">
        <f t="shared" si="111"/>
        <v>2</v>
      </c>
      <c r="BB1775">
        <f>SUM(ifood_data[[#This Row],[Recency Score]:[Monetary Score]])</f>
        <v>9</v>
      </c>
      <c r="BC1775">
        <f>(_xlfn.PERCENTRANK.INC(ifood_data[[#All],[RFM]],ifood_data[[#This Row],[RFM]],1))*10</f>
        <v>1</v>
      </c>
      <c r="BD1775" t="str">
        <f>VLOOKUP(ifood_data[[#This Row],[RFM Score]],'RFM Analysis'!$A$3:$B$14,2,FALSE)</f>
        <v>At Risk</v>
      </c>
      <c r="BE1775">
        <f>'Regression Models'!$B$101+'Regression Models'!$B$102*ifood_data[[#This Row],[Income]]+'Regression Models'!$B$103*ifood_data[[#This Row],[Age]]+'Regression Models'!$B$104*ifood_data[[#This Row],[Family]]</f>
        <v>13.311510364246161</v>
      </c>
      <c r="BF1775" t="str">
        <f>IF(ifood_data[[#This Row],[AcceptedCmpOverall]]=1,"Campaign Respondent","Non-respondent")</f>
        <v>Non-respondent</v>
      </c>
    </row>
    <row r="1776" spans="1:58" x14ac:dyDescent="0.35">
      <c r="A1776">
        <v>79</v>
      </c>
      <c r="B1776">
        <v>29440</v>
      </c>
      <c r="C1776">
        <v>1</v>
      </c>
      <c r="D1776">
        <v>1</v>
      </c>
      <c r="E1776">
        <v>95</v>
      </c>
      <c r="F1776">
        <v>17</v>
      </c>
      <c r="G1776">
        <v>8</v>
      </c>
      <c r="H1776">
        <v>14</v>
      </c>
      <c r="I1776">
        <v>10</v>
      </c>
      <c r="J1776">
        <v>4</v>
      </c>
      <c r="K1776">
        <v>3</v>
      </c>
      <c r="L1776">
        <v>2</v>
      </c>
      <c r="M1776">
        <v>1</v>
      </c>
      <c r="N1776">
        <v>0</v>
      </c>
      <c r="O1776">
        <v>4</v>
      </c>
      <c r="P1776">
        <v>7</v>
      </c>
      <c r="Q1776">
        <v>0</v>
      </c>
      <c r="R1776">
        <v>0</v>
      </c>
      <c r="S1776">
        <v>0</v>
      </c>
      <c r="T1776">
        <v>0</v>
      </c>
      <c r="U1776">
        <v>0</v>
      </c>
      <c r="V1776">
        <f>IF(SUM(ifood_data[[#This Row],[AcceptedCmp1]:[AcceptedCmp5]])&gt;0,1,0)</f>
        <v>0</v>
      </c>
      <c r="W1776">
        <v>0</v>
      </c>
      <c r="X1776">
        <v>3</v>
      </c>
      <c r="Y1776">
        <v>11</v>
      </c>
      <c r="Z1776">
        <v>0</v>
      </c>
      <c r="AA1776">
        <v>60</v>
      </c>
      <c r="AB1776">
        <v>2481</v>
      </c>
      <c r="AC1776" s="28">
        <f>ifood_data[[#This Row],[Customer_Days]]/365</f>
        <v>6.7972602739726025</v>
      </c>
      <c r="AD1776">
        <v>0</v>
      </c>
      <c r="AE1776">
        <v>1</v>
      </c>
      <c r="AF1776">
        <v>0</v>
      </c>
      <c r="AG1776">
        <v>0</v>
      </c>
      <c r="AH1776">
        <v>0</v>
      </c>
      <c r="AI1776">
        <v>0</v>
      </c>
      <c r="AJ1776">
        <v>0</v>
      </c>
      <c r="AK1776">
        <v>1</v>
      </c>
      <c r="AL1776">
        <v>0</v>
      </c>
      <c r="AM1776">
        <v>0</v>
      </c>
      <c r="AN1776">
        <v>53</v>
      </c>
      <c r="AO1776">
        <v>50</v>
      </c>
      <c r="AP1776">
        <f>ifood_data[[#This Row],[MntTotal]]-ifood_data[[#This Row],[MntRegularProds]]</f>
        <v>3</v>
      </c>
      <c r="AQ1776">
        <v>0</v>
      </c>
      <c r="AR1776">
        <f>IF(SUM(ifood_data[[#This Row],[Kidhome]:[Teenhome]])&gt;0,1,0)</f>
        <v>1</v>
      </c>
      <c r="AS1776" t="str">
        <f>IF(SUM(ifood_data[[#This Row],[Kidhome]:[Teenhome]])&gt;0,"Has Family","No Family")</f>
        <v>Has Family</v>
      </c>
      <c r="AT1776" t="str">
        <f>IF(ifood_data[[#This Row],[marital_Married]]=1,"Married", (IF(ifood_data[[#This Row],[marital_Single]]=1,"Single",(IF(ifood_data[[#This Row],[marital_Divorced]]=1,"Divorced",(IF(ifood_data[[#This Row],[marital_Together]]=1,"Living Together",(IF(ifood_data[[#This Row],[marital_Widow]]=1,"Widow","Other")))))))))</f>
        <v>Married</v>
      </c>
      <c r="AU1776" t="str">
        <f>IF(ifood_data[[#This Row],[education_Basic]]=1,"High School",(IF(ifood_data[[#This Row],[education_Graduation]]=1,"Undergraduate Degree",(IF(SUM(AM1776,AL1776,AI1776)&gt;0,"Master's Degree or Higher","Other")))))</f>
        <v>Undergraduate Degree</v>
      </c>
      <c r="AV1776" t="str">
        <f>IF(ifood_data[[#All],[Income]]&gt;75000,"75K+",(IF(ifood_data[[#All],[Income]]&gt;50000,"50K-75K",(IF(ifood_data[[#All],[Income]]&gt;35000,"35K-50K","&lt;35K")))))</f>
        <v>&lt;35K</v>
      </c>
      <c r="AW1776" t="str">
        <f>IF(ifood_data[[#All],[Age]]&gt;60,"60+",(IF(ifood_data[[#All],[Age]]&gt;50,"50-60",(IF(ifood_data[[#All],[Age]]&gt;40,"40-50",(IF(ifood_data[[#All],[Age]]&gt;30,"30-40","&lt;30")))))))</f>
        <v>50-60</v>
      </c>
      <c r="AX1776">
        <f t="shared" si="108"/>
        <v>14</v>
      </c>
      <c r="AY1776">
        <f t="shared" si="109"/>
        <v>0.99999999999999978</v>
      </c>
      <c r="AZ1776">
        <f t="shared" si="110"/>
        <v>2</v>
      </c>
      <c r="BA1776">
        <f t="shared" si="111"/>
        <v>2</v>
      </c>
      <c r="BB1776">
        <f>SUM(ifood_data[[#This Row],[Recency Score]:[Monetary Score]])</f>
        <v>5</v>
      </c>
      <c r="BC1776">
        <f>(_xlfn.PERCENTRANK.INC(ifood_data[[#All],[RFM]],ifood_data[[#This Row],[RFM]],1))*10</f>
        <v>0</v>
      </c>
      <c r="BD1776" t="str">
        <f>VLOOKUP(ifood_data[[#This Row],[RFM Score]],'RFM Analysis'!$A$3:$B$14,2,FALSE)</f>
        <v>Lost</v>
      </c>
      <c r="BE1776">
        <f>'Regression Models'!$B$101+'Regression Models'!$B$102*ifood_data[[#This Row],[Income]]+'Regression Models'!$B$103*ifood_data[[#This Row],[Age]]+'Regression Models'!$B$104*ifood_data[[#This Row],[Family]]</f>
        <v>12.630102075245304</v>
      </c>
      <c r="BF1776" t="str">
        <f>IF(ifood_data[[#This Row],[AcceptedCmpOverall]]=1,"Campaign Respondent","Non-respondent")</f>
        <v>Non-respondent</v>
      </c>
    </row>
    <row r="1777" spans="1:58" x14ac:dyDescent="0.35">
      <c r="A1777">
        <v>1889</v>
      </c>
      <c r="B1777">
        <v>27889</v>
      </c>
      <c r="C1777">
        <v>1</v>
      </c>
      <c r="D1777">
        <v>0</v>
      </c>
      <c r="E1777">
        <v>42</v>
      </c>
      <c r="F1777">
        <v>14</v>
      </c>
      <c r="G1777">
        <v>0</v>
      </c>
      <c r="H1777">
        <v>4</v>
      </c>
      <c r="I1777">
        <v>0</v>
      </c>
      <c r="J1777">
        <v>0</v>
      </c>
      <c r="K1777">
        <v>8</v>
      </c>
      <c r="L1777">
        <v>1</v>
      </c>
      <c r="M1777">
        <v>1</v>
      </c>
      <c r="N1777">
        <v>1</v>
      </c>
      <c r="O1777">
        <v>2</v>
      </c>
      <c r="P1777">
        <v>6</v>
      </c>
      <c r="Q1777">
        <v>0</v>
      </c>
      <c r="R1777">
        <v>0</v>
      </c>
      <c r="S1777">
        <v>0</v>
      </c>
      <c r="T1777">
        <v>0</v>
      </c>
      <c r="U1777">
        <v>0</v>
      </c>
      <c r="V1777">
        <f>IF(SUM(ifood_data[[#This Row],[AcceptedCmp1]:[AcceptedCmp5]])&gt;0,1,0)</f>
        <v>0</v>
      </c>
      <c r="W1777">
        <v>0</v>
      </c>
      <c r="X1777">
        <v>3</v>
      </c>
      <c r="Y1777">
        <v>11</v>
      </c>
      <c r="Z1777">
        <v>0</v>
      </c>
      <c r="AA1777">
        <v>43</v>
      </c>
      <c r="AB1777">
        <v>2518</v>
      </c>
      <c r="AC1777" s="28">
        <f>ifood_data[[#This Row],[Customer_Days]]/365</f>
        <v>6.8986301369863012</v>
      </c>
      <c r="AD1777">
        <v>0</v>
      </c>
      <c r="AE1777">
        <v>1</v>
      </c>
      <c r="AF1777">
        <v>0</v>
      </c>
      <c r="AG1777">
        <v>0</v>
      </c>
      <c r="AH1777">
        <v>0</v>
      </c>
      <c r="AI1777">
        <v>0</v>
      </c>
      <c r="AJ1777">
        <v>0</v>
      </c>
      <c r="AK1777">
        <v>0</v>
      </c>
      <c r="AL1777">
        <v>1</v>
      </c>
      <c r="AM1777">
        <v>0</v>
      </c>
      <c r="AN1777">
        <v>18</v>
      </c>
      <c r="AO1777">
        <v>10</v>
      </c>
      <c r="AP1777">
        <f>ifood_data[[#This Row],[MntTotal]]-ifood_data[[#This Row],[MntRegularProds]]</f>
        <v>8</v>
      </c>
      <c r="AQ1777">
        <v>0</v>
      </c>
      <c r="AR1777">
        <f>IF(SUM(ifood_data[[#This Row],[Kidhome]:[Teenhome]])&gt;0,1,0)</f>
        <v>1</v>
      </c>
      <c r="AS1777" t="str">
        <f>IF(SUM(ifood_data[[#This Row],[Kidhome]:[Teenhome]])&gt;0,"Has Family","No Family")</f>
        <v>Has Family</v>
      </c>
      <c r="AT1777" t="str">
        <f>IF(ifood_data[[#This Row],[marital_Married]]=1,"Married", (IF(ifood_data[[#This Row],[marital_Single]]=1,"Single",(IF(ifood_data[[#This Row],[marital_Divorced]]=1,"Divorced",(IF(ifood_data[[#This Row],[marital_Together]]=1,"Living Together",(IF(ifood_data[[#This Row],[marital_Widow]]=1,"Widow","Other")))))))))</f>
        <v>Married</v>
      </c>
      <c r="AU1777" t="str">
        <f>IF(ifood_data[[#This Row],[education_Basic]]=1,"High School",(IF(ifood_data[[#This Row],[education_Graduation]]=1,"Undergraduate Degree",(IF(SUM(AM1777,AL1777,AI1777)&gt;0,"Master's Degree or Higher","Other")))))</f>
        <v>Master's Degree or Higher</v>
      </c>
      <c r="AV1777" t="str">
        <f>IF(ifood_data[[#All],[Income]]&gt;75000,"75K+",(IF(ifood_data[[#All],[Income]]&gt;50000,"50K-75K",(IF(ifood_data[[#All],[Income]]&gt;35000,"35K-50K","&lt;35K")))))</f>
        <v>&lt;35K</v>
      </c>
      <c r="AW1777" t="str">
        <f>IF(ifood_data[[#All],[Age]]&gt;60,"60+",(IF(ifood_data[[#All],[Age]]&gt;50,"50-60",(IF(ifood_data[[#All],[Age]]&gt;40,"40-50",(IF(ifood_data[[#All],[Age]]&gt;30,"30-40","&lt;30")))))))</f>
        <v>40-50</v>
      </c>
      <c r="AX1777">
        <f t="shared" si="108"/>
        <v>11</v>
      </c>
      <c r="AY1777">
        <f t="shared" si="109"/>
        <v>6</v>
      </c>
      <c r="AZ1777">
        <f t="shared" si="110"/>
        <v>0</v>
      </c>
      <c r="BA1777">
        <f t="shared" si="111"/>
        <v>0</v>
      </c>
      <c r="BB1777">
        <f>SUM(ifood_data[[#This Row],[Recency Score]:[Monetary Score]])</f>
        <v>6</v>
      </c>
      <c r="BC1777">
        <f>(_xlfn.PERCENTRANK.INC(ifood_data[[#All],[RFM]],ifood_data[[#This Row],[RFM]],1))*10</f>
        <v>0</v>
      </c>
      <c r="BD1777" t="str">
        <f>VLOOKUP(ifood_data[[#This Row],[RFM Score]],'RFM Analysis'!$A$3:$B$14,2,FALSE)</f>
        <v>Lost</v>
      </c>
      <c r="BE1777">
        <f>'Regression Models'!$B$101+'Regression Models'!$B$102*ifood_data[[#This Row],[Income]]+'Regression Models'!$B$103*ifood_data[[#This Row],[Age]]+'Regression Models'!$B$104*ifood_data[[#This Row],[Family]]</f>
        <v>12.226587025260869</v>
      </c>
      <c r="BF1777" t="str">
        <f>IF(ifood_data[[#This Row],[AcceptedCmpOverall]]=1,"Campaign Respondent","Non-respondent")</f>
        <v>Non-respondent</v>
      </c>
    </row>
    <row r="1778" spans="1:58" x14ac:dyDescent="0.35">
      <c r="A1778">
        <v>308</v>
      </c>
      <c r="B1778">
        <v>27255</v>
      </c>
      <c r="C1778">
        <v>1</v>
      </c>
      <c r="D1778">
        <v>0</v>
      </c>
      <c r="E1778">
        <v>3</v>
      </c>
      <c r="F1778">
        <v>22</v>
      </c>
      <c r="G1778">
        <v>1</v>
      </c>
      <c r="H1778">
        <v>11</v>
      </c>
      <c r="I1778">
        <v>0</v>
      </c>
      <c r="J1778">
        <v>1</v>
      </c>
      <c r="K1778">
        <v>2</v>
      </c>
      <c r="L1778">
        <v>1</v>
      </c>
      <c r="M1778">
        <v>1</v>
      </c>
      <c r="N1778">
        <v>0</v>
      </c>
      <c r="O1778">
        <v>3</v>
      </c>
      <c r="P1778">
        <v>7</v>
      </c>
      <c r="Q1778">
        <v>0</v>
      </c>
      <c r="R1778">
        <v>0</v>
      </c>
      <c r="S1778">
        <v>0</v>
      </c>
      <c r="T1778">
        <v>0</v>
      </c>
      <c r="U1778">
        <v>0</v>
      </c>
      <c r="V1778">
        <f>IF(SUM(ifood_data[[#This Row],[AcceptedCmp1]:[AcceptedCmp5]])&gt;0,1,0)</f>
        <v>0</v>
      </c>
      <c r="W1778">
        <v>0</v>
      </c>
      <c r="X1778">
        <v>3</v>
      </c>
      <c r="Y1778">
        <v>11</v>
      </c>
      <c r="Z1778">
        <v>0</v>
      </c>
      <c r="AA1778">
        <v>36</v>
      </c>
      <c r="AB1778">
        <v>2393</v>
      </c>
      <c r="AC1778" s="28">
        <f>ifood_data[[#This Row],[Customer_Days]]/365</f>
        <v>6.5561643835616437</v>
      </c>
      <c r="AD1778">
        <v>0</v>
      </c>
      <c r="AE1778">
        <v>1</v>
      </c>
      <c r="AF1778">
        <v>0</v>
      </c>
      <c r="AG1778">
        <v>0</v>
      </c>
      <c r="AH1778">
        <v>0</v>
      </c>
      <c r="AI1778">
        <v>0</v>
      </c>
      <c r="AJ1778">
        <v>0</v>
      </c>
      <c r="AK1778">
        <v>1</v>
      </c>
      <c r="AL1778">
        <v>0</v>
      </c>
      <c r="AM1778">
        <v>0</v>
      </c>
      <c r="AN1778">
        <v>35</v>
      </c>
      <c r="AO1778">
        <v>33</v>
      </c>
      <c r="AP1778">
        <f>ifood_data[[#This Row],[MntTotal]]-ifood_data[[#This Row],[MntRegularProds]]</f>
        <v>2</v>
      </c>
      <c r="AQ1778">
        <v>0</v>
      </c>
      <c r="AR1778">
        <f>IF(SUM(ifood_data[[#This Row],[Kidhome]:[Teenhome]])&gt;0,1,0)</f>
        <v>1</v>
      </c>
      <c r="AS1778" t="str">
        <f>IF(SUM(ifood_data[[#This Row],[Kidhome]:[Teenhome]])&gt;0,"Has Family","No Family")</f>
        <v>Has Family</v>
      </c>
      <c r="AT1778" t="str">
        <f>IF(ifood_data[[#This Row],[marital_Married]]=1,"Married", (IF(ifood_data[[#This Row],[marital_Single]]=1,"Single",(IF(ifood_data[[#This Row],[marital_Divorced]]=1,"Divorced",(IF(ifood_data[[#This Row],[marital_Together]]=1,"Living Together",(IF(ifood_data[[#This Row],[marital_Widow]]=1,"Widow","Other")))))))))</f>
        <v>Married</v>
      </c>
      <c r="AU1778" t="str">
        <f>IF(ifood_data[[#This Row],[education_Basic]]=1,"High School",(IF(ifood_data[[#This Row],[education_Graduation]]=1,"Undergraduate Degree",(IF(SUM(AM1778,AL1778,AI1778)&gt;0,"Master's Degree or Higher","Other")))))</f>
        <v>Undergraduate Degree</v>
      </c>
      <c r="AV1778" t="str">
        <f>IF(ifood_data[[#All],[Income]]&gt;75000,"75K+",(IF(ifood_data[[#All],[Income]]&gt;50000,"50K-75K",(IF(ifood_data[[#All],[Income]]&gt;35000,"35K-50K","&lt;35K")))))</f>
        <v>&lt;35K</v>
      </c>
      <c r="AW1778" t="str">
        <f>IF(ifood_data[[#All],[Age]]&gt;60,"60+",(IF(ifood_data[[#All],[Age]]&gt;50,"50-60",(IF(ifood_data[[#All],[Age]]&gt;40,"40-50",(IF(ifood_data[[#All],[Age]]&gt;30,"30-40","&lt;30")))))))</f>
        <v>30-40</v>
      </c>
      <c r="AX1778">
        <f t="shared" si="108"/>
        <v>12</v>
      </c>
      <c r="AY1778">
        <f t="shared" si="109"/>
        <v>10</v>
      </c>
      <c r="AZ1778">
        <f t="shared" si="110"/>
        <v>1</v>
      </c>
      <c r="BA1778">
        <f t="shared" si="111"/>
        <v>1</v>
      </c>
      <c r="BB1778">
        <f>SUM(ifood_data[[#This Row],[Recency Score]:[Monetary Score]])</f>
        <v>12</v>
      </c>
      <c r="BC1778">
        <f>(_xlfn.PERCENTRANK.INC(ifood_data[[#All],[RFM]],ifood_data[[#This Row],[RFM]],1))*10</f>
        <v>3</v>
      </c>
      <c r="BD1778" t="str">
        <f>VLOOKUP(ifood_data[[#This Row],[RFM Score]],'RFM Analysis'!$A$3:$B$14,2,FALSE)</f>
        <v>At Risk</v>
      </c>
      <c r="BE1778">
        <f>'Regression Models'!$B$101+'Regression Models'!$B$102*ifood_data[[#This Row],[Income]]+'Regression Models'!$B$103*ifood_data[[#This Row],[Age]]+'Regression Models'!$B$104*ifood_data[[#This Row],[Family]]</f>
        <v>12.155181574288861</v>
      </c>
      <c r="BF1778" t="str">
        <f>IF(ifood_data[[#This Row],[AcceptedCmpOverall]]=1,"Campaign Respondent","Non-respondent")</f>
        <v>Non-respondent</v>
      </c>
    </row>
    <row r="1779" spans="1:58" x14ac:dyDescent="0.35">
      <c r="A1779">
        <v>258</v>
      </c>
      <c r="B1779">
        <v>29315</v>
      </c>
      <c r="C1779">
        <v>1</v>
      </c>
      <c r="D1779">
        <v>1</v>
      </c>
      <c r="E1779">
        <v>55</v>
      </c>
      <c r="F1779">
        <v>13</v>
      </c>
      <c r="G1779">
        <v>2</v>
      </c>
      <c r="H1779">
        <v>14</v>
      </c>
      <c r="I1779">
        <v>8</v>
      </c>
      <c r="J1779">
        <v>7</v>
      </c>
      <c r="K1779">
        <v>4</v>
      </c>
      <c r="L1779">
        <v>4</v>
      </c>
      <c r="M1779">
        <v>2</v>
      </c>
      <c r="N1779">
        <v>0</v>
      </c>
      <c r="O1779">
        <v>4</v>
      </c>
      <c r="P1779">
        <v>6</v>
      </c>
      <c r="Q1779">
        <v>0</v>
      </c>
      <c r="R1779">
        <v>0</v>
      </c>
      <c r="S1779">
        <v>0</v>
      </c>
      <c r="T1779">
        <v>0</v>
      </c>
      <c r="U1779">
        <v>0</v>
      </c>
      <c r="V1779">
        <f>IF(SUM(ifood_data[[#This Row],[AcceptedCmp1]:[AcceptedCmp5]])&gt;0,1,0)</f>
        <v>0</v>
      </c>
      <c r="W1779">
        <v>0</v>
      </c>
      <c r="X1779">
        <v>3</v>
      </c>
      <c r="Y1779">
        <v>11</v>
      </c>
      <c r="Z1779">
        <v>0</v>
      </c>
      <c r="AA1779">
        <v>60</v>
      </c>
      <c r="AB1779">
        <v>2243</v>
      </c>
      <c r="AC1779" s="28">
        <f>ifood_data[[#This Row],[Customer_Days]]/365</f>
        <v>6.1452054794520548</v>
      </c>
      <c r="AD1779">
        <v>0</v>
      </c>
      <c r="AE1779">
        <v>1</v>
      </c>
      <c r="AF1779">
        <v>0</v>
      </c>
      <c r="AG1779">
        <v>0</v>
      </c>
      <c r="AH1779">
        <v>0</v>
      </c>
      <c r="AI1779">
        <v>0</v>
      </c>
      <c r="AJ1779">
        <v>0</v>
      </c>
      <c r="AK1779">
        <v>1</v>
      </c>
      <c r="AL1779">
        <v>0</v>
      </c>
      <c r="AM1779">
        <v>0</v>
      </c>
      <c r="AN1779">
        <v>44</v>
      </c>
      <c r="AO1779">
        <v>40</v>
      </c>
      <c r="AP1779">
        <f>ifood_data[[#This Row],[MntTotal]]-ifood_data[[#This Row],[MntRegularProds]]</f>
        <v>4</v>
      </c>
      <c r="AQ1779">
        <v>0</v>
      </c>
      <c r="AR1779">
        <f>IF(SUM(ifood_data[[#This Row],[Kidhome]:[Teenhome]])&gt;0,1,0)</f>
        <v>1</v>
      </c>
      <c r="AS1779" t="str">
        <f>IF(SUM(ifood_data[[#This Row],[Kidhome]:[Teenhome]])&gt;0,"Has Family","No Family")</f>
        <v>Has Family</v>
      </c>
      <c r="AT1779" t="str">
        <f>IF(ifood_data[[#This Row],[marital_Married]]=1,"Married", (IF(ifood_data[[#This Row],[marital_Single]]=1,"Single",(IF(ifood_data[[#This Row],[marital_Divorced]]=1,"Divorced",(IF(ifood_data[[#This Row],[marital_Together]]=1,"Living Together",(IF(ifood_data[[#This Row],[marital_Widow]]=1,"Widow","Other")))))))))</f>
        <v>Married</v>
      </c>
      <c r="AU1779" t="str">
        <f>IF(ifood_data[[#This Row],[education_Basic]]=1,"High School",(IF(ifood_data[[#This Row],[education_Graduation]]=1,"Undergraduate Degree",(IF(SUM(AM1779,AL1779,AI1779)&gt;0,"Master's Degree or Higher","Other")))))</f>
        <v>Undergraduate Degree</v>
      </c>
      <c r="AV1779" t="str">
        <f>IF(ifood_data[[#All],[Income]]&gt;75000,"75K+",(IF(ifood_data[[#All],[Income]]&gt;50000,"50K-75K",(IF(ifood_data[[#All],[Income]]&gt;35000,"35K-50K","&lt;35K")))))</f>
        <v>&lt;35K</v>
      </c>
      <c r="AW1779" t="str">
        <f>IF(ifood_data[[#All],[Age]]&gt;60,"60+",(IF(ifood_data[[#All],[Age]]&gt;50,"50-60",(IF(ifood_data[[#All],[Age]]&gt;40,"40-50",(IF(ifood_data[[#All],[Age]]&gt;30,"30-40","&lt;30")))))))</f>
        <v>50-60</v>
      </c>
      <c r="AX1779">
        <f t="shared" si="108"/>
        <v>16</v>
      </c>
      <c r="AY1779">
        <f t="shared" si="109"/>
        <v>5</v>
      </c>
      <c r="AZ1779">
        <f t="shared" si="110"/>
        <v>3</v>
      </c>
      <c r="BA1779">
        <f t="shared" si="111"/>
        <v>2</v>
      </c>
      <c r="BB1779">
        <f>SUM(ifood_data[[#This Row],[Recency Score]:[Monetary Score]])</f>
        <v>10</v>
      </c>
      <c r="BC1779">
        <f>(_xlfn.PERCENTRANK.INC(ifood_data[[#All],[RFM]],ifood_data[[#This Row],[RFM]],1))*10</f>
        <v>2</v>
      </c>
      <c r="BD1779" t="str">
        <f>VLOOKUP(ifood_data[[#This Row],[RFM Score]],'RFM Analysis'!$A$3:$B$14,2,FALSE)</f>
        <v>At Risk</v>
      </c>
      <c r="BE1779">
        <f>'Regression Models'!$B$101+'Regression Models'!$B$102*ifood_data[[#This Row],[Income]]+'Regression Models'!$B$103*ifood_data[[#This Row],[Age]]+'Regression Models'!$B$104*ifood_data[[#This Row],[Family]]</f>
        <v>10.081506057258025</v>
      </c>
      <c r="BF1779" t="str">
        <f>IF(ifood_data[[#This Row],[AcceptedCmpOverall]]=1,"Campaign Respondent","Non-respondent")</f>
        <v>Non-respondent</v>
      </c>
    </row>
    <row r="1780" spans="1:58" x14ac:dyDescent="0.35">
      <c r="A1780">
        <v>993</v>
      </c>
      <c r="B1780">
        <v>28764</v>
      </c>
      <c r="C1780">
        <v>1</v>
      </c>
      <c r="D1780">
        <v>1</v>
      </c>
      <c r="E1780">
        <v>16</v>
      </c>
      <c r="F1780">
        <v>8</v>
      </c>
      <c r="G1780">
        <v>0</v>
      </c>
      <c r="H1780">
        <v>3</v>
      </c>
      <c r="I1780">
        <v>0</v>
      </c>
      <c r="J1780">
        <v>0</v>
      </c>
      <c r="K1780">
        <v>1</v>
      </c>
      <c r="L1780">
        <v>1</v>
      </c>
      <c r="M1780">
        <v>1</v>
      </c>
      <c r="N1780">
        <v>0</v>
      </c>
      <c r="O1780">
        <v>2</v>
      </c>
      <c r="P1780">
        <v>8</v>
      </c>
      <c r="Q1780">
        <v>0</v>
      </c>
      <c r="R1780">
        <v>0</v>
      </c>
      <c r="S1780">
        <v>1</v>
      </c>
      <c r="T1780">
        <v>0</v>
      </c>
      <c r="U1780">
        <v>0</v>
      </c>
      <c r="V1780">
        <f>IF(SUM(ifood_data[[#This Row],[AcceptedCmp1]:[AcceptedCmp5]])&gt;0,1,0)</f>
        <v>1</v>
      </c>
      <c r="W1780">
        <v>0</v>
      </c>
      <c r="X1780">
        <v>3</v>
      </c>
      <c r="Y1780">
        <v>11</v>
      </c>
      <c r="Z1780">
        <v>0</v>
      </c>
      <c r="AA1780">
        <v>54</v>
      </c>
      <c r="AB1780">
        <v>2183</v>
      </c>
      <c r="AC1780" s="28">
        <f>ifood_data[[#This Row],[Customer_Days]]/365</f>
        <v>5.9808219178082194</v>
      </c>
      <c r="AD1780">
        <v>0</v>
      </c>
      <c r="AE1780">
        <v>0</v>
      </c>
      <c r="AF1780">
        <v>0</v>
      </c>
      <c r="AG1780">
        <v>1</v>
      </c>
      <c r="AH1780">
        <v>0</v>
      </c>
      <c r="AI1780">
        <v>0</v>
      </c>
      <c r="AJ1780">
        <v>0</v>
      </c>
      <c r="AK1780">
        <v>0</v>
      </c>
      <c r="AL1780">
        <v>0</v>
      </c>
      <c r="AM1780">
        <v>1</v>
      </c>
      <c r="AN1780">
        <v>11</v>
      </c>
      <c r="AO1780">
        <v>10</v>
      </c>
      <c r="AP1780">
        <f>ifood_data[[#This Row],[MntTotal]]-ifood_data[[#This Row],[MntRegularProds]]</f>
        <v>1</v>
      </c>
      <c r="AQ1780">
        <v>1</v>
      </c>
      <c r="AR1780">
        <f>IF(SUM(ifood_data[[#This Row],[Kidhome]:[Teenhome]])&gt;0,1,0)</f>
        <v>1</v>
      </c>
      <c r="AS1780" t="str">
        <f>IF(SUM(ifood_data[[#This Row],[Kidhome]:[Teenhome]])&gt;0,"Has Family","No Family")</f>
        <v>Has Family</v>
      </c>
      <c r="AT1780" t="str">
        <f>IF(ifood_data[[#This Row],[marital_Married]]=1,"Married", (IF(ifood_data[[#This Row],[marital_Single]]=1,"Single",(IF(ifood_data[[#This Row],[marital_Divorced]]=1,"Divorced",(IF(ifood_data[[#This Row],[marital_Together]]=1,"Living Together",(IF(ifood_data[[#This Row],[marital_Widow]]=1,"Widow","Other")))))))))</f>
        <v>Living Together</v>
      </c>
      <c r="AU1780" t="str">
        <f>IF(ifood_data[[#This Row],[education_Basic]]=1,"High School",(IF(ifood_data[[#This Row],[education_Graduation]]=1,"Undergraduate Degree",(IF(SUM(AM1780,AL1780,AI1780)&gt;0,"Master's Degree or Higher","Other")))))</f>
        <v>Master's Degree or Higher</v>
      </c>
      <c r="AV1780" t="str">
        <f>IF(ifood_data[[#All],[Income]]&gt;75000,"75K+",(IF(ifood_data[[#All],[Income]]&gt;50000,"50K-75K",(IF(ifood_data[[#All],[Income]]&gt;35000,"35K-50K","&lt;35K")))))</f>
        <v>&lt;35K</v>
      </c>
      <c r="AW1780" t="str">
        <f>IF(ifood_data[[#All],[Age]]&gt;60,"60+",(IF(ifood_data[[#All],[Age]]&gt;50,"50-60",(IF(ifood_data[[#All],[Age]]&gt;40,"40-50",(IF(ifood_data[[#All],[Age]]&gt;30,"30-40","&lt;30")))))))</f>
        <v>50-60</v>
      </c>
      <c r="AX1780">
        <f t="shared" si="108"/>
        <v>12</v>
      </c>
      <c r="AY1780">
        <f t="shared" si="109"/>
        <v>9</v>
      </c>
      <c r="AZ1780">
        <f t="shared" si="110"/>
        <v>1</v>
      </c>
      <c r="BA1780">
        <f t="shared" si="111"/>
        <v>0</v>
      </c>
      <c r="BB1780">
        <f>SUM(ifood_data[[#This Row],[Recency Score]:[Monetary Score]])</f>
        <v>10</v>
      </c>
      <c r="BC1780">
        <f>(_xlfn.PERCENTRANK.INC(ifood_data[[#All],[RFM]],ifood_data[[#This Row],[RFM]],1))*10</f>
        <v>2</v>
      </c>
      <c r="BD1780" t="str">
        <f>VLOOKUP(ifood_data[[#This Row],[RFM Score]],'RFM Analysis'!$A$3:$B$14,2,FALSE)</f>
        <v>At Risk</v>
      </c>
      <c r="BE1780">
        <f>'Regression Models'!$B$101+'Regression Models'!$B$102*ifood_data[[#This Row],[Income]]+'Regression Models'!$B$103*ifood_data[[#This Row],[Age]]+'Regression Models'!$B$104*ifood_data[[#This Row],[Family]]</f>
        <v>9.8659292833352765</v>
      </c>
      <c r="BF1780" t="str">
        <f>IF(ifood_data[[#This Row],[AcceptedCmpOverall]]=1,"Campaign Respondent","Non-respondent")</f>
        <v>Campaign Respondent</v>
      </c>
    </row>
    <row r="1781" spans="1:58" x14ac:dyDescent="0.35">
      <c r="A1781">
        <v>1172</v>
      </c>
      <c r="B1781">
        <v>27683</v>
      </c>
      <c r="C1781">
        <v>1</v>
      </c>
      <c r="D1781">
        <v>0</v>
      </c>
      <c r="E1781">
        <v>90</v>
      </c>
      <c r="F1781">
        <v>152</v>
      </c>
      <c r="G1781">
        <v>9</v>
      </c>
      <c r="H1781">
        <v>121</v>
      </c>
      <c r="I1781">
        <v>12</v>
      </c>
      <c r="J1781">
        <v>12</v>
      </c>
      <c r="K1781">
        <v>45</v>
      </c>
      <c r="L1781">
        <v>4</v>
      </c>
      <c r="M1781">
        <v>6</v>
      </c>
      <c r="N1781">
        <v>2</v>
      </c>
      <c r="O1781">
        <v>4</v>
      </c>
      <c r="P1781">
        <v>8</v>
      </c>
      <c r="Q1781">
        <v>0</v>
      </c>
      <c r="R1781">
        <v>0</v>
      </c>
      <c r="S1781">
        <v>0</v>
      </c>
      <c r="T1781">
        <v>0</v>
      </c>
      <c r="U1781">
        <v>0</v>
      </c>
      <c r="V1781">
        <f>IF(SUM(ifood_data[[#This Row],[AcceptedCmp1]:[AcceptedCmp5]])&gt;0,1,0)</f>
        <v>0</v>
      </c>
      <c r="W1781">
        <v>0</v>
      </c>
      <c r="X1781">
        <v>3</v>
      </c>
      <c r="Y1781">
        <v>11</v>
      </c>
      <c r="Z1781">
        <v>0</v>
      </c>
      <c r="AA1781">
        <v>42</v>
      </c>
      <c r="AB1781">
        <v>2853</v>
      </c>
      <c r="AC1781" s="28">
        <f>ifood_data[[#This Row],[Customer_Days]]/365</f>
        <v>7.816438356164384</v>
      </c>
      <c r="AD1781">
        <v>0</v>
      </c>
      <c r="AE1781">
        <v>0</v>
      </c>
      <c r="AF1781">
        <v>0</v>
      </c>
      <c r="AG1781">
        <v>1</v>
      </c>
      <c r="AH1781">
        <v>0</v>
      </c>
      <c r="AI1781">
        <v>0</v>
      </c>
      <c r="AJ1781">
        <v>0</v>
      </c>
      <c r="AK1781">
        <v>0</v>
      </c>
      <c r="AL1781">
        <v>0</v>
      </c>
      <c r="AM1781">
        <v>1</v>
      </c>
      <c r="AN1781">
        <v>306</v>
      </c>
      <c r="AO1781">
        <v>261</v>
      </c>
      <c r="AP1781">
        <f>ifood_data[[#This Row],[MntTotal]]-ifood_data[[#This Row],[MntRegularProds]]</f>
        <v>45</v>
      </c>
      <c r="AQ1781">
        <v>0</v>
      </c>
      <c r="AR1781">
        <f>IF(SUM(ifood_data[[#This Row],[Kidhome]:[Teenhome]])&gt;0,1,0)</f>
        <v>1</v>
      </c>
      <c r="AS1781" t="str">
        <f>IF(SUM(ifood_data[[#This Row],[Kidhome]:[Teenhome]])&gt;0,"Has Family","No Family")</f>
        <v>Has Family</v>
      </c>
      <c r="AT1781" t="str">
        <f>IF(ifood_data[[#This Row],[marital_Married]]=1,"Married", (IF(ifood_data[[#This Row],[marital_Single]]=1,"Single",(IF(ifood_data[[#This Row],[marital_Divorced]]=1,"Divorced",(IF(ifood_data[[#This Row],[marital_Together]]=1,"Living Together",(IF(ifood_data[[#This Row],[marital_Widow]]=1,"Widow","Other")))))))))</f>
        <v>Living Together</v>
      </c>
      <c r="AU1781" t="str">
        <f>IF(ifood_data[[#This Row],[education_Basic]]=1,"High School",(IF(ifood_data[[#This Row],[education_Graduation]]=1,"Undergraduate Degree",(IF(SUM(AM1781,AL1781,AI1781)&gt;0,"Master's Degree or Higher","Other")))))</f>
        <v>Master's Degree or Higher</v>
      </c>
      <c r="AV1781" t="str">
        <f>IF(ifood_data[[#All],[Income]]&gt;75000,"75K+",(IF(ifood_data[[#All],[Income]]&gt;50000,"50K-75K",(IF(ifood_data[[#All],[Income]]&gt;35000,"35K-50K","&lt;35K")))))</f>
        <v>&lt;35K</v>
      </c>
      <c r="AW1781" t="str">
        <f>IF(ifood_data[[#All],[Age]]&gt;60,"60+",(IF(ifood_data[[#All],[Age]]&gt;50,"50-60",(IF(ifood_data[[#All],[Age]]&gt;40,"40-50",(IF(ifood_data[[#All],[Age]]&gt;30,"30-40","&lt;30")))))))</f>
        <v>40-50</v>
      </c>
      <c r="AX1781">
        <f t="shared" si="108"/>
        <v>24</v>
      </c>
      <c r="AY1781">
        <f t="shared" si="109"/>
        <v>0.99999999999999978</v>
      </c>
      <c r="AZ1781">
        <f t="shared" si="110"/>
        <v>6</v>
      </c>
      <c r="BA1781">
        <f t="shared" si="111"/>
        <v>4</v>
      </c>
      <c r="BB1781">
        <f>SUM(ifood_data[[#This Row],[Recency Score]:[Monetary Score]])</f>
        <v>11</v>
      </c>
      <c r="BC1781">
        <f>(_xlfn.PERCENTRANK.INC(ifood_data[[#All],[RFM]],ifood_data[[#This Row],[RFM]],1))*10</f>
        <v>2</v>
      </c>
      <c r="BD1781" t="str">
        <f>VLOOKUP(ifood_data[[#This Row],[RFM Score]],'RFM Analysis'!$A$3:$B$14,2,FALSE)</f>
        <v>At Risk</v>
      </c>
      <c r="BE1781">
        <f>'Regression Models'!$B$101+'Regression Models'!$B$102*ifood_data[[#This Row],[Income]]+'Regression Models'!$B$103*ifood_data[[#This Row],[Age]]+'Regression Models'!$B$104*ifood_data[[#This Row],[Family]]</f>
        <v>9.8629398665119652</v>
      </c>
      <c r="BF1781" t="str">
        <f>IF(ifood_data[[#This Row],[AcceptedCmpOverall]]=1,"Campaign Respondent","Non-respondent")</f>
        <v>Non-respondent</v>
      </c>
    </row>
    <row r="1782" spans="1:58" x14ac:dyDescent="0.35">
      <c r="A1782">
        <v>996</v>
      </c>
      <c r="B1782">
        <v>27100</v>
      </c>
      <c r="C1782">
        <v>1</v>
      </c>
      <c r="D1782">
        <v>0</v>
      </c>
      <c r="E1782">
        <v>64</v>
      </c>
      <c r="F1782">
        <v>12</v>
      </c>
      <c r="G1782">
        <v>0</v>
      </c>
      <c r="H1782">
        <v>13</v>
      </c>
      <c r="I1782">
        <v>2</v>
      </c>
      <c r="J1782">
        <v>0</v>
      </c>
      <c r="K1782">
        <v>10</v>
      </c>
      <c r="L1782">
        <v>1</v>
      </c>
      <c r="M1782">
        <v>1</v>
      </c>
      <c r="N1782">
        <v>0</v>
      </c>
      <c r="O1782">
        <v>3</v>
      </c>
      <c r="P1782">
        <v>7</v>
      </c>
      <c r="Q1782">
        <v>0</v>
      </c>
      <c r="R1782">
        <v>0</v>
      </c>
      <c r="S1782">
        <v>0</v>
      </c>
      <c r="T1782">
        <v>0</v>
      </c>
      <c r="U1782">
        <v>0</v>
      </c>
      <c r="V1782">
        <f>IF(SUM(ifood_data[[#This Row],[AcceptedCmp1]:[AcceptedCmp5]])&gt;0,1,0)</f>
        <v>0</v>
      </c>
      <c r="W1782">
        <v>0</v>
      </c>
      <c r="X1782">
        <v>3</v>
      </c>
      <c r="Y1782">
        <v>11</v>
      </c>
      <c r="Z1782">
        <v>0</v>
      </c>
      <c r="AA1782">
        <v>37</v>
      </c>
      <c r="AB1782">
        <v>2609</v>
      </c>
      <c r="AC1782" s="28">
        <f>ifood_data[[#This Row],[Customer_Days]]/365</f>
        <v>7.1479452054794521</v>
      </c>
      <c r="AD1782">
        <v>0</v>
      </c>
      <c r="AE1782">
        <v>1</v>
      </c>
      <c r="AF1782">
        <v>0</v>
      </c>
      <c r="AG1782">
        <v>0</v>
      </c>
      <c r="AH1782">
        <v>0</v>
      </c>
      <c r="AI1782">
        <v>0</v>
      </c>
      <c r="AJ1782">
        <v>0</v>
      </c>
      <c r="AK1782">
        <v>0</v>
      </c>
      <c r="AL1782">
        <v>1</v>
      </c>
      <c r="AM1782">
        <v>0</v>
      </c>
      <c r="AN1782">
        <v>27</v>
      </c>
      <c r="AO1782">
        <v>17</v>
      </c>
      <c r="AP1782">
        <f>ifood_data[[#This Row],[MntTotal]]-ifood_data[[#This Row],[MntRegularProds]]</f>
        <v>10</v>
      </c>
      <c r="AQ1782">
        <v>0</v>
      </c>
      <c r="AR1782">
        <f>IF(SUM(ifood_data[[#This Row],[Kidhome]:[Teenhome]])&gt;0,1,0)</f>
        <v>1</v>
      </c>
      <c r="AS1782" t="str">
        <f>IF(SUM(ifood_data[[#This Row],[Kidhome]:[Teenhome]])&gt;0,"Has Family","No Family")</f>
        <v>Has Family</v>
      </c>
      <c r="AT1782" t="str">
        <f>IF(ifood_data[[#This Row],[marital_Married]]=1,"Married", (IF(ifood_data[[#This Row],[marital_Single]]=1,"Single",(IF(ifood_data[[#This Row],[marital_Divorced]]=1,"Divorced",(IF(ifood_data[[#This Row],[marital_Together]]=1,"Living Together",(IF(ifood_data[[#This Row],[marital_Widow]]=1,"Widow","Other")))))))))</f>
        <v>Married</v>
      </c>
      <c r="AU1782" t="str">
        <f>IF(ifood_data[[#This Row],[education_Basic]]=1,"High School",(IF(ifood_data[[#This Row],[education_Graduation]]=1,"Undergraduate Degree",(IF(SUM(AM1782,AL1782,AI1782)&gt;0,"Master's Degree or Higher","Other")))))</f>
        <v>Master's Degree or Higher</v>
      </c>
      <c r="AV1782" t="str">
        <f>IF(ifood_data[[#All],[Income]]&gt;75000,"75K+",(IF(ifood_data[[#All],[Income]]&gt;50000,"50K-75K",(IF(ifood_data[[#All],[Income]]&gt;35000,"35K-50K","&lt;35K")))))</f>
        <v>&lt;35K</v>
      </c>
      <c r="AW1782" t="str">
        <f>IF(ifood_data[[#All],[Age]]&gt;60,"60+",(IF(ifood_data[[#All],[Age]]&gt;50,"50-60",(IF(ifood_data[[#All],[Age]]&gt;40,"40-50",(IF(ifood_data[[#All],[Age]]&gt;30,"30-40","&lt;30")))))))</f>
        <v>30-40</v>
      </c>
      <c r="AX1782">
        <f t="shared" si="108"/>
        <v>12</v>
      </c>
      <c r="AY1782">
        <f t="shared" si="109"/>
        <v>4</v>
      </c>
      <c r="AZ1782">
        <f t="shared" si="110"/>
        <v>1</v>
      </c>
      <c r="BA1782">
        <f t="shared" si="111"/>
        <v>0</v>
      </c>
      <c r="BB1782">
        <f>SUM(ifood_data[[#This Row],[Recency Score]:[Monetary Score]])</f>
        <v>5</v>
      </c>
      <c r="BC1782">
        <f>(_xlfn.PERCENTRANK.INC(ifood_data[[#All],[RFM]],ifood_data[[#This Row],[RFM]],1))*10</f>
        <v>0</v>
      </c>
      <c r="BD1782" t="str">
        <f>VLOOKUP(ifood_data[[#This Row],[RFM Score]],'RFM Analysis'!$A$3:$B$14,2,FALSE)</f>
        <v>Lost</v>
      </c>
      <c r="BE1782">
        <f>'Regression Models'!$B$101+'Regression Models'!$B$102*ifood_data[[#This Row],[Income]]+'Regression Models'!$B$103*ifood_data[[#This Row],[Age]]+'Regression Models'!$B$104*ifood_data[[#This Row],[Family]]</f>
        <v>7.1584834330903391</v>
      </c>
      <c r="BF1782" t="str">
        <f>IF(ifood_data[[#This Row],[AcceptedCmpOverall]]=1,"Campaign Respondent","Non-respondent")</f>
        <v>Non-respondent</v>
      </c>
    </row>
    <row r="1783" spans="1:58" x14ac:dyDescent="0.35">
      <c r="A1783">
        <v>1328</v>
      </c>
      <c r="B1783">
        <v>28164</v>
      </c>
      <c r="C1783">
        <v>1</v>
      </c>
      <c r="D1783">
        <v>0</v>
      </c>
      <c r="E1783">
        <v>23</v>
      </c>
      <c r="F1783">
        <v>3</v>
      </c>
      <c r="G1783">
        <v>18</v>
      </c>
      <c r="H1783">
        <v>26</v>
      </c>
      <c r="I1783">
        <v>11</v>
      </c>
      <c r="J1783">
        <v>8</v>
      </c>
      <c r="K1783">
        <v>12</v>
      </c>
      <c r="L1783">
        <v>3</v>
      </c>
      <c r="M1783">
        <v>2</v>
      </c>
      <c r="N1783">
        <v>0</v>
      </c>
      <c r="O1783">
        <v>4</v>
      </c>
      <c r="P1783">
        <v>7</v>
      </c>
      <c r="Q1783">
        <v>0</v>
      </c>
      <c r="R1783">
        <v>0</v>
      </c>
      <c r="S1783">
        <v>0</v>
      </c>
      <c r="T1783">
        <v>0</v>
      </c>
      <c r="U1783">
        <v>0</v>
      </c>
      <c r="V1783">
        <f>IF(SUM(ifood_data[[#This Row],[AcceptedCmp1]:[AcceptedCmp5]])&gt;0,1,0)</f>
        <v>0</v>
      </c>
      <c r="W1783">
        <v>0</v>
      </c>
      <c r="X1783">
        <v>3</v>
      </c>
      <c r="Y1783">
        <v>11</v>
      </c>
      <c r="Z1783">
        <v>0</v>
      </c>
      <c r="AA1783">
        <v>50</v>
      </c>
      <c r="AB1783">
        <v>2580</v>
      </c>
      <c r="AC1783" s="28">
        <f>ifood_data[[#This Row],[Customer_Days]]/365</f>
        <v>7.0684931506849313</v>
      </c>
      <c r="AD1783">
        <v>0</v>
      </c>
      <c r="AE1783">
        <v>1</v>
      </c>
      <c r="AF1783">
        <v>0</v>
      </c>
      <c r="AG1783">
        <v>0</v>
      </c>
      <c r="AH1783">
        <v>0</v>
      </c>
      <c r="AI1783">
        <v>0</v>
      </c>
      <c r="AJ1783">
        <v>0</v>
      </c>
      <c r="AK1783">
        <v>1</v>
      </c>
      <c r="AL1783">
        <v>0</v>
      </c>
      <c r="AM1783">
        <v>0</v>
      </c>
      <c r="AN1783">
        <v>66</v>
      </c>
      <c r="AO1783">
        <v>54</v>
      </c>
      <c r="AP1783">
        <f>ifood_data[[#This Row],[MntTotal]]-ifood_data[[#This Row],[MntRegularProds]]</f>
        <v>12</v>
      </c>
      <c r="AQ1783">
        <v>0</v>
      </c>
      <c r="AR1783">
        <f>IF(SUM(ifood_data[[#This Row],[Kidhome]:[Teenhome]])&gt;0,1,0)</f>
        <v>1</v>
      </c>
      <c r="AS1783" t="str">
        <f>IF(SUM(ifood_data[[#This Row],[Kidhome]:[Teenhome]])&gt;0,"Has Family","No Family")</f>
        <v>Has Family</v>
      </c>
      <c r="AT1783" t="str">
        <f>IF(ifood_data[[#This Row],[marital_Married]]=1,"Married", (IF(ifood_data[[#This Row],[marital_Single]]=1,"Single",(IF(ifood_data[[#This Row],[marital_Divorced]]=1,"Divorced",(IF(ifood_data[[#This Row],[marital_Together]]=1,"Living Together",(IF(ifood_data[[#This Row],[marital_Widow]]=1,"Widow","Other")))))))))</f>
        <v>Married</v>
      </c>
      <c r="AU1783" t="str">
        <f>IF(ifood_data[[#This Row],[education_Basic]]=1,"High School",(IF(ifood_data[[#This Row],[education_Graduation]]=1,"Undergraduate Degree",(IF(SUM(AM1783,AL1783,AI1783)&gt;0,"Master's Degree or Higher","Other")))))</f>
        <v>Undergraduate Degree</v>
      </c>
      <c r="AV1783" t="str">
        <f>IF(ifood_data[[#All],[Income]]&gt;75000,"75K+",(IF(ifood_data[[#All],[Income]]&gt;50000,"50K-75K",(IF(ifood_data[[#All],[Income]]&gt;35000,"35K-50K","&lt;35K")))))</f>
        <v>&lt;35K</v>
      </c>
      <c r="AW1783" t="str">
        <f>IF(ifood_data[[#All],[Age]]&gt;60,"60+",(IF(ifood_data[[#All],[Age]]&gt;50,"50-60",(IF(ifood_data[[#All],[Age]]&gt;40,"40-50",(IF(ifood_data[[#All],[Age]]&gt;30,"30-40","&lt;30")))))))</f>
        <v>40-50</v>
      </c>
      <c r="AX1783">
        <f t="shared" si="108"/>
        <v>16</v>
      </c>
      <c r="AY1783">
        <f t="shared" si="109"/>
        <v>8</v>
      </c>
      <c r="AZ1783">
        <f t="shared" si="110"/>
        <v>3</v>
      </c>
      <c r="BA1783">
        <f t="shared" si="111"/>
        <v>2</v>
      </c>
      <c r="BB1783">
        <f>SUM(ifood_data[[#This Row],[Recency Score]:[Monetary Score]])</f>
        <v>13</v>
      </c>
      <c r="BC1783">
        <f>(_xlfn.PERCENTRANK.INC(ifood_data[[#All],[RFM]],ifood_data[[#This Row],[RFM]],1))*10</f>
        <v>3</v>
      </c>
      <c r="BD1783" t="str">
        <f>VLOOKUP(ifood_data[[#This Row],[RFM Score]],'RFM Analysis'!$A$3:$B$14,2,FALSE)</f>
        <v>At Risk</v>
      </c>
      <c r="BE1783">
        <f>'Regression Models'!$B$101+'Regression Models'!$B$102*ifood_data[[#This Row],[Income]]+'Regression Models'!$B$103*ifood_data[[#This Row],[Age]]+'Regression Models'!$B$104*ifood_data[[#This Row],[Family]]</f>
        <v>4.9784247125730872</v>
      </c>
      <c r="BF1783" t="str">
        <f>IF(ifood_data[[#This Row],[AcceptedCmpOverall]]=1,"Campaign Respondent","Non-respondent")</f>
        <v>Non-respondent</v>
      </c>
    </row>
    <row r="1784" spans="1:58" x14ac:dyDescent="0.35">
      <c r="A1784">
        <v>1825</v>
      </c>
      <c r="B1784">
        <v>28420</v>
      </c>
      <c r="C1784">
        <v>1</v>
      </c>
      <c r="D1784">
        <v>0</v>
      </c>
      <c r="E1784">
        <v>36</v>
      </c>
      <c r="F1784">
        <v>4</v>
      </c>
      <c r="G1784">
        <v>2</v>
      </c>
      <c r="H1784">
        <v>5</v>
      </c>
      <c r="I1784">
        <v>2</v>
      </c>
      <c r="J1784">
        <v>0</v>
      </c>
      <c r="K1784">
        <v>0</v>
      </c>
      <c r="L1784">
        <v>1</v>
      </c>
      <c r="M1784">
        <v>1</v>
      </c>
      <c r="N1784">
        <v>0</v>
      </c>
      <c r="O1784">
        <v>2</v>
      </c>
      <c r="P1784">
        <v>6</v>
      </c>
      <c r="Q1784">
        <v>0</v>
      </c>
      <c r="R1784">
        <v>0</v>
      </c>
      <c r="S1784">
        <v>0</v>
      </c>
      <c r="T1784">
        <v>0</v>
      </c>
      <c r="U1784">
        <v>0</v>
      </c>
      <c r="V1784">
        <f>IF(SUM(ifood_data[[#This Row],[AcceptedCmp1]:[AcceptedCmp5]])&gt;0,1,0)</f>
        <v>0</v>
      </c>
      <c r="W1784">
        <v>0</v>
      </c>
      <c r="X1784">
        <v>3</v>
      </c>
      <c r="Y1784">
        <v>11</v>
      </c>
      <c r="Z1784">
        <v>0</v>
      </c>
      <c r="AA1784">
        <v>53</v>
      </c>
      <c r="AB1784">
        <v>2346</v>
      </c>
      <c r="AC1784" s="28">
        <f>ifood_data[[#This Row],[Customer_Days]]/365</f>
        <v>6.4273972602739722</v>
      </c>
      <c r="AD1784">
        <v>1</v>
      </c>
      <c r="AE1784">
        <v>0</v>
      </c>
      <c r="AF1784">
        <v>0</v>
      </c>
      <c r="AG1784">
        <v>0</v>
      </c>
      <c r="AH1784">
        <v>0</v>
      </c>
      <c r="AI1784">
        <v>0</v>
      </c>
      <c r="AJ1784">
        <v>0</v>
      </c>
      <c r="AK1784">
        <v>0</v>
      </c>
      <c r="AL1784">
        <v>0</v>
      </c>
      <c r="AM1784">
        <v>1</v>
      </c>
      <c r="AN1784">
        <v>13</v>
      </c>
      <c r="AO1784">
        <v>13</v>
      </c>
      <c r="AP1784">
        <f>ifood_data[[#This Row],[MntTotal]]-ifood_data[[#This Row],[MntRegularProds]]</f>
        <v>0</v>
      </c>
      <c r="AQ1784">
        <v>0</v>
      </c>
      <c r="AR1784">
        <f>IF(SUM(ifood_data[[#This Row],[Kidhome]:[Teenhome]])&gt;0,1,0)</f>
        <v>1</v>
      </c>
      <c r="AS1784" t="str">
        <f>IF(SUM(ifood_data[[#This Row],[Kidhome]:[Teenhome]])&gt;0,"Has Family","No Family")</f>
        <v>Has Family</v>
      </c>
      <c r="AT1784" t="str">
        <f>IF(ifood_data[[#This Row],[marital_Married]]=1,"Married", (IF(ifood_data[[#This Row],[marital_Single]]=1,"Single",(IF(ifood_data[[#This Row],[marital_Divorced]]=1,"Divorced",(IF(ifood_data[[#This Row],[marital_Together]]=1,"Living Together",(IF(ifood_data[[#This Row],[marital_Widow]]=1,"Widow","Other")))))))))</f>
        <v>Divorced</v>
      </c>
      <c r="AU1784" t="str">
        <f>IF(ifood_data[[#This Row],[education_Basic]]=1,"High School",(IF(ifood_data[[#This Row],[education_Graduation]]=1,"Undergraduate Degree",(IF(SUM(AM1784,AL1784,AI1784)&gt;0,"Master's Degree or Higher","Other")))))</f>
        <v>Master's Degree or Higher</v>
      </c>
      <c r="AV1784" t="str">
        <f>IF(ifood_data[[#All],[Income]]&gt;75000,"75K+",(IF(ifood_data[[#All],[Income]]&gt;50000,"50K-75K",(IF(ifood_data[[#All],[Income]]&gt;35000,"35K-50K","&lt;35K")))))</f>
        <v>&lt;35K</v>
      </c>
      <c r="AW1784" t="str">
        <f>IF(ifood_data[[#All],[Age]]&gt;60,"60+",(IF(ifood_data[[#All],[Age]]&gt;50,"50-60",(IF(ifood_data[[#All],[Age]]&gt;40,"40-50",(IF(ifood_data[[#All],[Age]]&gt;30,"30-40","&lt;30")))))))</f>
        <v>50-60</v>
      </c>
      <c r="AX1784">
        <f t="shared" si="108"/>
        <v>10</v>
      </c>
      <c r="AY1784">
        <f t="shared" si="109"/>
        <v>7</v>
      </c>
      <c r="AZ1784">
        <f t="shared" si="110"/>
        <v>0</v>
      </c>
      <c r="BA1784">
        <f t="shared" si="111"/>
        <v>0</v>
      </c>
      <c r="BB1784">
        <f>SUM(ifood_data[[#This Row],[Recency Score]:[Monetary Score]])</f>
        <v>7</v>
      </c>
      <c r="BC1784">
        <f>(_xlfn.PERCENTRANK.INC(ifood_data[[#All],[RFM]],ifood_data[[#This Row],[RFM]],1))*10</f>
        <v>1</v>
      </c>
      <c r="BD1784" t="str">
        <f>VLOOKUP(ifood_data[[#This Row],[RFM Score]],'RFM Analysis'!$A$3:$B$14,2,FALSE)</f>
        <v>At Risk</v>
      </c>
      <c r="BE1784">
        <f>'Regression Models'!$B$101+'Regression Models'!$B$102*ifood_data[[#This Row],[Income]]+'Regression Models'!$B$103*ifood_data[[#This Row],[Age]]+'Regression Models'!$B$104*ifood_data[[#This Row],[Family]]</f>
        <v>4.6886321207283572</v>
      </c>
      <c r="BF1784" t="str">
        <f>IF(ifood_data[[#This Row],[AcceptedCmpOverall]]=1,"Campaign Respondent","Non-respondent")</f>
        <v>Non-respondent</v>
      </c>
    </row>
    <row r="1785" spans="1:58" x14ac:dyDescent="0.35">
      <c r="A1785">
        <v>1891</v>
      </c>
      <c r="B1785">
        <v>27803</v>
      </c>
      <c r="C1785">
        <v>1</v>
      </c>
      <c r="D1785">
        <v>0</v>
      </c>
      <c r="E1785">
        <v>40</v>
      </c>
      <c r="F1785">
        <v>8</v>
      </c>
      <c r="G1785">
        <v>26</v>
      </c>
      <c r="H1785">
        <v>46</v>
      </c>
      <c r="I1785">
        <v>38</v>
      </c>
      <c r="J1785">
        <v>9</v>
      </c>
      <c r="K1785">
        <v>49</v>
      </c>
      <c r="L1785">
        <v>2</v>
      </c>
      <c r="M1785">
        <v>3</v>
      </c>
      <c r="N1785">
        <v>0</v>
      </c>
      <c r="O1785">
        <v>4</v>
      </c>
      <c r="P1785">
        <v>8</v>
      </c>
      <c r="Q1785">
        <v>0</v>
      </c>
      <c r="R1785">
        <v>0</v>
      </c>
      <c r="S1785">
        <v>0</v>
      </c>
      <c r="T1785">
        <v>0</v>
      </c>
      <c r="U1785">
        <v>0</v>
      </c>
      <c r="V1785">
        <f>IF(SUM(ifood_data[[#This Row],[AcceptedCmp1]:[AcceptedCmp5]])&gt;0,1,0)</f>
        <v>0</v>
      </c>
      <c r="W1785">
        <v>0</v>
      </c>
      <c r="X1785">
        <v>3</v>
      </c>
      <c r="Y1785">
        <v>11</v>
      </c>
      <c r="Z1785">
        <v>0</v>
      </c>
      <c r="AA1785">
        <v>47</v>
      </c>
      <c r="AB1785">
        <v>2831</v>
      </c>
      <c r="AC1785" s="28">
        <f>ifood_data[[#This Row],[Customer_Days]]/365</f>
        <v>7.7561643835616438</v>
      </c>
      <c r="AD1785">
        <v>0</v>
      </c>
      <c r="AE1785">
        <v>1</v>
      </c>
      <c r="AF1785">
        <v>0</v>
      </c>
      <c r="AG1785">
        <v>0</v>
      </c>
      <c r="AH1785">
        <v>0</v>
      </c>
      <c r="AI1785">
        <v>0</v>
      </c>
      <c r="AJ1785">
        <v>0</v>
      </c>
      <c r="AK1785">
        <v>1</v>
      </c>
      <c r="AL1785">
        <v>0</v>
      </c>
      <c r="AM1785">
        <v>0</v>
      </c>
      <c r="AN1785">
        <v>127</v>
      </c>
      <c r="AO1785">
        <v>78</v>
      </c>
      <c r="AP1785">
        <f>ifood_data[[#This Row],[MntTotal]]-ifood_data[[#This Row],[MntRegularProds]]</f>
        <v>49</v>
      </c>
      <c r="AQ1785">
        <v>0</v>
      </c>
      <c r="AR1785">
        <f>IF(SUM(ifood_data[[#This Row],[Kidhome]:[Teenhome]])&gt;0,1,0)</f>
        <v>1</v>
      </c>
      <c r="AS1785" t="str">
        <f>IF(SUM(ifood_data[[#This Row],[Kidhome]:[Teenhome]])&gt;0,"Has Family","No Family")</f>
        <v>Has Family</v>
      </c>
      <c r="AT1785" t="str">
        <f>IF(ifood_data[[#This Row],[marital_Married]]=1,"Married", (IF(ifood_data[[#This Row],[marital_Single]]=1,"Single",(IF(ifood_data[[#This Row],[marital_Divorced]]=1,"Divorced",(IF(ifood_data[[#This Row],[marital_Together]]=1,"Living Together",(IF(ifood_data[[#This Row],[marital_Widow]]=1,"Widow","Other")))))))))</f>
        <v>Married</v>
      </c>
      <c r="AU1785" t="str">
        <f>IF(ifood_data[[#This Row],[education_Basic]]=1,"High School",(IF(ifood_data[[#This Row],[education_Graduation]]=1,"Undergraduate Degree",(IF(SUM(AM1785,AL1785,AI1785)&gt;0,"Master's Degree or Higher","Other")))))</f>
        <v>Undergraduate Degree</v>
      </c>
      <c r="AV1785" t="str">
        <f>IF(ifood_data[[#All],[Income]]&gt;75000,"75K+",(IF(ifood_data[[#All],[Income]]&gt;50000,"50K-75K",(IF(ifood_data[[#All],[Income]]&gt;35000,"35K-50K","&lt;35K")))))</f>
        <v>&lt;35K</v>
      </c>
      <c r="AW1785" t="str">
        <f>IF(ifood_data[[#All],[Age]]&gt;60,"60+",(IF(ifood_data[[#All],[Age]]&gt;50,"50-60",(IF(ifood_data[[#All],[Age]]&gt;40,"40-50",(IF(ifood_data[[#All],[Age]]&gt;30,"30-40","&lt;30")))))))</f>
        <v>40-50</v>
      </c>
      <c r="AX1785">
        <f t="shared" si="108"/>
        <v>17</v>
      </c>
      <c r="AY1785">
        <f t="shared" si="109"/>
        <v>6</v>
      </c>
      <c r="AZ1785">
        <f t="shared" si="110"/>
        <v>3</v>
      </c>
      <c r="BA1785">
        <f t="shared" si="111"/>
        <v>3</v>
      </c>
      <c r="BB1785">
        <f>SUM(ifood_data[[#This Row],[Recency Score]:[Monetary Score]])</f>
        <v>12</v>
      </c>
      <c r="BC1785">
        <f>(_xlfn.PERCENTRANK.INC(ifood_data[[#All],[RFM]],ifood_data[[#This Row],[RFM]],1))*10</f>
        <v>3</v>
      </c>
      <c r="BD1785" t="str">
        <f>VLOOKUP(ifood_data[[#This Row],[RFM Score]],'RFM Analysis'!$A$3:$B$14,2,FALSE)</f>
        <v>At Risk</v>
      </c>
      <c r="BE1785">
        <f>'Regression Models'!$B$101+'Regression Models'!$B$102*ifood_data[[#This Row],[Income]]+'Regression Models'!$B$103*ifood_data[[#This Row],[Age]]+'Regression Models'!$B$104*ifood_data[[#This Row],[Family]]</f>
        <v>3.1273966493083662</v>
      </c>
      <c r="BF1785" t="str">
        <f>IF(ifood_data[[#This Row],[AcceptedCmpOverall]]=1,"Campaign Respondent","Non-respondent")</f>
        <v>Non-respondent</v>
      </c>
    </row>
    <row r="1786" spans="1:58" x14ac:dyDescent="0.35">
      <c r="A1786">
        <v>1251</v>
      </c>
      <c r="B1786">
        <v>27244</v>
      </c>
      <c r="C1786">
        <v>1</v>
      </c>
      <c r="D1786">
        <v>0</v>
      </c>
      <c r="E1786">
        <v>84</v>
      </c>
      <c r="F1786">
        <v>6</v>
      </c>
      <c r="G1786">
        <v>5</v>
      </c>
      <c r="H1786">
        <v>17</v>
      </c>
      <c r="I1786">
        <v>3</v>
      </c>
      <c r="J1786">
        <v>24</v>
      </c>
      <c r="K1786">
        <v>46</v>
      </c>
      <c r="L1786">
        <v>2</v>
      </c>
      <c r="M1786">
        <v>2</v>
      </c>
      <c r="N1786">
        <v>2</v>
      </c>
      <c r="O1786">
        <v>2</v>
      </c>
      <c r="P1786">
        <v>7</v>
      </c>
      <c r="Q1786">
        <v>0</v>
      </c>
      <c r="R1786">
        <v>0</v>
      </c>
      <c r="S1786">
        <v>0</v>
      </c>
      <c r="T1786">
        <v>0</v>
      </c>
      <c r="U1786">
        <v>0</v>
      </c>
      <c r="V1786">
        <f>IF(SUM(ifood_data[[#This Row],[AcceptedCmp1]:[AcceptedCmp5]])&gt;0,1,0)</f>
        <v>0</v>
      </c>
      <c r="W1786">
        <v>0</v>
      </c>
      <c r="X1786">
        <v>3</v>
      </c>
      <c r="Y1786">
        <v>11</v>
      </c>
      <c r="Z1786">
        <v>0</v>
      </c>
      <c r="AA1786">
        <v>41</v>
      </c>
      <c r="AB1786">
        <v>2273</v>
      </c>
      <c r="AC1786" s="28">
        <f>ifood_data[[#This Row],[Customer_Days]]/365</f>
        <v>6.2273972602739729</v>
      </c>
      <c r="AD1786">
        <v>0</v>
      </c>
      <c r="AE1786">
        <v>1</v>
      </c>
      <c r="AF1786">
        <v>0</v>
      </c>
      <c r="AG1786">
        <v>0</v>
      </c>
      <c r="AH1786">
        <v>0</v>
      </c>
      <c r="AI1786">
        <v>0</v>
      </c>
      <c r="AJ1786">
        <v>0</v>
      </c>
      <c r="AK1786">
        <v>1</v>
      </c>
      <c r="AL1786">
        <v>0</v>
      </c>
      <c r="AM1786">
        <v>0</v>
      </c>
      <c r="AN1786">
        <v>55</v>
      </c>
      <c r="AO1786">
        <v>9</v>
      </c>
      <c r="AP1786">
        <f>ifood_data[[#This Row],[MntTotal]]-ifood_data[[#This Row],[MntRegularProds]]</f>
        <v>46</v>
      </c>
      <c r="AQ1786">
        <v>0</v>
      </c>
      <c r="AR1786">
        <f>IF(SUM(ifood_data[[#This Row],[Kidhome]:[Teenhome]])&gt;0,1,0)</f>
        <v>1</v>
      </c>
      <c r="AS1786" t="str">
        <f>IF(SUM(ifood_data[[#This Row],[Kidhome]:[Teenhome]])&gt;0,"Has Family","No Family")</f>
        <v>Has Family</v>
      </c>
      <c r="AT1786" t="str">
        <f>IF(ifood_data[[#This Row],[marital_Married]]=1,"Married", (IF(ifood_data[[#This Row],[marital_Single]]=1,"Single",(IF(ifood_data[[#This Row],[marital_Divorced]]=1,"Divorced",(IF(ifood_data[[#This Row],[marital_Together]]=1,"Living Together",(IF(ifood_data[[#This Row],[marital_Widow]]=1,"Widow","Other")))))))))</f>
        <v>Married</v>
      </c>
      <c r="AU1786" t="str">
        <f>IF(ifood_data[[#This Row],[education_Basic]]=1,"High School",(IF(ifood_data[[#This Row],[education_Graduation]]=1,"Undergraduate Degree",(IF(SUM(AM1786,AL1786,AI1786)&gt;0,"Master's Degree or Higher","Other")))))</f>
        <v>Undergraduate Degree</v>
      </c>
      <c r="AV1786" t="str">
        <f>IF(ifood_data[[#All],[Income]]&gt;75000,"75K+",(IF(ifood_data[[#All],[Income]]&gt;50000,"50K-75K",(IF(ifood_data[[#All],[Income]]&gt;35000,"35K-50K","&lt;35K")))))</f>
        <v>&lt;35K</v>
      </c>
      <c r="AW1786" t="str">
        <f>IF(ifood_data[[#All],[Age]]&gt;60,"60+",(IF(ifood_data[[#All],[Age]]&gt;50,"50-60",(IF(ifood_data[[#All],[Age]]&gt;40,"40-50",(IF(ifood_data[[#All],[Age]]&gt;30,"30-40","&lt;30")))))))</f>
        <v>40-50</v>
      </c>
      <c r="AX1786">
        <f t="shared" si="108"/>
        <v>15</v>
      </c>
      <c r="AY1786">
        <f t="shared" si="109"/>
        <v>1.9999999999999996</v>
      </c>
      <c r="AZ1786">
        <f t="shared" si="110"/>
        <v>2</v>
      </c>
      <c r="BA1786">
        <f t="shared" si="111"/>
        <v>2</v>
      </c>
      <c r="BB1786">
        <f>SUM(ifood_data[[#This Row],[Recency Score]:[Monetary Score]])</f>
        <v>6</v>
      </c>
      <c r="BC1786">
        <f>(_xlfn.PERCENTRANK.INC(ifood_data[[#All],[RFM]],ifood_data[[#This Row],[RFM]],1))*10</f>
        <v>0</v>
      </c>
      <c r="BD1786" t="str">
        <f>VLOOKUP(ifood_data[[#This Row],[RFM Score]],'RFM Analysis'!$A$3:$B$14,2,FALSE)</f>
        <v>Lost</v>
      </c>
      <c r="BE1786">
        <f>'Regression Models'!$B$101+'Regression Models'!$B$102*ifood_data[[#This Row],[Income]]+'Regression Models'!$B$103*ifood_data[[#This Row],[Age]]+'Regression Models'!$B$104*ifood_data[[#This Row],[Family]]</f>
        <v>2.7487097302346228</v>
      </c>
      <c r="BF1786" t="str">
        <f>IF(ifood_data[[#This Row],[AcceptedCmpOverall]]=1,"Campaign Respondent","Non-respondent")</f>
        <v>Non-respondent</v>
      </c>
    </row>
    <row r="1787" spans="1:58" x14ac:dyDescent="0.35">
      <c r="A1787">
        <v>1541</v>
      </c>
      <c r="B1787">
        <v>27573</v>
      </c>
      <c r="C1787">
        <v>1</v>
      </c>
      <c r="D1787">
        <v>0</v>
      </c>
      <c r="E1787">
        <v>45</v>
      </c>
      <c r="F1787">
        <v>50</v>
      </c>
      <c r="G1787">
        <v>15</v>
      </c>
      <c r="H1787">
        <v>110</v>
      </c>
      <c r="I1787">
        <v>39</v>
      </c>
      <c r="J1787">
        <v>15</v>
      </c>
      <c r="K1787">
        <v>15</v>
      </c>
      <c r="L1787">
        <v>4</v>
      </c>
      <c r="M1787">
        <v>5</v>
      </c>
      <c r="N1787">
        <v>1</v>
      </c>
      <c r="O1787">
        <v>4</v>
      </c>
      <c r="P1787">
        <v>8</v>
      </c>
      <c r="Q1787">
        <v>0</v>
      </c>
      <c r="R1787">
        <v>0</v>
      </c>
      <c r="S1787">
        <v>0</v>
      </c>
      <c r="T1787">
        <v>0</v>
      </c>
      <c r="U1787">
        <v>0</v>
      </c>
      <c r="V1787">
        <f>IF(SUM(ifood_data[[#This Row],[AcceptedCmp1]:[AcceptedCmp5]])&gt;0,1,0)</f>
        <v>0</v>
      </c>
      <c r="W1787">
        <v>0</v>
      </c>
      <c r="X1787">
        <v>3</v>
      </c>
      <c r="Y1787">
        <v>11</v>
      </c>
      <c r="Z1787">
        <v>0</v>
      </c>
      <c r="AA1787">
        <v>45</v>
      </c>
      <c r="AB1787">
        <v>2620</v>
      </c>
      <c r="AC1787" s="28">
        <f>ifood_data[[#This Row],[Customer_Days]]/365</f>
        <v>7.1780821917808222</v>
      </c>
      <c r="AD1787">
        <v>0</v>
      </c>
      <c r="AE1787">
        <v>1</v>
      </c>
      <c r="AF1787">
        <v>0</v>
      </c>
      <c r="AG1787">
        <v>0</v>
      </c>
      <c r="AH1787">
        <v>0</v>
      </c>
      <c r="AI1787">
        <v>0</v>
      </c>
      <c r="AJ1787">
        <v>0</v>
      </c>
      <c r="AK1787">
        <v>1</v>
      </c>
      <c r="AL1787">
        <v>0</v>
      </c>
      <c r="AM1787">
        <v>0</v>
      </c>
      <c r="AN1787">
        <v>229</v>
      </c>
      <c r="AO1787">
        <v>214</v>
      </c>
      <c r="AP1787">
        <f>ifood_data[[#This Row],[MntTotal]]-ifood_data[[#This Row],[MntRegularProds]]</f>
        <v>15</v>
      </c>
      <c r="AQ1787">
        <v>0</v>
      </c>
      <c r="AR1787">
        <f>IF(SUM(ifood_data[[#This Row],[Kidhome]:[Teenhome]])&gt;0,1,0)</f>
        <v>1</v>
      </c>
      <c r="AS1787" t="str">
        <f>IF(SUM(ifood_data[[#This Row],[Kidhome]:[Teenhome]])&gt;0,"Has Family","No Family")</f>
        <v>Has Family</v>
      </c>
      <c r="AT1787" t="str">
        <f>IF(ifood_data[[#This Row],[marital_Married]]=1,"Married", (IF(ifood_data[[#This Row],[marital_Single]]=1,"Single",(IF(ifood_data[[#This Row],[marital_Divorced]]=1,"Divorced",(IF(ifood_data[[#This Row],[marital_Together]]=1,"Living Together",(IF(ifood_data[[#This Row],[marital_Widow]]=1,"Widow","Other")))))))))</f>
        <v>Married</v>
      </c>
      <c r="AU1787" t="str">
        <f>IF(ifood_data[[#This Row],[education_Basic]]=1,"High School",(IF(ifood_data[[#This Row],[education_Graduation]]=1,"Undergraduate Degree",(IF(SUM(AM1787,AL1787,AI1787)&gt;0,"Master's Degree or Higher","Other")))))</f>
        <v>Undergraduate Degree</v>
      </c>
      <c r="AV1787" t="str">
        <f>IF(ifood_data[[#All],[Income]]&gt;75000,"75K+",(IF(ifood_data[[#All],[Income]]&gt;50000,"50K-75K",(IF(ifood_data[[#All],[Income]]&gt;35000,"35K-50K","&lt;35K")))))</f>
        <v>&lt;35K</v>
      </c>
      <c r="AW1787" t="str">
        <f>IF(ifood_data[[#All],[Age]]&gt;60,"60+",(IF(ifood_data[[#All],[Age]]&gt;50,"50-60",(IF(ifood_data[[#All],[Age]]&gt;40,"40-50",(IF(ifood_data[[#All],[Age]]&gt;30,"30-40","&lt;30")))))))</f>
        <v>40-50</v>
      </c>
      <c r="AX1787">
        <f t="shared" si="108"/>
        <v>22</v>
      </c>
      <c r="AY1787">
        <f t="shared" si="109"/>
        <v>6</v>
      </c>
      <c r="AZ1787">
        <f t="shared" si="110"/>
        <v>5</v>
      </c>
      <c r="BA1787">
        <f t="shared" si="111"/>
        <v>4</v>
      </c>
      <c r="BB1787">
        <f>SUM(ifood_data[[#This Row],[Recency Score]:[Monetary Score]])</f>
        <v>15</v>
      </c>
      <c r="BC1787">
        <f>(_xlfn.PERCENTRANK.INC(ifood_data[[#All],[RFM]],ifood_data[[#This Row],[RFM]],1))*10</f>
        <v>4</v>
      </c>
      <c r="BD1787" t="str">
        <f>VLOOKUP(ifood_data[[#This Row],[RFM Score]],'RFM Analysis'!$A$3:$B$14,2,FALSE)</f>
        <v>At Risk</v>
      </c>
      <c r="BE1787">
        <f>'Regression Models'!$B$101+'Regression Models'!$B$102*ifood_data[[#This Row],[Income]]+'Regression Models'!$B$103*ifood_data[[#This Row],[Age]]+'Regression Models'!$B$104*ifood_data[[#This Row],[Family]]</f>
        <v>2.110858134000182</v>
      </c>
      <c r="BF1787" t="str">
        <f>IF(ifood_data[[#This Row],[AcceptedCmpOverall]]=1,"Campaign Respondent","Non-respondent")</f>
        <v>Non-respondent</v>
      </c>
    </row>
    <row r="1788" spans="1:58" x14ac:dyDescent="0.35">
      <c r="A1788">
        <v>1085</v>
      </c>
      <c r="B1788">
        <v>26576</v>
      </c>
      <c r="C1788">
        <v>1</v>
      </c>
      <c r="D1788">
        <v>0</v>
      </c>
      <c r="E1788">
        <v>40</v>
      </c>
      <c r="F1788">
        <v>10</v>
      </c>
      <c r="G1788">
        <v>0</v>
      </c>
      <c r="H1788">
        <v>8</v>
      </c>
      <c r="I1788">
        <v>0</v>
      </c>
      <c r="J1788">
        <v>0</v>
      </c>
      <c r="K1788">
        <v>9</v>
      </c>
      <c r="L1788">
        <v>1</v>
      </c>
      <c r="M1788">
        <v>1</v>
      </c>
      <c r="N1788">
        <v>0</v>
      </c>
      <c r="O1788">
        <v>2</v>
      </c>
      <c r="P1788">
        <v>9</v>
      </c>
      <c r="Q1788">
        <v>0</v>
      </c>
      <c r="R1788">
        <v>0</v>
      </c>
      <c r="S1788">
        <v>1</v>
      </c>
      <c r="T1788">
        <v>0</v>
      </c>
      <c r="U1788">
        <v>0</v>
      </c>
      <c r="V1788">
        <f>IF(SUM(ifood_data[[#This Row],[AcceptedCmp1]:[AcceptedCmp5]])&gt;0,1,0)</f>
        <v>1</v>
      </c>
      <c r="W1788">
        <v>0</v>
      </c>
      <c r="X1788">
        <v>3</v>
      </c>
      <c r="Y1788">
        <v>11</v>
      </c>
      <c r="Z1788">
        <v>1</v>
      </c>
      <c r="AA1788">
        <v>34</v>
      </c>
      <c r="AB1788">
        <v>2783</v>
      </c>
      <c r="AC1788" s="28">
        <f>ifood_data[[#This Row],[Customer_Days]]/365</f>
        <v>7.624657534246575</v>
      </c>
      <c r="AD1788">
        <v>0</v>
      </c>
      <c r="AE1788">
        <v>0</v>
      </c>
      <c r="AF1788">
        <v>1</v>
      </c>
      <c r="AG1788">
        <v>0</v>
      </c>
      <c r="AH1788">
        <v>0</v>
      </c>
      <c r="AI1788">
        <v>0</v>
      </c>
      <c r="AJ1788">
        <v>0</v>
      </c>
      <c r="AK1788">
        <v>1</v>
      </c>
      <c r="AL1788">
        <v>0</v>
      </c>
      <c r="AM1788">
        <v>0</v>
      </c>
      <c r="AN1788">
        <v>18</v>
      </c>
      <c r="AO1788">
        <v>9</v>
      </c>
      <c r="AP1788">
        <f>ifood_data[[#This Row],[MntTotal]]-ifood_data[[#This Row],[MntRegularProds]]</f>
        <v>9</v>
      </c>
      <c r="AQ1788">
        <v>1</v>
      </c>
      <c r="AR1788">
        <f>IF(SUM(ifood_data[[#This Row],[Kidhome]:[Teenhome]])&gt;0,1,0)</f>
        <v>1</v>
      </c>
      <c r="AS1788" t="str">
        <f>IF(SUM(ifood_data[[#This Row],[Kidhome]:[Teenhome]])&gt;0,"Has Family","No Family")</f>
        <v>Has Family</v>
      </c>
      <c r="AT1788" t="str">
        <f>IF(ifood_data[[#This Row],[marital_Married]]=1,"Married", (IF(ifood_data[[#This Row],[marital_Single]]=1,"Single",(IF(ifood_data[[#This Row],[marital_Divorced]]=1,"Divorced",(IF(ifood_data[[#This Row],[marital_Together]]=1,"Living Together",(IF(ifood_data[[#This Row],[marital_Widow]]=1,"Widow","Other")))))))))</f>
        <v>Single</v>
      </c>
      <c r="AU1788" t="str">
        <f>IF(ifood_data[[#This Row],[education_Basic]]=1,"High School",(IF(ifood_data[[#This Row],[education_Graduation]]=1,"Undergraduate Degree",(IF(SUM(AM1788,AL1788,AI1788)&gt;0,"Master's Degree or Higher","Other")))))</f>
        <v>Undergraduate Degree</v>
      </c>
      <c r="AV1788" t="str">
        <f>IF(ifood_data[[#All],[Income]]&gt;75000,"75K+",(IF(ifood_data[[#All],[Income]]&gt;50000,"50K-75K",(IF(ifood_data[[#All],[Income]]&gt;35000,"35K-50K","&lt;35K")))))</f>
        <v>&lt;35K</v>
      </c>
      <c r="AW1788" t="str">
        <f>IF(ifood_data[[#All],[Age]]&gt;60,"60+",(IF(ifood_data[[#All],[Age]]&gt;50,"50-60",(IF(ifood_data[[#All],[Age]]&gt;40,"40-50",(IF(ifood_data[[#All],[Age]]&gt;30,"30-40","&lt;30")))))))</f>
        <v>30-40</v>
      </c>
      <c r="AX1788">
        <f t="shared" si="108"/>
        <v>13</v>
      </c>
      <c r="AY1788">
        <f t="shared" si="109"/>
        <v>6</v>
      </c>
      <c r="AZ1788">
        <f t="shared" si="110"/>
        <v>1</v>
      </c>
      <c r="BA1788">
        <f t="shared" si="111"/>
        <v>0</v>
      </c>
      <c r="BB1788">
        <f>SUM(ifood_data[[#This Row],[Recency Score]:[Monetary Score]])</f>
        <v>7</v>
      </c>
      <c r="BC1788">
        <f>(_xlfn.PERCENTRANK.INC(ifood_data[[#All],[RFM]],ifood_data[[#This Row],[RFM]],1))*10</f>
        <v>1</v>
      </c>
      <c r="BD1788" t="str">
        <f>VLOOKUP(ifood_data[[#This Row],[RFM Score]],'RFM Analysis'!$A$3:$B$14,2,FALSE)</f>
        <v>At Risk</v>
      </c>
      <c r="BE1788">
        <f>'Regression Models'!$B$101+'Regression Models'!$B$102*ifood_data[[#This Row],[Income]]+'Regression Models'!$B$103*ifood_data[[#This Row],[Age]]+'Regression Models'!$B$104*ifood_data[[#This Row],[Family]]</f>
        <v>1.9840861623701471</v>
      </c>
      <c r="BF1788" t="str">
        <f>IF(ifood_data[[#This Row],[AcceptedCmpOverall]]=1,"Campaign Respondent","Non-respondent")</f>
        <v>Campaign Respondent</v>
      </c>
    </row>
    <row r="1789" spans="1:58" x14ac:dyDescent="0.35">
      <c r="A1789">
        <v>4</v>
      </c>
      <c r="B1789">
        <v>26646</v>
      </c>
      <c r="C1789">
        <v>1</v>
      </c>
      <c r="D1789">
        <v>0</v>
      </c>
      <c r="E1789">
        <v>26</v>
      </c>
      <c r="F1789">
        <v>11</v>
      </c>
      <c r="G1789">
        <v>4</v>
      </c>
      <c r="H1789">
        <v>20</v>
      </c>
      <c r="I1789">
        <v>10</v>
      </c>
      <c r="J1789">
        <v>3</v>
      </c>
      <c r="K1789">
        <v>5</v>
      </c>
      <c r="L1789">
        <v>2</v>
      </c>
      <c r="M1789">
        <v>2</v>
      </c>
      <c r="N1789">
        <v>0</v>
      </c>
      <c r="O1789">
        <v>4</v>
      </c>
      <c r="P1789">
        <v>6</v>
      </c>
      <c r="Q1789">
        <v>0</v>
      </c>
      <c r="R1789">
        <v>0</v>
      </c>
      <c r="S1789">
        <v>0</v>
      </c>
      <c r="T1789">
        <v>0</v>
      </c>
      <c r="U1789">
        <v>0</v>
      </c>
      <c r="V1789">
        <f>IF(SUM(ifood_data[[#This Row],[AcceptedCmp1]:[AcceptedCmp5]])&gt;0,1,0)</f>
        <v>0</v>
      </c>
      <c r="W1789">
        <v>0</v>
      </c>
      <c r="X1789">
        <v>3</v>
      </c>
      <c r="Y1789">
        <v>11</v>
      </c>
      <c r="Z1789">
        <v>0</v>
      </c>
      <c r="AA1789">
        <v>36</v>
      </c>
      <c r="AB1789">
        <v>2298</v>
      </c>
      <c r="AC1789" s="28">
        <f>ifood_data[[#This Row],[Customer_Days]]/365</f>
        <v>6.2958904109589042</v>
      </c>
      <c r="AD1789">
        <v>0</v>
      </c>
      <c r="AE1789">
        <v>0</v>
      </c>
      <c r="AF1789">
        <v>0</v>
      </c>
      <c r="AG1789">
        <v>1</v>
      </c>
      <c r="AH1789">
        <v>0</v>
      </c>
      <c r="AI1789">
        <v>0</v>
      </c>
      <c r="AJ1789">
        <v>0</v>
      </c>
      <c r="AK1789">
        <v>1</v>
      </c>
      <c r="AL1789">
        <v>0</v>
      </c>
      <c r="AM1789">
        <v>0</v>
      </c>
      <c r="AN1789">
        <v>48</v>
      </c>
      <c r="AO1789">
        <v>43</v>
      </c>
      <c r="AP1789">
        <f>ifood_data[[#This Row],[MntTotal]]-ifood_data[[#This Row],[MntRegularProds]]</f>
        <v>5</v>
      </c>
      <c r="AQ1789">
        <v>0</v>
      </c>
      <c r="AR1789">
        <f>IF(SUM(ifood_data[[#This Row],[Kidhome]:[Teenhome]])&gt;0,1,0)</f>
        <v>1</v>
      </c>
      <c r="AS1789" t="str">
        <f>IF(SUM(ifood_data[[#This Row],[Kidhome]:[Teenhome]])&gt;0,"Has Family","No Family")</f>
        <v>Has Family</v>
      </c>
      <c r="AT1789" t="str">
        <f>IF(ifood_data[[#This Row],[marital_Married]]=1,"Married", (IF(ifood_data[[#This Row],[marital_Single]]=1,"Single",(IF(ifood_data[[#This Row],[marital_Divorced]]=1,"Divorced",(IF(ifood_data[[#This Row],[marital_Together]]=1,"Living Together",(IF(ifood_data[[#This Row],[marital_Widow]]=1,"Widow","Other")))))))))</f>
        <v>Living Together</v>
      </c>
      <c r="AU1789" t="str">
        <f>IF(ifood_data[[#This Row],[education_Basic]]=1,"High School",(IF(ifood_data[[#This Row],[education_Graduation]]=1,"Undergraduate Degree",(IF(SUM(AM1789,AL1789,AI1789)&gt;0,"Master's Degree or Higher","Other")))))</f>
        <v>Undergraduate Degree</v>
      </c>
      <c r="AV1789" t="str">
        <f>IF(ifood_data[[#All],[Income]]&gt;75000,"75K+",(IF(ifood_data[[#All],[Income]]&gt;50000,"50K-75K",(IF(ifood_data[[#All],[Income]]&gt;35000,"35K-50K","&lt;35K")))))</f>
        <v>&lt;35K</v>
      </c>
      <c r="AW1789" t="str">
        <f>IF(ifood_data[[#All],[Age]]&gt;60,"60+",(IF(ifood_data[[#All],[Age]]&gt;50,"50-60",(IF(ifood_data[[#All],[Age]]&gt;40,"40-50",(IF(ifood_data[[#All],[Age]]&gt;30,"30-40","&lt;30")))))))</f>
        <v>30-40</v>
      </c>
      <c r="AX1789">
        <f t="shared" si="108"/>
        <v>14</v>
      </c>
      <c r="AY1789">
        <f t="shared" si="109"/>
        <v>8</v>
      </c>
      <c r="AZ1789">
        <f t="shared" si="110"/>
        <v>2</v>
      </c>
      <c r="BA1789">
        <f t="shared" si="111"/>
        <v>2</v>
      </c>
      <c r="BB1789">
        <f>SUM(ifood_data[[#This Row],[Recency Score]:[Monetary Score]])</f>
        <v>12</v>
      </c>
      <c r="BC1789">
        <f>(_xlfn.PERCENTRANK.INC(ifood_data[[#All],[RFM]],ifood_data[[#This Row],[RFM]],1))*10</f>
        <v>3</v>
      </c>
      <c r="BD1789" t="str">
        <f>VLOOKUP(ifood_data[[#This Row],[RFM Score]],'RFM Analysis'!$A$3:$B$14,2,FALSE)</f>
        <v>At Risk</v>
      </c>
      <c r="BE1789">
        <f>'Regression Models'!$B$101+'Regression Models'!$B$102*ifood_data[[#This Row],[Income]]+'Regression Models'!$B$103*ifood_data[[#This Row],[Age]]+'Regression Models'!$B$104*ifood_data[[#This Row],[Family]]</f>
        <v>-0.26157822534554498</v>
      </c>
      <c r="BF1789" t="str">
        <f>IF(ifood_data[[#This Row],[AcceptedCmpOverall]]=1,"Campaign Respondent","Non-respondent")</f>
        <v>Non-respondent</v>
      </c>
    </row>
    <row r="1790" spans="1:58" x14ac:dyDescent="0.35">
      <c r="A1790">
        <v>491</v>
      </c>
      <c r="B1790">
        <v>26095</v>
      </c>
      <c r="C1790">
        <v>1</v>
      </c>
      <c r="D1790">
        <v>0</v>
      </c>
      <c r="E1790">
        <v>77</v>
      </c>
      <c r="F1790">
        <v>11</v>
      </c>
      <c r="G1790">
        <v>7</v>
      </c>
      <c r="H1790">
        <v>9</v>
      </c>
      <c r="I1790">
        <v>3</v>
      </c>
      <c r="J1790">
        <v>1</v>
      </c>
      <c r="K1790">
        <v>11</v>
      </c>
      <c r="L1790">
        <v>1</v>
      </c>
      <c r="M1790">
        <v>1</v>
      </c>
      <c r="N1790">
        <v>0</v>
      </c>
      <c r="O1790">
        <v>3</v>
      </c>
      <c r="P1790">
        <v>7</v>
      </c>
      <c r="Q1790">
        <v>0</v>
      </c>
      <c r="R1790">
        <v>0</v>
      </c>
      <c r="S1790">
        <v>0</v>
      </c>
      <c r="T1790">
        <v>0</v>
      </c>
      <c r="U1790">
        <v>0</v>
      </c>
      <c r="V1790">
        <f>IF(SUM(ifood_data[[#This Row],[AcceptedCmp1]:[AcceptedCmp5]])&gt;0,1,0)</f>
        <v>0</v>
      </c>
      <c r="W1790">
        <v>0</v>
      </c>
      <c r="X1790">
        <v>3</v>
      </c>
      <c r="Y1790">
        <v>11</v>
      </c>
      <c r="Z1790">
        <v>0</v>
      </c>
      <c r="AA1790">
        <v>30</v>
      </c>
      <c r="AB1790">
        <v>2523</v>
      </c>
      <c r="AC1790" s="28">
        <f>ifood_data[[#This Row],[Customer_Days]]/365</f>
        <v>6.912328767123288</v>
      </c>
      <c r="AD1790">
        <v>0</v>
      </c>
      <c r="AE1790">
        <v>0</v>
      </c>
      <c r="AF1790">
        <v>1</v>
      </c>
      <c r="AG1790">
        <v>0</v>
      </c>
      <c r="AH1790">
        <v>0</v>
      </c>
      <c r="AI1790">
        <v>0</v>
      </c>
      <c r="AJ1790">
        <v>0</v>
      </c>
      <c r="AK1790">
        <v>1</v>
      </c>
      <c r="AL1790">
        <v>0</v>
      </c>
      <c r="AM1790">
        <v>0</v>
      </c>
      <c r="AN1790">
        <v>31</v>
      </c>
      <c r="AO1790">
        <v>20</v>
      </c>
      <c r="AP1790">
        <f>ifood_data[[#This Row],[MntTotal]]-ifood_data[[#This Row],[MntRegularProds]]</f>
        <v>11</v>
      </c>
      <c r="AQ1790">
        <v>0</v>
      </c>
      <c r="AR1790">
        <f>IF(SUM(ifood_data[[#This Row],[Kidhome]:[Teenhome]])&gt;0,1,0)</f>
        <v>1</v>
      </c>
      <c r="AS1790" t="str">
        <f>IF(SUM(ifood_data[[#This Row],[Kidhome]:[Teenhome]])&gt;0,"Has Family","No Family")</f>
        <v>Has Family</v>
      </c>
      <c r="AT1790" t="str">
        <f>IF(ifood_data[[#This Row],[marital_Married]]=1,"Married", (IF(ifood_data[[#This Row],[marital_Single]]=1,"Single",(IF(ifood_data[[#This Row],[marital_Divorced]]=1,"Divorced",(IF(ifood_data[[#This Row],[marital_Together]]=1,"Living Together",(IF(ifood_data[[#This Row],[marital_Widow]]=1,"Widow","Other")))))))))</f>
        <v>Single</v>
      </c>
      <c r="AU1790" t="str">
        <f>IF(ifood_data[[#This Row],[education_Basic]]=1,"High School",(IF(ifood_data[[#This Row],[education_Graduation]]=1,"Undergraduate Degree",(IF(SUM(AM1790,AL1790,AI1790)&gt;0,"Master's Degree or Higher","Other")))))</f>
        <v>Undergraduate Degree</v>
      </c>
      <c r="AV1790" t="str">
        <f>IF(ifood_data[[#All],[Income]]&gt;75000,"75K+",(IF(ifood_data[[#All],[Income]]&gt;50000,"50K-75K",(IF(ifood_data[[#All],[Income]]&gt;35000,"35K-50K","&lt;35K")))))</f>
        <v>&lt;35K</v>
      </c>
      <c r="AW1790" t="str">
        <f>IF(ifood_data[[#All],[Age]]&gt;60,"60+",(IF(ifood_data[[#All],[Age]]&gt;50,"50-60",(IF(ifood_data[[#All],[Age]]&gt;40,"40-50",(IF(ifood_data[[#All],[Age]]&gt;30,"30-40","&lt;30")))))))</f>
        <v>&lt;30</v>
      </c>
      <c r="AX1790">
        <f t="shared" si="108"/>
        <v>12</v>
      </c>
      <c r="AY1790">
        <f t="shared" si="109"/>
        <v>3.0000000000000004</v>
      </c>
      <c r="AZ1790">
        <f t="shared" si="110"/>
        <v>1</v>
      </c>
      <c r="BA1790">
        <f t="shared" si="111"/>
        <v>1</v>
      </c>
      <c r="BB1790">
        <f>SUM(ifood_data[[#This Row],[Recency Score]:[Monetary Score]])</f>
        <v>5</v>
      </c>
      <c r="BC1790">
        <f>(_xlfn.PERCENTRANK.INC(ifood_data[[#All],[RFM]],ifood_data[[#This Row],[RFM]],1))*10</f>
        <v>0</v>
      </c>
      <c r="BD1790" t="str">
        <f>VLOOKUP(ifood_data[[#This Row],[RFM Score]],'RFM Analysis'!$A$3:$B$14,2,FALSE)</f>
        <v>Lost</v>
      </c>
      <c r="BE1790">
        <f>'Regression Models'!$B$101+'Regression Models'!$B$102*ifood_data[[#This Row],[Income]]+'Regression Models'!$B$103*ifood_data[[#This Row],[Age]]+'Regression Models'!$B$104*ifood_data[[#This Row],[Family]]</f>
        <v>-0.47715499926817984</v>
      </c>
      <c r="BF1790" t="str">
        <f>IF(ifood_data[[#This Row],[AcceptedCmpOverall]]=1,"Campaign Respondent","Non-respondent")</f>
        <v>Non-respondent</v>
      </c>
    </row>
    <row r="1791" spans="1:58" x14ac:dyDescent="0.35">
      <c r="A1791">
        <v>1839</v>
      </c>
      <c r="B1791">
        <v>27943</v>
      </c>
      <c r="C1791">
        <v>1</v>
      </c>
      <c r="D1791">
        <v>1</v>
      </c>
      <c r="E1791">
        <v>89</v>
      </c>
      <c r="F1791">
        <v>12</v>
      </c>
      <c r="G1791">
        <v>1</v>
      </c>
      <c r="H1791">
        <v>16</v>
      </c>
      <c r="I1791">
        <v>4</v>
      </c>
      <c r="J1791">
        <v>1</v>
      </c>
      <c r="K1791">
        <v>3</v>
      </c>
      <c r="L1791">
        <v>3</v>
      </c>
      <c r="M1791">
        <v>2</v>
      </c>
      <c r="N1791">
        <v>0</v>
      </c>
      <c r="O1791">
        <v>3</v>
      </c>
      <c r="P1791">
        <v>8</v>
      </c>
      <c r="Q1791">
        <v>0</v>
      </c>
      <c r="R1791">
        <v>0</v>
      </c>
      <c r="S1791">
        <v>0</v>
      </c>
      <c r="T1791">
        <v>0</v>
      </c>
      <c r="U1791">
        <v>0</v>
      </c>
      <c r="V1791">
        <f>IF(SUM(ifood_data[[#This Row],[AcceptedCmp1]:[AcceptedCmp5]])&gt;0,1,0)</f>
        <v>0</v>
      </c>
      <c r="W1791">
        <v>0</v>
      </c>
      <c r="X1791">
        <v>3</v>
      </c>
      <c r="Y1791">
        <v>11</v>
      </c>
      <c r="Z1791">
        <v>0</v>
      </c>
      <c r="AA1791">
        <v>53</v>
      </c>
      <c r="AB1791">
        <v>2599</v>
      </c>
      <c r="AC1791" s="28">
        <f>ifood_data[[#This Row],[Customer_Days]]/365</f>
        <v>7.1205479452054794</v>
      </c>
      <c r="AD1791">
        <v>0</v>
      </c>
      <c r="AE1791">
        <v>0</v>
      </c>
      <c r="AF1791">
        <v>0</v>
      </c>
      <c r="AG1791">
        <v>1</v>
      </c>
      <c r="AH1791">
        <v>0</v>
      </c>
      <c r="AI1791">
        <v>0</v>
      </c>
      <c r="AJ1791">
        <v>0</v>
      </c>
      <c r="AK1791">
        <v>1</v>
      </c>
      <c r="AL1791">
        <v>0</v>
      </c>
      <c r="AM1791">
        <v>0</v>
      </c>
      <c r="AN1791">
        <v>34</v>
      </c>
      <c r="AO1791">
        <v>31</v>
      </c>
      <c r="AP1791">
        <f>ifood_data[[#This Row],[MntTotal]]-ifood_data[[#This Row],[MntRegularProds]]</f>
        <v>3</v>
      </c>
      <c r="AQ1791">
        <v>0</v>
      </c>
      <c r="AR1791">
        <f>IF(SUM(ifood_data[[#This Row],[Kidhome]:[Teenhome]])&gt;0,1,0)</f>
        <v>1</v>
      </c>
      <c r="AS1791" t="str">
        <f>IF(SUM(ifood_data[[#This Row],[Kidhome]:[Teenhome]])&gt;0,"Has Family","No Family")</f>
        <v>Has Family</v>
      </c>
      <c r="AT1791" t="str">
        <f>IF(ifood_data[[#This Row],[marital_Married]]=1,"Married", (IF(ifood_data[[#This Row],[marital_Single]]=1,"Single",(IF(ifood_data[[#This Row],[marital_Divorced]]=1,"Divorced",(IF(ifood_data[[#This Row],[marital_Together]]=1,"Living Together",(IF(ifood_data[[#This Row],[marital_Widow]]=1,"Widow","Other")))))))))</f>
        <v>Living Together</v>
      </c>
      <c r="AU1791" t="str">
        <f>IF(ifood_data[[#This Row],[education_Basic]]=1,"High School",(IF(ifood_data[[#This Row],[education_Graduation]]=1,"Undergraduate Degree",(IF(SUM(AM1791,AL1791,AI1791)&gt;0,"Master's Degree or Higher","Other")))))</f>
        <v>Undergraduate Degree</v>
      </c>
      <c r="AV1791" t="str">
        <f>IF(ifood_data[[#All],[Income]]&gt;75000,"75K+",(IF(ifood_data[[#All],[Income]]&gt;50000,"50K-75K",(IF(ifood_data[[#All],[Income]]&gt;35000,"35K-50K","&lt;35K")))))</f>
        <v>&lt;35K</v>
      </c>
      <c r="AW1791" t="str">
        <f>IF(ifood_data[[#All],[Age]]&gt;60,"60+",(IF(ifood_data[[#All],[Age]]&gt;50,"50-60",(IF(ifood_data[[#All],[Age]]&gt;40,"40-50",(IF(ifood_data[[#All],[Age]]&gt;30,"30-40","&lt;30")))))))</f>
        <v>50-60</v>
      </c>
      <c r="AX1791">
        <f t="shared" si="108"/>
        <v>16</v>
      </c>
      <c r="AY1791">
        <f t="shared" si="109"/>
        <v>1.9999999999999996</v>
      </c>
      <c r="AZ1791">
        <f t="shared" si="110"/>
        <v>3</v>
      </c>
      <c r="BA1791">
        <f t="shared" si="111"/>
        <v>1</v>
      </c>
      <c r="BB1791">
        <f>SUM(ifood_data[[#This Row],[Recency Score]:[Monetary Score]])</f>
        <v>6</v>
      </c>
      <c r="BC1791">
        <f>(_xlfn.PERCENTRANK.INC(ifood_data[[#All],[RFM]],ifood_data[[#This Row],[RFM]],1))*10</f>
        <v>0</v>
      </c>
      <c r="BD1791" t="str">
        <f>VLOOKUP(ifood_data[[#This Row],[RFM Score]],'RFM Analysis'!$A$3:$B$14,2,FALSE)</f>
        <v>Lost</v>
      </c>
      <c r="BE1791">
        <f>'Regression Models'!$B$101+'Regression Models'!$B$102*ifood_data[[#This Row],[Income]]+'Regression Models'!$B$103*ifood_data[[#This Row],[Age]]+'Regression Models'!$B$104*ifood_data[[#This Row],[Family]]</f>
        <v>-5.0368102839113362</v>
      </c>
      <c r="BF1791" t="str">
        <f>IF(ifood_data[[#This Row],[AcceptedCmpOverall]]=1,"Campaign Respondent","Non-respondent")</f>
        <v>Non-respondent</v>
      </c>
    </row>
    <row r="1792" spans="1:58" x14ac:dyDescent="0.35">
      <c r="A1792">
        <v>1642</v>
      </c>
      <c r="B1792">
        <v>28520</v>
      </c>
      <c r="C1792">
        <v>1</v>
      </c>
      <c r="D1792">
        <v>1</v>
      </c>
      <c r="E1792">
        <v>55</v>
      </c>
      <c r="F1792">
        <v>11</v>
      </c>
      <c r="G1792">
        <v>0</v>
      </c>
      <c r="H1792">
        <v>10</v>
      </c>
      <c r="I1792">
        <v>0</v>
      </c>
      <c r="J1792">
        <v>2</v>
      </c>
      <c r="K1792">
        <v>20</v>
      </c>
      <c r="L1792">
        <v>1</v>
      </c>
      <c r="M1792">
        <v>1</v>
      </c>
      <c r="N1792">
        <v>1</v>
      </c>
      <c r="O1792">
        <v>2</v>
      </c>
      <c r="P1792">
        <v>6</v>
      </c>
      <c r="Q1792">
        <v>0</v>
      </c>
      <c r="R1792">
        <v>0</v>
      </c>
      <c r="S1792">
        <v>0</v>
      </c>
      <c r="T1792">
        <v>0</v>
      </c>
      <c r="U1792">
        <v>0</v>
      </c>
      <c r="V1792">
        <f>IF(SUM(ifood_data[[#This Row],[AcceptedCmp1]:[AcceptedCmp5]])&gt;0,1,0)</f>
        <v>0</v>
      </c>
      <c r="W1792">
        <v>0</v>
      </c>
      <c r="X1792">
        <v>3</v>
      </c>
      <c r="Y1792">
        <v>11</v>
      </c>
      <c r="Z1792">
        <v>0</v>
      </c>
      <c r="AA1792">
        <v>60</v>
      </c>
      <c r="AB1792">
        <v>2539</v>
      </c>
      <c r="AC1792" s="28">
        <f>ifood_data[[#This Row],[Customer_Days]]/365</f>
        <v>6.956164383561644</v>
      </c>
      <c r="AD1792">
        <v>0</v>
      </c>
      <c r="AE1792">
        <v>1</v>
      </c>
      <c r="AF1792">
        <v>0</v>
      </c>
      <c r="AG1792">
        <v>0</v>
      </c>
      <c r="AH1792">
        <v>0</v>
      </c>
      <c r="AI1792">
        <v>0</v>
      </c>
      <c r="AJ1792">
        <v>0</v>
      </c>
      <c r="AK1792">
        <v>0</v>
      </c>
      <c r="AL1792">
        <v>1</v>
      </c>
      <c r="AM1792">
        <v>0</v>
      </c>
      <c r="AN1792">
        <v>23</v>
      </c>
      <c r="AO1792">
        <v>3</v>
      </c>
      <c r="AP1792">
        <f>ifood_data[[#This Row],[MntTotal]]-ifood_data[[#This Row],[MntRegularProds]]</f>
        <v>20</v>
      </c>
      <c r="AQ1792">
        <v>0</v>
      </c>
      <c r="AR1792">
        <f>IF(SUM(ifood_data[[#This Row],[Kidhome]:[Teenhome]])&gt;0,1,0)</f>
        <v>1</v>
      </c>
      <c r="AS1792" t="str">
        <f>IF(SUM(ifood_data[[#This Row],[Kidhome]:[Teenhome]])&gt;0,"Has Family","No Family")</f>
        <v>Has Family</v>
      </c>
      <c r="AT1792" t="str">
        <f>IF(ifood_data[[#This Row],[marital_Married]]=1,"Married", (IF(ifood_data[[#This Row],[marital_Single]]=1,"Single",(IF(ifood_data[[#This Row],[marital_Divorced]]=1,"Divorced",(IF(ifood_data[[#This Row],[marital_Together]]=1,"Living Together",(IF(ifood_data[[#This Row],[marital_Widow]]=1,"Widow","Other")))))))))</f>
        <v>Married</v>
      </c>
      <c r="AU1792" t="str">
        <f>IF(ifood_data[[#This Row],[education_Basic]]=1,"High School",(IF(ifood_data[[#This Row],[education_Graduation]]=1,"Undergraduate Degree",(IF(SUM(AM1792,AL1792,AI1792)&gt;0,"Master's Degree or Higher","Other")))))</f>
        <v>Master's Degree or Higher</v>
      </c>
      <c r="AV1792" t="str">
        <f>IF(ifood_data[[#All],[Income]]&gt;75000,"75K+",(IF(ifood_data[[#All],[Income]]&gt;50000,"50K-75K",(IF(ifood_data[[#All],[Income]]&gt;35000,"35K-50K","&lt;35K")))))</f>
        <v>&lt;35K</v>
      </c>
      <c r="AW1792" t="str">
        <f>IF(ifood_data[[#All],[Age]]&gt;60,"60+",(IF(ifood_data[[#All],[Age]]&gt;50,"50-60",(IF(ifood_data[[#All],[Age]]&gt;40,"40-50",(IF(ifood_data[[#All],[Age]]&gt;30,"30-40","&lt;30")))))))</f>
        <v>50-60</v>
      </c>
      <c r="AX1792">
        <f t="shared" si="108"/>
        <v>11</v>
      </c>
      <c r="AY1792">
        <f t="shared" si="109"/>
        <v>5</v>
      </c>
      <c r="AZ1792">
        <f t="shared" si="110"/>
        <v>0</v>
      </c>
      <c r="BA1792">
        <f t="shared" si="111"/>
        <v>0</v>
      </c>
      <c r="BB1792">
        <f>SUM(ifood_data[[#This Row],[Recency Score]:[Monetary Score]])</f>
        <v>5</v>
      </c>
      <c r="BC1792">
        <f>(_xlfn.PERCENTRANK.INC(ifood_data[[#All],[RFM]],ifood_data[[#This Row],[RFM]],1))*10</f>
        <v>0</v>
      </c>
      <c r="BD1792" t="str">
        <f>VLOOKUP(ifood_data[[#This Row],[RFM Score]],'RFM Analysis'!$A$3:$B$14,2,FALSE)</f>
        <v>Lost</v>
      </c>
      <c r="BE1792">
        <f>'Regression Models'!$B$101+'Regression Models'!$B$102*ifood_data[[#This Row],[Income]]+'Regression Models'!$B$103*ifood_data[[#This Row],[Age]]+'Regression Models'!$B$104*ifood_data[[#This Row],[Family]]</f>
        <v>-6.1275646171416156</v>
      </c>
      <c r="BF1792" t="str">
        <f>IF(ifood_data[[#This Row],[AcceptedCmpOverall]]=1,"Campaign Respondent","Non-respondent")</f>
        <v>Non-respondent</v>
      </c>
    </row>
    <row r="1793" spans="1:58" x14ac:dyDescent="0.35">
      <c r="A1793">
        <v>629</v>
      </c>
      <c r="B1793">
        <v>14661</v>
      </c>
      <c r="C1793">
        <v>0</v>
      </c>
      <c r="D1793">
        <v>0</v>
      </c>
      <c r="E1793">
        <v>88</v>
      </c>
      <c r="F1793">
        <v>4</v>
      </c>
      <c r="G1793">
        <v>1</v>
      </c>
      <c r="H1793">
        <v>11</v>
      </c>
      <c r="I1793">
        <v>6</v>
      </c>
      <c r="J1793">
        <v>2</v>
      </c>
      <c r="K1793">
        <v>2</v>
      </c>
      <c r="L1793">
        <v>1</v>
      </c>
      <c r="M1793">
        <v>1</v>
      </c>
      <c r="N1793">
        <v>0</v>
      </c>
      <c r="O1793">
        <v>3</v>
      </c>
      <c r="P1793">
        <v>6</v>
      </c>
      <c r="Q1793">
        <v>0</v>
      </c>
      <c r="R1793">
        <v>0</v>
      </c>
      <c r="S1793">
        <v>0</v>
      </c>
      <c r="T1793">
        <v>0</v>
      </c>
      <c r="U1793">
        <v>0</v>
      </c>
      <c r="V1793">
        <f>IF(SUM(ifood_data[[#This Row],[AcceptedCmp1]:[AcceptedCmp5]])&gt;0,1,0)</f>
        <v>0</v>
      </c>
      <c r="W1793">
        <v>0</v>
      </c>
      <c r="X1793">
        <v>3</v>
      </c>
      <c r="Y1793">
        <v>11</v>
      </c>
      <c r="Z1793">
        <v>0</v>
      </c>
      <c r="AA1793">
        <v>64</v>
      </c>
      <c r="AB1793">
        <v>2703</v>
      </c>
      <c r="AC1793" s="28">
        <f>ifood_data[[#This Row],[Customer_Days]]/365</f>
        <v>7.4054794520547942</v>
      </c>
      <c r="AD1793">
        <v>0</v>
      </c>
      <c r="AE1793">
        <v>0</v>
      </c>
      <c r="AF1793">
        <v>0</v>
      </c>
      <c r="AG1793">
        <v>1</v>
      </c>
      <c r="AH1793">
        <v>0</v>
      </c>
      <c r="AI1793">
        <v>0</v>
      </c>
      <c r="AJ1793">
        <v>0</v>
      </c>
      <c r="AK1793">
        <v>0</v>
      </c>
      <c r="AL1793">
        <v>1</v>
      </c>
      <c r="AM1793">
        <v>0</v>
      </c>
      <c r="AN1793">
        <v>24</v>
      </c>
      <c r="AO1793">
        <v>22</v>
      </c>
      <c r="AP1793">
        <f>ifood_data[[#This Row],[MntTotal]]-ifood_data[[#This Row],[MntRegularProds]]</f>
        <v>2</v>
      </c>
      <c r="AQ1793">
        <v>0</v>
      </c>
      <c r="AR1793">
        <f>IF(SUM(ifood_data[[#This Row],[Kidhome]:[Teenhome]])&gt;0,1,0)</f>
        <v>0</v>
      </c>
      <c r="AS1793" t="str">
        <f>IF(SUM(ifood_data[[#This Row],[Kidhome]:[Teenhome]])&gt;0,"Has Family","No Family")</f>
        <v>No Family</v>
      </c>
      <c r="AT1793" t="str">
        <f>IF(ifood_data[[#This Row],[marital_Married]]=1,"Married", (IF(ifood_data[[#This Row],[marital_Single]]=1,"Single",(IF(ifood_data[[#This Row],[marital_Divorced]]=1,"Divorced",(IF(ifood_data[[#This Row],[marital_Together]]=1,"Living Together",(IF(ifood_data[[#This Row],[marital_Widow]]=1,"Widow","Other")))))))))</f>
        <v>Living Together</v>
      </c>
      <c r="AU1793" t="str">
        <f>IF(ifood_data[[#This Row],[education_Basic]]=1,"High School",(IF(ifood_data[[#This Row],[education_Graduation]]=1,"Undergraduate Degree",(IF(SUM(AM1793,AL1793,AI1793)&gt;0,"Master's Degree or Higher","Other")))))</f>
        <v>Master's Degree or Higher</v>
      </c>
      <c r="AV1793" t="str">
        <f>IF(ifood_data[[#All],[Income]]&gt;75000,"75K+",(IF(ifood_data[[#All],[Income]]&gt;50000,"50K-75K",(IF(ifood_data[[#All],[Income]]&gt;35000,"35K-50K","&lt;35K")))))</f>
        <v>&lt;35K</v>
      </c>
      <c r="AW1793" t="str">
        <f>IF(ifood_data[[#All],[Age]]&gt;60,"60+",(IF(ifood_data[[#All],[Age]]&gt;50,"50-60",(IF(ifood_data[[#All],[Age]]&gt;40,"40-50",(IF(ifood_data[[#All],[Age]]&gt;30,"30-40","&lt;30")))))))</f>
        <v>60+</v>
      </c>
      <c r="AX1793">
        <f t="shared" si="108"/>
        <v>11</v>
      </c>
      <c r="AY1793">
        <f t="shared" si="109"/>
        <v>1.9999999999999996</v>
      </c>
      <c r="AZ1793">
        <f t="shared" si="110"/>
        <v>0</v>
      </c>
      <c r="BA1793">
        <f t="shared" si="111"/>
        <v>0</v>
      </c>
      <c r="BB1793">
        <f>SUM(ifood_data[[#This Row],[Recency Score]:[Monetary Score]])</f>
        <v>1.9999999999999996</v>
      </c>
      <c r="BC1793">
        <f>(_xlfn.PERCENTRANK.INC(ifood_data[[#All],[RFM]],ifood_data[[#This Row],[RFM]],1))*10</f>
        <v>0</v>
      </c>
      <c r="BD1793" t="str">
        <f>VLOOKUP(ifood_data[[#This Row],[RFM Score]],'RFM Analysis'!$A$3:$B$14,2,FALSE)</f>
        <v>Lost</v>
      </c>
      <c r="BE1793">
        <f>'Regression Models'!$B$101+'Regression Models'!$B$102*ifood_data[[#This Row],[Income]]+'Regression Models'!$B$103*ifood_data[[#This Row],[Age]]+'Regression Models'!$B$104*ifood_data[[#This Row],[Family]]</f>
        <v>-6.4276275659980939</v>
      </c>
      <c r="BF1793" t="str">
        <f>IF(ifood_data[[#This Row],[AcceptedCmpOverall]]=1,"Campaign Respondent","Non-respondent")</f>
        <v>Non-respondent</v>
      </c>
    </row>
    <row r="1794" spans="1:58" x14ac:dyDescent="0.35">
      <c r="A1794">
        <v>541</v>
      </c>
      <c r="B1794">
        <v>29298</v>
      </c>
      <c r="C1794">
        <v>1</v>
      </c>
      <c r="D1794">
        <v>1</v>
      </c>
      <c r="E1794">
        <v>60</v>
      </c>
      <c r="F1794">
        <v>6</v>
      </c>
      <c r="G1794">
        <v>0</v>
      </c>
      <c r="H1794">
        <v>2</v>
      </c>
      <c r="I1794">
        <v>2</v>
      </c>
      <c r="J1794">
        <v>0</v>
      </c>
      <c r="K1794">
        <v>1</v>
      </c>
      <c r="L1794">
        <v>1</v>
      </c>
      <c r="M1794">
        <v>1</v>
      </c>
      <c r="N1794">
        <v>0</v>
      </c>
      <c r="O1794">
        <v>2</v>
      </c>
      <c r="P1794">
        <v>5</v>
      </c>
      <c r="Q1794">
        <v>0</v>
      </c>
      <c r="R1794">
        <v>0</v>
      </c>
      <c r="S1794">
        <v>0</v>
      </c>
      <c r="T1794">
        <v>0</v>
      </c>
      <c r="U1794">
        <v>0</v>
      </c>
      <c r="V1794">
        <f>IF(SUM(ifood_data[[#This Row],[AcceptedCmp1]:[AcceptedCmp5]])&gt;0,1,0)</f>
        <v>0</v>
      </c>
      <c r="W1794">
        <v>0</v>
      </c>
      <c r="X1794">
        <v>3</v>
      </c>
      <c r="Y1794">
        <v>11</v>
      </c>
      <c r="Z1794">
        <v>0</v>
      </c>
      <c r="AA1794">
        <v>69</v>
      </c>
      <c r="AB1794">
        <v>2454</v>
      </c>
      <c r="AC1794" s="28">
        <f>ifood_data[[#This Row],[Customer_Days]]/365</f>
        <v>6.7232876712328764</v>
      </c>
      <c r="AD1794">
        <v>0</v>
      </c>
      <c r="AE1794">
        <v>0</v>
      </c>
      <c r="AF1794">
        <v>0</v>
      </c>
      <c r="AG1794">
        <v>1</v>
      </c>
      <c r="AH1794">
        <v>0</v>
      </c>
      <c r="AI1794">
        <v>0</v>
      </c>
      <c r="AJ1794">
        <v>0</v>
      </c>
      <c r="AK1794">
        <v>0</v>
      </c>
      <c r="AL1794">
        <v>1</v>
      </c>
      <c r="AM1794">
        <v>0</v>
      </c>
      <c r="AN1794">
        <v>10</v>
      </c>
      <c r="AO1794">
        <v>9</v>
      </c>
      <c r="AP1794">
        <f>ifood_data[[#This Row],[MntTotal]]-ifood_data[[#This Row],[MntRegularProds]]</f>
        <v>1</v>
      </c>
      <c r="AQ1794">
        <v>0</v>
      </c>
      <c r="AR1794">
        <f>IF(SUM(ifood_data[[#This Row],[Kidhome]:[Teenhome]])&gt;0,1,0)</f>
        <v>1</v>
      </c>
      <c r="AS1794" t="str">
        <f>IF(SUM(ifood_data[[#This Row],[Kidhome]:[Teenhome]])&gt;0,"Has Family","No Family")</f>
        <v>Has Family</v>
      </c>
      <c r="AT1794" t="str">
        <f>IF(ifood_data[[#This Row],[marital_Married]]=1,"Married", (IF(ifood_data[[#This Row],[marital_Single]]=1,"Single",(IF(ifood_data[[#This Row],[marital_Divorced]]=1,"Divorced",(IF(ifood_data[[#This Row],[marital_Together]]=1,"Living Together",(IF(ifood_data[[#This Row],[marital_Widow]]=1,"Widow","Other")))))))))</f>
        <v>Living Together</v>
      </c>
      <c r="AU1794" t="str">
        <f>IF(ifood_data[[#This Row],[education_Basic]]=1,"High School",(IF(ifood_data[[#This Row],[education_Graduation]]=1,"Undergraduate Degree",(IF(SUM(AM1794,AL1794,AI1794)&gt;0,"Master's Degree or Higher","Other")))))</f>
        <v>Master's Degree or Higher</v>
      </c>
      <c r="AV1794" t="str">
        <f>IF(ifood_data[[#All],[Income]]&gt;75000,"75K+",(IF(ifood_data[[#All],[Income]]&gt;50000,"50K-75K",(IF(ifood_data[[#All],[Income]]&gt;35000,"35K-50K","&lt;35K")))))</f>
        <v>&lt;35K</v>
      </c>
      <c r="AW1794" t="str">
        <f>IF(ifood_data[[#All],[Age]]&gt;60,"60+",(IF(ifood_data[[#All],[Age]]&gt;50,"50-60",(IF(ifood_data[[#All],[Age]]&gt;40,"40-50",(IF(ifood_data[[#All],[Age]]&gt;30,"30-40","&lt;30")))))))</f>
        <v>60+</v>
      </c>
      <c r="AX1794">
        <f t="shared" ref="AX1794:AX1857" si="112">SUM(L1794:P1794)</f>
        <v>9</v>
      </c>
      <c r="AY1794">
        <f t="shared" ref="AY1794:AY1857" si="113">(1-_xlfn.PERCENTRANK.INC($E$2:$E$2022,E1794,1))*10</f>
        <v>4</v>
      </c>
      <c r="AZ1794">
        <f t="shared" ref="AZ1794:AZ1857" si="114">_xlfn.PERCENTRANK.INC($AX$2:$AX$2022,AX1794,1)*10</f>
        <v>0</v>
      </c>
      <c r="BA1794">
        <f t="shared" ref="BA1794:BA1857" si="115">_xlfn.PERCENTRANK.INC($AN$2:$AN$2022,AN1794,1)*10</f>
        <v>0</v>
      </c>
      <c r="BB1794">
        <f>SUM(ifood_data[[#This Row],[Recency Score]:[Monetary Score]])</f>
        <v>4</v>
      </c>
      <c r="BC1794">
        <f>(_xlfn.PERCENTRANK.INC(ifood_data[[#All],[RFM]],ifood_data[[#This Row],[RFM]],1))*10</f>
        <v>0</v>
      </c>
      <c r="BD1794" t="str">
        <f>VLOOKUP(ifood_data[[#This Row],[RFM Score]],'RFM Analysis'!$A$3:$B$14,2,FALSE)</f>
        <v>Lost</v>
      </c>
      <c r="BE1794">
        <f>'Regression Models'!$B$101+'Regression Models'!$B$102*ifood_data[[#This Row],[Income]]+'Regression Models'!$B$103*ifood_data[[#This Row],[Age]]+'Regression Models'!$B$104*ifood_data[[#This Row],[Family]]</f>
        <v>-6.7930547112367776</v>
      </c>
      <c r="BF1794" t="str">
        <f>IF(ifood_data[[#This Row],[AcceptedCmpOverall]]=1,"Campaign Respondent","Non-respondent")</f>
        <v>Non-respondent</v>
      </c>
    </row>
    <row r="1795" spans="1:58" x14ac:dyDescent="0.35">
      <c r="A1795">
        <v>297</v>
      </c>
      <c r="B1795">
        <v>28839</v>
      </c>
      <c r="C1795">
        <v>1</v>
      </c>
      <c r="D1795">
        <v>1</v>
      </c>
      <c r="E1795">
        <v>86</v>
      </c>
      <c r="F1795">
        <v>24</v>
      </c>
      <c r="G1795">
        <v>0</v>
      </c>
      <c r="H1795">
        <v>7</v>
      </c>
      <c r="I1795">
        <v>0</v>
      </c>
      <c r="J1795">
        <v>0</v>
      </c>
      <c r="K1795">
        <v>1</v>
      </c>
      <c r="L1795">
        <v>2</v>
      </c>
      <c r="M1795">
        <v>2</v>
      </c>
      <c r="N1795">
        <v>0</v>
      </c>
      <c r="O1795">
        <v>3</v>
      </c>
      <c r="P1795">
        <v>5</v>
      </c>
      <c r="Q1795">
        <v>0</v>
      </c>
      <c r="R1795">
        <v>0</v>
      </c>
      <c r="S1795">
        <v>0</v>
      </c>
      <c r="T1795">
        <v>0</v>
      </c>
      <c r="U1795">
        <v>0</v>
      </c>
      <c r="V1795">
        <f>IF(SUM(ifood_data[[#This Row],[AcceptedCmp1]:[AcceptedCmp5]])&gt;0,1,0)</f>
        <v>0</v>
      </c>
      <c r="W1795">
        <v>0</v>
      </c>
      <c r="X1795">
        <v>3</v>
      </c>
      <c r="Y1795">
        <v>11</v>
      </c>
      <c r="Z1795">
        <v>0</v>
      </c>
      <c r="AA1795">
        <v>64</v>
      </c>
      <c r="AB1795">
        <v>2269</v>
      </c>
      <c r="AC1795" s="28">
        <f>ifood_data[[#This Row],[Customer_Days]]/365</f>
        <v>6.2164383561643834</v>
      </c>
      <c r="AD1795">
        <v>0</v>
      </c>
      <c r="AE1795">
        <v>0</v>
      </c>
      <c r="AF1795">
        <v>0</v>
      </c>
      <c r="AG1795">
        <v>1</v>
      </c>
      <c r="AH1795">
        <v>0</v>
      </c>
      <c r="AI1795">
        <v>0</v>
      </c>
      <c r="AJ1795">
        <v>0</v>
      </c>
      <c r="AK1795">
        <v>0</v>
      </c>
      <c r="AL1795">
        <v>1</v>
      </c>
      <c r="AM1795">
        <v>0</v>
      </c>
      <c r="AN1795">
        <v>31</v>
      </c>
      <c r="AO1795">
        <v>30</v>
      </c>
      <c r="AP1795">
        <f>ifood_data[[#This Row],[MntTotal]]-ifood_data[[#This Row],[MntRegularProds]]</f>
        <v>1</v>
      </c>
      <c r="AQ1795">
        <v>0</v>
      </c>
      <c r="AR1795">
        <f>IF(SUM(ifood_data[[#This Row],[Kidhome]:[Teenhome]])&gt;0,1,0)</f>
        <v>1</v>
      </c>
      <c r="AS1795" t="str">
        <f>IF(SUM(ifood_data[[#This Row],[Kidhome]:[Teenhome]])&gt;0,"Has Family","No Family")</f>
        <v>Has Family</v>
      </c>
      <c r="AT1795" t="str">
        <f>IF(ifood_data[[#This Row],[marital_Married]]=1,"Married", (IF(ifood_data[[#This Row],[marital_Single]]=1,"Single",(IF(ifood_data[[#This Row],[marital_Divorced]]=1,"Divorced",(IF(ifood_data[[#This Row],[marital_Together]]=1,"Living Together",(IF(ifood_data[[#This Row],[marital_Widow]]=1,"Widow","Other")))))))))</f>
        <v>Living Together</v>
      </c>
      <c r="AU1795" t="str">
        <f>IF(ifood_data[[#This Row],[education_Basic]]=1,"High School",(IF(ifood_data[[#This Row],[education_Graduation]]=1,"Undergraduate Degree",(IF(SUM(AM1795,AL1795,AI1795)&gt;0,"Master's Degree or Higher","Other")))))</f>
        <v>Master's Degree or Higher</v>
      </c>
      <c r="AV1795" t="str">
        <f>IF(ifood_data[[#All],[Income]]&gt;75000,"75K+",(IF(ifood_data[[#All],[Income]]&gt;50000,"50K-75K",(IF(ifood_data[[#All],[Income]]&gt;35000,"35K-50K","&lt;35K")))))</f>
        <v>&lt;35K</v>
      </c>
      <c r="AW1795" t="str">
        <f>IF(ifood_data[[#All],[Age]]&gt;60,"60+",(IF(ifood_data[[#All],[Age]]&gt;50,"50-60",(IF(ifood_data[[#All],[Age]]&gt;40,"40-50",(IF(ifood_data[[#All],[Age]]&gt;30,"30-40","&lt;30")))))))</f>
        <v>60+</v>
      </c>
      <c r="AX1795">
        <f t="shared" si="112"/>
        <v>12</v>
      </c>
      <c r="AY1795">
        <f t="shared" si="113"/>
        <v>1.9999999999999996</v>
      </c>
      <c r="AZ1795">
        <f t="shared" si="114"/>
        <v>1</v>
      </c>
      <c r="BA1795">
        <f t="shared" si="115"/>
        <v>1</v>
      </c>
      <c r="BB1795">
        <f>SUM(ifood_data[[#This Row],[Recency Score]:[Monetary Score]])</f>
        <v>3.9999999999999996</v>
      </c>
      <c r="BC1795">
        <f>(_xlfn.PERCENTRANK.INC(ifood_data[[#All],[RFM]],ifood_data[[#This Row],[RFM]],1))*10</f>
        <v>0</v>
      </c>
      <c r="BD1795" t="str">
        <f>VLOOKUP(ifood_data[[#This Row],[RFM Score]],'RFM Analysis'!$A$3:$B$14,2,FALSE)</f>
        <v>Lost</v>
      </c>
      <c r="BE1795">
        <f>'Regression Models'!$B$101+'Regression Models'!$B$102*ifood_data[[#This Row],[Income]]+'Regression Models'!$B$103*ifood_data[[#This Row],[Age]]+'Regression Models'!$B$104*ifood_data[[#This Row],[Family]]</f>
        <v>-6.9693038948149706</v>
      </c>
      <c r="BF1795" t="str">
        <f>IF(ifood_data[[#This Row],[AcceptedCmpOverall]]=1,"Campaign Respondent","Non-respondent")</f>
        <v>Non-respondent</v>
      </c>
    </row>
    <row r="1796" spans="1:58" x14ac:dyDescent="0.35">
      <c r="A1796">
        <v>219</v>
      </c>
      <c r="B1796">
        <v>15033</v>
      </c>
      <c r="C1796">
        <v>0</v>
      </c>
      <c r="D1796">
        <v>0</v>
      </c>
      <c r="E1796">
        <v>37</v>
      </c>
      <c r="F1796">
        <v>0</v>
      </c>
      <c r="G1796">
        <v>4</v>
      </c>
      <c r="H1796">
        <v>5</v>
      </c>
      <c r="I1796">
        <v>6</v>
      </c>
      <c r="J1796">
        <v>0</v>
      </c>
      <c r="K1796">
        <v>4</v>
      </c>
      <c r="L1796">
        <v>1</v>
      </c>
      <c r="M1796">
        <v>1</v>
      </c>
      <c r="N1796">
        <v>0</v>
      </c>
      <c r="O1796">
        <v>3</v>
      </c>
      <c r="P1796">
        <v>3</v>
      </c>
      <c r="Q1796">
        <v>0</v>
      </c>
      <c r="R1796">
        <v>0</v>
      </c>
      <c r="S1796">
        <v>0</v>
      </c>
      <c r="T1796">
        <v>0</v>
      </c>
      <c r="U1796">
        <v>0</v>
      </c>
      <c r="V1796">
        <f>IF(SUM(ifood_data[[#This Row],[AcceptedCmp1]:[AcceptedCmp5]])&gt;0,1,0)</f>
        <v>0</v>
      </c>
      <c r="W1796">
        <v>0</v>
      </c>
      <c r="X1796">
        <v>3</v>
      </c>
      <c r="Y1796">
        <v>11</v>
      </c>
      <c r="Z1796">
        <v>0</v>
      </c>
      <c r="AA1796">
        <v>69</v>
      </c>
      <c r="AB1796">
        <v>2233</v>
      </c>
      <c r="AC1796" s="28">
        <f>ifood_data[[#This Row],[Customer_Days]]/365</f>
        <v>6.117808219178082</v>
      </c>
      <c r="AD1796">
        <v>0</v>
      </c>
      <c r="AE1796">
        <v>0</v>
      </c>
      <c r="AF1796">
        <v>1</v>
      </c>
      <c r="AG1796">
        <v>0</v>
      </c>
      <c r="AH1796">
        <v>0</v>
      </c>
      <c r="AI1796">
        <v>0</v>
      </c>
      <c r="AJ1796">
        <v>0</v>
      </c>
      <c r="AK1796">
        <v>1</v>
      </c>
      <c r="AL1796">
        <v>0</v>
      </c>
      <c r="AM1796">
        <v>0</v>
      </c>
      <c r="AN1796">
        <v>15</v>
      </c>
      <c r="AO1796">
        <v>11</v>
      </c>
      <c r="AP1796">
        <f>ifood_data[[#This Row],[MntTotal]]-ifood_data[[#This Row],[MntRegularProds]]</f>
        <v>4</v>
      </c>
      <c r="AQ1796">
        <v>0</v>
      </c>
      <c r="AR1796">
        <f>IF(SUM(ifood_data[[#This Row],[Kidhome]:[Teenhome]])&gt;0,1,0)</f>
        <v>0</v>
      </c>
      <c r="AS1796" t="str">
        <f>IF(SUM(ifood_data[[#This Row],[Kidhome]:[Teenhome]])&gt;0,"Has Family","No Family")</f>
        <v>No Family</v>
      </c>
      <c r="AT1796" t="str">
        <f>IF(ifood_data[[#This Row],[marital_Married]]=1,"Married", (IF(ifood_data[[#This Row],[marital_Single]]=1,"Single",(IF(ifood_data[[#This Row],[marital_Divorced]]=1,"Divorced",(IF(ifood_data[[#This Row],[marital_Together]]=1,"Living Together",(IF(ifood_data[[#This Row],[marital_Widow]]=1,"Widow","Other")))))))))</f>
        <v>Single</v>
      </c>
      <c r="AU1796" t="str">
        <f>IF(ifood_data[[#This Row],[education_Basic]]=1,"High School",(IF(ifood_data[[#This Row],[education_Graduation]]=1,"Undergraduate Degree",(IF(SUM(AM1796,AL1796,AI1796)&gt;0,"Master's Degree or Higher","Other")))))</f>
        <v>Undergraduate Degree</v>
      </c>
      <c r="AV1796" t="str">
        <f>IF(ifood_data[[#All],[Income]]&gt;75000,"75K+",(IF(ifood_data[[#All],[Income]]&gt;50000,"50K-75K",(IF(ifood_data[[#All],[Income]]&gt;35000,"35K-50K","&lt;35K")))))</f>
        <v>&lt;35K</v>
      </c>
      <c r="AW1796" t="str">
        <f>IF(ifood_data[[#All],[Age]]&gt;60,"60+",(IF(ifood_data[[#All],[Age]]&gt;50,"50-60",(IF(ifood_data[[#All],[Age]]&gt;40,"40-50",(IF(ifood_data[[#All],[Age]]&gt;30,"30-40","&lt;30")))))))</f>
        <v>60+</v>
      </c>
      <c r="AX1796">
        <f t="shared" si="112"/>
        <v>8</v>
      </c>
      <c r="AY1796">
        <f t="shared" si="113"/>
        <v>7</v>
      </c>
      <c r="AZ1796">
        <f t="shared" si="114"/>
        <v>0</v>
      </c>
      <c r="BA1796">
        <f t="shared" si="115"/>
        <v>0</v>
      </c>
      <c r="BB1796">
        <f>SUM(ifood_data[[#This Row],[Recency Score]:[Monetary Score]])</f>
        <v>7</v>
      </c>
      <c r="BC1796">
        <f>(_xlfn.PERCENTRANK.INC(ifood_data[[#All],[RFM]],ifood_data[[#This Row],[RFM]],1))*10</f>
        <v>1</v>
      </c>
      <c r="BD1796" t="str">
        <f>VLOOKUP(ifood_data[[#This Row],[RFM Score]],'RFM Analysis'!$A$3:$B$14,2,FALSE)</f>
        <v>At Risk</v>
      </c>
      <c r="BE1796">
        <f>'Regression Models'!$B$101+'Regression Models'!$B$102*ifood_data[[#This Row],[Income]]+'Regression Models'!$B$103*ifood_data[[#This Row],[Age]]+'Regression Models'!$B$104*ifood_data[[#This Row],[Family]]</f>
        <v>-8.0252012109390591</v>
      </c>
      <c r="BF1796" t="str">
        <f>IF(ifood_data[[#This Row],[AcceptedCmpOverall]]=1,"Campaign Respondent","Non-respondent")</f>
        <v>Non-respondent</v>
      </c>
    </row>
    <row r="1797" spans="1:58" x14ac:dyDescent="0.35">
      <c r="A1797">
        <v>324</v>
      </c>
      <c r="B1797">
        <v>27190</v>
      </c>
      <c r="C1797">
        <v>1</v>
      </c>
      <c r="D1797">
        <v>0</v>
      </c>
      <c r="E1797">
        <v>13</v>
      </c>
      <c r="F1797">
        <v>1</v>
      </c>
      <c r="G1797">
        <v>6</v>
      </c>
      <c r="H1797">
        <v>7</v>
      </c>
      <c r="I1797">
        <v>0</v>
      </c>
      <c r="J1797">
        <v>1</v>
      </c>
      <c r="K1797">
        <v>3</v>
      </c>
      <c r="L1797">
        <v>1</v>
      </c>
      <c r="M1797">
        <v>1</v>
      </c>
      <c r="N1797">
        <v>0</v>
      </c>
      <c r="O1797">
        <v>2</v>
      </c>
      <c r="P1797">
        <v>8</v>
      </c>
      <c r="Q1797">
        <v>0</v>
      </c>
      <c r="R1797">
        <v>0</v>
      </c>
      <c r="S1797">
        <v>1</v>
      </c>
      <c r="T1797">
        <v>0</v>
      </c>
      <c r="U1797">
        <v>0</v>
      </c>
      <c r="V1797">
        <f>IF(SUM(ifood_data[[#This Row],[AcceptedCmp1]:[AcceptedCmp5]])&gt;0,1,0)</f>
        <v>1</v>
      </c>
      <c r="W1797">
        <v>0</v>
      </c>
      <c r="X1797">
        <v>3</v>
      </c>
      <c r="Y1797">
        <v>11</v>
      </c>
      <c r="Z1797">
        <v>1</v>
      </c>
      <c r="AA1797">
        <v>47</v>
      </c>
      <c r="AB1797">
        <v>2477</v>
      </c>
      <c r="AC1797" s="28">
        <f>ifood_data[[#This Row],[Customer_Days]]/365</f>
        <v>6.7863013698630139</v>
      </c>
      <c r="AD1797">
        <v>0</v>
      </c>
      <c r="AE1797">
        <v>0</v>
      </c>
      <c r="AF1797">
        <v>0</v>
      </c>
      <c r="AG1797">
        <v>1</v>
      </c>
      <c r="AH1797">
        <v>0</v>
      </c>
      <c r="AI1797">
        <v>0</v>
      </c>
      <c r="AJ1797">
        <v>1</v>
      </c>
      <c r="AK1797">
        <v>0</v>
      </c>
      <c r="AL1797">
        <v>0</v>
      </c>
      <c r="AM1797">
        <v>0</v>
      </c>
      <c r="AN1797">
        <v>15</v>
      </c>
      <c r="AO1797">
        <v>12</v>
      </c>
      <c r="AP1797">
        <f>ifood_data[[#This Row],[MntTotal]]-ifood_data[[#This Row],[MntRegularProds]]</f>
        <v>3</v>
      </c>
      <c r="AQ1797">
        <v>1</v>
      </c>
      <c r="AR1797">
        <f>IF(SUM(ifood_data[[#This Row],[Kidhome]:[Teenhome]])&gt;0,1,0)</f>
        <v>1</v>
      </c>
      <c r="AS1797" t="str">
        <f>IF(SUM(ifood_data[[#This Row],[Kidhome]:[Teenhome]])&gt;0,"Has Family","No Family")</f>
        <v>Has Family</v>
      </c>
      <c r="AT1797" t="str">
        <f>IF(ifood_data[[#This Row],[marital_Married]]=1,"Married", (IF(ifood_data[[#This Row],[marital_Single]]=1,"Single",(IF(ifood_data[[#This Row],[marital_Divorced]]=1,"Divorced",(IF(ifood_data[[#This Row],[marital_Together]]=1,"Living Together",(IF(ifood_data[[#This Row],[marital_Widow]]=1,"Widow","Other")))))))))</f>
        <v>Living Together</v>
      </c>
      <c r="AU1797" t="str">
        <f>IF(ifood_data[[#This Row],[education_Basic]]=1,"High School",(IF(ifood_data[[#This Row],[education_Graduation]]=1,"Undergraduate Degree",(IF(SUM(AM1797,AL1797,AI1797)&gt;0,"Master's Degree or Higher","Other")))))</f>
        <v>High School</v>
      </c>
      <c r="AV1797" t="str">
        <f>IF(ifood_data[[#All],[Income]]&gt;75000,"75K+",(IF(ifood_data[[#All],[Income]]&gt;50000,"50K-75K",(IF(ifood_data[[#All],[Income]]&gt;35000,"35K-50K","&lt;35K")))))</f>
        <v>&lt;35K</v>
      </c>
      <c r="AW1797" t="str">
        <f>IF(ifood_data[[#All],[Age]]&gt;60,"60+",(IF(ifood_data[[#All],[Age]]&gt;50,"50-60",(IF(ifood_data[[#All],[Age]]&gt;40,"40-50",(IF(ifood_data[[#All],[Age]]&gt;30,"30-40","&lt;30")))))))</f>
        <v>40-50</v>
      </c>
      <c r="AX1797">
        <f t="shared" si="112"/>
        <v>12</v>
      </c>
      <c r="AY1797">
        <f t="shared" si="113"/>
        <v>9</v>
      </c>
      <c r="AZ1797">
        <f t="shared" si="114"/>
        <v>1</v>
      </c>
      <c r="BA1797">
        <f t="shared" si="115"/>
        <v>0</v>
      </c>
      <c r="BB1797">
        <f>SUM(ifood_data[[#This Row],[Recency Score]:[Monetary Score]])</f>
        <v>10</v>
      </c>
      <c r="BC1797">
        <f>(_xlfn.PERCENTRANK.INC(ifood_data[[#All],[RFM]],ifood_data[[#This Row],[RFM]],1))*10</f>
        <v>2</v>
      </c>
      <c r="BD1797" t="str">
        <f>VLOOKUP(ifood_data[[#This Row],[RFM Score]],'RFM Analysis'!$A$3:$B$14,2,FALSE)</f>
        <v>At Risk</v>
      </c>
      <c r="BE1797">
        <f>'Regression Models'!$B$101+'Regression Models'!$B$102*ifood_data[[#This Row],[Income]]+'Regression Models'!$B$103*ifood_data[[#This Row],[Age]]+'Regression Models'!$B$104*ifood_data[[#This Row],[Family]]</f>
        <v>-9.3709182229015369</v>
      </c>
      <c r="BF1797" t="str">
        <f>IF(ifood_data[[#This Row],[AcceptedCmpOverall]]=1,"Campaign Respondent","Non-respondent")</f>
        <v>Campaign Respondent</v>
      </c>
    </row>
    <row r="1798" spans="1:58" x14ac:dyDescent="0.35">
      <c r="A1798">
        <v>1018</v>
      </c>
      <c r="B1798">
        <v>26907</v>
      </c>
      <c r="C1798">
        <v>1</v>
      </c>
      <c r="D1798">
        <v>1</v>
      </c>
      <c r="E1798">
        <v>10</v>
      </c>
      <c r="F1798">
        <v>9</v>
      </c>
      <c r="G1798">
        <v>1</v>
      </c>
      <c r="H1798">
        <v>7</v>
      </c>
      <c r="I1798">
        <v>0</v>
      </c>
      <c r="J1798">
        <v>3</v>
      </c>
      <c r="K1798">
        <v>2</v>
      </c>
      <c r="L1798">
        <v>2</v>
      </c>
      <c r="M1798">
        <v>1</v>
      </c>
      <c r="N1798">
        <v>0</v>
      </c>
      <c r="O1798">
        <v>3</v>
      </c>
      <c r="P1798">
        <v>7</v>
      </c>
      <c r="Q1798">
        <v>0</v>
      </c>
      <c r="R1798">
        <v>0</v>
      </c>
      <c r="S1798">
        <v>0</v>
      </c>
      <c r="T1798">
        <v>0</v>
      </c>
      <c r="U1798">
        <v>0</v>
      </c>
      <c r="V1798">
        <f>IF(SUM(ifood_data[[#This Row],[AcceptedCmp1]:[AcceptedCmp5]])&gt;0,1,0)</f>
        <v>0</v>
      </c>
      <c r="W1798">
        <v>0</v>
      </c>
      <c r="X1798">
        <v>3</v>
      </c>
      <c r="Y1798">
        <v>11</v>
      </c>
      <c r="Z1798">
        <v>0</v>
      </c>
      <c r="AA1798">
        <v>44</v>
      </c>
      <c r="AB1798">
        <v>2472</v>
      </c>
      <c r="AC1798" s="28">
        <f>ifood_data[[#This Row],[Customer_Days]]/365</f>
        <v>6.7726027397260271</v>
      </c>
      <c r="AD1798">
        <v>0</v>
      </c>
      <c r="AE1798">
        <v>0</v>
      </c>
      <c r="AF1798">
        <v>0</v>
      </c>
      <c r="AG1798">
        <v>1</v>
      </c>
      <c r="AH1798">
        <v>0</v>
      </c>
      <c r="AI1798">
        <v>1</v>
      </c>
      <c r="AJ1798">
        <v>0</v>
      </c>
      <c r="AK1798">
        <v>0</v>
      </c>
      <c r="AL1798">
        <v>0</v>
      </c>
      <c r="AM1798">
        <v>0</v>
      </c>
      <c r="AN1798">
        <v>20</v>
      </c>
      <c r="AO1798">
        <v>18</v>
      </c>
      <c r="AP1798">
        <f>ifood_data[[#This Row],[MntTotal]]-ifood_data[[#This Row],[MntRegularProds]]</f>
        <v>2</v>
      </c>
      <c r="AQ1798">
        <v>0</v>
      </c>
      <c r="AR1798">
        <f>IF(SUM(ifood_data[[#This Row],[Kidhome]:[Teenhome]])&gt;0,1,0)</f>
        <v>1</v>
      </c>
      <c r="AS1798" t="str">
        <f>IF(SUM(ifood_data[[#This Row],[Kidhome]:[Teenhome]])&gt;0,"Has Family","No Family")</f>
        <v>Has Family</v>
      </c>
      <c r="AT1798" t="str">
        <f>IF(ifood_data[[#This Row],[marital_Married]]=1,"Married", (IF(ifood_data[[#This Row],[marital_Single]]=1,"Single",(IF(ifood_data[[#This Row],[marital_Divorced]]=1,"Divorced",(IF(ifood_data[[#This Row],[marital_Together]]=1,"Living Together",(IF(ifood_data[[#This Row],[marital_Widow]]=1,"Widow","Other")))))))))</f>
        <v>Living Together</v>
      </c>
      <c r="AU1798" t="str">
        <f>IF(ifood_data[[#This Row],[education_Basic]]=1,"High School",(IF(ifood_data[[#This Row],[education_Graduation]]=1,"Undergraduate Degree",(IF(SUM(AM1798,AL1798,AI1798)&gt;0,"Master's Degree or Higher","Other")))))</f>
        <v>Master's Degree or Higher</v>
      </c>
      <c r="AV1798" t="str">
        <f>IF(ifood_data[[#All],[Income]]&gt;75000,"75K+",(IF(ifood_data[[#All],[Income]]&gt;50000,"50K-75K",(IF(ifood_data[[#All],[Income]]&gt;35000,"35K-50K","&lt;35K")))))</f>
        <v>&lt;35K</v>
      </c>
      <c r="AW1798" t="str">
        <f>IF(ifood_data[[#All],[Age]]&gt;60,"60+",(IF(ifood_data[[#All],[Age]]&gt;50,"50-60",(IF(ifood_data[[#All],[Age]]&gt;40,"40-50",(IF(ifood_data[[#All],[Age]]&gt;30,"30-40","&lt;30")))))))</f>
        <v>40-50</v>
      </c>
      <c r="AX1798">
        <f t="shared" si="112"/>
        <v>13</v>
      </c>
      <c r="AY1798">
        <f t="shared" si="113"/>
        <v>9</v>
      </c>
      <c r="AZ1798">
        <f t="shared" si="114"/>
        <v>1</v>
      </c>
      <c r="BA1798">
        <f t="shared" si="115"/>
        <v>0</v>
      </c>
      <c r="BB1798">
        <f>SUM(ifood_data[[#This Row],[Recency Score]:[Monetary Score]])</f>
        <v>10</v>
      </c>
      <c r="BC1798">
        <f>(_xlfn.PERCENTRANK.INC(ifood_data[[#All],[RFM]],ifood_data[[#This Row],[RFM]],1))*10</f>
        <v>2</v>
      </c>
      <c r="BD1798" t="str">
        <f>VLOOKUP(ifood_data[[#This Row],[RFM Score]],'RFM Analysis'!$A$3:$B$14,2,FALSE)</f>
        <v>At Risk</v>
      </c>
      <c r="BE1798">
        <f>'Regression Models'!$B$101+'Regression Models'!$B$102*ifood_data[[#This Row],[Income]]+'Regression Models'!$B$103*ifood_data[[#This Row],[Age]]+'Regression Models'!$B$104*ifood_data[[#This Row],[Family]]</f>
        <v>-9.631622370942182</v>
      </c>
      <c r="BF1798" t="str">
        <f>IF(ifood_data[[#This Row],[AcceptedCmpOverall]]=1,"Campaign Respondent","Non-respondent")</f>
        <v>Non-respondent</v>
      </c>
    </row>
    <row r="1799" spans="1:58" x14ac:dyDescent="0.35">
      <c r="A1799">
        <v>523</v>
      </c>
      <c r="B1799">
        <v>27159</v>
      </c>
      <c r="C1799">
        <v>1</v>
      </c>
      <c r="D1799">
        <v>1</v>
      </c>
      <c r="E1799">
        <v>33</v>
      </c>
      <c r="F1799">
        <v>17</v>
      </c>
      <c r="G1799">
        <v>0</v>
      </c>
      <c r="H1799">
        <v>3</v>
      </c>
      <c r="I1799">
        <v>0</v>
      </c>
      <c r="J1799">
        <v>0</v>
      </c>
      <c r="K1799">
        <v>1</v>
      </c>
      <c r="L1799">
        <v>2</v>
      </c>
      <c r="M1799">
        <v>1</v>
      </c>
      <c r="N1799">
        <v>0</v>
      </c>
      <c r="O1799">
        <v>3</v>
      </c>
      <c r="P1799">
        <v>6</v>
      </c>
      <c r="Q1799">
        <v>0</v>
      </c>
      <c r="R1799">
        <v>0</v>
      </c>
      <c r="S1799">
        <v>0</v>
      </c>
      <c r="T1799">
        <v>0</v>
      </c>
      <c r="U1799">
        <v>0</v>
      </c>
      <c r="V1799">
        <f>IF(SUM(ifood_data[[#This Row],[AcceptedCmp1]:[AcceptedCmp5]])&gt;0,1,0)</f>
        <v>0</v>
      </c>
      <c r="W1799">
        <v>0</v>
      </c>
      <c r="X1799">
        <v>3</v>
      </c>
      <c r="Y1799">
        <v>11</v>
      </c>
      <c r="Z1799">
        <v>0</v>
      </c>
      <c r="AA1799">
        <v>47</v>
      </c>
      <c r="AB1799">
        <v>2251</v>
      </c>
      <c r="AC1799" s="28">
        <f>ifood_data[[#This Row],[Customer_Days]]/365</f>
        <v>6.1671232876712327</v>
      </c>
      <c r="AD1799">
        <v>0</v>
      </c>
      <c r="AE1799">
        <v>1</v>
      </c>
      <c r="AF1799">
        <v>0</v>
      </c>
      <c r="AG1799">
        <v>0</v>
      </c>
      <c r="AH1799">
        <v>0</v>
      </c>
      <c r="AI1799">
        <v>0</v>
      </c>
      <c r="AJ1799">
        <v>0</v>
      </c>
      <c r="AK1799">
        <v>0</v>
      </c>
      <c r="AL1799">
        <v>1</v>
      </c>
      <c r="AM1799">
        <v>0</v>
      </c>
      <c r="AN1799">
        <v>20</v>
      </c>
      <c r="AO1799">
        <v>19</v>
      </c>
      <c r="AP1799">
        <f>ifood_data[[#This Row],[MntTotal]]-ifood_data[[#This Row],[MntRegularProds]]</f>
        <v>1</v>
      </c>
      <c r="AQ1799">
        <v>0</v>
      </c>
      <c r="AR1799">
        <f>IF(SUM(ifood_data[[#This Row],[Kidhome]:[Teenhome]])&gt;0,1,0)</f>
        <v>1</v>
      </c>
      <c r="AS1799" t="str">
        <f>IF(SUM(ifood_data[[#This Row],[Kidhome]:[Teenhome]])&gt;0,"Has Family","No Family")</f>
        <v>Has Family</v>
      </c>
      <c r="AT1799" t="str">
        <f>IF(ifood_data[[#This Row],[marital_Married]]=1,"Married", (IF(ifood_data[[#This Row],[marital_Single]]=1,"Single",(IF(ifood_data[[#This Row],[marital_Divorced]]=1,"Divorced",(IF(ifood_data[[#This Row],[marital_Together]]=1,"Living Together",(IF(ifood_data[[#This Row],[marital_Widow]]=1,"Widow","Other")))))))))</f>
        <v>Married</v>
      </c>
      <c r="AU1799" t="str">
        <f>IF(ifood_data[[#This Row],[education_Basic]]=1,"High School",(IF(ifood_data[[#This Row],[education_Graduation]]=1,"Undergraduate Degree",(IF(SUM(AM1799,AL1799,AI1799)&gt;0,"Master's Degree or Higher","Other")))))</f>
        <v>Master's Degree or Higher</v>
      </c>
      <c r="AV1799" t="str">
        <f>IF(ifood_data[[#All],[Income]]&gt;75000,"75K+",(IF(ifood_data[[#All],[Income]]&gt;50000,"50K-75K",(IF(ifood_data[[#All],[Income]]&gt;35000,"35K-50K","&lt;35K")))))</f>
        <v>&lt;35K</v>
      </c>
      <c r="AW1799" t="str">
        <f>IF(ifood_data[[#All],[Age]]&gt;60,"60+",(IF(ifood_data[[#All],[Age]]&gt;50,"50-60",(IF(ifood_data[[#All],[Age]]&gt;40,"40-50",(IF(ifood_data[[#All],[Age]]&gt;30,"30-40","&lt;30")))))))</f>
        <v>40-50</v>
      </c>
      <c r="AX1799">
        <f t="shared" si="112"/>
        <v>12</v>
      </c>
      <c r="AY1799">
        <f t="shared" si="113"/>
        <v>7</v>
      </c>
      <c r="AZ1799">
        <f t="shared" si="114"/>
        <v>1</v>
      </c>
      <c r="BA1799">
        <f t="shared" si="115"/>
        <v>0</v>
      </c>
      <c r="BB1799">
        <f>SUM(ifood_data[[#This Row],[Recency Score]:[Monetary Score]])</f>
        <v>8</v>
      </c>
      <c r="BC1799">
        <f>(_xlfn.PERCENTRANK.INC(ifood_data[[#All],[RFM]],ifood_data[[#This Row],[RFM]],1))*10</f>
        <v>1</v>
      </c>
      <c r="BD1799" t="str">
        <f>VLOOKUP(ifood_data[[#This Row],[RFM Score]],'RFM Analysis'!$A$3:$B$14,2,FALSE)</f>
        <v>At Risk</v>
      </c>
      <c r="BE1799">
        <f>'Regression Models'!$B$101+'Regression Models'!$B$102*ifood_data[[#This Row],[Income]]+'Regression Models'!$B$103*ifood_data[[#This Row],[Age]]+'Regression Models'!$B$104*ifood_data[[#This Row],[Family]]</f>
        <v>-10.002970035362409</v>
      </c>
      <c r="BF1799" t="str">
        <f>IF(ifood_data[[#This Row],[AcceptedCmpOverall]]=1,"Campaign Respondent","Non-respondent")</f>
        <v>Non-respondent</v>
      </c>
    </row>
    <row r="1800" spans="1:58" x14ac:dyDescent="0.35">
      <c r="A1800">
        <v>384</v>
      </c>
      <c r="B1800">
        <v>27213</v>
      </c>
      <c r="C1800">
        <v>1</v>
      </c>
      <c r="D1800">
        <v>0</v>
      </c>
      <c r="E1800">
        <v>19</v>
      </c>
      <c r="F1800">
        <v>19</v>
      </c>
      <c r="G1800">
        <v>3</v>
      </c>
      <c r="H1800">
        <v>26</v>
      </c>
      <c r="I1800">
        <v>10</v>
      </c>
      <c r="J1800">
        <v>9</v>
      </c>
      <c r="K1800">
        <v>3</v>
      </c>
      <c r="L1800">
        <v>3</v>
      </c>
      <c r="M1800">
        <v>2</v>
      </c>
      <c r="N1800">
        <v>0</v>
      </c>
      <c r="O1800">
        <v>4</v>
      </c>
      <c r="P1800">
        <v>8</v>
      </c>
      <c r="Q1800">
        <v>0</v>
      </c>
      <c r="R1800">
        <v>0</v>
      </c>
      <c r="S1800">
        <v>0</v>
      </c>
      <c r="T1800">
        <v>0</v>
      </c>
      <c r="U1800">
        <v>0</v>
      </c>
      <c r="V1800">
        <f>IF(SUM(ifood_data[[#This Row],[AcceptedCmp1]:[AcceptedCmp5]])&gt;0,1,0)</f>
        <v>0</v>
      </c>
      <c r="W1800">
        <v>0</v>
      </c>
      <c r="X1800">
        <v>3</v>
      </c>
      <c r="Y1800">
        <v>11</v>
      </c>
      <c r="Z1800">
        <v>1</v>
      </c>
      <c r="AA1800">
        <v>48</v>
      </c>
      <c r="AB1800">
        <v>2827</v>
      </c>
      <c r="AC1800" s="28">
        <f>ifood_data[[#This Row],[Customer_Days]]/365</f>
        <v>7.7452054794520544</v>
      </c>
      <c r="AD1800">
        <v>0</v>
      </c>
      <c r="AE1800">
        <v>0</v>
      </c>
      <c r="AF1800">
        <v>1</v>
      </c>
      <c r="AG1800">
        <v>0</v>
      </c>
      <c r="AH1800">
        <v>0</v>
      </c>
      <c r="AI1800">
        <v>0</v>
      </c>
      <c r="AJ1800">
        <v>0</v>
      </c>
      <c r="AK1800">
        <v>0</v>
      </c>
      <c r="AL1800">
        <v>0</v>
      </c>
      <c r="AM1800">
        <v>1</v>
      </c>
      <c r="AN1800">
        <v>67</v>
      </c>
      <c r="AO1800">
        <v>64</v>
      </c>
      <c r="AP1800">
        <f>ifood_data[[#This Row],[MntTotal]]-ifood_data[[#This Row],[MntRegularProds]]</f>
        <v>3</v>
      </c>
      <c r="AQ1800">
        <v>0</v>
      </c>
      <c r="AR1800">
        <f>IF(SUM(ifood_data[[#This Row],[Kidhome]:[Teenhome]])&gt;0,1,0)</f>
        <v>1</v>
      </c>
      <c r="AS1800" t="str">
        <f>IF(SUM(ifood_data[[#This Row],[Kidhome]:[Teenhome]])&gt;0,"Has Family","No Family")</f>
        <v>Has Family</v>
      </c>
      <c r="AT1800" t="str">
        <f>IF(ifood_data[[#This Row],[marital_Married]]=1,"Married", (IF(ifood_data[[#This Row],[marital_Single]]=1,"Single",(IF(ifood_data[[#This Row],[marital_Divorced]]=1,"Divorced",(IF(ifood_data[[#This Row],[marital_Together]]=1,"Living Together",(IF(ifood_data[[#This Row],[marital_Widow]]=1,"Widow","Other")))))))))</f>
        <v>Single</v>
      </c>
      <c r="AU1800" t="str">
        <f>IF(ifood_data[[#This Row],[education_Basic]]=1,"High School",(IF(ifood_data[[#This Row],[education_Graduation]]=1,"Undergraduate Degree",(IF(SUM(AM1800,AL1800,AI1800)&gt;0,"Master's Degree or Higher","Other")))))</f>
        <v>Master's Degree or Higher</v>
      </c>
      <c r="AV1800" t="str">
        <f>IF(ifood_data[[#All],[Income]]&gt;75000,"75K+",(IF(ifood_data[[#All],[Income]]&gt;50000,"50K-75K",(IF(ifood_data[[#All],[Income]]&gt;35000,"35K-50K","&lt;35K")))))</f>
        <v>&lt;35K</v>
      </c>
      <c r="AW1800" t="str">
        <f>IF(ifood_data[[#All],[Age]]&gt;60,"60+",(IF(ifood_data[[#All],[Age]]&gt;50,"50-60",(IF(ifood_data[[#All],[Age]]&gt;40,"40-50",(IF(ifood_data[[#All],[Age]]&gt;30,"30-40","&lt;30")))))))</f>
        <v>40-50</v>
      </c>
      <c r="AX1800">
        <f t="shared" si="112"/>
        <v>17</v>
      </c>
      <c r="AY1800">
        <f t="shared" si="113"/>
        <v>9</v>
      </c>
      <c r="AZ1800">
        <f t="shared" si="114"/>
        <v>3</v>
      </c>
      <c r="BA1800">
        <f t="shared" si="115"/>
        <v>2</v>
      </c>
      <c r="BB1800">
        <f>SUM(ifood_data[[#This Row],[Recency Score]:[Monetary Score]])</f>
        <v>14</v>
      </c>
      <c r="BC1800">
        <f>(_xlfn.PERCENTRANK.INC(ifood_data[[#All],[RFM]],ifood_data[[#This Row],[RFM]],1))*10</f>
        <v>4</v>
      </c>
      <c r="BD1800" t="str">
        <f>VLOOKUP(ifood_data[[#This Row],[RFM Score]],'RFM Analysis'!$A$3:$B$14,2,FALSE)</f>
        <v>At Risk</v>
      </c>
      <c r="BE1800">
        <f>'Regression Models'!$B$101+'Regression Models'!$B$102*ifood_data[[#This Row],[Income]]+'Regression Models'!$B$103*ifood_data[[#This Row],[Age]]+'Regression Models'!$B$104*ifood_data[[#This Row],[Family]]</f>
        <v>-10.738415634486159</v>
      </c>
      <c r="BF1800" t="str">
        <f>IF(ifood_data[[#This Row],[AcceptedCmpOverall]]=1,"Campaign Respondent","Non-respondent")</f>
        <v>Non-respondent</v>
      </c>
    </row>
    <row r="1801" spans="1:58" x14ac:dyDescent="0.35">
      <c r="A1801">
        <v>1486</v>
      </c>
      <c r="B1801">
        <v>12393</v>
      </c>
      <c r="C1801">
        <v>0</v>
      </c>
      <c r="D1801">
        <v>0</v>
      </c>
      <c r="E1801">
        <v>38</v>
      </c>
      <c r="F1801">
        <v>5</v>
      </c>
      <c r="G1801">
        <v>6</v>
      </c>
      <c r="H1801">
        <v>15</v>
      </c>
      <c r="I1801">
        <v>11</v>
      </c>
      <c r="J1801">
        <v>7</v>
      </c>
      <c r="K1801">
        <v>13</v>
      </c>
      <c r="L1801">
        <v>1</v>
      </c>
      <c r="M1801">
        <v>2</v>
      </c>
      <c r="N1801">
        <v>0</v>
      </c>
      <c r="O1801">
        <v>3</v>
      </c>
      <c r="P1801">
        <v>9</v>
      </c>
      <c r="Q1801">
        <v>0</v>
      </c>
      <c r="R1801">
        <v>0</v>
      </c>
      <c r="S1801">
        <v>0</v>
      </c>
      <c r="T1801">
        <v>0</v>
      </c>
      <c r="U1801">
        <v>0</v>
      </c>
      <c r="V1801">
        <f>IF(SUM(ifood_data[[#This Row],[AcceptedCmp1]:[AcceptedCmp5]])&gt;0,1,0)</f>
        <v>0</v>
      </c>
      <c r="W1801">
        <v>0</v>
      </c>
      <c r="X1801">
        <v>3</v>
      </c>
      <c r="Y1801">
        <v>11</v>
      </c>
      <c r="Z1801">
        <v>0</v>
      </c>
      <c r="AA1801">
        <v>42</v>
      </c>
      <c r="AB1801">
        <v>2731</v>
      </c>
      <c r="AC1801" s="28">
        <f>ifood_data[[#This Row],[Customer_Days]]/365</f>
        <v>7.4821917808219176</v>
      </c>
      <c r="AD1801">
        <v>0</v>
      </c>
      <c r="AE1801">
        <v>1</v>
      </c>
      <c r="AF1801">
        <v>0</v>
      </c>
      <c r="AG1801">
        <v>0</v>
      </c>
      <c r="AH1801">
        <v>0</v>
      </c>
      <c r="AI1801">
        <v>1</v>
      </c>
      <c r="AJ1801">
        <v>0</v>
      </c>
      <c r="AK1801">
        <v>0</v>
      </c>
      <c r="AL1801">
        <v>0</v>
      </c>
      <c r="AM1801">
        <v>0</v>
      </c>
      <c r="AN1801">
        <v>44</v>
      </c>
      <c r="AO1801">
        <v>31</v>
      </c>
      <c r="AP1801">
        <f>ifood_data[[#This Row],[MntTotal]]-ifood_data[[#This Row],[MntRegularProds]]</f>
        <v>13</v>
      </c>
      <c r="AQ1801">
        <v>0</v>
      </c>
      <c r="AR1801">
        <f>IF(SUM(ifood_data[[#This Row],[Kidhome]:[Teenhome]])&gt;0,1,0)</f>
        <v>0</v>
      </c>
      <c r="AS1801" t="str">
        <f>IF(SUM(ifood_data[[#This Row],[Kidhome]:[Teenhome]])&gt;0,"Has Family","No Family")</f>
        <v>No Family</v>
      </c>
      <c r="AT1801" t="str">
        <f>IF(ifood_data[[#This Row],[marital_Married]]=1,"Married", (IF(ifood_data[[#This Row],[marital_Single]]=1,"Single",(IF(ifood_data[[#This Row],[marital_Divorced]]=1,"Divorced",(IF(ifood_data[[#This Row],[marital_Together]]=1,"Living Together",(IF(ifood_data[[#This Row],[marital_Widow]]=1,"Widow","Other")))))))))</f>
        <v>Married</v>
      </c>
      <c r="AU1801" t="str">
        <f>IF(ifood_data[[#This Row],[education_Basic]]=1,"High School",(IF(ifood_data[[#This Row],[education_Graduation]]=1,"Undergraduate Degree",(IF(SUM(AM1801,AL1801,AI1801)&gt;0,"Master's Degree or Higher","Other")))))</f>
        <v>Master's Degree or Higher</v>
      </c>
      <c r="AV1801" t="str">
        <f>IF(ifood_data[[#All],[Income]]&gt;75000,"75K+",(IF(ifood_data[[#All],[Income]]&gt;50000,"50K-75K",(IF(ifood_data[[#All],[Income]]&gt;35000,"35K-50K","&lt;35K")))))</f>
        <v>&lt;35K</v>
      </c>
      <c r="AW1801" t="str">
        <f>IF(ifood_data[[#All],[Age]]&gt;60,"60+",(IF(ifood_data[[#All],[Age]]&gt;50,"50-60",(IF(ifood_data[[#All],[Age]]&gt;40,"40-50",(IF(ifood_data[[#All],[Age]]&gt;30,"30-40","&lt;30")))))))</f>
        <v>40-50</v>
      </c>
      <c r="AX1801">
        <f t="shared" si="112"/>
        <v>15</v>
      </c>
      <c r="AY1801">
        <f t="shared" si="113"/>
        <v>7</v>
      </c>
      <c r="AZ1801">
        <f t="shared" si="114"/>
        <v>2</v>
      </c>
      <c r="BA1801">
        <f t="shared" si="115"/>
        <v>2</v>
      </c>
      <c r="BB1801">
        <f>SUM(ifood_data[[#This Row],[Recency Score]:[Monetary Score]])</f>
        <v>11</v>
      </c>
      <c r="BC1801">
        <f>(_xlfn.PERCENTRANK.INC(ifood_data[[#All],[RFM]],ifood_data[[#This Row],[RFM]],1))*10</f>
        <v>2</v>
      </c>
      <c r="BD1801" t="str">
        <f>VLOOKUP(ifood_data[[#This Row],[RFM Score]],'RFM Analysis'!$A$3:$B$14,2,FALSE)</f>
        <v>At Risk</v>
      </c>
      <c r="BE1801">
        <f>'Regression Models'!$B$101+'Regression Models'!$B$102*ifood_data[[#This Row],[Income]]+'Regression Models'!$B$103*ifood_data[[#This Row],[Age]]+'Regression Models'!$B$104*ifood_data[[#This Row],[Family]]</f>
        <v>-12.267693980686687</v>
      </c>
      <c r="BF1801" t="str">
        <f>IF(ifood_data[[#This Row],[AcceptedCmpOverall]]=1,"Campaign Respondent","Non-respondent")</f>
        <v>Non-respondent</v>
      </c>
    </row>
    <row r="1802" spans="1:58" x14ac:dyDescent="0.35">
      <c r="A1802">
        <v>1409</v>
      </c>
      <c r="B1802">
        <v>27242</v>
      </c>
      <c r="C1802">
        <v>1</v>
      </c>
      <c r="D1802">
        <v>0</v>
      </c>
      <c r="E1802">
        <v>2</v>
      </c>
      <c r="F1802">
        <v>3</v>
      </c>
      <c r="G1802">
        <v>17</v>
      </c>
      <c r="H1802">
        <v>26</v>
      </c>
      <c r="I1802">
        <v>20</v>
      </c>
      <c r="J1802">
        <v>1</v>
      </c>
      <c r="K1802">
        <v>39</v>
      </c>
      <c r="L1802">
        <v>2</v>
      </c>
      <c r="M1802">
        <v>2</v>
      </c>
      <c r="N1802">
        <v>0</v>
      </c>
      <c r="O1802">
        <v>3</v>
      </c>
      <c r="P1802">
        <v>9</v>
      </c>
      <c r="Q1802">
        <v>0</v>
      </c>
      <c r="R1802">
        <v>0</v>
      </c>
      <c r="S1802">
        <v>0</v>
      </c>
      <c r="T1802">
        <v>0</v>
      </c>
      <c r="U1802">
        <v>0</v>
      </c>
      <c r="V1802">
        <f>IF(SUM(ifood_data[[#This Row],[AcceptedCmp1]:[AcceptedCmp5]])&gt;0,1,0)</f>
        <v>0</v>
      </c>
      <c r="W1802">
        <v>0</v>
      </c>
      <c r="X1802">
        <v>3</v>
      </c>
      <c r="Y1802">
        <v>11</v>
      </c>
      <c r="Z1802">
        <v>1</v>
      </c>
      <c r="AA1802">
        <v>50</v>
      </c>
      <c r="AB1802">
        <v>2754</v>
      </c>
      <c r="AC1802" s="28">
        <f>ifood_data[[#This Row],[Customer_Days]]/365</f>
        <v>7.5452054794520551</v>
      </c>
      <c r="AD1802">
        <v>0</v>
      </c>
      <c r="AE1802">
        <v>0</v>
      </c>
      <c r="AF1802">
        <v>1</v>
      </c>
      <c r="AG1802">
        <v>0</v>
      </c>
      <c r="AH1802">
        <v>0</v>
      </c>
      <c r="AI1802">
        <v>0</v>
      </c>
      <c r="AJ1802">
        <v>0</v>
      </c>
      <c r="AK1802">
        <v>1</v>
      </c>
      <c r="AL1802">
        <v>0</v>
      </c>
      <c r="AM1802">
        <v>0</v>
      </c>
      <c r="AN1802">
        <v>67</v>
      </c>
      <c r="AO1802">
        <v>28</v>
      </c>
      <c r="AP1802">
        <f>ifood_data[[#This Row],[MntTotal]]-ifood_data[[#This Row],[MntRegularProds]]</f>
        <v>39</v>
      </c>
      <c r="AQ1802">
        <v>0</v>
      </c>
      <c r="AR1802">
        <f>IF(SUM(ifood_data[[#This Row],[Kidhome]:[Teenhome]])&gt;0,1,0)</f>
        <v>1</v>
      </c>
      <c r="AS1802" t="str">
        <f>IF(SUM(ifood_data[[#This Row],[Kidhome]:[Teenhome]])&gt;0,"Has Family","No Family")</f>
        <v>Has Family</v>
      </c>
      <c r="AT1802" t="str">
        <f>IF(ifood_data[[#This Row],[marital_Married]]=1,"Married", (IF(ifood_data[[#This Row],[marital_Single]]=1,"Single",(IF(ifood_data[[#This Row],[marital_Divorced]]=1,"Divorced",(IF(ifood_data[[#This Row],[marital_Together]]=1,"Living Together",(IF(ifood_data[[#This Row],[marital_Widow]]=1,"Widow","Other")))))))))</f>
        <v>Single</v>
      </c>
      <c r="AU1802" t="str">
        <f>IF(ifood_data[[#This Row],[education_Basic]]=1,"High School",(IF(ifood_data[[#This Row],[education_Graduation]]=1,"Undergraduate Degree",(IF(SUM(AM1802,AL1802,AI1802)&gt;0,"Master's Degree or Higher","Other")))))</f>
        <v>Undergraduate Degree</v>
      </c>
      <c r="AV1802" t="str">
        <f>IF(ifood_data[[#All],[Income]]&gt;75000,"75K+",(IF(ifood_data[[#All],[Income]]&gt;50000,"50K-75K",(IF(ifood_data[[#All],[Income]]&gt;35000,"35K-50K","&lt;35K")))))</f>
        <v>&lt;35K</v>
      </c>
      <c r="AW1802" t="str">
        <f>IF(ifood_data[[#All],[Age]]&gt;60,"60+",(IF(ifood_data[[#All],[Age]]&gt;50,"50-60",(IF(ifood_data[[#All],[Age]]&gt;40,"40-50",(IF(ifood_data[[#All],[Age]]&gt;30,"30-40","&lt;30")))))))</f>
        <v>40-50</v>
      </c>
      <c r="AX1802">
        <f t="shared" si="112"/>
        <v>16</v>
      </c>
      <c r="AY1802">
        <f t="shared" si="113"/>
        <v>10</v>
      </c>
      <c r="AZ1802">
        <f t="shared" si="114"/>
        <v>3</v>
      </c>
      <c r="BA1802">
        <f t="shared" si="115"/>
        <v>2</v>
      </c>
      <c r="BB1802">
        <f>SUM(ifood_data[[#This Row],[Recency Score]:[Monetary Score]])</f>
        <v>15</v>
      </c>
      <c r="BC1802">
        <f>(_xlfn.PERCENTRANK.INC(ifood_data[[#All],[RFM]],ifood_data[[#This Row],[RFM]],1))*10</f>
        <v>4</v>
      </c>
      <c r="BD1802" t="str">
        <f>VLOOKUP(ifood_data[[#This Row],[RFM Score]],'RFM Analysis'!$A$3:$B$14,2,FALSE)</f>
        <v>At Risk</v>
      </c>
      <c r="BE1802">
        <f>'Regression Models'!$B$101+'Regression Models'!$B$102*ifood_data[[#This Row],[Income]]+'Regression Models'!$B$103*ifood_data[[#This Row],[Age]]+'Regression Models'!$B$104*ifood_data[[#This Row],[Family]]</f>
        <v>-13.820019516101638</v>
      </c>
      <c r="BF1802" t="str">
        <f>IF(ifood_data[[#This Row],[AcceptedCmpOverall]]=1,"Campaign Respondent","Non-respondent")</f>
        <v>Non-respondent</v>
      </c>
    </row>
    <row r="1803" spans="1:58" x14ac:dyDescent="0.35">
      <c r="A1803">
        <v>1976</v>
      </c>
      <c r="B1803">
        <v>26487</v>
      </c>
      <c r="C1803">
        <v>1</v>
      </c>
      <c r="D1803">
        <v>0</v>
      </c>
      <c r="E1803">
        <v>23</v>
      </c>
      <c r="F1803">
        <v>2</v>
      </c>
      <c r="G1803">
        <v>8</v>
      </c>
      <c r="H1803">
        <v>10</v>
      </c>
      <c r="I1803">
        <v>12</v>
      </c>
      <c r="J1803">
        <v>14</v>
      </c>
      <c r="K1803">
        <v>23</v>
      </c>
      <c r="L1803">
        <v>3</v>
      </c>
      <c r="M1803">
        <v>2</v>
      </c>
      <c r="N1803">
        <v>1</v>
      </c>
      <c r="O1803">
        <v>3</v>
      </c>
      <c r="P1803">
        <v>5</v>
      </c>
      <c r="Q1803">
        <v>0</v>
      </c>
      <c r="R1803">
        <v>0</v>
      </c>
      <c r="S1803">
        <v>0</v>
      </c>
      <c r="T1803">
        <v>0</v>
      </c>
      <c r="U1803">
        <v>0</v>
      </c>
      <c r="V1803">
        <f>IF(SUM(ifood_data[[#This Row],[AcceptedCmp1]:[AcceptedCmp5]])&gt;0,1,0)</f>
        <v>0</v>
      </c>
      <c r="W1803">
        <v>0</v>
      </c>
      <c r="X1803">
        <v>3</v>
      </c>
      <c r="Y1803">
        <v>11</v>
      </c>
      <c r="Z1803">
        <v>0</v>
      </c>
      <c r="AA1803">
        <v>42</v>
      </c>
      <c r="AB1803">
        <v>2564</v>
      </c>
      <c r="AC1803" s="28">
        <f>ifood_data[[#This Row],[Customer_Days]]/365</f>
        <v>7.0246575342465754</v>
      </c>
      <c r="AD1803">
        <v>0</v>
      </c>
      <c r="AE1803">
        <v>0</v>
      </c>
      <c r="AF1803">
        <v>1</v>
      </c>
      <c r="AG1803">
        <v>0</v>
      </c>
      <c r="AH1803">
        <v>0</v>
      </c>
      <c r="AI1803">
        <v>0</v>
      </c>
      <c r="AJ1803">
        <v>1</v>
      </c>
      <c r="AK1803">
        <v>0</v>
      </c>
      <c r="AL1803">
        <v>0</v>
      </c>
      <c r="AM1803">
        <v>0</v>
      </c>
      <c r="AN1803">
        <v>46</v>
      </c>
      <c r="AO1803">
        <v>23</v>
      </c>
      <c r="AP1803">
        <f>ifood_data[[#This Row],[MntTotal]]-ifood_data[[#This Row],[MntRegularProds]]</f>
        <v>23</v>
      </c>
      <c r="AQ1803">
        <v>0</v>
      </c>
      <c r="AR1803">
        <f>IF(SUM(ifood_data[[#This Row],[Kidhome]:[Teenhome]])&gt;0,1,0)</f>
        <v>1</v>
      </c>
      <c r="AS1803" t="str">
        <f>IF(SUM(ifood_data[[#This Row],[Kidhome]:[Teenhome]])&gt;0,"Has Family","No Family")</f>
        <v>Has Family</v>
      </c>
      <c r="AT1803" t="str">
        <f>IF(ifood_data[[#This Row],[marital_Married]]=1,"Married", (IF(ifood_data[[#This Row],[marital_Single]]=1,"Single",(IF(ifood_data[[#This Row],[marital_Divorced]]=1,"Divorced",(IF(ifood_data[[#This Row],[marital_Together]]=1,"Living Together",(IF(ifood_data[[#This Row],[marital_Widow]]=1,"Widow","Other")))))))))</f>
        <v>Single</v>
      </c>
      <c r="AU1803" t="str">
        <f>IF(ifood_data[[#This Row],[education_Basic]]=1,"High School",(IF(ifood_data[[#This Row],[education_Graduation]]=1,"Undergraduate Degree",(IF(SUM(AM1803,AL1803,AI1803)&gt;0,"Master's Degree or Higher","Other")))))</f>
        <v>High School</v>
      </c>
      <c r="AV1803" t="str">
        <f>IF(ifood_data[[#All],[Income]]&gt;75000,"75K+",(IF(ifood_data[[#All],[Income]]&gt;50000,"50K-75K",(IF(ifood_data[[#All],[Income]]&gt;35000,"35K-50K","&lt;35K")))))</f>
        <v>&lt;35K</v>
      </c>
      <c r="AW1803" t="str">
        <f>IF(ifood_data[[#All],[Age]]&gt;60,"60+",(IF(ifood_data[[#All],[Age]]&gt;50,"50-60",(IF(ifood_data[[#All],[Age]]&gt;40,"40-50",(IF(ifood_data[[#All],[Age]]&gt;30,"30-40","&lt;30")))))))</f>
        <v>40-50</v>
      </c>
      <c r="AX1803">
        <f t="shared" si="112"/>
        <v>14</v>
      </c>
      <c r="AY1803">
        <f t="shared" si="113"/>
        <v>8</v>
      </c>
      <c r="AZ1803">
        <f t="shared" si="114"/>
        <v>2</v>
      </c>
      <c r="BA1803">
        <f t="shared" si="115"/>
        <v>2</v>
      </c>
      <c r="BB1803">
        <f>SUM(ifood_data[[#This Row],[Recency Score]:[Monetary Score]])</f>
        <v>12</v>
      </c>
      <c r="BC1803">
        <f>(_xlfn.PERCENTRANK.INC(ifood_data[[#All],[RFM]],ifood_data[[#This Row],[RFM]],1))*10</f>
        <v>3</v>
      </c>
      <c r="BD1803" t="str">
        <f>VLOOKUP(ifood_data[[#This Row],[RFM Score]],'RFM Analysis'!$A$3:$B$14,2,FALSE)</f>
        <v>At Risk</v>
      </c>
      <c r="BE1803">
        <f>'Regression Models'!$B$101+'Regression Models'!$B$102*ifood_data[[#This Row],[Income]]+'Regression Models'!$B$103*ifood_data[[#This Row],[Age]]+'Regression Models'!$B$104*ifood_data[[#This Row],[Family]]</f>
        <v>-14.522026833591099</v>
      </c>
      <c r="BF1803" t="str">
        <f>IF(ifood_data[[#This Row],[AcceptedCmpOverall]]=1,"Campaign Respondent","Non-respondent")</f>
        <v>Non-respondent</v>
      </c>
    </row>
    <row r="1804" spans="1:58" x14ac:dyDescent="0.35">
      <c r="A1804">
        <v>883</v>
      </c>
      <c r="B1804">
        <v>25443</v>
      </c>
      <c r="C1804">
        <v>1</v>
      </c>
      <c r="D1804">
        <v>0</v>
      </c>
      <c r="E1804">
        <v>82</v>
      </c>
      <c r="F1804">
        <v>1</v>
      </c>
      <c r="G1804">
        <v>4</v>
      </c>
      <c r="H1804">
        <v>3</v>
      </c>
      <c r="I1804">
        <v>8</v>
      </c>
      <c r="J1804">
        <v>9</v>
      </c>
      <c r="K1804">
        <v>7</v>
      </c>
      <c r="L1804">
        <v>1</v>
      </c>
      <c r="M1804">
        <v>1</v>
      </c>
      <c r="N1804">
        <v>0</v>
      </c>
      <c r="O1804">
        <v>3</v>
      </c>
      <c r="P1804">
        <v>8</v>
      </c>
      <c r="Q1804">
        <v>0</v>
      </c>
      <c r="R1804">
        <v>0</v>
      </c>
      <c r="S1804">
        <v>0</v>
      </c>
      <c r="T1804">
        <v>0</v>
      </c>
      <c r="U1804">
        <v>0</v>
      </c>
      <c r="V1804">
        <f>IF(SUM(ifood_data[[#This Row],[AcceptedCmp1]:[AcceptedCmp5]])&gt;0,1,0)</f>
        <v>0</v>
      </c>
      <c r="W1804">
        <v>0</v>
      </c>
      <c r="X1804">
        <v>3</v>
      </c>
      <c r="Y1804">
        <v>11</v>
      </c>
      <c r="Z1804">
        <v>0</v>
      </c>
      <c r="AA1804">
        <v>31</v>
      </c>
      <c r="AB1804">
        <v>2713</v>
      </c>
      <c r="AC1804" s="28">
        <f>ifood_data[[#This Row],[Customer_Days]]/365</f>
        <v>7.4328767123287669</v>
      </c>
      <c r="AD1804">
        <v>0</v>
      </c>
      <c r="AE1804">
        <v>1</v>
      </c>
      <c r="AF1804">
        <v>0</v>
      </c>
      <c r="AG1804">
        <v>0</v>
      </c>
      <c r="AH1804">
        <v>0</v>
      </c>
      <c r="AI1804">
        <v>0</v>
      </c>
      <c r="AJ1804">
        <v>1</v>
      </c>
      <c r="AK1804">
        <v>0</v>
      </c>
      <c r="AL1804">
        <v>0</v>
      </c>
      <c r="AM1804">
        <v>0</v>
      </c>
      <c r="AN1804">
        <v>25</v>
      </c>
      <c r="AO1804">
        <v>18</v>
      </c>
      <c r="AP1804">
        <f>ifood_data[[#This Row],[MntTotal]]-ifood_data[[#This Row],[MntRegularProds]]</f>
        <v>7</v>
      </c>
      <c r="AQ1804">
        <v>0</v>
      </c>
      <c r="AR1804">
        <f>IF(SUM(ifood_data[[#This Row],[Kidhome]:[Teenhome]])&gt;0,1,0)</f>
        <v>1</v>
      </c>
      <c r="AS1804" t="str">
        <f>IF(SUM(ifood_data[[#This Row],[Kidhome]:[Teenhome]])&gt;0,"Has Family","No Family")</f>
        <v>Has Family</v>
      </c>
      <c r="AT1804" t="str">
        <f>IF(ifood_data[[#This Row],[marital_Married]]=1,"Married", (IF(ifood_data[[#This Row],[marital_Single]]=1,"Single",(IF(ifood_data[[#This Row],[marital_Divorced]]=1,"Divorced",(IF(ifood_data[[#This Row],[marital_Together]]=1,"Living Together",(IF(ifood_data[[#This Row],[marital_Widow]]=1,"Widow","Other")))))))))</f>
        <v>Married</v>
      </c>
      <c r="AU1804" t="str">
        <f>IF(ifood_data[[#This Row],[education_Basic]]=1,"High School",(IF(ifood_data[[#This Row],[education_Graduation]]=1,"Undergraduate Degree",(IF(SUM(AM1804,AL1804,AI1804)&gt;0,"Master's Degree or Higher","Other")))))</f>
        <v>High School</v>
      </c>
      <c r="AV1804" t="str">
        <f>IF(ifood_data[[#All],[Income]]&gt;75000,"75K+",(IF(ifood_data[[#All],[Income]]&gt;50000,"50K-75K",(IF(ifood_data[[#All],[Income]]&gt;35000,"35K-50K","&lt;35K")))))</f>
        <v>&lt;35K</v>
      </c>
      <c r="AW1804" t="str">
        <f>IF(ifood_data[[#All],[Age]]&gt;60,"60+",(IF(ifood_data[[#All],[Age]]&gt;50,"50-60",(IF(ifood_data[[#All],[Age]]&gt;40,"40-50",(IF(ifood_data[[#All],[Age]]&gt;30,"30-40","&lt;30")))))))</f>
        <v>30-40</v>
      </c>
      <c r="AX1804">
        <f t="shared" si="112"/>
        <v>13</v>
      </c>
      <c r="AY1804">
        <f t="shared" si="113"/>
        <v>1.9999999999999996</v>
      </c>
      <c r="AZ1804">
        <f t="shared" si="114"/>
        <v>1</v>
      </c>
      <c r="BA1804">
        <f t="shared" si="115"/>
        <v>0</v>
      </c>
      <c r="BB1804">
        <f>SUM(ifood_data[[#This Row],[Recency Score]:[Monetary Score]])</f>
        <v>2.9999999999999996</v>
      </c>
      <c r="BC1804">
        <f>(_xlfn.PERCENTRANK.INC(ifood_data[[#All],[RFM]],ifood_data[[#This Row],[RFM]],1))*10</f>
        <v>0</v>
      </c>
      <c r="BD1804" t="str">
        <f>VLOOKUP(ifood_data[[#This Row],[RFM Score]],'RFM Analysis'!$A$3:$B$14,2,FALSE)</f>
        <v>Lost</v>
      </c>
      <c r="BE1804">
        <f>'Regression Models'!$B$101+'Regression Models'!$B$102*ifood_data[[#This Row],[Income]]+'Regression Models'!$B$103*ifood_data[[#This Row],[Age]]+'Regression Models'!$B$104*ifood_data[[#This Row],[Family]]</f>
        <v>-15.607070907984564</v>
      </c>
      <c r="BF1804" t="str">
        <f>IF(ifood_data[[#This Row],[AcceptedCmpOverall]]=1,"Campaign Respondent","Non-respondent")</f>
        <v>Non-respondent</v>
      </c>
    </row>
    <row r="1805" spans="1:58" x14ac:dyDescent="0.35">
      <c r="A1805">
        <v>639</v>
      </c>
      <c r="B1805">
        <v>26751</v>
      </c>
      <c r="C1805">
        <v>2</v>
      </c>
      <c r="D1805">
        <v>0</v>
      </c>
      <c r="E1805">
        <v>26</v>
      </c>
      <c r="F1805">
        <v>1</v>
      </c>
      <c r="G1805">
        <v>1</v>
      </c>
      <c r="H1805">
        <v>5</v>
      </c>
      <c r="I1805">
        <v>0</v>
      </c>
      <c r="J1805">
        <v>3</v>
      </c>
      <c r="K1805">
        <v>1</v>
      </c>
      <c r="L1805">
        <v>1</v>
      </c>
      <c r="M1805">
        <v>1</v>
      </c>
      <c r="N1805">
        <v>0</v>
      </c>
      <c r="O1805">
        <v>2</v>
      </c>
      <c r="P1805">
        <v>8</v>
      </c>
      <c r="Q1805">
        <v>0</v>
      </c>
      <c r="R1805">
        <v>0</v>
      </c>
      <c r="S1805">
        <v>0</v>
      </c>
      <c r="T1805">
        <v>0</v>
      </c>
      <c r="U1805">
        <v>0</v>
      </c>
      <c r="V1805">
        <f>IF(SUM(ifood_data[[#This Row],[AcceptedCmp1]:[AcceptedCmp5]])&gt;0,1,0)</f>
        <v>0</v>
      </c>
      <c r="W1805">
        <v>0</v>
      </c>
      <c r="X1805">
        <v>3</v>
      </c>
      <c r="Y1805">
        <v>11</v>
      </c>
      <c r="Z1805">
        <v>0</v>
      </c>
      <c r="AA1805">
        <v>46</v>
      </c>
      <c r="AB1805">
        <v>2197</v>
      </c>
      <c r="AC1805" s="28">
        <f>ifood_data[[#This Row],[Customer_Days]]/365</f>
        <v>6.0191780821917806</v>
      </c>
      <c r="AD1805">
        <v>0</v>
      </c>
      <c r="AE1805">
        <v>1</v>
      </c>
      <c r="AF1805">
        <v>0</v>
      </c>
      <c r="AG1805">
        <v>0</v>
      </c>
      <c r="AH1805">
        <v>0</v>
      </c>
      <c r="AI1805">
        <v>0</v>
      </c>
      <c r="AJ1805">
        <v>0</v>
      </c>
      <c r="AK1805">
        <v>1</v>
      </c>
      <c r="AL1805">
        <v>0</v>
      </c>
      <c r="AM1805">
        <v>0</v>
      </c>
      <c r="AN1805">
        <v>10</v>
      </c>
      <c r="AO1805">
        <v>9</v>
      </c>
      <c r="AP1805">
        <f>ifood_data[[#This Row],[MntTotal]]-ifood_data[[#This Row],[MntRegularProds]]</f>
        <v>1</v>
      </c>
      <c r="AQ1805">
        <v>0</v>
      </c>
      <c r="AR1805">
        <f>IF(SUM(ifood_data[[#This Row],[Kidhome]:[Teenhome]])&gt;0,1,0)</f>
        <v>1</v>
      </c>
      <c r="AS1805" t="str">
        <f>IF(SUM(ifood_data[[#This Row],[Kidhome]:[Teenhome]])&gt;0,"Has Family","No Family")</f>
        <v>Has Family</v>
      </c>
      <c r="AT1805" t="str">
        <f>IF(ifood_data[[#This Row],[marital_Married]]=1,"Married", (IF(ifood_data[[#This Row],[marital_Single]]=1,"Single",(IF(ifood_data[[#This Row],[marital_Divorced]]=1,"Divorced",(IF(ifood_data[[#This Row],[marital_Together]]=1,"Living Together",(IF(ifood_data[[#This Row],[marital_Widow]]=1,"Widow","Other")))))))))</f>
        <v>Married</v>
      </c>
      <c r="AU1805" t="str">
        <f>IF(ifood_data[[#This Row],[education_Basic]]=1,"High School",(IF(ifood_data[[#This Row],[education_Graduation]]=1,"Undergraduate Degree",(IF(SUM(AM1805,AL1805,AI1805)&gt;0,"Master's Degree or Higher","Other")))))</f>
        <v>Undergraduate Degree</v>
      </c>
      <c r="AV1805" t="str">
        <f>IF(ifood_data[[#All],[Income]]&gt;75000,"75K+",(IF(ifood_data[[#All],[Income]]&gt;50000,"50K-75K",(IF(ifood_data[[#All],[Income]]&gt;35000,"35K-50K","&lt;35K")))))</f>
        <v>&lt;35K</v>
      </c>
      <c r="AW1805" t="str">
        <f>IF(ifood_data[[#All],[Age]]&gt;60,"60+",(IF(ifood_data[[#All],[Age]]&gt;50,"50-60",(IF(ifood_data[[#All],[Age]]&gt;40,"40-50",(IF(ifood_data[[#All],[Age]]&gt;30,"30-40","&lt;30")))))))</f>
        <v>40-50</v>
      </c>
      <c r="AX1805">
        <f t="shared" si="112"/>
        <v>12</v>
      </c>
      <c r="AY1805">
        <f t="shared" si="113"/>
        <v>8</v>
      </c>
      <c r="AZ1805">
        <f t="shared" si="114"/>
        <v>1</v>
      </c>
      <c r="BA1805">
        <f t="shared" si="115"/>
        <v>0</v>
      </c>
      <c r="BB1805">
        <f>SUM(ifood_data[[#This Row],[Recency Score]:[Monetary Score]])</f>
        <v>9</v>
      </c>
      <c r="BC1805">
        <f>(_xlfn.PERCENTRANK.INC(ifood_data[[#All],[RFM]],ifood_data[[#This Row],[RFM]],1))*10</f>
        <v>1</v>
      </c>
      <c r="BD1805" t="str">
        <f>VLOOKUP(ifood_data[[#This Row],[RFM Score]],'RFM Analysis'!$A$3:$B$14,2,FALSE)</f>
        <v>At Risk</v>
      </c>
      <c r="BE1805">
        <f>'Regression Models'!$B$101+'Regression Models'!$B$102*ifood_data[[#This Row],[Income]]+'Regression Models'!$B$103*ifood_data[[#This Row],[Age]]+'Regression Models'!$B$104*ifood_data[[#This Row],[Family]]</f>
        <v>-16.485148359178879</v>
      </c>
      <c r="BF1805" t="str">
        <f>IF(ifood_data[[#This Row],[AcceptedCmpOverall]]=1,"Campaign Respondent","Non-respondent")</f>
        <v>Non-respondent</v>
      </c>
    </row>
    <row r="1806" spans="1:58" x14ac:dyDescent="0.35">
      <c r="A1806">
        <v>498</v>
      </c>
      <c r="B1806">
        <v>25545</v>
      </c>
      <c r="C1806">
        <v>1</v>
      </c>
      <c r="D1806">
        <v>0</v>
      </c>
      <c r="E1806">
        <v>35</v>
      </c>
      <c r="F1806">
        <v>32</v>
      </c>
      <c r="G1806">
        <v>1</v>
      </c>
      <c r="H1806">
        <v>64</v>
      </c>
      <c r="I1806">
        <v>16</v>
      </c>
      <c r="J1806">
        <v>12</v>
      </c>
      <c r="K1806">
        <v>85</v>
      </c>
      <c r="L1806">
        <v>3</v>
      </c>
      <c r="M1806">
        <v>2</v>
      </c>
      <c r="N1806">
        <v>2</v>
      </c>
      <c r="O1806">
        <v>3</v>
      </c>
      <c r="P1806">
        <v>6</v>
      </c>
      <c r="Q1806">
        <v>0</v>
      </c>
      <c r="R1806">
        <v>0</v>
      </c>
      <c r="S1806">
        <v>0</v>
      </c>
      <c r="T1806">
        <v>0</v>
      </c>
      <c r="U1806">
        <v>0</v>
      </c>
      <c r="V1806">
        <f>IF(SUM(ifood_data[[#This Row],[AcceptedCmp1]:[AcceptedCmp5]])&gt;0,1,0)</f>
        <v>0</v>
      </c>
      <c r="W1806">
        <v>0</v>
      </c>
      <c r="X1806">
        <v>3</v>
      </c>
      <c r="Y1806">
        <v>11</v>
      </c>
      <c r="Z1806">
        <v>1</v>
      </c>
      <c r="AA1806">
        <v>33</v>
      </c>
      <c r="AB1806">
        <v>2818</v>
      </c>
      <c r="AC1806" s="28">
        <f>ifood_data[[#This Row],[Customer_Days]]/365</f>
        <v>7.720547945205479</v>
      </c>
      <c r="AD1806">
        <v>0</v>
      </c>
      <c r="AE1806">
        <v>1</v>
      </c>
      <c r="AF1806">
        <v>0</v>
      </c>
      <c r="AG1806">
        <v>0</v>
      </c>
      <c r="AH1806">
        <v>0</v>
      </c>
      <c r="AI1806">
        <v>0</v>
      </c>
      <c r="AJ1806">
        <v>0</v>
      </c>
      <c r="AK1806">
        <v>1</v>
      </c>
      <c r="AL1806">
        <v>0</v>
      </c>
      <c r="AM1806">
        <v>0</v>
      </c>
      <c r="AN1806">
        <v>125</v>
      </c>
      <c r="AO1806">
        <v>40</v>
      </c>
      <c r="AP1806">
        <f>ifood_data[[#This Row],[MntTotal]]-ifood_data[[#This Row],[MntRegularProds]]</f>
        <v>85</v>
      </c>
      <c r="AQ1806">
        <v>0</v>
      </c>
      <c r="AR1806">
        <f>IF(SUM(ifood_data[[#This Row],[Kidhome]:[Teenhome]])&gt;0,1,0)</f>
        <v>1</v>
      </c>
      <c r="AS1806" t="str">
        <f>IF(SUM(ifood_data[[#This Row],[Kidhome]:[Teenhome]])&gt;0,"Has Family","No Family")</f>
        <v>Has Family</v>
      </c>
      <c r="AT1806" t="str">
        <f>IF(ifood_data[[#This Row],[marital_Married]]=1,"Married", (IF(ifood_data[[#This Row],[marital_Single]]=1,"Single",(IF(ifood_data[[#This Row],[marital_Divorced]]=1,"Divorced",(IF(ifood_data[[#This Row],[marital_Together]]=1,"Living Together",(IF(ifood_data[[#This Row],[marital_Widow]]=1,"Widow","Other")))))))))</f>
        <v>Married</v>
      </c>
      <c r="AU1806" t="str">
        <f>IF(ifood_data[[#This Row],[education_Basic]]=1,"High School",(IF(ifood_data[[#This Row],[education_Graduation]]=1,"Undergraduate Degree",(IF(SUM(AM1806,AL1806,AI1806)&gt;0,"Master's Degree or Higher","Other")))))</f>
        <v>Undergraduate Degree</v>
      </c>
      <c r="AV1806" t="str">
        <f>IF(ifood_data[[#All],[Income]]&gt;75000,"75K+",(IF(ifood_data[[#All],[Income]]&gt;50000,"50K-75K",(IF(ifood_data[[#All],[Income]]&gt;35000,"35K-50K","&lt;35K")))))</f>
        <v>&lt;35K</v>
      </c>
      <c r="AW1806" t="str">
        <f>IF(ifood_data[[#All],[Age]]&gt;60,"60+",(IF(ifood_data[[#All],[Age]]&gt;50,"50-60",(IF(ifood_data[[#All],[Age]]&gt;40,"40-50",(IF(ifood_data[[#All],[Age]]&gt;30,"30-40","&lt;30")))))))</f>
        <v>30-40</v>
      </c>
      <c r="AX1806">
        <f t="shared" si="112"/>
        <v>16</v>
      </c>
      <c r="AY1806">
        <f t="shared" si="113"/>
        <v>7</v>
      </c>
      <c r="AZ1806">
        <f t="shared" si="114"/>
        <v>3</v>
      </c>
      <c r="BA1806">
        <f t="shared" si="115"/>
        <v>3</v>
      </c>
      <c r="BB1806">
        <f>SUM(ifood_data[[#This Row],[Recency Score]:[Monetary Score]])</f>
        <v>13</v>
      </c>
      <c r="BC1806">
        <f>(_xlfn.PERCENTRANK.INC(ifood_data[[#All],[RFM]],ifood_data[[#This Row],[RFM]],1))*10</f>
        <v>3</v>
      </c>
      <c r="BD1806" t="str">
        <f>VLOOKUP(ifood_data[[#This Row],[RFM Score]],'RFM Analysis'!$A$3:$B$14,2,FALSE)</f>
        <v>At Risk</v>
      </c>
      <c r="BE1806">
        <f>'Regression Models'!$B$101+'Regression Models'!$B$102*ifood_data[[#This Row],[Income]]+'Regression Models'!$B$103*ifood_data[[#This Row],[Age]]+'Regression Models'!$B$104*ifood_data[[#This Row],[Family]]</f>
        <v>-17.200294715095367</v>
      </c>
      <c r="BF1806" t="str">
        <f>IF(ifood_data[[#This Row],[AcceptedCmpOverall]]=1,"Campaign Respondent","Non-respondent")</f>
        <v>Non-respondent</v>
      </c>
    </row>
    <row r="1807" spans="1:58" x14ac:dyDescent="0.35">
      <c r="A1807">
        <v>1118</v>
      </c>
      <c r="B1807">
        <v>26954</v>
      </c>
      <c r="C1807">
        <v>1</v>
      </c>
      <c r="D1807">
        <v>0</v>
      </c>
      <c r="E1807">
        <v>17</v>
      </c>
      <c r="F1807">
        <v>4</v>
      </c>
      <c r="G1807">
        <v>1</v>
      </c>
      <c r="H1807">
        <v>11</v>
      </c>
      <c r="I1807">
        <v>0</v>
      </c>
      <c r="J1807">
        <v>0</v>
      </c>
      <c r="K1807">
        <v>1</v>
      </c>
      <c r="L1807">
        <v>1</v>
      </c>
      <c r="M1807">
        <v>1</v>
      </c>
      <c r="N1807">
        <v>0</v>
      </c>
      <c r="O1807">
        <v>2</v>
      </c>
      <c r="P1807">
        <v>7</v>
      </c>
      <c r="Q1807">
        <v>0</v>
      </c>
      <c r="R1807">
        <v>0</v>
      </c>
      <c r="S1807">
        <v>0</v>
      </c>
      <c r="T1807">
        <v>0</v>
      </c>
      <c r="U1807">
        <v>0</v>
      </c>
      <c r="V1807">
        <f>IF(SUM(ifood_data[[#This Row],[AcceptedCmp1]:[AcceptedCmp5]])&gt;0,1,0)</f>
        <v>0</v>
      </c>
      <c r="W1807">
        <v>0</v>
      </c>
      <c r="X1807">
        <v>3</v>
      </c>
      <c r="Y1807">
        <v>11</v>
      </c>
      <c r="Z1807">
        <v>0</v>
      </c>
      <c r="AA1807">
        <v>49</v>
      </c>
      <c r="AB1807">
        <v>2211</v>
      </c>
      <c r="AC1807" s="28">
        <f>ifood_data[[#This Row],[Customer_Days]]/365</f>
        <v>6.0575342465753428</v>
      </c>
      <c r="AD1807">
        <v>0</v>
      </c>
      <c r="AE1807">
        <v>0</v>
      </c>
      <c r="AF1807">
        <v>1</v>
      </c>
      <c r="AG1807">
        <v>0</v>
      </c>
      <c r="AH1807">
        <v>0</v>
      </c>
      <c r="AI1807">
        <v>0</v>
      </c>
      <c r="AJ1807">
        <v>0</v>
      </c>
      <c r="AK1807">
        <v>1</v>
      </c>
      <c r="AL1807">
        <v>0</v>
      </c>
      <c r="AM1807">
        <v>0</v>
      </c>
      <c r="AN1807">
        <v>16</v>
      </c>
      <c r="AO1807">
        <v>15</v>
      </c>
      <c r="AP1807">
        <f>ifood_data[[#This Row],[MntTotal]]-ifood_data[[#This Row],[MntRegularProds]]</f>
        <v>1</v>
      </c>
      <c r="AQ1807">
        <v>0</v>
      </c>
      <c r="AR1807">
        <f>IF(SUM(ifood_data[[#This Row],[Kidhome]:[Teenhome]])&gt;0,1,0)</f>
        <v>1</v>
      </c>
      <c r="AS1807" t="str">
        <f>IF(SUM(ifood_data[[#This Row],[Kidhome]:[Teenhome]])&gt;0,"Has Family","No Family")</f>
        <v>Has Family</v>
      </c>
      <c r="AT1807" t="str">
        <f>IF(ifood_data[[#This Row],[marital_Married]]=1,"Married", (IF(ifood_data[[#This Row],[marital_Single]]=1,"Single",(IF(ifood_data[[#This Row],[marital_Divorced]]=1,"Divorced",(IF(ifood_data[[#This Row],[marital_Together]]=1,"Living Together",(IF(ifood_data[[#This Row],[marital_Widow]]=1,"Widow","Other")))))))))</f>
        <v>Single</v>
      </c>
      <c r="AU1807" t="str">
        <f>IF(ifood_data[[#This Row],[education_Basic]]=1,"High School",(IF(ifood_data[[#This Row],[education_Graduation]]=1,"Undergraduate Degree",(IF(SUM(AM1807,AL1807,AI1807)&gt;0,"Master's Degree or Higher","Other")))))</f>
        <v>Undergraduate Degree</v>
      </c>
      <c r="AV1807" t="str">
        <f>IF(ifood_data[[#All],[Income]]&gt;75000,"75K+",(IF(ifood_data[[#All],[Income]]&gt;50000,"50K-75K",(IF(ifood_data[[#All],[Income]]&gt;35000,"35K-50K","&lt;35K")))))</f>
        <v>&lt;35K</v>
      </c>
      <c r="AW1807" t="str">
        <f>IF(ifood_data[[#All],[Age]]&gt;60,"60+",(IF(ifood_data[[#All],[Age]]&gt;50,"50-60",(IF(ifood_data[[#All],[Age]]&gt;40,"40-50",(IF(ifood_data[[#All],[Age]]&gt;30,"30-40","&lt;30")))))))</f>
        <v>40-50</v>
      </c>
      <c r="AX1807">
        <f t="shared" si="112"/>
        <v>11</v>
      </c>
      <c r="AY1807">
        <f t="shared" si="113"/>
        <v>9</v>
      </c>
      <c r="AZ1807">
        <f t="shared" si="114"/>
        <v>0</v>
      </c>
      <c r="BA1807">
        <f t="shared" si="115"/>
        <v>0</v>
      </c>
      <c r="BB1807">
        <f>SUM(ifood_data[[#This Row],[Recency Score]:[Monetary Score]])</f>
        <v>9</v>
      </c>
      <c r="BC1807">
        <f>(_xlfn.PERCENTRANK.INC(ifood_data[[#All],[RFM]],ifood_data[[#This Row],[RFM]],1))*10</f>
        <v>1</v>
      </c>
      <c r="BD1807" t="str">
        <f>VLOOKUP(ifood_data[[#This Row],[RFM Score]],'RFM Analysis'!$A$3:$B$14,2,FALSE)</f>
        <v>At Risk</v>
      </c>
      <c r="BE1807">
        <f>'Regression Models'!$B$101+'Regression Models'!$B$102*ifood_data[[#This Row],[Income]]+'Regression Models'!$B$103*ifood_data[[#This Row],[Age]]+'Regression Models'!$B$104*ifood_data[[#This Row],[Family]]</f>
        <v>-17.855545662650229</v>
      </c>
      <c r="BF1807" t="str">
        <f>IF(ifood_data[[#This Row],[AcceptedCmpOverall]]=1,"Campaign Respondent","Non-respondent")</f>
        <v>Non-respondent</v>
      </c>
    </row>
    <row r="1808" spans="1:58" x14ac:dyDescent="0.35">
      <c r="A1808">
        <v>1416</v>
      </c>
      <c r="B1808">
        <v>28087</v>
      </c>
      <c r="C1808">
        <v>1</v>
      </c>
      <c r="D1808">
        <v>1</v>
      </c>
      <c r="E1808">
        <v>77</v>
      </c>
      <c r="F1808">
        <v>53</v>
      </c>
      <c r="G1808">
        <v>8</v>
      </c>
      <c r="H1808">
        <v>17</v>
      </c>
      <c r="I1808">
        <v>13</v>
      </c>
      <c r="J1808">
        <v>0</v>
      </c>
      <c r="K1808">
        <v>21</v>
      </c>
      <c r="L1808">
        <v>3</v>
      </c>
      <c r="M1808">
        <v>2</v>
      </c>
      <c r="N1808">
        <v>2</v>
      </c>
      <c r="O1808">
        <v>2</v>
      </c>
      <c r="P1808">
        <v>7</v>
      </c>
      <c r="Q1808">
        <v>0</v>
      </c>
      <c r="R1808">
        <v>0</v>
      </c>
      <c r="S1808">
        <v>0</v>
      </c>
      <c r="T1808">
        <v>0</v>
      </c>
      <c r="U1808">
        <v>0</v>
      </c>
      <c r="V1808">
        <f>IF(SUM(ifood_data[[#This Row],[AcceptedCmp1]:[AcceptedCmp5]])&gt;0,1,0)</f>
        <v>0</v>
      </c>
      <c r="W1808">
        <v>0</v>
      </c>
      <c r="X1808">
        <v>3</v>
      </c>
      <c r="Y1808">
        <v>11</v>
      </c>
      <c r="Z1808">
        <v>0</v>
      </c>
      <c r="AA1808">
        <v>62</v>
      </c>
      <c r="AB1808">
        <v>2724</v>
      </c>
      <c r="AC1808" s="28">
        <f>ifood_data[[#This Row],[Customer_Days]]/365</f>
        <v>7.463013698630137</v>
      </c>
      <c r="AD1808">
        <v>0</v>
      </c>
      <c r="AE1808">
        <v>0</v>
      </c>
      <c r="AF1808">
        <v>0</v>
      </c>
      <c r="AG1808">
        <v>1</v>
      </c>
      <c r="AH1808">
        <v>0</v>
      </c>
      <c r="AI1808">
        <v>0</v>
      </c>
      <c r="AJ1808">
        <v>0</v>
      </c>
      <c r="AK1808">
        <v>1</v>
      </c>
      <c r="AL1808">
        <v>0</v>
      </c>
      <c r="AM1808">
        <v>0</v>
      </c>
      <c r="AN1808">
        <v>91</v>
      </c>
      <c r="AO1808">
        <v>70</v>
      </c>
      <c r="AP1808">
        <f>ifood_data[[#This Row],[MntTotal]]-ifood_data[[#This Row],[MntRegularProds]]</f>
        <v>21</v>
      </c>
      <c r="AQ1808">
        <v>0</v>
      </c>
      <c r="AR1808">
        <f>IF(SUM(ifood_data[[#This Row],[Kidhome]:[Teenhome]])&gt;0,1,0)</f>
        <v>1</v>
      </c>
      <c r="AS1808" t="str">
        <f>IF(SUM(ifood_data[[#This Row],[Kidhome]:[Teenhome]])&gt;0,"Has Family","No Family")</f>
        <v>Has Family</v>
      </c>
      <c r="AT1808" t="str">
        <f>IF(ifood_data[[#This Row],[marital_Married]]=1,"Married", (IF(ifood_data[[#This Row],[marital_Single]]=1,"Single",(IF(ifood_data[[#This Row],[marital_Divorced]]=1,"Divorced",(IF(ifood_data[[#This Row],[marital_Together]]=1,"Living Together",(IF(ifood_data[[#This Row],[marital_Widow]]=1,"Widow","Other")))))))))</f>
        <v>Living Together</v>
      </c>
      <c r="AU1808" t="str">
        <f>IF(ifood_data[[#This Row],[education_Basic]]=1,"High School",(IF(ifood_data[[#This Row],[education_Graduation]]=1,"Undergraduate Degree",(IF(SUM(AM1808,AL1808,AI1808)&gt;0,"Master's Degree or Higher","Other")))))</f>
        <v>Undergraduate Degree</v>
      </c>
      <c r="AV1808" t="str">
        <f>IF(ifood_data[[#All],[Income]]&gt;75000,"75K+",(IF(ifood_data[[#All],[Income]]&gt;50000,"50K-75K",(IF(ifood_data[[#All],[Income]]&gt;35000,"35K-50K","&lt;35K")))))</f>
        <v>&lt;35K</v>
      </c>
      <c r="AW1808" t="str">
        <f>IF(ifood_data[[#All],[Age]]&gt;60,"60+",(IF(ifood_data[[#All],[Age]]&gt;50,"50-60",(IF(ifood_data[[#All],[Age]]&gt;40,"40-50",(IF(ifood_data[[#All],[Age]]&gt;30,"30-40","&lt;30")))))))</f>
        <v>60+</v>
      </c>
      <c r="AX1808">
        <f t="shared" si="112"/>
        <v>16</v>
      </c>
      <c r="AY1808">
        <f t="shared" si="113"/>
        <v>3.0000000000000004</v>
      </c>
      <c r="AZ1808">
        <f t="shared" si="114"/>
        <v>3</v>
      </c>
      <c r="BA1808">
        <f t="shared" si="115"/>
        <v>3</v>
      </c>
      <c r="BB1808">
        <f>SUM(ifood_data[[#This Row],[Recency Score]:[Monetary Score]])</f>
        <v>9</v>
      </c>
      <c r="BC1808">
        <f>(_xlfn.PERCENTRANK.INC(ifood_data[[#All],[RFM]],ifood_data[[#This Row],[RFM]],1))*10</f>
        <v>1</v>
      </c>
      <c r="BD1808" t="str">
        <f>VLOOKUP(ifood_data[[#This Row],[RFM Score]],'RFM Analysis'!$A$3:$B$14,2,FALSE)</f>
        <v>At Risk</v>
      </c>
      <c r="BE1808">
        <f>'Regression Models'!$B$101+'Regression Models'!$B$102*ifood_data[[#This Row],[Income]]+'Regression Models'!$B$103*ifood_data[[#This Row],[Age]]+'Regression Models'!$B$104*ifood_data[[#This Row],[Family]]</f>
        <v>-18.62877938123836</v>
      </c>
      <c r="BF1808" t="str">
        <f>IF(ifood_data[[#This Row],[AcceptedCmpOverall]]=1,"Campaign Respondent","Non-respondent")</f>
        <v>Non-respondent</v>
      </c>
    </row>
    <row r="1809" spans="1:58" x14ac:dyDescent="0.35">
      <c r="A1809">
        <v>1168</v>
      </c>
      <c r="B1809">
        <v>25707</v>
      </c>
      <c r="C1809">
        <v>1</v>
      </c>
      <c r="D1809">
        <v>0</v>
      </c>
      <c r="E1809">
        <v>18</v>
      </c>
      <c r="F1809">
        <v>1</v>
      </c>
      <c r="G1809">
        <v>6</v>
      </c>
      <c r="H1809">
        <v>2</v>
      </c>
      <c r="I1809">
        <v>3</v>
      </c>
      <c r="J1809">
        <v>6</v>
      </c>
      <c r="K1809">
        <v>3</v>
      </c>
      <c r="L1809">
        <v>1</v>
      </c>
      <c r="M1809">
        <v>1</v>
      </c>
      <c r="N1809">
        <v>0</v>
      </c>
      <c r="O1809">
        <v>3</v>
      </c>
      <c r="P1809">
        <v>7</v>
      </c>
      <c r="Q1809">
        <v>0</v>
      </c>
      <c r="R1809">
        <v>0</v>
      </c>
      <c r="S1809">
        <v>0</v>
      </c>
      <c r="T1809">
        <v>0</v>
      </c>
      <c r="U1809">
        <v>0</v>
      </c>
      <c r="V1809">
        <f>IF(SUM(ifood_data[[#This Row],[AcceptedCmp1]:[AcceptedCmp5]])&gt;0,1,0)</f>
        <v>0</v>
      </c>
      <c r="W1809">
        <v>0</v>
      </c>
      <c r="X1809">
        <v>3</v>
      </c>
      <c r="Y1809">
        <v>11</v>
      </c>
      <c r="Z1809">
        <v>0</v>
      </c>
      <c r="AA1809">
        <v>36</v>
      </c>
      <c r="AB1809">
        <v>2321</v>
      </c>
      <c r="AC1809" s="28">
        <f>ifood_data[[#This Row],[Customer_Days]]/365</f>
        <v>6.3589041095890408</v>
      </c>
      <c r="AD1809">
        <v>0</v>
      </c>
      <c r="AE1809">
        <v>0</v>
      </c>
      <c r="AF1809">
        <v>1</v>
      </c>
      <c r="AG1809">
        <v>0</v>
      </c>
      <c r="AH1809">
        <v>0</v>
      </c>
      <c r="AI1809">
        <v>0</v>
      </c>
      <c r="AJ1809">
        <v>1</v>
      </c>
      <c r="AK1809">
        <v>0</v>
      </c>
      <c r="AL1809">
        <v>0</v>
      </c>
      <c r="AM1809">
        <v>0</v>
      </c>
      <c r="AN1809">
        <v>18</v>
      </c>
      <c r="AO1809">
        <v>15</v>
      </c>
      <c r="AP1809">
        <f>ifood_data[[#This Row],[MntTotal]]-ifood_data[[#This Row],[MntRegularProds]]</f>
        <v>3</v>
      </c>
      <c r="AQ1809">
        <v>0</v>
      </c>
      <c r="AR1809">
        <f>IF(SUM(ifood_data[[#This Row],[Kidhome]:[Teenhome]])&gt;0,1,0)</f>
        <v>1</v>
      </c>
      <c r="AS1809" t="str">
        <f>IF(SUM(ifood_data[[#This Row],[Kidhome]:[Teenhome]])&gt;0,"Has Family","No Family")</f>
        <v>Has Family</v>
      </c>
      <c r="AT1809" t="str">
        <f>IF(ifood_data[[#This Row],[marital_Married]]=1,"Married", (IF(ifood_data[[#This Row],[marital_Single]]=1,"Single",(IF(ifood_data[[#This Row],[marital_Divorced]]=1,"Divorced",(IF(ifood_data[[#This Row],[marital_Together]]=1,"Living Together",(IF(ifood_data[[#This Row],[marital_Widow]]=1,"Widow","Other")))))))))</f>
        <v>Single</v>
      </c>
      <c r="AU1809" t="str">
        <f>IF(ifood_data[[#This Row],[education_Basic]]=1,"High School",(IF(ifood_data[[#This Row],[education_Graduation]]=1,"Undergraduate Degree",(IF(SUM(AM1809,AL1809,AI1809)&gt;0,"Master's Degree or Higher","Other")))))</f>
        <v>High School</v>
      </c>
      <c r="AV1809" t="str">
        <f>IF(ifood_data[[#All],[Income]]&gt;75000,"75K+",(IF(ifood_data[[#All],[Income]]&gt;50000,"50K-75K",(IF(ifood_data[[#All],[Income]]&gt;35000,"35K-50K","&lt;35K")))))</f>
        <v>&lt;35K</v>
      </c>
      <c r="AW1809" t="str">
        <f>IF(ifood_data[[#All],[Age]]&gt;60,"60+",(IF(ifood_data[[#All],[Age]]&gt;50,"50-60",(IF(ifood_data[[#All],[Age]]&gt;40,"40-50",(IF(ifood_data[[#All],[Age]]&gt;30,"30-40","&lt;30")))))))</f>
        <v>30-40</v>
      </c>
      <c r="AX1809">
        <f t="shared" si="112"/>
        <v>12</v>
      </c>
      <c r="AY1809">
        <f t="shared" si="113"/>
        <v>9</v>
      </c>
      <c r="AZ1809">
        <f t="shared" si="114"/>
        <v>1</v>
      </c>
      <c r="BA1809">
        <f t="shared" si="115"/>
        <v>0</v>
      </c>
      <c r="BB1809">
        <f>SUM(ifood_data[[#This Row],[Recency Score]:[Monetary Score]])</f>
        <v>10</v>
      </c>
      <c r="BC1809">
        <f>(_xlfn.PERCENTRANK.INC(ifood_data[[#All],[RFM]],ifood_data[[#This Row],[RFM]],1))*10</f>
        <v>2</v>
      </c>
      <c r="BD1809" t="str">
        <f>VLOOKUP(ifood_data[[#This Row],[RFM Score]],'RFM Analysis'!$A$3:$B$14,2,FALSE)</f>
        <v>At Risk</v>
      </c>
      <c r="BE1809">
        <f>'Regression Models'!$B$101+'Regression Models'!$B$102*ifood_data[[#This Row],[Income]]+'Regression Models'!$B$103*ifood_data[[#This Row],[Age]]+'Regression Models'!$B$104*ifood_data[[#This Row],[Family]]</f>
        <v>-19.406631512466618</v>
      </c>
      <c r="BF1809" t="str">
        <f>IF(ifood_data[[#This Row],[AcceptedCmpOverall]]=1,"Campaign Respondent","Non-respondent")</f>
        <v>Non-respondent</v>
      </c>
    </row>
    <row r="1810" spans="1:58" x14ac:dyDescent="0.35">
      <c r="A1810">
        <v>571</v>
      </c>
      <c r="B1810">
        <v>26224</v>
      </c>
      <c r="C1810">
        <v>1</v>
      </c>
      <c r="D1810">
        <v>0</v>
      </c>
      <c r="E1810">
        <v>39</v>
      </c>
      <c r="F1810">
        <v>4</v>
      </c>
      <c r="G1810">
        <v>7</v>
      </c>
      <c r="H1810">
        <v>15</v>
      </c>
      <c r="I1810">
        <v>13</v>
      </c>
      <c r="J1810">
        <v>9</v>
      </c>
      <c r="K1810">
        <v>15</v>
      </c>
      <c r="L1810">
        <v>3</v>
      </c>
      <c r="M1810">
        <v>2</v>
      </c>
      <c r="N1810">
        <v>1</v>
      </c>
      <c r="O1810">
        <v>3</v>
      </c>
      <c r="P1810">
        <v>6</v>
      </c>
      <c r="Q1810">
        <v>0</v>
      </c>
      <c r="R1810">
        <v>0</v>
      </c>
      <c r="S1810">
        <v>0</v>
      </c>
      <c r="T1810">
        <v>0</v>
      </c>
      <c r="U1810">
        <v>0</v>
      </c>
      <c r="V1810">
        <f>IF(SUM(ifood_data[[#This Row],[AcceptedCmp1]:[AcceptedCmp5]])&gt;0,1,0)</f>
        <v>0</v>
      </c>
      <c r="W1810">
        <v>0</v>
      </c>
      <c r="X1810">
        <v>3</v>
      </c>
      <c r="Y1810">
        <v>11</v>
      </c>
      <c r="Z1810">
        <v>0</v>
      </c>
      <c r="AA1810">
        <v>42</v>
      </c>
      <c r="AB1810">
        <v>2549</v>
      </c>
      <c r="AC1810" s="28">
        <f>ifood_data[[#This Row],[Customer_Days]]/365</f>
        <v>6.9835616438356167</v>
      </c>
      <c r="AD1810">
        <v>0</v>
      </c>
      <c r="AE1810">
        <v>1</v>
      </c>
      <c r="AF1810">
        <v>0</v>
      </c>
      <c r="AG1810">
        <v>0</v>
      </c>
      <c r="AH1810">
        <v>0</v>
      </c>
      <c r="AI1810">
        <v>1</v>
      </c>
      <c r="AJ1810">
        <v>0</v>
      </c>
      <c r="AK1810">
        <v>0</v>
      </c>
      <c r="AL1810">
        <v>0</v>
      </c>
      <c r="AM1810">
        <v>0</v>
      </c>
      <c r="AN1810">
        <v>48</v>
      </c>
      <c r="AO1810">
        <v>33</v>
      </c>
      <c r="AP1810">
        <f>ifood_data[[#This Row],[MntTotal]]-ifood_data[[#This Row],[MntRegularProds]]</f>
        <v>15</v>
      </c>
      <c r="AQ1810">
        <v>0</v>
      </c>
      <c r="AR1810">
        <f>IF(SUM(ifood_data[[#This Row],[Kidhome]:[Teenhome]])&gt;0,1,0)</f>
        <v>1</v>
      </c>
      <c r="AS1810" t="str">
        <f>IF(SUM(ifood_data[[#This Row],[Kidhome]:[Teenhome]])&gt;0,"Has Family","No Family")</f>
        <v>Has Family</v>
      </c>
      <c r="AT1810" t="str">
        <f>IF(ifood_data[[#This Row],[marital_Married]]=1,"Married", (IF(ifood_data[[#This Row],[marital_Single]]=1,"Single",(IF(ifood_data[[#This Row],[marital_Divorced]]=1,"Divorced",(IF(ifood_data[[#This Row],[marital_Together]]=1,"Living Together",(IF(ifood_data[[#This Row],[marital_Widow]]=1,"Widow","Other")))))))))</f>
        <v>Married</v>
      </c>
      <c r="AU1810" t="str">
        <f>IF(ifood_data[[#This Row],[education_Basic]]=1,"High School",(IF(ifood_data[[#This Row],[education_Graduation]]=1,"Undergraduate Degree",(IF(SUM(AM1810,AL1810,AI1810)&gt;0,"Master's Degree or Higher","Other")))))</f>
        <v>Master's Degree or Higher</v>
      </c>
      <c r="AV1810" t="str">
        <f>IF(ifood_data[[#All],[Income]]&gt;75000,"75K+",(IF(ifood_data[[#All],[Income]]&gt;50000,"50K-75K",(IF(ifood_data[[#All],[Income]]&gt;35000,"35K-50K","&lt;35K")))))</f>
        <v>&lt;35K</v>
      </c>
      <c r="AW1810" t="str">
        <f>IF(ifood_data[[#All],[Age]]&gt;60,"60+",(IF(ifood_data[[#All],[Age]]&gt;50,"50-60",(IF(ifood_data[[#All],[Age]]&gt;40,"40-50",(IF(ifood_data[[#All],[Age]]&gt;30,"30-40","&lt;30")))))))</f>
        <v>40-50</v>
      </c>
      <c r="AX1810">
        <f t="shared" si="112"/>
        <v>15</v>
      </c>
      <c r="AY1810">
        <f t="shared" si="113"/>
        <v>7</v>
      </c>
      <c r="AZ1810">
        <f t="shared" si="114"/>
        <v>2</v>
      </c>
      <c r="BA1810">
        <f t="shared" si="115"/>
        <v>2</v>
      </c>
      <c r="BB1810">
        <f>SUM(ifood_data[[#This Row],[Recency Score]:[Monetary Score]])</f>
        <v>11</v>
      </c>
      <c r="BC1810">
        <f>(_xlfn.PERCENTRANK.INC(ifood_data[[#All],[RFM]],ifood_data[[#This Row],[RFM]],1))*10</f>
        <v>2</v>
      </c>
      <c r="BD1810" t="str">
        <f>VLOOKUP(ifood_data[[#This Row],[RFM Score]],'RFM Analysis'!$A$3:$B$14,2,FALSE)</f>
        <v>At Risk</v>
      </c>
      <c r="BE1810">
        <f>'Regression Models'!$B$101+'Regression Models'!$B$102*ifood_data[[#This Row],[Income]]+'Regression Models'!$B$103*ifood_data[[#This Row],[Age]]+'Regression Models'!$B$104*ifood_data[[#This Row],[Family]]</f>
        <v>-19.884272855436507</v>
      </c>
      <c r="BF1810" t="str">
        <f>IF(ifood_data[[#This Row],[AcceptedCmpOverall]]=1,"Campaign Respondent","Non-respondent")</f>
        <v>Non-respondent</v>
      </c>
    </row>
    <row r="1811" spans="1:58" x14ac:dyDescent="0.35">
      <c r="A1811">
        <v>558</v>
      </c>
      <c r="B1811">
        <v>26850</v>
      </c>
      <c r="C1811">
        <v>1</v>
      </c>
      <c r="D1811">
        <v>1</v>
      </c>
      <c r="E1811">
        <v>10</v>
      </c>
      <c r="F1811">
        <v>31</v>
      </c>
      <c r="G1811">
        <v>1</v>
      </c>
      <c r="H1811">
        <v>13</v>
      </c>
      <c r="I1811">
        <v>7</v>
      </c>
      <c r="J1811">
        <v>2</v>
      </c>
      <c r="K1811">
        <v>9</v>
      </c>
      <c r="L1811">
        <v>4</v>
      </c>
      <c r="M1811">
        <v>2</v>
      </c>
      <c r="N1811">
        <v>1</v>
      </c>
      <c r="O1811">
        <v>4</v>
      </c>
      <c r="P1811">
        <v>4</v>
      </c>
      <c r="Q1811">
        <v>0</v>
      </c>
      <c r="R1811">
        <v>0</v>
      </c>
      <c r="S1811">
        <v>0</v>
      </c>
      <c r="T1811">
        <v>0</v>
      </c>
      <c r="U1811">
        <v>0</v>
      </c>
      <c r="V1811">
        <f>IF(SUM(ifood_data[[#This Row],[AcceptedCmp1]:[AcceptedCmp5]])&gt;0,1,0)</f>
        <v>0</v>
      </c>
      <c r="W1811">
        <v>0</v>
      </c>
      <c r="X1811">
        <v>3</v>
      </c>
      <c r="Y1811">
        <v>11</v>
      </c>
      <c r="Z1811">
        <v>0</v>
      </c>
      <c r="AA1811">
        <v>49</v>
      </c>
      <c r="AB1811">
        <v>2231</v>
      </c>
      <c r="AC1811" s="28">
        <f>ifood_data[[#This Row],[Customer_Days]]/365</f>
        <v>6.1123287671232873</v>
      </c>
      <c r="AD1811">
        <v>0</v>
      </c>
      <c r="AE1811">
        <v>0</v>
      </c>
      <c r="AF1811">
        <v>0</v>
      </c>
      <c r="AG1811">
        <v>1</v>
      </c>
      <c r="AH1811">
        <v>0</v>
      </c>
      <c r="AI1811">
        <v>1</v>
      </c>
      <c r="AJ1811">
        <v>0</v>
      </c>
      <c r="AK1811">
        <v>0</v>
      </c>
      <c r="AL1811">
        <v>0</v>
      </c>
      <c r="AM1811">
        <v>0</v>
      </c>
      <c r="AN1811">
        <v>54</v>
      </c>
      <c r="AO1811">
        <v>45</v>
      </c>
      <c r="AP1811">
        <f>ifood_data[[#This Row],[MntTotal]]-ifood_data[[#This Row],[MntRegularProds]]</f>
        <v>9</v>
      </c>
      <c r="AQ1811">
        <v>0</v>
      </c>
      <c r="AR1811">
        <f>IF(SUM(ifood_data[[#This Row],[Kidhome]:[Teenhome]])&gt;0,1,0)</f>
        <v>1</v>
      </c>
      <c r="AS1811" t="str">
        <f>IF(SUM(ifood_data[[#This Row],[Kidhome]:[Teenhome]])&gt;0,"Has Family","No Family")</f>
        <v>Has Family</v>
      </c>
      <c r="AT1811" t="str">
        <f>IF(ifood_data[[#This Row],[marital_Married]]=1,"Married", (IF(ifood_data[[#This Row],[marital_Single]]=1,"Single",(IF(ifood_data[[#This Row],[marital_Divorced]]=1,"Divorced",(IF(ifood_data[[#This Row],[marital_Together]]=1,"Living Together",(IF(ifood_data[[#This Row],[marital_Widow]]=1,"Widow","Other")))))))))</f>
        <v>Living Together</v>
      </c>
      <c r="AU1811" t="str">
        <f>IF(ifood_data[[#This Row],[education_Basic]]=1,"High School",(IF(ifood_data[[#This Row],[education_Graduation]]=1,"Undergraduate Degree",(IF(SUM(AM1811,AL1811,AI1811)&gt;0,"Master's Degree or Higher","Other")))))</f>
        <v>Master's Degree or Higher</v>
      </c>
      <c r="AV1811" t="str">
        <f>IF(ifood_data[[#All],[Income]]&gt;75000,"75K+",(IF(ifood_data[[#All],[Income]]&gt;50000,"50K-75K",(IF(ifood_data[[#All],[Income]]&gt;35000,"35K-50K","&lt;35K")))))</f>
        <v>&lt;35K</v>
      </c>
      <c r="AW1811" t="str">
        <f>IF(ifood_data[[#All],[Age]]&gt;60,"60+",(IF(ifood_data[[#All],[Age]]&gt;50,"50-60",(IF(ifood_data[[#All],[Age]]&gt;40,"40-50",(IF(ifood_data[[#All],[Age]]&gt;30,"30-40","&lt;30")))))))</f>
        <v>40-50</v>
      </c>
      <c r="AX1811">
        <f t="shared" si="112"/>
        <v>15</v>
      </c>
      <c r="AY1811">
        <f t="shared" si="113"/>
        <v>9</v>
      </c>
      <c r="AZ1811">
        <f t="shared" si="114"/>
        <v>2</v>
      </c>
      <c r="BA1811">
        <f t="shared" si="115"/>
        <v>2</v>
      </c>
      <c r="BB1811">
        <f>SUM(ifood_data[[#This Row],[Recency Score]:[Monetary Score]])</f>
        <v>13</v>
      </c>
      <c r="BC1811">
        <f>(_xlfn.PERCENTRANK.INC(ifood_data[[#All],[RFM]],ifood_data[[#This Row],[RFM]],1))*10</f>
        <v>3</v>
      </c>
      <c r="BD1811" t="str">
        <f>VLOOKUP(ifood_data[[#This Row],[RFM Score]],'RFM Analysis'!$A$3:$B$14,2,FALSE)</f>
        <v>At Risk</v>
      </c>
      <c r="BE1811">
        <f>'Regression Models'!$B$101+'Regression Models'!$B$102*ifood_data[[#This Row],[Income]]+'Regression Models'!$B$103*ifood_data[[#This Row],[Age]]+'Regression Models'!$B$104*ifood_data[[#This Row],[Family]]</f>
        <v>-19.975977549615777</v>
      </c>
      <c r="BF1811" t="str">
        <f>IF(ifood_data[[#This Row],[AcceptedCmpOverall]]=1,"Campaign Respondent","Non-respondent")</f>
        <v>Non-respondent</v>
      </c>
    </row>
    <row r="1812" spans="1:58" x14ac:dyDescent="0.35">
      <c r="A1812">
        <v>1307</v>
      </c>
      <c r="B1812">
        <v>26759</v>
      </c>
      <c r="C1812">
        <v>1</v>
      </c>
      <c r="D1812">
        <v>0</v>
      </c>
      <c r="E1812">
        <v>65</v>
      </c>
      <c r="F1812">
        <v>25</v>
      </c>
      <c r="G1812">
        <v>3</v>
      </c>
      <c r="H1812">
        <v>16</v>
      </c>
      <c r="I1812">
        <v>8</v>
      </c>
      <c r="J1812">
        <v>5</v>
      </c>
      <c r="K1812">
        <v>2</v>
      </c>
      <c r="L1812">
        <v>2</v>
      </c>
      <c r="M1812">
        <v>2</v>
      </c>
      <c r="N1812">
        <v>1</v>
      </c>
      <c r="O1812">
        <v>3</v>
      </c>
      <c r="P1812">
        <v>6</v>
      </c>
      <c r="Q1812">
        <v>0</v>
      </c>
      <c r="R1812">
        <v>0</v>
      </c>
      <c r="S1812">
        <v>0</v>
      </c>
      <c r="T1812">
        <v>0</v>
      </c>
      <c r="U1812">
        <v>0</v>
      </c>
      <c r="V1812">
        <f>IF(SUM(ifood_data[[#This Row],[AcceptedCmp1]:[AcceptedCmp5]])&gt;0,1,0)</f>
        <v>0</v>
      </c>
      <c r="W1812">
        <v>0</v>
      </c>
      <c r="X1812">
        <v>3</v>
      </c>
      <c r="Y1812">
        <v>11</v>
      </c>
      <c r="Z1812">
        <v>0</v>
      </c>
      <c r="AA1812">
        <v>48</v>
      </c>
      <c r="AB1812">
        <v>2301</v>
      </c>
      <c r="AC1812" s="28">
        <f>ifood_data[[#This Row],[Customer_Days]]/365</f>
        <v>6.3041095890410963</v>
      </c>
      <c r="AD1812">
        <v>1</v>
      </c>
      <c r="AE1812">
        <v>0</v>
      </c>
      <c r="AF1812">
        <v>0</v>
      </c>
      <c r="AG1812">
        <v>0</v>
      </c>
      <c r="AH1812">
        <v>0</v>
      </c>
      <c r="AI1812">
        <v>0</v>
      </c>
      <c r="AJ1812">
        <v>0</v>
      </c>
      <c r="AK1812">
        <v>1</v>
      </c>
      <c r="AL1812">
        <v>0</v>
      </c>
      <c r="AM1812">
        <v>0</v>
      </c>
      <c r="AN1812">
        <v>57</v>
      </c>
      <c r="AO1812">
        <v>55</v>
      </c>
      <c r="AP1812">
        <f>ifood_data[[#This Row],[MntTotal]]-ifood_data[[#This Row],[MntRegularProds]]</f>
        <v>2</v>
      </c>
      <c r="AQ1812">
        <v>0</v>
      </c>
      <c r="AR1812">
        <f>IF(SUM(ifood_data[[#This Row],[Kidhome]:[Teenhome]])&gt;0,1,0)</f>
        <v>1</v>
      </c>
      <c r="AS1812" t="str">
        <f>IF(SUM(ifood_data[[#This Row],[Kidhome]:[Teenhome]])&gt;0,"Has Family","No Family")</f>
        <v>Has Family</v>
      </c>
      <c r="AT1812" t="str">
        <f>IF(ifood_data[[#This Row],[marital_Married]]=1,"Married", (IF(ifood_data[[#This Row],[marital_Single]]=1,"Single",(IF(ifood_data[[#This Row],[marital_Divorced]]=1,"Divorced",(IF(ifood_data[[#This Row],[marital_Together]]=1,"Living Together",(IF(ifood_data[[#This Row],[marital_Widow]]=1,"Widow","Other")))))))))</f>
        <v>Divorced</v>
      </c>
      <c r="AU1812" t="str">
        <f>IF(ifood_data[[#This Row],[education_Basic]]=1,"High School",(IF(ifood_data[[#This Row],[education_Graduation]]=1,"Undergraduate Degree",(IF(SUM(AM1812,AL1812,AI1812)&gt;0,"Master's Degree or Higher","Other")))))</f>
        <v>Undergraduate Degree</v>
      </c>
      <c r="AV1812" t="str">
        <f>IF(ifood_data[[#All],[Income]]&gt;75000,"75K+",(IF(ifood_data[[#All],[Income]]&gt;50000,"50K-75K",(IF(ifood_data[[#All],[Income]]&gt;35000,"35K-50K","&lt;35K")))))</f>
        <v>&lt;35K</v>
      </c>
      <c r="AW1812" t="str">
        <f>IF(ifood_data[[#All],[Age]]&gt;60,"60+",(IF(ifood_data[[#All],[Age]]&gt;50,"50-60",(IF(ifood_data[[#All],[Age]]&gt;40,"40-50",(IF(ifood_data[[#All],[Age]]&gt;30,"30-40","&lt;30")))))))</f>
        <v>40-50</v>
      </c>
      <c r="AX1812">
        <f t="shared" si="112"/>
        <v>14</v>
      </c>
      <c r="AY1812">
        <f t="shared" si="113"/>
        <v>4</v>
      </c>
      <c r="AZ1812">
        <f t="shared" si="114"/>
        <v>2</v>
      </c>
      <c r="BA1812">
        <f t="shared" si="115"/>
        <v>2</v>
      </c>
      <c r="BB1812">
        <f>SUM(ifood_data[[#This Row],[Recency Score]:[Monetary Score]])</f>
        <v>8</v>
      </c>
      <c r="BC1812">
        <f>(_xlfn.PERCENTRANK.INC(ifood_data[[#All],[RFM]],ifood_data[[#This Row],[RFM]],1))*10</f>
        <v>1</v>
      </c>
      <c r="BD1812" t="str">
        <f>VLOOKUP(ifood_data[[#This Row],[RFM Score]],'RFM Analysis'!$A$3:$B$14,2,FALSE)</f>
        <v>At Risk</v>
      </c>
      <c r="BE1812">
        <f>'Regression Models'!$B$101+'Regression Models'!$B$102*ifood_data[[#This Row],[Income]]+'Regression Models'!$B$103*ifood_data[[#This Row],[Age]]+'Regression Models'!$B$104*ifood_data[[#This Row],[Family]]</f>
        <v>-19.994916371816316</v>
      </c>
      <c r="BF1812" t="str">
        <f>IF(ifood_data[[#This Row],[AcceptedCmpOverall]]=1,"Campaign Respondent","Non-respondent")</f>
        <v>Non-respondent</v>
      </c>
    </row>
    <row r="1813" spans="1:58" x14ac:dyDescent="0.35">
      <c r="A1813">
        <v>29</v>
      </c>
      <c r="B1813">
        <v>10979</v>
      </c>
      <c r="C1813">
        <v>0</v>
      </c>
      <c r="D1813">
        <v>0</v>
      </c>
      <c r="E1813">
        <v>34</v>
      </c>
      <c r="F1813">
        <v>8</v>
      </c>
      <c r="G1813">
        <v>4</v>
      </c>
      <c r="H1813">
        <v>10</v>
      </c>
      <c r="I1813">
        <v>2</v>
      </c>
      <c r="J1813">
        <v>2</v>
      </c>
      <c r="K1813">
        <v>4</v>
      </c>
      <c r="L1813">
        <v>2</v>
      </c>
      <c r="M1813">
        <v>3</v>
      </c>
      <c r="N1813">
        <v>0</v>
      </c>
      <c r="O1813">
        <v>3</v>
      </c>
      <c r="P1813">
        <v>5</v>
      </c>
      <c r="Q1813">
        <v>0</v>
      </c>
      <c r="R1813">
        <v>0</v>
      </c>
      <c r="S1813">
        <v>0</v>
      </c>
      <c r="T1813">
        <v>0</v>
      </c>
      <c r="U1813">
        <v>0</v>
      </c>
      <c r="V1813">
        <f>IF(SUM(ifood_data[[#This Row],[AcceptedCmp1]:[AcceptedCmp5]])&gt;0,1,0)</f>
        <v>0</v>
      </c>
      <c r="W1813">
        <v>0</v>
      </c>
      <c r="X1813">
        <v>3</v>
      </c>
      <c r="Y1813">
        <v>11</v>
      </c>
      <c r="Z1813">
        <v>0</v>
      </c>
      <c r="AA1813">
        <v>31</v>
      </c>
      <c r="AB1813">
        <v>2197</v>
      </c>
      <c r="AC1813" s="28">
        <f>ifood_data[[#This Row],[Customer_Days]]/365</f>
        <v>6.0191780821917806</v>
      </c>
      <c r="AD1813">
        <v>1</v>
      </c>
      <c r="AE1813">
        <v>0</v>
      </c>
      <c r="AF1813">
        <v>0</v>
      </c>
      <c r="AG1813">
        <v>0</v>
      </c>
      <c r="AH1813">
        <v>0</v>
      </c>
      <c r="AI1813">
        <v>0</v>
      </c>
      <c r="AJ1813">
        <v>0</v>
      </c>
      <c r="AK1813">
        <v>0</v>
      </c>
      <c r="AL1813">
        <v>1</v>
      </c>
      <c r="AM1813">
        <v>0</v>
      </c>
      <c r="AN1813">
        <v>26</v>
      </c>
      <c r="AO1813">
        <v>22</v>
      </c>
      <c r="AP1813">
        <f>ifood_data[[#This Row],[MntTotal]]-ifood_data[[#This Row],[MntRegularProds]]</f>
        <v>4</v>
      </c>
      <c r="AQ1813">
        <v>0</v>
      </c>
      <c r="AR1813">
        <f>IF(SUM(ifood_data[[#This Row],[Kidhome]:[Teenhome]])&gt;0,1,0)</f>
        <v>0</v>
      </c>
      <c r="AS1813" t="str">
        <f>IF(SUM(ifood_data[[#This Row],[Kidhome]:[Teenhome]])&gt;0,"Has Family","No Family")</f>
        <v>No Family</v>
      </c>
      <c r="AT1813" t="str">
        <f>IF(ifood_data[[#This Row],[marital_Married]]=1,"Married", (IF(ifood_data[[#This Row],[marital_Single]]=1,"Single",(IF(ifood_data[[#This Row],[marital_Divorced]]=1,"Divorced",(IF(ifood_data[[#This Row],[marital_Together]]=1,"Living Together",(IF(ifood_data[[#This Row],[marital_Widow]]=1,"Widow","Other")))))))))</f>
        <v>Divorced</v>
      </c>
      <c r="AU1813" t="str">
        <f>IF(ifood_data[[#This Row],[education_Basic]]=1,"High School",(IF(ifood_data[[#This Row],[education_Graduation]]=1,"Undergraduate Degree",(IF(SUM(AM1813,AL1813,AI1813)&gt;0,"Master's Degree or Higher","Other")))))</f>
        <v>Master's Degree or Higher</v>
      </c>
      <c r="AV1813" t="str">
        <f>IF(ifood_data[[#All],[Income]]&gt;75000,"75K+",(IF(ifood_data[[#All],[Income]]&gt;50000,"50K-75K",(IF(ifood_data[[#All],[Income]]&gt;35000,"35K-50K","&lt;35K")))))</f>
        <v>&lt;35K</v>
      </c>
      <c r="AW1813" t="str">
        <f>IF(ifood_data[[#All],[Age]]&gt;60,"60+",(IF(ifood_data[[#All],[Age]]&gt;50,"50-60",(IF(ifood_data[[#All],[Age]]&gt;40,"40-50",(IF(ifood_data[[#All],[Age]]&gt;30,"30-40","&lt;30")))))))</f>
        <v>30-40</v>
      </c>
      <c r="AX1813">
        <f t="shared" si="112"/>
        <v>13</v>
      </c>
      <c r="AY1813">
        <f t="shared" si="113"/>
        <v>7</v>
      </c>
      <c r="AZ1813">
        <f t="shared" si="114"/>
        <v>1</v>
      </c>
      <c r="BA1813">
        <f t="shared" si="115"/>
        <v>0</v>
      </c>
      <c r="BB1813">
        <f>SUM(ifood_data[[#This Row],[Recency Score]:[Monetary Score]])</f>
        <v>8</v>
      </c>
      <c r="BC1813">
        <f>(_xlfn.PERCENTRANK.INC(ifood_data[[#All],[RFM]],ifood_data[[#This Row],[RFM]],1))*10</f>
        <v>1</v>
      </c>
      <c r="BD1813" t="str">
        <f>VLOOKUP(ifood_data[[#This Row],[RFM Score]],'RFM Analysis'!$A$3:$B$14,2,FALSE)</f>
        <v>At Risk</v>
      </c>
      <c r="BE1813">
        <f>'Regression Models'!$B$101+'Regression Models'!$B$102*ifood_data[[#This Row],[Income]]+'Regression Models'!$B$103*ifood_data[[#This Row],[Age]]+'Regression Models'!$B$104*ifood_data[[#This Row],[Family]]</f>
        <v>-20.896582268322682</v>
      </c>
      <c r="BF1813" t="str">
        <f>IF(ifood_data[[#This Row],[AcceptedCmpOverall]]=1,"Campaign Respondent","Non-respondent")</f>
        <v>Non-respondent</v>
      </c>
    </row>
    <row r="1814" spans="1:58" x14ac:dyDescent="0.35">
      <c r="A1814">
        <v>1683</v>
      </c>
      <c r="B1814">
        <v>27071</v>
      </c>
      <c r="C1814">
        <v>1</v>
      </c>
      <c r="D1814">
        <v>0</v>
      </c>
      <c r="E1814">
        <v>90</v>
      </c>
      <c r="F1814">
        <v>8</v>
      </c>
      <c r="G1814">
        <v>3</v>
      </c>
      <c r="H1814">
        <v>19</v>
      </c>
      <c r="I1814">
        <v>0</v>
      </c>
      <c r="J1814">
        <v>2</v>
      </c>
      <c r="K1814">
        <v>3</v>
      </c>
      <c r="L1814">
        <v>2</v>
      </c>
      <c r="M1814">
        <v>2</v>
      </c>
      <c r="N1814">
        <v>0</v>
      </c>
      <c r="O1814">
        <v>3</v>
      </c>
      <c r="P1814">
        <v>6</v>
      </c>
      <c r="Q1814">
        <v>0</v>
      </c>
      <c r="R1814">
        <v>0</v>
      </c>
      <c r="S1814">
        <v>0</v>
      </c>
      <c r="T1814">
        <v>0</v>
      </c>
      <c r="U1814">
        <v>0</v>
      </c>
      <c r="V1814">
        <f>IF(SUM(ifood_data[[#This Row],[AcceptedCmp1]:[AcceptedCmp5]])&gt;0,1,0)</f>
        <v>0</v>
      </c>
      <c r="W1814">
        <v>0</v>
      </c>
      <c r="X1814">
        <v>3</v>
      </c>
      <c r="Y1814">
        <v>11</v>
      </c>
      <c r="Z1814">
        <v>0</v>
      </c>
      <c r="AA1814">
        <v>52</v>
      </c>
      <c r="AB1814">
        <v>2226</v>
      </c>
      <c r="AC1814" s="28">
        <f>ifood_data[[#This Row],[Customer_Days]]/365</f>
        <v>6.0986301369863014</v>
      </c>
      <c r="AD1814">
        <v>1</v>
      </c>
      <c r="AE1814">
        <v>0</v>
      </c>
      <c r="AF1814">
        <v>0</v>
      </c>
      <c r="AG1814">
        <v>0</v>
      </c>
      <c r="AH1814">
        <v>0</v>
      </c>
      <c r="AI1814">
        <v>0</v>
      </c>
      <c r="AJ1814">
        <v>0</v>
      </c>
      <c r="AK1814">
        <v>0</v>
      </c>
      <c r="AL1814">
        <v>1</v>
      </c>
      <c r="AM1814">
        <v>0</v>
      </c>
      <c r="AN1814">
        <v>32</v>
      </c>
      <c r="AO1814">
        <v>29</v>
      </c>
      <c r="AP1814">
        <f>ifood_data[[#This Row],[MntTotal]]-ifood_data[[#This Row],[MntRegularProds]]</f>
        <v>3</v>
      </c>
      <c r="AQ1814">
        <v>0</v>
      </c>
      <c r="AR1814">
        <f>IF(SUM(ifood_data[[#This Row],[Kidhome]:[Teenhome]])&gt;0,1,0)</f>
        <v>1</v>
      </c>
      <c r="AS1814" t="str">
        <f>IF(SUM(ifood_data[[#This Row],[Kidhome]:[Teenhome]])&gt;0,"Has Family","No Family")</f>
        <v>Has Family</v>
      </c>
      <c r="AT1814" t="str">
        <f>IF(ifood_data[[#This Row],[marital_Married]]=1,"Married", (IF(ifood_data[[#This Row],[marital_Single]]=1,"Single",(IF(ifood_data[[#This Row],[marital_Divorced]]=1,"Divorced",(IF(ifood_data[[#This Row],[marital_Together]]=1,"Living Together",(IF(ifood_data[[#This Row],[marital_Widow]]=1,"Widow","Other")))))))))</f>
        <v>Divorced</v>
      </c>
      <c r="AU1814" t="str">
        <f>IF(ifood_data[[#This Row],[education_Basic]]=1,"High School",(IF(ifood_data[[#This Row],[education_Graduation]]=1,"Undergraduate Degree",(IF(SUM(AM1814,AL1814,AI1814)&gt;0,"Master's Degree or Higher","Other")))))</f>
        <v>Master's Degree or Higher</v>
      </c>
      <c r="AV1814" t="str">
        <f>IF(ifood_data[[#All],[Income]]&gt;75000,"75K+",(IF(ifood_data[[#All],[Income]]&gt;50000,"50K-75K",(IF(ifood_data[[#All],[Income]]&gt;35000,"35K-50K","&lt;35K")))))</f>
        <v>&lt;35K</v>
      </c>
      <c r="AW1814" t="str">
        <f>IF(ifood_data[[#All],[Age]]&gt;60,"60+",(IF(ifood_data[[#All],[Age]]&gt;50,"50-60",(IF(ifood_data[[#All],[Age]]&gt;40,"40-50",(IF(ifood_data[[#All],[Age]]&gt;30,"30-40","&lt;30")))))))</f>
        <v>50-60</v>
      </c>
      <c r="AX1814">
        <f t="shared" si="112"/>
        <v>13</v>
      </c>
      <c r="AY1814">
        <f t="shared" si="113"/>
        <v>0.99999999999999978</v>
      </c>
      <c r="AZ1814">
        <f t="shared" si="114"/>
        <v>1</v>
      </c>
      <c r="BA1814">
        <f t="shared" si="115"/>
        <v>1</v>
      </c>
      <c r="BB1814">
        <f>SUM(ifood_data[[#This Row],[Recency Score]:[Monetary Score]])</f>
        <v>3</v>
      </c>
      <c r="BC1814">
        <f>(_xlfn.PERCENTRANK.INC(ifood_data[[#All],[RFM]],ifood_data[[#This Row],[RFM]],1))*10</f>
        <v>0</v>
      </c>
      <c r="BD1814" t="str">
        <f>VLOOKUP(ifood_data[[#This Row],[RFM Score]],'RFM Analysis'!$A$3:$B$14,2,FALSE)</f>
        <v>Lost</v>
      </c>
      <c r="BE1814">
        <f>'Regression Models'!$B$101+'Regression Models'!$B$102*ifood_data[[#This Row],[Income]]+'Regression Models'!$B$103*ifood_data[[#This Row],[Age]]+'Regression Models'!$B$104*ifood_data[[#This Row],[Family]]</f>
        <v>-20.979377026496877</v>
      </c>
      <c r="BF1814" t="str">
        <f>IF(ifood_data[[#This Row],[AcceptedCmpOverall]]=1,"Campaign Respondent","Non-respondent")</f>
        <v>Non-respondent</v>
      </c>
    </row>
    <row r="1815" spans="1:58" x14ac:dyDescent="0.35">
      <c r="A1815">
        <v>671</v>
      </c>
      <c r="B1815">
        <v>25252</v>
      </c>
      <c r="C1815">
        <v>1</v>
      </c>
      <c r="D1815">
        <v>0</v>
      </c>
      <c r="E1815">
        <v>26</v>
      </c>
      <c r="F1815">
        <v>1</v>
      </c>
      <c r="G1815">
        <v>3</v>
      </c>
      <c r="H1815">
        <v>4</v>
      </c>
      <c r="I1815">
        <v>2</v>
      </c>
      <c r="J1815">
        <v>2</v>
      </c>
      <c r="K1815">
        <v>6</v>
      </c>
      <c r="L1815">
        <v>1</v>
      </c>
      <c r="M1815">
        <v>1</v>
      </c>
      <c r="N1815">
        <v>0</v>
      </c>
      <c r="O1815">
        <v>2</v>
      </c>
      <c r="P1815">
        <v>8</v>
      </c>
      <c r="Q1815">
        <v>0</v>
      </c>
      <c r="R1815">
        <v>0</v>
      </c>
      <c r="S1815">
        <v>0</v>
      </c>
      <c r="T1815">
        <v>0</v>
      </c>
      <c r="U1815">
        <v>0</v>
      </c>
      <c r="V1815">
        <f>IF(SUM(ifood_data[[#This Row],[AcceptedCmp1]:[AcceptedCmp5]])&gt;0,1,0)</f>
        <v>0</v>
      </c>
      <c r="W1815">
        <v>0</v>
      </c>
      <c r="X1815">
        <v>3</v>
      </c>
      <c r="Y1815">
        <v>11</v>
      </c>
      <c r="Z1815">
        <v>0</v>
      </c>
      <c r="AA1815">
        <v>34</v>
      </c>
      <c r="AB1815">
        <v>2511</v>
      </c>
      <c r="AC1815" s="28">
        <f>ifood_data[[#This Row],[Customer_Days]]/365</f>
        <v>6.8794520547945206</v>
      </c>
      <c r="AD1815">
        <v>0</v>
      </c>
      <c r="AE1815">
        <v>1</v>
      </c>
      <c r="AF1815">
        <v>0</v>
      </c>
      <c r="AG1815">
        <v>0</v>
      </c>
      <c r="AH1815">
        <v>0</v>
      </c>
      <c r="AI1815">
        <v>0</v>
      </c>
      <c r="AJ1815">
        <v>0</v>
      </c>
      <c r="AK1815">
        <v>1</v>
      </c>
      <c r="AL1815">
        <v>0</v>
      </c>
      <c r="AM1815">
        <v>0</v>
      </c>
      <c r="AN1815">
        <v>12</v>
      </c>
      <c r="AO1815">
        <v>6</v>
      </c>
      <c r="AP1815">
        <f>ifood_data[[#This Row],[MntTotal]]-ifood_data[[#This Row],[MntRegularProds]]</f>
        <v>6</v>
      </c>
      <c r="AQ1815">
        <v>0</v>
      </c>
      <c r="AR1815">
        <f>IF(SUM(ifood_data[[#This Row],[Kidhome]:[Teenhome]])&gt;0,1,0)</f>
        <v>1</v>
      </c>
      <c r="AS1815" t="str">
        <f>IF(SUM(ifood_data[[#This Row],[Kidhome]:[Teenhome]])&gt;0,"Has Family","No Family")</f>
        <v>Has Family</v>
      </c>
      <c r="AT1815" t="str">
        <f>IF(ifood_data[[#This Row],[marital_Married]]=1,"Married", (IF(ifood_data[[#This Row],[marital_Single]]=1,"Single",(IF(ifood_data[[#This Row],[marital_Divorced]]=1,"Divorced",(IF(ifood_data[[#This Row],[marital_Together]]=1,"Living Together",(IF(ifood_data[[#This Row],[marital_Widow]]=1,"Widow","Other")))))))))</f>
        <v>Married</v>
      </c>
      <c r="AU1815" t="str">
        <f>IF(ifood_data[[#This Row],[education_Basic]]=1,"High School",(IF(ifood_data[[#This Row],[education_Graduation]]=1,"Undergraduate Degree",(IF(SUM(AM1815,AL1815,AI1815)&gt;0,"Master's Degree or Higher","Other")))))</f>
        <v>Undergraduate Degree</v>
      </c>
      <c r="AV1815" t="str">
        <f>IF(ifood_data[[#All],[Income]]&gt;75000,"75K+",(IF(ifood_data[[#All],[Income]]&gt;50000,"50K-75K",(IF(ifood_data[[#All],[Income]]&gt;35000,"35K-50K","&lt;35K")))))</f>
        <v>&lt;35K</v>
      </c>
      <c r="AW1815" t="str">
        <f>IF(ifood_data[[#All],[Age]]&gt;60,"60+",(IF(ifood_data[[#All],[Age]]&gt;50,"50-60",(IF(ifood_data[[#All],[Age]]&gt;40,"40-50",(IF(ifood_data[[#All],[Age]]&gt;30,"30-40","&lt;30")))))))</f>
        <v>30-40</v>
      </c>
      <c r="AX1815">
        <f t="shared" si="112"/>
        <v>12</v>
      </c>
      <c r="AY1815">
        <f t="shared" si="113"/>
        <v>8</v>
      </c>
      <c r="AZ1815">
        <f t="shared" si="114"/>
        <v>1</v>
      </c>
      <c r="BA1815">
        <f t="shared" si="115"/>
        <v>0</v>
      </c>
      <c r="BB1815">
        <f>SUM(ifood_data[[#This Row],[Recency Score]:[Monetary Score]])</f>
        <v>9</v>
      </c>
      <c r="BC1815">
        <f>(_xlfn.PERCENTRANK.INC(ifood_data[[#All],[RFM]],ifood_data[[#This Row],[RFM]],1))*10</f>
        <v>1</v>
      </c>
      <c r="BD1815" t="str">
        <f>VLOOKUP(ifood_data[[#This Row],[RFM Score]],'RFM Analysis'!$A$3:$B$14,2,FALSE)</f>
        <v>At Risk</v>
      </c>
      <c r="BE1815">
        <f>'Regression Models'!$B$101+'Regression Models'!$B$102*ifood_data[[#This Row],[Income]]+'Regression Models'!$B$103*ifood_data[[#This Row],[Age]]+'Regression Models'!$B$104*ifood_data[[#This Row],[Family]]</f>
        <v>-25.010642860152018</v>
      </c>
      <c r="BF1815" t="str">
        <f>IF(ifood_data[[#This Row],[AcceptedCmpOverall]]=1,"Campaign Respondent","Non-respondent")</f>
        <v>Non-respondent</v>
      </c>
    </row>
    <row r="1816" spans="1:58" x14ac:dyDescent="0.35">
      <c r="A1816">
        <v>1690</v>
      </c>
      <c r="B1816">
        <v>25008</v>
      </c>
      <c r="C1816">
        <v>1</v>
      </c>
      <c r="D1816">
        <v>0</v>
      </c>
      <c r="E1816">
        <v>72</v>
      </c>
      <c r="F1816">
        <v>2</v>
      </c>
      <c r="G1816">
        <v>8</v>
      </c>
      <c r="H1816">
        <v>8</v>
      </c>
      <c r="I1816">
        <v>6</v>
      </c>
      <c r="J1816">
        <v>1</v>
      </c>
      <c r="K1816">
        <v>9</v>
      </c>
      <c r="L1816">
        <v>2</v>
      </c>
      <c r="M1816">
        <v>1</v>
      </c>
      <c r="N1816">
        <v>0</v>
      </c>
      <c r="O1816">
        <v>3</v>
      </c>
      <c r="P1816">
        <v>8</v>
      </c>
      <c r="Q1816">
        <v>0</v>
      </c>
      <c r="R1816">
        <v>0</v>
      </c>
      <c r="S1816">
        <v>0</v>
      </c>
      <c r="T1816">
        <v>0</v>
      </c>
      <c r="U1816">
        <v>0</v>
      </c>
      <c r="V1816">
        <f>IF(SUM(ifood_data[[#This Row],[AcceptedCmp1]:[AcceptedCmp5]])&gt;0,1,0)</f>
        <v>0</v>
      </c>
      <c r="W1816">
        <v>0</v>
      </c>
      <c r="X1816">
        <v>3</v>
      </c>
      <c r="Y1816">
        <v>11</v>
      </c>
      <c r="Z1816">
        <v>0</v>
      </c>
      <c r="AA1816">
        <v>32</v>
      </c>
      <c r="AB1816">
        <v>2306</v>
      </c>
      <c r="AC1816" s="28">
        <f>ifood_data[[#This Row],[Customer_Days]]/365</f>
        <v>6.3178082191780822</v>
      </c>
      <c r="AD1816">
        <v>0</v>
      </c>
      <c r="AE1816">
        <v>0</v>
      </c>
      <c r="AF1816">
        <v>1</v>
      </c>
      <c r="AG1816">
        <v>0</v>
      </c>
      <c r="AH1816">
        <v>0</v>
      </c>
      <c r="AI1816">
        <v>0</v>
      </c>
      <c r="AJ1816">
        <v>0</v>
      </c>
      <c r="AK1816">
        <v>1</v>
      </c>
      <c r="AL1816">
        <v>0</v>
      </c>
      <c r="AM1816">
        <v>0</v>
      </c>
      <c r="AN1816">
        <v>25</v>
      </c>
      <c r="AO1816">
        <v>16</v>
      </c>
      <c r="AP1816">
        <f>ifood_data[[#This Row],[MntTotal]]-ifood_data[[#This Row],[MntRegularProds]]</f>
        <v>9</v>
      </c>
      <c r="AQ1816">
        <v>0</v>
      </c>
      <c r="AR1816">
        <f>IF(SUM(ifood_data[[#This Row],[Kidhome]:[Teenhome]])&gt;0,1,0)</f>
        <v>1</v>
      </c>
      <c r="AS1816" t="str">
        <f>IF(SUM(ifood_data[[#This Row],[Kidhome]:[Teenhome]])&gt;0,"Has Family","No Family")</f>
        <v>Has Family</v>
      </c>
      <c r="AT1816" t="str">
        <f>IF(ifood_data[[#This Row],[marital_Married]]=1,"Married", (IF(ifood_data[[#This Row],[marital_Single]]=1,"Single",(IF(ifood_data[[#This Row],[marital_Divorced]]=1,"Divorced",(IF(ifood_data[[#This Row],[marital_Together]]=1,"Living Together",(IF(ifood_data[[#This Row],[marital_Widow]]=1,"Widow","Other")))))))))</f>
        <v>Single</v>
      </c>
      <c r="AU1816" t="str">
        <f>IF(ifood_data[[#This Row],[education_Basic]]=1,"High School",(IF(ifood_data[[#This Row],[education_Graduation]]=1,"Undergraduate Degree",(IF(SUM(AM1816,AL1816,AI1816)&gt;0,"Master's Degree or Higher","Other")))))</f>
        <v>Undergraduate Degree</v>
      </c>
      <c r="AV1816" t="str">
        <f>IF(ifood_data[[#All],[Income]]&gt;75000,"75K+",(IF(ifood_data[[#All],[Income]]&gt;50000,"50K-75K",(IF(ifood_data[[#All],[Income]]&gt;35000,"35K-50K","&lt;35K")))))</f>
        <v>&lt;35K</v>
      </c>
      <c r="AW1816" t="str">
        <f>IF(ifood_data[[#All],[Age]]&gt;60,"60+",(IF(ifood_data[[#All],[Age]]&gt;50,"50-60",(IF(ifood_data[[#All],[Age]]&gt;40,"40-50",(IF(ifood_data[[#All],[Age]]&gt;30,"30-40","&lt;30")))))))</f>
        <v>30-40</v>
      </c>
      <c r="AX1816">
        <f t="shared" si="112"/>
        <v>14</v>
      </c>
      <c r="AY1816">
        <f t="shared" si="113"/>
        <v>3.0000000000000004</v>
      </c>
      <c r="AZ1816">
        <f t="shared" si="114"/>
        <v>2</v>
      </c>
      <c r="BA1816">
        <f t="shared" si="115"/>
        <v>0</v>
      </c>
      <c r="BB1816">
        <f>SUM(ifood_data[[#This Row],[Recency Score]:[Monetary Score]])</f>
        <v>5</v>
      </c>
      <c r="BC1816">
        <f>(_xlfn.PERCENTRANK.INC(ifood_data[[#All],[RFM]],ifood_data[[#This Row],[RFM]],1))*10</f>
        <v>0</v>
      </c>
      <c r="BD1816" t="str">
        <f>VLOOKUP(ifood_data[[#This Row],[RFM Score]],'RFM Analysis'!$A$3:$B$14,2,FALSE)</f>
        <v>Lost</v>
      </c>
      <c r="BE1816">
        <f>'Regression Models'!$B$101+'Regression Models'!$B$102*ifood_data[[#This Row],[Income]]+'Regression Models'!$B$103*ifood_data[[#This Row],[Age]]+'Regression Models'!$B$104*ifood_data[[#This Row],[Family]]</f>
        <v>-26.312624129474784</v>
      </c>
      <c r="BF1816" t="str">
        <f>IF(ifood_data[[#This Row],[AcceptedCmpOverall]]=1,"Campaign Respondent","Non-respondent")</f>
        <v>Non-respondent</v>
      </c>
    </row>
    <row r="1817" spans="1:58" x14ac:dyDescent="0.35">
      <c r="A1817">
        <v>678</v>
      </c>
      <c r="B1817">
        <v>25851</v>
      </c>
      <c r="C1817">
        <v>1</v>
      </c>
      <c r="D1817">
        <v>0</v>
      </c>
      <c r="E1817">
        <v>45</v>
      </c>
      <c r="F1817">
        <v>9</v>
      </c>
      <c r="G1817">
        <v>4</v>
      </c>
      <c r="H1817">
        <v>18</v>
      </c>
      <c r="I1817">
        <v>7</v>
      </c>
      <c r="J1817">
        <v>5</v>
      </c>
      <c r="K1817">
        <v>5</v>
      </c>
      <c r="L1817">
        <v>2</v>
      </c>
      <c r="M1817">
        <v>2</v>
      </c>
      <c r="N1817">
        <v>0</v>
      </c>
      <c r="O1817">
        <v>3</v>
      </c>
      <c r="P1817">
        <v>7</v>
      </c>
      <c r="Q1817">
        <v>0</v>
      </c>
      <c r="R1817">
        <v>0</v>
      </c>
      <c r="S1817">
        <v>0</v>
      </c>
      <c r="T1817">
        <v>0</v>
      </c>
      <c r="U1817">
        <v>0</v>
      </c>
      <c r="V1817">
        <f>IF(SUM(ifood_data[[#This Row],[AcceptedCmp1]:[AcceptedCmp5]])&gt;0,1,0)</f>
        <v>0</v>
      </c>
      <c r="W1817">
        <v>0</v>
      </c>
      <c r="X1817">
        <v>3</v>
      </c>
      <c r="Y1817">
        <v>11</v>
      </c>
      <c r="Z1817">
        <v>0</v>
      </c>
      <c r="AA1817">
        <v>42</v>
      </c>
      <c r="AB1817">
        <v>2662</v>
      </c>
      <c r="AC1817" s="28">
        <f>ifood_data[[#This Row],[Customer_Days]]/365</f>
        <v>7.2931506849315069</v>
      </c>
      <c r="AD1817">
        <v>0</v>
      </c>
      <c r="AE1817">
        <v>0</v>
      </c>
      <c r="AF1817">
        <v>0</v>
      </c>
      <c r="AG1817">
        <v>1</v>
      </c>
      <c r="AH1817">
        <v>0</v>
      </c>
      <c r="AI1817">
        <v>0</v>
      </c>
      <c r="AJ1817">
        <v>0</v>
      </c>
      <c r="AK1817">
        <v>1</v>
      </c>
      <c r="AL1817">
        <v>0</v>
      </c>
      <c r="AM1817">
        <v>0</v>
      </c>
      <c r="AN1817">
        <v>43</v>
      </c>
      <c r="AO1817">
        <v>38</v>
      </c>
      <c r="AP1817">
        <f>ifood_data[[#This Row],[MntTotal]]-ifood_data[[#This Row],[MntRegularProds]]</f>
        <v>5</v>
      </c>
      <c r="AQ1817">
        <v>0</v>
      </c>
      <c r="AR1817">
        <f>IF(SUM(ifood_data[[#This Row],[Kidhome]:[Teenhome]])&gt;0,1,0)</f>
        <v>1</v>
      </c>
      <c r="AS1817" t="str">
        <f>IF(SUM(ifood_data[[#This Row],[Kidhome]:[Teenhome]])&gt;0,"Has Family","No Family")</f>
        <v>Has Family</v>
      </c>
      <c r="AT1817" t="str">
        <f>IF(ifood_data[[#This Row],[marital_Married]]=1,"Married", (IF(ifood_data[[#This Row],[marital_Single]]=1,"Single",(IF(ifood_data[[#This Row],[marital_Divorced]]=1,"Divorced",(IF(ifood_data[[#This Row],[marital_Together]]=1,"Living Together",(IF(ifood_data[[#This Row],[marital_Widow]]=1,"Widow","Other")))))))))</f>
        <v>Living Together</v>
      </c>
      <c r="AU1817" t="str">
        <f>IF(ifood_data[[#This Row],[education_Basic]]=1,"High School",(IF(ifood_data[[#This Row],[education_Graduation]]=1,"Undergraduate Degree",(IF(SUM(AM1817,AL1817,AI1817)&gt;0,"Master's Degree or Higher","Other")))))</f>
        <v>Undergraduate Degree</v>
      </c>
      <c r="AV1817" t="str">
        <f>IF(ifood_data[[#All],[Income]]&gt;75000,"75K+",(IF(ifood_data[[#All],[Income]]&gt;50000,"50K-75K",(IF(ifood_data[[#All],[Income]]&gt;35000,"35K-50K","&lt;35K")))))</f>
        <v>&lt;35K</v>
      </c>
      <c r="AW1817" t="str">
        <f>IF(ifood_data[[#All],[Age]]&gt;60,"60+",(IF(ifood_data[[#All],[Age]]&gt;50,"50-60",(IF(ifood_data[[#All],[Age]]&gt;40,"40-50",(IF(ifood_data[[#All],[Age]]&gt;30,"30-40","&lt;30")))))))</f>
        <v>40-50</v>
      </c>
      <c r="AX1817">
        <f t="shared" si="112"/>
        <v>14</v>
      </c>
      <c r="AY1817">
        <f t="shared" si="113"/>
        <v>6</v>
      </c>
      <c r="AZ1817">
        <f t="shared" si="114"/>
        <v>2</v>
      </c>
      <c r="BA1817">
        <f t="shared" si="115"/>
        <v>1</v>
      </c>
      <c r="BB1817">
        <f>SUM(ifood_data[[#This Row],[Recency Score]:[Monetary Score]])</f>
        <v>9</v>
      </c>
      <c r="BC1817">
        <f>(_xlfn.PERCENTRANK.INC(ifood_data[[#All],[RFM]],ifood_data[[#This Row],[RFM]],1))*10</f>
        <v>1</v>
      </c>
      <c r="BD1817" t="str">
        <f>VLOOKUP(ifood_data[[#This Row],[RFM Score]],'RFM Analysis'!$A$3:$B$14,2,FALSE)</f>
        <v>At Risk</v>
      </c>
      <c r="BE1817">
        <f>'Regression Models'!$B$101+'Regression Models'!$B$102*ifood_data[[#This Row],[Income]]+'Regression Models'!$B$103*ifood_data[[#This Row],[Age]]+'Regression Models'!$B$104*ifood_data[[#This Row],[Family]]</f>
        <v>-27.489283373110879</v>
      </c>
      <c r="BF1817" t="str">
        <f>IF(ifood_data[[#This Row],[AcceptedCmpOverall]]=1,"Campaign Respondent","Non-respondent")</f>
        <v>Non-respondent</v>
      </c>
    </row>
    <row r="1818" spans="1:58" x14ac:dyDescent="0.35">
      <c r="A1818">
        <v>777</v>
      </c>
      <c r="B1818">
        <v>25804</v>
      </c>
      <c r="C1818">
        <v>1</v>
      </c>
      <c r="D1818">
        <v>0</v>
      </c>
      <c r="E1818">
        <v>34</v>
      </c>
      <c r="F1818">
        <v>8</v>
      </c>
      <c r="G1818">
        <v>7</v>
      </c>
      <c r="H1818">
        <v>9</v>
      </c>
      <c r="I1818">
        <v>13</v>
      </c>
      <c r="J1818">
        <v>6</v>
      </c>
      <c r="K1818">
        <v>12</v>
      </c>
      <c r="L1818">
        <v>2</v>
      </c>
      <c r="M1818">
        <v>2</v>
      </c>
      <c r="N1818">
        <v>0</v>
      </c>
      <c r="O1818">
        <v>3</v>
      </c>
      <c r="P1818">
        <v>8</v>
      </c>
      <c r="Q1818">
        <v>0</v>
      </c>
      <c r="R1818">
        <v>0</v>
      </c>
      <c r="S1818">
        <v>0</v>
      </c>
      <c r="T1818">
        <v>0</v>
      </c>
      <c r="U1818">
        <v>0</v>
      </c>
      <c r="V1818">
        <f>IF(SUM(ifood_data[[#This Row],[AcceptedCmp1]:[AcceptedCmp5]])&gt;0,1,0)</f>
        <v>0</v>
      </c>
      <c r="W1818">
        <v>0</v>
      </c>
      <c r="X1818">
        <v>3</v>
      </c>
      <c r="Y1818">
        <v>11</v>
      </c>
      <c r="Z1818">
        <v>0</v>
      </c>
      <c r="AA1818">
        <v>42</v>
      </c>
      <c r="AB1818">
        <v>2460</v>
      </c>
      <c r="AC1818" s="28">
        <f>ifood_data[[#This Row],[Customer_Days]]/365</f>
        <v>6.7397260273972606</v>
      </c>
      <c r="AD1818">
        <v>0</v>
      </c>
      <c r="AE1818">
        <v>1</v>
      </c>
      <c r="AF1818">
        <v>0</v>
      </c>
      <c r="AG1818">
        <v>0</v>
      </c>
      <c r="AH1818">
        <v>0</v>
      </c>
      <c r="AI1818">
        <v>1</v>
      </c>
      <c r="AJ1818">
        <v>0</v>
      </c>
      <c r="AK1818">
        <v>0</v>
      </c>
      <c r="AL1818">
        <v>0</v>
      </c>
      <c r="AM1818">
        <v>0</v>
      </c>
      <c r="AN1818">
        <v>43</v>
      </c>
      <c r="AO1818">
        <v>31</v>
      </c>
      <c r="AP1818">
        <f>ifood_data[[#This Row],[MntTotal]]-ifood_data[[#This Row],[MntRegularProds]]</f>
        <v>12</v>
      </c>
      <c r="AQ1818">
        <v>0</v>
      </c>
      <c r="AR1818">
        <f>IF(SUM(ifood_data[[#This Row],[Kidhome]:[Teenhome]])&gt;0,1,0)</f>
        <v>1</v>
      </c>
      <c r="AS1818" t="str">
        <f>IF(SUM(ifood_data[[#This Row],[Kidhome]:[Teenhome]])&gt;0,"Has Family","No Family")</f>
        <v>Has Family</v>
      </c>
      <c r="AT1818" t="str">
        <f>IF(ifood_data[[#This Row],[marital_Married]]=1,"Married", (IF(ifood_data[[#This Row],[marital_Single]]=1,"Single",(IF(ifood_data[[#This Row],[marital_Divorced]]=1,"Divorced",(IF(ifood_data[[#This Row],[marital_Together]]=1,"Living Together",(IF(ifood_data[[#This Row],[marital_Widow]]=1,"Widow","Other")))))))))</f>
        <v>Married</v>
      </c>
      <c r="AU1818" t="str">
        <f>IF(ifood_data[[#This Row],[education_Basic]]=1,"High School",(IF(ifood_data[[#This Row],[education_Graduation]]=1,"Undergraduate Degree",(IF(SUM(AM1818,AL1818,AI1818)&gt;0,"Master's Degree or Higher","Other")))))</f>
        <v>Master's Degree or Higher</v>
      </c>
      <c r="AV1818" t="str">
        <f>IF(ifood_data[[#All],[Income]]&gt;75000,"75K+",(IF(ifood_data[[#All],[Income]]&gt;50000,"50K-75K",(IF(ifood_data[[#All],[Income]]&gt;35000,"35K-50K","&lt;35K")))))</f>
        <v>&lt;35K</v>
      </c>
      <c r="AW1818" t="str">
        <f>IF(ifood_data[[#All],[Age]]&gt;60,"60+",(IF(ifood_data[[#All],[Age]]&gt;50,"50-60",(IF(ifood_data[[#All],[Age]]&gt;40,"40-50",(IF(ifood_data[[#All],[Age]]&gt;30,"30-40","&lt;30")))))))</f>
        <v>40-50</v>
      </c>
      <c r="AX1818">
        <f t="shared" si="112"/>
        <v>15</v>
      </c>
      <c r="AY1818">
        <f t="shared" si="113"/>
        <v>7</v>
      </c>
      <c r="AZ1818">
        <f t="shared" si="114"/>
        <v>2</v>
      </c>
      <c r="BA1818">
        <f t="shared" si="115"/>
        <v>1</v>
      </c>
      <c r="BB1818">
        <f>SUM(ifood_data[[#This Row],[Recency Score]:[Monetary Score]])</f>
        <v>10</v>
      </c>
      <c r="BC1818">
        <f>(_xlfn.PERCENTRANK.INC(ifood_data[[#All],[RFM]],ifood_data[[#This Row],[RFM]],1))*10</f>
        <v>2</v>
      </c>
      <c r="BD1818" t="str">
        <f>VLOOKUP(ifood_data[[#This Row],[RFM Score]],'RFM Analysis'!$A$3:$B$14,2,FALSE)</f>
        <v>At Risk</v>
      </c>
      <c r="BE1818">
        <f>'Regression Models'!$B$101+'Regression Models'!$B$102*ifood_data[[#This Row],[Income]]+'Regression Models'!$B$103*ifood_data[[#This Row],[Age]]+'Regression Models'!$B$104*ifood_data[[#This Row],[Family]]</f>
        <v>-28.447555475874083</v>
      </c>
      <c r="BF1818" t="str">
        <f>IF(ifood_data[[#This Row],[AcceptedCmpOverall]]=1,"Campaign Respondent","Non-respondent")</f>
        <v>Non-respondent</v>
      </c>
    </row>
    <row r="1819" spans="1:58" x14ac:dyDescent="0.35">
      <c r="A1819">
        <v>1771</v>
      </c>
      <c r="B1819">
        <v>28320</v>
      </c>
      <c r="C1819">
        <v>0</v>
      </c>
      <c r="D1819">
        <v>1</v>
      </c>
      <c r="E1819">
        <v>68</v>
      </c>
      <c r="F1819">
        <v>19</v>
      </c>
      <c r="G1819">
        <v>1</v>
      </c>
      <c r="H1819">
        <v>14</v>
      </c>
      <c r="I1819">
        <v>3</v>
      </c>
      <c r="J1819">
        <v>2</v>
      </c>
      <c r="K1819">
        <v>4</v>
      </c>
      <c r="L1819">
        <v>1</v>
      </c>
      <c r="M1819">
        <v>1</v>
      </c>
      <c r="N1819">
        <v>0</v>
      </c>
      <c r="O1819">
        <v>3</v>
      </c>
      <c r="P1819">
        <v>8</v>
      </c>
      <c r="Q1819">
        <v>0</v>
      </c>
      <c r="R1819">
        <v>0</v>
      </c>
      <c r="S1819">
        <v>0</v>
      </c>
      <c r="T1819">
        <v>0</v>
      </c>
      <c r="U1819">
        <v>0</v>
      </c>
      <c r="V1819">
        <f>IF(SUM(ifood_data[[#This Row],[AcceptedCmp1]:[AcceptedCmp5]])&gt;0,1,0)</f>
        <v>0</v>
      </c>
      <c r="W1819">
        <v>0</v>
      </c>
      <c r="X1819">
        <v>3</v>
      </c>
      <c r="Y1819">
        <v>11</v>
      </c>
      <c r="Z1819">
        <v>0</v>
      </c>
      <c r="AA1819">
        <v>70</v>
      </c>
      <c r="AB1819">
        <v>2690</v>
      </c>
      <c r="AC1819" s="28">
        <f>ifood_data[[#This Row],[Customer_Days]]/365</f>
        <v>7.3698630136986303</v>
      </c>
      <c r="AD1819">
        <v>0</v>
      </c>
      <c r="AE1819">
        <v>0</v>
      </c>
      <c r="AF1819">
        <v>0</v>
      </c>
      <c r="AG1819">
        <v>1</v>
      </c>
      <c r="AH1819">
        <v>0</v>
      </c>
      <c r="AI1819">
        <v>0</v>
      </c>
      <c r="AJ1819">
        <v>0</v>
      </c>
      <c r="AK1819">
        <v>1</v>
      </c>
      <c r="AL1819">
        <v>0</v>
      </c>
      <c r="AM1819">
        <v>0</v>
      </c>
      <c r="AN1819">
        <v>39</v>
      </c>
      <c r="AO1819">
        <v>35</v>
      </c>
      <c r="AP1819">
        <f>ifood_data[[#This Row],[MntTotal]]-ifood_data[[#This Row],[MntRegularProds]]</f>
        <v>4</v>
      </c>
      <c r="AQ1819">
        <v>0</v>
      </c>
      <c r="AR1819">
        <f>IF(SUM(ifood_data[[#This Row],[Kidhome]:[Teenhome]])&gt;0,1,0)</f>
        <v>1</v>
      </c>
      <c r="AS1819" t="str">
        <f>IF(SUM(ifood_data[[#This Row],[Kidhome]:[Teenhome]])&gt;0,"Has Family","No Family")</f>
        <v>Has Family</v>
      </c>
      <c r="AT1819" t="str">
        <f>IF(ifood_data[[#This Row],[marital_Married]]=1,"Married", (IF(ifood_data[[#This Row],[marital_Single]]=1,"Single",(IF(ifood_data[[#This Row],[marital_Divorced]]=1,"Divorced",(IF(ifood_data[[#This Row],[marital_Together]]=1,"Living Together",(IF(ifood_data[[#This Row],[marital_Widow]]=1,"Widow","Other")))))))))</f>
        <v>Living Together</v>
      </c>
      <c r="AU1819" t="str">
        <f>IF(ifood_data[[#This Row],[education_Basic]]=1,"High School",(IF(ifood_data[[#This Row],[education_Graduation]]=1,"Undergraduate Degree",(IF(SUM(AM1819,AL1819,AI1819)&gt;0,"Master's Degree or Higher","Other")))))</f>
        <v>Undergraduate Degree</v>
      </c>
      <c r="AV1819" t="str">
        <f>IF(ifood_data[[#All],[Income]]&gt;75000,"75K+",(IF(ifood_data[[#All],[Income]]&gt;50000,"50K-75K",(IF(ifood_data[[#All],[Income]]&gt;35000,"35K-50K","&lt;35K")))))</f>
        <v>&lt;35K</v>
      </c>
      <c r="AW1819" t="str">
        <f>IF(ifood_data[[#All],[Age]]&gt;60,"60+",(IF(ifood_data[[#All],[Age]]&gt;50,"50-60",(IF(ifood_data[[#All],[Age]]&gt;40,"40-50",(IF(ifood_data[[#All],[Age]]&gt;30,"30-40","&lt;30")))))))</f>
        <v>60+</v>
      </c>
      <c r="AX1819">
        <f t="shared" si="112"/>
        <v>13</v>
      </c>
      <c r="AY1819">
        <f t="shared" si="113"/>
        <v>4</v>
      </c>
      <c r="AZ1819">
        <f t="shared" si="114"/>
        <v>1</v>
      </c>
      <c r="BA1819">
        <f t="shared" si="115"/>
        <v>1</v>
      </c>
      <c r="BB1819">
        <f>SUM(ifood_data[[#This Row],[Recency Score]:[Monetary Score]])</f>
        <v>6</v>
      </c>
      <c r="BC1819">
        <f>(_xlfn.PERCENTRANK.INC(ifood_data[[#All],[RFM]],ifood_data[[#This Row],[RFM]],1))*10</f>
        <v>0</v>
      </c>
      <c r="BD1819" t="str">
        <f>VLOOKUP(ifood_data[[#This Row],[RFM Score]],'RFM Analysis'!$A$3:$B$14,2,FALSE)</f>
        <v>Lost</v>
      </c>
      <c r="BE1819">
        <f>'Regression Models'!$B$101+'Regression Models'!$B$102*ifood_data[[#This Row],[Income]]+'Regression Models'!$B$103*ifood_data[[#This Row],[Age]]+'Regression Models'!$B$104*ifood_data[[#This Row],[Family]]</f>
        <v>-28.569709034864104</v>
      </c>
      <c r="BF1819" t="str">
        <f>IF(ifood_data[[#This Row],[AcceptedCmpOverall]]=1,"Campaign Respondent","Non-respondent")</f>
        <v>Non-respondent</v>
      </c>
    </row>
    <row r="1820" spans="1:58" x14ac:dyDescent="0.35">
      <c r="A1820">
        <v>1237</v>
      </c>
      <c r="B1820">
        <v>27238</v>
      </c>
      <c r="C1820">
        <v>1</v>
      </c>
      <c r="D1820">
        <v>1</v>
      </c>
      <c r="E1820">
        <v>39</v>
      </c>
      <c r="F1820">
        <v>37</v>
      </c>
      <c r="G1820">
        <v>0</v>
      </c>
      <c r="H1820">
        <v>17</v>
      </c>
      <c r="I1820">
        <v>0</v>
      </c>
      <c r="J1820">
        <v>0</v>
      </c>
      <c r="K1820">
        <v>3</v>
      </c>
      <c r="L1820">
        <v>3</v>
      </c>
      <c r="M1820">
        <v>3</v>
      </c>
      <c r="N1820">
        <v>0</v>
      </c>
      <c r="O1820">
        <v>3</v>
      </c>
      <c r="P1820">
        <v>9</v>
      </c>
      <c r="Q1820">
        <v>0</v>
      </c>
      <c r="R1820">
        <v>0</v>
      </c>
      <c r="S1820">
        <v>0</v>
      </c>
      <c r="T1820">
        <v>0</v>
      </c>
      <c r="U1820">
        <v>0</v>
      </c>
      <c r="V1820">
        <f>IF(SUM(ifood_data[[#This Row],[AcceptedCmp1]:[AcceptedCmp5]])&gt;0,1,0)</f>
        <v>0</v>
      </c>
      <c r="W1820">
        <v>0</v>
      </c>
      <c r="X1820">
        <v>3</v>
      </c>
      <c r="Y1820">
        <v>11</v>
      </c>
      <c r="Z1820">
        <v>0</v>
      </c>
      <c r="AA1820">
        <v>58</v>
      </c>
      <c r="AB1820">
        <v>2594</v>
      </c>
      <c r="AC1820" s="28">
        <f>ifood_data[[#This Row],[Customer_Days]]/365</f>
        <v>7.1068493150684935</v>
      </c>
      <c r="AD1820">
        <v>0</v>
      </c>
      <c r="AE1820">
        <v>0</v>
      </c>
      <c r="AF1820">
        <v>1</v>
      </c>
      <c r="AG1820">
        <v>0</v>
      </c>
      <c r="AH1820">
        <v>0</v>
      </c>
      <c r="AI1820">
        <v>0</v>
      </c>
      <c r="AJ1820">
        <v>0</v>
      </c>
      <c r="AK1820">
        <v>0</v>
      </c>
      <c r="AL1820">
        <v>0</v>
      </c>
      <c r="AM1820">
        <v>1</v>
      </c>
      <c r="AN1820">
        <v>54</v>
      </c>
      <c r="AO1820">
        <v>51</v>
      </c>
      <c r="AP1820">
        <f>ifood_data[[#This Row],[MntTotal]]-ifood_data[[#This Row],[MntRegularProds]]</f>
        <v>3</v>
      </c>
      <c r="AQ1820">
        <v>0</v>
      </c>
      <c r="AR1820">
        <f>IF(SUM(ifood_data[[#This Row],[Kidhome]:[Teenhome]])&gt;0,1,0)</f>
        <v>1</v>
      </c>
      <c r="AS1820" t="str">
        <f>IF(SUM(ifood_data[[#This Row],[Kidhome]:[Teenhome]])&gt;0,"Has Family","No Family")</f>
        <v>Has Family</v>
      </c>
      <c r="AT1820" t="str">
        <f>IF(ifood_data[[#This Row],[marital_Married]]=1,"Married", (IF(ifood_data[[#This Row],[marital_Single]]=1,"Single",(IF(ifood_data[[#This Row],[marital_Divorced]]=1,"Divorced",(IF(ifood_data[[#This Row],[marital_Together]]=1,"Living Together",(IF(ifood_data[[#This Row],[marital_Widow]]=1,"Widow","Other")))))))))</f>
        <v>Single</v>
      </c>
      <c r="AU1820" t="str">
        <f>IF(ifood_data[[#This Row],[education_Basic]]=1,"High School",(IF(ifood_data[[#This Row],[education_Graduation]]=1,"Undergraduate Degree",(IF(SUM(AM1820,AL1820,AI1820)&gt;0,"Master's Degree or Higher","Other")))))</f>
        <v>Master's Degree or Higher</v>
      </c>
      <c r="AV1820" t="str">
        <f>IF(ifood_data[[#All],[Income]]&gt;75000,"75K+",(IF(ifood_data[[#All],[Income]]&gt;50000,"50K-75K",(IF(ifood_data[[#All],[Income]]&gt;35000,"35K-50K","&lt;35K")))))</f>
        <v>&lt;35K</v>
      </c>
      <c r="AW1820" t="str">
        <f>IF(ifood_data[[#All],[Age]]&gt;60,"60+",(IF(ifood_data[[#All],[Age]]&gt;50,"50-60",(IF(ifood_data[[#All],[Age]]&gt;40,"40-50",(IF(ifood_data[[#All],[Age]]&gt;30,"30-40","&lt;30")))))))</f>
        <v>50-60</v>
      </c>
      <c r="AX1820">
        <f t="shared" si="112"/>
        <v>18</v>
      </c>
      <c r="AY1820">
        <f t="shared" si="113"/>
        <v>7</v>
      </c>
      <c r="AZ1820">
        <f t="shared" si="114"/>
        <v>4</v>
      </c>
      <c r="BA1820">
        <f t="shared" si="115"/>
        <v>2</v>
      </c>
      <c r="BB1820">
        <f>SUM(ifood_data[[#This Row],[Recency Score]:[Monetary Score]])</f>
        <v>13</v>
      </c>
      <c r="BC1820">
        <f>(_xlfn.PERCENTRANK.INC(ifood_data[[#All],[RFM]],ifood_data[[#This Row],[RFM]],1))*10</f>
        <v>3</v>
      </c>
      <c r="BD1820" t="str">
        <f>VLOOKUP(ifood_data[[#This Row],[RFM Score]],'RFM Analysis'!$A$3:$B$14,2,FALSE)</f>
        <v>At Risk</v>
      </c>
      <c r="BE1820">
        <f>'Regression Models'!$B$101+'Regression Models'!$B$102*ifood_data[[#This Row],[Income]]+'Regression Models'!$B$103*ifood_data[[#This Row],[Age]]+'Regression Models'!$B$104*ifood_data[[#This Row],[Family]]</f>
        <v>-28.593087219831432</v>
      </c>
      <c r="BF1820" t="str">
        <f>IF(ifood_data[[#This Row],[AcceptedCmpOverall]]=1,"Campaign Respondent","Non-respondent")</f>
        <v>Non-respondent</v>
      </c>
    </row>
    <row r="1821" spans="1:58" x14ac:dyDescent="0.35">
      <c r="A1821">
        <v>1150</v>
      </c>
      <c r="B1821">
        <v>26228</v>
      </c>
      <c r="C1821">
        <v>1</v>
      </c>
      <c r="D1821">
        <v>0</v>
      </c>
      <c r="E1821">
        <v>50</v>
      </c>
      <c r="F1821">
        <v>2</v>
      </c>
      <c r="G1821">
        <v>6</v>
      </c>
      <c r="H1821">
        <v>4</v>
      </c>
      <c r="I1821">
        <v>3</v>
      </c>
      <c r="J1821">
        <v>1</v>
      </c>
      <c r="K1821">
        <v>9</v>
      </c>
      <c r="L1821">
        <v>1</v>
      </c>
      <c r="M1821">
        <v>1</v>
      </c>
      <c r="N1821">
        <v>0</v>
      </c>
      <c r="O1821">
        <v>2</v>
      </c>
      <c r="P1821">
        <v>8</v>
      </c>
      <c r="Q1821">
        <v>0</v>
      </c>
      <c r="R1821">
        <v>0</v>
      </c>
      <c r="S1821">
        <v>0</v>
      </c>
      <c r="T1821">
        <v>0</v>
      </c>
      <c r="U1821">
        <v>0</v>
      </c>
      <c r="V1821">
        <f>IF(SUM(ifood_data[[#This Row],[AcceptedCmp1]:[AcceptedCmp5]])&gt;0,1,0)</f>
        <v>0</v>
      </c>
      <c r="W1821">
        <v>0</v>
      </c>
      <c r="X1821">
        <v>3</v>
      </c>
      <c r="Y1821">
        <v>11</v>
      </c>
      <c r="Z1821">
        <v>0</v>
      </c>
      <c r="AA1821">
        <v>47</v>
      </c>
      <c r="AB1821">
        <v>2439</v>
      </c>
      <c r="AC1821" s="28">
        <f>ifood_data[[#This Row],[Customer_Days]]/365</f>
        <v>6.6821917808219178</v>
      </c>
      <c r="AD1821">
        <v>0</v>
      </c>
      <c r="AE1821">
        <v>1</v>
      </c>
      <c r="AF1821">
        <v>0</v>
      </c>
      <c r="AG1821">
        <v>0</v>
      </c>
      <c r="AH1821">
        <v>0</v>
      </c>
      <c r="AI1821">
        <v>0</v>
      </c>
      <c r="AJ1821">
        <v>0</v>
      </c>
      <c r="AK1821">
        <v>1</v>
      </c>
      <c r="AL1821">
        <v>0</v>
      </c>
      <c r="AM1821">
        <v>0</v>
      </c>
      <c r="AN1821">
        <v>16</v>
      </c>
      <c r="AO1821">
        <v>7</v>
      </c>
      <c r="AP1821">
        <f>ifood_data[[#This Row],[MntTotal]]-ifood_data[[#This Row],[MntRegularProds]]</f>
        <v>9</v>
      </c>
      <c r="AQ1821">
        <v>0</v>
      </c>
      <c r="AR1821">
        <f>IF(SUM(ifood_data[[#This Row],[Kidhome]:[Teenhome]])&gt;0,1,0)</f>
        <v>1</v>
      </c>
      <c r="AS1821" t="str">
        <f>IF(SUM(ifood_data[[#This Row],[Kidhome]:[Teenhome]])&gt;0,"Has Family","No Family")</f>
        <v>Has Family</v>
      </c>
      <c r="AT1821" t="str">
        <f>IF(ifood_data[[#This Row],[marital_Married]]=1,"Married", (IF(ifood_data[[#This Row],[marital_Single]]=1,"Single",(IF(ifood_data[[#This Row],[marital_Divorced]]=1,"Divorced",(IF(ifood_data[[#This Row],[marital_Together]]=1,"Living Together",(IF(ifood_data[[#This Row],[marital_Widow]]=1,"Widow","Other")))))))))</f>
        <v>Married</v>
      </c>
      <c r="AU1821" t="str">
        <f>IF(ifood_data[[#This Row],[education_Basic]]=1,"High School",(IF(ifood_data[[#This Row],[education_Graduation]]=1,"Undergraduate Degree",(IF(SUM(AM1821,AL1821,AI1821)&gt;0,"Master's Degree or Higher","Other")))))</f>
        <v>Undergraduate Degree</v>
      </c>
      <c r="AV1821" t="str">
        <f>IF(ifood_data[[#All],[Income]]&gt;75000,"75K+",(IF(ifood_data[[#All],[Income]]&gt;50000,"50K-75K",(IF(ifood_data[[#All],[Income]]&gt;35000,"35K-50K","&lt;35K")))))</f>
        <v>&lt;35K</v>
      </c>
      <c r="AW1821" t="str">
        <f>IF(ifood_data[[#All],[Age]]&gt;60,"60+",(IF(ifood_data[[#All],[Age]]&gt;50,"50-60",(IF(ifood_data[[#All],[Age]]&gt;40,"40-50",(IF(ifood_data[[#All],[Age]]&gt;30,"30-40","&lt;30")))))))</f>
        <v>40-50</v>
      </c>
      <c r="AX1821">
        <f t="shared" si="112"/>
        <v>12</v>
      </c>
      <c r="AY1821">
        <f t="shared" si="113"/>
        <v>5</v>
      </c>
      <c r="AZ1821">
        <f t="shared" si="114"/>
        <v>1</v>
      </c>
      <c r="BA1821">
        <f t="shared" si="115"/>
        <v>0</v>
      </c>
      <c r="BB1821">
        <f>SUM(ifood_data[[#This Row],[Recency Score]:[Monetary Score]])</f>
        <v>6</v>
      </c>
      <c r="BC1821">
        <f>(_xlfn.PERCENTRANK.INC(ifood_data[[#All],[RFM]],ifood_data[[#This Row],[RFM]],1))*10</f>
        <v>0</v>
      </c>
      <c r="BD1821" t="str">
        <f>VLOOKUP(ifood_data[[#This Row],[RFM Score]],'RFM Analysis'!$A$3:$B$14,2,FALSE)</f>
        <v>Lost</v>
      </c>
      <c r="BE1821">
        <f>'Regression Models'!$B$101+'Regression Models'!$B$102*ifood_data[[#This Row],[Income]]+'Regression Models'!$B$103*ifood_data[[#This Row],[Age]]+'Regression Models'!$B$104*ifood_data[[#This Row],[Family]]</f>
        <v>-28.98491317733226</v>
      </c>
      <c r="BF1821" t="str">
        <f>IF(ifood_data[[#This Row],[AcceptedCmpOverall]]=1,"Campaign Respondent","Non-respondent")</f>
        <v>Non-respondent</v>
      </c>
    </row>
    <row r="1822" spans="1:58" x14ac:dyDescent="0.35">
      <c r="A1822">
        <v>519</v>
      </c>
      <c r="B1822">
        <v>24683</v>
      </c>
      <c r="C1822">
        <v>1</v>
      </c>
      <c r="D1822">
        <v>0</v>
      </c>
      <c r="E1822">
        <v>98</v>
      </c>
      <c r="F1822">
        <v>8</v>
      </c>
      <c r="G1822">
        <v>4</v>
      </c>
      <c r="H1822">
        <v>10</v>
      </c>
      <c r="I1822">
        <v>6</v>
      </c>
      <c r="J1822">
        <v>7</v>
      </c>
      <c r="K1822">
        <v>6</v>
      </c>
      <c r="L1822">
        <v>2</v>
      </c>
      <c r="M1822">
        <v>2</v>
      </c>
      <c r="N1822">
        <v>0</v>
      </c>
      <c r="O1822">
        <v>4</v>
      </c>
      <c r="P1822">
        <v>5</v>
      </c>
      <c r="Q1822">
        <v>0</v>
      </c>
      <c r="R1822">
        <v>0</v>
      </c>
      <c r="S1822">
        <v>0</v>
      </c>
      <c r="T1822">
        <v>0</v>
      </c>
      <c r="U1822">
        <v>0</v>
      </c>
      <c r="V1822">
        <f>IF(SUM(ifood_data[[#This Row],[AcceptedCmp1]:[AcceptedCmp5]])&gt;0,1,0)</f>
        <v>0</v>
      </c>
      <c r="W1822">
        <v>0</v>
      </c>
      <c r="X1822">
        <v>3</v>
      </c>
      <c r="Y1822">
        <v>11</v>
      </c>
      <c r="Z1822">
        <v>0</v>
      </c>
      <c r="AA1822">
        <v>30</v>
      </c>
      <c r="AB1822">
        <v>2272</v>
      </c>
      <c r="AC1822" s="28">
        <f>ifood_data[[#This Row],[Customer_Days]]/365</f>
        <v>6.2246575342465755</v>
      </c>
      <c r="AD1822">
        <v>0</v>
      </c>
      <c r="AE1822">
        <v>1</v>
      </c>
      <c r="AF1822">
        <v>0</v>
      </c>
      <c r="AG1822">
        <v>0</v>
      </c>
      <c r="AH1822">
        <v>0</v>
      </c>
      <c r="AI1822">
        <v>1</v>
      </c>
      <c r="AJ1822">
        <v>0</v>
      </c>
      <c r="AK1822">
        <v>0</v>
      </c>
      <c r="AL1822">
        <v>0</v>
      </c>
      <c r="AM1822">
        <v>0</v>
      </c>
      <c r="AN1822">
        <v>35</v>
      </c>
      <c r="AO1822">
        <v>29</v>
      </c>
      <c r="AP1822">
        <f>ifood_data[[#This Row],[MntTotal]]-ifood_data[[#This Row],[MntRegularProds]]</f>
        <v>6</v>
      </c>
      <c r="AQ1822">
        <v>0</v>
      </c>
      <c r="AR1822">
        <f>IF(SUM(ifood_data[[#This Row],[Kidhome]:[Teenhome]])&gt;0,1,0)</f>
        <v>1</v>
      </c>
      <c r="AS1822" t="str">
        <f>IF(SUM(ifood_data[[#This Row],[Kidhome]:[Teenhome]])&gt;0,"Has Family","No Family")</f>
        <v>Has Family</v>
      </c>
      <c r="AT1822" t="str">
        <f>IF(ifood_data[[#This Row],[marital_Married]]=1,"Married", (IF(ifood_data[[#This Row],[marital_Single]]=1,"Single",(IF(ifood_data[[#This Row],[marital_Divorced]]=1,"Divorced",(IF(ifood_data[[#This Row],[marital_Together]]=1,"Living Together",(IF(ifood_data[[#This Row],[marital_Widow]]=1,"Widow","Other")))))))))</f>
        <v>Married</v>
      </c>
      <c r="AU1822" t="str">
        <f>IF(ifood_data[[#This Row],[education_Basic]]=1,"High School",(IF(ifood_data[[#This Row],[education_Graduation]]=1,"Undergraduate Degree",(IF(SUM(AM1822,AL1822,AI1822)&gt;0,"Master's Degree or Higher","Other")))))</f>
        <v>Master's Degree or Higher</v>
      </c>
      <c r="AV1822" t="str">
        <f>IF(ifood_data[[#All],[Income]]&gt;75000,"75K+",(IF(ifood_data[[#All],[Income]]&gt;50000,"50K-75K",(IF(ifood_data[[#All],[Income]]&gt;35000,"35K-50K","&lt;35K")))))</f>
        <v>&lt;35K</v>
      </c>
      <c r="AW1822" t="str">
        <f>IF(ifood_data[[#All],[Age]]&gt;60,"60+",(IF(ifood_data[[#All],[Age]]&gt;50,"50-60",(IF(ifood_data[[#All],[Age]]&gt;40,"40-50",(IF(ifood_data[[#All],[Age]]&gt;30,"30-40","&lt;30")))))))</f>
        <v>&lt;30</v>
      </c>
      <c r="AX1822">
        <f t="shared" si="112"/>
        <v>13</v>
      </c>
      <c r="AY1822">
        <f t="shared" si="113"/>
        <v>0.99999999999999978</v>
      </c>
      <c r="AZ1822">
        <f t="shared" si="114"/>
        <v>1</v>
      </c>
      <c r="BA1822">
        <f t="shared" si="115"/>
        <v>1</v>
      </c>
      <c r="BB1822">
        <f>SUM(ifood_data[[#This Row],[Recency Score]:[Monetary Score]])</f>
        <v>3</v>
      </c>
      <c r="BC1822">
        <f>(_xlfn.PERCENTRANK.INC(ifood_data[[#All],[RFM]],ifood_data[[#This Row],[RFM]],1))*10</f>
        <v>0</v>
      </c>
      <c r="BD1822" t="str">
        <f>VLOOKUP(ifood_data[[#This Row],[RFM Score]],'RFM Analysis'!$A$3:$B$14,2,FALSE)</f>
        <v>Lost</v>
      </c>
      <c r="BE1822">
        <f>'Regression Models'!$B$101+'Regression Models'!$B$102*ifood_data[[#This Row],[Income]]+'Regression Models'!$B$103*ifood_data[[#This Row],[Age]]+'Regression Models'!$B$104*ifood_data[[#This Row],[Family]]</f>
        <v>-29.266095618453392</v>
      </c>
      <c r="BF1822" t="str">
        <f>IF(ifood_data[[#This Row],[AcceptedCmpOverall]]=1,"Campaign Respondent","Non-respondent")</f>
        <v>Non-respondent</v>
      </c>
    </row>
    <row r="1823" spans="1:58" x14ac:dyDescent="0.35">
      <c r="A1823">
        <v>1356</v>
      </c>
      <c r="B1823">
        <v>26290</v>
      </c>
      <c r="C1823">
        <v>1</v>
      </c>
      <c r="D1823">
        <v>1</v>
      </c>
      <c r="E1823">
        <v>49</v>
      </c>
      <c r="F1823">
        <v>15</v>
      </c>
      <c r="G1823">
        <v>8</v>
      </c>
      <c r="H1823">
        <v>16</v>
      </c>
      <c r="I1823">
        <v>11</v>
      </c>
      <c r="J1823">
        <v>5</v>
      </c>
      <c r="K1823">
        <v>22</v>
      </c>
      <c r="L1823">
        <v>4</v>
      </c>
      <c r="M1823">
        <v>2</v>
      </c>
      <c r="N1823">
        <v>0</v>
      </c>
      <c r="O1823">
        <v>4</v>
      </c>
      <c r="P1823">
        <v>6</v>
      </c>
      <c r="Q1823">
        <v>0</v>
      </c>
      <c r="R1823">
        <v>0</v>
      </c>
      <c r="S1823">
        <v>0</v>
      </c>
      <c r="T1823">
        <v>0</v>
      </c>
      <c r="U1823">
        <v>0</v>
      </c>
      <c r="V1823">
        <f>IF(SUM(ifood_data[[#This Row],[AcceptedCmp1]:[AcceptedCmp5]])&gt;0,1,0)</f>
        <v>0</v>
      </c>
      <c r="W1823">
        <v>0</v>
      </c>
      <c r="X1823">
        <v>3</v>
      </c>
      <c r="Y1823">
        <v>11</v>
      </c>
      <c r="Z1823">
        <v>0</v>
      </c>
      <c r="AA1823">
        <v>48</v>
      </c>
      <c r="AB1823">
        <v>2692</v>
      </c>
      <c r="AC1823" s="28">
        <f>ifood_data[[#This Row],[Customer_Days]]/365</f>
        <v>7.375342465753425</v>
      </c>
      <c r="AD1823">
        <v>0</v>
      </c>
      <c r="AE1823">
        <v>0</v>
      </c>
      <c r="AF1823">
        <v>0</v>
      </c>
      <c r="AG1823">
        <v>1</v>
      </c>
      <c r="AH1823">
        <v>0</v>
      </c>
      <c r="AI1823">
        <v>0</v>
      </c>
      <c r="AJ1823">
        <v>0</v>
      </c>
      <c r="AK1823">
        <v>1</v>
      </c>
      <c r="AL1823">
        <v>0</v>
      </c>
      <c r="AM1823">
        <v>0</v>
      </c>
      <c r="AN1823">
        <v>55</v>
      </c>
      <c r="AO1823">
        <v>33</v>
      </c>
      <c r="AP1823">
        <f>ifood_data[[#This Row],[MntTotal]]-ifood_data[[#This Row],[MntRegularProds]]</f>
        <v>22</v>
      </c>
      <c r="AQ1823">
        <v>0</v>
      </c>
      <c r="AR1823">
        <f>IF(SUM(ifood_data[[#This Row],[Kidhome]:[Teenhome]])&gt;0,1,0)</f>
        <v>1</v>
      </c>
      <c r="AS1823" t="str">
        <f>IF(SUM(ifood_data[[#This Row],[Kidhome]:[Teenhome]])&gt;0,"Has Family","No Family")</f>
        <v>Has Family</v>
      </c>
      <c r="AT1823" t="str">
        <f>IF(ifood_data[[#This Row],[marital_Married]]=1,"Married", (IF(ifood_data[[#This Row],[marital_Single]]=1,"Single",(IF(ifood_data[[#This Row],[marital_Divorced]]=1,"Divorced",(IF(ifood_data[[#This Row],[marital_Together]]=1,"Living Together",(IF(ifood_data[[#This Row],[marital_Widow]]=1,"Widow","Other")))))))))</f>
        <v>Living Together</v>
      </c>
      <c r="AU1823" t="str">
        <f>IF(ifood_data[[#This Row],[education_Basic]]=1,"High School",(IF(ifood_data[[#This Row],[education_Graduation]]=1,"Undergraduate Degree",(IF(SUM(AM1823,AL1823,AI1823)&gt;0,"Master's Degree or Higher","Other")))))</f>
        <v>Undergraduate Degree</v>
      </c>
      <c r="AV1823" t="str">
        <f>IF(ifood_data[[#All],[Income]]&gt;75000,"75K+",(IF(ifood_data[[#All],[Income]]&gt;50000,"50K-75K",(IF(ifood_data[[#All],[Income]]&gt;35000,"35K-50K","&lt;35K")))))</f>
        <v>&lt;35K</v>
      </c>
      <c r="AW1823" t="str">
        <f>IF(ifood_data[[#All],[Age]]&gt;60,"60+",(IF(ifood_data[[#All],[Age]]&gt;50,"50-60",(IF(ifood_data[[#All],[Age]]&gt;40,"40-50",(IF(ifood_data[[#All],[Age]]&gt;30,"30-40","&lt;30")))))))</f>
        <v>40-50</v>
      </c>
      <c r="AX1823">
        <f t="shared" si="112"/>
        <v>16</v>
      </c>
      <c r="AY1823">
        <f t="shared" si="113"/>
        <v>6</v>
      </c>
      <c r="AZ1823">
        <f t="shared" si="114"/>
        <v>3</v>
      </c>
      <c r="BA1823">
        <f t="shared" si="115"/>
        <v>2</v>
      </c>
      <c r="BB1823">
        <f>SUM(ifood_data[[#This Row],[Recency Score]:[Monetary Score]])</f>
        <v>11</v>
      </c>
      <c r="BC1823">
        <f>(_xlfn.PERCENTRANK.INC(ifood_data[[#All],[RFM]],ifood_data[[#This Row],[RFM]],1))*10</f>
        <v>2</v>
      </c>
      <c r="BD1823" t="str">
        <f>VLOOKUP(ifood_data[[#This Row],[RFM Score]],'RFM Analysis'!$A$3:$B$14,2,FALSE)</f>
        <v>At Risk</v>
      </c>
      <c r="BE1823">
        <f>'Regression Models'!$B$101+'Regression Models'!$B$102*ifood_data[[#This Row],[Income]]+'Regression Models'!$B$103*ifood_data[[#This Row],[Age]]+'Regression Models'!$B$104*ifood_data[[#This Row],[Family]]</f>
        <v>-29.557248631304901</v>
      </c>
      <c r="BF1823" t="str">
        <f>IF(ifood_data[[#This Row],[AcceptedCmpOverall]]=1,"Campaign Respondent","Non-respondent")</f>
        <v>Non-respondent</v>
      </c>
    </row>
    <row r="1824" spans="1:58" x14ac:dyDescent="0.35">
      <c r="A1824">
        <v>172</v>
      </c>
      <c r="B1824">
        <v>25271</v>
      </c>
      <c r="C1824">
        <v>1</v>
      </c>
      <c r="D1824">
        <v>0</v>
      </c>
      <c r="E1824">
        <v>45</v>
      </c>
      <c r="F1824">
        <v>10</v>
      </c>
      <c r="G1824">
        <v>1</v>
      </c>
      <c r="H1824">
        <v>18</v>
      </c>
      <c r="I1824">
        <v>10</v>
      </c>
      <c r="J1824">
        <v>4</v>
      </c>
      <c r="K1824">
        <v>7</v>
      </c>
      <c r="L1824">
        <v>1</v>
      </c>
      <c r="M1824">
        <v>1</v>
      </c>
      <c r="N1824">
        <v>1</v>
      </c>
      <c r="O1824">
        <v>2</v>
      </c>
      <c r="P1824">
        <v>9</v>
      </c>
      <c r="Q1824">
        <v>0</v>
      </c>
      <c r="R1824">
        <v>0</v>
      </c>
      <c r="S1824">
        <v>0</v>
      </c>
      <c r="T1824">
        <v>0</v>
      </c>
      <c r="U1824">
        <v>0</v>
      </c>
      <c r="V1824">
        <f>IF(SUM(ifood_data[[#This Row],[AcceptedCmp1]:[AcceptedCmp5]])&gt;0,1,0)</f>
        <v>0</v>
      </c>
      <c r="W1824">
        <v>0</v>
      </c>
      <c r="X1824">
        <v>3</v>
      </c>
      <c r="Y1824">
        <v>11</v>
      </c>
      <c r="Z1824">
        <v>0</v>
      </c>
      <c r="AA1824">
        <v>37</v>
      </c>
      <c r="AB1824">
        <v>2730</v>
      </c>
      <c r="AC1824" s="28">
        <f>ifood_data[[#This Row],[Customer_Days]]/365</f>
        <v>7.4794520547945202</v>
      </c>
      <c r="AD1824">
        <v>0</v>
      </c>
      <c r="AE1824">
        <v>1</v>
      </c>
      <c r="AF1824">
        <v>0</v>
      </c>
      <c r="AG1824">
        <v>0</v>
      </c>
      <c r="AH1824">
        <v>0</v>
      </c>
      <c r="AI1824">
        <v>0</v>
      </c>
      <c r="AJ1824">
        <v>0</v>
      </c>
      <c r="AK1824">
        <v>1</v>
      </c>
      <c r="AL1824">
        <v>0</v>
      </c>
      <c r="AM1824">
        <v>0</v>
      </c>
      <c r="AN1824">
        <v>43</v>
      </c>
      <c r="AO1824">
        <v>36</v>
      </c>
      <c r="AP1824">
        <f>ifood_data[[#This Row],[MntTotal]]-ifood_data[[#This Row],[MntRegularProds]]</f>
        <v>7</v>
      </c>
      <c r="AQ1824">
        <v>0</v>
      </c>
      <c r="AR1824">
        <f>IF(SUM(ifood_data[[#This Row],[Kidhome]:[Teenhome]])&gt;0,1,0)</f>
        <v>1</v>
      </c>
      <c r="AS1824" t="str">
        <f>IF(SUM(ifood_data[[#This Row],[Kidhome]:[Teenhome]])&gt;0,"Has Family","No Family")</f>
        <v>Has Family</v>
      </c>
      <c r="AT1824" t="str">
        <f>IF(ifood_data[[#This Row],[marital_Married]]=1,"Married", (IF(ifood_data[[#This Row],[marital_Single]]=1,"Single",(IF(ifood_data[[#This Row],[marital_Divorced]]=1,"Divorced",(IF(ifood_data[[#This Row],[marital_Together]]=1,"Living Together",(IF(ifood_data[[#This Row],[marital_Widow]]=1,"Widow","Other")))))))))</f>
        <v>Married</v>
      </c>
      <c r="AU1824" t="str">
        <f>IF(ifood_data[[#This Row],[education_Basic]]=1,"High School",(IF(ifood_data[[#This Row],[education_Graduation]]=1,"Undergraduate Degree",(IF(SUM(AM1824,AL1824,AI1824)&gt;0,"Master's Degree or Higher","Other")))))</f>
        <v>Undergraduate Degree</v>
      </c>
      <c r="AV1824" t="str">
        <f>IF(ifood_data[[#All],[Income]]&gt;75000,"75K+",(IF(ifood_data[[#All],[Income]]&gt;50000,"50K-75K",(IF(ifood_data[[#All],[Income]]&gt;35000,"35K-50K","&lt;35K")))))</f>
        <v>&lt;35K</v>
      </c>
      <c r="AW1824" t="str">
        <f>IF(ifood_data[[#All],[Age]]&gt;60,"60+",(IF(ifood_data[[#All],[Age]]&gt;50,"50-60",(IF(ifood_data[[#All],[Age]]&gt;40,"40-50",(IF(ifood_data[[#All],[Age]]&gt;30,"30-40","&lt;30")))))))</f>
        <v>30-40</v>
      </c>
      <c r="AX1824">
        <f t="shared" si="112"/>
        <v>14</v>
      </c>
      <c r="AY1824">
        <f t="shared" si="113"/>
        <v>6</v>
      </c>
      <c r="AZ1824">
        <f t="shared" si="114"/>
        <v>2</v>
      </c>
      <c r="BA1824">
        <f t="shared" si="115"/>
        <v>1</v>
      </c>
      <c r="BB1824">
        <f>SUM(ifood_data[[#This Row],[Recency Score]:[Monetary Score]])</f>
        <v>9</v>
      </c>
      <c r="BC1824">
        <f>(_xlfn.PERCENTRANK.INC(ifood_data[[#All],[RFM]],ifood_data[[#This Row],[RFM]],1))*10</f>
        <v>1</v>
      </c>
      <c r="BD1824" t="str">
        <f>VLOOKUP(ifood_data[[#This Row],[RFM Score]],'RFM Analysis'!$A$3:$B$14,2,FALSE)</f>
        <v>At Risk</v>
      </c>
      <c r="BE1824">
        <f>'Regression Models'!$B$101+'Regression Models'!$B$102*ifood_data[[#This Row],[Income]]+'Regression Models'!$B$103*ifood_data[[#This Row],[Age]]+'Regression Models'!$B$104*ifood_data[[#This Row],[Family]]</f>
        <v>-30.132573502100797</v>
      </c>
      <c r="BF1824" t="str">
        <f>IF(ifood_data[[#This Row],[AcceptedCmpOverall]]=1,"Campaign Respondent","Non-respondent")</f>
        <v>Non-respondent</v>
      </c>
    </row>
    <row r="1825" spans="1:58" x14ac:dyDescent="0.35">
      <c r="A1825">
        <v>1974</v>
      </c>
      <c r="B1825">
        <v>26067</v>
      </c>
      <c r="C1825">
        <v>1</v>
      </c>
      <c r="D1825">
        <v>0</v>
      </c>
      <c r="E1825">
        <v>49</v>
      </c>
      <c r="F1825">
        <v>22</v>
      </c>
      <c r="G1825">
        <v>2</v>
      </c>
      <c r="H1825">
        <v>18</v>
      </c>
      <c r="I1825">
        <v>0</v>
      </c>
      <c r="J1825">
        <v>2</v>
      </c>
      <c r="K1825">
        <v>12</v>
      </c>
      <c r="L1825">
        <v>3</v>
      </c>
      <c r="M1825">
        <v>3</v>
      </c>
      <c r="N1825">
        <v>0</v>
      </c>
      <c r="O1825">
        <v>3</v>
      </c>
      <c r="P1825">
        <v>8</v>
      </c>
      <c r="Q1825">
        <v>0</v>
      </c>
      <c r="R1825">
        <v>0</v>
      </c>
      <c r="S1825">
        <v>0</v>
      </c>
      <c r="T1825">
        <v>0</v>
      </c>
      <c r="U1825">
        <v>0</v>
      </c>
      <c r="V1825">
        <f>IF(SUM(ifood_data[[#This Row],[AcceptedCmp1]:[AcceptedCmp5]])&gt;0,1,0)</f>
        <v>0</v>
      </c>
      <c r="W1825">
        <v>0</v>
      </c>
      <c r="X1825">
        <v>3</v>
      </c>
      <c r="Y1825">
        <v>11</v>
      </c>
      <c r="Z1825">
        <v>0</v>
      </c>
      <c r="AA1825">
        <v>46</v>
      </c>
      <c r="AB1825">
        <v>2396</v>
      </c>
      <c r="AC1825" s="28">
        <f>ifood_data[[#This Row],[Customer_Days]]/365</f>
        <v>6.5643835616438357</v>
      </c>
      <c r="AD1825">
        <v>0</v>
      </c>
      <c r="AE1825">
        <v>1</v>
      </c>
      <c r="AF1825">
        <v>0</v>
      </c>
      <c r="AG1825">
        <v>0</v>
      </c>
      <c r="AH1825">
        <v>0</v>
      </c>
      <c r="AI1825">
        <v>0</v>
      </c>
      <c r="AJ1825">
        <v>0</v>
      </c>
      <c r="AK1825">
        <v>1</v>
      </c>
      <c r="AL1825">
        <v>0</v>
      </c>
      <c r="AM1825">
        <v>0</v>
      </c>
      <c r="AN1825">
        <v>44</v>
      </c>
      <c r="AO1825">
        <v>32</v>
      </c>
      <c r="AP1825">
        <f>ifood_data[[#This Row],[MntTotal]]-ifood_data[[#This Row],[MntRegularProds]]</f>
        <v>12</v>
      </c>
      <c r="AQ1825">
        <v>0</v>
      </c>
      <c r="AR1825">
        <f>IF(SUM(ifood_data[[#This Row],[Kidhome]:[Teenhome]])&gt;0,1,0)</f>
        <v>1</v>
      </c>
      <c r="AS1825" t="str">
        <f>IF(SUM(ifood_data[[#This Row],[Kidhome]:[Teenhome]])&gt;0,"Has Family","No Family")</f>
        <v>Has Family</v>
      </c>
      <c r="AT1825" t="str">
        <f>IF(ifood_data[[#This Row],[marital_Married]]=1,"Married", (IF(ifood_data[[#This Row],[marital_Single]]=1,"Single",(IF(ifood_data[[#This Row],[marital_Divorced]]=1,"Divorced",(IF(ifood_data[[#This Row],[marital_Together]]=1,"Living Together",(IF(ifood_data[[#This Row],[marital_Widow]]=1,"Widow","Other")))))))))</f>
        <v>Married</v>
      </c>
      <c r="AU1825" t="str">
        <f>IF(ifood_data[[#This Row],[education_Basic]]=1,"High School",(IF(ifood_data[[#This Row],[education_Graduation]]=1,"Undergraduate Degree",(IF(SUM(AM1825,AL1825,AI1825)&gt;0,"Master's Degree or Higher","Other")))))</f>
        <v>Undergraduate Degree</v>
      </c>
      <c r="AV1825" t="str">
        <f>IF(ifood_data[[#All],[Income]]&gt;75000,"75K+",(IF(ifood_data[[#All],[Income]]&gt;50000,"50K-75K",(IF(ifood_data[[#All],[Income]]&gt;35000,"35K-50K","&lt;35K")))))</f>
        <v>&lt;35K</v>
      </c>
      <c r="AW1825" t="str">
        <f>IF(ifood_data[[#All],[Age]]&gt;60,"60+",(IF(ifood_data[[#All],[Age]]&gt;50,"50-60",(IF(ifood_data[[#All],[Age]]&gt;40,"40-50",(IF(ifood_data[[#All],[Age]]&gt;30,"30-40","&lt;30")))))))</f>
        <v>40-50</v>
      </c>
      <c r="AX1825">
        <f t="shared" si="112"/>
        <v>17</v>
      </c>
      <c r="AY1825">
        <f t="shared" si="113"/>
        <v>6</v>
      </c>
      <c r="AZ1825">
        <f t="shared" si="114"/>
        <v>3</v>
      </c>
      <c r="BA1825">
        <f t="shared" si="115"/>
        <v>2</v>
      </c>
      <c r="BB1825">
        <f>SUM(ifood_data[[#This Row],[Recency Score]:[Monetary Score]])</f>
        <v>11</v>
      </c>
      <c r="BC1825">
        <f>(_xlfn.PERCENTRANK.INC(ifood_data[[#All],[RFM]],ifood_data[[#This Row],[RFM]],1))*10</f>
        <v>2</v>
      </c>
      <c r="BD1825" t="str">
        <f>VLOOKUP(ifood_data[[#This Row],[RFM Score]],'RFM Analysis'!$A$3:$B$14,2,FALSE)</f>
        <v>At Risk</v>
      </c>
      <c r="BE1825">
        <f>'Regression Models'!$B$101+'Regression Models'!$B$102*ifood_data[[#This Row],[Income]]+'Regression Models'!$B$103*ifood_data[[#This Row],[Age]]+'Regression Models'!$B$104*ifood_data[[#This Row],[Family]]</f>
        <v>-30.431065769605766</v>
      </c>
      <c r="BF1825" t="str">
        <f>IF(ifood_data[[#This Row],[AcceptedCmpOverall]]=1,"Campaign Respondent","Non-respondent")</f>
        <v>Non-respondent</v>
      </c>
    </row>
    <row r="1826" spans="1:58" x14ac:dyDescent="0.35">
      <c r="A1826">
        <v>1444</v>
      </c>
      <c r="B1826">
        <v>27215</v>
      </c>
      <c r="C1826">
        <v>2</v>
      </c>
      <c r="D1826">
        <v>1</v>
      </c>
      <c r="E1826">
        <v>50</v>
      </c>
      <c r="F1826">
        <v>30</v>
      </c>
      <c r="G1826">
        <v>5</v>
      </c>
      <c r="H1826">
        <v>22</v>
      </c>
      <c r="I1826">
        <v>8</v>
      </c>
      <c r="J1826">
        <v>9</v>
      </c>
      <c r="K1826">
        <v>28</v>
      </c>
      <c r="L1826">
        <v>4</v>
      </c>
      <c r="M1826">
        <v>2</v>
      </c>
      <c r="N1826">
        <v>1</v>
      </c>
      <c r="O1826">
        <v>4</v>
      </c>
      <c r="P1826">
        <v>6</v>
      </c>
      <c r="Q1826">
        <v>0</v>
      </c>
      <c r="R1826">
        <v>0</v>
      </c>
      <c r="S1826">
        <v>0</v>
      </c>
      <c r="T1826">
        <v>0</v>
      </c>
      <c r="U1826">
        <v>0</v>
      </c>
      <c r="V1826">
        <f>IF(SUM(ifood_data[[#This Row],[AcceptedCmp1]:[AcceptedCmp5]])&gt;0,1,0)</f>
        <v>0</v>
      </c>
      <c r="W1826">
        <v>0</v>
      </c>
      <c r="X1826">
        <v>3</v>
      </c>
      <c r="Y1826">
        <v>11</v>
      </c>
      <c r="Z1826">
        <v>0</v>
      </c>
      <c r="AA1826">
        <v>59</v>
      </c>
      <c r="AB1826">
        <v>2681</v>
      </c>
      <c r="AC1826" s="28">
        <f>ifood_data[[#This Row],[Customer_Days]]/365</f>
        <v>7.3452054794520549</v>
      </c>
      <c r="AD1826">
        <v>1</v>
      </c>
      <c r="AE1826">
        <v>0</v>
      </c>
      <c r="AF1826">
        <v>0</v>
      </c>
      <c r="AG1826">
        <v>0</v>
      </c>
      <c r="AH1826">
        <v>0</v>
      </c>
      <c r="AI1826">
        <v>0</v>
      </c>
      <c r="AJ1826">
        <v>0</v>
      </c>
      <c r="AK1826">
        <v>1</v>
      </c>
      <c r="AL1826">
        <v>0</v>
      </c>
      <c r="AM1826">
        <v>0</v>
      </c>
      <c r="AN1826">
        <v>74</v>
      </c>
      <c r="AO1826">
        <v>46</v>
      </c>
      <c r="AP1826">
        <f>ifood_data[[#This Row],[MntTotal]]-ifood_data[[#This Row],[MntRegularProds]]</f>
        <v>28</v>
      </c>
      <c r="AQ1826">
        <v>0</v>
      </c>
      <c r="AR1826">
        <f>IF(SUM(ifood_data[[#This Row],[Kidhome]:[Teenhome]])&gt;0,1,0)</f>
        <v>1</v>
      </c>
      <c r="AS1826" t="str">
        <f>IF(SUM(ifood_data[[#This Row],[Kidhome]:[Teenhome]])&gt;0,"Has Family","No Family")</f>
        <v>Has Family</v>
      </c>
      <c r="AT1826" t="str">
        <f>IF(ifood_data[[#This Row],[marital_Married]]=1,"Married", (IF(ifood_data[[#This Row],[marital_Single]]=1,"Single",(IF(ifood_data[[#This Row],[marital_Divorced]]=1,"Divorced",(IF(ifood_data[[#This Row],[marital_Together]]=1,"Living Together",(IF(ifood_data[[#This Row],[marital_Widow]]=1,"Widow","Other")))))))))</f>
        <v>Divorced</v>
      </c>
      <c r="AU1826" t="str">
        <f>IF(ifood_data[[#This Row],[education_Basic]]=1,"High School",(IF(ifood_data[[#This Row],[education_Graduation]]=1,"Undergraduate Degree",(IF(SUM(AM1826,AL1826,AI1826)&gt;0,"Master's Degree or Higher","Other")))))</f>
        <v>Undergraduate Degree</v>
      </c>
      <c r="AV1826" t="str">
        <f>IF(ifood_data[[#All],[Income]]&gt;75000,"75K+",(IF(ifood_data[[#All],[Income]]&gt;50000,"50K-75K",(IF(ifood_data[[#All],[Income]]&gt;35000,"35K-50K","&lt;35K")))))</f>
        <v>&lt;35K</v>
      </c>
      <c r="AW1826" t="str">
        <f>IF(ifood_data[[#All],[Age]]&gt;60,"60+",(IF(ifood_data[[#All],[Age]]&gt;50,"50-60",(IF(ifood_data[[#All],[Age]]&gt;40,"40-50",(IF(ifood_data[[#All],[Age]]&gt;30,"30-40","&lt;30")))))))</f>
        <v>50-60</v>
      </c>
      <c r="AX1826">
        <f t="shared" si="112"/>
        <v>17</v>
      </c>
      <c r="AY1826">
        <f t="shared" si="113"/>
        <v>5</v>
      </c>
      <c r="AZ1826">
        <f t="shared" si="114"/>
        <v>3</v>
      </c>
      <c r="BA1826">
        <f t="shared" si="115"/>
        <v>3</v>
      </c>
      <c r="BB1826">
        <f>SUM(ifood_data[[#This Row],[Recency Score]:[Monetary Score]])</f>
        <v>11</v>
      </c>
      <c r="BC1826">
        <f>(_xlfn.PERCENTRANK.INC(ifood_data[[#All],[RFM]],ifood_data[[#This Row],[RFM]],1))*10</f>
        <v>2</v>
      </c>
      <c r="BD1826" t="str">
        <f>VLOOKUP(ifood_data[[#This Row],[RFM Score]],'RFM Analysis'!$A$3:$B$14,2,FALSE)</f>
        <v>At Risk</v>
      </c>
      <c r="BE1826">
        <f>'Regression Models'!$B$101+'Regression Models'!$B$102*ifood_data[[#This Row],[Income]]+'Regression Models'!$B$103*ifood_data[[#This Row],[Age]]+'Regression Models'!$B$104*ifood_data[[#This Row],[Family]]</f>
        <v>-30.898467966035355</v>
      </c>
      <c r="BF1826" t="str">
        <f>IF(ifood_data[[#This Row],[AcceptedCmpOverall]]=1,"Campaign Respondent","Non-respondent")</f>
        <v>Non-respondent</v>
      </c>
    </row>
    <row r="1827" spans="1:58" x14ac:dyDescent="0.35">
      <c r="A1827">
        <v>1709</v>
      </c>
      <c r="B1827">
        <v>26642</v>
      </c>
      <c r="C1827">
        <v>1</v>
      </c>
      <c r="D1827">
        <v>0</v>
      </c>
      <c r="E1827">
        <v>71</v>
      </c>
      <c r="F1827">
        <v>13</v>
      </c>
      <c r="G1827">
        <v>2</v>
      </c>
      <c r="H1827">
        <v>15</v>
      </c>
      <c r="I1827">
        <v>2</v>
      </c>
      <c r="J1827">
        <v>2</v>
      </c>
      <c r="K1827">
        <v>8</v>
      </c>
      <c r="L1827">
        <v>2</v>
      </c>
      <c r="M1827">
        <v>2</v>
      </c>
      <c r="N1827">
        <v>0</v>
      </c>
      <c r="O1827">
        <v>3</v>
      </c>
      <c r="P1827">
        <v>6</v>
      </c>
      <c r="Q1827">
        <v>0</v>
      </c>
      <c r="R1827">
        <v>0</v>
      </c>
      <c r="S1827">
        <v>0</v>
      </c>
      <c r="T1827">
        <v>0</v>
      </c>
      <c r="U1827">
        <v>0</v>
      </c>
      <c r="V1827">
        <f>IF(SUM(ifood_data[[#This Row],[AcceptedCmp1]:[AcceptedCmp5]])&gt;0,1,0)</f>
        <v>0</v>
      </c>
      <c r="W1827">
        <v>0</v>
      </c>
      <c r="X1827">
        <v>3</v>
      </c>
      <c r="Y1827">
        <v>11</v>
      </c>
      <c r="Z1827">
        <v>0</v>
      </c>
      <c r="AA1827">
        <v>53</v>
      </c>
      <c r="AB1827">
        <v>2279</v>
      </c>
      <c r="AC1827" s="28">
        <f>ifood_data[[#This Row],[Customer_Days]]/365</f>
        <v>6.2438356164383562</v>
      </c>
      <c r="AD1827">
        <v>1</v>
      </c>
      <c r="AE1827">
        <v>0</v>
      </c>
      <c r="AF1827">
        <v>0</v>
      </c>
      <c r="AG1827">
        <v>0</v>
      </c>
      <c r="AH1827">
        <v>0</v>
      </c>
      <c r="AI1827">
        <v>0</v>
      </c>
      <c r="AJ1827">
        <v>0</v>
      </c>
      <c r="AK1827">
        <v>0</v>
      </c>
      <c r="AL1827">
        <v>0</v>
      </c>
      <c r="AM1827">
        <v>1</v>
      </c>
      <c r="AN1827">
        <v>34</v>
      </c>
      <c r="AO1827">
        <v>26</v>
      </c>
      <c r="AP1827">
        <f>ifood_data[[#This Row],[MntTotal]]-ifood_data[[#This Row],[MntRegularProds]]</f>
        <v>8</v>
      </c>
      <c r="AQ1827">
        <v>0</v>
      </c>
      <c r="AR1827">
        <f>IF(SUM(ifood_data[[#This Row],[Kidhome]:[Teenhome]])&gt;0,1,0)</f>
        <v>1</v>
      </c>
      <c r="AS1827" t="str">
        <f>IF(SUM(ifood_data[[#This Row],[Kidhome]:[Teenhome]])&gt;0,"Has Family","No Family")</f>
        <v>Has Family</v>
      </c>
      <c r="AT1827" t="str">
        <f>IF(ifood_data[[#This Row],[marital_Married]]=1,"Married", (IF(ifood_data[[#This Row],[marital_Single]]=1,"Single",(IF(ifood_data[[#This Row],[marital_Divorced]]=1,"Divorced",(IF(ifood_data[[#This Row],[marital_Together]]=1,"Living Together",(IF(ifood_data[[#This Row],[marital_Widow]]=1,"Widow","Other")))))))))</f>
        <v>Divorced</v>
      </c>
      <c r="AU1827" t="str">
        <f>IF(ifood_data[[#This Row],[education_Basic]]=1,"High School",(IF(ifood_data[[#This Row],[education_Graduation]]=1,"Undergraduate Degree",(IF(SUM(AM1827,AL1827,AI1827)&gt;0,"Master's Degree or Higher","Other")))))</f>
        <v>Master's Degree or Higher</v>
      </c>
      <c r="AV1827" t="str">
        <f>IF(ifood_data[[#All],[Income]]&gt;75000,"75K+",(IF(ifood_data[[#All],[Income]]&gt;50000,"50K-75K",(IF(ifood_data[[#All],[Income]]&gt;35000,"35K-50K","&lt;35K")))))</f>
        <v>&lt;35K</v>
      </c>
      <c r="AW1827" t="str">
        <f>IF(ifood_data[[#All],[Age]]&gt;60,"60+",(IF(ifood_data[[#All],[Age]]&gt;50,"50-60",(IF(ifood_data[[#All],[Age]]&gt;40,"40-50",(IF(ifood_data[[#All],[Age]]&gt;30,"30-40","&lt;30")))))))</f>
        <v>50-60</v>
      </c>
      <c r="AX1827">
        <f t="shared" si="112"/>
        <v>13</v>
      </c>
      <c r="AY1827">
        <f t="shared" si="113"/>
        <v>3.0000000000000004</v>
      </c>
      <c r="AZ1827">
        <f t="shared" si="114"/>
        <v>1</v>
      </c>
      <c r="BA1827">
        <f t="shared" si="115"/>
        <v>1</v>
      </c>
      <c r="BB1827">
        <f>SUM(ifood_data[[#This Row],[Recency Score]:[Monetary Score]])</f>
        <v>5</v>
      </c>
      <c r="BC1827">
        <f>(_xlfn.PERCENTRANK.INC(ifood_data[[#All],[RFM]],ifood_data[[#This Row],[RFM]],1))*10</f>
        <v>0</v>
      </c>
      <c r="BD1827" t="str">
        <f>VLOOKUP(ifood_data[[#This Row],[RFM Score]],'RFM Analysis'!$A$3:$B$14,2,FALSE)</f>
        <v>Lost</v>
      </c>
      <c r="BE1827">
        <f>'Regression Models'!$B$101+'Regression Models'!$B$102*ifood_data[[#This Row],[Income]]+'Regression Models'!$B$103*ifood_data[[#This Row],[Age]]+'Regression Models'!$B$104*ifood_data[[#This Row],[Family]]</f>
        <v>-31.562597639123851</v>
      </c>
      <c r="BF1827" t="str">
        <f>IF(ifood_data[[#This Row],[AcceptedCmpOverall]]=1,"Campaign Respondent","Non-respondent")</f>
        <v>Non-respondent</v>
      </c>
    </row>
    <row r="1828" spans="1:58" x14ac:dyDescent="0.35">
      <c r="A1828">
        <v>1481</v>
      </c>
      <c r="B1828">
        <v>27116</v>
      </c>
      <c r="C1828">
        <v>1</v>
      </c>
      <c r="D1828">
        <v>1</v>
      </c>
      <c r="E1828">
        <v>78</v>
      </c>
      <c r="F1828">
        <v>12</v>
      </c>
      <c r="G1828">
        <v>1</v>
      </c>
      <c r="H1828">
        <v>21</v>
      </c>
      <c r="I1828">
        <v>2</v>
      </c>
      <c r="J1828">
        <v>2</v>
      </c>
      <c r="K1828">
        <v>3</v>
      </c>
      <c r="L1828">
        <v>2</v>
      </c>
      <c r="M1828">
        <v>2</v>
      </c>
      <c r="N1828">
        <v>0</v>
      </c>
      <c r="O1828">
        <v>3</v>
      </c>
      <c r="P1828">
        <v>7</v>
      </c>
      <c r="Q1828">
        <v>0</v>
      </c>
      <c r="R1828">
        <v>0</v>
      </c>
      <c r="S1828">
        <v>0</v>
      </c>
      <c r="T1828">
        <v>0</v>
      </c>
      <c r="U1828">
        <v>0</v>
      </c>
      <c r="V1828">
        <f>IF(SUM(ifood_data[[#This Row],[AcceptedCmp1]:[AcceptedCmp5]])&gt;0,1,0)</f>
        <v>0</v>
      </c>
      <c r="W1828">
        <v>0</v>
      </c>
      <c r="X1828">
        <v>3</v>
      </c>
      <c r="Y1828">
        <v>11</v>
      </c>
      <c r="Z1828">
        <v>0</v>
      </c>
      <c r="AA1828">
        <v>59</v>
      </c>
      <c r="AB1828">
        <v>2278</v>
      </c>
      <c r="AC1828" s="28">
        <f>ifood_data[[#This Row],[Customer_Days]]/365</f>
        <v>6.2410958904109588</v>
      </c>
      <c r="AD1828">
        <v>0</v>
      </c>
      <c r="AE1828">
        <v>1</v>
      </c>
      <c r="AF1828">
        <v>0</v>
      </c>
      <c r="AG1828">
        <v>0</v>
      </c>
      <c r="AH1828">
        <v>0</v>
      </c>
      <c r="AI1828">
        <v>0</v>
      </c>
      <c r="AJ1828">
        <v>0</v>
      </c>
      <c r="AK1828">
        <v>1</v>
      </c>
      <c r="AL1828">
        <v>0</v>
      </c>
      <c r="AM1828">
        <v>0</v>
      </c>
      <c r="AN1828">
        <v>38</v>
      </c>
      <c r="AO1828">
        <v>35</v>
      </c>
      <c r="AP1828">
        <f>ifood_data[[#This Row],[MntTotal]]-ifood_data[[#This Row],[MntRegularProds]]</f>
        <v>3</v>
      </c>
      <c r="AQ1828">
        <v>0</v>
      </c>
      <c r="AR1828">
        <f>IF(SUM(ifood_data[[#This Row],[Kidhome]:[Teenhome]])&gt;0,1,0)</f>
        <v>1</v>
      </c>
      <c r="AS1828" t="str">
        <f>IF(SUM(ifood_data[[#This Row],[Kidhome]:[Teenhome]])&gt;0,"Has Family","No Family")</f>
        <v>Has Family</v>
      </c>
      <c r="AT1828" t="str">
        <f>IF(ifood_data[[#This Row],[marital_Married]]=1,"Married", (IF(ifood_data[[#This Row],[marital_Single]]=1,"Single",(IF(ifood_data[[#This Row],[marital_Divorced]]=1,"Divorced",(IF(ifood_data[[#This Row],[marital_Together]]=1,"Living Together",(IF(ifood_data[[#This Row],[marital_Widow]]=1,"Widow","Other")))))))))</f>
        <v>Married</v>
      </c>
      <c r="AU1828" t="str">
        <f>IF(ifood_data[[#This Row],[education_Basic]]=1,"High School",(IF(ifood_data[[#This Row],[education_Graduation]]=1,"Undergraduate Degree",(IF(SUM(AM1828,AL1828,AI1828)&gt;0,"Master's Degree or Higher","Other")))))</f>
        <v>Undergraduate Degree</v>
      </c>
      <c r="AV1828" t="str">
        <f>IF(ifood_data[[#All],[Income]]&gt;75000,"75K+",(IF(ifood_data[[#All],[Income]]&gt;50000,"50K-75K",(IF(ifood_data[[#All],[Income]]&gt;35000,"35K-50K","&lt;35K")))))</f>
        <v>&lt;35K</v>
      </c>
      <c r="AW1828" t="str">
        <f>IF(ifood_data[[#All],[Age]]&gt;60,"60+",(IF(ifood_data[[#All],[Age]]&gt;50,"50-60",(IF(ifood_data[[#All],[Age]]&gt;40,"40-50",(IF(ifood_data[[#All],[Age]]&gt;30,"30-40","&lt;30")))))))</f>
        <v>50-60</v>
      </c>
      <c r="AX1828">
        <f t="shared" si="112"/>
        <v>14</v>
      </c>
      <c r="AY1828">
        <f t="shared" si="113"/>
        <v>3.0000000000000004</v>
      </c>
      <c r="AZ1828">
        <f t="shared" si="114"/>
        <v>2</v>
      </c>
      <c r="BA1828">
        <f t="shared" si="115"/>
        <v>1</v>
      </c>
      <c r="BB1828">
        <f>SUM(ifood_data[[#This Row],[Recency Score]:[Monetary Score]])</f>
        <v>6</v>
      </c>
      <c r="BC1828">
        <f>(_xlfn.PERCENTRANK.INC(ifood_data[[#All],[RFM]],ifood_data[[#This Row],[RFM]],1))*10</f>
        <v>0</v>
      </c>
      <c r="BD1828" t="str">
        <f>VLOOKUP(ifood_data[[#This Row],[RFM Score]],'RFM Analysis'!$A$3:$B$14,2,FALSE)</f>
        <v>Lost</v>
      </c>
      <c r="BE1828">
        <f>'Regression Models'!$B$101+'Regression Models'!$B$102*ifood_data[[#This Row],[Income]]+'Regression Models'!$B$103*ifood_data[[#This Row],[Age]]+'Regression Models'!$B$104*ifood_data[[#This Row],[Family]]</f>
        <v>-32.916956012281389</v>
      </c>
      <c r="BF1828" t="str">
        <f>IF(ifood_data[[#This Row],[AcceptedCmpOverall]]=1,"Campaign Respondent","Non-respondent")</f>
        <v>Non-respondent</v>
      </c>
    </row>
    <row r="1829" spans="1:58" x14ac:dyDescent="0.35">
      <c r="A1829">
        <v>1446</v>
      </c>
      <c r="B1829">
        <v>24645</v>
      </c>
      <c r="C1829">
        <v>1</v>
      </c>
      <c r="D1829">
        <v>0</v>
      </c>
      <c r="E1829">
        <v>16</v>
      </c>
      <c r="F1829">
        <v>5</v>
      </c>
      <c r="G1829">
        <v>3</v>
      </c>
      <c r="H1829">
        <v>4</v>
      </c>
      <c r="I1829">
        <v>4</v>
      </c>
      <c r="J1829">
        <v>1</v>
      </c>
      <c r="K1829">
        <v>0</v>
      </c>
      <c r="L1829">
        <v>1</v>
      </c>
      <c r="M1829">
        <v>1</v>
      </c>
      <c r="N1829">
        <v>0</v>
      </c>
      <c r="O1829">
        <v>2</v>
      </c>
      <c r="P1829">
        <v>8</v>
      </c>
      <c r="Q1829">
        <v>0</v>
      </c>
      <c r="R1829">
        <v>0</v>
      </c>
      <c r="S1829">
        <v>0</v>
      </c>
      <c r="T1829">
        <v>0</v>
      </c>
      <c r="U1829">
        <v>0</v>
      </c>
      <c r="V1829">
        <f>IF(SUM(ifood_data[[#This Row],[AcceptedCmp1]:[AcceptedCmp5]])&gt;0,1,0)</f>
        <v>0</v>
      </c>
      <c r="W1829">
        <v>0</v>
      </c>
      <c r="X1829">
        <v>3</v>
      </c>
      <c r="Y1829">
        <v>11</v>
      </c>
      <c r="Z1829">
        <v>0</v>
      </c>
      <c r="AA1829">
        <v>32</v>
      </c>
      <c r="AB1829">
        <v>2764</v>
      </c>
      <c r="AC1829" s="28">
        <f>ifood_data[[#This Row],[Customer_Days]]/365</f>
        <v>7.5726027397260278</v>
      </c>
      <c r="AD1829">
        <v>0</v>
      </c>
      <c r="AE1829">
        <v>1</v>
      </c>
      <c r="AF1829">
        <v>0</v>
      </c>
      <c r="AG1829">
        <v>0</v>
      </c>
      <c r="AH1829">
        <v>0</v>
      </c>
      <c r="AI1829">
        <v>0</v>
      </c>
      <c r="AJ1829">
        <v>0</v>
      </c>
      <c r="AK1829">
        <v>1</v>
      </c>
      <c r="AL1829">
        <v>0</v>
      </c>
      <c r="AM1829">
        <v>0</v>
      </c>
      <c r="AN1829">
        <v>17</v>
      </c>
      <c r="AO1829">
        <v>17</v>
      </c>
      <c r="AP1829">
        <f>ifood_data[[#This Row],[MntTotal]]-ifood_data[[#This Row],[MntRegularProds]]</f>
        <v>0</v>
      </c>
      <c r="AQ1829">
        <v>0</v>
      </c>
      <c r="AR1829">
        <f>IF(SUM(ifood_data[[#This Row],[Kidhome]:[Teenhome]])&gt;0,1,0)</f>
        <v>1</v>
      </c>
      <c r="AS1829" t="str">
        <f>IF(SUM(ifood_data[[#This Row],[Kidhome]:[Teenhome]])&gt;0,"Has Family","No Family")</f>
        <v>Has Family</v>
      </c>
      <c r="AT1829" t="str">
        <f>IF(ifood_data[[#This Row],[marital_Married]]=1,"Married", (IF(ifood_data[[#This Row],[marital_Single]]=1,"Single",(IF(ifood_data[[#This Row],[marital_Divorced]]=1,"Divorced",(IF(ifood_data[[#This Row],[marital_Together]]=1,"Living Together",(IF(ifood_data[[#This Row],[marital_Widow]]=1,"Widow","Other")))))))))</f>
        <v>Married</v>
      </c>
      <c r="AU1829" t="str">
        <f>IF(ifood_data[[#This Row],[education_Basic]]=1,"High School",(IF(ifood_data[[#This Row],[education_Graduation]]=1,"Undergraduate Degree",(IF(SUM(AM1829,AL1829,AI1829)&gt;0,"Master's Degree or Higher","Other")))))</f>
        <v>Undergraduate Degree</v>
      </c>
      <c r="AV1829" t="str">
        <f>IF(ifood_data[[#All],[Income]]&gt;75000,"75K+",(IF(ifood_data[[#All],[Income]]&gt;50000,"50K-75K",(IF(ifood_data[[#All],[Income]]&gt;35000,"35K-50K","&lt;35K")))))</f>
        <v>&lt;35K</v>
      </c>
      <c r="AW1829" t="str">
        <f>IF(ifood_data[[#All],[Age]]&gt;60,"60+",(IF(ifood_data[[#All],[Age]]&gt;50,"50-60",(IF(ifood_data[[#All],[Age]]&gt;40,"40-50",(IF(ifood_data[[#All],[Age]]&gt;30,"30-40","&lt;30")))))))</f>
        <v>30-40</v>
      </c>
      <c r="AX1829">
        <f t="shared" si="112"/>
        <v>12</v>
      </c>
      <c r="AY1829">
        <f t="shared" si="113"/>
        <v>9</v>
      </c>
      <c r="AZ1829">
        <f t="shared" si="114"/>
        <v>1</v>
      </c>
      <c r="BA1829">
        <f t="shared" si="115"/>
        <v>0</v>
      </c>
      <c r="BB1829">
        <f>SUM(ifood_data[[#This Row],[Recency Score]:[Monetary Score]])</f>
        <v>10</v>
      </c>
      <c r="BC1829">
        <f>(_xlfn.PERCENTRANK.INC(ifood_data[[#All],[RFM]],ifood_data[[#This Row],[RFM]],1))*10</f>
        <v>2</v>
      </c>
      <c r="BD1829" t="str">
        <f>VLOOKUP(ifood_data[[#This Row],[RFM Score]],'RFM Analysis'!$A$3:$B$14,2,FALSE)</f>
        <v>At Risk</v>
      </c>
      <c r="BE1829">
        <f>'Regression Models'!$B$101+'Regression Models'!$B$102*ifood_data[[#This Row],[Income]]+'Regression Models'!$B$103*ifood_data[[#This Row],[Age]]+'Regression Models'!$B$104*ifood_data[[#This Row],[Family]]</f>
        <v>-33.713746965710072</v>
      </c>
      <c r="BF1829" t="str">
        <f>IF(ifood_data[[#This Row],[AcceptedCmpOverall]]=1,"Campaign Respondent","Non-respondent")</f>
        <v>Non-respondent</v>
      </c>
    </row>
    <row r="1830" spans="1:58" x14ac:dyDescent="0.35">
      <c r="A1830">
        <v>76</v>
      </c>
      <c r="B1830">
        <v>26304</v>
      </c>
      <c r="C1830">
        <v>1</v>
      </c>
      <c r="D1830">
        <v>0</v>
      </c>
      <c r="E1830">
        <v>5</v>
      </c>
      <c r="F1830">
        <v>4</v>
      </c>
      <c r="G1830">
        <v>1</v>
      </c>
      <c r="H1830">
        <v>5</v>
      </c>
      <c r="I1830">
        <v>2</v>
      </c>
      <c r="J1830">
        <v>0</v>
      </c>
      <c r="K1830">
        <v>4</v>
      </c>
      <c r="L1830">
        <v>1</v>
      </c>
      <c r="M1830">
        <v>1</v>
      </c>
      <c r="N1830">
        <v>0</v>
      </c>
      <c r="O1830">
        <v>2</v>
      </c>
      <c r="P1830">
        <v>7</v>
      </c>
      <c r="Q1830">
        <v>0</v>
      </c>
      <c r="R1830">
        <v>0</v>
      </c>
      <c r="S1830">
        <v>0</v>
      </c>
      <c r="T1830">
        <v>0</v>
      </c>
      <c r="U1830">
        <v>0</v>
      </c>
      <c r="V1830">
        <f>IF(SUM(ifood_data[[#This Row],[AcceptedCmp1]:[AcceptedCmp5]])&gt;0,1,0)</f>
        <v>0</v>
      </c>
      <c r="W1830">
        <v>0</v>
      </c>
      <c r="X1830">
        <v>3</v>
      </c>
      <c r="Y1830">
        <v>11</v>
      </c>
      <c r="Z1830">
        <v>0</v>
      </c>
      <c r="AA1830">
        <v>51</v>
      </c>
      <c r="AB1830">
        <v>2530</v>
      </c>
      <c r="AC1830" s="28">
        <f>ifood_data[[#This Row],[Customer_Days]]/365</f>
        <v>6.9315068493150687</v>
      </c>
      <c r="AD1830">
        <v>0</v>
      </c>
      <c r="AE1830">
        <v>1</v>
      </c>
      <c r="AF1830">
        <v>0</v>
      </c>
      <c r="AG1830">
        <v>0</v>
      </c>
      <c r="AH1830">
        <v>0</v>
      </c>
      <c r="AI1830">
        <v>0</v>
      </c>
      <c r="AJ1830">
        <v>0</v>
      </c>
      <c r="AK1830">
        <v>1</v>
      </c>
      <c r="AL1830">
        <v>0</v>
      </c>
      <c r="AM1830">
        <v>0</v>
      </c>
      <c r="AN1830">
        <v>12</v>
      </c>
      <c r="AO1830">
        <v>8</v>
      </c>
      <c r="AP1830">
        <f>ifood_data[[#This Row],[MntTotal]]-ifood_data[[#This Row],[MntRegularProds]]</f>
        <v>4</v>
      </c>
      <c r="AQ1830">
        <v>0</v>
      </c>
      <c r="AR1830">
        <f>IF(SUM(ifood_data[[#This Row],[Kidhome]:[Teenhome]])&gt;0,1,0)</f>
        <v>1</v>
      </c>
      <c r="AS1830" t="str">
        <f>IF(SUM(ifood_data[[#This Row],[Kidhome]:[Teenhome]])&gt;0,"Has Family","No Family")</f>
        <v>Has Family</v>
      </c>
      <c r="AT1830" t="str">
        <f>IF(ifood_data[[#This Row],[marital_Married]]=1,"Married", (IF(ifood_data[[#This Row],[marital_Single]]=1,"Single",(IF(ifood_data[[#This Row],[marital_Divorced]]=1,"Divorced",(IF(ifood_data[[#This Row],[marital_Together]]=1,"Living Together",(IF(ifood_data[[#This Row],[marital_Widow]]=1,"Widow","Other")))))))))</f>
        <v>Married</v>
      </c>
      <c r="AU1830" t="str">
        <f>IF(ifood_data[[#This Row],[education_Basic]]=1,"High School",(IF(ifood_data[[#This Row],[education_Graduation]]=1,"Undergraduate Degree",(IF(SUM(AM1830,AL1830,AI1830)&gt;0,"Master's Degree or Higher","Other")))))</f>
        <v>Undergraduate Degree</v>
      </c>
      <c r="AV1830" t="str">
        <f>IF(ifood_data[[#All],[Income]]&gt;75000,"75K+",(IF(ifood_data[[#All],[Income]]&gt;50000,"50K-75K",(IF(ifood_data[[#All],[Income]]&gt;35000,"35K-50K","&lt;35K")))))</f>
        <v>&lt;35K</v>
      </c>
      <c r="AW1830" t="str">
        <f>IF(ifood_data[[#All],[Age]]&gt;60,"60+",(IF(ifood_data[[#All],[Age]]&gt;50,"50-60",(IF(ifood_data[[#All],[Age]]&gt;40,"40-50",(IF(ifood_data[[#All],[Age]]&gt;30,"30-40","&lt;30")))))))</f>
        <v>50-60</v>
      </c>
      <c r="AX1830">
        <f t="shared" si="112"/>
        <v>11</v>
      </c>
      <c r="AY1830">
        <f t="shared" si="113"/>
        <v>10</v>
      </c>
      <c r="AZ1830">
        <f t="shared" si="114"/>
        <v>0</v>
      </c>
      <c r="BA1830">
        <f t="shared" si="115"/>
        <v>0</v>
      </c>
      <c r="BB1830">
        <f>SUM(ifood_data[[#This Row],[Recency Score]:[Monetary Score]])</f>
        <v>10</v>
      </c>
      <c r="BC1830">
        <f>(_xlfn.PERCENTRANK.INC(ifood_data[[#All],[RFM]],ifood_data[[#This Row],[RFM]],1))*10</f>
        <v>2</v>
      </c>
      <c r="BD1830" t="str">
        <f>VLOOKUP(ifood_data[[#This Row],[RFM Score]],'RFM Analysis'!$A$3:$B$14,2,FALSE)</f>
        <v>At Risk</v>
      </c>
      <c r="BE1830">
        <f>'Regression Models'!$B$101+'Regression Models'!$B$102*ifood_data[[#This Row],[Income]]+'Regression Models'!$B$103*ifood_data[[#This Row],[Age]]+'Regression Models'!$B$104*ifood_data[[#This Row],[Family]]</f>
        <v>-34.781123113973081</v>
      </c>
      <c r="BF1830" t="str">
        <f>IF(ifood_data[[#This Row],[AcceptedCmpOverall]]=1,"Campaign Respondent","Non-respondent")</f>
        <v>Non-respondent</v>
      </c>
    </row>
    <row r="1831" spans="1:58" x14ac:dyDescent="0.35">
      <c r="A1831">
        <v>1702</v>
      </c>
      <c r="B1831">
        <v>11448</v>
      </c>
      <c r="C1831">
        <v>0</v>
      </c>
      <c r="D1831">
        <v>0</v>
      </c>
      <c r="E1831">
        <v>16</v>
      </c>
      <c r="F1831">
        <v>0</v>
      </c>
      <c r="G1831">
        <v>0</v>
      </c>
      <c r="H1831">
        <v>0</v>
      </c>
      <c r="I1831">
        <v>6</v>
      </c>
      <c r="J1831">
        <v>2</v>
      </c>
      <c r="K1831">
        <v>6</v>
      </c>
      <c r="L1831">
        <v>1</v>
      </c>
      <c r="M1831">
        <v>1</v>
      </c>
      <c r="N1831">
        <v>0</v>
      </c>
      <c r="O1831">
        <v>2</v>
      </c>
      <c r="P1831">
        <v>6</v>
      </c>
      <c r="Q1831">
        <v>0</v>
      </c>
      <c r="R1831">
        <v>0</v>
      </c>
      <c r="S1831">
        <v>0</v>
      </c>
      <c r="T1831">
        <v>0</v>
      </c>
      <c r="U1831">
        <v>0</v>
      </c>
      <c r="V1831">
        <f>IF(SUM(ifood_data[[#This Row],[AcceptedCmp1]:[AcceptedCmp5]])&gt;0,1,0)</f>
        <v>0</v>
      </c>
      <c r="W1831">
        <v>0</v>
      </c>
      <c r="X1831">
        <v>3</v>
      </c>
      <c r="Y1831">
        <v>11</v>
      </c>
      <c r="Z1831">
        <v>0</v>
      </c>
      <c r="AA1831">
        <v>45</v>
      </c>
      <c r="AB1831">
        <v>2355</v>
      </c>
      <c r="AC1831" s="28">
        <f>ifood_data[[#This Row],[Customer_Days]]/365</f>
        <v>6.4520547945205475</v>
      </c>
      <c r="AD1831">
        <v>1</v>
      </c>
      <c r="AE1831">
        <v>0</v>
      </c>
      <c r="AF1831">
        <v>0</v>
      </c>
      <c r="AG1831">
        <v>0</v>
      </c>
      <c r="AH1831">
        <v>0</v>
      </c>
      <c r="AI1831">
        <v>1</v>
      </c>
      <c r="AJ1831">
        <v>0</v>
      </c>
      <c r="AK1831">
        <v>0</v>
      </c>
      <c r="AL1831">
        <v>0</v>
      </c>
      <c r="AM1831">
        <v>0</v>
      </c>
      <c r="AN1831">
        <v>8</v>
      </c>
      <c r="AO1831">
        <v>2</v>
      </c>
      <c r="AP1831">
        <f>ifood_data[[#This Row],[MntTotal]]-ifood_data[[#This Row],[MntRegularProds]]</f>
        <v>6</v>
      </c>
      <c r="AQ1831">
        <v>0</v>
      </c>
      <c r="AR1831">
        <f>IF(SUM(ifood_data[[#This Row],[Kidhome]:[Teenhome]])&gt;0,1,0)</f>
        <v>0</v>
      </c>
      <c r="AS1831" t="str">
        <f>IF(SUM(ifood_data[[#This Row],[Kidhome]:[Teenhome]])&gt;0,"Has Family","No Family")</f>
        <v>No Family</v>
      </c>
      <c r="AT1831" t="str">
        <f>IF(ifood_data[[#This Row],[marital_Married]]=1,"Married", (IF(ifood_data[[#This Row],[marital_Single]]=1,"Single",(IF(ifood_data[[#This Row],[marital_Divorced]]=1,"Divorced",(IF(ifood_data[[#This Row],[marital_Together]]=1,"Living Together",(IF(ifood_data[[#This Row],[marital_Widow]]=1,"Widow","Other")))))))))</f>
        <v>Divorced</v>
      </c>
      <c r="AU1831" t="str">
        <f>IF(ifood_data[[#This Row],[education_Basic]]=1,"High School",(IF(ifood_data[[#This Row],[education_Graduation]]=1,"Undergraduate Degree",(IF(SUM(AM1831,AL1831,AI1831)&gt;0,"Master's Degree or Higher","Other")))))</f>
        <v>Master's Degree or Higher</v>
      </c>
      <c r="AV1831" t="str">
        <f>IF(ifood_data[[#All],[Income]]&gt;75000,"75K+",(IF(ifood_data[[#All],[Income]]&gt;50000,"50K-75K",(IF(ifood_data[[#All],[Income]]&gt;35000,"35K-50K","&lt;35K")))))</f>
        <v>&lt;35K</v>
      </c>
      <c r="AW1831" t="str">
        <f>IF(ifood_data[[#All],[Age]]&gt;60,"60+",(IF(ifood_data[[#All],[Age]]&gt;50,"50-60",(IF(ifood_data[[#All],[Age]]&gt;40,"40-50",(IF(ifood_data[[#All],[Age]]&gt;30,"30-40","&lt;30")))))))</f>
        <v>40-50</v>
      </c>
      <c r="AX1831">
        <f t="shared" si="112"/>
        <v>10</v>
      </c>
      <c r="AY1831">
        <f t="shared" si="113"/>
        <v>9</v>
      </c>
      <c r="AZ1831">
        <f t="shared" si="114"/>
        <v>0</v>
      </c>
      <c r="BA1831">
        <f t="shared" si="115"/>
        <v>0</v>
      </c>
      <c r="BB1831">
        <f>SUM(ifood_data[[#This Row],[Recency Score]:[Monetary Score]])</f>
        <v>9</v>
      </c>
      <c r="BC1831">
        <f>(_xlfn.PERCENTRANK.INC(ifood_data[[#All],[RFM]],ifood_data[[#This Row],[RFM]],1))*10</f>
        <v>1</v>
      </c>
      <c r="BD1831" t="str">
        <f>VLOOKUP(ifood_data[[#This Row],[RFM Score]],'RFM Analysis'!$A$3:$B$14,2,FALSE)</f>
        <v>At Risk</v>
      </c>
      <c r="BE1831">
        <f>'Regression Models'!$B$101+'Regression Models'!$B$102*ifood_data[[#This Row],[Income]]+'Regression Models'!$B$103*ifood_data[[#This Row],[Age]]+'Regression Models'!$B$104*ifood_data[[#This Row],[Family]]</f>
        <v>-37.044397113353938</v>
      </c>
      <c r="BF1831" t="str">
        <f>IF(ifood_data[[#This Row],[AcceptedCmpOverall]]=1,"Campaign Respondent","Non-respondent")</f>
        <v>Non-respondent</v>
      </c>
    </row>
    <row r="1832" spans="1:58" x14ac:dyDescent="0.35">
      <c r="A1832">
        <v>789</v>
      </c>
      <c r="B1832">
        <v>25130</v>
      </c>
      <c r="C1832">
        <v>1</v>
      </c>
      <c r="D1832">
        <v>0</v>
      </c>
      <c r="E1832">
        <v>10</v>
      </c>
      <c r="F1832">
        <v>2</v>
      </c>
      <c r="G1832">
        <v>5</v>
      </c>
      <c r="H1832">
        <v>7</v>
      </c>
      <c r="I1832">
        <v>0</v>
      </c>
      <c r="J1832">
        <v>18</v>
      </c>
      <c r="K1832">
        <v>18</v>
      </c>
      <c r="L1832">
        <v>2</v>
      </c>
      <c r="M1832">
        <v>2</v>
      </c>
      <c r="N1832">
        <v>0</v>
      </c>
      <c r="O1832">
        <v>3</v>
      </c>
      <c r="P1832">
        <v>7</v>
      </c>
      <c r="Q1832">
        <v>0</v>
      </c>
      <c r="R1832">
        <v>0</v>
      </c>
      <c r="S1832">
        <v>0</v>
      </c>
      <c r="T1832">
        <v>0</v>
      </c>
      <c r="U1832">
        <v>0</v>
      </c>
      <c r="V1832">
        <f>IF(SUM(ifood_data[[#This Row],[AcceptedCmp1]:[AcceptedCmp5]])&gt;0,1,0)</f>
        <v>0</v>
      </c>
      <c r="W1832">
        <v>0</v>
      </c>
      <c r="X1832">
        <v>3</v>
      </c>
      <c r="Y1832">
        <v>11</v>
      </c>
      <c r="Z1832">
        <v>0</v>
      </c>
      <c r="AA1832">
        <v>40</v>
      </c>
      <c r="AB1832">
        <v>2429</v>
      </c>
      <c r="AC1832" s="28">
        <f>ifood_data[[#This Row],[Customer_Days]]/365</f>
        <v>6.6547945205479451</v>
      </c>
      <c r="AD1832">
        <v>0</v>
      </c>
      <c r="AE1832">
        <v>0</v>
      </c>
      <c r="AF1832">
        <v>0</v>
      </c>
      <c r="AG1832">
        <v>1</v>
      </c>
      <c r="AH1832">
        <v>0</v>
      </c>
      <c r="AI1832">
        <v>1</v>
      </c>
      <c r="AJ1832">
        <v>0</v>
      </c>
      <c r="AK1832">
        <v>0</v>
      </c>
      <c r="AL1832">
        <v>0</v>
      </c>
      <c r="AM1832">
        <v>0</v>
      </c>
      <c r="AN1832">
        <v>32</v>
      </c>
      <c r="AO1832">
        <v>14</v>
      </c>
      <c r="AP1832">
        <f>ifood_data[[#This Row],[MntTotal]]-ifood_data[[#This Row],[MntRegularProds]]</f>
        <v>18</v>
      </c>
      <c r="AQ1832">
        <v>0</v>
      </c>
      <c r="AR1832">
        <f>IF(SUM(ifood_data[[#This Row],[Kidhome]:[Teenhome]])&gt;0,1,0)</f>
        <v>1</v>
      </c>
      <c r="AS1832" t="str">
        <f>IF(SUM(ifood_data[[#This Row],[Kidhome]:[Teenhome]])&gt;0,"Has Family","No Family")</f>
        <v>Has Family</v>
      </c>
      <c r="AT1832" t="str">
        <f>IF(ifood_data[[#This Row],[marital_Married]]=1,"Married", (IF(ifood_data[[#This Row],[marital_Single]]=1,"Single",(IF(ifood_data[[#This Row],[marital_Divorced]]=1,"Divorced",(IF(ifood_data[[#This Row],[marital_Together]]=1,"Living Together",(IF(ifood_data[[#This Row],[marital_Widow]]=1,"Widow","Other")))))))))</f>
        <v>Living Together</v>
      </c>
      <c r="AU1832" t="str">
        <f>IF(ifood_data[[#This Row],[education_Basic]]=1,"High School",(IF(ifood_data[[#This Row],[education_Graduation]]=1,"Undergraduate Degree",(IF(SUM(AM1832,AL1832,AI1832)&gt;0,"Master's Degree or Higher","Other")))))</f>
        <v>Master's Degree or Higher</v>
      </c>
      <c r="AV1832" t="str">
        <f>IF(ifood_data[[#All],[Income]]&gt;75000,"75K+",(IF(ifood_data[[#All],[Income]]&gt;50000,"50K-75K",(IF(ifood_data[[#All],[Income]]&gt;35000,"35K-50K","&lt;35K")))))</f>
        <v>&lt;35K</v>
      </c>
      <c r="AW1832" t="str">
        <f>IF(ifood_data[[#All],[Age]]&gt;60,"60+",(IF(ifood_data[[#All],[Age]]&gt;50,"50-60",(IF(ifood_data[[#All],[Age]]&gt;40,"40-50",(IF(ifood_data[[#All],[Age]]&gt;30,"30-40","&lt;30")))))))</f>
        <v>30-40</v>
      </c>
      <c r="AX1832">
        <f t="shared" si="112"/>
        <v>14</v>
      </c>
      <c r="AY1832">
        <f t="shared" si="113"/>
        <v>9</v>
      </c>
      <c r="AZ1832">
        <f t="shared" si="114"/>
        <v>2</v>
      </c>
      <c r="BA1832">
        <f t="shared" si="115"/>
        <v>1</v>
      </c>
      <c r="BB1832">
        <f>SUM(ifood_data[[#This Row],[Recency Score]:[Monetary Score]])</f>
        <v>12</v>
      </c>
      <c r="BC1832">
        <f>(_xlfn.PERCENTRANK.INC(ifood_data[[#All],[RFM]],ifood_data[[#This Row],[RFM]],1))*10</f>
        <v>3</v>
      </c>
      <c r="BD1832" t="str">
        <f>VLOOKUP(ifood_data[[#This Row],[RFM Score]],'RFM Analysis'!$A$3:$B$14,2,FALSE)</f>
        <v>At Risk</v>
      </c>
      <c r="BE1832">
        <f>'Regression Models'!$B$101+'Regression Models'!$B$102*ifood_data[[#This Row],[Income]]+'Regression Models'!$B$103*ifood_data[[#This Row],[Age]]+'Regression Models'!$B$104*ifood_data[[#This Row],[Family]]</f>
        <v>-38.516707047073368</v>
      </c>
      <c r="BF1832" t="str">
        <f>IF(ifood_data[[#This Row],[AcceptedCmpOverall]]=1,"Campaign Respondent","Non-respondent")</f>
        <v>Non-respondent</v>
      </c>
    </row>
    <row r="1833" spans="1:58" x14ac:dyDescent="0.35">
      <c r="A1833">
        <v>995</v>
      </c>
      <c r="B1833">
        <v>25959</v>
      </c>
      <c r="C1833">
        <v>1</v>
      </c>
      <c r="D1833">
        <v>1</v>
      </c>
      <c r="E1833">
        <v>1</v>
      </c>
      <c r="F1833">
        <v>4</v>
      </c>
      <c r="G1833">
        <v>2</v>
      </c>
      <c r="H1833">
        <v>12</v>
      </c>
      <c r="I1833">
        <v>7</v>
      </c>
      <c r="J1833">
        <v>5</v>
      </c>
      <c r="K1833">
        <v>26</v>
      </c>
      <c r="L1833">
        <v>2</v>
      </c>
      <c r="M1833">
        <v>1</v>
      </c>
      <c r="N1833">
        <v>2</v>
      </c>
      <c r="O1833">
        <v>2</v>
      </c>
      <c r="P1833">
        <v>6</v>
      </c>
      <c r="Q1833">
        <v>0</v>
      </c>
      <c r="R1833">
        <v>0</v>
      </c>
      <c r="S1833">
        <v>0</v>
      </c>
      <c r="T1833">
        <v>0</v>
      </c>
      <c r="U1833">
        <v>0</v>
      </c>
      <c r="V1833">
        <f>IF(SUM(ifood_data[[#This Row],[AcceptedCmp1]:[AcceptedCmp5]])&gt;0,1,0)</f>
        <v>0</v>
      </c>
      <c r="W1833">
        <v>0</v>
      </c>
      <c r="X1833">
        <v>3</v>
      </c>
      <c r="Y1833">
        <v>11</v>
      </c>
      <c r="Z1833">
        <v>1</v>
      </c>
      <c r="AA1833">
        <v>50</v>
      </c>
      <c r="AB1833">
        <v>2659</v>
      </c>
      <c r="AC1833" s="28">
        <f>ifood_data[[#This Row],[Customer_Days]]/365</f>
        <v>7.2849315068493148</v>
      </c>
      <c r="AD1833">
        <v>1</v>
      </c>
      <c r="AE1833">
        <v>0</v>
      </c>
      <c r="AF1833">
        <v>0</v>
      </c>
      <c r="AG1833">
        <v>0</v>
      </c>
      <c r="AH1833">
        <v>0</v>
      </c>
      <c r="AI1833">
        <v>1</v>
      </c>
      <c r="AJ1833">
        <v>0</v>
      </c>
      <c r="AK1833">
        <v>0</v>
      </c>
      <c r="AL1833">
        <v>0</v>
      </c>
      <c r="AM1833">
        <v>0</v>
      </c>
      <c r="AN1833">
        <v>30</v>
      </c>
      <c r="AO1833">
        <v>4</v>
      </c>
      <c r="AP1833">
        <f>ifood_data[[#This Row],[MntTotal]]-ifood_data[[#This Row],[MntRegularProds]]</f>
        <v>26</v>
      </c>
      <c r="AQ1833">
        <v>0</v>
      </c>
      <c r="AR1833">
        <f>IF(SUM(ifood_data[[#This Row],[Kidhome]:[Teenhome]])&gt;0,1,0)</f>
        <v>1</v>
      </c>
      <c r="AS1833" t="str">
        <f>IF(SUM(ifood_data[[#This Row],[Kidhome]:[Teenhome]])&gt;0,"Has Family","No Family")</f>
        <v>Has Family</v>
      </c>
      <c r="AT1833" t="str">
        <f>IF(ifood_data[[#This Row],[marital_Married]]=1,"Married", (IF(ifood_data[[#This Row],[marital_Single]]=1,"Single",(IF(ifood_data[[#This Row],[marital_Divorced]]=1,"Divorced",(IF(ifood_data[[#This Row],[marital_Together]]=1,"Living Together",(IF(ifood_data[[#This Row],[marital_Widow]]=1,"Widow","Other")))))))))</f>
        <v>Divorced</v>
      </c>
      <c r="AU1833" t="str">
        <f>IF(ifood_data[[#This Row],[education_Basic]]=1,"High School",(IF(ifood_data[[#This Row],[education_Graduation]]=1,"Undergraduate Degree",(IF(SUM(AM1833,AL1833,AI1833)&gt;0,"Master's Degree or Higher","Other")))))</f>
        <v>Master's Degree or Higher</v>
      </c>
      <c r="AV1833" t="str">
        <f>IF(ifood_data[[#All],[Income]]&gt;75000,"75K+",(IF(ifood_data[[#All],[Income]]&gt;50000,"50K-75K",(IF(ifood_data[[#All],[Income]]&gt;35000,"35K-50K","&lt;35K")))))</f>
        <v>&lt;35K</v>
      </c>
      <c r="AW1833" t="str">
        <f>IF(ifood_data[[#All],[Age]]&gt;60,"60+",(IF(ifood_data[[#All],[Age]]&gt;50,"50-60",(IF(ifood_data[[#All],[Age]]&gt;40,"40-50",(IF(ifood_data[[#All],[Age]]&gt;30,"30-40","&lt;30")))))))</f>
        <v>40-50</v>
      </c>
      <c r="AX1833">
        <f t="shared" si="112"/>
        <v>13</v>
      </c>
      <c r="AY1833">
        <f t="shared" si="113"/>
        <v>10</v>
      </c>
      <c r="AZ1833">
        <f t="shared" si="114"/>
        <v>1</v>
      </c>
      <c r="BA1833">
        <f t="shared" si="115"/>
        <v>1</v>
      </c>
      <c r="BB1833">
        <f>SUM(ifood_data[[#This Row],[Recency Score]:[Monetary Score]])</f>
        <v>12</v>
      </c>
      <c r="BC1833">
        <f>(_xlfn.PERCENTRANK.INC(ifood_data[[#All],[RFM]],ifood_data[[#This Row],[RFM]],1))*10</f>
        <v>3</v>
      </c>
      <c r="BD1833" t="str">
        <f>VLOOKUP(ifood_data[[#This Row],[RFM Score]],'RFM Analysis'!$A$3:$B$14,2,FALSE)</f>
        <v>At Risk</v>
      </c>
      <c r="BE1833">
        <f>'Regression Models'!$B$101+'Regression Models'!$B$102*ifood_data[[#This Row],[Income]]+'Regression Models'!$B$103*ifood_data[[#This Row],[Age]]+'Regression Models'!$B$104*ifood_data[[#This Row],[Family]]</f>
        <v>-39.978809044723903</v>
      </c>
      <c r="BF1833" t="str">
        <f>IF(ifood_data[[#This Row],[AcceptedCmpOverall]]=1,"Campaign Respondent","Non-respondent")</f>
        <v>Non-respondent</v>
      </c>
    </row>
    <row r="1834" spans="1:58" x14ac:dyDescent="0.35">
      <c r="A1834">
        <v>514</v>
      </c>
      <c r="B1834">
        <v>25315</v>
      </c>
      <c r="C1834">
        <v>1</v>
      </c>
      <c r="D1834">
        <v>0</v>
      </c>
      <c r="E1834">
        <v>46</v>
      </c>
      <c r="F1834">
        <v>1</v>
      </c>
      <c r="G1834">
        <v>9</v>
      </c>
      <c r="H1834">
        <v>8</v>
      </c>
      <c r="I1834">
        <v>11</v>
      </c>
      <c r="J1834">
        <v>3</v>
      </c>
      <c r="K1834">
        <v>22</v>
      </c>
      <c r="L1834">
        <v>3</v>
      </c>
      <c r="M1834">
        <v>3</v>
      </c>
      <c r="N1834">
        <v>0</v>
      </c>
      <c r="O1834">
        <v>3</v>
      </c>
      <c r="P1834">
        <v>8</v>
      </c>
      <c r="Q1834">
        <v>0</v>
      </c>
      <c r="R1834">
        <v>0</v>
      </c>
      <c r="S1834">
        <v>0</v>
      </c>
      <c r="T1834">
        <v>0</v>
      </c>
      <c r="U1834">
        <v>0</v>
      </c>
      <c r="V1834">
        <f>IF(SUM(ifood_data[[#This Row],[AcceptedCmp1]:[AcceptedCmp5]])&gt;0,1,0)</f>
        <v>0</v>
      </c>
      <c r="W1834">
        <v>0</v>
      </c>
      <c r="X1834">
        <v>3</v>
      </c>
      <c r="Y1834">
        <v>11</v>
      </c>
      <c r="Z1834">
        <v>0</v>
      </c>
      <c r="AA1834">
        <v>43</v>
      </c>
      <c r="AB1834">
        <v>2393</v>
      </c>
      <c r="AC1834" s="28">
        <f>ifood_data[[#This Row],[Customer_Days]]/365</f>
        <v>6.5561643835616437</v>
      </c>
      <c r="AD1834">
        <v>0</v>
      </c>
      <c r="AE1834">
        <v>0</v>
      </c>
      <c r="AF1834">
        <v>0</v>
      </c>
      <c r="AG1834">
        <v>1</v>
      </c>
      <c r="AH1834">
        <v>0</v>
      </c>
      <c r="AI1834">
        <v>1</v>
      </c>
      <c r="AJ1834">
        <v>0</v>
      </c>
      <c r="AK1834">
        <v>0</v>
      </c>
      <c r="AL1834">
        <v>0</v>
      </c>
      <c r="AM1834">
        <v>0</v>
      </c>
      <c r="AN1834">
        <v>32</v>
      </c>
      <c r="AO1834">
        <v>10</v>
      </c>
      <c r="AP1834">
        <f>ifood_data[[#This Row],[MntTotal]]-ifood_data[[#This Row],[MntRegularProds]]</f>
        <v>22</v>
      </c>
      <c r="AQ1834">
        <v>0</v>
      </c>
      <c r="AR1834">
        <f>IF(SUM(ifood_data[[#This Row],[Kidhome]:[Teenhome]])&gt;0,1,0)</f>
        <v>1</v>
      </c>
      <c r="AS1834" t="str">
        <f>IF(SUM(ifood_data[[#This Row],[Kidhome]:[Teenhome]])&gt;0,"Has Family","No Family")</f>
        <v>Has Family</v>
      </c>
      <c r="AT1834" t="str">
        <f>IF(ifood_data[[#This Row],[marital_Married]]=1,"Married", (IF(ifood_data[[#This Row],[marital_Single]]=1,"Single",(IF(ifood_data[[#This Row],[marital_Divorced]]=1,"Divorced",(IF(ifood_data[[#This Row],[marital_Together]]=1,"Living Together",(IF(ifood_data[[#This Row],[marital_Widow]]=1,"Widow","Other")))))))))</f>
        <v>Living Together</v>
      </c>
      <c r="AU1834" t="str">
        <f>IF(ifood_data[[#This Row],[education_Basic]]=1,"High School",(IF(ifood_data[[#This Row],[education_Graduation]]=1,"Undergraduate Degree",(IF(SUM(AM1834,AL1834,AI1834)&gt;0,"Master's Degree or Higher","Other")))))</f>
        <v>Master's Degree or Higher</v>
      </c>
      <c r="AV1834" t="str">
        <f>IF(ifood_data[[#All],[Income]]&gt;75000,"75K+",(IF(ifood_data[[#All],[Income]]&gt;50000,"50K-75K",(IF(ifood_data[[#All],[Income]]&gt;35000,"35K-50K","&lt;35K")))))</f>
        <v>&lt;35K</v>
      </c>
      <c r="AW1834" t="str">
        <f>IF(ifood_data[[#All],[Age]]&gt;60,"60+",(IF(ifood_data[[#All],[Age]]&gt;50,"50-60",(IF(ifood_data[[#All],[Age]]&gt;40,"40-50",(IF(ifood_data[[#All],[Age]]&gt;30,"30-40","&lt;30")))))))</f>
        <v>40-50</v>
      </c>
      <c r="AX1834">
        <f t="shared" si="112"/>
        <v>17</v>
      </c>
      <c r="AY1834">
        <f t="shared" si="113"/>
        <v>6</v>
      </c>
      <c r="AZ1834">
        <f t="shared" si="114"/>
        <v>3</v>
      </c>
      <c r="BA1834">
        <f t="shared" si="115"/>
        <v>1</v>
      </c>
      <c r="BB1834">
        <f>SUM(ifood_data[[#This Row],[Recency Score]:[Monetary Score]])</f>
        <v>10</v>
      </c>
      <c r="BC1834">
        <f>(_xlfn.PERCENTRANK.INC(ifood_data[[#All],[RFM]],ifood_data[[#This Row],[RFM]],1))*10</f>
        <v>2</v>
      </c>
      <c r="BD1834" t="str">
        <f>VLOOKUP(ifood_data[[#This Row],[RFM Score]],'RFM Analysis'!$A$3:$B$14,2,FALSE)</f>
        <v>At Risk</v>
      </c>
      <c r="BE1834">
        <f>'Regression Models'!$B$101+'Regression Models'!$B$102*ifood_data[[#This Row],[Income]]+'Regression Models'!$B$103*ifood_data[[#This Row],[Age]]+'Regression Models'!$B$104*ifood_data[[#This Row],[Family]]</f>
        <v>-40.254102177134854</v>
      </c>
      <c r="BF1834" t="str">
        <f>IF(ifood_data[[#This Row],[AcceptedCmpOverall]]=1,"Campaign Respondent","Non-respondent")</f>
        <v>Non-respondent</v>
      </c>
    </row>
    <row r="1835" spans="1:58" x14ac:dyDescent="0.35">
      <c r="A1835">
        <v>1922</v>
      </c>
      <c r="B1835">
        <v>25818</v>
      </c>
      <c r="C1835">
        <v>1</v>
      </c>
      <c r="D1835">
        <v>0</v>
      </c>
      <c r="E1835">
        <v>51</v>
      </c>
      <c r="F1835">
        <v>5</v>
      </c>
      <c r="G1835">
        <v>2</v>
      </c>
      <c r="H1835">
        <v>8</v>
      </c>
      <c r="I1835">
        <v>2</v>
      </c>
      <c r="J1835">
        <v>2</v>
      </c>
      <c r="K1835">
        <v>9</v>
      </c>
      <c r="L1835">
        <v>1</v>
      </c>
      <c r="M1835">
        <v>0</v>
      </c>
      <c r="N1835">
        <v>1</v>
      </c>
      <c r="O1835">
        <v>2</v>
      </c>
      <c r="P1835">
        <v>7</v>
      </c>
      <c r="Q1835">
        <v>0</v>
      </c>
      <c r="R1835">
        <v>0</v>
      </c>
      <c r="S1835">
        <v>0</v>
      </c>
      <c r="T1835">
        <v>0</v>
      </c>
      <c r="U1835">
        <v>0</v>
      </c>
      <c r="V1835">
        <f>IF(SUM(ifood_data[[#This Row],[AcceptedCmp1]:[AcceptedCmp5]])&gt;0,1,0)</f>
        <v>0</v>
      </c>
      <c r="W1835">
        <v>0</v>
      </c>
      <c r="X1835">
        <v>3</v>
      </c>
      <c r="Y1835">
        <v>11</v>
      </c>
      <c r="Z1835">
        <v>0</v>
      </c>
      <c r="AA1835">
        <v>49</v>
      </c>
      <c r="AB1835">
        <v>2778</v>
      </c>
      <c r="AC1835" s="28">
        <f>ifood_data[[#This Row],[Customer_Days]]/365</f>
        <v>7.6109589041095891</v>
      </c>
      <c r="AD1835">
        <v>1</v>
      </c>
      <c r="AE1835">
        <v>0</v>
      </c>
      <c r="AF1835">
        <v>0</v>
      </c>
      <c r="AG1835">
        <v>0</v>
      </c>
      <c r="AH1835">
        <v>0</v>
      </c>
      <c r="AI1835">
        <v>0</v>
      </c>
      <c r="AJ1835">
        <v>0</v>
      </c>
      <c r="AK1835">
        <v>1</v>
      </c>
      <c r="AL1835">
        <v>0</v>
      </c>
      <c r="AM1835">
        <v>0</v>
      </c>
      <c r="AN1835">
        <v>19</v>
      </c>
      <c r="AO1835">
        <v>10</v>
      </c>
      <c r="AP1835">
        <f>ifood_data[[#This Row],[MntTotal]]-ifood_data[[#This Row],[MntRegularProds]]</f>
        <v>9</v>
      </c>
      <c r="AQ1835">
        <v>0</v>
      </c>
      <c r="AR1835">
        <f>IF(SUM(ifood_data[[#This Row],[Kidhome]:[Teenhome]])&gt;0,1,0)</f>
        <v>1</v>
      </c>
      <c r="AS1835" t="str">
        <f>IF(SUM(ifood_data[[#This Row],[Kidhome]:[Teenhome]])&gt;0,"Has Family","No Family")</f>
        <v>Has Family</v>
      </c>
      <c r="AT1835" t="str">
        <f>IF(ifood_data[[#This Row],[marital_Married]]=1,"Married", (IF(ifood_data[[#This Row],[marital_Single]]=1,"Single",(IF(ifood_data[[#This Row],[marital_Divorced]]=1,"Divorced",(IF(ifood_data[[#This Row],[marital_Together]]=1,"Living Together",(IF(ifood_data[[#This Row],[marital_Widow]]=1,"Widow","Other")))))))))</f>
        <v>Divorced</v>
      </c>
      <c r="AU1835" t="str">
        <f>IF(ifood_data[[#This Row],[education_Basic]]=1,"High School",(IF(ifood_data[[#This Row],[education_Graduation]]=1,"Undergraduate Degree",(IF(SUM(AM1835,AL1835,AI1835)&gt;0,"Master's Degree or Higher","Other")))))</f>
        <v>Undergraduate Degree</v>
      </c>
      <c r="AV1835" t="str">
        <f>IF(ifood_data[[#All],[Income]]&gt;75000,"75K+",(IF(ifood_data[[#All],[Income]]&gt;50000,"50K-75K",(IF(ifood_data[[#All],[Income]]&gt;35000,"35K-50K","&lt;35K")))))</f>
        <v>&lt;35K</v>
      </c>
      <c r="AW1835" t="str">
        <f>IF(ifood_data[[#All],[Age]]&gt;60,"60+",(IF(ifood_data[[#All],[Age]]&gt;50,"50-60",(IF(ifood_data[[#All],[Age]]&gt;40,"40-50",(IF(ifood_data[[#All],[Age]]&gt;30,"30-40","&lt;30")))))))</f>
        <v>40-50</v>
      </c>
      <c r="AX1835">
        <f t="shared" si="112"/>
        <v>11</v>
      </c>
      <c r="AY1835">
        <f t="shared" si="113"/>
        <v>5</v>
      </c>
      <c r="AZ1835">
        <f t="shared" si="114"/>
        <v>0</v>
      </c>
      <c r="BA1835">
        <f t="shared" si="115"/>
        <v>0</v>
      </c>
      <c r="BB1835">
        <f>SUM(ifood_data[[#This Row],[Recency Score]:[Monetary Score]])</f>
        <v>5</v>
      </c>
      <c r="BC1835">
        <f>(_xlfn.PERCENTRANK.INC(ifood_data[[#All],[RFM]],ifood_data[[#This Row],[RFM]],1))*10</f>
        <v>0</v>
      </c>
      <c r="BD1835" t="str">
        <f>VLOOKUP(ifood_data[[#This Row],[RFM Score]],'RFM Analysis'!$A$3:$B$14,2,FALSE)</f>
        <v>Lost</v>
      </c>
      <c r="BE1835">
        <f>'Regression Models'!$B$101+'Regression Models'!$B$102*ifood_data[[#This Row],[Income]]+'Regression Models'!$B$103*ifood_data[[#This Row],[Age]]+'Regression Models'!$B$104*ifood_data[[#This Row],[Family]]</f>
        <v>-41.017186274119354</v>
      </c>
      <c r="BF1835" t="str">
        <f>IF(ifood_data[[#This Row],[AcceptedCmpOverall]]=1,"Campaign Respondent","Non-respondent")</f>
        <v>Non-respondent</v>
      </c>
    </row>
    <row r="1836" spans="1:58" x14ac:dyDescent="0.35">
      <c r="A1836">
        <v>1266</v>
      </c>
      <c r="B1836">
        <v>26887</v>
      </c>
      <c r="C1836">
        <v>0</v>
      </c>
      <c r="D1836">
        <v>1</v>
      </c>
      <c r="E1836">
        <v>27</v>
      </c>
      <c r="F1836">
        <v>6</v>
      </c>
      <c r="G1836">
        <v>7</v>
      </c>
      <c r="H1836">
        <v>4</v>
      </c>
      <c r="I1836">
        <v>3</v>
      </c>
      <c r="J1836">
        <v>4</v>
      </c>
      <c r="K1836">
        <v>6</v>
      </c>
      <c r="L1836">
        <v>1</v>
      </c>
      <c r="M1836">
        <v>1</v>
      </c>
      <c r="N1836">
        <v>0</v>
      </c>
      <c r="O1836">
        <v>3</v>
      </c>
      <c r="P1836">
        <v>6</v>
      </c>
      <c r="Q1836">
        <v>0</v>
      </c>
      <c r="R1836">
        <v>0</v>
      </c>
      <c r="S1836">
        <v>0</v>
      </c>
      <c r="T1836">
        <v>0</v>
      </c>
      <c r="U1836">
        <v>0</v>
      </c>
      <c r="V1836">
        <f>IF(SUM(ifood_data[[#This Row],[AcceptedCmp1]:[AcceptedCmp5]])&gt;0,1,0)</f>
        <v>0</v>
      </c>
      <c r="W1836">
        <v>0</v>
      </c>
      <c r="X1836">
        <v>3</v>
      </c>
      <c r="Y1836">
        <v>11</v>
      </c>
      <c r="Z1836">
        <v>0</v>
      </c>
      <c r="AA1836">
        <v>61</v>
      </c>
      <c r="AB1836">
        <v>2663</v>
      </c>
      <c r="AC1836" s="28">
        <f>ifood_data[[#This Row],[Customer_Days]]/365</f>
        <v>7.2958904109589042</v>
      </c>
      <c r="AD1836">
        <v>0</v>
      </c>
      <c r="AE1836">
        <v>1</v>
      </c>
      <c r="AF1836">
        <v>0</v>
      </c>
      <c r="AG1836">
        <v>0</v>
      </c>
      <c r="AH1836">
        <v>0</v>
      </c>
      <c r="AI1836">
        <v>1</v>
      </c>
      <c r="AJ1836">
        <v>0</v>
      </c>
      <c r="AK1836">
        <v>0</v>
      </c>
      <c r="AL1836">
        <v>0</v>
      </c>
      <c r="AM1836">
        <v>0</v>
      </c>
      <c r="AN1836">
        <v>24</v>
      </c>
      <c r="AO1836">
        <v>18</v>
      </c>
      <c r="AP1836">
        <f>ifood_data[[#This Row],[MntTotal]]-ifood_data[[#This Row],[MntRegularProds]]</f>
        <v>6</v>
      </c>
      <c r="AQ1836">
        <v>0</v>
      </c>
      <c r="AR1836">
        <f>IF(SUM(ifood_data[[#This Row],[Kidhome]:[Teenhome]])&gt;0,1,0)</f>
        <v>1</v>
      </c>
      <c r="AS1836" t="str">
        <f>IF(SUM(ifood_data[[#This Row],[Kidhome]:[Teenhome]])&gt;0,"Has Family","No Family")</f>
        <v>Has Family</v>
      </c>
      <c r="AT1836" t="str">
        <f>IF(ifood_data[[#This Row],[marital_Married]]=1,"Married", (IF(ifood_data[[#This Row],[marital_Single]]=1,"Single",(IF(ifood_data[[#This Row],[marital_Divorced]]=1,"Divorced",(IF(ifood_data[[#This Row],[marital_Together]]=1,"Living Together",(IF(ifood_data[[#This Row],[marital_Widow]]=1,"Widow","Other")))))))))</f>
        <v>Married</v>
      </c>
      <c r="AU1836" t="str">
        <f>IF(ifood_data[[#This Row],[education_Basic]]=1,"High School",(IF(ifood_data[[#This Row],[education_Graduation]]=1,"Undergraduate Degree",(IF(SUM(AM1836,AL1836,AI1836)&gt;0,"Master's Degree or Higher","Other")))))</f>
        <v>Master's Degree or Higher</v>
      </c>
      <c r="AV1836" t="str">
        <f>IF(ifood_data[[#All],[Income]]&gt;75000,"75K+",(IF(ifood_data[[#All],[Income]]&gt;50000,"50K-75K",(IF(ifood_data[[#All],[Income]]&gt;35000,"35K-50K","&lt;35K")))))</f>
        <v>&lt;35K</v>
      </c>
      <c r="AW1836" t="str">
        <f>IF(ifood_data[[#All],[Age]]&gt;60,"60+",(IF(ifood_data[[#All],[Age]]&gt;50,"50-60",(IF(ifood_data[[#All],[Age]]&gt;40,"40-50",(IF(ifood_data[[#All],[Age]]&gt;30,"30-40","&lt;30")))))))</f>
        <v>60+</v>
      </c>
      <c r="AX1836">
        <f t="shared" si="112"/>
        <v>11</v>
      </c>
      <c r="AY1836">
        <f t="shared" si="113"/>
        <v>8</v>
      </c>
      <c r="AZ1836">
        <f t="shared" si="114"/>
        <v>0</v>
      </c>
      <c r="BA1836">
        <f t="shared" si="115"/>
        <v>0</v>
      </c>
      <c r="BB1836">
        <f>SUM(ifood_data[[#This Row],[Recency Score]:[Monetary Score]])</f>
        <v>8</v>
      </c>
      <c r="BC1836">
        <f>(_xlfn.PERCENTRANK.INC(ifood_data[[#All],[RFM]],ifood_data[[#This Row],[RFM]],1))*10</f>
        <v>1</v>
      </c>
      <c r="BD1836" t="str">
        <f>VLOOKUP(ifood_data[[#This Row],[RFM Score]],'RFM Analysis'!$A$3:$B$14,2,FALSE)</f>
        <v>At Risk</v>
      </c>
      <c r="BE1836">
        <f>'Regression Models'!$B$101+'Regression Models'!$B$102*ifood_data[[#This Row],[Income]]+'Regression Models'!$B$103*ifood_data[[#This Row],[Age]]+'Regression Models'!$B$104*ifood_data[[#This Row],[Family]]</f>
        <v>-41.258862075022762</v>
      </c>
      <c r="BF1836" t="str">
        <f>IF(ifood_data[[#This Row],[AcceptedCmpOverall]]=1,"Campaign Respondent","Non-respondent")</f>
        <v>Non-respondent</v>
      </c>
    </row>
    <row r="1837" spans="1:58" x14ac:dyDescent="0.35">
      <c r="A1837">
        <v>1625</v>
      </c>
      <c r="B1837">
        <v>25509</v>
      </c>
      <c r="C1837">
        <v>1</v>
      </c>
      <c r="D1837">
        <v>0</v>
      </c>
      <c r="E1837">
        <v>15</v>
      </c>
      <c r="F1837">
        <v>40</v>
      </c>
      <c r="G1837">
        <v>3</v>
      </c>
      <c r="H1837">
        <v>30</v>
      </c>
      <c r="I1837">
        <v>10</v>
      </c>
      <c r="J1837">
        <v>7</v>
      </c>
      <c r="K1837">
        <v>11</v>
      </c>
      <c r="L1837">
        <v>3</v>
      </c>
      <c r="M1837">
        <v>3</v>
      </c>
      <c r="N1837">
        <v>0</v>
      </c>
      <c r="O1837">
        <v>3</v>
      </c>
      <c r="P1837">
        <v>9</v>
      </c>
      <c r="Q1837">
        <v>0</v>
      </c>
      <c r="R1837">
        <v>0</v>
      </c>
      <c r="S1837">
        <v>0</v>
      </c>
      <c r="T1837">
        <v>0</v>
      </c>
      <c r="U1837">
        <v>0</v>
      </c>
      <c r="V1837">
        <f>IF(SUM(ifood_data[[#This Row],[AcceptedCmp1]:[AcceptedCmp5]])&gt;0,1,0)</f>
        <v>0</v>
      </c>
      <c r="W1837">
        <v>0</v>
      </c>
      <c r="X1837">
        <v>3</v>
      </c>
      <c r="Y1837">
        <v>11</v>
      </c>
      <c r="Z1837">
        <v>1</v>
      </c>
      <c r="AA1837">
        <v>46</v>
      </c>
      <c r="AB1837">
        <v>2808</v>
      </c>
      <c r="AC1837" s="28">
        <f>ifood_data[[#This Row],[Customer_Days]]/365</f>
        <v>7.6931506849315072</v>
      </c>
      <c r="AD1837">
        <v>1</v>
      </c>
      <c r="AE1837">
        <v>0</v>
      </c>
      <c r="AF1837">
        <v>0</v>
      </c>
      <c r="AG1837">
        <v>0</v>
      </c>
      <c r="AH1837">
        <v>0</v>
      </c>
      <c r="AI1837">
        <v>0</v>
      </c>
      <c r="AJ1837">
        <v>0</v>
      </c>
      <c r="AK1837">
        <v>0</v>
      </c>
      <c r="AL1837">
        <v>0</v>
      </c>
      <c r="AM1837">
        <v>1</v>
      </c>
      <c r="AN1837">
        <v>90</v>
      </c>
      <c r="AO1837">
        <v>79</v>
      </c>
      <c r="AP1837">
        <f>ifood_data[[#This Row],[MntTotal]]-ifood_data[[#This Row],[MntRegularProds]]</f>
        <v>11</v>
      </c>
      <c r="AQ1837">
        <v>0</v>
      </c>
      <c r="AR1837">
        <f>IF(SUM(ifood_data[[#This Row],[Kidhome]:[Teenhome]])&gt;0,1,0)</f>
        <v>1</v>
      </c>
      <c r="AS1837" t="str">
        <f>IF(SUM(ifood_data[[#This Row],[Kidhome]:[Teenhome]])&gt;0,"Has Family","No Family")</f>
        <v>Has Family</v>
      </c>
      <c r="AT1837" t="str">
        <f>IF(ifood_data[[#This Row],[marital_Married]]=1,"Married", (IF(ifood_data[[#This Row],[marital_Single]]=1,"Single",(IF(ifood_data[[#This Row],[marital_Divorced]]=1,"Divorced",(IF(ifood_data[[#This Row],[marital_Together]]=1,"Living Together",(IF(ifood_data[[#This Row],[marital_Widow]]=1,"Widow","Other")))))))))</f>
        <v>Divorced</v>
      </c>
      <c r="AU1837" t="str">
        <f>IF(ifood_data[[#This Row],[education_Basic]]=1,"High School",(IF(ifood_data[[#This Row],[education_Graduation]]=1,"Undergraduate Degree",(IF(SUM(AM1837,AL1837,AI1837)&gt;0,"Master's Degree or Higher","Other")))))</f>
        <v>Master's Degree or Higher</v>
      </c>
      <c r="AV1837" t="str">
        <f>IF(ifood_data[[#All],[Income]]&gt;75000,"75K+",(IF(ifood_data[[#All],[Income]]&gt;50000,"50K-75K",(IF(ifood_data[[#All],[Income]]&gt;35000,"35K-50K","&lt;35K")))))</f>
        <v>&lt;35K</v>
      </c>
      <c r="AW1837" t="str">
        <f>IF(ifood_data[[#All],[Age]]&gt;60,"60+",(IF(ifood_data[[#All],[Age]]&gt;50,"50-60",(IF(ifood_data[[#All],[Age]]&gt;40,"40-50",(IF(ifood_data[[#All],[Age]]&gt;30,"30-40","&lt;30")))))))</f>
        <v>40-50</v>
      </c>
      <c r="AX1837">
        <f t="shared" si="112"/>
        <v>18</v>
      </c>
      <c r="AY1837">
        <f t="shared" si="113"/>
        <v>9</v>
      </c>
      <c r="AZ1837">
        <f t="shared" si="114"/>
        <v>4</v>
      </c>
      <c r="BA1837">
        <f t="shared" si="115"/>
        <v>3</v>
      </c>
      <c r="BB1837">
        <f>SUM(ifood_data[[#This Row],[Recency Score]:[Monetary Score]])</f>
        <v>16</v>
      </c>
      <c r="BC1837">
        <f>(_xlfn.PERCENTRANK.INC(ifood_data[[#All],[RFM]],ifood_data[[#This Row],[RFM]],1))*10</f>
        <v>5</v>
      </c>
      <c r="BD1837" t="str">
        <f>VLOOKUP(ifood_data[[#This Row],[RFM Score]],'RFM Analysis'!$A$3:$B$14,2,FALSE)</f>
        <v>Promising</v>
      </c>
      <c r="BE1837">
        <f>'Regression Models'!$B$101+'Regression Models'!$B$102*ifood_data[[#This Row],[Income]]+'Regression Models'!$B$103*ifood_data[[#This Row],[Age]]+'Regression Models'!$B$104*ifood_data[[#This Row],[Family]]</f>
        <v>-41.807998393901329</v>
      </c>
      <c r="BF1837" t="str">
        <f>IF(ifood_data[[#This Row],[AcceptedCmpOverall]]=1,"Campaign Respondent","Non-respondent")</f>
        <v>Non-respondent</v>
      </c>
    </row>
    <row r="1838" spans="1:58" x14ac:dyDescent="0.35">
      <c r="A1838">
        <v>1806</v>
      </c>
      <c r="B1838">
        <v>24570</v>
      </c>
      <c r="C1838">
        <v>1</v>
      </c>
      <c r="D1838">
        <v>0</v>
      </c>
      <c r="E1838">
        <v>97</v>
      </c>
      <c r="F1838">
        <v>28</v>
      </c>
      <c r="G1838">
        <v>34</v>
      </c>
      <c r="H1838">
        <v>62</v>
      </c>
      <c r="I1838">
        <v>11</v>
      </c>
      <c r="J1838">
        <v>14</v>
      </c>
      <c r="K1838">
        <v>44</v>
      </c>
      <c r="L1838">
        <v>3</v>
      </c>
      <c r="M1838">
        <v>4</v>
      </c>
      <c r="N1838">
        <v>0</v>
      </c>
      <c r="O1838">
        <v>4</v>
      </c>
      <c r="P1838">
        <v>9</v>
      </c>
      <c r="Q1838">
        <v>0</v>
      </c>
      <c r="R1838">
        <v>0</v>
      </c>
      <c r="S1838">
        <v>0</v>
      </c>
      <c r="T1838">
        <v>0</v>
      </c>
      <c r="U1838">
        <v>0</v>
      </c>
      <c r="V1838">
        <f>IF(SUM(ifood_data[[#This Row],[AcceptedCmp1]:[AcceptedCmp5]])&gt;0,1,0)</f>
        <v>0</v>
      </c>
      <c r="W1838">
        <v>0</v>
      </c>
      <c r="X1838">
        <v>3</v>
      </c>
      <c r="Y1838">
        <v>11</v>
      </c>
      <c r="Z1838">
        <v>0</v>
      </c>
      <c r="AA1838">
        <v>36</v>
      </c>
      <c r="AB1838">
        <v>2646</v>
      </c>
      <c r="AC1838" s="28">
        <f>ifood_data[[#This Row],[Customer_Days]]/365</f>
        <v>7.2493150684931509</v>
      </c>
      <c r="AD1838">
        <v>0</v>
      </c>
      <c r="AE1838">
        <v>1</v>
      </c>
      <c r="AF1838">
        <v>0</v>
      </c>
      <c r="AG1838">
        <v>0</v>
      </c>
      <c r="AH1838">
        <v>0</v>
      </c>
      <c r="AI1838">
        <v>0</v>
      </c>
      <c r="AJ1838">
        <v>0</v>
      </c>
      <c r="AK1838">
        <v>1</v>
      </c>
      <c r="AL1838">
        <v>0</v>
      </c>
      <c r="AM1838">
        <v>0</v>
      </c>
      <c r="AN1838">
        <v>149</v>
      </c>
      <c r="AO1838">
        <v>105</v>
      </c>
      <c r="AP1838">
        <f>ifood_data[[#This Row],[MntTotal]]-ifood_data[[#This Row],[MntRegularProds]]</f>
        <v>44</v>
      </c>
      <c r="AQ1838">
        <v>0</v>
      </c>
      <c r="AR1838">
        <f>IF(SUM(ifood_data[[#This Row],[Kidhome]:[Teenhome]])&gt;0,1,0)</f>
        <v>1</v>
      </c>
      <c r="AS1838" t="str">
        <f>IF(SUM(ifood_data[[#This Row],[Kidhome]:[Teenhome]])&gt;0,"Has Family","No Family")</f>
        <v>Has Family</v>
      </c>
      <c r="AT1838" t="str">
        <f>IF(ifood_data[[#This Row],[marital_Married]]=1,"Married", (IF(ifood_data[[#This Row],[marital_Single]]=1,"Single",(IF(ifood_data[[#This Row],[marital_Divorced]]=1,"Divorced",(IF(ifood_data[[#This Row],[marital_Together]]=1,"Living Together",(IF(ifood_data[[#This Row],[marital_Widow]]=1,"Widow","Other")))))))))</f>
        <v>Married</v>
      </c>
      <c r="AU1838" t="str">
        <f>IF(ifood_data[[#This Row],[education_Basic]]=1,"High School",(IF(ifood_data[[#This Row],[education_Graduation]]=1,"Undergraduate Degree",(IF(SUM(AM1838,AL1838,AI1838)&gt;0,"Master's Degree or Higher","Other")))))</f>
        <v>Undergraduate Degree</v>
      </c>
      <c r="AV1838" t="str">
        <f>IF(ifood_data[[#All],[Income]]&gt;75000,"75K+",(IF(ifood_data[[#All],[Income]]&gt;50000,"50K-75K",(IF(ifood_data[[#All],[Income]]&gt;35000,"35K-50K","&lt;35K")))))</f>
        <v>&lt;35K</v>
      </c>
      <c r="AW1838" t="str">
        <f>IF(ifood_data[[#All],[Age]]&gt;60,"60+",(IF(ifood_data[[#All],[Age]]&gt;50,"50-60",(IF(ifood_data[[#All],[Age]]&gt;40,"40-50",(IF(ifood_data[[#All],[Age]]&gt;30,"30-40","&lt;30")))))))</f>
        <v>30-40</v>
      </c>
      <c r="AX1838">
        <f t="shared" si="112"/>
        <v>20</v>
      </c>
      <c r="AY1838">
        <f t="shared" si="113"/>
        <v>0.99999999999999978</v>
      </c>
      <c r="AZ1838">
        <f t="shared" si="114"/>
        <v>4</v>
      </c>
      <c r="BA1838">
        <f t="shared" si="115"/>
        <v>3</v>
      </c>
      <c r="BB1838">
        <f>SUM(ifood_data[[#This Row],[Recency Score]:[Monetary Score]])</f>
        <v>8</v>
      </c>
      <c r="BC1838">
        <f>(_xlfn.PERCENTRANK.INC(ifood_data[[#All],[RFM]],ifood_data[[#This Row],[RFM]],1))*10</f>
        <v>1</v>
      </c>
      <c r="BD1838" t="str">
        <f>VLOOKUP(ifood_data[[#This Row],[RFM Score]],'RFM Analysis'!$A$3:$B$14,2,FALSE)</f>
        <v>At Risk</v>
      </c>
      <c r="BE1838">
        <f>'Regression Models'!$B$101+'Regression Models'!$B$102*ifood_data[[#This Row],[Income]]+'Regression Models'!$B$103*ifood_data[[#This Row],[Age]]+'Regression Models'!$B$104*ifood_data[[#This Row],[Family]]</f>
        <v>-42.588660892079588</v>
      </c>
      <c r="BF1838" t="str">
        <f>IF(ifood_data[[#This Row],[AcceptedCmpOverall]]=1,"Campaign Respondent","Non-respondent")</f>
        <v>Non-respondent</v>
      </c>
    </row>
    <row r="1839" spans="1:58" x14ac:dyDescent="0.35">
      <c r="A1839">
        <v>61</v>
      </c>
      <c r="B1839">
        <v>25721</v>
      </c>
      <c r="C1839">
        <v>1</v>
      </c>
      <c r="D1839">
        <v>0</v>
      </c>
      <c r="E1839">
        <v>75</v>
      </c>
      <c r="F1839">
        <v>1</v>
      </c>
      <c r="G1839">
        <v>3</v>
      </c>
      <c r="H1839">
        <v>6</v>
      </c>
      <c r="I1839">
        <v>3</v>
      </c>
      <c r="J1839">
        <v>6</v>
      </c>
      <c r="K1839">
        <v>15</v>
      </c>
      <c r="L1839">
        <v>1</v>
      </c>
      <c r="M1839">
        <v>1</v>
      </c>
      <c r="N1839">
        <v>1</v>
      </c>
      <c r="O1839">
        <v>2</v>
      </c>
      <c r="P1839">
        <v>7</v>
      </c>
      <c r="Q1839">
        <v>0</v>
      </c>
      <c r="R1839">
        <v>0</v>
      </c>
      <c r="S1839">
        <v>0</v>
      </c>
      <c r="T1839">
        <v>0</v>
      </c>
      <c r="U1839">
        <v>0</v>
      </c>
      <c r="V1839">
        <f>IF(SUM(ifood_data[[#This Row],[AcceptedCmp1]:[AcceptedCmp5]])&gt;0,1,0)</f>
        <v>0</v>
      </c>
      <c r="W1839">
        <v>0</v>
      </c>
      <c r="X1839">
        <v>3</v>
      </c>
      <c r="Y1839">
        <v>11</v>
      </c>
      <c r="Z1839">
        <v>1</v>
      </c>
      <c r="AA1839">
        <v>49</v>
      </c>
      <c r="AB1839">
        <v>2563</v>
      </c>
      <c r="AC1839" s="28">
        <f>ifood_data[[#This Row],[Customer_Days]]/365</f>
        <v>7.021917808219178</v>
      </c>
      <c r="AD1839">
        <v>0</v>
      </c>
      <c r="AE1839">
        <v>1</v>
      </c>
      <c r="AF1839">
        <v>0</v>
      </c>
      <c r="AG1839">
        <v>0</v>
      </c>
      <c r="AH1839">
        <v>0</v>
      </c>
      <c r="AI1839">
        <v>0</v>
      </c>
      <c r="AJ1839">
        <v>0</v>
      </c>
      <c r="AK1839">
        <v>1</v>
      </c>
      <c r="AL1839">
        <v>0</v>
      </c>
      <c r="AM1839">
        <v>0</v>
      </c>
      <c r="AN1839">
        <v>19</v>
      </c>
      <c r="AO1839">
        <v>4</v>
      </c>
      <c r="AP1839">
        <f>ifood_data[[#This Row],[MntTotal]]-ifood_data[[#This Row],[MntRegularProds]]</f>
        <v>15</v>
      </c>
      <c r="AQ1839">
        <v>0</v>
      </c>
      <c r="AR1839">
        <f>IF(SUM(ifood_data[[#This Row],[Kidhome]:[Teenhome]])&gt;0,1,0)</f>
        <v>1</v>
      </c>
      <c r="AS1839" t="str">
        <f>IF(SUM(ifood_data[[#This Row],[Kidhome]:[Teenhome]])&gt;0,"Has Family","No Family")</f>
        <v>Has Family</v>
      </c>
      <c r="AT1839" t="str">
        <f>IF(ifood_data[[#This Row],[marital_Married]]=1,"Married", (IF(ifood_data[[#This Row],[marital_Single]]=1,"Single",(IF(ifood_data[[#This Row],[marital_Divorced]]=1,"Divorced",(IF(ifood_data[[#This Row],[marital_Together]]=1,"Living Together",(IF(ifood_data[[#This Row],[marital_Widow]]=1,"Widow","Other")))))))))</f>
        <v>Married</v>
      </c>
      <c r="AU1839" t="str">
        <f>IF(ifood_data[[#This Row],[education_Basic]]=1,"High School",(IF(ifood_data[[#This Row],[education_Graduation]]=1,"Undergraduate Degree",(IF(SUM(AM1839,AL1839,AI1839)&gt;0,"Master's Degree or Higher","Other")))))</f>
        <v>Undergraduate Degree</v>
      </c>
      <c r="AV1839" t="str">
        <f>IF(ifood_data[[#All],[Income]]&gt;75000,"75K+",(IF(ifood_data[[#All],[Income]]&gt;50000,"50K-75K",(IF(ifood_data[[#All],[Income]]&gt;35000,"35K-50K","&lt;35K")))))</f>
        <v>&lt;35K</v>
      </c>
      <c r="AW1839" t="str">
        <f>IF(ifood_data[[#All],[Age]]&gt;60,"60+",(IF(ifood_data[[#All],[Age]]&gt;50,"50-60",(IF(ifood_data[[#All],[Age]]&gt;40,"40-50",(IF(ifood_data[[#All],[Age]]&gt;30,"30-40","&lt;30")))))))</f>
        <v>40-50</v>
      </c>
      <c r="AX1839">
        <f t="shared" si="112"/>
        <v>12</v>
      </c>
      <c r="AY1839">
        <f t="shared" si="113"/>
        <v>3.0000000000000004</v>
      </c>
      <c r="AZ1839">
        <f t="shared" si="114"/>
        <v>1</v>
      </c>
      <c r="BA1839">
        <f t="shared" si="115"/>
        <v>0</v>
      </c>
      <c r="BB1839">
        <f>SUM(ifood_data[[#This Row],[Recency Score]:[Monetary Score]])</f>
        <v>4</v>
      </c>
      <c r="BC1839">
        <f>(_xlfn.PERCENTRANK.INC(ifood_data[[#All],[RFM]],ifood_data[[#This Row],[RFM]],1))*10</f>
        <v>0</v>
      </c>
      <c r="BD1839" t="str">
        <f>VLOOKUP(ifood_data[[#This Row],[RFM Score]],'RFM Analysis'!$A$3:$B$14,2,FALSE)</f>
        <v>Lost</v>
      </c>
      <c r="BE1839">
        <f>'Regression Models'!$B$101+'Regression Models'!$B$102*ifood_data[[#This Row],[Income]]+'Regression Models'!$B$103*ifood_data[[#This Row],[Age]]+'Regression Models'!$B$104*ifood_data[[#This Row],[Family]]</f>
        <v>-42.994896784077582</v>
      </c>
      <c r="BF1839" t="str">
        <f>IF(ifood_data[[#This Row],[AcceptedCmpOverall]]=1,"Campaign Respondent","Non-respondent")</f>
        <v>Non-respondent</v>
      </c>
    </row>
    <row r="1840" spans="1:58" x14ac:dyDescent="0.35">
      <c r="A1840">
        <v>1924</v>
      </c>
      <c r="B1840">
        <v>25176</v>
      </c>
      <c r="C1840">
        <v>1</v>
      </c>
      <c r="D1840">
        <v>1</v>
      </c>
      <c r="E1840">
        <v>79</v>
      </c>
      <c r="F1840">
        <v>4</v>
      </c>
      <c r="G1840">
        <v>0</v>
      </c>
      <c r="H1840">
        <v>4</v>
      </c>
      <c r="I1840">
        <v>0</v>
      </c>
      <c r="J1840">
        <v>0</v>
      </c>
      <c r="K1840">
        <v>5</v>
      </c>
      <c r="L1840">
        <v>1</v>
      </c>
      <c r="M1840">
        <v>1</v>
      </c>
      <c r="N1840">
        <v>0</v>
      </c>
      <c r="O1840">
        <v>2</v>
      </c>
      <c r="P1840">
        <v>7</v>
      </c>
      <c r="Q1840">
        <v>0</v>
      </c>
      <c r="R1840">
        <v>0</v>
      </c>
      <c r="S1840">
        <v>0</v>
      </c>
      <c r="T1840">
        <v>0</v>
      </c>
      <c r="U1840">
        <v>0</v>
      </c>
      <c r="V1840">
        <f>IF(SUM(ifood_data[[#This Row],[AcceptedCmp1]:[AcceptedCmp5]])&gt;0,1,0)</f>
        <v>0</v>
      </c>
      <c r="W1840">
        <v>0</v>
      </c>
      <c r="X1840">
        <v>3</v>
      </c>
      <c r="Y1840">
        <v>11</v>
      </c>
      <c r="Z1840">
        <v>0</v>
      </c>
      <c r="AA1840">
        <v>44</v>
      </c>
      <c r="AB1840">
        <v>2482</v>
      </c>
      <c r="AC1840" s="28">
        <f>ifood_data[[#This Row],[Customer_Days]]/365</f>
        <v>6.8</v>
      </c>
      <c r="AD1840">
        <v>0</v>
      </c>
      <c r="AE1840">
        <v>0</v>
      </c>
      <c r="AF1840">
        <v>0</v>
      </c>
      <c r="AG1840">
        <v>1</v>
      </c>
      <c r="AH1840">
        <v>0</v>
      </c>
      <c r="AI1840">
        <v>1</v>
      </c>
      <c r="AJ1840">
        <v>0</v>
      </c>
      <c r="AK1840">
        <v>0</v>
      </c>
      <c r="AL1840">
        <v>0</v>
      </c>
      <c r="AM1840">
        <v>0</v>
      </c>
      <c r="AN1840">
        <v>8</v>
      </c>
      <c r="AO1840">
        <v>3</v>
      </c>
      <c r="AP1840">
        <f>ifood_data[[#This Row],[MntTotal]]-ifood_data[[#This Row],[MntRegularProds]]</f>
        <v>5</v>
      </c>
      <c r="AQ1840">
        <v>0</v>
      </c>
      <c r="AR1840">
        <f>IF(SUM(ifood_data[[#This Row],[Kidhome]:[Teenhome]])&gt;0,1,0)</f>
        <v>1</v>
      </c>
      <c r="AS1840" t="str">
        <f>IF(SUM(ifood_data[[#This Row],[Kidhome]:[Teenhome]])&gt;0,"Has Family","No Family")</f>
        <v>Has Family</v>
      </c>
      <c r="AT1840" t="str">
        <f>IF(ifood_data[[#This Row],[marital_Married]]=1,"Married", (IF(ifood_data[[#This Row],[marital_Single]]=1,"Single",(IF(ifood_data[[#This Row],[marital_Divorced]]=1,"Divorced",(IF(ifood_data[[#This Row],[marital_Together]]=1,"Living Together",(IF(ifood_data[[#This Row],[marital_Widow]]=1,"Widow","Other")))))))))</f>
        <v>Living Together</v>
      </c>
      <c r="AU1840" t="str">
        <f>IF(ifood_data[[#This Row],[education_Basic]]=1,"High School",(IF(ifood_data[[#This Row],[education_Graduation]]=1,"Undergraduate Degree",(IF(SUM(AM1840,AL1840,AI1840)&gt;0,"Master's Degree or Higher","Other")))))</f>
        <v>Master's Degree or Higher</v>
      </c>
      <c r="AV1840" t="str">
        <f>IF(ifood_data[[#All],[Income]]&gt;75000,"75K+",(IF(ifood_data[[#All],[Income]]&gt;50000,"50K-75K",(IF(ifood_data[[#All],[Income]]&gt;35000,"35K-50K","&lt;35K")))))</f>
        <v>&lt;35K</v>
      </c>
      <c r="AW1840" t="str">
        <f>IF(ifood_data[[#All],[Age]]&gt;60,"60+",(IF(ifood_data[[#All],[Age]]&gt;50,"50-60",(IF(ifood_data[[#All],[Age]]&gt;40,"40-50",(IF(ifood_data[[#All],[Age]]&gt;30,"30-40","&lt;30")))))))</f>
        <v>40-50</v>
      </c>
      <c r="AX1840">
        <f t="shared" si="112"/>
        <v>11</v>
      </c>
      <c r="AY1840">
        <f t="shared" si="113"/>
        <v>3.0000000000000004</v>
      </c>
      <c r="AZ1840">
        <f t="shared" si="114"/>
        <v>0</v>
      </c>
      <c r="BA1840">
        <f t="shared" si="115"/>
        <v>0</v>
      </c>
      <c r="BB1840">
        <f>SUM(ifood_data[[#This Row],[Recency Score]:[Monetary Score]])</f>
        <v>3.0000000000000004</v>
      </c>
      <c r="BC1840">
        <f>(_xlfn.PERCENTRANK.INC(ifood_data[[#All],[RFM]],ifood_data[[#This Row],[RFM]],1))*10</f>
        <v>0</v>
      </c>
      <c r="BD1840" t="str">
        <f>VLOOKUP(ifood_data[[#This Row],[RFM Score]],'RFM Analysis'!$A$3:$B$14,2,FALSE)</f>
        <v>Lost</v>
      </c>
      <c r="BE1840">
        <f>'Regression Models'!$B$101+'Regression Models'!$B$102*ifood_data[[#This Row],[Income]]+'Regression Models'!$B$103*ifood_data[[#This Row],[Age]]+'Regression Models'!$B$104*ifood_data[[#This Row],[Family]]</f>
        <v>-44.924580028031045</v>
      </c>
      <c r="BF1840" t="str">
        <f>IF(ifood_data[[#This Row],[AcceptedCmpOverall]]=1,"Campaign Respondent","Non-respondent")</f>
        <v>Non-respondent</v>
      </c>
    </row>
    <row r="1841" spans="1:58" x14ac:dyDescent="0.35">
      <c r="A1841">
        <v>1769</v>
      </c>
      <c r="B1841">
        <v>25410</v>
      </c>
      <c r="C1841">
        <v>1</v>
      </c>
      <c r="D1841">
        <v>0</v>
      </c>
      <c r="E1841">
        <v>48</v>
      </c>
      <c r="F1841">
        <v>2</v>
      </c>
      <c r="G1841">
        <v>2</v>
      </c>
      <c r="H1841">
        <v>4</v>
      </c>
      <c r="I1841">
        <v>13</v>
      </c>
      <c r="J1841">
        <v>13</v>
      </c>
      <c r="K1841">
        <v>4</v>
      </c>
      <c r="L1841">
        <v>1</v>
      </c>
      <c r="M1841">
        <v>1</v>
      </c>
      <c r="N1841">
        <v>0</v>
      </c>
      <c r="O1841">
        <v>4</v>
      </c>
      <c r="P1841">
        <v>4</v>
      </c>
      <c r="Q1841">
        <v>0</v>
      </c>
      <c r="R1841">
        <v>0</v>
      </c>
      <c r="S1841">
        <v>0</v>
      </c>
      <c r="T1841">
        <v>0</v>
      </c>
      <c r="U1841">
        <v>0</v>
      </c>
      <c r="V1841">
        <f>IF(SUM(ifood_data[[#This Row],[AcceptedCmp1]:[AcceptedCmp5]])&gt;0,1,0)</f>
        <v>0</v>
      </c>
      <c r="W1841">
        <v>0</v>
      </c>
      <c r="X1841">
        <v>3</v>
      </c>
      <c r="Y1841">
        <v>11</v>
      </c>
      <c r="Z1841">
        <v>0</v>
      </c>
      <c r="AA1841">
        <v>47</v>
      </c>
      <c r="AB1841">
        <v>2461</v>
      </c>
      <c r="AC1841" s="28">
        <f>ifood_data[[#This Row],[Customer_Days]]/365</f>
        <v>6.7424657534246579</v>
      </c>
      <c r="AD1841">
        <v>0</v>
      </c>
      <c r="AE1841">
        <v>1</v>
      </c>
      <c r="AF1841">
        <v>0</v>
      </c>
      <c r="AG1841">
        <v>0</v>
      </c>
      <c r="AH1841">
        <v>0</v>
      </c>
      <c r="AI1841">
        <v>0</v>
      </c>
      <c r="AJ1841">
        <v>0</v>
      </c>
      <c r="AK1841">
        <v>1</v>
      </c>
      <c r="AL1841">
        <v>0</v>
      </c>
      <c r="AM1841">
        <v>0</v>
      </c>
      <c r="AN1841">
        <v>34</v>
      </c>
      <c r="AO1841">
        <v>30</v>
      </c>
      <c r="AP1841">
        <f>ifood_data[[#This Row],[MntTotal]]-ifood_data[[#This Row],[MntRegularProds]]</f>
        <v>4</v>
      </c>
      <c r="AQ1841">
        <v>0</v>
      </c>
      <c r="AR1841">
        <f>IF(SUM(ifood_data[[#This Row],[Kidhome]:[Teenhome]])&gt;0,1,0)</f>
        <v>1</v>
      </c>
      <c r="AS1841" t="str">
        <f>IF(SUM(ifood_data[[#This Row],[Kidhome]:[Teenhome]])&gt;0,"Has Family","No Family")</f>
        <v>Has Family</v>
      </c>
      <c r="AT1841" t="str">
        <f>IF(ifood_data[[#This Row],[marital_Married]]=1,"Married", (IF(ifood_data[[#This Row],[marital_Single]]=1,"Single",(IF(ifood_data[[#This Row],[marital_Divorced]]=1,"Divorced",(IF(ifood_data[[#This Row],[marital_Together]]=1,"Living Together",(IF(ifood_data[[#This Row],[marital_Widow]]=1,"Widow","Other")))))))))</f>
        <v>Married</v>
      </c>
      <c r="AU1841" t="str">
        <f>IF(ifood_data[[#This Row],[education_Basic]]=1,"High School",(IF(ifood_data[[#This Row],[education_Graduation]]=1,"Undergraduate Degree",(IF(SUM(AM1841,AL1841,AI1841)&gt;0,"Master's Degree or Higher","Other")))))</f>
        <v>Undergraduate Degree</v>
      </c>
      <c r="AV1841" t="str">
        <f>IF(ifood_data[[#All],[Income]]&gt;75000,"75K+",(IF(ifood_data[[#All],[Income]]&gt;50000,"50K-75K",(IF(ifood_data[[#All],[Income]]&gt;35000,"35K-50K","&lt;35K")))))</f>
        <v>&lt;35K</v>
      </c>
      <c r="AW1841" t="str">
        <f>IF(ifood_data[[#All],[Age]]&gt;60,"60+",(IF(ifood_data[[#All],[Age]]&gt;50,"50-60",(IF(ifood_data[[#All],[Age]]&gt;40,"40-50",(IF(ifood_data[[#All],[Age]]&gt;30,"30-40","&lt;30")))))))</f>
        <v>40-50</v>
      </c>
      <c r="AX1841">
        <f t="shared" si="112"/>
        <v>10</v>
      </c>
      <c r="AY1841">
        <f t="shared" si="113"/>
        <v>6</v>
      </c>
      <c r="AZ1841">
        <f t="shared" si="114"/>
        <v>0</v>
      </c>
      <c r="BA1841">
        <f t="shared" si="115"/>
        <v>1</v>
      </c>
      <c r="BB1841">
        <f>SUM(ifood_data[[#This Row],[Recency Score]:[Monetary Score]])</f>
        <v>7</v>
      </c>
      <c r="BC1841">
        <f>(_xlfn.PERCENTRANK.INC(ifood_data[[#All],[RFM]],ifood_data[[#This Row],[RFM]],1))*10</f>
        <v>1</v>
      </c>
      <c r="BD1841" t="str">
        <f>VLOOKUP(ifood_data[[#This Row],[RFM Score]],'RFM Analysis'!$A$3:$B$14,2,FALSE)</f>
        <v>At Risk</v>
      </c>
      <c r="BE1841">
        <f>'Regression Models'!$B$101+'Regression Models'!$B$102*ifood_data[[#This Row],[Income]]+'Regression Models'!$B$103*ifood_data[[#This Row],[Age]]+'Regression Models'!$B$104*ifood_data[[#This Row],[Family]]</f>
        <v>-45.662925519041551</v>
      </c>
      <c r="BF1841" t="str">
        <f>IF(ifood_data[[#This Row],[AcceptedCmpOverall]]=1,"Campaign Respondent","Non-respondent")</f>
        <v>Non-respondent</v>
      </c>
    </row>
    <row r="1842" spans="1:58" x14ac:dyDescent="0.35">
      <c r="A1842">
        <v>656</v>
      </c>
      <c r="B1842">
        <v>13084</v>
      </c>
      <c r="C1842">
        <v>0</v>
      </c>
      <c r="D1842">
        <v>0</v>
      </c>
      <c r="E1842">
        <v>29</v>
      </c>
      <c r="F1842">
        <v>2</v>
      </c>
      <c r="G1842">
        <v>0</v>
      </c>
      <c r="H1842">
        <v>7</v>
      </c>
      <c r="I1842">
        <v>3</v>
      </c>
      <c r="J1842">
        <v>7</v>
      </c>
      <c r="K1842">
        <v>10</v>
      </c>
      <c r="L1842">
        <v>1</v>
      </c>
      <c r="M1842">
        <v>1</v>
      </c>
      <c r="N1842">
        <v>0</v>
      </c>
      <c r="O1842">
        <v>3</v>
      </c>
      <c r="P1842">
        <v>6</v>
      </c>
      <c r="Q1842">
        <v>0</v>
      </c>
      <c r="R1842">
        <v>0</v>
      </c>
      <c r="S1842">
        <v>0</v>
      </c>
      <c r="T1842">
        <v>0</v>
      </c>
      <c r="U1842">
        <v>0</v>
      </c>
      <c r="V1842">
        <f>IF(SUM(ifood_data[[#This Row],[AcceptedCmp1]:[AcceptedCmp5]])&gt;0,1,0)</f>
        <v>0</v>
      </c>
      <c r="W1842">
        <v>0</v>
      </c>
      <c r="X1842">
        <v>3</v>
      </c>
      <c r="Y1842">
        <v>11</v>
      </c>
      <c r="Z1842">
        <v>0</v>
      </c>
      <c r="AA1842">
        <v>68</v>
      </c>
      <c r="AB1842">
        <v>2398</v>
      </c>
      <c r="AC1842" s="28">
        <f>ifood_data[[#This Row],[Customer_Days]]/365</f>
        <v>6.5698630136986305</v>
      </c>
      <c r="AD1842">
        <v>0</v>
      </c>
      <c r="AE1842">
        <v>0</v>
      </c>
      <c r="AF1842">
        <v>0</v>
      </c>
      <c r="AG1842">
        <v>1</v>
      </c>
      <c r="AH1842">
        <v>0</v>
      </c>
      <c r="AI1842">
        <v>0</v>
      </c>
      <c r="AJ1842">
        <v>1</v>
      </c>
      <c r="AK1842">
        <v>0</v>
      </c>
      <c r="AL1842">
        <v>0</v>
      </c>
      <c r="AM1842">
        <v>0</v>
      </c>
      <c r="AN1842">
        <v>19</v>
      </c>
      <c r="AO1842">
        <v>9</v>
      </c>
      <c r="AP1842">
        <f>ifood_data[[#This Row],[MntTotal]]-ifood_data[[#This Row],[MntRegularProds]]</f>
        <v>10</v>
      </c>
      <c r="AQ1842">
        <v>0</v>
      </c>
      <c r="AR1842">
        <f>IF(SUM(ifood_data[[#This Row],[Kidhome]:[Teenhome]])&gt;0,1,0)</f>
        <v>0</v>
      </c>
      <c r="AS1842" t="str">
        <f>IF(SUM(ifood_data[[#This Row],[Kidhome]:[Teenhome]])&gt;0,"Has Family","No Family")</f>
        <v>No Family</v>
      </c>
      <c r="AT1842" t="str">
        <f>IF(ifood_data[[#This Row],[marital_Married]]=1,"Married", (IF(ifood_data[[#This Row],[marital_Single]]=1,"Single",(IF(ifood_data[[#This Row],[marital_Divorced]]=1,"Divorced",(IF(ifood_data[[#This Row],[marital_Together]]=1,"Living Together",(IF(ifood_data[[#This Row],[marital_Widow]]=1,"Widow","Other")))))))))</f>
        <v>Living Together</v>
      </c>
      <c r="AU1842" t="str">
        <f>IF(ifood_data[[#This Row],[education_Basic]]=1,"High School",(IF(ifood_data[[#This Row],[education_Graduation]]=1,"Undergraduate Degree",(IF(SUM(AM1842,AL1842,AI1842)&gt;0,"Master's Degree or Higher","Other")))))</f>
        <v>High School</v>
      </c>
      <c r="AV1842" t="str">
        <f>IF(ifood_data[[#All],[Income]]&gt;75000,"75K+",(IF(ifood_data[[#All],[Income]]&gt;50000,"50K-75K",(IF(ifood_data[[#All],[Income]]&gt;35000,"35K-50K","&lt;35K")))))</f>
        <v>&lt;35K</v>
      </c>
      <c r="AW1842" t="str">
        <f>IF(ifood_data[[#All],[Age]]&gt;60,"60+",(IF(ifood_data[[#All],[Age]]&gt;50,"50-60",(IF(ifood_data[[#All],[Age]]&gt;40,"40-50",(IF(ifood_data[[#All],[Age]]&gt;30,"30-40","&lt;30")))))))</f>
        <v>60+</v>
      </c>
      <c r="AX1842">
        <f t="shared" si="112"/>
        <v>11</v>
      </c>
      <c r="AY1842">
        <f t="shared" si="113"/>
        <v>8</v>
      </c>
      <c r="AZ1842">
        <f t="shared" si="114"/>
        <v>0</v>
      </c>
      <c r="BA1842">
        <f t="shared" si="115"/>
        <v>0</v>
      </c>
      <c r="BB1842">
        <f>SUM(ifood_data[[#This Row],[Recency Score]:[Monetary Score]])</f>
        <v>8</v>
      </c>
      <c r="BC1842">
        <f>(_xlfn.PERCENTRANK.INC(ifood_data[[#All],[RFM]],ifood_data[[#This Row],[RFM]],1))*10</f>
        <v>1</v>
      </c>
      <c r="BD1842" t="str">
        <f>VLOOKUP(ifood_data[[#This Row],[RFM Score]],'RFM Analysis'!$A$3:$B$14,2,FALSE)</f>
        <v>At Risk</v>
      </c>
      <c r="BE1842">
        <f>'Regression Models'!$B$101+'Regression Models'!$B$102*ifood_data[[#This Row],[Income]]+'Regression Models'!$B$103*ifood_data[[#This Row],[Age]]+'Regression Models'!$B$104*ifood_data[[#This Row],[Family]]</f>
        <v>-45.926471244503688</v>
      </c>
      <c r="BF1842" t="str">
        <f>IF(ifood_data[[#This Row],[AcceptedCmpOverall]]=1,"Campaign Respondent","Non-respondent")</f>
        <v>Non-respondent</v>
      </c>
    </row>
    <row r="1843" spans="1:58" x14ac:dyDescent="0.35">
      <c r="A1843">
        <v>1069</v>
      </c>
      <c r="B1843">
        <v>25930</v>
      </c>
      <c r="C1843">
        <v>1</v>
      </c>
      <c r="D1843">
        <v>1</v>
      </c>
      <c r="E1843">
        <v>87</v>
      </c>
      <c r="F1843">
        <v>6</v>
      </c>
      <c r="G1843">
        <v>1</v>
      </c>
      <c r="H1843">
        <v>2</v>
      </c>
      <c r="I1843">
        <v>2</v>
      </c>
      <c r="J1843">
        <v>0</v>
      </c>
      <c r="K1843">
        <v>4</v>
      </c>
      <c r="L1843">
        <v>1</v>
      </c>
      <c r="M1843">
        <v>1</v>
      </c>
      <c r="N1843">
        <v>0</v>
      </c>
      <c r="O1843">
        <v>2</v>
      </c>
      <c r="P1843">
        <v>7</v>
      </c>
      <c r="Q1843">
        <v>0</v>
      </c>
      <c r="R1843">
        <v>0</v>
      </c>
      <c r="S1843">
        <v>0</v>
      </c>
      <c r="T1843">
        <v>0</v>
      </c>
      <c r="U1843">
        <v>0</v>
      </c>
      <c r="V1843">
        <f>IF(SUM(ifood_data[[#This Row],[AcceptedCmp1]:[AcceptedCmp5]])&gt;0,1,0)</f>
        <v>0</v>
      </c>
      <c r="W1843">
        <v>0</v>
      </c>
      <c r="X1843">
        <v>3</v>
      </c>
      <c r="Y1843">
        <v>11</v>
      </c>
      <c r="Z1843">
        <v>0</v>
      </c>
      <c r="AA1843">
        <v>53</v>
      </c>
      <c r="AB1843">
        <v>2421</v>
      </c>
      <c r="AC1843" s="28">
        <f>ifood_data[[#This Row],[Customer_Days]]/365</f>
        <v>6.6328767123287671</v>
      </c>
      <c r="AD1843">
        <v>0</v>
      </c>
      <c r="AE1843">
        <v>0</v>
      </c>
      <c r="AF1843">
        <v>1</v>
      </c>
      <c r="AG1843">
        <v>0</v>
      </c>
      <c r="AH1843">
        <v>0</v>
      </c>
      <c r="AI1843">
        <v>0</v>
      </c>
      <c r="AJ1843">
        <v>0</v>
      </c>
      <c r="AK1843">
        <v>1</v>
      </c>
      <c r="AL1843">
        <v>0</v>
      </c>
      <c r="AM1843">
        <v>0</v>
      </c>
      <c r="AN1843">
        <v>11</v>
      </c>
      <c r="AO1843">
        <v>7</v>
      </c>
      <c r="AP1843">
        <f>ifood_data[[#This Row],[MntTotal]]-ifood_data[[#This Row],[MntRegularProds]]</f>
        <v>4</v>
      </c>
      <c r="AQ1843">
        <v>0</v>
      </c>
      <c r="AR1843">
        <f>IF(SUM(ifood_data[[#This Row],[Kidhome]:[Teenhome]])&gt;0,1,0)</f>
        <v>1</v>
      </c>
      <c r="AS1843" t="str">
        <f>IF(SUM(ifood_data[[#This Row],[Kidhome]:[Teenhome]])&gt;0,"Has Family","No Family")</f>
        <v>Has Family</v>
      </c>
      <c r="AT1843" t="str">
        <f>IF(ifood_data[[#This Row],[marital_Married]]=1,"Married", (IF(ifood_data[[#This Row],[marital_Single]]=1,"Single",(IF(ifood_data[[#This Row],[marital_Divorced]]=1,"Divorced",(IF(ifood_data[[#This Row],[marital_Together]]=1,"Living Together",(IF(ifood_data[[#This Row],[marital_Widow]]=1,"Widow","Other")))))))))</f>
        <v>Single</v>
      </c>
      <c r="AU1843" t="str">
        <f>IF(ifood_data[[#This Row],[education_Basic]]=1,"High School",(IF(ifood_data[[#This Row],[education_Graduation]]=1,"Undergraduate Degree",(IF(SUM(AM1843,AL1843,AI1843)&gt;0,"Master's Degree or Higher","Other")))))</f>
        <v>Undergraduate Degree</v>
      </c>
      <c r="AV1843" t="str">
        <f>IF(ifood_data[[#All],[Income]]&gt;75000,"75K+",(IF(ifood_data[[#All],[Income]]&gt;50000,"50K-75K",(IF(ifood_data[[#All],[Income]]&gt;35000,"35K-50K","&lt;35K")))))</f>
        <v>&lt;35K</v>
      </c>
      <c r="AW1843" t="str">
        <f>IF(ifood_data[[#All],[Age]]&gt;60,"60+",(IF(ifood_data[[#All],[Age]]&gt;50,"50-60",(IF(ifood_data[[#All],[Age]]&gt;40,"40-50",(IF(ifood_data[[#All],[Age]]&gt;30,"30-40","&lt;30")))))))</f>
        <v>50-60</v>
      </c>
      <c r="AX1843">
        <f t="shared" si="112"/>
        <v>11</v>
      </c>
      <c r="AY1843">
        <f t="shared" si="113"/>
        <v>1.9999999999999996</v>
      </c>
      <c r="AZ1843">
        <f t="shared" si="114"/>
        <v>0</v>
      </c>
      <c r="BA1843">
        <f t="shared" si="115"/>
        <v>0</v>
      </c>
      <c r="BB1843">
        <f>SUM(ifood_data[[#This Row],[Recency Score]:[Monetary Score]])</f>
        <v>1.9999999999999996</v>
      </c>
      <c r="BC1843">
        <f>(_xlfn.PERCENTRANK.INC(ifood_data[[#All],[RFM]],ifood_data[[#This Row],[RFM]],1))*10</f>
        <v>0</v>
      </c>
      <c r="BD1843" t="str">
        <f>VLOOKUP(ifood_data[[#This Row],[RFM Score]],'RFM Analysis'!$A$3:$B$14,2,FALSE)</f>
        <v>Lost</v>
      </c>
      <c r="BE1843">
        <f>'Regression Models'!$B$101+'Regression Models'!$B$102*ifood_data[[#This Row],[Income]]+'Regression Models'!$B$103*ifood_data[[#This Row],[Age]]+'Regression Models'!$B$104*ifood_data[[#This Row],[Family]]</f>
        <v>-46.079400557579788</v>
      </c>
      <c r="BF1843" t="str">
        <f>IF(ifood_data[[#This Row],[AcceptedCmpOverall]]=1,"Campaign Respondent","Non-respondent")</f>
        <v>Non-respondent</v>
      </c>
    </row>
    <row r="1844" spans="1:58" x14ac:dyDescent="0.35">
      <c r="A1844">
        <v>177</v>
      </c>
      <c r="B1844">
        <v>24882</v>
      </c>
      <c r="C1844">
        <v>1</v>
      </c>
      <c r="D1844">
        <v>0</v>
      </c>
      <c r="E1844">
        <v>52</v>
      </c>
      <c r="F1844">
        <v>1</v>
      </c>
      <c r="G1844">
        <v>4</v>
      </c>
      <c r="H1844">
        <v>10</v>
      </c>
      <c r="I1844">
        <v>29</v>
      </c>
      <c r="J1844">
        <v>0</v>
      </c>
      <c r="K1844">
        <v>36</v>
      </c>
      <c r="L1844">
        <v>1</v>
      </c>
      <c r="M1844">
        <v>1</v>
      </c>
      <c r="N1844">
        <v>1</v>
      </c>
      <c r="O1844">
        <v>2</v>
      </c>
      <c r="P1844">
        <v>6</v>
      </c>
      <c r="Q1844">
        <v>0</v>
      </c>
      <c r="R1844">
        <v>0</v>
      </c>
      <c r="S1844">
        <v>1</v>
      </c>
      <c r="T1844">
        <v>0</v>
      </c>
      <c r="U1844">
        <v>0</v>
      </c>
      <c r="V1844">
        <f>IF(SUM(ifood_data[[#This Row],[AcceptedCmp1]:[AcceptedCmp5]])&gt;0,1,0)</f>
        <v>1</v>
      </c>
      <c r="W1844">
        <v>0</v>
      </c>
      <c r="X1844">
        <v>3</v>
      </c>
      <c r="Y1844">
        <v>11</v>
      </c>
      <c r="Z1844">
        <v>0</v>
      </c>
      <c r="AA1844">
        <v>42</v>
      </c>
      <c r="AB1844">
        <v>2817</v>
      </c>
      <c r="AC1844" s="28">
        <f>ifood_data[[#This Row],[Customer_Days]]/365</f>
        <v>7.7178082191780826</v>
      </c>
      <c r="AD1844">
        <v>0</v>
      </c>
      <c r="AE1844">
        <v>0</v>
      </c>
      <c r="AF1844">
        <v>0</v>
      </c>
      <c r="AG1844">
        <v>1</v>
      </c>
      <c r="AH1844">
        <v>0</v>
      </c>
      <c r="AI1844">
        <v>0</v>
      </c>
      <c r="AJ1844">
        <v>1</v>
      </c>
      <c r="AK1844">
        <v>0</v>
      </c>
      <c r="AL1844">
        <v>0</v>
      </c>
      <c r="AM1844">
        <v>0</v>
      </c>
      <c r="AN1844">
        <v>44</v>
      </c>
      <c r="AO1844">
        <v>8</v>
      </c>
      <c r="AP1844">
        <f>ifood_data[[#This Row],[MntTotal]]-ifood_data[[#This Row],[MntRegularProds]]</f>
        <v>36</v>
      </c>
      <c r="AQ1844">
        <v>1</v>
      </c>
      <c r="AR1844">
        <f>IF(SUM(ifood_data[[#This Row],[Kidhome]:[Teenhome]])&gt;0,1,0)</f>
        <v>1</v>
      </c>
      <c r="AS1844" t="str">
        <f>IF(SUM(ifood_data[[#This Row],[Kidhome]:[Teenhome]])&gt;0,"Has Family","No Family")</f>
        <v>Has Family</v>
      </c>
      <c r="AT1844" t="str">
        <f>IF(ifood_data[[#This Row],[marital_Married]]=1,"Married", (IF(ifood_data[[#This Row],[marital_Single]]=1,"Single",(IF(ifood_data[[#This Row],[marital_Divorced]]=1,"Divorced",(IF(ifood_data[[#This Row],[marital_Together]]=1,"Living Together",(IF(ifood_data[[#This Row],[marital_Widow]]=1,"Widow","Other")))))))))</f>
        <v>Living Together</v>
      </c>
      <c r="AU1844" t="str">
        <f>IF(ifood_data[[#This Row],[education_Basic]]=1,"High School",(IF(ifood_data[[#This Row],[education_Graduation]]=1,"Undergraduate Degree",(IF(SUM(AM1844,AL1844,AI1844)&gt;0,"Master's Degree or Higher","Other")))))</f>
        <v>High School</v>
      </c>
      <c r="AV1844" t="str">
        <f>IF(ifood_data[[#All],[Income]]&gt;75000,"75K+",(IF(ifood_data[[#All],[Income]]&gt;50000,"50K-75K",(IF(ifood_data[[#All],[Income]]&gt;35000,"35K-50K","&lt;35K")))))</f>
        <v>&lt;35K</v>
      </c>
      <c r="AW1844" t="str">
        <f>IF(ifood_data[[#All],[Age]]&gt;60,"60+",(IF(ifood_data[[#All],[Age]]&gt;50,"50-60",(IF(ifood_data[[#All],[Age]]&gt;40,"40-50",(IF(ifood_data[[#All],[Age]]&gt;30,"30-40","&lt;30")))))))</f>
        <v>40-50</v>
      </c>
      <c r="AX1844">
        <f t="shared" si="112"/>
        <v>11</v>
      </c>
      <c r="AY1844">
        <f t="shared" si="113"/>
        <v>5</v>
      </c>
      <c r="AZ1844">
        <f t="shared" si="114"/>
        <v>0</v>
      </c>
      <c r="BA1844">
        <f t="shared" si="115"/>
        <v>2</v>
      </c>
      <c r="BB1844">
        <f>SUM(ifood_data[[#This Row],[Recency Score]:[Monetary Score]])</f>
        <v>7</v>
      </c>
      <c r="BC1844">
        <f>(_xlfn.PERCENTRANK.INC(ifood_data[[#All],[RFM]],ifood_data[[#This Row],[RFM]],1))*10</f>
        <v>1</v>
      </c>
      <c r="BD1844" t="str">
        <f>VLOOKUP(ifood_data[[#This Row],[RFM Score]],'RFM Analysis'!$A$3:$B$14,2,FALSE)</f>
        <v>At Risk</v>
      </c>
      <c r="BE1844">
        <f>'Regression Models'!$B$101+'Regression Models'!$B$102*ifood_data[[#This Row],[Income]]+'Regression Models'!$B$103*ifood_data[[#This Row],[Age]]+'Regression Models'!$B$104*ifood_data[[#This Row],[Family]]</f>
        <v>-47.245999704548836</v>
      </c>
      <c r="BF1844" t="str">
        <f>IF(ifood_data[[#This Row],[AcceptedCmpOverall]]=1,"Campaign Respondent","Non-respondent")</f>
        <v>Campaign Respondent</v>
      </c>
    </row>
    <row r="1845" spans="1:58" x14ac:dyDescent="0.35">
      <c r="A1845">
        <v>265</v>
      </c>
      <c r="B1845">
        <v>24480</v>
      </c>
      <c r="C1845">
        <v>1</v>
      </c>
      <c r="D1845">
        <v>0</v>
      </c>
      <c r="E1845">
        <v>46</v>
      </c>
      <c r="F1845">
        <v>4</v>
      </c>
      <c r="G1845">
        <v>19</v>
      </c>
      <c r="H1845">
        <v>9</v>
      </c>
      <c r="I1845">
        <v>28</v>
      </c>
      <c r="J1845">
        <v>25</v>
      </c>
      <c r="K1845">
        <v>17</v>
      </c>
      <c r="L1845">
        <v>3</v>
      </c>
      <c r="M1845">
        <v>3</v>
      </c>
      <c r="N1845">
        <v>0</v>
      </c>
      <c r="O1845">
        <v>4</v>
      </c>
      <c r="P1845">
        <v>7</v>
      </c>
      <c r="Q1845">
        <v>0</v>
      </c>
      <c r="R1845">
        <v>0</v>
      </c>
      <c r="S1845">
        <v>0</v>
      </c>
      <c r="T1845">
        <v>0</v>
      </c>
      <c r="U1845">
        <v>0</v>
      </c>
      <c r="V1845">
        <f>IF(SUM(ifood_data[[#This Row],[AcceptedCmp1]:[AcceptedCmp5]])&gt;0,1,0)</f>
        <v>0</v>
      </c>
      <c r="W1845">
        <v>0</v>
      </c>
      <c r="X1845">
        <v>3</v>
      </c>
      <c r="Y1845">
        <v>11</v>
      </c>
      <c r="Z1845">
        <v>0</v>
      </c>
      <c r="AA1845">
        <v>39</v>
      </c>
      <c r="AB1845">
        <v>2662</v>
      </c>
      <c r="AC1845" s="28">
        <f>ifood_data[[#This Row],[Customer_Days]]/365</f>
        <v>7.2931506849315069</v>
      </c>
      <c r="AD1845">
        <v>0</v>
      </c>
      <c r="AE1845">
        <v>1</v>
      </c>
      <c r="AF1845">
        <v>0</v>
      </c>
      <c r="AG1845">
        <v>0</v>
      </c>
      <c r="AH1845">
        <v>0</v>
      </c>
      <c r="AI1845">
        <v>0</v>
      </c>
      <c r="AJ1845">
        <v>1</v>
      </c>
      <c r="AK1845">
        <v>0</v>
      </c>
      <c r="AL1845">
        <v>0</v>
      </c>
      <c r="AM1845">
        <v>0</v>
      </c>
      <c r="AN1845">
        <v>85</v>
      </c>
      <c r="AO1845">
        <v>68</v>
      </c>
      <c r="AP1845">
        <f>ifood_data[[#This Row],[MntTotal]]-ifood_data[[#This Row],[MntRegularProds]]</f>
        <v>17</v>
      </c>
      <c r="AQ1845">
        <v>0</v>
      </c>
      <c r="AR1845">
        <f>IF(SUM(ifood_data[[#This Row],[Kidhome]:[Teenhome]])&gt;0,1,0)</f>
        <v>1</v>
      </c>
      <c r="AS1845" t="str">
        <f>IF(SUM(ifood_data[[#This Row],[Kidhome]:[Teenhome]])&gt;0,"Has Family","No Family")</f>
        <v>Has Family</v>
      </c>
      <c r="AT1845" t="str">
        <f>IF(ifood_data[[#This Row],[marital_Married]]=1,"Married", (IF(ifood_data[[#This Row],[marital_Single]]=1,"Single",(IF(ifood_data[[#This Row],[marital_Divorced]]=1,"Divorced",(IF(ifood_data[[#This Row],[marital_Together]]=1,"Living Together",(IF(ifood_data[[#This Row],[marital_Widow]]=1,"Widow","Other")))))))))</f>
        <v>Married</v>
      </c>
      <c r="AU1845" t="str">
        <f>IF(ifood_data[[#This Row],[education_Basic]]=1,"High School",(IF(ifood_data[[#This Row],[education_Graduation]]=1,"Undergraduate Degree",(IF(SUM(AM1845,AL1845,AI1845)&gt;0,"Master's Degree or Higher","Other")))))</f>
        <v>High School</v>
      </c>
      <c r="AV1845" t="str">
        <f>IF(ifood_data[[#All],[Income]]&gt;75000,"75K+",(IF(ifood_data[[#All],[Income]]&gt;50000,"50K-75K",(IF(ifood_data[[#All],[Income]]&gt;35000,"35K-50K","&lt;35K")))))</f>
        <v>&lt;35K</v>
      </c>
      <c r="AW1845" t="str">
        <f>IF(ifood_data[[#All],[Age]]&gt;60,"60+",(IF(ifood_data[[#All],[Age]]&gt;50,"50-60",(IF(ifood_data[[#All],[Age]]&gt;40,"40-50",(IF(ifood_data[[#All],[Age]]&gt;30,"30-40","&lt;30")))))))</f>
        <v>30-40</v>
      </c>
      <c r="AX1845">
        <f t="shared" si="112"/>
        <v>17</v>
      </c>
      <c r="AY1845">
        <f t="shared" si="113"/>
        <v>6</v>
      </c>
      <c r="AZ1845">
        <f t="shared" si="114"/>
        <v>3</v>
      </c>
      <c r="BA1845">
        <f t="shared" si="115"/>
        <v>3</v>
      </c>
      <c r="BB1845">
        <f>SUM(ifood_data[[#This Row],[Recency Score]:[Monetary Score]])</f>
        <v>12</v>
      </c>
      <c r="BC1845">
        <f>(_xlfn.PERCENTRANK.INC(ifood_data[[#All],[RFM]],ifood_data[[#This Row],[RFM]],1))*10</f>
        <v>3</v>
      </c>
      <c r="BD1845" t="str">
        <f>VLOOKUP(ifood_data[[#This Row],[RFM Score]],'RFM Analysis'!$A$3:$B$14,2,FALSE)</f>
        <v>At Risk</v>
      </c>
      <c r="BE1845">
        <f>'Regression Models'!$B$101+'Regression Models'!$B$102*ifood_data[[#This Row],[Income]]+'Regression Models'!$B$103*ifood_data[[#This Row],[Age]]+'Regression Models'!$B$104*ifood_data[[#This Row],[Family]]</f>
        <v>-49.932967261713316</v>
      </c>
      <c r="BF1845" t="str">
        <f>IF(ifood_data[[#This Row],[AcceptedCmpOverall]]=1,"Campaign Respondent","Non-respondent")</f>
        <v>Non-respondent</v>
      </c>
    </row>
    <row r="1846" spans="1:58" x14ac:dyDescent="0.35">
      <c r="A1846">
        <v>1265</v>
      </c>
      <c r="B1846">
        <v>24367</v>
      </c>
      <c r="C1846">
        <v>1</v>
      </c>
      <c r="D1846">
        <v>0</v>
      </c>
      <c r="E1846">
        <v>58</v>
      </c>
      <c r="F1846">
        <v>2</v>
      </c>
      <c r="G1846">
        <v>4</v>
      </c>
      <c r="H1846">
        <v>2</v>
      </c>
      <c r="I1846">
        <v>0</v>
      </c>
      <c r="J1846">
        <v>11</v>
      </c>
      <c r="K1846">
        <v>5</v>
      </c>
      <c r="L1846">
        <v>1</v>
      </c>
      <c r="M1846">
        <v>1</v>
      </c>
      <c r="N1846">
        <v>0</v>
      </c>
      <c r="O1846">
        <v>2</v>
      </c>
      <c r="P1846">
        <v>9</v>
      </c>
      <c r="Q1846">
        <v>0</v>
      </c>
      <c r="R1846">
        <v>0</v>
      </c>
      <c r="S1846">
        <v>0</v>
      </c>
      <c r="T1846">
        <v>0</v>
      </c>
      <c r="U1846">
        <v>0</v>
      </c>
      <c r="V1846">
        <f>IF(SUM(ifood_data[[#This Row],[AcceptedCmp1]:[AcceptedCmp5]])&gt;0,1,0)</f>
        <v>0</v>
      </c>
      <c r="W1846">
        <v>0</v>
      </c>
      <c r="X1846">
        <v>3</v>
      </c>
      <c r="Y1846">
        <v>11</v>
      </c>
      <c r="Z1846">
        <v>0</v>
      </c>
      <c r="AA1846">
        <v>38</v>
      </c>
      <c r="AB1846">
        <v>2625</v>
      </c>
      <c r="AC1846" s="28">
        <f>ifood_data[[#This Row],[Customer_Days]]/365</f>
        <v>7.1917808219178081</v>
      </c>
      <c r="AD1846">
        <v>0</v>
      </c>
      <c r="AE1846">
        <v>0</v>
      </c>
      <c r="AF1846">
        <v>1</v>
      </c>
      <c r="AG1846">
        <v>0</v>
      </c>
      <c r="AH1846">
        <v>0</v>
      </c>
      <c r="AI1846">
        <v>0</v>
      </c>
      <c r="AJ1846">
        <v>1</v>
      </c>
      <c r="AK1846">
        <v>0</v>
      </c>
      <c r="AL1846">
        <v>0</v>
      </c>
      <c r="AM1846">
        <v>0</v>
      </c>
      <c r="AN1846">
        <v>19</v>
      </c>
      <c r="AO1846">
        <v>14</v>
      </c>
      <c r="AP1846">
        <f>ifood_data[[#This Row],[MntTotal]]-ifood_data[[#This Row],[MntRegularProds]]</f>
        <v>5</v>
      </c>
      <c r="AQ1846">
        <v>0</v>
      </c>
      <c r="AR1846">
        <f>IF(SUM(ifood_data[[#This Row],[Kidhome]:[Teenhome]])&gt;0,1,0)</f>
        <v>1</v>
      </c>
      <c r="AS1846" t="str">
        <f>IF(SUM(ifood_data[[#This Row],[Kidhome]:[Teenhome]])&gt;0,"Has Family","No Family")</f>
        <v>Has Family</v>
      </c>
      <c r="AT1846" t="str">
        <f>IF(ifood_data[[#This Row],[marital_Married]]=1,"Married", (IF(ifood_data[[#This Row],[marital_Single]]=1,"Single",(IF(ifood_data[[#This Row],[marital_Divorced]]=1,"Divorced",(IF(ifood_data[[#This Row],[marital_Together]]=1,"Living Together",(IF(ifood_data[[#This Row],[marital_Widow]]=1,"Widow","Other")))))))))</f>
        <v>Single</v>
      </c>
      <c r="AU1846" t="str">
        <f>IF(ifood_data[[#This Row],[education_Basic]]=1,"High School",(IF(ifood_data[[#This Row],[education_Graduation]]=1,"Undergraduate Degree",(IF(SUM(AM1846,AL1846,AI1846)&gt;0,"Master's Degree or Higher","Other")))))</f>
        <v>High School</v>
      </c>
      <c r="AV1846" t="str">
        <f>IF(ifood_data[[#All],[Income]]&gt;75000,"75K+",(IF(ifood_data[[#All],[Income]]&gt;50000,"50K-75K",(IF(ifood_data[[#All],[Income]]&gt;35000,"35K-50K","&lt;35K")))))</f>
        <v>&lt;35K</v>
      </c>
      <c r="AW1846" t="str">
        <f>IF(ifood_data[[#All],[Age]]&gt;60,"60+",(IF(ifood_data[[#All],[Age]]&gt;50,"50-60",(IF(ifood_data[[#All],[Age]]&gt;40,"40-50",(IF(ifood_data[[#All],[Age]]&gt;30,"30-40","&lt;30")))))))</f>
        <v>30-40</v>
      </c>
      <c r="AX1846">
        <f t="shared" si="112"/>
        <v>13</v>
      </c>
      <c r="AY1846">
        <f t="shared" si="113"/>
        <v>5</v>
      </c>
      <c r="AZ1846">
        <f t="shared" si="114"/>
        <v>1</v>
      </c>
      <c r="BA1846">
        <f t="shared" si="115"/>
        <v>0</v>
      </c>
      <c r="BB1846">
        <f>SUM(ifood_data[[#This Row],[Recency Score]:[Monetary Score]])</f>
        <v>6</v>
      </c>
      <c r="BC1846">
        <f>(_xlfn.PERCENTRANK.INC(ifood_data[[#All],[RFM]],ifood_data[[#This Row],[RFM]],1))*10</f>
        <v>0</v>
      </c>
      <c r="BD1846" t="str">
        <f>VLOOKUP(ifood_data[[#This Row],[RFM Score]],'RFM Analysis'!$A$3:$B$14,2,FALSE)</f>
        <v>Lost</v>
      </c>
      <c r="BE1846">
        <f>'Regression Models'!$B$101+'Regression Models'!$B$102*ifood_data[[#This Row],[Income]]+'Regression Models'!$B$103*ifood_data[[#This Row],[Age]]+'Regression Models'!$B$104*ifood_data[[#This Row],[Family]]</f>
        <v>-50.400458983079602</v>
      </c>
      <c r="BF1846" t="str">
        <f>IF(ifood_data[[#This Row],[AcceptedCmpOverall]]=1,"Campaign Respondent","Non-respondent")</f>
        <v>Non-respondent</v>
      </c>
    </row>
    <row r="1847" spans="1:58" x14ac:dyDescent="0.35">
      <c r="A1847">
        <v>96</v>
      </c>
      <c r="B1847">
        <v>24594</v>
      </c>
      <c r="C1847">
        <v>1</v>
      </c>
      <c r="D1847">
        <v>0</v>
      </c>
      <c r="E1847">
        <v>94</v>
      </c>
      <c r="F1847">
        <v>1</v>
      </c>
      <c r="G1847">
        <v>3</v>
      </c>
      <c r="H1847">
        <v>6</v>
      </c>
      <c r="I1847">
        <v>10</v>
      </c>
      <c r="J1847">
        <v>0</v>
      </c>
      <c r="K1847">
        <v>9</v>
      </c>
      <c r="L1847">
        <v>1</v>
      </c>
      <c r="M1847">
        <v>1</v>
      </c>
      <c r="N1847">
        <v>0</v>
      </c>
      <c r="O1847">
        <v>3</v>
      </c>
      <c r="P1847">
        <v>5</v>
      </c>
      <c r="Q1847">
        <v>0</v>
      </c>
      <c r="R1847">
        <v>0</v>
      </c>
      <c r="S1847">
        <v>0</v>
      </c>
      <c r="T1847">
        <v>0</v>
      </c>
      <c r="U1847">
        <v>0</v>
      </c>
      <c r="V1847">
        <f>IF(SUM(ifood_data[[#This Row],[AcceptedCmp1]:[AcceptedCmp5]])&gt;0,1,0)</f>
        <v>0</v>
      </c>
      <c r="W1847">
        <v>0</v>
      </c>
      <c r="X1847">
        <v>3</v>
      </c>
      <c r="Y1847">
        <v>11</v>
      </c>
      <c r="Z1847">
        <v>0</v>
      </c>
      <c r="AA1847">
        <v>41</v>
      </c>
      <c r="AB1847">
        <v>2360</v>
      </c>
      <c r="AC1847" s="28">
        <f>ifood_data[[#This Row],[Customer_Days]]/365</f>
        <v>6.4657534246575343</v>
      </c>
      <c r="AD1847">
        <v>0</v>
      </c>
      <c r="AE1847">
        <v>0</v>
      </c>
      <c r="AF1847">
        <v>0</v>
      </c>
      <c r="AG1847">
        <v>1</v>
      </c>
      <c r="AH1847">
        <v>0</v>
      </c>
      <c r="AI1847">
        <v>0</v>
      </c>
      <c r="AJ1847">
        <v>1</v>
      </c>
      <c r="AK1847">
        <v>0</v>
      </c>
      <c r="AL1847">
        <v>0</v>
      </c>
      <c r="AM1847">
        <v>0</v>
      </c>
      <c r="AN1847">
        <v>20</v>
      </c>
      <c r="AO1847">
        <v>11</v>
      </c>
      <c r="AP1847">
        <f>ifood_data[[#This Row],[MntTotal]]-ifood_data[[#This Row],[MntRegularProds]]</f>
        <v>9</v>
      </c>
      <c r="AQ1847">
        <v>0</v>
      </c>
      <c r="AR1847">
        <f>IF(SUM(ifood_data[[#This Row],[Kidhome]:[Teenhome]])&gt;0,1,0)</f>
        <v>1</v>
      </c>
      <c r="AS1847" t="str">
        <f>IF(SUM(ifood_data[[#This Row],[Kidhome]:[Teenhome]])&gt;0,"Has Family","No Family")</f>
        <v>Has Family</v>
      </c>
      <c r="AT1847" t="str">
        <f>IF(ifood_data[[#This Row],[marital_Married]]=1,"Married", (IF(ifood_data[[#This Row],[marital_Single]]=1,"Single",(IF(ifood_data[[#This Row],[marital_Divorced]]=1,"Divorced",(IF(ifood_data[[#This Row],[marital_Together]]=1,"Living Together",(IF(ifood_data[[#This Row],[marital_Widow]]=1,"Widow","Other")))))))))</f>
        <v>Living Together</v>
      </c>
      <c r="AU1847" t="str">
        <f>IF(ifood_data[[#This Row],[education_Basic]]=1,"High School",(IF(ifood_data[[#This Row],[education_Graduation]]=1,"Undergraduate Degree",(IF(SUM(AM1847,AL1847,AI1847)&gt;0,"Master's Degree or Higher","Other")))))</f>
        <v>High School</v>
      </c>
      <c r="AV1847" t="str">
        <f>IF(ifood_data[[#All],[Income]]&gt;75000,"75K+",(IF(ifood_data[[#All],[Income]]&gt;50000,"50K-75K",(IF(ifood_data[[#All],[Income]]&gt;35000,"35K-50K","&lt;35K")))))</f>
        <v>&lt;35K</v>
      </c>
      <c r="AW1847" t="str">
        <f>IF(ifood_data[[#All],[Age]]&gt;60,"60+",(IF(ifood_data[[#All],[Age]]&gt;50,"50-60",(IF(ifood_data[[#All],[Age]]&gt;40,"40-50",(IF(ifood_data[[#All],[Age]]&gt;30,"30-40","&lt;30")))))))</f>
        <v>40-50</v>
      </c>
      <c r="AX1847">
        <f t="shared" si="112"/>
        <v>10</v>
      </c>
      <c r="AY1847">
        <f t="shared" si="113"/>
        <v>0.99999999999999978</v>
      </c>
      <c r="AZ1847">
        <f t="shared" si="114"/>
        <v>0</v>
      </c>
      <c r="BA1847">
        <f t="shared" si="115"/>
        <v>0</v>
      </c>
      <c r="BB1847">
        <f>SUM(ifood_data[[#This Row],[Recency Score]:[Monetary Score]])</f>
        <v>0.99999999999999978</v>
      </c>
      <c r="BC1847">
        <f>(_xlfn.PERCENTRANK.INC(ifood_data[[#All],[RFM]],ifood_data[[#This Row],[RFM]],1))*10</f>
        <v>0</v>
      </c>
      <c r="BD1847" t="str">
        <f>VLOOKUP(ifood_data[[#This Row],[RFM Score]],'RFM Analysis'!$A$3:$B$14,2,FALSE)</f>
        <v>Lost</v>
      </c>
      <c r="BE1847">
        <f>'Regression Models'!$B$101+'Regression Models'!$B$102*ifood_data[[#This Row],[Income]]+'Regression Models'!$B$103*ifood_data[[#This Row],[Age]]+'Regression Models'!$B$104*ifood_data[[#This Row],[Family]]</f>
        <v>-51.281525851097427</v>
      </c>
      <c r="BF1847" t="str">
        <f>IF(ifood_data[[#This Row],[AcceptedCmpOverall]]=1,"Campaign Respondent","Non-respondent")</f>
        <v>Non-respondent</v>
      </c>
    </row>
    <row r="1848" spans="1:58" x14ac:dyDescent="0.35">
      <c r="A1848">
        <v>1982</v>
      </c>
      <c r="B1848">
        <v>25224</v>
      </c>
      <c r="C1848">
        <v>1</v>
      </c>
      <c r="D1848">
        <v>0</v>
      </c>
      <c r="E1848">
        <v>36</v>
      </c>
      <c r="F1848">
        <v>4</v>
      </c>
      <c r="G1848">
        <v>9</v>
      </c>
      <c r="H1848">
        <v>12</v>
      </c>
      <c r="I1848">
        <v>11</v>
      </c>
      <c r="J1848">
        <v>2</v>
      </c>
      <c r="K1848">
        <v>8</v>
      </c>
      <c r="L1848">
        <v>2</v>
      </c>
      <c r="M1848">
        <v>1</v>
      </c>
      <c r="N1848">
        <v>1</v>
      </c>
      <c r="O1848">
        <v>3</v>
      </c>
      <c r="P1848">
        <v>3</v>
      </c>
      <c r="Q1848">
        <v>0</v>
      </c>
      <c r="R1848">
        <v>0</v>
      </c>
      <c r="S1848">
        <v>0</v>
      </c>
      <c r="T1848">
        <v>0</v>
      </c>
      <c r="U1848">
        <v>0</v>
      </c>
      <c r="V1848">
        <f>IF(SUM(ifood_data[[#This Row],[AcceptedCmp1]:[AcceptedCmp5]])&gt;0,1,0)</f>
        <v>0</v>
      </c>
      <c r="W1848">
        <v>0</v>
      </c>
      <c r="X1848">
        <v>3</v>
      </c>
      <c r="Y1848">
        <v>11</v>
      </c>
      <c r="Z1848">
        <v>0</v>
      </c>
      <c r="AA1848">
        <v>48</v>
      </c>
      <c r="AB1848">
        <v>2264</v>
      </c>
      <c r="AC1848" s="28">
        <f>ifood_data[[#This Row],[Customer_Days]]/365</f>
        <v>6.2027397260273975</v>
      </c>
      <c r="AD1848">
        <v>0</v>
      </c>
      <c r="AE1848">
        <v>1</v>
      </c>
      <c r="AF1848">
        <v>0</v>
      </c>
      <c r="AG1848">
        <v>0</v>
      </c>
      <c r="AH1848">
        <v>0</v>
      </c>
      <c r="AI1848">
        <v>0</v>
      </c>
      <c r="AJ1848">
        <v>1</v>
      </c>
      <c r="AK1848">
        <v>0</v>
      </c>
      <c r="AL1848">
        <v>0</v>
      </c>
      <c r="AM1848">
        <v>0</v>
      </c>
      <c r="AN1848">
        <v>38</v>
      </c>
      <c r="AO1848">
        <v>30</v>
      </c>
      <c r="AP1848">
        <f>ifood_data[[#This Row],[MntTotal]]-ifood_data[[#This Row],[MntRegularProds]]</f>
        <v>8</v>
      </c>
      <c r="AQ1848">
        <v>0</v>
      </c>
      <c r="AR1848">
        <f>IF(SUM(ifood_data[[#This Row],[Kidhome]:[Teenhome]])&gt;0,1,0)</f>
        <v>1</v>
      </c>
      <c r="AS1848" t="str">
        <f>IF(SUM(ifood_data[[#This Row],[Kidhome]:[Teenhome]])&gt;0,"Has Family","No Family")</f>
        <v>Has Family</v>
      </c>
      <c r="AT1848" t="str">
        <f>IF(ifood_data[[#This Row],[marital_Married]]=1,"Married", (IF(ifood_data[[#This Row],[marital_Single]]=1,"Single",(IF(ifood_data[[#This Row],[marital_Divorced]]=1,"Divorced",(IF(ifood_data[[#This Row],[marital_Together]]=1,"Living Together",(IF(ifood_data[[#This Row],[marital_Widow]]=1,"Widow","Other")))))))))</f>
        <v>Married</v>
      </c>
      <c r="AU1848" t="str">
        <f>IF(ifood_data[[#This Row],[education_Basic]]=1,"High School",(IF(ifood_data[[#This Row],[education_Graduation]]=1,"Undergraduate Degree",(IF(SUM(AM1848,AL1848,AI1848)&gt;0,"Master's Degree or Higher","Other")))))</f>
        <v>High School</v>
      </c>
      <c r="AV1848" t="str">
        <f>IF(ifood_data[[#All],[Income]]&gt;75000,"75K+",(IF(ifood_data[[#All],[Income]]&gt;50000,"50K-75K",(IF(ifood_data[[#All],[Income]]&gt;35000,"35K-50K","&lt;35K")))))</f>
        <v>&lt;35K</v>
      </c>
      <c r="AW1848" t="str">
        <f>IF(ifood_data[[#All],[Age]]&gt;60,"60+",(IF(ifood_data[[#All],[Age]]&gt;50,"50-60",(IF(ifood_data[[#All],[Age]]&gt;40,"40-50",(IF(ifood_data[[#All],[Age]]&gt;30,"30-40","&lt;30")))))))</f>
        <v>40-50</v>
      </c>
      <c r="AX1848">
        <f t="shared" si="112"/>
        <v>10</v>
      </c>
      <c r="AY1848">
        <f t="shared" si="113"/>
        <v>7</v>
      </c>
      <c r="AZ1848">
        <f t="shared" si="114"/>
        <v>0</v>
      </c>
      <c r="BA1848">
        <f t="shared" si="115"/>
        <v>1</v>
      </c>
      <c r="BB1848">
        <f>SUM(ifood_data[[#This Row],[Recency Score]:[Monetary Score]])</f>
        <v>8</v>
      </c>
      <c r="BC1848">
        <f>(_xlfn.PERCENTRANK.INC(ifood_data[[#All],[RFM]],ifood_data[[#This Row],[RFM]],1))*10</f>
        <v>1</v>
      </c>
      <c r="BD1848" t="str">
        <f>VLOOKUP(ifood_data[[#This Row],[RFM Score]],'RFM Analysis'!$A$3:$B$14,2,FALSE)</f>
        <v>At Risk</v>
      </c>
      <c r="BE1848">
        <f>'Regression Models'!$B$101+'Regression Models'!$B$102*ifood_data[[#This Row],[Income]]+'Regression Models'!$B$103*ifood_data[[#This Row],[Age]]+'Regression Models'!$B$104*ifood_data[[#This Row],[Family]]</f>
        <v>-51.291675472701058</v>
      </c>
      <c r="BF1848" t="str">
        <f>IF(ifood_data[[#This Row],[AcceptedCmpOverall]]=1,"Campaign Respondent","Non-respondent")</f>
        <v>Non-respondent</v>
      </c>
    </row>
    <row r="1849" spans="1:58" x14ac:dyDescent="0.35">
      <c r="A1849">
        <v>475</v>
      </c>
      <c r="B1849">
        <v>27203</v>
      </c>
      <c r="C1849">
        <v>1</v>
      </c>
      <c r="D1849">
        <v>1</v>
      </c>
      <c r="E1849">
        <v>92</v>
      </c>
      <c r="F1849">
        <v>13</v>
      </c>
      <c r="G1849">
        <v>2</v>
      </c>
      <c r="H1849">
        <v>21</v>
      </c>
      <c r="I1849">
        <v>4</v>
      </c>
      <c r="J1849">
        <v>0</v>
      </c>
      <c r="K1849">
        <v>24</v>
      </c>
      <c r="L1849">
        <v>2</v>
      </c>
      <c r="M1849">
        <v>1</v>
      </c>
      <c r="N1849">
        <v>1</v>
      </c>
      <c r="O1849">
        <v>2</v>
      </c>
      <c r="P1849">
        <v>8</v>
      </c>
      <c r="Q1849">
        <v>0</v>
      </c>
      <c r="R1849">
        <v>0</v>
      </c>
      <c r="S1849">
        <v>0</v>
      </c>
      <c r="T1849">
        <v>0</v>
      </c>
      <c r="U1849">
        <v>0</v>
      </c>
      <c r="V1849">
        <f>IF(SUM(ifood_data[[#This Row],[AcceptedCmp1]:[AcceptedCmp5]])&gt;0,1,0)</f>
        <v>0</v>
      </c>
      <c r="W1849">
        <v>0</v>
      </c>
      <c r="X1849">
        <v>3</v>
      </c>
      <c r="Y1849">
        <v>11</v>
      </c>
      <c r="Z1849">
        <v>0</v>
      </c>
      <c r="AA1849">
        <v>70</v>
      </c>
      <c r="AB1849">
        <v>2851</v>
      </c>
      <c r="AC1849" s="28">
        <f>ifood_data[[#This Row],[Customer_Days]]/365</f>
        <v>7.8109589041095893</v>
      </c>
      <c r="AD1849">
        <v>0</v>
      </c>
      <c r="AE1849">
        <v>0</v>
      </c>
      <c r="AF1849">
        <v>0</v>
      </c>
      <c r="AG1849">
        <v>1</v>
      </c>
      <c r="AH1849">
        <v>0</v>
      </c>
      <c r="AI1849">
        <v>0</v>
      </c>
      <c r="AJ1849">
        <v>0</v>
      </c>
      <c r="AK1849">
        <v>1</v>
      </c>
      <c r="AL1849">
        <v>0</v>
      </c>
      <c r="AM1849">
        <v>0</v>
      </c>
      <c r="AN1849">
        <v>40</v>
      </c>
      <c r="AO1849">
        <v>16</v>
      </c>
      <c r="AP1849">
        <f>ifood_data[[#This Row],[MntTotal]]-ifood_data[[#This Row],[MntRegularProds]]</f>
        <v>24</v>
      </c>
      <c r="AQ1849">
        <v>0</v>
      </c>
      <c r="AR1849">
        <f>IF(SUM(ifood_data[[#This Row],[Kidhome]:[Teenhome]])&gt;0,1,0)</f>
        <v>1</v>
      </c>
      <c r="AS1849" t="str">
        <f>IF(SUM(ifood_data[[#This Row],[Kidhome]:[Teenhome]])&gt;0,"Has Family","No Family")</f>
        <v>Has Family</v>
      </c>
      <c r="AT1849" t="str">
        <f>IF(ifood_data[[#This Row],[marital_Married]]=1,"Married", (IF(ifood_data[[#This Row],[marital_Single]]=1,"Single",(IF(ifood_data[[#This Row],[marital_Divorced]]=1,"Divorced",(IF(ifood_data[[#This Row],[marital_Together]]=1,"Living Together",(IF(ifood_data[[#This Row],[marital_Widow]]=1,"Widow","Other")))))))))</f>
        <v>Living Together</v>
      </c>
      <c r="AU1849" t="str">
        <f>IF(ifood_data[[#This Row],[education_Basic]]=1,"High School",(IF(ifood_data[[#This Row],[education_Graduation]]=1,"Undergraduate Degree",(IF(SUM(AM1849,AL1849,AI1849)&gt;0,"Master's Degree or Higher","Other")))))</f>
        <v>Undergraduate Degree</v>
      </c>
      <c r="AV1849" t="str">
        <f>IF(ifood_data[[#All],[Income]]&gt;75000,"75K+",(IF(ifood_data[[#All],[Income]]&gt;50000,"50K-75K",(IF(ifood_data[[#All],[Income]]&gt;35000,"35K-50K","&lt;35K")))))</f>
        <v>&lt;35K</v>
      </c>
      <c r="AW1849" t="str">
        <f>IF(ifood_data[[#All],[Age]]&gt;60,"60+",(IF(ifood_data[[#All],[Age]]&gt;50,"50-60",(IF(ifood_data[[#All],[Age]]&gt;40,"40-50",(IF(ifood_data[[#All],[Age]]&gt;30,"30-40","&lt;30")))))))</f>
        <v>60+</v>
      </c>
      <c r="AX1849">
        <f t="shared" si="112"/>
        <v>14</v>
      </c>
      <c r="AY1849">
        <f t="shared" si="113"/>
        <v>0.99999999999999978</v>
      </c>
      <c r="AZ1849">
        <f t="shared" si="114"/>
        <v>2</v>
      </c>
      <c r="BA1849">
        <f t="shared" si="115"/>
        <v>1</v>
      </c>
      <c r="BB1849">
        <f>SUM(ifood_data[[#This Row],[Recency Score]:[Monetary Score]])</f>
        <v>4</v>
      </c>
      <c r="BC1849">
        <f>(_xlfn.PERCENTRANK.INC(ifood_data[[#All],[RFM]],ifood_data[[#This Row],[RFM]],1))*10</f>
        <v>0</v>
      </c>
      <c r="BD1849" t="str">
        <f>VLOOKUP(ifood_data[[#This Row],[RFM Score]],'RFM Analysis'!$A$3:$B$14,2,FALSE)</f>
        <v>Lost</v>
      </c>
      <c r="BE1849">
        <f>'Regression Models'!$B$101+'Regression Models'!$B$102*ifood_data[[#This Row],[Income]]+'Regression Models'!$B$103*ifood_data[[#This Row],[Age]]+'Regression Models'!$B$104*ifood_data[[#This Row],[Family]]</f>
        <v>-51.343963051599218</v>
      </c>
      <c r="BF1849" t="str">
        <f>IF(ifood_data[[#This Row],[AcceptedCmpOverall]]=1,"Campaign Respondent","Non-respondent")</f>
        <v>Non-respondent</v>
      </c>
    </row>
    <row r="1850" spans="1:58" x14ac:dyDescent="0.35">
      <c r="A1850">
        <v>1557</v>
      </c>
      <c r="B1850">
        <v>24336</v>
      </c>
      <c r="C1850">
        <v>1</v>
      </c>
      <c r="D1850">
        <v>0</v>
      </c>
      <c r="E1850">
        <v>82</v>
      </c>
      <c r="F1850">
        <v>1</v>
      </c>
      <c r="G1850">
        <v>6</v>
      </c>
      <c r="H1850">
        <v>2</v>
      </c>
      <c r="I1850">
        <v>8</v>
      </c>
      <c r="J1850">
        <v>2</v>
      </c>
      <c r="K1850">
        <v>12</v>
      </c>
      <c r="L1850">
        <v>1</v>
      </c>
      <c r="M1850">
        <v>1</v>
      </c>
      <c r="N1850">
        <v>0</v>
      </c>
      <c r="O1850">
        <v>2</v>
      </c>
      <c r="P1850">
        <v>7</v>
      </c>
      <c r="Q1850">
        <v>0</v>
      </c>
      <c r="R1850">
        <v>0</v>
      </c>
      <c r="S1850">
        <v>0</v>
      </c>
      <c r="T1850">
        <v>0</v>
      </c>
      <c r="U1850">
        <v>0</v>
      </c>
      <c r="V1850">
        <f>IF(SUM(ifood_data[[#This Row],[AcceptedCmp1]:[AcceptedCmp5]])&gt;0,1,0)</f>
        <v>0</v>
      </c>
      <c r="W1850">
        <v>0</v>
      </c>
      <c r="X1850">
        <v>3</v>
      </c>
      <c r="Y1850">
        <v>11</v>
      </c>
      <c r="Z1850">
        <v>0</v>
      </c>
      <c r="AA1850">
        <v>39</v>
      </c>
      <c r="AB1850">
        <v>2830</v>
      </c>
      <c r="AC1850" s="28">
        <f>ifood_data[[#This Row],[Customer_Days]]/365</f>
        <v>7.7534246575342465</v>
      </c>
      <c r="AD1850">
        <v>0</v>
      </c>
      <c r="AE1850">
        <v>0</v>
      </c>
      <c r="AF1850">
        <v>1</v>
      </c>
      <c r="AG1850">
        <v>0</v>
      </c>
      <c r="AH1850">
        <v>0</v>
      </c>
      <c r="AI1850">
        <v>1</v>
      </c>
      <c r="AJ1850">
        <v>0</v>
      </c>
      <c r="AK1850">
        <v>0</v>
      </c>
      <c r="AL1850">
        <v>0</v>
      </c>
      <c r="AM1850">
        <v>0</v>
      </c>
      <c r="AN1850">
        <v>19</v>
      </c>
      <c r="AO1850">
        <v>7</v>
      </c>
      <c r="AP1850">
        <f>ifood_data[[#This Row],[MntTotal]]-ifood_data[[#This Row],[MntRegularProds]]</f>
        <v>12</v>
      </c>
      <c r="AQ1850">
        <v>0</v>
      </c>
      <c r="AR1850">
        <f>IF(SUM(ifood_data[[#This Row],[Kidhome]:[Teenhome]])&gt;0,1,0)</f>
        <v>1</v>
      </c>
      <c r="AS1850" t="str">
        <f>IF(SUM(ifood_data[[#This Row],[Kidhome]:[Teenhome]])&gt;0,"Has Family","No Family")</f>
        <v>Has Family</v>
      </c>
      <c r="AT1850" t="str">
        <f>IF(ifood_data[[#This Row],[marital_Married]]=1,"Married", (IF(ifood_data[[#This Row],[marital_Single]]=1,"Single",(IF(ifood_data[[#This Row],[marital_Divorced]]=1,"Divorced",(IF(ifood_data[[#This Row],[marital_Together]]=1,"Living Together",(IF(ifood_data[[#This Row],[marital_Widow]]=1,"Widow","Other")))))))))</f>
        <v>Single</v>
      </c>
      <c r="AU1850" t="str">
        <f>IF(ifood_data[[#This Row],[education_Basic]]=1,"High School",(IF(ifood_data[[#This Row],[education_Graduation]]=1,"Undergraduate Degree",(IF(SUM(AM1850,AL1850,AI1850)&gt;0,"Master's Degree or Higher","Other")))))</f>
        <v>Master's Degree or Higher</v>
      </c>
      <c r="AV1850" t="str">
        <f>IF(ifood_data[[#All],[Income]]&gt;75000,"75K+",(IF(ifood_data[[#All],[Income]]&gt;50000,"50K-75K",(IF(ifood_data[[#All],[Income]]&gt;35000,"35K-50K","&lt;35K")))))</f>
        <v>&lt;35K</v>
      </c>
      <c r="AW1850" t="str">
        <f>IF(ifood_data[[#All],[Age]]&gt;60,"60+",(IF(ifood_data[[#All],[Age]]&gt;50,"50-60",(IF(ifood_data[[#All],[Age]]&gt;40,"40-50",(IF(ifood_data[[#All],[Age]]&gt;30,"30-40","&lt;30")))))))</f>
        <v>30-40</v>
      </c>
      <c r="AX1850">
        <f t="shared" si="112"/>
        <v>11</v>
      </c>
      <c r="AY1850">
        <f t="shared" si="113"/>
        <v>1.9999999999999996</v>
      </c>
      <c r="AZ1850">
        <f t="shared" si="114"/>
        <v>0</v>
      </c>
      <c r="BA1850">
        <f t="shared" si="115"/>
        <v>0</v>
      </c>
      <c r="BB1850">
        <f>SUM(ifood_data[[#This Row],[Recency Score]:[Monetary Score]])</f>
        <v>1.9999999999999996</v>
      </c>
      <c r="BC1850">
        <f>(_xlfn.PERCENTRANK.INC(ifood_data[[#All],[RFM]],ifood_data[[#This Row],[RFM]],1))*10</f>
        <v>0</v>
      </c>
      <c r="BD1850" t="str">
        <f>VLOOKUP(ifood_data[[#This Row],[RFM Score]],'RFM Analysis'!$A$3:$B$14,2,FALSE)</f>
        <v>Lost</v>
      </c>
      <c r="BE1850">
        <f>'Regression Models'!$B$101+'Regression Models'!$B$102*ifood_data[[#This Row],[Income]]+'Regression Models'!$B$103*ifood_data[[#This Row],[Age]]+'Regression Models'!$B$104*ifood_data[[#This Row],[Family]]</f>
        <v>-52.868949874434747</v>
      </c>
      <c r="BF1850" t="str">
        <f>IF(ifood_data[[#This Row],[AcceptedCmpOverall]]=1,"Campaign Respondent","Non-respondent")</f>
        <v>Non-respondent</v>
      </c>
    </row>
    <row r="1851" spans="1:58" x14ac:dyDescent="0.35">
      <c r="A1851">
        <v>311</v>
      </c>
      <c r="B1851">
        <v>24072</v>
      </c>
      <c r="C1851">
        <v>1</v>
      </c>
      <c r="D1851">
        <v>0</v>
      </c>
      <c r="E1851">
        <v>79</v>
      </c>
      <c r="F1851">
        <v>9</v>
      </c>
      <c r="G1851">
        <v>1</v>
      </c>
      <c r="H1851">
        <v>6</v>
      </c>
      <c r="I1851">
        <v>3</v>
      </c>
      <c r="J1851">
        <v>0</v>
      </c>
      <c r="K1851">
        <v>4</v>
      </c>
      <c r="L1851">
        <v>1</v>
      </c>
      <c r="M1851">
        <v>1</v>
      </c>
      <c r="N1851">
        <v>0</v>
      </c>
      <c r="O1851">
        <v>2</v>
      </c>
      <c r="P1851">
        <v>8</v>
      </c>
      <c r="Q1851">
        <v>0</v>
      </c>
      <c r="R1851">
        <v>0</v>
      </c>
      <c r="S1851">
        <v>0</v>
      </c>
      <c r="T1851">
        <v>0</v>
      </c>
      <c r="U1851">
        <v>0</v>
      </c>
      <c r="V1851">
        <f>IF(SUM(ifood_data[[#This Row],[AcceptedCmp1]:[AcceptedCmp5]])&gt;0,1,0)</f>
        <v>0</v>
      </c>
      <c r="W1851">
        <v>0</v>
      </c>
      <c r="X1851">
        <v>3</v>
      </c>
      <c r="Y1851">
        <v>11</v>
      </c>
      <c r="Z1851">
        <v>0</v>
      </c>
      <c r="AA1851">
        <v>37</v>
      </c>
      <c r="AB1851">
        <v>2598</v>
      </c>
      <c r="AC1851" s="28">
        <f>ifood_data[[#This Row],[Customer_Days]]/365</f>
        <v>7.117808219178082</v>
      </c>
      <c r="AD1851">
        <v>0</v>
      </c>
      <c r="AE1851">
        <v>0</v>
      </c>
      <c r="AF1851">
        <v>1</v>
      </c>
      <c r="AG1851">
        <v>0</v>
      </c>
      <c r="AH1851">
        <v>0</v>
      </c>
      <c r="AI1851">
        <v>0</v>
      </c>
      <c r="AJ1851">
        <v>0</v>
      </c>
      <c r="AK1851">
        <v>1</v>
      </c>
      <c r="AL1851">
        <v>0</v>
      </c>
      <c r="AM1851">
        <v>0</v>
      </c>
      <c r="AN1851">
        <v>19</v>
      </c>
      <c r="AO1851">
        <v>15</v>
      </c>
      <c r="AP1851">
        <f>ifood_data[[#This Row],[MntTotal]]-ifood_data[[#This Row],[MntRegularProds]]</f>
        <v>4</v>
      </c>
      <c r="AQ1851">
        <v>0</v>
      </c>
      <c r="AR1851">
        <f>IF(SUM(ifood_data[[#This Row],[Kidhome]:[Teenhome]])&gt;0,1,0)</f>
        <v>1</v>
      </c>
      <c r="AS1851" t="str">
        <f>IF(SUM(ifood_data[[#This Row],[Kidhome]:[Teenhome]])&gt;0,"Has Family","No Family")</f>
        <v>Has Family</v>
      </c>
      <c r="AT1851" t="str">
        <f>IF(ifood_data[[#This Row],[marital_Married]]=1,"Married", (IF(ifood_data[[#This Row],[marital_Single]]=1,"Single",(IF(ifood_data[[#This Row],[marital_Divorced]]=1,"Divorced",(IF(ifood_data[[#This Row],[marital_Together]]=1,"Living Together",(IF(ifood_data[[#This Row],[marital_Widow]]=1,"Widow","Other")))))))))</f>
        <v>Single</v>
      </c>
      <c r="AU1851" t="str">
        <f>IF(ifood_data[[#This Row],[education_Basic]]=1,"High School",(IF(ifood_data[[#This Row],[education_Graduation]]=1,"Undergraduate Degree",(IF(SUM(AM1851,AL1851,AI1851)&gt;0,"Master's Degree or Higher","Other")))))</f>
        <v>Undergraduate Degree</v>
      </c>
      <c r="AV1851" t="str">
        <f>IF(ifood_data[[#All],[Income]]&gt;75000,"75K+",(IF(ifood_data[[#All],[Income]]&gt;50000,"50K-75K",(IF(ifood_data[[#All],[Income]]&gt;35000,"35K-50K","&lt;35K")))))</f>
        <v>&lt;35K</v>
      </c>
      <c r="AW1851" t="str">
        <f>IF(ifood_data[[#All],[Age]]&gt;60,"60+",(IF(ifood_data[[#All],[Age]]&gt;50,"50-60",(IF(ifood_data[[#All],[Age]]&gt;40,"40-50",(IF(ifood_data[[#All],[Age]]&gt;30,"30-40","&lt;30")))))))</f>
        <v>30-40</v>
      </c>
      <c r="AX1851">
        <f t="shared" si="112"/>
        <v>12</v>
      </c>
      <c r="AY1851">
        <f t="shared" si="113"/>
        <v>3.0000000000000004</v>
      </c>
      <c r="AZ1851">
        <f t="shared" si="114"/>
        <v>1</v>
      </c>
      <c r="BA1851">
        <f t="shared" si="115"/>
        <v>0</v>
      </c>
      <c r="BB1851">
        <f>SUM(ifood_data[[#This Row],[Recency Score]:[Monetary Score]])</f>
        <v>4</v>
      </c>
      <c r="BC1851">
        <f>(_xlfn.PERCENTRANK.INC(ifood_data[[#All],[RFM]],ifood_data[[#This Row],[RFM]],1))*10</f>
        <v>0</v>
      </c>
      <c r="BD1851" t="str">
        <f>VLOOKUP(ifood_data[[#This Row],[RFM Score]],'RFM Analysis'!$A$3:$B$14,2,FALSE)</f>
        <v>Lost</v>
      </c>
      <c r="BE1851">
        <f>'Regression Models'!$B$101+'Regression Models'!$B$102*ifood_data[[#This Row],[Income]]+'Regression Models'!$B$103*ifood_data[[#This Row],[Age]]+'Regression Models'!$B$104*ifood_data[[#This Row],[Family]]</f>
        <v>-54.578706506635513</v>
      </c>
      <c r="BF1851" t="str">
        <f>IF(ifood_data[[#This Row],[AcceptedCmpOverall]]=1,"Campaign Respondent","Non-respondent")</f>
        <v>Non-respondent</v>
      </c>
    </row>
    <row r="1852" spans="1:58" x14ac:dyDescent="0.35">
      <c r="A1852">
        <v>287</v>
      </c>
      <c r="B1852">
        <v>23976</v>
      </c>
      <c r="C1852">
        <v>1</v>
      </c>
      <c r="D1852">
        <v>0</v>
      </c>
      <c r="E1852">
        <v>68</v>
      </c>
      <c r="F1852">
        <v>14</v>
      </c>
      <c r="G1852">
        <v>1</v>
      </c>
      <c r="H1852">
        <v>21</v>
      </c>
      <c r="I1852">
        <v>2</v>
      </c>
      <c r="J1852">
        <v>3</v>
      </c>
      <c r="K1852">
        <v>25</v>
      </c>
      <c r="L1852">
        <v>3</v>
      </c>
      <c r="M1852">
        <v>3</v>
      </c>
      <c r="N1852">
        <v>1</v>
      </c>
      <c r="O1852">
        <v>3</v>
      </c>
      <c r="P1852">
        <v>7</v>
      </c>
      <c r="Q1852">
        <v>0</v>
      </c>
      <c r="R1852">
        <v>0</v>
      </c>
      <c r="S1852">
        <v>0</v>
      </c>
      <c r="T1852">
        <v>0</v>
      </c>
      <c r="U1852">
        <v>0</v>
      </c>
      <c r="V1852">
        <f>IF(SUM(ifood_data[[#This Row],[AcceptedCmp1]:[AcceptedCmp5]])&gt;0,1,0)</f>
        <v>0</v>
      </c>
      <c r="W1852">
        <v>0</v>
      </c>
      <c r="X1852">
        <v>3</v>
      </c>
      <c r="Y1852">
        <v>11</v>
      </c>
      <c r="Z1852">
        <v>0</v>
      </c>
      <c r="AA1852">
        <v>36</v>
      </c>
      <c r="AB1852">
        <v>2343</v>
      </c>
      <c r="AC1852" s="28">
        <f>ifood_data[[#This Row],[Customer_Days]]/365</f>
        <v>6.419178082191781</v>
      </c>
      <c r="AD1852">
        <v>0</v>
      </c>
      <c r="AE1852">
        <v>0</v>
      </c>
      <c r="AF1852">
        <v>0</v>
      </c>
      <c r="AG1852">
        <v>1</v>
      </c>
      <c r="AH1852">
        <v>0</v>
      </c>
      <c r="AI1852">
        <v>0</v>
      </c>
      <c r="AJ1852">
        <v>0</v>
      </c>
      <c r="AK1852">
        <v>1</v>
      </c>
      <c r="AL1852">
        <v>0</v>
      </c>
      <c r="AM1852">
        <v>0</v>
      </c>
      <c r="AN1852">
        <v>41</v>
      </c>
      <c r="AO1852">
        <v>16</v>
      </c>
      <c r="AP1852">
        <f>ifood_data[[#This Row],[MntTotal]]-ifood_data[[#This Row],[MntRegularProds]]</f>
        <v>25</v>
      </c>
      <c r="AQ1852">
        <v>0</v>
      </c>
      <c r="AR1852">
        <f>IF(SUM(ifood_data[[#This Row],[Kidhome]:[Teenhome]])&gt;0,1,0)</f>
        <v>1</v>
      </c>
      <c r="AS1852" t="str">
        <f>IF(SUM(ifood_data[[#This Row],[Kidhome]:[Teenhome]])&gt;0,"Has Family","No Family")</f>
        <v>Has Family</v>
      </c>
      <c r="AT1852" t="str">
        <f>IF(ifood_data[[#This Row],[marital_Married]]=1,"Married", (IF(ifood_data[[#This Row],[marital_Single]]=1,"Single",(IF(ifood_data[[#This Row],[marital_Divorced]]=1,"Divorced",(IF(ifood_data[[#This Row],[marital_Together]]=1,"Living Together",(IF(ifood_data[[#This Row],[marital_Widow]]=1,"Widow","Other")))))))))</f>
        <v>Living Together</v>
      </c>
      <c r="AU1852" t="str">
        <f>IF(ifood_data[[#This Row],[education_Basic]]=1,"High School",(IF(ifood_data[[#This Row],[education_Graduation]]=1,"Undergraduate Degree",(IF(SUM(AM1852,AL1852,AI1852)&gt;0,"Master's Degree or Higher","Other")))))</f>
        <v>Undergraduate Degree</v>
      </c>
      <c r="AV1852" t="str">
        <f>IF(ifood_data[[#All],[Income]]&gt;75000,"75K+",(IF(ifood_data[[#All],[Income]]&gt;50000,"50K-75K",(IF(ifood_data[[#All],[Income]]&gt;35000,"35K-50K","&lt;35K")))))</f>
        <v>&lt;35K</v>
      </c>
      <c r="AW1852" t="str">
        <f>IF(ifood_data[[#All],[Age]]&gt;60,"60+",(IF(ifood_data[[#All],[Age]]&gt;50,"50-60",(IF(ifood_data[[#All],[Age]]&gt;40,"40-50",(IF(ifood_data[[#All],[Age]]&gt;30,"30-40","&lt;30")))))))</f>
        <v>30-40</v>
      </c>
      <c r="AX1852">
        <f t="shared" si="112"/>
        <v>17</v>
      </c>
      <c r="AY1852">
        <f t="shared" si="113"/>
        <v>4</v>
      </c>
      <c r="AZ1852">
        <f t="shared" si="114"/>
        <v>3</v>
      </c>
      <c r="BA1852">
        <f t="shared" si="115"/>
        <v>1</v>
      </c>
      <c r="BB1852">
        <f>SUM(ifood_data[[#This Row],[Recency Score]:[Monetary Score]])</f>
        <v>8</v>
      </c>
      <c r="BC1852">
        <f>(_xlfn.PERCENTRANK.INC(ifood_data[[#All],[RFM]],ifood_data[[#This Row],[RFM]],1))*10</f>
        <v>1</v>
      </c>
      <c r="BD1852" t="str">
        <f>VLOOKUP(ifood_data[[#This Row],[RFM Score]],'RFM Analysis'!$A$3:$B$14,2,FALSE)</f>
        <v>At Risk</v>
      </c>
      <c r="BE1852">
        <f>'Regression Models'!$B$101+'Regression Models'!$B$102*ifood_data[[#This Row],[Income]]+'Regression Models'!$B$103*ifood_data[[#This Row],[Age]]+'Regression Models'!$B$104*ifood_data[[#This Row],[Family]]</f>
        <v>-54.699589169555509</v>
      </c>
      <c r="BF1852" t="str">
        <f>IF(ifood_data[[#This Row],[AcceptedCmpOverall]]=1,"Campaign Respondent","Non-respondent")</f>
        <v>Non-respondent</v>
      </c>
    </row>
    <row r="1853" spans="1:58" x14ac:dyDescent="0.35">
      <c r="A1853">
        <v>1666</v>
      </c>
      <c r="B1853">
        <v>25293</v>
      </c>
      <c r="C1853">
        <v>1</v>
      </c>
      <c r="D1853">
        <v>0</v>
      </c>
      <c r="E1853">
        <v>51</v>
      </c>
      <c r="F1853">
        <v>15</v>
      </c>
      <c r="G1853">
        <v>0</v>
      </c>
      <c r="H1853">
        <v>11</v>
      </c>
      <c r="I1853">
        <v>0</v>
      </c>
      <c r="J1853">
        <v>2</v>
      </c>
      <c r="K1853">
        <v>9</v>
      </c>
      <c r="L1853">
        <v>1</v>
      </c>
      <c r="M1853">
        <v>1</v>
      </c>
      <c r="N1853">
        <v>1</v>
      </c>
      <c r="O1853">
        <v>2</v>
      </c>
      <c r="P1853">
        <v>8</v>
      </c>
      <c r="Q1853">
        <v>0</v>
      </c>
      <c r="R1853">
        <v>0</v>
      </c>
      <c r="S1853">
        <v>0</v>
      </c>
      <c r="T1853">
        <v>0</v>
      </c>
      <c r="U1853">
        <v>0</v>
      </c>
      <c r="V1853">
        <f>IF(SUM(ifood_data[[#This Row],[AcceptedCmp1]:[AcceptedCmp5]])&gt;0,1,0)</f>
        <v>0</v>
      </c>
      <c r="W1853">
        <v>0</v>
      </c>
      <c r="X1853">
        <v>3</v>
      </c>
      <c r="Y1853">
        <v>11</v>
      </c>
      <c r="Z1853">
        <v>0</v>
      </c>
      <c r="AA1853">
        <v>51</v>
      </c>
      <c r="AB1853">
        <v>2446</v>
      </c>
      <c r="AC1853" s="28">
        <f>ifood_data[[#This Row],[Customer_Days]]/365</f>
        <v>6.7013698630136984</v>
      </c>
      <c r="AD1853">
        <v>0</v>
      </c>
      <c r="AE1853">
        <v>1</v>
      </c>
      <c r="AF1853">
        <v>0</v>
      </c>
      <c r="AG1853">
        <v>0</v>
      </c>
      <c r="AH1853">
        <v>0</v>
      </c>
      <c r="AI1853">
        <v>0</v>
      </c>
      <c r="AJ1853">
        <v>0</v>
      </c>
      <c r="AK1853">
        <v>1</v>
      </c>
      <c r="AL1853">
        <v>0</v>
      </c>
      <c r="AM1853">
        <v>0</v>
      </c>
      <c r="AN1853">
        <v>28</v>
      </c>
      <c r="AO1853">
        <v>19</v>
      </c>
      <c r="AP1853">
        <f>ifood_data[[#This Row],[MntTotal]]-ifood_data[[#This Row],[MntRegularProds]]</f>
        <v>9</v>
      </c>
      <c r="AQ1853">
        <v>0</v>
      </c>
      <c r="AR1853">
        <f>IF(SUM(ifood_data[[#This Row],[Kidhome]:[Teenhome]])&gt;0,1,0)</f>
        <v>1</v>
      </c>
      <c r="AS1853" t="str">
        <f>IF(SUM(ifood_data[[#This Row],[Kidhome]:[Teenhome]])&gt;0,"Has Family","No Family")</f>
        <v>Has Family</v>
      </c>
      <c r="AT1853" t="str">
        <f>IF(ifood_data[[#This Row],[marital_Married]]=1,"Married", (IF(ifood_data[[#This Row],[marital_Single]]=1,"Single",(IF(ifood_data[[#This Row],[marital_Divorced]]=1,"Divorced",(IF(ifood_data[[#This Row],[marital_Together]]=1,"Living Together",(IF(ifood_data[[#This Row],[marital_Widow]]=1,"Widow","Other")))))))))</f>
        <v>Married</v>
      </c>
      <c r="AU1853" t="str">
        <f>IF(ifood_data[[#This Row],[education_Basic]]=1,"High School",(IF(ifood_data[[#This Row],[education_Graduation]]=1,"Undergraduate Degree",(IF(SUM(AM1853,AL1853,AI1853)&gt;0,"Master's Degree or Higher","Other")))))</f>
        <v>Undergraduate Degree</v>
      </c>
      <c r="AV1853" t="str">
        <f>IF(ifood_data[[#All],[Income]]&gt;75000,"75K+",(IF(ifood_data[[#All],[Income]]&gt;50000,"50K-75K",(IF(ifood_data[[#All],[Income]]&gt;35000,"35K-50K","&lt;35K")))))</f>
        <v>&lt;35K</v>
      </c>
      <c r="AW1853" t="str">
        <f>IF(ifood_data[[#All],[Age]]&gt;60,"60+",(IF(ifood_data[[#All],[Age]]&gt;50,"50-60",(IF(ifood_data[[#All],[Age]]&gt;40,"40-50",(IF(ifood_data[[#All],[Age]]&gt;30,"30-40","&lt;30")))))))</f>
        <v>50-60</v>
      </c>
      <c r="AX1853">
        <f t="shared" si="112"/>
        <v>13</v>
      </c>
      <c r="AY1853">
        <f t="shared" si="113"/>
        <v>5</v>
      </c>
      <c r="AZ1853">
        <f t="shared" si="114"/>
        <v>1</v>
      </c>
      <c r="BA1853">
        <f t="shared" si="115"/>
        <v>0</v>
      </c>
      <c r="BB1853">
        <f>SUM(ifood_data[[#This Row],[Recency Score]:[Monetary Score]])</f>
        <v>6</v>
      </c>
      <c r="BC1853">
        <f>(_xlfn.PERCENTRANK.INC(ifood_data[[#All],[RFM]],ifood_data[[#This Row],[RFM]],1))*10</f>
        <v>0</v>
      </c>
      <c r="BD1853" t="str">
        <f>VLOOKUP(ifood_data[[#This Row],[RFM Score]],'RFM Analysis'!$A$3:$B$14,2,FALSE)</f>
        <v>Lost</v>
      </c>
      <c r="BE1853">
        <f>'Regression Models'!$B$101+'Regression Models'!$B$102*ifood_data[[#This Row],[Income]]+'Regression Models'!$B$103*ifood_data[[#This Row],[Age]]+'Regression Models'!$B$104*ifood_data[[#This Row],[Family]]</f>
        <v>-55.394167707454812</v>
      </c>
      <c r="BF1853" t="str">
        <f>IF(ifood_data[[#This Row],[AcceptedCmpOverall]]=1,"Campaign Respondent","Non-respondent")</f>
        <v>Non-respondent</v>
      </c>
    </row>
    <row r="1854" spans="1:58" x14ac:dyDescent="0.35">
      <c r="A1854">
        <v>938</v>
      </c>
      <c r="B1854">
        <v>24884</v>
      </c>
      <c r="C1854">
        <v>1</v>
      </c>
      <c r="D1854">
        <v>0</v>
      </c>
      <c r="E1854">
        <v>32</v>
      </c>
      <c r="F1854">
        <v>3</v>
      </c>
      <c r="G1854">
        <v>6</v>
      </c>
      <c r="H1854">
        <v>7</v>
      </c>
      <c r="I1854">
        <v>0</v>
      </c>
      <c r="J1854">
        <v>0</v>
      </c>
      <c r="K1854">
        <v>3</v>
      </c>
      <c r="L1854">
        <v>1</v>
      </c>
      <c r="M1854">
        <v>0</v>
      </c>
      <c r="N1854">
        <v>0</v>
      </c>
      <c r="O1854">
        <v>3</v>
      </c>
      <c r="P1854">
        <v>7</v>
      </c>
      <c r="Q1854">
        <v>0</v>
      </c>
      <c r="R1854">
        <v>0</v>
      </c>
      <c r="S1854">
        <v>0</v>
      </c>
      <c r="T1854">
        <v>0</v>
      </c>
      <c r="U1854">
        <v>0</v>
      </c>
      <c r="V1854">
        <f>IF(SUM(ifood_data[[#This Row],[AcceptedCmp1]:[AcceptedCmp5]])&gt;0,1,0)</f>
        <v>0</v>
      </c>
      <c r="W1854">
        <v>0</v>
      </c>
      <c r="X1854">
        <v>3</v>
      </c>
      <c r="Y1854">
        <v>11</v>
      </c>
      <c r="Z1854">
        <v>0</v>
      </c>
      <c r="AA1854">
        <v>48</v>
      </c>
      <c r="AB1854">
        <v>2736</v>
      </c>
      <c r="AC1854" s="28">
        <f>ifood_data[[#This Row],[Customer_Days]]/365</f>
        <v>7.4958904109589044</v>
      </c>
      <c r="AD1854">
        <v>0</v>
      </c>
      <c r="AE1854">
        <v>1</v>
      </c>
      <c r="AF1854">
        <v>0</v>
      </c>
      <c r="AG1854">
        <v>0</v>
      </c>
      <c r="AH1854">
        <v>0</v>
      </c>
      <c r="AI1854">
        <v>1</v>
      </c>
      <c r="AJ1854">
        <v>0</v>
      </c>
      <c r="AK1854">
        <v>0</v>
      </c>
      <c r="AL1854">
        <v>0</v>
      </c>
      <c r="AM1854">
        <v>0</v>
      </c>
      <c r="AN1854">
        <v>16</v>
      </c>
      <c r="AO1854">
        <v>13</v>
      </c>
      <c r="AP1854">
        <f>ifood_data[[#This Row],[MntTotal]]-ifood_data[[#This Row],[MntRegularProds]]</f>
        <v>3</v>
      </c>
      <c r="AQ1854">
        <v>0</v>
      </c>
      <c r="AR1854">
        <f>IF(SUM(ifood_data[[#This Row],[Kidhome]:[Teenhome]])&gt;0,1,0)</f>
        <v>1</v>
      </c>
      <c r="AS1854" t="str">
        <f>IF(SUM(ifood_data[[#This Row],[Kidhome]:[Teenhome]])&gt;0,"Has Family","No Family")</f>
        <v>Has Family</v>
      </c>
      <c r="AT1854" t="str">
        <f>IF(ifood_data[[#This Row],[marital_Married]]=1,"Married", (IF(ifood_data[[#This Row],[marital_Single]]=1,"Single",(IF(ifood_data[[#This Row],[marital_Divorced]]=1,"Divorced",(IF(ifood_data[[#This Row],[marital_Together]]=1,"Living Together",(IF(ifood_data[[#This Row],[marital_Widow]]=1,"Widow","Other")))))))))</f>
        <v>Married</v>
      </c>
      <c r="AU1854" t="str">
        <f>IF(ifood_data[[#This Row],[education_Basic]]=1,"High School",(IF(ifood_data[[#This Row],[education_Graduation]]=1,"Undergraduate Degree",(IF(SUM(AM1854,AL1854,AI1854)&gt;0,"Master's Degree or Higher","Other")))))</f>
        <v>Master's Degree or Higher</v>
      </c>
      <c r="AV1854" t="str">
        <f>IF(ifood_data[[#All],[Income]]&gt;75000,"75K+",(IF(ifood_data[[#All],[Income]]&gt;50000,"50K-75K",(IF(ifood_data[[#All],[Income]]&gt;35000,"35K-50K","&lt;35K")))))</f>
        <v>&lt;35K</v>
      </c>
      <c r="AW1854" t="str">
        <f>IF(ifood_data[[#All],[Age]]&gt;60,"60+",(IF(ifood_data[[#All],[Age]]&gt;50,"50-60",(IF(ifood_data[[#All],[Age]]&gt;40,"40-50",(IF(ifood_data[[#All],[Age]]&gt;30,"30-40","&lt;30")))))))</f>
        <v>40-50</v>
      </c>
      <c r="AX1854">
        <f t="shared" si="112"/>
        <v>11</v>
      </c>
      <c r="AY1854">
        <f t="shared" si="113"/>
        <v>7</v>
      </c>
      <c r="AZ1854">
        <f t="shared" si="114"/>
        <v>0</v>
      </c>
      <c r="BA1854">
        <f t="shared" si="115"/>
        <v>0</v>
      </c>
      <c r="BB1854">
        <f>SUM(ifood_data[[#This Row],[Recency Score]:[Monetary Score]])</f>
        <v>7</v>
      </c>
      <c r="BC1854">
        <f>(_xlfn.PERCENTRANK.INC(ifood_data[[#All],[RFM]],ifood_data[[#This Row],[RFM]],1))*10</f>
        <v>1</v>
      </c>
      <c r="BD1854" t="str">
        <f>VLOOKUP(ifood_data[[#This Row],[RFM Score]],'RFM Analysis'!$A$3:$B$14,2,FALSE)</f>
        <v>At Risk</v>
      </c>
      <c r="BE1854">
        <f>'Regression Models'!$B$101+'Regression Models'!$B$102*ifood_data[[#This Row],[Income]]+'Regression Models'!$B$103*ifood_data[[#This Row],[Age]]+'Regression Models'!$B$104*ifood_data[[#This Row],[Family]]</f>
        <v>-58.223856641626696</v>
      </c>
      <c r="BF1854" t="str">
        <f>IF(ifood_data[[#This Row],[AcceptedCmpOverall]]=1,"Campaign Respondent","Non-respondent")</f>
        <v>Non-respondent</v>
      </c>
    </row>
    <row r="1855" spans="1:58" x14ac:dyDescent="0.35">
      <c r="A1855">
        <v>376</v>
      </c>
      <c r="B1855">
        <v>23442</v>
      </c>
      <c r="C1855">
        <v>1</v>
      </c>
      <c r="D1855">
        <v>0</v>
      </c>
      <c r="E1855">
        <v>71</v>
      </c>
      <c r="F1855">
        <v>2</v>
      </c>
      <c r="G1855">
        <v>0</v>
      </c>
      <c r="H1855">
        <v>6</v>
      </c>
      <c r="I1855">
        <v>8</v>
      </c>
      <c r="J1855">
        <v>6</v>
      </c>
      <c r="K1855">
        <v>5</v>
      </c>
      <c r="L1855">
        <v>1</v>
      </c>
      <c r="M1855">
        <v>1</v>
      </c>
      <c r="N1855">
        <v>0</v>
      </c>
      <c r="O1855">
        <v>3</v>
      </c>
      <c r="P1855">
        <v>7</v>
      </c>
      <c r="Q1855">
        <v>0</v>
      </c>
      <c r="R1855">
        <v>0</v>
      </c>
      <c r="S1855">
        <v>0</v>
      </c>
      <c r="T1855">
        <v>0</v>
      </c>
      <c r="U1855">
        <v>0</v>
      </c>
      <c r="V1855">
        <f>IF(SUM(ifood_data[[#This Row],[AcceptedCmp1]:[AcceptedCmp5]])&gt;0,1,0)</f>
        <v>0</v>
      </c>
      <c r="W1855">
        <v>0</v>
      </c>
      <c r="X1855">
        <v>3</v>
      </c>
      <c r="Y1855">
        <v>11</v>
      </c>
      <c r="Z1855">
        <v>0</v>
      </c>
      <c r="AA1855">
        <v>33</v>
      </c>
      <c r="AB1855">
        <v>2711</v>
      </c>
      <c r="AC1855" s="28">
        <f>ifood_data[[#This Row],[Customer_Days]]/365</f>
        <v>7.4273972602739722</v>
      </c>
      <c r="AD1855">
        <v>0</v>
      </c>
      <c r="AE1855">
        <v>0</v>
      </c>
      <c r="AF1855">
        <v>1</v>
      </c>
      <c r="AG1855">
        <v>0</v>
      </c>
      <c r="AH1855">
        <v>0</v>
      </c>
      <c r="AI1855">
        <v>0</v>
      </c>
      <c r="AJ1855">
        <v>0</v>
      </c>
      <c r="AK1855">
        <v>1</v>
      </c>
      <c r="AL1855">
        <v>0</v>
      </c>
      <c r="AM1855">
        <v>0</v>
      </c>
      <c r="AN1855">
        <v>22</v>
      </c>
      <c r="AO1855">
        <v>17</v>
      </c>
      <c r="AP1855">
        <f>ifood_data[[#This Row],[MntTotal]]-ifood_data[[#This Row],[MntRegularProds]]</f>
        <v>5</v>
      </c>
      <c r="AQ1855">
        <v>0</v>
      </c>
      <c r="AR1855">
        <f>IF(SUM(ifood_data[[#This Row],[Kidhome]:[Teenhome]])&gt;0,1,0)</f>
        <v>1</v>
      </c>
      <c r="AS1855" t="str">
        <f>IF(SUM(ifood_data[[#This Row],[Kidhome]:[Teenhome]])&gt;0,"Has Family","No Family")</f>
        <v>Has Family</v>
      </c>
      <c r="AT1855" t="str">
        <f>IF(ifood_data[[#This Row],[marital_Married]]=1,"Married", (IF(ifood_data[[#This Row],[marital_Single]]=1,"Single",(IF(ifood_data[[#This Row],[marital_Divorced]]=1,"Divorced",(IF(ifood_data[[#This Row],[marital_Together]]=1,"Living Together",(IF(ifood_data[[#This Row],[marital_Widow]]=1,"Widow","Other")))))))))</f>
        <v>Single</v>
      </c>
      <c r="AU1855" t="str">
        <f>IF(ifood_data[[#This Row],[education_Basic]]=1,"High School",(IF(ifood_data[[#This Row],[education_Graduation]]=1,"Undergraduate Degree",(IF(SUM(AM1855,AL1855,AI1855)&gt;0,"Master's Degree or Higher","Other")))))</f>
        <v>Undergraduate Degree</v>
      </c>
      <c r="AV1855" t="str">
        <f>IF(ifood_data[[#All],[Income]]&gt;75000,"75K+",(IF(ifood_data[[#All],[Income]]&gt;50000,"50K-75K",(IF(ifood_data[[#All],[Income]]&gt;35000,"35K-50K","&lt;35K")))))</f>
        <v>&lt;35K</v>
      </c>
      <c r="AW1855" t="str">
        <f>IF(ifood_data[[#All],[Age]]&gt;60,"60+",(IF(ifood_data[[#All],[Age]]&gt;50,"50-60",(IF(ifood_data[[#All],[Age]]&gt;40,"40-50",(IF(ifood_data[[#All],[Age]]&gt;30,"30-40","&lt;30")))))))</f>
        <v>30-40</v>
      </c>
      <c r="AX1855">
        <f t="shared" si="112"/>
        <v>12</v>
      </c>
      <c r="AY1855">
        <f t="shared" si="113"/>
        <v>3.0000000000000004</v>
      </c>
      <c r="AZ1855">
        <f t="shared" si="114"/>
        <v>1</v>
      </c>
      <c r="BA1855">
        <f t="shared" si="115"/>
        <v>0</v>
      </c>
      <c r="BB1855">
        <f>SUM(ifood_data[[#This Row],[Recency Score]:[Monetary Score]])</f>
        <v>4</v>
      </c>
      <c r="BC1855">
        <f>(_xlfn.PERCENTRANK.INC(ifood_data[[#All],[RFM]],ifood_data[[#This Row],[RFM]],1))*10</f>
        <v>0</v>
      </c>
      <c r="BD1855" t="str">
        <f>VLOOKUP(ifood_data[[#This Row],[RFM Score]],'RFM Analysis'!$A$3:$B$14,2,FALSE)</f>
        <v>Lost</v>
      </c>
      <c r="BE1855">
        <f>'Regression Models'!$B$101+'Regression Models'!$B$102*ifood_data[[#This Row],[Income]]+'Regression Models'!$B$103*ifood_data[[#This Row],[Age]]+'Regression Models'!$B$104*ifood_data[[#This Row],[Family]]</f>
        <v>-60.077874121714729</v>
      </c>
      <c r="BF1855" t="str">
        <f>IF(ifood_data[[#This Row],[AcceptedCmpOverall]]=1,"Campaign Respondent","Non-respondent")</f>
        <v>Non-respondent</v>
      </c>
    </row>
    <row r="1856" spans="1:58" x14ac:dyDescent="0.35">
      <c r="A1856">
        <v>1424</v>
      </c>
      <c r="B1856">
        <v>23331</v>
      </c>
      <c r="C1856">
        <v>1</v>
      </c>
      <c r="D1856">
        <v>0</v>
      </c>
      <c r="E1856">
        <v>97</v>
      </c>
      <c r="F1856">
        <v>104</v>
      </c>
      <c r="G1856">
        <v>20</v>
      </c>
      <c r="H1856">
        <v>101</v>
      </c>
      <c r="I1856">
        <v>24</v>
      </c>
      <c r="J1856">
        <v>15</v>
      </c>
      <c r="K1856">
        <v>5</v>
      </c>
      <c r="L1856">
        <v>6</v>
      </c>
      <c r="M1856">
        <v>5</v>
      </c>
      <c r="N1856">
        <v>1</v>
      </c>
      <c r="O1856">
        <v>5</v>
      </c>
      <c r="P1856">
        <v>9</v>
      </c>
      <c r="Q1856">
        <v>0</v>
      </c>
      <c r="R1856">
        <v>0</v>
      </c>
      <c r="S1856">
        <v>0</v>
      </c>
      <c r="T1856">
        <v>0</v>
      </c>
      <c r="U1856">
        <v>0</v>
      </c>
      <c r="V1856">
        <f>IF(SUM(ifood_data[[#This Row],[AcceptedCmp1]:[AcceptedCmp5]])&gt;0,1,0)</f>
        <v>0</v>
      </c>
      <c r="W1856">
        <v>0</v>
      </c>
      <c r="X1856">
        <v>3</v>
      </c>
      <c r="Y1856">
        <v>11</v>
      </c>
      <c r="Z1856">
        <v>0</v>
      </c>
      <c r="AA1856">
        <v>32</v>
      </c>
      <c r="AB1856">
        <v>2791</v>
      </c>
      <c r="AC1856" s="28">
        <f>ifood_data[[#This Row],[Customer_Days]]/365</f>
        <v>7.646575342465753</v>
      </c>
      <c r="AD1856">
        <v>0</v>
      </c>
      <c r="AE1856">
        <v>0</v>
      </c>
      <c r="AF1856">
        <v>1</v>
      </c>
      <c r="AG1856">
        <v>0</v>
      </c>
      <c r="AH1856">
        <v>0</v>
      </c>
      <c r="AI1856">
        <v>1</v>
      </c>
      <c r="AJ1856">
        <v>0</v>
      </c>
      <c r="AK1856">
        <v>0</v>
      </c>
      <c r="AL1856">
        <v>0</v>
      </c>
      <c r="AM1856">
        <v>0</v>
      </c>
      <c r="AN1856">
        <v>264</v>
      </c>
      <c r="AO1856">
        <v>259</v>
      </c>
      <c r="AP1856">
        <f>ifood_data[[#This Row],[MntTotal]]-ifood_data[[#This Row],[MntRegularProds]]</f>
        <v>5</v>
      </c>
      <c r="AQ1856">
        <v>0</v>
      </c>
      <c r="AR1856">
        <f>IF(SUM(ifood_data[[#This Row],[Kidhome]:[Teenhome]])&gt;0,1,0)</f>
        <v>1</v>
      </c>
      <c r="AS1856" t="str">
        <f>IF(SUM(ifood_data[[#This Row],[Kidhome]:[Teenhome]])&gt;0,"Has Family","No Family")</f>
        <v>Has Family</v>
      </c>
      <c r="AT1856" t="str">
        <f>IF(ifood_data[[#This Row],[marital_Married]]=1,"Married", (IF(ifood_data[[#This Row],[marital_Single]]=1,"Single",(IF(ifood_data[[#This Row],[marital_Divorced]]=1,"Divorced",(IF(ifood_data[[#This Row],[marital_Together]]=1,"Living Together",(IF(ifood_data[[#This Row],[marital_Widow]]=1,"Widow","Other")))))))))</f>
        <v>Single</v>
      </c>
      <c r="AU1856" t="str">
        <f>IF(ifood_data[[#This Row],[education_Basic]]=1,"High School",(IF(ifood_data[[#This Row],[education_Graduation]]=1,"Undergraduate Degree",(IF(SUM(AM1856,AL1856,AI1856)&gt;0,"Master's Degree or Higher","Other")))))</f>
        <v>Master's Degree or Higher</v>
      </c>
      <c r="AV1856" t="str">
        <f>IF(ifood_data[[#All],[Income]]&gt;75000,"75K+",(IF(ifood_data[[#All],[Income]]&gt;50000,"50K-75K",(IF(ifood_data[[#All],[Income]]&gt;35000,"35K-50K","&lt;35K")))))</f>
        <v>&lt;35K</v>
      </c>
      <c r="AW1856" t="str">
        <f>IF(ifood_data[[#All],[Age]]&gt;60,"60+",(IF(ifood_data[[#All],[Age]]&gt;50,"50-60",(IF(ifood_data[[#All],[Age]]&gt;40,"40-50",(IF(ifood_data[[#All],[Age]]&gt;30,"30-40","&lt;30")))))))</f>
        <v>30-40</v>
      </c>
      <c r="AX1856">
        <f t="shared" si="112"/>
        <v>26</v>
      </c>
      <c r="AY1856">
        <f t="shared" si="113"/>
        <v>0.99999999999999978</v>
      </c>
      <c r="AZ1856">
        <f t="shared" si="114"/>
        <v>7</v>
      </c>
      <c r="BA1856">
        <f t="shared" si="115"/>
        <v>4</v>
      </c>
      <c r="BB1856">
        <f>SUM(ifood_data[[#This Row],[Recency Score]:[Monetary Score]])</f>
        <v>12</v>
      </c>
      <c r="BC1856">
        <f>(_xlfn.PERCENTRANK.INC(ifood_data[[#All],[RFM]],ifood_data[[#This Row],[RFM]],1))*10</f>
        <v>3</v>
      </c>
      <c r="BD1856" t="str">
        <f>VLOOKUP(ifood_data[[#This Row],[RFM Score]],'RFM Analysis'!$A$3:$B$14,2,FALSE)</f>
        <v>At Risk</v>
      </c>
      <c r="BE1856">
        <f>'Regression Models'!$B$101+'Regression Models'!$B$102*ifood_data[[#This Row],[Income]]+'Regression Models'!$B$103*ifood_data[[#This Row],[Age]]+'Regression Models'!$B$104*ifood_data[[#This Row],[Family]]</f>
        <v>-60.50458830679321</v>
      </c>
      <c r="BF1856" t="str">
        <f>IF(ifood_data[[#This Row],[AcceptedCmpOverall]]=1,"Campaign Respondent","Non-respondent")</f>
        <v>Non-respondent</v>
      </c>
    </row>
    <row r="1857" spans="1:58" x14ac:dyDescent="0.35">
      <c r="A1857">
        <v>1423</v>
      </c>
      <c r="B1857">
        <v>23331</v>
      </c>
      <c r="C1857">
        <v>1</v>
      </c>
      <c r="D1857">
        <v>0</v>
      </c>
      <c r="E1857">
        <v>92</v>
      </c>
      <c r="F1857">
        <v>5</v>
      </c>
      <c r="G1857">
        <v>36</v>
      </c>
      <c r="H1857">
        <v>7</v>
      </c>
      <c r="I1857">
        <v>0</v>
      </c>
      <c r="J1857">
        <v>10</v>
      </c>
      <c r="K1857">
        <v>45</v>
      </c>
      <c r="L1857">
        <v>2</v>
      </c>
      <c r="M1857">
        <v>3</v>
      </c>
      <c r="N1857">
        <v>0</v>
      </c>
      <c r="O1857">
        <v>3</v>
      </c>
      <c r="P1857">
        <v>8</v>
      </c>
      <c r="Q1857">
        <v>0</v>
      </c>
      <c r="R1857">
        <v>0</v>
      </c>
      <c r="S1857">
        <v>0</v>
      </c>
      <c r="T1857">
        <v>0</v>
      </c>
      <c r="U1857">
        <v>0</v>
      </c>
      <c r="V1857">
        <f>IF(SUM(ifood_data[[#This Row],[AcceptedCmp1]:[AcceptedCmp5]])&gt;0,1,0)</f>
        <v>0</v>
      </c>
      <c r="W1857">
        <v>0</v>
      </c>
      <c r="X1857">
        <v>3</v>
      </c>
      <c r="Y1857">
        <v>11</v>
      </c>
      <c r="Z1857">
        <v>0</v>
      </c>
      <c r="AA1857">
        <v>32</v>
      </c>
      <c r="AB1857">
        <v>2822</v>
      </c>
      <c r="AC1857" s="28">
        <f>ifood_data[[#This Row],[Customer_Days]]/365</f>
        <v>7.7315068493150685</v>
      </c>
      <c r="AD1857">
        <v>0</v>
      </c>
      <c r="AE1857">
        <v>1</v>
      </c>
      <c r="AF1857">
        <v>0</v>
      </c>
      <c r="AG1857">
        <v>0</v>
      </c>
      <c r="AH1857">
        <v>0</v>
      </c>
      <c r="AI1857">
        <v>1</v>
      </c>
      <c r="AJ1857">
        <v>0</v>
      </c>
      <c r="AK1857">
        <v>0</v>
      </c>
      <c r="AL1857">
        <v>0</v>
      </c>
      <c r="AM1857">
        <v>0</v>
      </c>
      <c r="AN1857">
        <v>58</v>
      </c>
      <c r="AO1857">
        <v>13</v>
      </c>
      <c r="AP1857">
        <f>ifood_data[[#This Row],[MntTotal]]-ifood_data[[#This Row],[MntRegularProds]]</f>
        <v>45</v>
      </c>
      <c r="AQ1857">
        <v>0</v>
      </c>
      <c r="AR1857">
        <f>IF(SUM(ifood_data[[#This Row],[Kidhome]:[Teenhome]])&gt;0,1,0)</f>
        <v>1</v>
      </c>
      <c r="AS1857" t="str">
        <f>IF(SUM(ifood_data[[#This Row],[Kidhome]:[Teenhome]])&gt;0,"Has Family","No Family")</f>
        <v>Has Family</v>
      </c>
      <c r="AT1857" t="str">
        <f>IF(ifood_data[[#This Row],[marital_Married]]=1,"Married", (IF(ifood_data[[#This Row],[marital_Single]]=1,"Single",(IF(ifood_data[[#This Row],[marital_Divorced]]=1,"Divorced",(IF(ifood_data[[#This Row],[marital_Together]]=1,"Living Together",(IF(ifood_data[[#This Row],[marital_Widow]]=1,"Widow","Other")))))))))</f>
        <v>Married</v>
      </c>
      <c r="AU1857" t="str">
        <f>IF(ifood_data[[#This Row],[education_Basic]]=1,"High School",(IF(ifood_data[[#This Row],[education_Graduation]]=1,"Undergraduate Degree",(IF(SUM(AM1857,AL1857,AI1857)&gt;0,"Master's Degree or Higher","Other")))))</f>
        <v>Master's Degree or Higher</v>
      </c>
      <c r="AV1857" t="str">
        <f>IF(ifood_data[[#All],[Income]]&gt;75000,"75K+",(IF(ifood_data[[#All],[Income]]&gt;50000,"50K-75K",(IF(ifood_data[[#All],[Income]]&gt;35000,"35K-50K","&lt;35K")))))</f>
        <v>&lt;35K</v>
      </c>
      <c r="AW1857" t="str">
        <f>IF(ifood_data[[#All],[Age]]&gt;60,"60+",(IF(ifood_data[[#All],[Age]]&gt;50,"50-60",(IF(ifood_data[[#All],[Age]]&gt;40,"40-50",(IF(ifood_data[[#All],[Age]]&gt;30,"30-40","&lt;30")))))))</f>
        <v>30-40</v>
      </c>
      <c r="AX1857">
        <f t="shared" si="112"/>
        <v>16</v>
      </c>
      <c r="AY1857">
        <f t="shared" si="113"/>
        <v>0.99999999999999978</v>
      </c>
      <c r="AZ1857">
        <f t="shared" si="114"/>
        <v>3</v>
      </c>
      <c r="BA1857">
        <f t="shared" si="115"/>
        <v>2</v>
      </c>
      <c r="BB1857">
        <f>SUM(ifood_data[[#This Row],[Recency Score]:[Monetary Score]])</f>
        <v>6</v>
      </c>
      <c r="BC1857">
        <f>(_xlfn.PERCENTRANK.INC(ifood_data[[#All],[RFM]],ifood_data[[#This Row],[RFM]],1))*10</f>
        <v>0</v>
      </c>
      <c r="BD1857" t="str">
        <f>VLOOKUP(ifood_data[[#This Row],[RFM Score]],'RFM Analysis'!$A$3:$B$14,2,FALSE)</f>
        <v>Lost</v>
      </c>
      <c r="BE1857">
        <f>'Regression Models'!$B$101+'Regression Models'!$B$102*ifood_data[[#This Row],[Income]]+'Regression Models'!$B$103*ifood_data[[#This Row],[Age]]+'Regression Models'!$B$104*ifood_data[[#This Row],[Family]]</f>
        <v>-60.50458830679321</v>
      </c>
      <c r="BF1857" t="str">
        <f>IF(ifood_data[[#This Row],[AcceptedCmpOverall]]=1,"Campaign Respondent","Non-respondent")</f>
        <v>Non-respondent</v>
      </c>
    </row>
    <row r="1858" spans="1:58" x14ac:dyDescent="0.35">
      <c r="A1858">
        <v>834</v>
      </c>
      <c r="B1858">
        <v>24762</v>
      </c>
      <c r="C1858">
        <v>1</v>
      </c>
      <c r="D1858">
        <v>0</v>
      </c>
      <c r="E1858">
        <v>16</v>
      </c>
      <c r="F1858">
        <v>6</v>
      </c>
      <c r="G1858">
        <v>10</v>
      </c>
      <c r="H1858">
        <v>12</v>
      </c>
      <c r="I1858">
        <v>3</v>
      </c>
      <c r="J1858">
        <v>15</v>
      </c>
      <c r="K1858">
        <v>40</v>
      </c>
      <c r="L1858">
        <v>3</v>
      </c>
      <c r="M1858">
        <v>3</v>
      </c>
      <c r="N1858">
        <v>1</v>
      </c>
      <c r="O1858">
        <v>2</v>
      </c>
      <c r="P1858">
        <v>8</v>
      </c>
      <c r="Q1858">
        <v>0</v>
      </c>
      <c r="R1858">
        <v>0</v>
      </c>
      <c r="S1858">
        <v>1</v>
      </c>
      <c r="T1858">
        <v>0</v>
      </c>
      <c r="U1858">
        <v>0</v>
      </c>
      <c r="V1858">
        <f>IF(SUM(ifood_data[[#This Row],[AcceptedCmp1]:[AcceptedCmp5]])&gt;0,1,0)</f>
        <v>1</v>
      </c>
      <c r="W1858">
        <v>0</v>
      </c>
      <c r="X1858">
        <v>3</v>
      </c>
      <c r="Y1858">
        <v>11</v>
      </c>
      <c r="Z1858">
        <v>1</v>
      </c>
      <c r="AA1858">
        <v>48</v>
      </c>
      <c r="AB1858">
        <v>2298</v>
      </c>
      <c r="AC1858" s="28">
        <f>ifood_data[[#This Row],[Customer_Days]]/365</f>
        <v>6.2958904109589042</v>
      </c>
      <c r="AD1858">
        <v>0</v>
      </c>
      <c r="AE1858">
        <v>0</v>
      </c>
      <c r="AF1858">
        <v>1</v>
      </c>
      <c r="AG1858">
        <v>0</v>
      </c>
      <c r="AH1858">
        <v>0</v>
      </c>
      <c r="AI1858">
        <v>0</v>
      </c>
      <c r="AJ1858">
        <v>0</v>
      </c>
      <c r="AK1858">
        <v>1</v>
      </c>
      <c r="AL1858">
        <v>0</v>
      </c>
      <c r="AM1858">
        <v>0</v>
      </c>
      <c r="AN1858">
        <v>46</v>
      </c>
      <c r="AO1858">
        <v>6</v>
      </c>
      <c r="AP1858">
        <f>ifood_data[[#This Row],[MntTotal]]-ifood_data[[#This Row],[MntRegularProds]]</f>
        <v>40</v>
      </c>
      <c r="AQ1858">
        <v>1</v>
      </c>
      <c r="AR1858">
        <f>IF(SUM(ifood_data[[#This Row],[Kidhome]:[Teenhome]])&gt;0,1,0)</f>
        <v>1</v>
      </c>
      <c r="AS1858" t="str">
        <f>IF(SUM(ifood_data[[#This Row],[Kidhome]:[Teenhome]])&gt;0,"Has Family","No Family")</f>
        <v>Has Family</v>
      </c>
      <c r="AT1858" t="str">
        <f>IF(ifood_data[[#This Row],[marital_Married]]=1,"Married", (IF(ifood_data[[#This Row],[marital_Single]]=1,"Single",(IF(ifood_data[[#This Row],[marital_Divorced]]=1,"Divorced",(IF(ifood_data[[#This Row],[marital_Together]]=1,"Living Together",(IF(ifood_data[[#This Row],[marital_Widow]]=1,"Widow","Other")))))))))</f>
        <v>Single</v>
      </c>
      <c r="AU1858" t="str">
        <f>IF(ifood_data[[#This Row],[education_Basic]]=1,"High School",(IF(ifood_data[[#This Row],[education_Graduation]]=1,"Undergraduate Degree",(IF(SUM(AM1858,AL1858,AI1858)&gt;0,"Master's Degree or Higher","Other")))))</f>
        <v>Undergraduate Degree</v>
      </c>
      <c r="AV1858" t="str">
        <f>IF(ifood_data[[#All],[Income]]&gt;75000,"75K+",(IF(ifood_data[[#All],[Income]]&gt;50000,"50K-75K",(IF(ifood_data[[#All],[Income]]&gt;35000,"35K-50K","&lt;35K")))))</f>
        <v>&lt;35K</v>
      </c>
      <c r="AW1858" t="str">
        <f>IF(ifood_data[[#All],[Age]]&gt;60,"60+",(IF(ifood_data[[#All],[Age]]&gt;50,"50-60",(IF(ifood_data[[#All],[Age]]&gt;40,"40-50",(IF(ifood_data[[#All],[Age]]&gt;30,"30-40","&lt;30")))))))</f>
        <v>40-50</v>
      </c>
      <c r="AX1858">
        <f t="shared" ref="AX1858:AX1921" si="116">SUM(L1858:P1858)</f>
        <v>17</v>
      </c>
      <c r="AY1858">
        <f t="shared" ref="AY1858:AY1921" si="117">(1-_xlfn.PERCENTRANK.INC($E$2:$E$2022,E1858,1))*10</f>
        <v>9</v>
      </c>
      <c r="AZ1858">
        <f t="shared" ref="AZ1858:AZ1921" si="118">_xlfn.PERCENTRANK.INC($AX$2:$AX$2022,AX1858,1)*10</f>
        <v>3</v>
      </c>
      <c r="BA1858">
        <f t="shared" ref="BA1858:BA1921" si="119">_xlfn.PERCENTRANK.INC($AN$2:$AN$2022,AN1858,1)*10</f>
        <v>2</v>
      </c>
      <c r="BB1858">
        <f>SUM(ifood_data[[#This Row],[Recency Score]:[Monetary Score]])</f>
        <v>14</v>
      </c>
      <c r="BC1858">
        <f>(_xlfn.PERCENTRANK.INC(ifood_data[[#All],[RFM]],ifood_data[[#This Row],[RFM]],1))*10</f>
        <v>4</v>
      </c>
      <c r="BD1858" t="str">
        <f>VLOOKUP(ifood_data[[#This Row],[RFM Score]],'RFM Analysis'!$A$3:$B$14,2,FALSE)</f>
        <v>At Risk</v>
      </c>
      <c r="BE1858">
        <f>'Regression Models'!$B$101+'Regression Models'!$B$102*ifood_data[[#This Row],[Income]]+'Regression Models'!$B$103*ifood_data[[#This Row],[Age]]+'Regression Models'!$B$104*ifood_data[[#This Row],[Family]]</f>
        <v>-60.711286355182324</v>
      </c>
      <c r="BF1858" t="str">
        <f>IF(ifood_data[[#This Row],[AcceptedCmpOverall]]=1,"Campaign Respondent","Non-respondent")</f>
        <v>Campaign Respondent</v>
      </c>
    </row>
    <row r="1859" spans="1:58" x14ac:dyDescent="0.35">
      <c r="A1859">
        <v>157</v>
      </c>
      <c r="B1859">
        <v>26091</v>
      </c>
      <c r="C1859">
        <v>1</v>
      </c>
      <c r="D1859">
        <v>1</v>
      </c>
      <c r="E1859">
        <v>84</v>
      </c>
      <c r="F1859">
        <v>15</v>
      </c>
      <c r="G1859">
        <v>10</v>
      </c>
      <c r="H1859">
        <v>19</v>
      </c>
      <c r="I1859">
        <v>8</v>
      </c>
      <c r="J1859">
        <v>17</v>
      </c>
      <c r="K1859">
        <v>20</v>
      </c>
      <c r="L1859">
        <v>3</v>
      </c>
      <c r="M1859">
        <v>2</v>
      </c>
      <c r="N1859">
        <v>1</v>
      </c>
      <c r="O1859">
        <v>3</v>
      </c>
      <c r="P1859">
        <v>5</v>
      </c>
      <c r="Q1859">
        <v>0</v>
      </c>
      <c r="R1859">
        <v>0</v>
      </c>
      <c r="S1859">
        <v>0</v>
      </c>
      <c r="T1859">
        <v>0</v>
      </c>
      <c r="U1859">
        <v>0</v>
      </c>
      <c r="V1859">
        <f>IF(SUM(ifood_data[[#This Row],[AcceptedCmp1]:[AcceptedCmp5]])&gt;0,1,0)</f>
        <v>0</v>
      </c>
      <c r="W1859">
        <v>0</v>
      </c>
      <c r="X1859">
        <v>3</v>
      </c>
      <c r="Y1859">
        <v>11</v>
      </c>
      <c r="Z1859">
        <v>0</v>
      </c>
      <c r="AA1859">
        <v>63</v>
      </c>
      <c r="AB1859">
        <v>2283</v>
      </c>
      <c r="AC1859" s="28">
        <f>ifood_data[[#This Row],[Customer_Days]]/365</f>
        <v>6.2547945205479456</v>
      </c>
      <c r="AD1859">
        <v>0</v>
      </c>
      <c r="AE1859">
        <v>0</v>
      </c>
      <c r="AF1859">
        <v>0</v>
      </c>
      <c r="AG1859">
        <v>1</v>
      </c>
      <c r="AH1859">
        <v>0</v>
      </c>
      <c r="AI1859">
        <v>0</v>
      </c>
      <c r="AJ1859">
        <v>0</v>
      </c>
      <c r="AK1859">
        <v>1</v>
      </c>
      <c r="AL1859">
        <v>0</v>
      </c>
      <c r="AM1859">
        <v>0</v>
      </c>
      <c r="AN1859">
        <v>69</v>
      </c>
      <c r="AO1859">
        <v>49</v>
      </c>
      <c r="AP1859">
        <f>ifood_data[[#This Row],[MntTotal]]-ifood_data[[#This Row],[MntRegularProds]]</f>
        <v>20</v>
      </c>
      <c r="AQ1859">
        <v>0</v>
      </c>
      <c r="AR1859">
        <f>IF(SUM(ifood_data[[#This Row],[Kidhome]:[Teenhome]])&gt;0,1,0)</f>
        <v>1</v>
      </c>
      <c r="AS1859" t="str">
        <f>IF(SUM(ifood_data[[#This Row],[Kidhome]:[Teenhome]])&gt;0,"Has Family","No Family")</f>
        <v>Has Family</v>
      </c>
      <c r="AT1859" t="str">
        <f>IF(ifood_data[[#This Row],[marital_Married]]=1,"Married", (IF(ifood_data[[#This Row],[marital_Single]]=1,"Single",(IF(ifood_data[[#This Row],[marital_Divorced]]=1,"Divorced",(IF(ifood_data[[#This Row],[marital_Together]]=1,"Living Together",(IF(ifood_data[[#This Row],[marital_Widow]]=1,"Widow","Other")))))))))</f>
        <v>Living Together</v>
      </c>
      <c r="AU1859" t="str">
        <f>IF(ifood_data[[#This Row],[education_Basic]]=1,"High School",(IF(ifood_data[[#This Row],[education_Graduation]]=1,"Undergraduate Degree",(IF(SUM(AM1859,AL1859,AI1859)&gt;0,"Master's Degree or Higher","Other")))))</f>
        <v>Undergraduate Degree</v>
      </c>
      <c r="AV1859" t="str">
        <f>IF(ifood_data[[#All],[Income]]&gt;75000,"75K+",(IF(ifood_data[[#All],[Income]]&gt;50000,"50K-75K",(IF(ifood_data[[#All],[Income]]&gt;35000,"35K-50K","&lt;35K")))))</f>
        <v>&lt;35K</v>
      </c>
      <c r="AW1859" t="str">
        <f>IF(ifood_data[[#All],[Age]]&gt;60,"60+",(IF(ifood_data[[#All],[Age]]&gt;50,"50-60",(IF(ifood_data[[#All],[Age]]&gt;40,"40-50",(IF(ifood_data[[#All],[Age]]&gt;30,"30-40","&lt;30")))))))</f>
        <v>60+</v>
      </c>
      <c r="AX1859">
        <f t="shared" si="116"/>
        <v>14</v>
      </c>
      <c r="AY1859">
        <f t="shared" si="117"/>
        <v>1.9999999999999996</v>
      </c>
      <c r="AZ1859">
        <f t="shared" si="118"/>
        <v>2</v>
      </c>
      <c r="BA1859">
        <f t="shared" si="119"/>
        <v>2</v>
      </c>
      <c r="BB1859">
        <f>SUM(ifood_data[[#This Row],[Recency Score]:[Monetary Score]])</f>
        <v>6</v>
      </c>
      <c r="BC1859">
        <f>(_xlfn.PERCENTRANK.INC(ifood_data[[#All],[RFM]],ifood_data[[#This Row],[RFM]],1))*10</f>
        <v>0</v>
      </c>
      <c r="BD1859" t="str">
        <f>VLOOKUP(ifood_data[[#This Row],[RFM Score]],'RFM Analysis'!$A$3:$B$14,2,FALSE)</f>
        <v>Lost</v>
      </c>
      <c r="BE1859">
        <f>'Regression Models'!$B$101+'Regression Models'!$B$102*ifood_data[[#This Row],[Income]]+'Regression Models'!$B$103*ifood_data[[#This Row],[Age]]+'Regression Models'!$B$104*ifood_data[[#This Row],[Family]]</f>
        <v>-61.161199675354851</v>
      </c>
      <c r="BF1859" t="str">
        <f>IF(ifood_data[[#This Row],[AcceptedCmpOverall]]=1,"Campaign Respondent","Non-respondent")</f>
        <v>Non-respondent</v>
      </c>
    </row>
    <row r="1860" spans="1:58" x14ac:dyDescent="0.35">
      <c r="A1860">
        <v>1812</v>
      </c>
      <c r="B1860">
        <v>23477</v>
      </c>
      <c r="C1860">
        <v>1</v>
      </c>
      <c r="D1860">
        <v>0</v>
      </c>
      <c r="E1860">
        <v>39</v>
      </c>
      <c r="F1860">
        <v>38</v>
      </c>
      <c r="G1860">
        <v>15</v>
      </c>
      <c r="H1860">
        <v>54</v>
      </c>
      <c r="I1860">
        <v>3</v>
      </c>
      <c r="J1860">
        <v>8</v>
      </c>
      <c r="K1860">
        <v>29</v>
      </c>
      <c r="L1860">
        <v>3</v>
      </c>
      <c r="M1860">
        <v>3</v>
      </c>
      <c r="N1860">
        <v>0</v>
      </c>
      <c r="O1860">
        <v>4</v>
      </c>
      <c r="P1860">
        <v>8</v>
      </c>
      <c r="Q1860">
        <v>0</v>
      </c>
      <c r="R1860">
        <v>0</v>
      </c>
      <c r="S1860">
        <v>0</v>
      </c>
      <c r="T1860">
        <v>0</v>
      </c>
      <c r="U1860">
        <v>0</v>
      </c>
      <c r="V1860">
        <f>IF(SUM(ifood_data[[#This Row],[AcceptedCmp1]:[AcceptedCmp5]])&gt;0,1,0)</f>
        <v>0</v>
      </c>
      <c r="W1860">
        <v>0</v>
      </c>
      <c r="X1860">
        <v>3</v>
      </c>
      <c r="Y1860">
        <v>11</v>
      </c>
      <c r="Z1860">
        <v>0</v>
      </c>
      <c r="AA1860">
        <v>34</v>
      </c>
      <c r="AB1860">
        <v>2410</v>
      </c>
      <c r="AC1860" s="28">
        <f>ifood_data[[#This Row],[Customer_Days]]/365</f>
        <v>6.602739726027397</v>
      </c>
      <c r="AD1860">
        <v>0</v>
      </c>
      <c r="AE1860">
        <v>1</v>
      </c>
      <c r="AF1860">
        <v>0</v>
      </c>
      <c r="AG1860">
        <v>0</v>
      </c>
      <c r="AH1860">
        <v>0</v>
      </c>
      <c r="AI1860">
        <v>0</v>
      </c>
      <c r="AJ1860">
        <v>0</v>
      </c>
      <c r="AK1860">
        <v>1</v>
      </c>
      <c r="AL1860">
        <v>0</v>
      </c>
      <c r="AM1860">
        <v>0</v>
      </c>
      <c r="AN1860">
        <v>118</v>
      </c>
      <c r="AO1860">
        <v>89</v>
      </c>
      <c r="AP1860">
        <f>ifood_data[[#This Row],[MntTotal]]-ifood_data[[#This Row],[MntRegularProds]]</f>
        <v>29</v>
      </c>
      <c r="AQ1860">
        <v>0</v>
      </c>
      <c r="AR1860">
        <f>IF(SUM(ifood_data[[#This Row],[Kidhome]:[Teenhome]])&gt;0,1,0)</f>
        <v>1</v>
      </c>
      <c r="AS1860" t="str">
        <f>IF(SUM(ifood_data[[#This Row],[Kidhome]:[Teenhome]])&gt;0,"Has Family","No Family")</f>
        <v>Has Family</v>
      </c>
      <c r="AT1860" t="str">
        <f>IF(ifood_data[[#This Row],[marital_Married]]=1,"Married", (IF(ifood_data[[#This Row],[marital_Single]]=1,"Single",(IF(ifood_data[[#This Row],[marital_Divorced]]=1,"Divorced",(IF(ifood_data[[#This Row],[marital_Together]]=1,"Living Together",(IF(ifood_data[[#This Row],[marital_Widow]]=1,"Widow","Other")))))))))</f>
        <v>Married</v>
      </c>
      <c r="AU1860" t="str">
        <f>IF(ifood_data[[#This Row],[education_Basic]]=1,"High School",(IF(ifood_data[[#This Row],[education_Graduation]]=1,"Undergraduate Degree",(IF(SUM(AM1860,AL1860,AI1860)&gt;0,"Master's Degree or Higher","Other")))))</f>
        <v>Undergraduate Degree</v>
      </c>
      <c r="AV1860" t="str">
        <f>IF(ifood_data[[#All],[Income]]&gt;75000,"75K+",(IF(ifood_data[[#All],[Income]]&gt;50000,"50K-75K",(IF(ifood_data[[#All],[Income]]&gt;35000,"35K-50K","&lt;35K")))))</f>
        <v>&lt;35K</v>
      </c>
      <c r="AW1860" t="str">
        <f>IF(ifood_data[[#All],[Age]]&gt;60,"60+",(IF(ifood_data[[#All],[Age]]&gt;50,"50-60",(IF(ifood_data[[#All],[Age]]&gt;40,"40-50",(IF(ifood_data[[#All],[Age]]&gt;30,"30-40","&lt;30")))))))</f>
        <v>30-40</v>
      </c>
      <c r="AX1860">
        <f t="shared" si="116"/>
        <v>18</v>
      </c>
      <c r="AY1860">
        <f t="shared" si="117"/>
        <v>7</v>
      </c>
      <c r="AZ1860">
        <f t="shared" si="118"/>
        <v>4</v>
      </c>
      <c r="BA1860">
        <f t="shared" si="119"/>
        <v>3</v>
      </c>
      <c r="BB1860">
        <f>SUM(ifood_data[[#This Row],[Recency Score]:[Monetary Score]])</f>
        <v>14</v>
      </c>
      <c r="BC1860">
        <f>(_xlfn.PERCENTRANK.INC(ifood_data[[#All],[RFM]],ifood_data[[#This Row],[RFM]],1))*10</f>
        <v>4</v>
      </c>
      <c r="BD1860" t="str">
        <f>VLOOKUP(ifood_data[[#This Row],[RFM Score]],'RFM Analysis'!$A$3:$B$14,2,FALSE)</f>
        <v>At Risk</v>
      </c>
      <c r="BE1860">
        <f>'Regression Models'!$B$101+'Regression Models'!$B$102*ifood_data[[#This Row],[Income]]+'Regression Models'!$B$103*ifood_data[[#This Row],[Age]]+'Regression Models'!$B$104*ifood_data[[#This Row],[Family]]</f>
        <v>-61.200706315572518</v>
      </c>
      <c r="BF1860" t="str">
        <f>IF(ifood_data[[#This Row],[AcceptedCmpOverall]]=1,"Campaign Respondent","Non-respondent")</f>
        <v>Non-respondent</v>
      </c>
    </row>
    <row r="1861" spans="1:58" x14ac:dyDescent="0.35">
      <c r="A1861">
        <v>1324</v>
      </c>
      <c r="B1861">
        <v>24639</v>
      </c>
      <c r="C1861">
        <v>1</v>
      </c>
      <c r="D1861">
        <v>1</v>
      </c>
      <c r="E1861">
        <v>3</v>
      </c>
      <c r="F1861">
        <v>20</v>
      </c>
      <c r="G1861">
        <v>3</v>
      </c>
      <c r="H1861">
        <v>16</v>
      </c>
      <c r="I1861">
        <v>0</v>
      </c>
      <c r="J1861">
        <v>4</v>
      </c>
      <c r="K1861">
        <v>1</v>
      </c>
      <c r="L1861">
        <v>3</v>
      </c>
      <c r="M1861">
        <v>2</v>
      </c>
      <c r="N1861">
        <v>0</v>
      </c>
      <c r="O1861">
        <v>4</v>
      </c>
      <c r="P1861">
        <v>6</v>
      </c>
      <c r="Q1861">
        <v>0</v>
      </c>
      <c r="R1861">
        <v>0</v>
      </c>
      <c r="S1861">
        <v>0</v>
      </c>
      <c r="T1861">
        <v>0</v>
      </c>
      <c r="U1861">
        <v>0</v>
      </c>
      <c r="V1861">
        <f>IF(SUM(ifood_data[[#This Row],[AcceptedCmp1]:[AcceptedCmp5]])&gt;0,1,0)</f>
        <v>0</v>
      </c>
      <c r="W1861">
        <v>0</v>
      </c>
      <c r="X1861">
        <v>3</v>
      </c>
      <c r="Y1861">
        <v>11</v>
      </c>
      <c r="Z1861">
        <v>0</v>
      </c>
      <c r="AA1861">
        <v>47</v>
      </c>
      <c r="AB1861">
        <v>2311</v>
      </c>
      <c r="AC1861" s="28">
        <f>ifood_data[[#This Row],[Customer_Days]]/365</f>
        <v>6.3315068493150681</v>
      </c>
      <c r="AD1861">
        <v>0</v>
      </c>
      <c r="AE1861">
        <v>1</v>
      </c>
      <c r="AF1861">
        <v>0</v>
      </c>
      <c r="AG1861">
        <v>0</v>
      </c>
      <c r="AH1861">
        <v>0</v>
      </c>
      <c r="AI1861">
        <v>0</v>
      </c>
      <c r="AJ1861">
        <v>0</v>
      </c>
      <c r="AK1861">
        <v>1</v>
      </c>
      <c r="AL1861">
        <v>0</v>
      </c>
      <c r="AM1861">
        <v>0</v>
      </c>
      <c r="AN1861">
        <v>43</v>
      </c>
      <c r="AO1861">
        <v>42</v>
      </c>
      <c r="AP1861">
        <f>ifood_data[[#This Row],[MntTotal]]-ifood_data[[#This Row],[MntRegularProds]]</f>
        <v>1</v>
      </c>
      <c r="AQ1861">
        <v>0</v>
      </c>
      <c r="AR1861">
        <f>IF(SUM(ifood_data[[#This Row],[Kidhome]:[Teenhome]])&gt;0,1,0)</f>
        <v>1</v>
      </c>
      <c r="AS1861" t="str">
        <f>IF(SUM(ifood_data[[#This Row],[Kidhome]:[Teenhome]])&gt;0,"Has Family","No Family")</f>
        <v>Has Family</v>
      </c>
      <c r="AT1861" t="str">
        <f>IF(ifood_data[[#This Row],[marital_Married]]=1,"Married", (IF(ifood_data[[#This Row],[marital_Single]]=1,"Single",(IF(ifood_data[[#This Row],[marital_Divorced]]=1,"Divorced",(IF(ifood_data[[#This Row],[marital_Together]]=1,"Living Together",(IF(ifood_data[[#This Row],[marital_Widow]]=1,"Widow","Other")))))))))</f>
        <v>Married</v>
      </c>
      <c r="AU1861" t="str">
        <f>IF(ifood_data[[#This Row],[education_Basic]]=1,"High School",(IF(ifood_data[[#This Row],[education_Graduation]]=1,"Undergraduate Degree",(IF(SUM(AM1861,AL1861,AI1861)&gt;0,"Master's Degree or Higher","Other")))))</f>
        <v>Undergraduate Degree</v>
      </c>
      <c r="AV1861" t="str">
        <f>IF(ifood_data[[#All],[Income]]&gt;75000,"75K+",(IF(ifood_data[[#All],[Income]]&gt;50000,"50K-75K",(IF(ifood_data[[#All],[Income]]&gt;35000,"35K-50K","&lt;35K")))))</f>
        <v>&lt;35K</v>
      </c>
      <c r="AW1861" t="str">
        <f>IF(ifood_data[[#All],[Age]]&gt;60,"60+",(IF(ifood_data[[#All],[Age]]&gt;50,"50-60",(IF(ifood_data[[#All],[Age]]&gt;40,"40-50",(IF(ifood_data[[#All],[Age]]&gt;30,"30-40","&lt;30")))))))</f>
        <v>40-50</v>
      </c>
      <c r="AX1861">
        <f t="shared" si="116"/>
        <v>15</v>
      </c>
      <c r="AY1861">
        <f t="shared" si="117"/>
        <v>10</v>
      </c>
      <c r="AZ1861">
        <f t="shared" si="118"/>
        <v>2</v>
      </c>
      <c r="BA1861">
        <f t="shared" si="119"/>
        <v>1</v>
      </c>
      <c r="BB1861">
        <f>SUM(ifood_data[[#This Row],[Recency Score]:[Monetary Score]])</f>
        <v>13</v>
      </c>
      <c r="BC1861">
        <f>(_xlfn.PERCENTRANK.INC(ifood_data[[#All],[RFM]],ifood_data[[#This Row],[RFM]],1))*10</f>
        <v>3</v>
      </c>
      <c r="BD1861" t="str">
        <f>VLOOKUP(ifood_data[[#This Row],[RFM Score]],'RFM Analysis'!$A$3:$B$14,2,FALSE)</f>
        <v>At Risk</v>
      </c>
      <c r="BE1861">
        <f>'Regression Models'!$B$101+'Regression Models'!$B$102*ifood_data[[#This Row],[Income]]+'Regression Models'!$B$103*ifood_data[[#This Row],[Age]]+'Regression Models'!$B$104*ifood_data[[#This Row],[Family]]</f>
        <v>-61.382665757987638</v>
      </c>
      <c r="BF1861" t="str">
        <f>IF(ifood_data[[#This Row],[AcceptedCmpOverall]]=1,"Campaign Respondent","Non-respondent")</f>
        <v>Non-respondent</v>
      </c>
    </row>
    <row r="1862" spans="1:58" x14ac:dyDescent="0.35">
      <c r="A1862">
        <v>579</v>
      </c>
      <c r="B1862">
        <v>26150</v>
      </c>
      <c r="C1862">
        <v>2</v>
      </c>
      <c r="D1862">
        <v>1</v>
      </c>
      <c r="E1862">
        <v>61</v>
      </c>
      <c r="F1862">
        <v>5</v>
      </c>
      <c r="G1862">
        <v>1</v>
      </c>
      <c r="H1862">
        <v>13</v>
      </c>
      <c r="I1862">
        <v>3</v>
      </c>
      <c r="J1862">
        <v>5</v>
      </c>
      <c r="K1862">
        <v>1</v>
      </c>
      <c r="L1862">
        <v>1</v>
      </c>
      <c r="M1862">
        <v>1</v>
      </c>
      <c r="N1862">
        <v>0</v>
      </c>
      <c r="O1862">
        <v>3</v>
      </c>
      <c r="P1862">
        <v>7</v>
      </c>
      <c r="Q1862">
        <v>0</v>
      </c>
      <c r="R1862">
        <v>0</v>
      </c>
      <c r="S1862">
        <v>0</v>
      </c>
      <c r="T1862">
        <v>0</v>
      </c>
      <c r="U1862">
        <v>0</v>
      </c>
      <c r="V1862">
        <f>IF(SUM(ifood_data[[#This Row],[AcceptedCmp1]:[AcceptedCmp5]])&gt;0,1,0)</f>
        <v>0</v>
      </c>
      <c r="W1862">
        <v>0</v>
      </c>
      <c r="X1862">
        <v>3</v>
      </c>
      <c r="Y1862">
        <v>11</v>
      </c>
      <c r="Z1862">
        <v>0</v>
      </c>
      <c r="AA1862">
        <v>64</v>
      </c>
      <c r="AB1862">
        <v>2634</v>
      </c>
      <c r="AC1862" s="28">
        <f>ifood_data[[#This Row],[Customer_Days]]/365</f>
        <v>7.2164383561643834</v>
      </c>
      <c r="AD1862">
        <v>1</v>
      </c>
      <c r="AE1862">
        <v>0</v>
      </c>
      <c r="AF1862">
        <v>0</v>
      </c>
      <c r="AG1862">
        <v>0</v>
      </c>
      <c r="AH1862">
        <v>0</v>
      </c>
      <c r="AI1862">
        <v>0</v>
      </c>
      <c r="AJ1862">
        <v>0</v>
      </c>
      <c r="AK1862">
        <v>1</v>
      </c>
      <c r="AL1862">
        <v>0</v>
      </c>
      <c r="AM1862">
        <v>0</v>
      </c>
      <c r="AN1862">
        <v>27</v>
      </c>
      <c r="AO1862">
        <v>26</v>
      </c>
      <c r="AP1862">
        <f>ifood_data[[#This Row],[MntTotal]]-ifood_data[[#This Row],[MntRegularProds]]</f>
        <v>1</v>
      </c>
      <c r="AQ1862">
        <v>0</v>
      </c>
      <c r="AR1862">
        <f>IF(SUM(ifood_data[[#This Row],[Kidhome]:[Teenhome]])&gt;0,1,0)</f>
        <v>1</v>
      </c>
      <c r="AS1862" t="str">
        <f>IF(SUM(ifood_data[[#This Row],[Kidhome]:[Teenhome]])&gt;0,"Has Family","No Family")</f>
        <v>Has Family</v>
      </c>
      <c r="AT1862" t="str">
        <f>IF(ifood_data[[#This Row],[marital_Married]]=1,"Married", (IF(ifood_data[[#This Row],[marital_Single]]=1,"Single",(IF(ifood_data[[#This Row],[marital_Divorced]]=1,"Divorced",(IF(ifood_data[[#This Row],[marital_Together]]=1,"Living Together",(IF(ifood_data[[#This Row],[marital_Widow]]=1,"Widow","Other")))))))))</f>
        <v>Divorced</v>
      </c>
      <c r="AU1862" t="str">
        <f>IF(ifood_data[[#This Row],[education_Basic]]=1,"High School",(IF(ifood_data[[#This Row],[education_Graduation]]=1,"Undergraduate Degree",(IF(SUM(AM1862,AL1862,AI1862)&gt;0,"Master's Degree or Higher","Other")))))</f>
        <v>Undergraduate Degree</v>
      </c>
      <c r="AV1862" t="str">
        <f>IF(ifood_data[[#All],[Income]]&gt;75000,"75K+",(IF(ifood_data[[#All],[Income]]&gt;50000,"50K-75K",(IF(ifood_data[[#All],[Income]]&gt;35000,"35K-50K","&lt;35K")))))</f>
        <v>&lt;35K</v>
      </c>
      <c r="AW1862" t="str">
        <f>IF(ifood_data[[#All],[Age]]&gt;60,"60+",(IF(ifood_data[[#All],[Age]]&gt;50,"50-60",(IF(ifood_data[[#All],[Age]]&gt;40,"40-50",(IF(ifood_data[[#All],[Age]]&gt;30,"30-40","&lt;30")))))))</f>
        <v>60+</v>
      </c>
      <c r="AX1862">
        <f t="shared" si="116"/>
        <v>12</v>
      </c>
      <c r="AY1862">
        <f t="shared" si="117"/>
        <v>4</v>
      </c>
      <c r="AZ1862">
        <f t="shared" si="118"/>
        <v>1</v>
      </c>
      <c r="BA1862">
        <f t="shared" si="119"/>
        <v>0</v>
      </c>
      <c r="BB1862">
        <f>SUM(ifood_data[[#This Row],[Recency Score]:[Monetary Score]])</f>
        <v>5</v>
      </c>
      <c r="BC1862">
        <f>(_xlfn.PERCENTRANK.INC(ifood_data[[#All],[RFM]],ifood_data[[#This Row],[RFM]],1))*10</f>
        <v>0</v>
      </c>
      <c r="BD1862" t="str">
        <f>VLOOKUP(ifood_data[[#This Row],[RFM Score]],'RFM Analysis'!$A$3:$B$14,2,FALSE)</f>
        <v>Lost</v>
      </c>
      <c r="BE1862">
        <f>'Regression Models'!$B$101+'Regression Models'!$B$102*ifood_data[[#This Row],[Income]]+'Regression Models'!$B$103*ifood_data[[#This Row],[Age]]+'Regression Models'!$B$104*ifood_data[[#This Row],[Family]]</f>
        <v>-61.794701433759087</v>
      </c>
      <c r="BF1862" t="str">
        <f>IF(ifood_data[[#This Row],[AcceptedCmpOverall]]=1,"Campaign Respondent","Non-respondent")</f>
        <v>Non-respondent</v>
      </c>
    </row>
    <row r="1863" spans="1:58" x14ac:dyDescent="0.35">
      <c r="A1863">
        <v>222</v>
      </c>
      <c r="B1863">
        <v>23661</v>
      </c>
      <c r="C1863">
        <v>1</v>
      </c>
      <c r="D1863">
        <v>0</v>
      </c>
      <c r="E1863">
        <v>46</v>
      </c>
      <c r="F1863">
        <v>18</v>
      </c>
      <c r="G1863">
        <v>0</v>
      </c>
      <c r="H1863">
        <v>4</v>
      </c>
      <c r="I1863">
        <v>0</v>
      </c>
      <c r="J1863">
        <v>0</v>
      </c>
      <c r="K1863">
        <v>1</v>
      </c>
      <c r="L1863">
        <v>1</v>
      </c>
      <c r="M1863">
        <v>1</v>
      </c>
      <c r="N1863">
        <v>0</v>
      </c>
      <c r="O1863">
        <v>3</v>
      </c>
      <c r="P1863">
        <v>7</v>
      </c>
      <c r="Q1863">
        <v>0</v>
      </c>
      <c r="R1863">
        <v>0</v>
      </c>
      <c r="S1863">
        <v>0</v>
      </c>
      <c r="T1863">
        <v>0</v>
      </c>
      <c r="U1863">
        <v>0</v>
      </c>
      <c r="V1863">
        <f>IF(SUM(ifood_data[[#This Row],[AcceptedCmp1]:[AcceptedCmp5]])&gt;0,1,0)</f>
        <v>0</v>
      </c>
      <c r="W1863">
        <v>0</v>
      </c>
      <c r="X1863">
        <v>3</v>
      </c>
      <c r="Y1863">
        <v>11</v>
      </c>
      <c r="Z1863">
        <v>0</v>
      </c>
      <c r="AA1863">
        <v>38</v>
      </c>
      <c r="AB1863">
        <v>2366</v>
      </c>
      <c r="AC1863" s="28">
        <f>ifood_data[[#This Row],[Customer_Days]]/365</f>
        <v>6.4821917808219176</v>
      </c>
      <c r="AD1863">
        <v>0</v>
      </c>
      <c r="AE1863">
        <v>0</v>
      </c>
      <c r="AF1863">
        <v>0</v>
      </c>
      <c r="AG1863">
        <v>1</v>
      </c>
      <c r="AH1863">
        <v>0</v>
      </c>
      <c r="AI1863">
        <v>0</v>
      </c>
      <c r="AJ1863">
        <v>0</v>
      </c>
      <c r="AK1863">
        <v>0</v>
      </c>
      <c r="AL1863">
        <v>1</v>
      </c>
      <c r="AM1863">
        <v>0</v>
      </c>
      <c r="AN1863">
        <v>22</v>
      </c>
      <c r="AO1863">
        <v>21</v>
      </c>
      <c r="AP1863">
        <f>ifood_data[[#This Row],[MntTotal]]-ifood_data[[#This Row],[MntRegularProds]]</f>
        <v>1</v>
      </c>
      <c r="AQ1863">
        <v>0</v>
      </c>
      <c r="AR1863">
        <f>IF(SUM(ifood_data[[#This Row],[Kidhome]:[Teenhome]])&gt;0,1,0)</f>
        <v>1</v>
      </c>
      <c r="AS1863" t="str">
        <f>IF(SUM(ifood_data[[#This Row],[Kidhome]:[Teenhome]])&gt;0,"Has Family","No Family")</f>
        <v>Has Family</v>
      </c>
      <c r="AT1863" t="str">
        <f>IF(ifood_data[[#This Row],[marital_Married]]=1,"Married", (IF(ifood_data[[#This Row],[marital_Single]]=1,"Single",(IF(ifood_data[[#This Row],[marital_Divorced]]=1,"Divorced",(IF(ifood_data[[#This Row],[marital_Together]]=1,"Living Together",(IF(ifood_data[[#This Row],[marital_Widow]]=1,"Widow","Other")))))))))</f>
        <v>Living Together</v>
      </c>
      <c r="AU1863" t="str">
        <f>IF(ifood_data[[#This Row],[education_Basic]]=1,"High School",(IF(ifood_data[[#This Row],[education_Graduation]]=1,"Undergraduate Degree",(IF(SUM(AM1863,AL1863,AI1863)&gt;0,"Master's Degree or Higher","Other")))))</f>
        <v>Master's Degree or Higher</v>
      </c>
      <c r="AV1863" t="str">
        <f>IF(ifood_data[[#All],[Income]]&gt;75000,"75K+",(IF(ifood_data[[#All],[Income]]&gt;50000,"50K-75K",(IF(ifood_data[[#All],[Income]]&gt;35000,"35K-50K","&lt;35K")))))</f>
        <v>&lt;35K</v>
      </c>
      <c r="AW1863" t="str">
        <f>IF(ifood_data[[#All],[Age]]&gt;60,"60+",(IF(ifood_data[[#All],[Age]]&gt;50,"50-60",(IF(ifood_data[[#All],[Age]]&gt;40,"40-50",(IF(ifood_data[[#All],[Age]]&gt;30,"30-40","&lt;30")))))))</f>
        <v>30-40</v>
      </c>
      <c r="AX1863">
        <f t="shared" si="116"/>
        <v>12</v>
      </c>
      <c r="AY1863">
        <f t="shared" si="117"/>
        <v>6</v>
      </c>
      <c r="AZ1863">
        <f t="shared" si="118"/>
        <v>1</v>
      </c>
      <c r="BA1863">
        <f t="shared" si="119"/>
        <v>0</v>
      </c>
      <c r="BB1863">
        <f>SUM(ifood_data[[#This Row],[Recency Score]:[Monetary Score]])</f>
        <v>7</v>
      </c>
      <c r="BC1863">
        <f>(_xlfn.PERCENTRANK.INC(ifood_data[[#All],[RFM]],ifood_data[[#This Row],[RFM]],1))*10</f>
        <v>1</v>
      </c>
      <c r="BD1863" t="str">
        <f>VLOOKUP(ifood_data[[#This Row],[RFM Score]],'RFM Analysis'!$A$3:$B$14,2,FALSE)</f>
        <v>At Risk</v>
      </c>
      <c r="BE1863">
        <f>'Regression Models'!$B$101+'Regression Models'!$B$102*ifood_data[[#This Row],[Income]]+'Regression Models'!$B$103*ifood_data[[#This Row],[Age]]+'Regression Models'!$B$104*ifood_data[[#This Row],[Family]]</f>
        <v>-64.794929292672236</v>
      </c>
      <c r="BF1863" t="str">
        <f>IF(ifood_data[[#This Row],[AcceptedCmpOverall]]=1,"Campaign Respondent","Non-respondent")</f>
        <v>Non-respondent</v>
      </c>
    </row>
    <row r="1864" spans="1:58" x14ac:dyDescent="0.35">
      <c r="A1864">
        <v>1548</v>
      </c>
      <c r="B1864">
        <v>23536</v>
      </c>
      <c r="C1864">
        <v>1</v>
      </c>
      <c r="D1864">
        <v>0</v>
      </c>
      <c r="E1864">
        <v>53</v>
      </c>
      <c r="F1864">
        <v>6</v>
      </c>
      <c r="G1864">
        <v>0</v>
      </c>
      <c r="H1864">
        <v>3</v>
      </c>
      <c r="I1864">
        <v>0</v>
      </c>
      <c r="J1864">
        <v>0</v>
      </c>
      <c r="K1864">
        <v>1</v>
      </c>
      <c r="L1864">
        <v>1</v>
      </c>
      <c r="M1864">
        <v>0</v>
      </c>
      <c r="N1864">
        <v>0</v>
      </c>
      <c r="O1864">
        <v>3</v>
      </c>
      <c r="P1864">
        <v>3</v>
      </c>
      <c r="Q1864">
        <v>0</v>
      </c>
      <c r="R1864">
        <v>0</v>
      </c>
      <c r="S1864">
        <v>0</v>
      </c>
      <c r="T1864">
        <v>0</v>
      </c>
      <c r="U1864">
        <v>0</v>
      </c>
      <c r="V1864">
        <f>IF(SUM(ifood_data[[#This Row],[AcceptedCmp1]:[AcceptedCmp5]])&gt;0,1,0)</f>
        <v>0</v>
      </c>
      <c r="W1864">
        <v>0</v>
      </c>
      <c r="X1864">
        <v>3</v>
      </c>
      <c r="Y1864">
        <v>11</v>
      </c>
      <c r="Z1864">
        <v>0</v>
      </c>
      <c r="AA1864">
        <v>37</v>
      </c>
      <c r="AB1864">
        <v>2184</v>
      </c>
      <c r="AC1864" s="28">
        <f>ifood_data[[#This Row],[Customer_Days]]/365</f>
        <v>5.9835616438356167</v>
      </c>
      <c r="AD1864">
        <v>0</v>
      </c>
      <c r="AE1864">
        <v>1</v>
      </c>
      <c r="AF1864">
        <v>0</v>
      </c>
      <c r="AG1864">
        <v>0</v>
      </c>
      <c r="AH1864">
        <v>0</v>
      </c>
      <c r="AI1864">
        <v>0</v>
      </c>
      <c r="AJ1864">
        <v>0</v>
      </c>
      <c r="AK1864">
        <v>0</v>
      </c>
      <c r="AL1864">
        <v>0</v>
      </c>
      <c r="AM1864">
        <v>1</v>
      </c>
      <c r="AN1864">
        <v>9</v>
      </c>
      <c r="AO1864">
        <v>8</v>
      </c>
      <c r="AP1864">
        <f>ifood_data[[#This Row],[MntTotal]]-ifood_data[[#This Row],[MntRegularProds]]</f>
        <v>1</v>
      </c>
      <c r="AQ1864">
        <v>0</v>
      </c>
      <c r="AR1864">
        <f>IF(SUM(ifood_data[[#This Row],[Kidhome]:[Teenhome]])&gt;0,1,0)</f>
        <v>1</v>
      </c>
      <c r="AS1864" t="str">
        <f>IF(SUM(ifood_data[[#This Row],[Kidhome]:[Teenhome]])&gt;0,"Has Family","No Family")</f>
        <v>Has Family</v>
      </c>
      <c r="AT1864" t="str">
        <f>IF(ifood_data[[#This Row],[marital_Married]]=1,"Married", (IF(ifood_data[[#This Row],[marital_Single]]=1,"Single",(IF(ifood_data[[#This Row],[marital_Divorced]]=1,"Divorced",(IF(ifood_data[[#This Row],[marital_Together]]=1,"Living Together",(IF(ifood_data[[#This Row],[marital_Widow]]=1,"Widow","Other")))))))))</f>
        <v>Married</v>
      </c>
      <c r="AU1864" t="str">
        <f>IF(ifood_data[[#This Row],[education_Basic]]=1,"High School",(IF(ifood_data[[#This Row],[education_Graduation]]=1,"Undergraduate Degree",(IF(SUM(AM1864,AL1864,AI1864)&gt;0,"Master's Degree or Higher","Other")))))</f>
        <v>Master's Degree or Higher</v>
      </c>
      <c r="AV1864" t="str">
        <f>IF(ifood_data[[#All],[Income]]&gt;75000,"75K+",(IF(ifood_data[[#All],[Income]]&gt;50000,"50K-75K",(IF(ifood_data[[#All],[Income]]&gt;35000,"35K-50K","&lt;35K")))))</f>
        <v>&lt;35K</v>
      </c>
      <c r="AW1864" t="str">
        <f>IF(ifood_data[[#All],[Age]]&gt;60,"60+",(IF(ifood_data[[#All],[Age]]&gt;50,"50-60",(IF(ifood_data[[#All],[Age]]&gt;40,"40-50",(IF(ifood_data[[#All],[Age]]&gt;30,"30-40","&lt;30")))))))</f>
        <v>30-40</v>
      </c>
      <c r="AX1864">
        <f t="shared" si="116"/>
        <v>7</v>
      </c>
      <c r="AY1864">
        <f t="shared" si="117"/>
        <v>5</v>
      </c>
      <c r="AZ1864">
        <f t="shared" si="118"/>
        <v>0</v>
      </c>
      <c r="BA1864">
        <f t="shared" si="119"/>
        <v>0</v>
      </c>
      <c r="BB1864">
        <f>SUM(ifood_data[[#This Row],[Recency Score]:[Monetary Score]])</f>
        <v>5</v>
      </c>
      <c r="BC1864">
        <f>(_xlfn.PERCENTRANK.INC(ifood_data[[#All],[RFM]],ifood_data[[#This Row],[RFM]],1))*10</f>
        <v>0</v>
      </c>
      <c r="BD1864" t="str">
        <f>VLOOKUP(ifood_data[[#This Row],[RFM Score]],'RFM Analysis'!$A$3:$B$14,2,FALSE)</f>
        <v>Lost</v>
      </c>
      <c r="BE1864">
        <f>'Regression Models'!$B$101+'Regression Models'!$B$102*ifood_data[[#This Row],[Income]]+'Regression Models'!$B$103*ifood_data[[#This Row],[Age]]+'Regression Models'!$B$104*ifood_data[[#This Row],[Family]]</f>
        <v>-65.5070862317653</v>
      </c>
      <c r="BF1864" t="str">
        <f>IF(ifood_data[[#This Row],[AcceptedCmpOverall]]=1,"Campaign Respondent","Non-respondent")</f>
        <v>Non-respondent</v>
      </c>
    </row>
    <row r="1865" spans="1:58" x14ac:dyDescent="0.35">
      <c r="A1865">
        <v>388</v>
      </c>
      <c r="B1865">
        <v>23616</v>
      </c>
      <c r="C1865">
        <v>1</v>
      </c>
      <c r="D1865">
        <v>0</v>
      </c>
      <c r="E1865">
        <v>76</v>
      </c>
      <c r="F1865">
        <v>4</v>
      </c>
      <c r="G1865">
        <v>22</v>
      </c>
      <c r="H1865">
        <v>11</v>
      </c>
      <c r="I1865">
        <v>3</v>
      </c>
      <c r="J1865">
        <v>7</v>
      </c>
      <c r="K1865">
        <v>32</v>
      </c>
      <c r="L1865">
        <v>2</v>
      </c>
      <c r="M1865">
        <v>3</v>
      </c>
      <c r="N1865">
        <v>0</v>
      </c>
      <c r="O1865">
        <v>3</v>
      </c>
      <c r="P1865">
        <v>8</v>
      </c>
      <c r="Q1865">
        <v>0</v>
      </c>
      <c r="R1865">
        <v>0</v>
      </c>
      <c r="S1865">
        <v>0</v>
      </c>
      <c r="T1865">
        <v>0</v>
      </c>
      <c r="U1865">
        <v>0</v>
      </c>
      <c r="V1865">
        <f>IF(SUM(ifood_data[[#This Row],[AcceptedCmp1]:[AcceptedCmp5]])&gt;0,1,0)</f>
        <v>0</v>
      </c>
      <c r="W1865">
        <v>0</v>
      </c>
      <c r="X1865">
        <v>3</v>
      </c>
      <c r="Y1865">
        <v>11</v>
      </c>
      <c r="Z1865">
        <v>1</v>
      </c>
      <c r="AA1865">
        <v>38</v>
      </c>
      <c r="AB1865">
        <v>2748</v>
      </c>
      <c r="AC1865" s="28">
        <f>ifood_data[[#This Row],[Customer_Days]]/365</f>
        <v>7.5287671232876709</v>
      </c>
      <c r="AD1865">
        <v>0</v>
      </c>
      <c r="AE1865">
        <v>0</v>
      </c>
      <c r="AF1865">
        <v>1</v>
      </c>
      <c r="AG1865">
        <v>0</v>
      </c>
      <c r="AH1865">
        <v>0</v>
      </c>
      <c r="AI1865">
        <v>1</v>
      </c>
      <c r="AJ1865">
        <v>0</v>
      </c>
      <c r="AK1865">
        <v>0</v>
      </c>
      <c r="AL1865">
        <v>0</v>
      </c>
      <c r="AM1865">
        <v>0</v>
      </c>
      <c r="AN1865">
        <v>47</v>
      </c>
      <c r="AO1865">
        <v>15</v>
      </c>
      <c r="AP1865">
        <f>ifood_data[[#This Row],[MntTotal]]-ifood_data[[#This Row],[MntRegularProds]]</f>
        <v>32</v>
      </c>
      <c r="AQ1865">
        <v>0</v>
      </c>
      <c r="AR1865">
        <f>IF(SUM(ifood_data[[#This Row],[Kidhome]:[Teenhome]])&gt;0,1,0)</f>
        <v>1</v>
      </c>
      <c r="AS1865" t="str">
        <f>IF(SUM(ifood_data[[#This Row],[Kidhome]:[Teenhome]])&gt;0,"Has Family","No Family")</f>
        <v>Has Family</v>
      </c>
      <c r="AT1865" t="str">
        <f>IF(ifood_data[[#This Row],[marital_Married]]=1,"Married", (IF(ifood_data[[#This Row],[marital_Single]]=1,"Single",(IF(ifood_data[[#This Row],[marital_Divorced]]=1,"Divorced",(IF(ifood_data[[#This Row],[marital_Together]]=1,"Living Together",(IF(ifood_data[[#This Row],[marital_Widow]]=1,"Widow","Other")))))))))</f>
        <v>Single</v>
      </c>
      <c r="AU1865" t="str">
        <f>IF(ifood_data[[#This Row],[education_Basic]]=1,"High School",(IF(ifood_data[[#This Row],[education_Graduation]]=1,"Undergraduate Degree",(IF(SUM(AM1865,AL1865,AI1865)&gt;0,"Master's Degree or Higher","Other")))))</f>
        <v>Master's Degree or Higher</v>
      </c>
      <c r="AV1865" t="str">
        <f>IF(ifood_data[[#All],[Income]]&gt;75000,"75K+",(IF(ifood_data[[#All],[Income]]&gt;50000,"50K-75K",(IF(ifood_data[[#All],[Income]]&gt;35000,"35K-50K","&lt;35K")))))</f>
        <v>&lt;35K</v>
      </c>
      <c r="AW1865" t="str">
        <f>IF(ifood_data[[#All],[Age]]&gt;60,"60+",(IF(ifood_data[[#All],[Age]]&gt;50,"50-60",(IF(ifood_data[[#All],[Age]]&gt;40,"40-50",(IF(ifood_data[[#All],[Age]]&gt;30,"30-40","&lt;30")))))))</f>
        <v>30-40</v>
      </c>
      <c r="AX1865">
        <f t="shared" si="116"/>
        <v>16</v>
      </c>
      <c r="AY1865">
        <f t="shared" si="117"/>
        <v>3.0000000000000004</v>
      </c>
      <c r="AZ1865">
        <f t="shared" si="118"/>
        <v>3</v>
      </c>
      <c r="BA1865">
        <f t="shared" si="119"/>
        <v>2</v>
      </c>
      <c r="BB1865">
        <f>SUM(ifood_data[[#This Row],[Recency Score]:[Monetary Score]])</f>
        <v>8</v>
      </c>
      <c r="BC1865">
        <f>(_xlfn.PERCENTRANK.INC(ifood_data[[#All],[RFM]],ifood_data[[#This Row],[RFM]],1))*10</f>
        <v>1</v>
      </c>
      <c r="BD1865" t="str">
        <f>VLOOKUP(ifood_data[[#This Row],[RFM Score]],'RFM Analysis'!$A$3:$B$14,2,FALSE)</f>
        <v>At Risk</v>
      </c>
      <c r="BE1865">
        <f>'Regression Models'!$B$101+'Regression Models'!$B$102*ifood_data[[#This Row],[Income]]+'Regression Models'!$B$103*ifood_data[[#This Row],[Age]]+'Regression Models'!$B$104*ifood_data[[#This Row],[Family]]</f>
        <v>-65.712423859147691</v>
      </c>
      <c r="BF1865" t="str">
        <f>IF(ifood_data[[#This Row],[AcceptedCmpOverall]]=1,"Campaign Respondent","Non-respondent")</f>
        <v>Non-respondent</v>
      </c>
    </row>
    <row r="1866" spans="1:58" x14ac:dyDescent="0.35">
      <c r="A1866">
        <v>660</v>
      </c>
      <c r="B1866">
        <v>26518</v>
      </c>
      <c r="C1866">
        <v>1</v>
      </c>
      <c r="D1866">
        <v>1</v>
      </c>
      <c r="E1866">
        <v>33</v>
      </c>
      <c r="F1866">
        <v>20</v>
      </c>
      <c r="G1866">
        <v>1</v>
      </c>
      <c r="H1866">
        <v>28</v>
      </c>
      <c r="I1866">
        <v>3</v>
      </c>
      <c r="J1866">
        <v>3</v>
      </c>
      <c r="K1866">
        <v>2</v>
      </c>
      <c r="L1866">
        <v>3</v>
      </c>
      <c r="M1866">
        <v>2</v>
      </c>
      <c r="N1866">
        <v>0</v>
      </c>
      <c r="O1866">
        <v>3</v>
      </c>
      <c r="P1866">
        <v>8</v>
      </c>
      <c r="Q1866">
        <v>0</v>
      </c>
      <c r="R1866">
        <v>0</v>
      </c>
      <c r="S1866">
        <v>0</v>
      </c>
      <c r="T1866">
        <v>0</v>
      </c>
      <c r="U1866">
        <v>0</v>
      </c>
      <c r="V1866">
        <f>IF(SUM(ifood_data[[#This Row],[AcceptedCmp1]:[AcceptedCmp5]])&gt;0,1,0)</f>
        <v>0</v>
      </c>
      <c r="W1866">
        <v>0</v>
      </c>
      <c r="X1866">
        <v>3</v>
      </c>
      <c r="Y1866">
        <v>11</v>
      </c>
      <c r="Z1866">
        <v>1</v>
      </c>
      <c r="AA1866">
        <v>71</v>
      </c>
      <c r="AB1866">
        <v>2606</v>
      </c>
      <c r="AC1866" s="28">
        <f>ifood_data[[#This Row],[Customer_Days]]/365</f>
        <v>7.13972602739726</v>
      </c>
      <c r="AD1866">
        <v>0</v>
      </c>
      <c r="AE1866">
        <v>0</v>
      </c>
      <c r="AF1866">
        <v>1</v>
      </c>
      <c r="AG1866">
        <v>0</v>
      </c>
      <c r="AH1866">
        <v>0</v>
      </c>
      <c r="AI1866">
        <v>0</v>
      </c>
      <c r="AJ1866">
        <v>0</v>
      </c>
      <c r="AK1866">
        <v>0</v>
      </c>
      <c r="AL1866">
        <v>0</v>
      </c>
      <c r="AM1866">
        <v>1</v>
      </c>
      <c r="AN1866">
        <v>55</v>
      </c>
      <c r="AO1866">
        <v>53</v>
      </c>
      <c r="AP1866">
        <f>ifood_data[[#This Row],[MntTotal]]-ifood_data[[#This Row],[MntRegularProds]]</f>
        <v>2</v>
      </c>
      <c r="AQ1866">
        <v>0</v>
      </c>
      <c r="AR1866">
        <f>IF(SUM(ifood_data[[#This Row],[Kidhome]:[Teenhome]])&gt;0,1,0)</f>
        <v>1</v>
      </c>
      <c r="AS1866" t="str">
        <f>IF(SUM(ifood_data[[#This Row],[Kidhome]:[Teenhome]])&gt;0,"Has Family","No Family")</f>
        <v>Has Family</v>
      </c>
      <c r="AT1866" t="str">
        <f>IF(ifood_data[[#This Row],[marital_Married]]=1,"Married", (IF(ifood_data[[#This Row],[marital_Single]]=1,"Single",(IF(ifood_data[[#This Row],[marital_Divorced]]=1,"Divorced",(IF(ifood_data[[#This Row],[marital_Together]]=1,"Living Together",(IF(ifood_data[[#This Row],[marital_Widow]]=1,"Widow","Other")))))))))</f>
        <v>Single</v>
      </c>
      <c r="AU1866" t="str">
        <f>IF(ifood_data[[#This Row],[education_Basic]]=1,"High School",(IF(ifood_data[[#This Row],[education_Graduation]]=1,"Undergraduate Degree",(IF(SUM(AM1866,AL1866,AI1866)&gt;0,"Master's Degree or Higher","Other")))))</f>
        <v>Master's Degree or Higher</v>
      </c>
      <c r="AV1866" t="str">
        <f>IF(ifood_data[[#All],[Income]]&gt;75000,"75K+",(IF(ifood_data[[#All],[Income]]&gt;50000,"50K-75K",(IF(ifood_data[[#All],[Income]]&gt;35000,"35K-50K","&lt;35K")))))</f>
        <v>&lt;35K</v>
      </c>
      <c r="AW1866" t="str">
        <f>IF(ifood_data[[#All],[Age]]&gt;60,"60+",(IF(ifood_data[[#All],[Age]]&gt;50,"50-60",(IF(ifood_data[[#All],[Age]]&gt;40,"40-50",(IF(ifood_data[[#All],[Age]]&gt;30,"30-40","&lt;30")))))))</f>
        <v>60+</v>
      </c>
      <c r="AX1866">
        <f t="shared" si="116"/>
        <v>16</v>
      </c>
      <c r="AY1866">
        <f t="shared" si="117"/>
        <v>7</v>
      </c>
      <c r="AZ1866">
        <f t="shared" si="118"/>
        <v>3</v>
      </c>
      <c r="BA1866">
        <f t="shared" si="119"/>
        <v>2</v>
      </c>
      <c r="BB1866">
        <f>SUM(ifood_data[[#This Row],[Recency Score]:[Monetary Score]])</f>
        <v>12</v>
      </c>
      <c r="BC1866">
        <f>(_xlfn.PERCENTRANK.INC(ifood_data[[#All],[RFM]],ifood_data[[#This Row],[RFM]],1))*10</f>
        <v>3</v>
      </c>
      <c r="BD1866" t="str">
        <f>VLOOKUP(ifood_data[[#This Row],[RFM Score]],'RFM Analysis'!$A$3:$B$14,2,FALSE)</f>
        <v>At Risk</v>
      </c>
      <c r="BE1866">
        <f>'Regression Models'!$B$101+'Regression Models'!$B$102*ifood_data[[#This Row],[Income]]+'Regression Models'!$B$103*ifood_data[[#This Row],[Age]]+'Regression Models'!$B$104*ifood_data[[#This Row],[Family]]</f>
        <v>-67.146708309064167</v>
      </c>
      <c r="BF1866" t="str">
        <f>IF(ifood_data[[#This Row],[AcceptedCmpOverall]]=1,"Campaign Respondent","Non-respondent")</f>
        <v>Non-respondent</v>
      </c>
    </row>
    <row r="1867" spans="1:58" x14ac:dyDescent="0.35">
      <c r="A1867">
        <v>2014</v>
      </c>
      <c r="B1867">
        <v>24434</v>
      </c>
      <c r="C1867">
        <v>2</v>
      </c>
      <c r="D1867">
        <v>0</v>
      </c>
      <c r="E1867">
        <v>9</v>
      </c>
      <c r="F1867">
        <v>3</v>
      </c>
      <c r="G1867">
        <v>2</v>
      </c>
      <c r="H1867">
        <v>8</v>
      </c>
      <c r="I1867">
        <v>20</v>
      </c>
      <c r="J1867">
        <v>0</v>
      </c>
      <c r="K1867">
        <v>17</v>
      </c>
      <c r="L1867">
        <v>2</v>
      </c>
      <c r="M1867">
        <v>2</v>
      </c>
      <c r="N1867">
        <v>1</v>
      </c>
      <c r="O1867">
        <v>2</v>
      </c>
      <c r="P1867">
        <v>7</v>
      </c>
      <c r="Q1867">
        <v>0</v>
      </c>
      <c r="R1867">
        <v>0</v>
      </c>
      <c r="S1867">
        <v>0</v>
      </c>
      <c r="T1867">
        <v>0</v>
      </c>
      <c r="U1867">
        <v>0</v>
      </c>
      <c r="V1867">
        <f>IF(SUM(ifood_data[[#This Row],[AcceptedCmp1]:[AcceptedCmp5]])&gt;0,1,0)</f>
        <v>0</v>
      </c>
      <c r="W1867">
        <v>0</v>
      </c>
      <c r="X1867">
        <v>3</v>
      </c>
      <c r="Y1867">
        <v>11</v>
      </c>
      <c r="Z1867">
        <v>0</v>
      </c>
      <c r="AA1867">
        <v>48</v>
      </c>
      <c r="AB1867">
        <v>2201</v>
      </c>
      <c r="AC1867" s="28">
        <f>ifood_data[[#This Row],[Customer_Days]]/365</f>
        <v>6.0301369863013701</v>
      </c>
      <c r="AD1867">
        <v>0</v>
      </c>
      <c r="AE1867">
        <v>1</v>
      </c>
      <c r="AF1867">
        <v>0</v>
      </c>
      <c r="AG1867">
        <v>0</v>
      </c>
      <c r="AH1867">
        <v>0</v>
      </c>
      <c r="AI1867">
        <v>0</v>
      </c>
      <c r="AJ1867">
        <v>0</v>
      </c>
      <c r="AK1867">
        <v>1</v>
      </c>
      <c r="AL1867">
        <v>0</v>
      </c>
      <c r="AM1867">
        <v>0</v>
      </c>
      <c r="AN1867">
        <v>33</v>
      </c>
      <c r="AO1867">
        <v>16</v>
      </c>
      <c r="AP1867">
        <f>ifood_data[[#This Row],[MntTotal]]-ifood_data[[#This Row],[MntRegularProds]]</f>
        <v>17</v>
      </c>
      <c r="AQ1867">
        <v>0</v>
      </c>
      <c r="AR1867">
        <f>IF(SUM(ifood_data[[#This Row],[Kidhome]:[Teenhome]])&gt;0,1,0)</f>
        <v>1</v>
      </c>
      <c r="AS1867" t="str">
        <f>IF(SUM(ifood_data[[#This Row],[Kidhome]:[Teenhome]])&gt;0,"Has Family","No Family")</f>
        <v>Has Family</v>
      </c>
      <c r="AT1867" t="str">
        <f>IF(ifood_data[[#This Row],[marital_Married]]=1,"Married", (IF(ifood_data[[#This Row],[marital_Single]]=1,"Single",(IF(ifood_data[[#This Row],[marital_Divorced]]=1,"Divorced",(IF(ifood_data[[#This Row],[marital_Together]]=1,"Living Together",(IF(ifood_data[[#This Row],[marital_Widow]]=1,"Widow","Other")))))))))</f>
        <v>Married</v>
      </c>
      <c r="AU1867" t="str">
        <f>IF(ifood_data[[#This Row],[education_Basic]]=1,"High School",(IF(ifood_data[[#This Row],[education_Graduation]]=1,"Undergraduate Degree",(IF(SUM(AM1867,AL1867,AI1867)&gt;0,"Master's Degree or Higher","Other")))))</f>
        <v>Undergraduate Degree</v>
      </c>
      <c r="AV1867" t="str">
        <f>IF(ifood_data[[#All],[Income]]&gt;75000,"75K+",(IF(ifood_data[[#All],[Income]]&gt;50000,"50K-75K",(IF(ifood_data[[#All],[Income]]&gt;35000,"35K-50K","&lt;35K")))))</f>
        <v>&lt;35K</v>
      </c>
      <c r="AW1867" t="str">
        <f>IF(ifood_data[[#All],[Age]]&gt;60,"60+",(IF(ifood_data[[#All],[Age]]&gt;50,"50-60",(IF(ifood_data[[#All],[Age]]&gt;40,"40-50",(IF(ifood_data[[#All],[Age]]&gt;30,"30-40","&lt;30")))))))</f>
        <v>40-50</v>
      </c>
      <c r="AX1867">
        <f t="shared" si="116"/>
        <v>14</v>
      </c>
      <c r="AY1867">
        <f t="shared" si="117"/>
        <v>10</v>
      </c>
      <c r="AZ1867">
        <f t="shared" si="118"/>
        <v>2</v>
      </c>
      <c r="BA1867">
        <f t="shared" si="119"/>
        <v>1</v>
      </c>
      <c r="BB1867">
        <f>SUM(ifood_data[[#This Row],[Recency Score]:[Monetary Score]])</f>
        <v>13</v>
      </c>
      <c r="BC1867">
        <f>(_xlfn.PERCENTRANK.INC(ifood_data[[#All],[RFM]],ifood_data[[#This Row],[RFM]],1))*10</f>
        <v>3</v>
      </c>
      <c r="BD1867" t="str">
        <f>VLOOKUP(ifood_data[[#This Row],[RFM Score]],'RFM Analysis'!$A$3:$B$14,2,FALSE)</f>
        <v>At Risk</v>
      </c>
      <c r="BE1867">
        <f>'Regression Models'!$B$101+'Regression Models'!$B$102*ifood_data[[#This Row],[Income]]+'Regression Models'!$B$103*ifood_data[[#This Row],[Age]]+'Regression Models'!$B$104*ifood_data[[#This Row],[Family]]</f>
        <v>-67.398802306381185</v>
      </c>
      <c r="BF1867" t="str">
        <f>IF(ifood_data[[#This Row],[AcceptedCmpOverall]]=1,"Campaign Respondent","Non-respondent")</f>
        <v>Non-respondent</v>
      </c>
    </row>
    <row r="1868" spans="1:58" x14ac:dyDescent="0.35">
      <c r="A1868">
        <v>424</v>
      </c>
      <c r="B1868">
        <v>24027</v>
      </c>
      <c r="C1868">
        <v>1</v>
      </c>
      <c r="D1868">
        <v>0</v>
      </c>
      <c r="E1868">
        <v>7</v>
      </c>
      <c r="F1868">
        <v>14</v>
      </c>
      <c r="G1868">
        <v>7</v>
      </c>
      <c r="H1868">
        <v>11</v>
      </c>
      <c r="I1868">
        <v>11</v>
      </c>
      <c r="J1868">
        <v>0</v>
      </c>
      <c r="K1868">
        <v>5</v>
      </c>
      <c r="L1868">
        <v>2</v>
      </c>
      <c r="M1868">
        <v>2</v>
      </c>
      <c r="N1868">
        <v>0</v>
      </c>
      <c r="O1868">
        <v>3</v>
      </c>
      <c r="P1868">
        <v>8</v>
      </c>
      <c r="Q1868">
        <v>0</v>
      </c>
      <c r="R1868">
        <v>0</v>
      </c>
      <c r="S1868">
        <v>0</v>
      </c>
      <c r="T1868">
        <v>0</v>
      </c>
      <c r="U1868">
        <v>0</v>
      </c>
      <c r="V1868">
        <f>IF(SUM(ifood_data[[#This Row],[AcceptedCmp1]:[AcceptedCmp5]])&gt;0,1,0)</f>
        <v>0</v>
      </c>
      <c r="W1868">
        <v>0</v>
      </c>
      <c r="X1868">
        <v>3</v>
      </c>
      <c r="Y1868">
        <v>11</v>
      </c>
      <c r="Z1868">
        <v>0</v>
      </c>
      <c r="AA1868">
        <v>44</v>
      </c>
      <c r="AB1868">
        <v>2544</v>
      </c>
      <c r="AC1868" s="28">
        <f>ifood_data[[#This Row],[Customer_Days]]/365</f>
        <v>6.9698630136986299</v>
      </c>
      <c r="AD1868">
        <v>0</v>
      </c>
      <c r="AE1868">
        <v>1</v>
      </c>
      <c r="AF1868">
        <v>0</v>
      </c>
      <c r="AG1868">
        <v>0</v>
      </c>
      <c r="AH1868">
        <v>0</v>
      </c>
      <c r="AI1868">
        <v>0</v>
      </c>
      <c r="AJ1868">
        <v>0</v>
      </c>
      <c r="AK1868">
        <v>1</v>
      </c>
      <c r="AL1868">
        <v>0</v>
      </c>
      <c r="AM1868">
        <v>0</v>
      </c>
      <c r="AN1868">
        <v>43</v>
      </c>
      <c r="AO1868">
        <v>38</v>
      </c>
      <c r="AP1868">
        <f>ifood_data[[#This Row],[MntTotal]]-ifood_data[[#This Row],[MntRegularProds]]</f>
        <v>5</v>
      </c>
      <c r="AQ1868">
        <v>0</v>
      </c>
      <c r="AR1868">
        <f>IF(SUM(ifood_data[[#This Row],[Kidhome]:[Teenhome]])&gt;0,1,0)</f>
        <v>1</v>
      </c>
      <c r="AS1868" t="str">
        <f>IF(SUM(ifood_data[[#This Row],[Kidhome]:[Teenhome]])&gt;0,"Has Family","No Family")</f>
        <v>Has Family</v>
      </c>
      <c r="AT1868" t="str">
        <f>IF(ifood_data[[#This Row],[marital_Married]]=1,"Married", (IF(ifood_data[[#This Row],[marital_Single]]=1,"Single",(IF(ifood_data[[#This Row],[marital_Divorced]]=1,"Divorced",(IF(ifood_data[[#This Row],[marital_Together]]=1,"Living Together",(IF(ifood_data[[#This Row],[marital_Widow]]=1,"Widow","Other")))))))))</f>
        <v>Married</v>
      </c>
      <c r="AU1868" t="str">
        <f>IF(ifood_data[[#This Row],[education_Basic]]=1,"High School",(IF(ifood_data[[#This Row],[education_Graduation]]=1,"Undergraduate Degree",(IF(SUM(AM1868,AL1868,AI1868)&gt;0,"Master's Degree or Higher","Other")))))</f>
        <v>Undergraduate Degree</v>
      </c>
      <c r="AV1868" t="str">
        <f>IF(ifood_data[[#All],[Income]]&gt;75000,"75K+",(IF(ifood_data[[#All],[Income]]&gt;50000,"50K-75K",(IF(ifood_data[[#All],[Income]]&gt;35000,"35K-50K","&lt;35K")))))</f>
        <v>&lt;35K</v>
      </c>
      <c r="AW1868" t="str">
        <f>IF(ifood_data[[#All],[Age]]&gt;60,"60+",(IF(ifood_data[[#All],[Age]]&gt;50,"50-60",(IF(ifood_data[[#All],[Age]]&gt;40,"40-50",(IF(ifood_data[[#All],[Age]]&gt;30,"30-40","&lt;30")))))))</f>
        <v>40-50</v>
      </c>
      <c r="AX1868">
        <f t="shared" si="116"/>
        <v>15</v>
      </c>
      <c r="AY1868">
        <f t="shared" si="117"/>
        <v>10</v>
      </c>
      <c r="AZ1868">
        <f t="shared" si="118"/>
        <v>2</v>
      </c>
      <c r="BA1868">
        <f t="shared" si="119"/>
        <v>1</v>
      </c>
      <c r="BB1868">
        <f>SUM(ifood_data[[#This Row],[Recency Score]:[Monetary Score]])</f>
        <v>13</v>
      </c>
      <c r="BC1868">
        <f>(_xlfn.PERCENTRANK.INC(ifood_data[[#All],[RFM]],ifood_data[[#This Row],[RFM]],1))*10</f>
        <v>3</v>
      </c>
      <c r="BD1868" t="str">
        <f>VLOOKUP(ifood_data[[#This Row],[RFM Score]],'RFM Analysis'!$A$3:$B$14,2,FALSE)</f>
        <v>At Risk</v>
      </c>
      <c r="BE1868">
        <f>'Regression Models'!$B$101+'Regression Models'!$B$102*ifood_data[[#This Row],[Income]]+'Regression Models'!$B$103*ifood_data[[#This Row],[Age]]+'Regression Models'!$B$104*ifood_data[[#This Row],[Family]]</f>
        <v>-68.351274625370905</v>
      </c>
      <c r="BF1868" t="str">
        <f>IF(ifood_data[[#This Row],[AcceptedCmpOverall]]=1,"Campaign Respondent","Non-respondent")</f>
        <v>Non-respondent</v>
      </c>
    </row>
    <row r="1869" spans="1:58" x14ac:dyDescent="0.35">
      <c r="A1869">
        <v>1108</v>
      </c>
      <c r="B1869">
        <v>23724</v>
      </c>
      <c r="C1869">
        <v>1</v>
      </c>
      <c r="D1869">
        <v>0</v>
      </c>
      <c r="E1869">
        <v>65</v>
      </c>
      <c r="F1869">
        <v>5</v>
      </c>
      <c r="G1869">
        <v>23</v>
      </c>
      <c r="H1869">
        <v>15</v>
      </c>
      <c r="I1869">
        <v>0</v>
      </c>
      <c r="J1869">
        <v>18</v>
      </c>
      <c r="K1869">
        <v>14</v>
      </c>
      <c r="L1869">
        <v>2</v>
      </c>
      <c r="M1869">
        <v>2</v>
      </c>
      <c r="N1869">
        <v>0</v>
      </c>
      <c r="O1869">
        <v>3</v>
      </c>
      <c r="P1869">
        <v>8</v>
      </c>
      <c r="Q1869">
        <v>0</v>
      </c>
      <c r="R1869">
        <v>0</v>
      </c>
      <c r="S1869">
        <v>0</v>
      </c>
      <c r="T1869">
        <v>0</v>
      </c>
      <c r="U1869">
        <v>0</v>
      </c>
      <c r="V1869">
        <f>IF(SUM(ifood_data[[#This Row],[AcceptedCmp1]:[AcceptedCmp5]])&gt;0,1,0)</f>
        <v>0</v>
      </c>
      <c r="W1869">
        <v>0</v>
      </c>
      <c r="X1869">
        <v>3</v>
      </c>
      <c r="Y1869">
        <v>11</v>
      </c>
      <c r="Z1869">
        <v>0</v>
      </c>
      <c r="AA1869">
        <v>41</v>
      </c>
      <c r="AB1869">
        <v>2696</v>
      </c>
      <c r="AC1869" s="28">
        <f>ifood_data[[#This Row],[Customer_Days]]/365</f>
        <v>7.3863013698630136</v>
      </c>
      <c r="AD1869">
        <v>0</v>
      </c>
      <c r="AE1869">
        <v>0</v>
      </c>
      <c r="AF1869">
        <v>0</v>
      </c>
      <c r="AG1869">
        <v>1</v>
      </c>
      <c r="AH1869">
        <v>0</v>
      </c>
      <c r="AI1869">
        <v>0</v>
      </c>
      <c r="AJ1869">
        <v>1</v>
      </c>
      <c r="AK1869">
        <v>0</v>
      </c>
      <c r="AL1869">
        <v>0</v>
      </c>
      <c r="AM1869">
        <v>0</v>
      </c>
      <c r="AN1869">
        <v>61</v>
      </c>
      <c r="AO1869">
        <v>47</v>
      </c>
      <c r="AP1869">
        <f>ifood_data[[#This Row],[MntTotal]]-ifood_data[[#This Row],[MntRegularProds]]</f>
        <v>14</v>
      </c>
      <c r="AQ1869">
        <v>0</v>
      </c>
      <c r="AR1869">
        <f>IF(SUM(ifood_data[[#This Row],[Kidhome]:[Teenhome]])&gt;0,1,0)</f>
        <v>1</v>
      </c>
      <c r="AS1869" t="str">
        <f>IF(SUM(ifood_data[[#This Row],[Kidhome]:[Teenhome]])&gt;0,"Has Family","No Family")</f>
        <v>Has Family</v>
      </c>
      <c r="AT1869" t="str">
        <f>IF(ifood_data[[#This Row],[marital_Married]]=1,"Married", (IF(ifood_data[[#This Row],[marital_Single]]=1,"Single",(IF(ifood_data[[#This Row],[marital_Divorced]]=1,"Divorced",(IF(ifood_data[[#This Row],[marital_Together]]=1,"Living Together",(IF(ifood_data[[#This Row],[marital_Widow]]=1,"Widow","Other")))))))))</f>
        <v>Living Together</v>
      </c>
      <c r="AU1869" t="str">
        <f>IF(ifood_data[[#This Row],[education_Basic]]=1,"High School",(IF(ifood_data[[#This Row],[education_Graduation]]=1,"Undergraduate Degree",(IF(SUM(AM1869,AL1869,AI1869)&gt;0,"Master's Degree or Higher","Other")))))</f>
        <v>High School</v>
      </c>
      <c r="AV1869" t="str">
        <f>IF(ifood_data[[#All],[Income]]&gt;75000,"75K+",(IF(ifood_data[[#All],[Income]]&gt;50000,"50K-75K",(IF(ifood_data[[#All],[Income]]&gt;35000,"35K-50K","&lt;35K")))))</f>
        <v>&lt;35K</v>
      </c>
      <c r="AW1869" t="str">
        <f>IF(ifood_data[[#All],[Age]]&gt;60,"60+",(IF(ifood_data[[#All],[Age]]&gt;50,"50-60",(IF(ifood_data[[#All],[Age]]&gt;40,"40-50",(IF(ifood_data[[#All],[Age]]&gt;30,"30-40","&lt;30")))))))</f>
        <v>40-50</v>
      </c>
      <c r="AX1869">
        <f t="shared" si="116"/>
        <v>15</v>
      </c>
      <c r="AY1869">
        <f t="shared" si="117"/>
        <v>4</v>
      </c>
      <c r="AZ1869">
        <f t="shared" si="118"/>
        <v>2</v>
      </c>
      <c r="BA1869">
        <f t="shared" si="119"/>
        <v>2</v>
      </c>
      <c r="BB1869">
        <f>SUM(ifood_data[[#This Row],[Recency Score]:[Monetary Score]])</f>
        <v>8</v>
      </c>
      <c r="BC1869">
        <f>(_xlfn.PERCENTRANK.INC(ifood_data[[#All],[RFM]],ifood_data[[#This Row],[RFM]],1))*10</f>
        <v>1</v>
      </c>
      <c r="BD1869" t="str">
        <f>VLOOKUP(ifood_data[[#This Row],[RFM Score]],'RFM Analysis'!$A$3:$B$14,2,FALSE)</f>
        <v>At Risk</v>
      </c>
      <c r="BE1869">
        <f>'Regression Models'!$B$101+'Regression Models'!$B$102*ifood_data[[#This Row],[Income]]+'Regression Models'!$B$103*ifood_data[[#This Row],[Age]]+'Regression Models'!$B$104*ifood_data[[#This Row],[Family]]</f>
        <v>-69.019754136289436</v>
      </c>
      <c r="BF1869" t="str">
        <f>IF(ifood_data[[#This Row],[AcceptedCmpOverall]]=1,"Campaign Respondent","Non-respondent")</f>
        <v>Non-respondent</v>
      </c>
    </row>
    <row r="1870" spans="1:58" x14ac:dyDescent="0.35">
      <c r="A1870">
        <v>151</v>
      </c>
      <c r="B1870">
        <v>23228</v>
      </c>
      <c r="C1870">
        <v>1</v>
      </c>
      <c r="D1870">
        <v>0</v>
      </c>
      <c r="E1870">
        <v>91</v>
      </c>
      <c r="F1870">
        <v>53</v>
      </c>
      <c r="G1870">
        <v>3</v>
      </c>
      <c r="H1870">
        <v>49</v>
      </c>
      <c r="I1870">
        <v>7</v>
      </c>
      <c r="J1870">
        <v>4</v>
      </c>
      <c r="K1870">
        <v>5</v>
      </c>
      <c r="L1870">
        <v>4</v>
      </c>
      <c r="M1870">
        <v>3</v>
      </c>
      <c r="N1870">
        <v>0</v>
      </c>
      <c r="O1870">
        <v>4</v>
      </c>
      <c r="P1870">
        <v>8</v>
      </c>
      <c r="Q1870">
        <v>0</v>
      </c>
      <c r="R1870">
        <v>0</v>
      </c>
      <c r="S1870">
        <v>0</v>
      </c>
      <c r="T1870">
        <v>0</v>
      </c>
      <c r="U1870">
        <v>0</v>
      </c>
      <c r="V1870">
        <f>IF(SUM(ifood_data[[#This Row],[AcceptedCmp1]:[AcceptedCmp5]])&gt;0,1,0)</f>
        <v>0</v>
      </c>
      <c r="W1870">
        <v>0</v>
      </c>
      <c r="X1870">
        <v>3</v>
      </c>
      <c r="Y1870">
        <v>11</v>
      </c>
      <c r="Z1870">
        <v>0</v>
      </c>
      <c r="AA1870">
        <v>36</v>
      </c>
      <c r="AB1870">
        <v>2334</v>
      </c>
      <c r="AC1870" s="28">
        <f>ifood_data[[#This Row],[Customer_Days]]/365</f>
        <v>6.3945205479452056</v>
      </c>
      <c r="AD1870">
        <v>0</v>
      </c>
      <c r="AE1870">
        <v>1</v>
      </c>
      <c r="AF1870">
        <v>0</v>
      </c>
      <c r="AG1870">
        <v>0</v>
      </c>
      <c r="AH1870">
        <v>0</v>
      </c>
      <c r="AI1870">
        <v>0</v>
      </c>
      <c r="AJ1870">
        <v>0</v>
      </c>
      <c r="AK1870">
        <v>1</v>
      </c>
      <c r="AL1870">
        <v>0</v>
      </c>
      <c r="AM1870">
        <v>0</v>
      </c>
      <c r="AN1870">
        <v>116</v>
      </c>
      <c r="AO1870">
        <v>111</v>
      </c>
      <c r="AP1870">
        <f>ifood_data[[#This Row],[MntTotal]]-ifood_data[[#This Row],[MntRegularProds]]</f>
        <v>5</v>
      </c>
      <c r="AQ1870">
        <v>0</v>
      </c>
      <c r="AR1870">
        <f>IF(SUM(ifood_data[[#This Row],[Kidhome]:[Teenhome]])&gt;0,1,0)</f>
        <v>1</v>
      </c>
      <c r="AS1870" t="str">
        <f>IF(SUM(ifood_data[[#This Row],[Kidhome]:[Teenhome]])&gt;0,"Has Family","No Family")</f>
        <v>Has Family</v>
      </c>
      <c r="AT1870" t="str">
        <f>IF(ifood_data[[#This Row],[marital_Married]]=1,"Married", (IF(ifood_data[[#This Row],[marital_Single]]=1,"Single",(IF(ifood_data[[#This Row],[marital_Divorced]]=1,"Divorced",(IF(ifood_data[[#This Row],[marital_Together]]=1,"Living Together",(IF(ifood_data[[#This Row],[marital_Widow]]=1,"Widow","Other")))))))))</f>
        <v>Married</v>
      </c>
      <c r="AU1870" t="str">
        <f>IF(ifood_data[[#This Row],[education_Basic]]=1,"High School",(IF(ifood_data[[#This Row],[education_Graduation]]=1,"Undergraduate Degree",(IF(SUM(AM1870,AL1870,AI1870)&gt;0,"Master's Degree or Higher","Other")))))</f>
        <v>Undergraduate Degree</v>
      </c>
      <c r="AV1870" t="str">
        <f>IF(ifood_data[[#All],[Income]]&gt;75000,"75K+",(IF(ifood_data[[#All],[Income]]&gt;50000,"50K-75K",(IF(ifood_data[[#All],[Income]]&gt;35000,"35K-50K","&lt;35K")))))</f>
        <v>&lt;35K</v>
      </c>
      <c r="AW1870" t="str">
        <f>IF(ifood_data[[#All],[Age]]&gt;60,"60+",(IF(ifood_data[[#All],[Age]]&gt;50,"50-60",(IF(ifood_data[[#All],[Age]]&gt;40,"40-50",(IF(ifood_data[[#All],[Age]]&gt;30,"30-40","&lt;30")))))))</f>
        <v>30-40</v>
      </c>
      <c r="AX1870">
        <f t="shared" si="116"/>
        <v>19</v>
      </c>
      <c r="AY1870">
        <f t="shared" si="117"/>
        <v>0.99999999999999978</v>
      </c>
      <c r="AZ1870">
        <f t="shared" si="118"/>
        <v>4</v>
      </c>
      <c r="BA1870">
        <f t="shared" si="119"/>
        <v>3</v>
      </c>
      <c r="BB1870">
        <f>SUM(ifood_data[[#This Row],[Recency Score]:[Monetary Score]])</f>
        <v>8</v>
      </c>
      <c r="BC1870">
        <f>(_xlfn.PERCENTRANK.INC(ifood_data[[#All],[RFM]],ifood_data[[#This Row],[RFM]],1))*10</f>
        <v>1</v>
      </c>
      <c r="BD1870" t="str">
        <f>VLOOKUP(ifood_data[[#This Row],[RFM Score]],'RFM Analysis'!$A$3:$B$14,2,FALSE)</f>
        <v>At Risk</v>
      </c>
      <c r="BE1870">
        <f>'Regression Models'!$B$101+'Regression Models'!$B$102*ifood_data[[#This Row],[Income]]+'Regression Models'!$B$103*ifood_data[[#This Row],[Age]]+'Regression Models'!$B$104*ifood_data[[#This Row],[Family]]</f>
        <v>-69.950387741191889</v>
      </c>
      <c r="BF1870" t="str">
        <f>IF(ifood_data[[#This Row],[AcceptedCmpOverall]]=1,"Campaign Respondent","Non-respondent")</f>
        <v>Non-respondent</v>
      </c>
    </row>
    <row r="1871" spans="1:58" x14ac:dyDescent="0.35">
      <c r="A1871">
        <v>135</v>
      </c>
      <c r="B1871">
        <v>23957</v>
      </c>
      <c r="C1871">
        <v>1</v>
      </c>
      <c r="D1871">
        <v>0</v>
      </c>
      <c r="E1871">
        <v>47</v>
      </c>
      <c r="F1871">
        <v>2</v>
      </c>
      <c r="G1871">
        <v>1</v>
      </c>
      <c r="H1871">
        <v>18</v>
      </c>
      <c r="I1871">
        <v>20</v>
      </c>
      <c r="J1871">
        <v>11</v>
      </c>
      <c r="K1871">
        <v>16</v>
      </c>
      <c r="L1871">
        <v>1</v>
      </c>
      <c r="M1871">
        <v>2</v>
      </c>
      <c r="N1871">
        <v>0</v>
      </c>
      <c r="O1871">
        <v>3</v>
      </c>
      <c r="P1871">
        <v>6</v>
      </c>
      <c r="Q1871">
        <v>0</v>
      </c>
      <c r="R1871">
        <v>0</v>
      </c>
      <c r="S1871">
        <v>0</v>
      </c>
      <c r="T1871">
        <v>0</v>
      </c>
      <c r="U1871">
        <v>0</v>
      </c>
      <c r="V1871">
        <f>IF(SUM(ifood_data[[#This Row],[AcceptedCmp1]:[AcceptedCmp5]])&gt;0,1,0)</f>
        <v>0</v>
      </c>
      <c r="W1871">
        <v>0</v>
      </c>
      <c r="X1871">
        <v>3</v>
      </c>
      <c r="Y1871">
        <v>11</v>
      </c>
      <c r="Z1871">
        <v>1</v>
      </c>
      <c r="AA1871">
        <v>45</v>
      </c>
      <c r="AB1871">
        <v>2768</v>
      </c>
      <c r="AC1871" s="28">
        <f>ifood_data[[#This Row],[Customer_Days]]/365</f>
        <v>7.5835616438356164</v>
      </c>
      <c r="AD1871">
        <v>0</v>
      </c>
      <c r="AE1871">
        <v>1</v>
      </c>
      <c r="AF1871">
        <v>0</v>
      </c>
      <c r="AG1871">
        <v>0</v>
      </c>
      <c r="AH1871">
        <v>0</v>
      </c>
      <c r="AI1871">
        <v>0</v>
      </c>
      <c r="AJ1871">
        <v>0</v>
      </c>
      <c r="AK1871">
        <v>1</v>
      </c>
      <c r="AL1871">
        <v>0</v>
      </c>
      <c r="AM1871">
        <v>0</v>
      </c>
      <c r="AN1871">
        <v>52</v>
      </c>
      <c r="AO1871">
        <v>36</v>
      </c>
      <c r="AP1871">
        <f>ifood_data[[#This Row],[MntTotal]]-ifood_data[[#This Row],[MntRegularProds]]</f>
        <v>16</v>
      </c>
      <c r="AQ1871">
        <v>0</v>
      </c>
      <c r="AR1871">
        <f>IF(SUM(ifood_data[[#This Row],[Kidhome]:[Teenhome]])&gt;0,1,0)</f>
        <v>1</v>
      </c>
      <c r="AS1871" t="str">
        <f>IF(SUM(ifood_data[[#This Row],[Kidhome]:[Teenhome]])&gt;0,"Has Family","No Family")</f>
        <v>Has Family</v>
      </c>
      <c r="AT1871" t="str">
        <f>IF(ifood_data[[#This Row],[marital_Married]]=1,"Married", (IF(ifood_data[[#This Row],[marital_Single]]=1,"Single",(IF(ifood_data[[#This Row],[marital_Divorced]]=1,"Divorced",(IF(ifood_data[[#This Row],[marital_Together]]=1,"Living Together",(IF(ifood_data[[#This Row],[marital_Widow]]=1,"Widow","Other")))))))))</f>
        <v>Married</v>
      </c>
      <c r="AU1871" t="str">
        <f>IF(ifood_data[[#This Row],[education_Basic]]=1,"High School",(IF(ifood_data[[#This Row],[education_Graduation]]=1,"Undergraduate Degree",(IF(SUM(AM1871,AL1871,AI1871)&gt;0,"Master's Degree or Higher","Other")))))</f>
        <v>Undergraduate Degree</v>
      </c>
      <c r="AV1871" t="str">
        <f>IF(ifood_data[[#All],[Income]]&gt;75000,"75K+",(IF(ifood_data[[#All],[Income]]&gt;50000,"50K-75K",(IF(ifood_data[[#All],[Income]]&gt;35000,"35K-50K","&lt;35K")))))</f>
        <v>&lt;35K</v>
      </c>
      <c r="AW1871" t="str">
        <f>IF(ifood_data[[#All],[Age]]&gt;60,"60+",(IF(ifood_data[[#All],[Age]]&gt;50,"50-60",(IF(ifood_data[[#All],[Age]]&gt;40,"40-50",(IF(ifood_data[[#All],[Age]]&gt;30,"30-40","&lt;30")))))))</f>
        <v>40-50</v>
      </c>
      <c r="AX1871">
        <f t="shared" si="116"/>
        <v>12</v>
      </c>
      <c r="AY1871">
        <f t="shared" si="117"/>
        <v>6</v>
      </c>
      <c r="AZ1871">
        <f t="shared" si="118"/>
        <v>1</v>
      </c>
      <c r="BA1871">
        <f t="shared" si="119"/>
        <v>2</v>
      </c>
      <c r="BB1871">
        <f>SUM(ifood_data[[#This Row],[Recency Score]:[Monetary Score]])</f>
        <v>9</v>
      </c>
      <c r="BC1871">
        <f>(_xlfn.PERCENTRANK.INC(ifood_data[[#All],[RFM]],ifood_data[[#This Row],[RFM]],1))*10</f>
        <v>1</v>
      </c>
      <c r="BD1871" t="str">
        <f>VLOOKUP(ifood_data[[#This Row],[RFM Score]],'RFM Analysis'!$A$3:$B$14,2,FALSE)</f>
        <v>At Risk</v>
      </c>
      <c r="BE1871">
        <f>'Regression Models'!$B$101+'Regression Models'!$B$102*ifood_data[[#This Row],[Income]]+'Regression Models'!$B$103*ifood_data[[#This Row],[Age]]+'Regression Models'!$B$104*ifood_data[[#This Row],[Family]]</f>
        <v>-71.614927474338089</v>
      </c>
      <c r="BF1871" t="str">
        <f>IF(ifood_data[[#This Row],[AcceptedCmpOverall]]=1,"Campaign Respondent","Non-respondent")</f>
        <v>Non-respondent</v>
      </c>
    </row>
    <row r="1872" spans="1:58" x14ac:dyDescent="0.35">
      <c r="A1872">
        <v>1772</v>
      </c>
      <c r="B1872">
        <v>23763</v>
      </c>
      <c r="C1872">
        <v>1</v>
      </c>
      <c r="D1872">
        <v>0</v>
      </c>
      <c r="E1872">
        <v>64</v>
      </c>
      <c r="F1872">
        <v>22</v>
      </c>
      <c r="G1872">
        <v>0</v>
      </c>
      <c r="H1872">
        <v>6</v>
      </c>
      <c r="I1872">
        <v>6</v>
      </c>
      <c r="J1872">
        <v>2</v>
      </c>
      <c r="K1872">
        <v>6</v>
      </c>
      <c r="L1872">
        <v>1</v>
      </c>
      <c r="M1872">
        <v>1</v>
      </c>
      <c r="N1872">
        <v>0</v>
      </c>
      <c r="O1872">
        <v>3</v>
      </c>
      <c r="P1872">
        <v>7</v>
      </c>
      <c r="Q1872">
        <v>0</v>
      </c>
      <c r="R1872">
        <v>0</v>
      </c>
      <c r="S1872">
        <v>0</v>
      </c>
      <c r="T1872">
        <v>0</v>
      </c>
      <c r="U1872">
        <v>0</v>
      </c>
      <c r="V1872">
        <f>IF(SUM(ifood_data[[#This Row],[AcceptedCmp1]:[AcceptedCmp5]])&gt;0,1,0)</f>
        <v>0</v>
      </c>
      <c r="W1872">
        <v>0</v>
      </c>
      <c r="X1872">
        <v>3</v>
      </c>
      <c r="Y1872">
        <v>11</v>
      </c>
      <c r="Z1872">
        <v>0</v>
      </c>
      <c r="AA1872">
        <v>43</v>
      </c>
      <c r="AB1872">
        <v>2850</v>
      </c>
      <c r="AC1872" s="28">
        <f>ifood_data[[#This Row],[Customer_Days]]/365</f>
        <v>7.8082191780821919</v>
      </c>
      <c r="AD1872">
        <v>0</v>
      </c>
      <c r="AE1872">
        <v>0</v>
      </c>
      <c r="AF1872">
        <v>1</v>
      </c>
      <c r="AG1872">
        <v>0</v>
      </c>
      <c r="AH1872">
        <v>0</v>
      </c>
      <c r="AI1872">
        <v>0</v>
      </c>
      <c r="AJ1872">
        <v>0</v>
      </c>
      <c r="AK1872">
        <v>1</v>
      </c>
      <c r="AL1872">
        <v>0</v>
      </c>
      <c r="AM1872">
        <v>0</v>
      </c>
      <c r="AN1872">
        <v>36</v>
      </c>
      <c r="AO1872">
        <v>30</v>
      </c>
      <c r="AP1872">
        <f>ifood_data[[#This Row],[MntTotal]]-ifood_data[[#This Row],[MntRegularProds]]</f>
        <v>6</v>
      </c>
      <c r="AQ1872">
        <v>0</v>
      </c>
      <c r="AR1872">
        <f>IF(SUM(ifood_data[[#This Row],[Kidhome]:[Teenhome]])&gt;0,1,0)</f>
        <v>1</v>
      </c>
      <c r="AS1872" t="str">
        <f>IF(SUM(ifood_data[[#This Row],[Kidhome]:[Teenhome]])&gt;0,"Has Family","No Family")</f>
        <v>Has Family</v>
      </c>
      <c r="AT1872" t="str">
        <f>IF(ifood_data[[#This Row],[marital_Married]]=1,"Married", (IF(ifood_data[[#This Row],[marital_Single]]=1,"Single",(IF(ifood_data[[#This Row],[marital_Divorced]]=1,"Divorced",(IF(ifood_data[[#This Row],[marital_Together]]=1,"Living Together",(IF(ifood_data[[#This Row],[marital_Widow]]=1,"Widow","Other")))))))))</f>
        <v>Single</v>
      </c>
      <c r="AU1872" t="str">
        <f>IF(ifood_data[[#This Row],[education_Basic]]=1,"High School",(IF(ifood_data[[#This Row],[education_Graduation]]=1,"Undergraduate Degree",(IF(SUM(AM1872,AL1872,AI1872)&gt;0,"Master's Degree or Higher","Other")))))</f>
        <v>Undergraduate Degree</v>
      </c>
      <c r="AV1872" t="str">
        <f>IF(ifood_data[[#All],[Income]]&gt;75000,"75K+",(IF(ifood_data[[#All],[Income]]&gt;50000,"50K-75K",(IF(ifood_data[[#All],[Income]]&gt;35000,"35K-50K","&lt;35K")))))</f>
        <v>&lt;35K</v>
      </c>
      <c r="AW1872" t="str">
        <f>IF(ifood_data[[#All],[Age]]&gt;60,"60+",(IF(ifood_data[[#All],[Age]]&gt;50,"50-60",(IF(ifood_data[[#All],[Age]]&gt;40,"40-50",(IF(ifood_data[[#All],[Age]]&gt;30,"30-40","&lt;30")))))))</f>
        <v>40-50</v>
      </c>
      <c r="AX1872">
        <f t="shared" si="116"/>
        <v>12</v>
      </c>
      <c r="AY1872">
        <f t="shared" si="117"/>
        <v>4</v>
      </c>
      <c r="AZ1872">
        <f t="shared" si="118"/>
        <v>1</v>
      </c>
      <c r="BA1872">
        <f t="shared" si="119"/>
        <v>1</v>
      </c>
      <c r="BB1872">
        <f>SUM(ifood_data[[#This Row],[Recency Score]:[Monetary Score]])</f>
        <v>6</v>
      </c>
      <c r="BC1872">
        <f>(_xlfn.PERCENTRANK.INC(ifood_data[[#All],[RFM]],ifood_data[[#This Row],[RFM]],1))*10</f>
        <v>0</v>
      </c>
      <c r="BD1872" t="str">
        <f>VLOOKUP(ifood_data[[#This Row],[RFM Score]],'RFM Analysis'!$A$3:$B$14,2,FALSE)</f>
        <v>Lost</v>
      </c>
      <c r="BE1872">
        <f>'Regression Models'!$B$101+'Regression Models'!$B$102*ifood_data[[#This Row],[Income]]+'Regression Models'!$B$103*ifood_data[[#This Row],[Age]]+'Regression Models'!$B$104*ifood_data[[#This Row],[Family]]</f>
        <v>-71.897470336465943</v>
      </c>
      <c r="BF1872" t="str">
        <f>IF(ifood_data[[#This Row],[AcceptedCmpOverall]]=1,"Campaign Respondent","Non-respondent")</f>
        <v>Non-respondent</v>
      </c>
    </row>
    <row r="1873" spans="1:58" x14ac:dyDescent="0.35">
      <c r="A1873">
        <v>36</v>
      </c>
      <c r="B1873">
        <v>23718</v>
      </c>
      <c r="C1873">
        <v>1</v>
      </c>
      <c r="D1873">
        <v>0</v>
      </c>
      <c r="E1873">
        <v>76</v>
      </c>
      <c r="F1873">
        <v>6</v>
      </c>
      <c r="G1873">
        <v>3</v>
      </c>
      <c r="H1873">
        <v>14</v>
      </c>
      <c r="I1873">
        <v>15</v>
      </c>
      <c r="J1873">
        <v>7</v>
      </c>
      <c r="K1873">
        <v>36</v>
      </c>
      <c r="L1873">
        <v>3</v>
      </c>
      <c r="M1873">
        <v>3</v>
      </c>
      <c r="N1873">
        <v>1</v>
      </c>
      <c r="O1873">
        <v>2</v>
      </c>
      <c r="P1873">
        <v>7</v>
      </c>
      <c r="Q1873">
        <v>0</v>
      </c>
      <c r="R1873">
        <v>0</v>
      </c>
      <c r="S1873">
        <v>0</v>
      </c>
      <c r="T1873">
        <v>0</v>
      </c>
      <c r="U1873">
        <v>0</v>
      </c>
      <c r="V1873">
        <f>IF(SUM(ifood_data[[#This Row],[AcceptedCmp1]:[AcceptedCmp5]])&gt;0,1,0)</f>
        <v>0</v>
      </c>
      <c r="W1873">
        <v>0</v>
      </c>
      <c r="X1873">
        <v>3</v>
      </c>
      <c r="Y1873">
        <v>11</v>
      </c>
      <c r="Z1873">
        <v>0</v>
      </c>
      <c r="AA1873">
        <v>44</v>
      </c>
      <c r="AB1873">
        <v>2459</v>
      </c>
      <c r="AC1873" s="28">
        <f>ifood_data[[#This Row],[Customer_Days]]/365</f>
        <v>6.7369863013698632</v>
      </c>
      <c r="AD1873">
        <v>0</v>
      </c>
      <c r="AE1873">
        <v>1</v>
      </c>
      <c r="AF1873">
        <v>0</v>
      </c>
      <c r="AG1873">
        <v>0</v>
      </c>
      <c r="AH1873">
        <v>0</v>
      </c>
      <c r="AI1873">
        <v>1</v>
      </c>
      <c r="AJ1873">
        <v>0</v>
      </c>
      <c r="AK1873">
        <v>0</v>
      </c>
      <c r="AL1873">
        <v>0</v>
      </c>
      <c r="AM1873">
        <v>0</v>
      </c>
      <c r="AN1873">
        <v>45</v>
      </c>
      <c r="AO1873">
        <v>9</v>
      </c>
      <c r="AP1873">
        <f>ifood_data[[#This Row],[MntTotal]]-ifood_data[[#This Row],[MntRegularProds]]</f>
        <v>36</v>
      </c>
      <c r="AQ1873">
        <v>0</v>
      </c>
      <c r="AR1873">
        <f>IF(SUM(ifood_data[[#This Row],[Kidhome]:[Teenhome]])&gt;0,1,0)</f>
        <v>1</v>
      </c>
      <c r="AS1873" t="str">
        <f>IF(SUM(ifood_data[[#This Row],[Kidhome]:[Teenhome]])&gt;0,"Has Family","No Family")</f>
        <v>Has Family</v>
      </c>
      <c r="AT1873" t="str">
        <f>IF(ifood_data[[#This Row],[marital_Married]]=1,"Married", (IF(ifood_data[[#This Row],[marital_Single]]=1,"Single",(IF(ifood_data[[#This Row],[marital_Divorced]]=1,"Divorced",(IF(ifood_data[[#This Row],[marital_Together]]=1,"Living Together",(IF(ifood_data[[#This Row],[marital_Widow]]=1,"Widow","Other")))))))))</f>
        <v>Married</v>
      </c>
      <c r="AU1873" t="str">
        <f>IF(ifood_data[[#This Row],[education_Basic]]=1,"High School",(IF(ifood_data[[#This Row],[education_Graduation]]=1,"Undergraduate Degree",(IF(SUM(AM1873,AL1873,AI1873)&gt;0,"Master's Degree or Higher","Other")))))</f>
        <v>Master's Degree or Higher</v>
      </c>
      <c r="AV1873" t="str">
        <f>IF(ifood_data[[#All],[Income]]&gt;75000,"75K+",(IF(ifood_data[[#All],[Income]]&gt;50000,"50K-75K",(IF(ifood_data[[#All],[Income]]&gt;35000,"35K-50K","&lt;35K")))))</f>
        <v>&lt;35K</v>
      </c>
      <c r="AW1873" t="str">
        <f>IF(ifood_data[[#All],[Age]]&gt;60,"60+",(IF(ifood_data[[#All],[Age]]&gt;50,"50-60",(IF(ifood_data[[#All],[Age]]&gt;40,"40-50",(IF(ifood_data[[#All],[Age]]&gt;30,"30-40","&lt;30")))))))</f>
        <v>40-50</v>
      </c>
      <c r="AX1873">
        <f t="shared" si="116"/>
        <v>16</v>
      </c>
      <c r="AY1873">
        <f t="shared" si="117"/>
        <v>3.0000000000000004</v>
      </c>
      <c r="AZ1873">
        <f t="shared" si="118"/>
        <v>3</v>
      </c>
      <c r="BA1873">
        <f t="shared" si="119"/>
        <v>2</v>
      </c>
      <c r="BB1873">
        <f>SUM(ifood_data[[#This Row],[Recency Score]:[Monetary Score]])</f>
        <v>8</v>
      </c>
      <c r="BC1873">
        <f>(_xlfn.PERCENTRANK.INC(ifood_data[[#All],[RFM]],ifood_data[[#This Row],[RFM]],1))*10</f>
        <v>1</v>
      </c>
      <c r="BD1873" t="str">
        <f>VLOOKUP(ifood_data[[#This Row],[RFM Score]],'RFM Analysis'!$A$3:$B$14,2,FALSE)</f>
        <v>At Risk</v>
      </c>
      <c r="BE1873">
        <f>'Regression Models'!$B$101+'Regression Models'!$B$102*ifood_data[[#This Row],[Income]]+'Regression Models'!$B$103*ifood_data[[#This Row],[Age]]+'Regression Models'!$B$104*ifood_data[[#This Row],[Family]]</f>
        <v>-74.651403981835671</v>
      </c>
      <c r="BF1873" t="str">
        <f>IF(ifood_data[[#This Row],[AcceptedCmpOverall]]=1,"Campaign Respondent","Non-respondent")</f>
        <v>Non-respondent</v>
      </c>
    </row>
    <row r="1874" spans="1:58" x14ac:dyDescent="0.35">
      <c r="A1874">
        <v>1824</v>
      </c>
      <c r="B1874">
        <v>24206</v>
      </c>
      <c r="C1874">
        <v>1</v>
      </c>
      <c r="D1874">
        <v>0</v>
      </c>
      <c r="E1874">
        <v>66</v>
      </c>
      <c r="F1874">
        <v>7</v>
      </c>
      <c r="G1874">
        <v>2</v>
      </c>
      <c r="H1874">
        <v>8</v>
      </c>
      <c r="I1874">
        <v>3</v>
      </c>
      <c r="J1874">
        <v>2</v>
      </c>
      <c r="K1874">
        <v>3</v>
      </c>
      <c r="L1874">
        <v>1</v>
      </c>
      <c r="M1874">
        <v>1</v>
      </c>
      <c r="N1874">
        <v>0</v>
      </c>
      <c r="O1874">
        <v>3</v>
      </c>
      <c r="P1874">
        <v>6</v>
      </c>
      <c r="Q1874">
        <v>0</v>
      </c>
      <c r="R1874">
        <v>0</v>
      </c>
      <c r="S1874">
        <v>0</v>
      </c>
      <c r="T1874">
        <v>0</v>
      </c>
      <c r="U1874">
        <v>0</v>
      </c>
      <c r="V1874">
        <f>IF(SUM(ifood_data[[#This Row],[AcceptedCmp1]:[AcceptedCmp5]])&gt;0,1,0)</f>
        <v>0</v>
      </c>
      <c r="W1874">
        <v>0</v>
      </c>
      <c r="X1874">
        <v>3</v>
      </c>
      <c r="Y1874">
        <v>11</v>
      </c>
      <c r="Z1874">
        <v>0</v>
      </c>
      <c r="AA1874">
        <v>50</v>
      </c>
      <c r="AB1874">
        <v>2637</v>
      </c>
      <c r="AC1874" s="28">
        <f>ifood_data[[#This Row],[Customer_Days]]/365</f>
        <v>7.2246575342465755</v>
      </c>
      <c r="AD1874">
        <v>0</v>
      </c>
      <c r="AE1874">
        <v>0</v>
      </c>
      <c r="AF1874">
        <v>1</v>
      </c>
      <c r="AG1874">
        <v>0</v>
      </c>
      <c r="AH1874">
        <v>0</v>
      </c>
      <c r="AI1874">
        <v>0</v>
      </c>
      <c r="AJ1874">
        <v>0</v>
      </c>
      <c r="AK1874">
        <v>1</v>
      </c>
      <c r="AL1874">
        <v>0</v>
      </c>
      <c r="AM1874">
        <v>0</v>
      </c>
      <c r="AN1874">
        <v>22</v>
      </c>
      <c r="AO1874">
        <v>19</v>
      </c>
      <c r="AP1874">
        <f>ifood_data[[#This Row],[MntTotal]]-ifood_data[[#This Row],[MntRegularProds]]</f>
        <v>3</v>
      </c>
      <c r="AQ1874">
        <v>0</v>
      </c>
      <c r="AR1874">
        <f>IF(SUM(ifood_data[[#This Row],[Kidhome]:[Teenhome]])&gt;0,1,0)</f>
        <v>1</v>
      </c>
      <c r="AS1874" t="str">
        <f>IF(SUM(ifood_data[[#This Row],[Kidhome]:[Teenhome]])&gt;0,"Has Family","No Family")</f>
        <v>Has Family</v>
      </c>
      <c r="AT1874" t="str">
        <f>IF(ifood_data[[#This Row],[marital_Married]]=1,"Married", (IF(ifood_data[[#This Row],[marital_Single]]=1,"Single",(IF(ifood_data[[#This Row],[marital_Divorced]]=1,"Divorced",(IF(ifood_data[[#This Row],[marital_Together]]=1,"Living Together",(IF(ifood_data[[#This Row],[marital_Widow]]=1,"Widow","Other")))))))))</f>
        <v>Single</v>
      </c>
      <c r="AU1874" t="str">
        <f>IF(ifood_data[[#This Row],[education_Basic]]=1,"High School",(IF(ifood_data[[#This Row],[education_Graduation]]=1,"Undergraduate Degree",(IF(SUM(AM1874,AL1874,AI1874)&gt;0,"Master's Degree or Higher","Other")))))</f>
        <v>Undergraduate Degree</v>
      </c>
      <c r="AV1874" t="str">
        <f>IF(ifood_data[[#All],[Income]]&gt;75000,"75K+",(IF(ifood_data[[#All],[Income]]&gt;50000,"50K-75K",(IF(ifood_data[[#All],[Income]]&gt;35000,"35K-50K","&lt;35K")))))</f>
        <v>&lt;35K</v>
      </c>
      <c r="AW1874" t="str">
        <f>IF(ifood_data[[#All],[Age]]&gt;60,"60+",(IF(ifood_data[[#All],[Age]]&gt;50,"50-60",(IF(ifood_data[[#All],[Age]]&gt;40,"40-50",(IF(ifood_data[[#All],[Age]]&gt;30,"30-40","&lt;30")))))))</f>
        <v>40-50</v>
      </c>
      <c r="AX1874">
        <f t="shared" si="116"/>
        <v>11</v>
      </c>
      <c r="AY1874">
        <f t="shared" si="117"/>
        <v>4</v>
      </c>
      <c r="AZ1874">
        <f t="shared" si="118"/>
        <v>0</v>
      </c>
      <c r="BA1874">
        <f t="shared" si="119"/>
        <v>0</v>
      </c>
      <c r="BB1874">
        <f>SUM(ifood_data[[#This Row],[Recency Score]:[Monetary Score]])</f>
        <v>4</v>
      </c>
      <c r="BC1874">
        <f>(_xlfn.PERCENTRANK.INC(ifood_data[[#All],[RFM]],ifood_data[[#This Row],[RFM]],1))*10</f>
        <v>0</v>
      </c>
      <c r="BD1874" t="str">
        <f>VLOOKUP(ifood_data[[#This Row],[RFM Score]],'RFM Analysis'!$A$3:$B$14,2,FALSE)</f>
        <v>Lost</v>
      </c>
      <c r="BE1874">
        <f>'Regression Models'!$B$101+'Regression Models'!$B$102*ifood_data[[#This Row],[Income]]+'Regression Models'!$B$103*ifood_data[[#This Row],[Age]]+'Regression Models'!$B$104*ifood_data[[#This Row],[Family]]</f>
        <v>-75.720319600978655</v>
      </c>
      <c r="BF1874" t="str">
        <f>IF(ifood_data[[#This Row],[AcceptedCmpOverall]]=1,"Campaign Respondent","Non-respondent")</f>
        <v>Non-respondent</v>
      </c>
    </row>
    <row r="1875" spans="1:58" x14ac:dyDescent="0.35">
      <c r="A1875">
        <v>1027</v>
      </c>
      <c r="B1875">
        <v>24163</v>
      </c>
      <c r="C1875">
        <v>1</v>
      </c>
      <c r="D1875">
        <v>1</v>
      </c>
      <c r="E1875">
        <v>3</v>
      </c>
      <c r="F1875">
        <v>4</v>
      </c>
      <c r="G1875">
        <v>1</v>
      </c>
      <c r="H1875">
        <v>7</v>
      </c>
      <c r="I1875">
        <v>2</v>
      </c>
      <c r="J1875">
        <v>1</v>
      </c>
      <c r="K1875">
        <v>2</v>
      </c>
      <c r="L1875">
        <v>2</v>
      </c>
      <c r="M1875">
        <v>1</v>
      </c>
      <c r="N1875">
        <v>0</v>
      </c>
      <c r="O1875">
        <v>3</v>
      </c>
      <c r="P1875">
        <v>4</v>
      </c>
      <c r="Q1875">
        <v>0</v>
      </c>
      <c r="R1875">
        <v>0</v>
      </c>
      <c r="S1875">
        <v>0</v>
      </c>
      <c r="T1875">
        <v>0</v>
      </c>
      <c r="U1875">
        <v>0</v>
      </c>
      <c r="V1875">
        <f>IF(SUM(ifood_data[[#This Row],[AcceptedCmp1]:[AcceptedCmp5]])&gt;0,1,0)</f>
        <v>0</v>
      </c>
      <c r="W1875">
        <v>0</v>
      </c>
      <c r="X1875">
        <v>3</v>
      </c>
      <c r="Y1875">
        <v>11</v>
      </c>
      <c r="Z1875">
        <v>0</v>
      </c>
      <c r="AA1875">
        <v>50</v>
      </c>
      <c r="AB1875">
        <v>2419</v>
      </c>
      <c r="AC1875" s="28">
        <f>ifood_data[[#This Row],[Customer_Days]]/365</f>
        <v>6.6273972602739724</v>
      </c>
      <c r="AD1875">
        <v>0</v>
      </c>
      <c r="AE1875">
        <v>0</v>
      </c>
      <c r="AF1875">
        <v>1</v>
      </c>
      <c r="AG1875">
        <v>0</v>
      </c>
      <c r="AH1875">
        <v>0</v>
      </c>
      <c r="AI1875">
        <v>0</v>
      </c>
      <c r="AJ1875">
        <v>0</v>
      </c>
      <c r="AK1875">
        <v>1</v>
      </c>
      <c r="AL1875">
        <v>0</v>
      </c>
      <c r="AM1875">
        <v>0</v>
      </c>
      <c r="AN1875">
        <v>15</v>
      </c>
      <c r="AO1875">
        <v>13</v>
      </c>
      <c r="AP1875">
        <f>ifood_data[[#This Row],[MntTotal]]-ifood_data[[#This Row],[MntRegularProds]]</f>
        <v>2</v>
      </c>
      <c r="AQ1875">
        <v>0</v>
      </c>
      <c r="AR1875">
        <f>IF(SUM(ifood_data[[#This Row],[Kidhome]:[Teenhome]])&gt;0,1,0)</f>
        <v>1</v>
      </c>
      <c r="AS1875" t="str">
        <f>IF(SUM(ifood_data[[#This Row],[Kidhome]:[Teenhome]])&gt;0,"Has Family","No Family")</f>
        <v>Has Family</v>
      </c>
      <c r="AT1875" t="str">
        <f>IF(ifood_data[[#This Row],[marital_Married]]=1,"Married", (IF(ifood_data[[#This Row],[marital_Single]]=1,"Single",(IF(ifood_data[[#This Row],[marital_Divorced]]=1,"Divorced",(IF(ifood_data[[#This Row],[marital_Together]]=1,"Living Together",(IF(ifood_data[[#This Row],[marital_Widow]]=1,"Widow","Other")))))))))</f>
        <v>Single</v>
      </c>
      <c r="AU1875" t="str">
        <f>IF(ifood_data[[#This Row],[education_Basic]]=1,"High School",(IF(ifood_data[[#This Row],[education_Graduation]]=1,"Undergraduate Degree",(IF(SUM(AM1875,AL1875,AI1875)&gt;0,"Master's Degree or Higher","Other")))))</f>
        <v>Undergraduate Degree</v>
      </c>
      <c r="AV1875" t="str">
        <f>IF(ifood_data[[#All],[Income]]&gt;75000,"75K+",(IF(ifood_data[[#All],[Income]]&gt;50000,"50K-75K",(IF(ifood_data[[#All],[Income]]&gt;35000,"35K-50K","&lt;35K")))))</f>
        <v>&lt;35K</v>
      </c>
      <c r="AW1875" t="str">
        <f>IF(ifood_data[[#All],[Age]]&gt;60,"60+",(IF(ifood_data[[#All],[Age]]&gt;50,"50-60",(IF(ifood_data[[#All],[Age]]&gt;40,"40-50",(IF(ifood_data[[#All],[Age]]&gt;30,"30-40","&lt;30")))))))</f>
        <v>40-50</v>
      </c>
      <c r="AX1875">
        <f t="shared" si="116"/>
        <v>10</v>
      </c>
      <c r="AY1875">
        <f t="shared" si="117"/>
        <v>10</v>
      </c>
      <c r="AZ1875">
        <f t="shared" si="118"/>
        <v>0</v>
      </c>
      <c r="BA1875">
        <f t="shared" si="119"/>
        <v>0</v>
      </c>
      <c r="BB1875">
        <f>SUM(ifood_data[[#This Row],[Recency Score]:[Monetary Score]])</f>
        <v>10</v>
      </c>
      <c r="BC1875">
        <f>(_xlfn.PERCENTRANK.INC(ifood_data[[#All],[RFM]],ifood_data[[#This Row],[RFM]],1))*10</f>
        <v>2</v>
      </c>
      <c r="BD1875" t="str">
        <f>VLOOKUP(ifood_data[[#This Row],[RFM Score]],'RFM Analysis'!$A$3:$B$14,2,FALSE)</f>
        <v>At Risk</v>
      </c>
      <c r="BE1875">
        <f>'Regression Models'!$B$101+'Regression Models'!$B$102*ifood_data[[#This Row],[Income]]+'Regression Models'!$B$103*ifood_data[[#This Row],[Age]]+'Regression Models'!$B$104*ifood_data[[#This Row],[Family]]</f>
        <v>-76.597036631166304</v>
      </c>
      <c r="BF1875" t="str">
        <f>IF(ifood_data[[#This Row],[AcceptedCmpOverall]]=1,"Campaign Respondent","Non-respondent")</f>
        <v>Non-respondent</v>
      </c>
    </row>
    <row r="1876" spans="1:58" x14ac:dyDescent="0.35">
      <c r="A1876">
        <v>985</v>
      </c>
      <c r="B1876">
        <v>8028</v>
      </c>
      <c r="C1876">
        <v>0</v>
      </c>
      <c r="D1876">
        <v>0</v>
      </c>
      <c r="E1876">
        <v>62</v>
      </c>
      <c r="F1876">
        <v>73</v>
      </c>
      <c r="G1876">
        <v>18</v>
      </c>
      <c r="H1876">
        <v>66</v>
      </c>
      <c r="I1876">
        <v>7</v>
      </c>
      <c r="J1876">
        <v>12</v>
      </c>
      <c r="K1876">
        <v>2</v>
      </c>
      <c r="L1876">
        <v>15</v>
      </c>
      <c r="M1876">
        <v>0</v>
      </c>
      <c r="N1876">
        <v>1</v>
      </c>
      <c r="O1876">
        <v>0</v>
      </c>
      <c r="P1876">
        <v>19</v>
      </c>
      <c r="Q1876">
        <v>0</v>
      </c>
      <c r="R1876">
        <v>0</v>
      </c>
      <c r="S1876">
        <v>0</v>
      </c>
      <c r="T1876">
        <v>0</v>
      </c>
      <c r="U1876">
        <v>0</v>
      </c>
      <c r="V1876">
        <f>IF(SUM(ifood_data[[#This Row],[AcceptedCmp1]:[AcceptedCmp5]])&gt;0,1,0)</f>
        <v>0</v>
      </c>
      <c r="W1876">
        <v>0</v>
      </c>
      <c r="X1876">
        <v>3</v>
      </c>
      <c r="Y1876">
        <v>11</v>
      </c>
      <c r="Z1876">
        <v>0</v>
      </c>
      <c r="AA1876">
        <v>29</v>
      </c>
      <c r="AB1876">
        <v>2808</v>
      </c>
      <c r="AC1876" s="28">
        <f>ifood_data[[#This Row],[Customer_Days]]/365</f>
        <v>7.6931506849315072</v>
      </c>
      <c r="AD1876">
        <v>0</v>
      </c>
      <c r="AE1876">
        <v>0</v>
      </c>
      <c r="AF1876">
        <v>1</v>
      </c>
      <c r="AG1876">
        <v>0</v>
      </c>
      <c r="AH1876">
        <v>0</v>
      </c>
      <c r="AI1876">
        <v>0</v>
      </c>
      <c r="AJ1876">
        <v>0</v>
      </c>
      <c r="AK1876">
        <v>1</v>
      </c>
      <c r="AL1876">
        <v>0</v>
      </c>
      <c r="AM1876">
        <v>0</v>
      </c>
      <c r="AN1876">
        <v>176</v>
      </c>
      <c r="AO1876">
        <v>174</v>
      </c>
      <c r="AP1876">
        <f>ifood_data[[#This Row],[MntTotal]]-ifood_data[[#This Row],[MntRegularProds]]</f>
        <v>2</v>
      </c>
      <c r="AQ1876">
        <v>0</v>
      </c>
      <c r="AR1876">
        <f>IF(SUM(ifood_data[[#This Row],[Kidhome]:[Teenhome]])&gt;0,1,0)</f>
        <v>0</v>
      </c>
      <c r="AS1876" t="str">
        <f>IF(SUM(ifood_data[[#This Row],[Kidhome]:[Teenhome]])&gt;0,"Has Family","No Family")</f>
        <v>No Family</v>
      </c>
      <c r="AT1876" t="str">
        <f>IF(ifood_data[[#This Row],[marital_Married]]=1,"Married", (IF(ifood_data[[#This Row],[marital_Single]]=1,"Single",(IF(ifood_data[[#This Row],[marital_Divorced]]=1,"Divorced",(IF(ifood_data[[#This Row],[marital_Together]]=1,"Living Together",(IF(ifood_data[[#This Row],[marital_Widow]]=1,"Widow","Other")))))))))</f>
        <v>Single</v>
      </c>
      <c r="AU1876" t="str">
        <f>IF(ifood_data[[#This Row],[education_Basic]]=1,"High School",(IF(ifood_data[[#This Row],[education_Graduation]]=1,"Undergraduate Degree",(IF(SUM(AM1876,AL1876,AI1876)&gt;0,"Master's Degree or Higher","Other")))))</f>
        <v>Undergraduate Degree</v>
      </c>
      <c r="AV1876" t="str">
        <f>IF(ifood_data[[#All],[Income]]&gt;75000,"75K+",(IF(ifood_data[[#All],[Income]]&gt;50000,"50K-75K",(IF(ifood_data[[#All],[Income]]&gt;35000,"35K-50K","&lt;35K")))))</f>
        <v>&lt;35K</v>
      </c>
      <c r="AW1876" t="str">
        <f>IF(ifood_data[[#All],[Age]]&gt;60,"60+",(IF(ifood_data[[#All],[Age]]&gt;50,"50-60",(IF(ifood_data[[#All],[Age]]&gt;40,"40-50",(IF(ifood_data[[#All],[Age]]&gt;30,"30-40","&lt;30")))))))</f>
        <v>&lt;30</v>
      </c>
      <c r="AX1876">
        <f t="shared" si="116"/>
        <v>35</v>
      </c>
      <c r="AY1876">
        <f t="shared" si="117"/>
        <v>4</v>
      </c>
      <c r="AZ1876">
        <f t="shared" si="118"/>
        <v>9</v>
      </c>
      <c r="BA1876">
        <f t="shared" si="119"/>
        <v>3</v>
      </c>
      <c r="BB1876">
        <f>SUM(ifood_data[[#This Row],[Recency Score]:[Monetary Score]])</f>
        <v>16</v>
      </c>
      <c r="BC1876">
        <f>(_xlfn.PERCENTRANK.INC(ifood_data[[#All],[RFM]],ifood_data[[#This Row],[RFM]],1))*10</f>
        <v>5</v>
      </c>
      <c r="BD1876" t="str">
        <f>VLOOKUP(ifood_data[[#This Row],[RFM Score]],'RFM Analysis'!$A$3:$B$14,2,FALSE)</f>
        <v>Promising</v>
      </c>
      <c r="BE1876">
        <f>'Regression Models'!$B$101+'Regression Models'!$B$102*ifood_data[[#This Row],[Income]]+'Regression Models'!$B$103*ifood_data[[#This Row],[Age]]+'Regression Models'!$B$104*ifood_data[[#This Row],[Family]]</f>
        <v>-77.390958903179694</v>
      </c>
      <c r="BF1876" t="str">
        <f>IF(ifood_data[[#This Row],[AcceptedCmpOverall]]=1,"Campaign Respondent","Non-respondent")</f>
        <v>Non-respondent</v>
      </c>
    </row>
    <row r="1877" spans="1:58" x14ac:dyDescent="0.35">
      <c r="A1877">
        <v>44</v>
      </c>
      <c r="B1877">
        <v>7500</v>
      </c>
      <c r="C1877">
        <v>0</v>
      </c>
      <c r="D1877">
        <v>0</v>
      </c>
      <c r="E1877">
        <v>24</v>
      </c>
      <c r="F1877">
        <v>3</v>
      </c>
      <c r="G1877">
        <v>18</v>
      </c>
      <c r="H1877">
        <v>14</v>
      </c>
      <c r="I1877">
        <v>15</v>
      </c>
      <c r="J1877">
        <v>22</v>
      </c>
      <c r="K1877">
        <v>50</v>
      </c>
      <c r="L1877">
        <v>3</v>
      </c>
      <c r="M1877">
        <v>3</v>
      </c>
      <c r="N1877">
        <v>1</v>
      </c>
      <c r="O1877">
        <v>3</v>
      </c>
      <c r="P1877">
        <v>9</v>
      </c>
      <c r="Q1877">
        <v>0</v>
      </c>
      <c r="R1877">
        <v>0</v>
      </c>
      <c r="S1877">
        <v>0</v>
      </c>
      <c r="T1877">
        <v>0</v>
      </c>
      <c r="U1877">
        <v>0</v>
      </c>
      <c r="V1877">
        <f>IF(SUM(ifood_data[[#This Row],[AcceptedCmp1]:[AcceptedCmp5]])&gt;0,1,0)</f>
        <v>0</v>
      </c>
      <c r="W1877">
        <v>0</v>
      </c>
      <c r="X1877">
        <v>3</v>
      </c>
      <c r="Y1877">
        <v>11</v>
      </c>
      <c r="Z1877">
        <v>1</v>
      </c>
      <c r="AA1877">
        <v>24</v>
      </c>
      <c r="AB1877">
        <v>2756</v>
      </c>
      <c r="AC1877" s="28">
        <f>ifood_data[[#This Row],[Customer_Days]]/365</f>
        <v>7.5506849315068489</v>
      </c>
      <c r="AD1877">
        <v>0</v>
      </c>
      <c r="AE1877">
        <v>1</v>
      </c>
      <c r="AF1877">
        <v>0</v>
      </c>
      <c r="AG1877">
        <v>0</v>
      </c>
      <c r="AH1877">
        <v>0</v>
      </c>
      <c r="AI1877">
        <v>1</v>
      </c>
      <c r="AJ1877">
        <v>0</v>
      </c>
      <c r="AK1877">
        <v>0</v>
      </c>
      <c r="AL1877">
        <v>0</v>
      </c>
      <c r="AM1877">
        <v>0</v>
      </c>
      <c r="AN1877">
        <v>72</v>
      </c>
      <c r="AO1877">
        <v>22</v>
      </c>
      <c r="AP1877">
        <f>ifood_data[[#This Row],[MntTotal]]-ifood_data[[#This Row],[MntRegularProds]]</f>
        <v>50</v>
      </c>
      <c r="AQ1877">
        <v>0</v>
      </c>
      <c r="AR1877">
        <f>IF(SUM(ifood_data[[#This Row],[Kidhome]:[Teenhome]])&gt;0,1,0)</f>
        <v>0</v>
      </c>
      <c r="AS1877" t="str">
        <f>IF(SUM(ifood_data[[#This Row],[Kidhome]:[Teenhome]])&gt;0,"Has Family","No Family")</f>
        <v>No Family</v>
      </c>
      <c r="AT1877" t="str">
        <f>IF(ifood_data[[#This Row],[marital_Married]]=1,"Married", (IF(ifood_data[[#This Row],[marital_Single]]=1,"Single",(IF(ifood_data[[#This Row],[marital_Divorced]]=1,"Divorced",(IF(ifood_data[[#This Row],[marital_Together]]=1,"Living Together",(IF(ifood_data[[#This Row],[marital_Widow]]=1,"Widow","Other")))))))))</f>
        <v>Married</v>
      </c>
      <c r="AU1877" t="str">
        <f>IF(ifood_data[[#This Row],[education_Basic]]=1,"High School",(IF(ifood_data[[#This Row],[education_Graduation]]=1,"Undergraduate Degree",(IF(SUM(AM1877,AL1877,AI1877)&gt;0,"Master's Degree or Higher","Other")))))</f>
        <v>Master's Degree or Higher</v>
      </c>
      <c r="AV1877" t="str">
        <f>IF(ifood_data[[#All],[Income]]&gt;75000,"75K+",(IF(ifood_data[[#All],[Income]]&gt;50000,"50K-75K",(IF(ifood_data[[#All],[Income]]&gt;35000,"35K-50K","&lt;35K")))))</f>
        <v>&lt;35K</v>
      </c>
      <c r="AW1877" t="str">
        <f>IF(ifood_data[[#All],[Age]]&gt;60,"60+",(IF(ifood_data[[#All],[Age]]&gt;50,"50-60",(IF(ifood_data[[#All],[Age]]&gt;40,"40-50",(IF(ifood_data[[#All],[Age]]&gt;30,"30-40","&lt;30")))))))</f>
        <v>&lt;30</v>
      </c>
      <c r="AX1877">
        <f t="shared" si="116"/>
        <v>19</v>
      </c>
      <c r="AY1877">
        <f t="shared" si="117"/>
        <v>8</v>
      </c>
      <c r="AZ1877">
        <f t="shared" si="118"/>
        <v>4</v>
      </c>
      <c r="BA1877">
        <f t="shared" si="119"/>
        <v>3</v>
      </c>
      <c r="BB1877">
        <f>SUM(ifood_data[[#This Row],[Recency Score]:[Monetary Score]])</f>
        <v>15</v>
      </c>
      <c r="BC1877">
        <f>(_xlfn.PERCENTRANK.INC(ifood_data[[#All],[RFM]],ifood_data[[#This Row],[RFM]],1))*10</f>
        <v>4</v>
      </c>
      <c r="BD1877" t="str">
        <f>VLOOKUP(ifood_data[[#This Row],[RFM Score]],'RFM Analysis'!$A$3:$B$14,2,FALSE)</f>
        <v>At Risk</v>
      </c>
      <c r="BE1877">
        <f>'Regression Models'!$B$101+'Regression Models'!$B$102*ifood_data[[#This Row],[Income]]+'Regression Models'!$B$103*ifood_data[[#This Row],[Age]]+'Regression Models'!$B$104*ifood_data[[#This Row],[Family]]</f>
        <v>-78.974033088686951</v>
      </c>
      <c r="BF1877" t="str">
        <f>IF(ifood_data[[#This Row],[AcceptedCmpOverall]]=1,"Campaign Respondent","Non-respondent")</f>
        <v>Non-respondent</v>
      </c>
    </row>
    <row r="1878" spans="1:58" x14ac:dyDescent="0.35">
      <c r="A1878">
        <v>948</v>
      </c>
      <c r="B1878">
        <v>22434</v>
      </c>
      <c r="C1878">
        <v>1</v>
      </c>
      <c r="D1878">
        <v>0</v>
      </c>
      <c r="E1878">
        <v>25</v>
      </c>
      <c r="F1878">
        <v>4</v>
      </c>
      <c r="G1878">
        <v>12</v>
      </c>
      <c r="H1878">
        <v>11</v>
      </c>
      <c r="I1878">
        <v>3</v>
      </c>
      <c r="J1878">
        <v>13</v>
      </c>
      <c r="K1878">
        <v>15</v>
      </c>
      <c r="L1878">
        <v>2</v>
      </c>
      <c r="M1878">
        <v>2</v>
      </c>
      <c r="N1878">
        <v>0</v>
      </c>
      <c r="O1878">
        <v>3</v>
      </c>
      <c r="P1878">
        <v>8</v>
      </c>
      <c r="Q1878">
        <v>0</v>
      </c>
      <c r="R1878">
        <v>0</v>
      </c>
      <c r="S1878">
        <v>0</v>
      </c>
      <c r="T1878">
        <v>0</v>
      </c>
      <c r="U1878">
        <v>0</v>
      </c>
      <c r="V1878">
        <f>IF(SUM(ifood_data[[#This Row],[AcceptedCmp1]:[AcceptedCmp5]])&gt;0,1,0)</f>
        <v>0</v>
      </c>
      <c r="W1878">
        <v>0</v>
      </c>
      <c r="X1878">
        <v>3</v>
      </c>
      <c r="Y1878">
        <v>11</v>
      </c>
      <c r="Z1878">
        <v>0</v>
      </c>
      <c r="AA1878">
        <v>33</v>
      </c>
      <c r="AB1878">
        <v>2660</v>
      </c>
      <c r="AC1878" s="28">
        <f>ifood_data[[#This Row],[Customer_Days]]/365</f>
        <v>7.2876712328767121</v>
      </c>
      <c r="AD1878">
        <v>0</v>
      </c>
      <c r="AE1878">
        <v>0</v>
      </c>
      <c r="AF1878">
        <v>0</v>
      </c>
      <c r="AG1878">
        <v>1</v>
      </c>
      <c r="AH1878">
        <v>0</v>
      </c>
      <c r="AI1878">
        <v>0</v>
      </c>
      <c r="AJ1878">
        <v>0</v>
      </c>
      <c r="AK1878">
        <v>1</v>
      </c>
      <c r="AL1878">
        <v>0</v>
      </c>
      <c r="AM1878">
        <v>0</v>
      </c>
      <c r="AN1878">
        <v>43</v>
      </c>
      <c r="AO1878">
        <v>28</v>
      </c>
      <c r="AP1878">
        <f>ifood_data[[#This Row],[MntTotal]]-ifood_data[[#This Row],[MntRegularProds]]</f>
        <v>15</v>
      </c>
      <c r="AQ1878">
        <v>0</v>
      </c>
      <c r="AR1878">
        <f>IF(SUM(ifood_data[[#This Row],[Kidhome]:[Teenhome]])&gt;0,1,0)</f>
        <v>1</v>
      </c>
      <c r="AS1878" t="str">
        <f>IF(SUM(ifood_data[[#This Row],[Kidhome]:[Teenhome]])&gt;0,"Has Family","No Family")</f>
        <v>Has Family</v>
      </c>
      <c r="AT1878" t="str">
        <f>IF(ifood_data[[#This Row],[marital_Married]]=1,"Married", (IF(ifood_data[[#This Row],[marital_Single]]=1,"Single",(IF(ifood_data[[#This Row],[marital_Divorced]]=1,"Divorced",(IF(ifood_data[[#This Row],[marital_Together]]=1,"Living Together",(IF(ifood_data[[#This Row],[marital_Widow]]=1,"Widow","Other")))))))))</f>
        <v>Living Together</v>
      </c>
      <c r="AU1878" t="str">
        <f>IF(ifood_data[[#This Row],[education_Basic]]=1,"High School",(IF(ifood_data[[#This Row],[education_Graduation]]=1,"Undergraduate Degree",(IF(SUM(AM1878,AL1878,AI1878)&gt;0,"Master's Degree or Higher","Other")))))</f>
        <v>Undergraduate Degree</v>
      </c>
      <c r="AV1878" t="str">
        <f>IF(ifood_data[[#All],[Income]]&gt;75000,"75K+",(IF(ifood_data[[#All],[Income]]&gt;50000,"50K-75K",(IF(ifood_data[[#All],[Income]]&gt;35000,"35K-50K","&lt;35K")))))</f>
        <v>&lt;35K</v>
      </c>
      <c r="AW1878" t="str">
        <f>IF(ifood_data[[#All],[Age]]&gt;60,"60+",(IF(ifood_data[[#All],[Age]]&gt;50,"50-60",(IF(ifood_data[[#All],[Age]]&gt;40,"40-50",(IF(ifood_data[[#All],[Age]]&gt;30,"30-40","&lt;30")))))))</f>
        <v>30-40</v>
      </c>
      <c r="AX1878">
        <f t="shared" si="116"/>
        <v>15</v>
      </c>
      <c r="AY1878">
        <f t="shared" si="117"/>
        <v>8</v>
      </c>
      <c r="AZ1878">
        <f t="shared" si="118"/>
        <v>2</v>
      </c>
      <c r="BA1878">
        <f t="shared" si="119"/>
        <v>1</v>
      </c>
      <c r="BB1878">
        <f>SUM(ifood_data[[#This Row],[Recency Score]:[Monetary Score]])</f>
        <v>11</v>
      </c>
      <c r="BC1878">
        <f>(_xlfn.PERCENTRANK.INC(ifood_data[[#All],[RFM]],ifood_data[[#This Row],[RFM]],1))*10</f>
        <v>2</v>
      </c>
      <c r="BD1878" t="str">
        <f>VLOOKUP(ifood_data[[#This Row],[RFM Score]],'RFM Analysis'!$A$3:$B$14,2,FALSE)</f>
        <v>At Risk</v>
      </c>
      <c r="BE1878">
        <f>'Regression Models'!$B$101+'Regression Models'!$B$102*ifood_data[[#This Row],[Income]]+'Regression Models'!$B$103*ifood_data[[#This Row],[Age]]+'Regression Models'!$B$104*ifood_data[[#This Row],[Family]]</f>
        <v>-80.629752410764752</v>
      </c>
      <c r="BF1878" t="str">
        <f>IF(ifood_data[[#This Row],[AcceptedCmpOverall]]=1,"Campaign Respondent","Non-respondent")</f>
        <v>Non-respondent</v>
      </c>
    </row>
    <row r="1879" spans="1:58" x14ac:dyDescent="0.35">
      <c r="A1879">
        <v>1156</v>
      </c>
      <c r="B1879">
        <v>22518</v>
      </c>
      <c r="C1879">
        <v>1</v>
      </c>
      <c r="D1879">
        <v>0</v>
      </c>
      <c r="E1879">
        <v>36</v>
      </c>
      <c r="F1879">
        <v>11</v>
      </c>
      <c r="G1879">
        <v>7</v>
      </c>
      <c r="H1879">
        <v>12</v>
      </c>
      <c r="I1879">
        <v>2</v>
      </c>
      <c r="J1879">
        <v>2</v>
      </c>
      <c r="K1879">
        <v>27</v>
      </c>
      <c r="L1879">
        <v>2</v>
      </c>
      <c r="M1879">
        <v>2</v>
      </c>
      <c r="N1879">
        <v>1</v>
      </c>
      <c r="O1879">
        <v>2</v>
      </c>
      <c r="P1879">
        <v>5</v>
      </c>
      <c r="Q1879">
        <v>0</v>
      </c>
      <c r="R1879">
        <v>0</v>
      </c>
      <c r="S1879">
        <v>1</v>
      </c>
      <c r="T1879">
        <v>0</v>
      </c>
      <c r="U1879">
        <v>0</v>
      </c>
      <c r="V1879">
        <f>IF(SUM(ifood_data[[#This Row],[AcceptedCmp1]:[AcceptedCmp5]])&gt;0,1,0)</f>
        <v>1</v>
      </c>
      <c r="W1879">
        <v>0</v>
      </c>
      <c r="X1879">
        <v>3</v>
      </c>
      <c r="Y1879">
        <v>11</v>
      </c>
      <c r="Z1879">
        <v>1</v>
      </c>
      <c r="AA1879">
        <v>34</v>
      </c>
      <c r="AB1879">
        <v>2774</v>
      </c>
      <c r="AC1879" s="28">
        <f>ifood_data[[#This Row],[Customer_Days]]/365</f>
        <v>7.6</v>
      </c>
      <c r="AD1879">
        <v>0</v>
      </c>
      <c r="AE1879">
        <v>1</v>
      </c>
      <c r="AF1879">
        <v>0</v>
      </c>
      <c r="AG1879">
        <v>0</v>
      </c>
      <c r="AH1879">
        <v>0</v>
      </c>
      <c r="AI1879">
        <v>0</v>
      </c>
      <c r="AJ1879">
        <v>0</v>
      </c>
      <c r="AK1879">
        <v>1</v>
      </c>
      <c r="AL1879">
        <v>0</v>
      </c>
      <c r="AM1879">
        <v>0</v>
      </c>
      <c r="AN1879">
        <v>34</v>
      </c>
      <c r="AO1879">
        <v>7</v>
      </c>
      <c r="AP1879">
        <f>ifood_data[[#This Row],[MntTotal]]-ifood_data[[#This Row],[MntRegularProds]]</f>
        <v>27</v>
      </c>
      <c r="AQ1879">
        <v>1</v>
      </c>
      <c r="AR1879">
        <f>IF(SUM(ifood_data[[#This Row],[Kidhome]:[Teenhome]])&gt;0,1,0)</f>
        <v>1</v>
      </c>
      <c r="AS1879" t="str">
        <f>IF(SUM(ifood_data[[#This Row],[Kidhome]:[Teenhome]])&gt;0,"Has Family","No Family")</f>
        <v>Has Family</v>
      </c>
      <c r="AT1879" t="str">
        <f>IF(ifood_data[[#This Row],[marital_Married]]=1,"Married", (IF(ifood_data[[#This Row],[marital_Single]]=1,"Single",(IF(ifood_data[[#This Row],[marital_Divorced]]=1,"Divorced",(IF(ifood_data[[#This Row],[marital_Together]]=1,"Living Together",(IF(ifood_data[[#This Row],[marital_Widow]]=1,"Widow","Other")))))))))</f>
        <v>Married</v>
      </c>
      <c r="AU1879" t="str">
        <f>IF(ifood_data[[#This Row],[education_Basic]]=1,"High School",(IF(ifood_data[[#This Row],[education_Graduation]]=1,"Undergraduate Degree",(IF(SUM(AM1879,AL1879,AI1879)&gt;0,"Master's Degree or Higher","Other")))))</f>
        <v>Undergraduate Degree</v>
      </c>
      <c r="AV1879" t="str">
        <f>IF(ifood_data[[#All],[Income]]&gt;75000,"75K+",(IF(ifood_data[[#All],[Income]]&gt;50000,"50K-75K",(IF(ifood_data[[#All],[Income]]&gt;35000,"35K-50K","&lt;35K")))))</f>
        <v>&lt;35K</v>
      </c>
      <c r="AW1879" t="str">
        <f>IF(ifood_data[[#All],[Age]]&gt;60,"60+",(IF(ifood_data[[#All],[Age]]&gt;50,"50-60",(IF(ifood_data[[#All],[Age]]&gt;40,"40-50",(IF(ifood_data[[#All],[Age]]&gt;30,"30-40","&lt;30")))))))</f>
        <v>30-40</v>
      </c>
      <c r="AX1879">
        <f t="shared" si="116"/>
        <v>12</v>
      </c>
      <c r="AY1879">
        <f t="shared" si="117"/>
        <v>7</v>
      </c>
      <c r="AZ1879">
        <f t="shared" si="118"/>
        <v>1</v>
      </c>
      <c r="BA1879">
        <f t="shared" si="119"/>
        <v>1</v>
      </c>
      <c r="BB1879">
        <f>SUM(ifood_data[[#This Row],[Recency Score]:[Monetary Score]])</f>
        <v>9</v>
      </c>
      <c r="BC1879">
        <f>(_xlfn.PERCENTRANK.INC(ifood_data[[#All],[RFM]],ifood_data[[#This Row],[RFM]],1))*10</f>
        <v>1</v>
      </c>
      <c r="BD1879" t="str">
        <f>VLOOKUP(ifood_data[[#This Row],[RFM Score]],'RFM Analysis'!$A$3:$B$14,2,FALSE)</f>
        <v>At Risk</v>
      </c>
      <c r="BE1879">
        <f>'Regression Models'!$B$101+'Regression Models'!$B$102*ifood_data[[#This Row],[Income]]+'Regression Models'!$B$103*ifood_data[[#This Row],[Age]]+'Regression Models'!$B$104*ifood_data[[#This Row],[Family]]</f>
        <v>-80.753534965571532</v>
      </c>
      <c r="BF1879" t="str">
        <f>IF(ifood_data[[#This Row],[AcceptedCmpOverall]]=1,"Campaign Respondent","Non-respondent")</f>
        <v>Campaign Respondent</v>
      </c>
    </row>
    <row r="1880" spans="1:58" x14ac:dyDescent="0.35">
      <c r="A1880">
        <v>513</v>
      </c>
      <c r="B1880">
        <v>22944</v>
      </c>
      <c r="C1880">
        <v>1</v>
      </c>
      <c r="D1880">
        <v>0</v>
      </c>
      <c r="E1880">
        <v>67</v>
      </c>
      <c r="F1880">
        <v>19</v>
      </c>
      <c r="G1880">
        <v>3</v>
      </c>
      <c r="H1880">
        <v>19</v>
      </c>
      <c r="I1880">
        <v>4</v>
      </c>
      <c r="J1880">
        <v>5</v>
      </c>
      <c r="K1880">
        <v>26</v>
      </c>
      <c r="L1880">
        <v>3</v>
      </c>
      <c r="M1880">
        <v>3</v>
      </c>
      <c r="N1880">
        <v>0</v>
      </c>
      <c r="O1880">
        <v>3</v>
      </c>
      <c r="P1880">
        <v>7</v>
      </c>
      <c r="Q1880">
        <v>0</v>
      </c>
      <c r="R1880">
        <v>0</v>
      </c>
      <c r="S1880">
        <v>0</v>
      </c>
      <c r="T1880">
        <v>0</v>
      </c>
      <c r="U1880">
        <v>0</v>
      </c>
      <c r="V1880">
        <f>IF(SUM(ifood_data[[#This Row],[AcceptedCmp1]:[AcceptedCmp5]])&gt;0,1,0)</f>
        <v>0</v>
      </c>
      <c r="W1880">
        <v>0</v>
      </c>
      <c r="X1880">
        <v>3</v>
      </c>
      <c r="Y1880">
        <v>11</v>
      </c>
      <c r="Z1880">
        <v>0</v>
      </c>
      <c r="AA1880">
        <v>39</v>
      </c>
      <c r="AB1880">
        <v>2347</v>
      </c>
      <c r="AC1880" s="28">
        <f>ifood_data[[#This Row],[Customer_Days]]/365</f>
        <v>6.4301369863013695</v>
      </c>
      <c r="AD1880">
        <v>0</v>
      </c>
      <c r="AE1880">
        <v>0</v>
      </c>
      <c r="AF1880">
        <v>1</v>
      </c>
      <c r="AG1880">
        <v>0</v>
      </c>
      <c r="AH1880">
        <v>0</v>
      </c>
      <c r="AI1880">
        <v>0</v>
      </c>
      <c r="AJ1880">
        <v>0</v>
      </c>
      <c r="AK1880">
        <v>0</v>
      </c>
      <c r="AL1880">
        <v>1</v>
      </c>
      <c r="AM1880">
        <v>0</v>
      </c>
      <c r="AN1880">
        <v>50</v>
      </c>
      <c r="AO1880">
        <v>24</v>
      </c>
      <c r="AP1880">
        <f>ifood_data[[#This Row],[MntTotal]]-ifood_data[[#This Row],[MntRegularProds]]</f>
        <v>26</v>
      </c>
      <c r="AQ1880">
        <v>0</v>
      </c>
      <c r="AR1880">
        <f>IF(SUM(ifood_data[[#This Row],[Kidhome]:[Teenhome]])&gt;0,1,0)</f>
        <v>1</v>
      </c>
      <c r="AS1880" t="str">
        <f>IF(SUM(ifood_data[[#This Row],[Kidhome]:[Teenhome]])&gt;0,"Has Family","No Family")</f>
        <v>Has Family</v>
      </c>
      <c r="AT1880" t="str">
        <f>IF(ifood_data[[#This Row],[marital_Married]]=1,"Married", (IF(ifood_data[[#This Row],[marital_Single]]=1,"Single",(IF(ifood_data[[#This Row],[marital_Divorced]]=1,"Divorced",(IF(ifood_data[[#This Row],[marital_Together]]=1,"Living Together",(IF(ifood_data[[#This Row],[marital_Widow]]=1,"Widow","Other")))))))))</f>
        <v>Single</v>
      </c>
      <c r="AU1880" t="str">
        <f>IF(ifood_data[[#This Row],[education_Basic]]=1,"High School",(IF(ifood_data[[#This Row],[education_Graduation]]=1,"Undergraduate Degree",(IF(SUM(AM1880,AL1880,AI1880)&gt;0,"Master's Degree or Higher","Other")))))</f>
        <v>Master's Degree or Higher</v>
      </c>
      <c r="AV1880" t="str">
        <f>IF(ifood_data[[#All],[Income]]&gt;75000,"75K+",(IF(ifood_data[[#All],[Income]]&gt;50000,"50K-75K",(IF(ifood_data[[#All],[Income]]&gt;35000,"35K-50K","&lt;35K")))))</f>
        <v>&lt;35K</v>
      </c>
      <c r="AW1880" t="str">
        <f>IF(ifood_data[[#All],[Age]]&gt;60,"60+",(IF(ifood_data[[#All],[Age]]&gt;50,"50-60",(IF(ifood_data[[#All],[Age]]&gt;40,"40-50",(IF(ifood_data[[#All],[Age]]&gt;30,"30-40","&lt;30")))))))</f>
        <v>30-40</v>
      </c>
      <c r="AX1880">
        <f t="shared" si="116"/>
        <v>16</v>
      </c>
      <c r="AY1880">
        <f t="shared" si="117"/>
        <v>4</v>
      </c>
      <c r="AZ1880">
        <f t="shared" si="118"/>
        <v>3</v>
      </c>
      <c r="BA1880">
        <f t="shared" si="119"/>
        <v>2</v>
      </c>
      <c r="BB1880">
        <f>SUM(ifood_data[[#This Row],[Recency Score]:[Monetary Score]])</f>
        <v>9</v>
      </c>
      <c r="BC1880">
        <f>(_xlfn.PERCENTRANK.INC(ifood_data[[#All],[RFM]],ifood_data[[#This Row],[RFM]],1))*10</f>
        <v>1</v>
      </c>
      <c r="BD1880" t="str">
        <f>VLOOKUP(ifood_data[[#This Row],[RFM Score]],'RFM Analysis'!$A$3:$B$14,2,FALSE)</f>
        <v>At Risk</v>
      </c>
      <c r="BE1880">
        <f>'Regression Models'!$B$101+'Regression Models'!$B$102*ifood_data[[#This Row],[Income]]+'Regression Models'!$B$103*ifood_data[[#This Row],[Age]]+'Regression Models'!$B$104*ifood_data[[#This Row],[Family]]</f>
        <v>-81.25011513074196</v>
      </c>
      <c r="BF1880" t="str">
        <f>IF(ifood_data[[#This Row],[AcceptedCmpOverall]]=1,"Campaign Respondent","Non-respondent")</f>
        <v>Non-respondent</v>
      </c>
    </row>
    <row r="1881" spans="1:58" x14ac:dyDescent="0.35">
      <c r="A1881">
        <v>77</v>
      </c>
      <c r="B1881">
        <v>23559</v>
      </c>
      <c r="C1881">
        <v>1</v>
      </c>
      <c r="D1881">
        <v>0</v>
      </c>
      <c r="E1881">
        <v>87</v>
      </c>
      <c r="F1881">
        <v>25</v>
      </c>
      <c r="G1881">
        <v>5</v>
      </c>
      <c r="H1881">
        <v>19</v>
      </c>
      <c r="I1881">
        <v>7</v>
      </c>
      <c r="J1881">
        <v>0</v>
      </c>
      <c r="K1881">
        <v>23</v>
      </c>
      <c r="L1881">
        <v>3</v>
      </c>
      <c r="M1881">
        <v>3</v>
      </c>
      <c r="N1881">
        <v>0</v>
      </c>
      <c r="O1881">
        <v>3</v>
      </c>
      <c r="P1881">
        <v>7</v>
      </c>
      <c r="Q1881">
        <v>0</v>
      </c>
      <c r="R1881">
        <v>0</v>
      </c>
      <c r="S1881">
        <v>0</v>
      </c>
      <c r="T1881">
        <v>0</v>
      </c>
      <c r="U1881">
        <v>0</v>
      </c>
      <c r="V1881">
        <f>IF(SUM(ifood_data[[#This Row],[AcceptedCmp1]:[AcceptedCmp5]])&gt;0,1,0)</f>
        <v>0</v>
      </c>
      <c r="W1881">
        <v>0</v>
      </c>
      <c r="X1881">
        <v>3</v>
      </c>
      <c r="Y1881">
        <v>11</v>
      </c>
      <c r="Z1881">
        <v>0</v>
      </c>
      <c r="AA1881">
        <v>47</v>
      </c>
      <c r="AB1881">
        <v>2520</v>
      </c>
      <c r="AC1881" s="28">
        <f>ifood_data[[#This Row],[Customer_Days]]/365</f>
        <v>6.904109589041096</v>
      </c>
      <c r="AD1881">
        <v>0</v>
      </c>
      <c r="AE1881">
        <v>1</v>
      </c>
      <c r="AF1881">
        <v>0</v>
      </c>
      <c r="AG1881">
        <v>0</v>
      </c>
      <c r="AH1881">
        <v>0</v>
      </c>
      <c r="AI1881">
        <v>1</v>
      </c>
      <c r="AJ1881">
        <v>0</v>
      </c>
      <c r="AK1881">
        <v>0</v>
      </c>
      <c r="AL1881">
        <v>0</v>
      </c>
      <c r="AM1881">
        <v>0</v>
      </c>
      <c r="AN1881">
        <v>56</v>
      </c>
      <c r="AO1881">
        <v>33</v>
      </c>
      <c r="AP1881">
        <f>ifood_data[[#This Row],[MntTotal]]-ifood_data[[#This Row],[MntRegularProds]]</f>
        <v>23</v>
      </c>
      <c r="AQ1881">
        <v>0</v>
      </c>
      <c r="AR1881">
        <f>IF(SUM(ifood_data[[#This Row],[Kidhome]:[Teenhome]])&gt;0,1,0)</f>
        <v>1</v>
      </c>
      <c r="AS1881" t="str">
        <f>IF(SUM(ifood_data[[#This Row],[Kidhome]:[Teenhome]])&gt;0,"Has Family","No Family")</f>
        <v>Has Family</v>
      </c>
      <c r="AT1881" t="str">
        <f>IF(ifood_data[[#This Row],[marital_Married]]=1,"Married", (IF(ifood_data[[#This Row],[marital_Single]]=1,"Single",(IF(ifood_data[[#This Row],[marital_Divorced]]=1,"Divorced",(IF(ifood_data[[#This Row],[marital_Together]]=1,"Living Together",(IF(ifood_data[[#This Row],[marital_Widow]]=1,"Widow","Other")))))))))</f>
        <v>Married</v>
      </c>
      <c r="AU1881" t="str">
        <f>IF(ifood_data[[#This Row],[education_Basic]]=1,"High School",(IF(ifood_data[[#This Row],[education_Graduation]]=1,"Undergraduate Degree",(IF(SUM(AM1881,AL1881,AI1881)&gt;0,"Master's Degree or Higher","Other")))))</f>
        <v>Master's Degree or Higher</v>
      </c>
      <c r="AV1881" t="str">
        <f>IF(ifood_data[[#All],[Income]]&gt;75000,"75K+",(IF(ifood_data[[#All],[Income]]&gt;50000,"50K-75K",(IF(ifood_data[[#All],[Income]]&gt;35000,"35K-50K","&lt;35K")))))</f>
        <v>&lt;35K</v>
      </c>
      <c r="AW1881" t="str">
        <f>IF(ifood_data[[#All],[Age]]&gt;60,"60+",(IF(ifood_data[[#All],[Age]]&gt;50,"50-60",(IF(ifood_data[[#All],[Age]]&gt;40,"40-50",(IF(ifood_data[[#All],[Age]]&gt;30,"30-40","&lt;30")))))))</f>
        <v>40-50</v>
      </c>
      <c r="AX1881">
        <f t="shared" si="116"/>
        <v>16</v>
      </c>
      <c r="AY1881">
        <f t="shared" si="117"/>
        <v>1.9999999999999996</v>
      </c>
      <c r="AZ1881">
        <f t="shared" si="118"/>
        <v>3</v>
      </c>
      <c r="BA1881">
        <f t="shared" si="119"/>
        <v>2</v>
      </c>
      <c r="BB1881">
        <f>SUM(ifood_data[[#This Row],[Recency Score]:[Monetary Score]])</f>
        <v>7</v>
      </c>
      <c r="BC1881">
        <f>(_xlfn.PERCENTRANK.INC(ifood_data[[#All],[RFM]],ifood_data[[#This Row],[RFM]],1))*10</f>
        <v>1</v>
      </c>
      <c r="BD1881" t="str">
        <f>VLOOKUP(ifood_data[[#This Row],[RFM Score]],'RFM Analysis'!$A$3:$B$14,2,FALSE)</f>
        <v>At Risk</v>
      </c>
      <c r="BE1881">
        <f>'Regression Models'!$B$101+'Regression Models'!$B$102*ifood_data[[#This Row],[Income]]+'Regression Models'!$B$103*ifood_data[[#This Row],[Age]]+'Regression Models'!$B$104*ifood_data[[#This Row],[Family]]</f>
        <v>-83.402535353398434</v>
      </c>
      <c r="BF1881" t="str">
        <f>IF(ifood_data[[#This Row],[AcceptedCmpOverall]]=1,"Campaign Respondent","Non-respondent")</f>
        <v>Non-respondent</v>
      </c>
    </row>
    <row r="1882" spans="1:58" x14ac:dyDescent="0.35">
      <c r="A1882">
        <v>569</v>
      </c>
      <c r="B1882">
        <v>23910</v>
      </c>
      <c r="C1882">
        <v>1</v>
      </c>
      <c r="D1882">
        <v>0</v>
      </c>
      <c r="E1882">
        <v>80</v>
      </c>
      <c r="F1882">
        <v>16</v>
      </c>
      <c r="G1882">
        <v>12</v>
      </c>
      <c r="H1882">
        <v>18</v>
      </c>
      <c r="I1882">
        <v>7</v>
      </c>
      <c r="J1882">
        <v>1</v>
      </c>
      <c r="K1882">
        <v>13</v>
      </c>
      <c r="L1882">
        <v>1</v>
      </c>
      <c r="M1882">
        <v>2</v>
      </c>
      <c r="N1882">
        <v>0</v>
      </c>
      <c r="O1882">
        <v>3</v>
      </c>
      <c r="P1882">
        <v>7</v>
      </c>
      <c r="Q1882">
        <v>0</v>
      </c>
      <c r="R1882">
        <v>0</v>
      </c>
      <c r="S1882">
        <v>0</v>
      </c>
      <c r="T1882">
        <v>0</v>
      </c>
      <c r="U1882">
        <v>0</v>
      </c>
      <c r="V1882">
        <f>IF(SUM(ifood_data[[#This Row],[AcceptedCmp1]:[AcceptedCmp5]])&gt;0,1,0)</f>
        <v>0</v>
      </c>
      <c r="W1882">
        <v>0</v>
      </c>
      <c r="X1882">
        <v>3</v>
      </c>
      <c r="Y1882">
        <v>11</v>
      </c>
      <c r="Z1882">
        <v>0</v>
      </c>
      <c r="AA1882">
        <v>51</v>
      </c>
      <c r="AB1882">
        <v>2770</v>
      </c>
      <c r="AC1882" s="28">
        <f>ifood_data[[#This Row],[Customer_Days]]/365</f>
        <v>7.5890410958904111</v>
      </c>
      <c r="AD1882">
        <v>1</v>
      </c>
      <c r="AE1882">
        <v>0</v>
      </c>
      <c r="AF1882">
        <v>0</v>
      </c>
      <c r="AG1882">
        <v>0</v>
      </c>
      <c r="AH1882">
        <v>0</v>
      </c>
      <c r="AI1882">
        <v>0</v>
      </c>
      <c r="AJ1882">
        <v>0</v>
      </c>
      <c r="AK1882">
        <v>1</v>
      </c>
      <c r="AL1882">
        <v>0</v>
      </c>
      <c r="AM1882">
        <v>0</v>
      </c>
      <c r="AN1882">
        <v>54</v>
      </c>
      <c r="AO1882">
        <v>41</v>
      </c>
      <c r="AP1882">
        <f>ifood_data[[#This Row],[MntTotal]]-ifood_data[[#This Row],[MntRegularProds]]</f>
        <v>13</v>
      </c>
      <c r="AQ1882">
        <v>0</v>
      </c>
      <c r="AR1882">
        <f>IF(SUM(ifood_data[[#This Row],[Kidhome]:[Teenhome]])&gt;0,1,0)</f>
        <v>1</v>
      </c>
      <c r="AS1882" t="str">
        <f>IF(SUM(ifood_data[[#This Row],[Kidhome]:[Teenhome]])&gt;0,"Has Family","No Family")</f>
        <v>Has Family</v>
      </c>
      <c r="AT1882" t="str">
        <f>IF(ifood_data[[#This Row],[marital_Married]]=1,"Married", (IF(ifood_data[[#This Row],[marital_Single]]=1,"Single",(IF(ifood_data[[#This Row],[marital_Divorced]]=1,"Divorced",(IF(ifood_data[[#This Row],[marital_Together]]=1,"Living Together",(IF(ifood_data[[#This Row],[marital_Widow]]=1,"Widow","Other")))))))))</f>
        <v>Divorced</v>
      </c>
      <c r="AU1882" t="str">
        <f>IF(ifood_data[[#This Row],[education_Basic]]=1,"High School",(IF(ifood_data[[#This Row],[education_Graduation]]=1,"Undergraduate Degree",(IF(SUM(AM1882,AL1882,AI1882)&gt;0,"Master's Degree or Higher","Other")))))</f>
        <v>Undergraduate Degree</v>
      </c>
      <c r="AV1882" t="str">
        <f>IF(ifood_data[[#All],[Income]]&gt;75000,"75K+",(IF(ifood_data[[#All],[Income]]&gt;50000,"50K-75K",(IF(ifood_data[[#All],[Income]]&gt;35000,"35K-50K","&lt;35K")))))</f>
        <v>&lt;35K</v>
      </c>
      <c r="AW1882" t="str">
        <f>IF(ifood_data[[#All],[Age]]&gt;60,"60+",(IF(ifood_data[[#All],[Age]]&gt;50,"50-60",(IF(ifood_data[[#All],[Age]]&gt;40,"40-50",(IF(ifood_data[[#All],[Age]]&gt;30,"30-40","&lt;30")))))))</f>
        <v>50-60</v>
      </c>
      <c r="AX1882">
        <f t="shared" si="116"/>
        <v>13</v>
      </c>
      <c r="AY1882">
        <f t="shared" si="117"/>
        <v>1.9999999999999996</v>
      </c>
      <c r="AZ1882">
        <f t="shared" si="118"/>
        <v>1</v>
      </c>
      <c r="BA1882">
        <f t="shared" si="119"/>
        <v>2</v>
      </c>
      <c r="BB1882">
        <f>SUM(ifood_data[[#This Row],[Recency Score]:[Monetary Score]])</f>
        <v>5</v>
      </c>
      <c r="BC1882">
        <f>(_xlfn.PERCENTRANK.INC(ifood_data[[#All],[RFM]],ifood_data[[#This Row],[RFM]],1))*10</f>
        <v>0</v>
      </c>
      <c r="BD1882" t="str">
        <f>VLOOKUP(ifood_data[[#This Row],[RFM Score]],'RFM Analysis'!$A$3:$B$14,2,FALSE)</f>
        <v>Lost</v>
      </c>
      <c r="BE1882">
        <f>'Regression Models'!$B$101+'Regression Models'!$B$102*ifood_data[[#This Row],[Income]]+'Regression Models'!$B$103*ifood_data[[#This Row],[Age]]+'Regression Models'!$B$104*ifood_data[[#This Row],[Family]]</f>
        <v>-83.591834050467014</v>
      </c>
      <c r="BF1882" t="str">
        <f>IF(ifood_data[[#This Row],[AcceptedCmpOverall]]=1,"Campaign Respondent","Non-respondent")</f>
        <v>Non-respondent</v>
      </c>
    </row>
    <row r="1883" spans="1:58" x14ac:dyDescent="0.35">
      <c r="A1883">
        <v>1119</v>
      </c>
      <c r="B1883">
        <v>22327</v>
      </c>
      <c r="C1883">
        <v>1</v>
      </c>
      <c r="D1883">
        <v>0</v>
      </c>
      <c r="E1883">
        <v>94</v>
      </c>
      <c r="F1883">
        <v>5</v>
      </c>
      <c r="G1883">
        <v>4</v>
      </c>
      <c r="H1883">
        <v>8</v>
      </c>
      <c r="I1883">
        <v>2</v>
      </c>
      <c r="J1883">
        <v>0</v>
      </c>
      <c r="K1883">
        <v>5</v>
      </c>
      <c r="L1883">
        <v>1</v>
      </c>
      <c r="M1883">
        <v>1</v>
      </c>
      <c r="N1883">
        <v>0</v>
      </c>
      <c r="O1883">
        <v>3</v>
      </c>
      <c r="P1883">
        <v>5</v>
      </c>
      <c r="Q1883">
        <v>0</v>
      </c>
      <c r="R1883">
        <v>0</v>
      </c>
      <c r="S1883">
        <v>0</v>
      </c>
      <c r="T1883">
        <v>0</v>
      </c>
      <c r="U1883">
        <v>0</v>
      </c>
      <c r="V1883">
        <f>IF(SUM(ifood_data[[#This Row],[AcceptedCmp1]:[AcceptedCmp5]])&gt;0,1,0)</f>
        <v>0</v>
      </c>
      <c r="W1883">
        <v>0</v>
      </c>
      <c r="X1883">
        <v>3</v>
      </c>
      <c r="Y1883">
        <v>11</v>
      </c>
      <c r="Z1883">
        <v>0</v>
      </c>
      <c r="AA1883">
        <v>35</v>
      </c>
      <c r="AB1883">
        <v>2490</v>
      </c>
      <c r="AC1883" s="28">
        <f>ifood_data[[#This Row],[Customer_Days]]/365</f>
        <v>6.8219178082191778</v>
      </c>
      <c r="AD1883">
        <v>0</v>
      </c>
      <c r="AE1883">
        <v>0</v>
      </c>
      <c r="AF1883">
        <v>1</v>
      </c>
      <c r="AG1883">
        <v>0</v>
      </c>
      <c r="AH1883">
        <v>0</v>
      </c>
      <c r="AI1883">
        <v>0</v>
      </c>
      <c r="AJ1883">
        <v>0</v>
      </c>
      <c r="AK1883">
        <v>1</v>
      </c>
      <c r="AL1883">
        <v>0</v>
      </c>
      <c r="AM1883">
        <v>0</v>
      </c>
      <c r="AN1883">
        <v>19</v>
      </c>
      <c r="AO1883">
        <v>14</v>
      </c>
      <c r="AP1883">
        <f>ifood_data[[#This Row],[MntTotal]]-ifood_data[[#This Row],[MntRegularProds]]</f>
        <v>5</v>
      </c>
      <c r="AQ1883">
        <v>0</v>
      </c>
      <c r="AR1883">
        <f>IF(SUM(ifood_data[[#This Row],[Kidhome]:[Teenhome]])&gt;0,1,0)</f>
        <v>1</v>
      </c>
      <c r="AS1883" t="str">
        <f>IF(SUM(ifood_data[[#This Row],[Kidhome]:[Teenhome]])&gt;0,"Has Family","No Family")</f>
        <v>Has Family</v>
      </c>
      <c r="AT1883" t="str">
        <f>IF(ifood_data[[#This Row],[marital_Married]]=1,"Married", (IF(ifood_data[[#This Row],[marital_Single]]=1,"Single",(IF(ifood_data[[#This Row],[marital_Divorced]]=1,"Divorced",(IF(ifood_data[[#This Row],[marital_Together]]=1,"Living Together",(IF(ifood_data[[#This Row],[marital_Widow]]=1,"Widow","Other")))))))))</f>
        <v>Single</v>
      </c>
      <c r="AU1883" t="str">
        <f>IF(ifood_data[[#This Row],[education_Basic]]=1,"High School",(IF(ifood_data[[#This Row],[education_Graduation]]=1,"Undergraduate Degree",(IF(SUM(AM1883,AL1883,AI1883)&gt;0,"Master's Degree or Higher","Other")))))</f>
        <v>Undergraduate Degree</v>
      </c>
      <c r="AV1883" t="str">
        <f>IF(ifood_data[[#All],[Income]]&gt;75000,"75K+",(IF(ifood_data[[#All],[Income]]&gt;50000,"50K-75K",(IF(ifood_data[[#All],[Income]]&gt;35000,"35K-50K","&lt;35K")))))</f>
        <v>&lt;35K</v>
      </c>
      <c r="AW1883" t="str">
        <f>IF(ifood_data[[#All],[Age]]&gt;60,"60+",(IF(ifood_data[[#All],[Age]]&gt;50,"50-60",(IF(ifood_data[[#All],[Age]]&gt;40,"40-50",(IF(ifood_data[[#All],[Age]]&gt;30,"30-40","&lt;30")))))))</f>
        <v>30-40</v>
      </c>
      <c r="AX1883">
        <f t="shared" si="116"/>
        <v>10</v>
      </c>
      <c r="AY1883">
        <f t="shared" si="117"/>
        <v>0.99999999999999978</v>
      </c>
      <c r="AZ1883">
        <f t="shared" si="118"/>
        <v>0</v>
      </c>
      <c r="BA1883">
        <f t="shared" si="119"/>
        <v>0</v>
      </c>
      <c r="BB1883">
        <f>SUM(ifood_data[[#This Row],[Recency Score]:[Monetary Score]])</f>
        <v>0.99999999999999978</v>
      </c>
      <c r="BC1883">
        <f>(_xlfn.PERCENTRANK.INC(ifood_data[[#All],[RFM]],ifood_data[[#This Row],[RFM]],1))*10</f>
        <v>0</v>
      </c>
      <c r="BD1883" t="str">
        <f>VLOOKUP(ifood_data[[#This Row],[RFM Score]],'RFM Analysis'!$A$3:$B$14,2,FALSE)</f>
        <v>Lost</v>
      </c>
      <c r="BE1883">
        <f>'Regression Models'!$B$101+'Regression Models'!$B$102*ifood_data[[#This Row],[Income]]+'Regression Models'!$B$103*ifood_data[[#This Row],[Age]]+'Regression Models'!$B$104*ifood_data[[#This Row],[Family]]</f>
        <v>-86.484228759950497</v>
      </c>
      <c r="BF1883" t="str">
        <f>IF(ifood_data[[#This Row],[AcceptedCmpOverall]]=1,"Campaign Respondent","Non-respondent")</f>
        <v>Non-respondent</v>
      </c>
    </row>
    <row r="1884" spans="1:58" x14ac:dyDescent="0.35">
      <c r="A1884">
        <v>85</v>
      </c>
      <c r="B1884">
        <v>23626</v>
      </c>
      <c r="C1884">
        <v>1</v>
      </c>
      <c r="D1884">
        <v>0</v>
      </c>
      <c r="E1884">
        <v>84</v>
      </c>
      <c r="F1884">
        <v>27</v>
      </c>
      <c r="G1884">
        <v>2</v>
      </c>
      <c r="H1884">
        <v>14</v>
      </c>
      <c r="I1884">
        <v>0</v>
      </c>
      <c r="J1884">
        <v>0</v>
      </c>
      <c r="K1884">
        <v>0</v>
      </c>
      <c r="L1884">
        <v>3</v>
      </c>
      <c r="M1884">
        <v>3</v>
      </c>
      <c r="N1884">
        <v>1</v>
      </c>
      <c r="O1884">
        <v>3</v>
      </c>
      <c r="P1884">
        <v>5</v>
      </c>
      <c r="Q1884">
        <v>0</v>
      </c>
      <c r="R1884">
        <v>0</v>
      </c>
      <c r="S1884">
        <v>0</v>
      </c>
      <c r="T1884">
        <v>0</v>
      </c>
      <c r="U1884">
        <v>0</v>
      </c>
      <c r="V1884">
        <f>IF(SUM(ifood_data[[#This Row],[AcceptedCmp1]:[AcceptedCmp5]])&gt;0,1,0)</f>
        <v>0</v>
      </c>
      <c r="W1884">
        <v>0</v>
      </c>
      <c r="X1884">
        <v>3</v>
      </c>
      <c r="Y1884">
        <v>11</v>
      </c>
      <c r="Z1884">
        <v>0</v>
      </c>
      <c r="AA1884">
        <v>50</v>
      </c>
      <c r="AB1884">
        <v>2195</v>
      </c>
      <c r="AC1884" s="28">
        <f>ifood_data[[#This Row],[Customer_Days]]/365</f>
        <v>6.0136986301369859</v>
      </c>
      <c r="AD1884">
        <v>0</v>
      </c>
      <c r="AE1884">
        <v>1</v>
      </c>
      <c r="AF1884">
        <v>0</v>
      </c>
      <c r="AG1884">
        <v>0</v>
      </c>
      <c r="AH1884">
        <v>0</v>
      </c>
      <c r="AI1884">
        <v>0</v>
      </c>
      <c r="AJ1884">
        <v>0</v>
      </c>
      <c r="AK1884">
        <v>0</v>
      </c>
      <c r="AL1884">
        <v>0</v>
      </c>
      <c r="AM1884">
        <v>1</v>
      </c>
      <c r="AN1884">
        <v>43</v>
      </c>
      <c r="AO1884">
        <v>43</v>
      </c>
      <c r="AP1884">
        <f>ifood_data[[#This Row],[MntTotal]]-ifood_data[[#This Row],[MntRegularProds]]</f>
        <v>0</v>
      </c>
      <c r="AQ1884">
        <v>0</v>
      </c>
      <c r="AR1884">
        <f>IF(SUM(ifood_data[[#This Row],[Kidhome]:[Teenhome]])&gt;0,1,0)</f>
        <v>1</v>
      </c>
      <c r="AS1884" t="str">
        <f>IF(SUM(ifood_data[[#This Row],[Kidhome]:[Teenhome]])&gt;0,"Has Family","No Family")</f>
        <v>Has Family</v>
      </c>
      <c r="AT1884" t="str">
        <f>IF(ifood_data[[#This Row],[marital_Married]]=1,"Married", (IF(ifood_data[[#This Row],[marital_Single]]=1,"Single",(IF(ifood_data[[#This Row],[marital_Divorced]]=1,"Divorced",(IF(ifood_data[[#This Row],[marital_Together]]=1,"Living Together",(IF(ifood_data[[#This Row],[marital_Widow]]=1,"Widow","Other")))))))))</f>
        <v>Married</v>
      </c>
      <c r="AU1884" t="str">
        <f>IF(ifood_data[[#This Row],[education_Basic]]=1,"High School",(IF(ifood_data[[#This Row],[education_Graduation]]=1,"Undergraduate Degree",(IF(SUM(AM1884,AL1884,AI1884)&gt;0,"Master's Degree or Higher","Other")))))</f>
        <v>Master's Degree or Higher</v>
      </c>
      <c r="AV1884" t="str">
        <f>IF(ifood_data[[#All],[Income]]&gt;75000,"75K+",(IF(ifood_data[[#All],[Income]]&gt;50000,"50K-75K",(IF(ifood_data[[#All],[Income]]&gt;35000,"35K-50K","&lt;35K")))))</f>
        <v>&lt;35K</v>
      </c>
      <c r="AW1884" t="str">
        <f>IF(ifood_data[[#All],[Age]]&gt;60,"60+",(IF(ifood_data[[#All],[Age]]&gt;50,"50-60",(IF(ifood_data[[#All],[Age]]&gt;40,"40-50",(IF(ifood_data[[#All],[Age]]&gt;30,"30-40","&lt;30")))))))</f>
        <v>40-50</v>
      </c>
      <c r="AX1884">
        <f t="shared" si="116"/>
        <v>15</v>
      </c>
      <c r="AY1884">
        <f t="shared" si="117"/>
        <v>1.9999999999999996</v>
      </c>
      <c r="AZ1884">
        <f t="shared" si="118"/>
        <v>2</v>
      </c>
      <c r="BA1884">
        <f t="shared" si="119"/>
        <v>1</v>
      </c>
      <c r="BB1884">
        <f>SUM(ifood_data[[#This Row],[Recency Score]:[Monetary Score]])</f>
        <v>5</v>
      </c>
      <c r="BC1884">
        <f>(_xlfn.PERCENTRANK.INC(ifood_data[[#All],[RFM]],ifood_data[[#This Row],[RFM]],1))*10</f>
        <v>0</v>
      </c>
      <c r="BD1884" t="str">
        <f>VLOOKUP(ifood_data[[#This Row],[RFM Score]],'RFM Analysis'!$A$3:$B$14,2,FALSE)</f>
        <v>Lost</v>
      </c>
      <c r="BE1884">
        <f>'Regression Models'!$B$101+'Regression Models'!$B$102*ifood_data[[#This Row],[Income]]+'Regression Models'!$B$103*ifood_data[[#This Row],[Age]]+'Regression Models'!$B$104*ifood_data[[#This Row],[Family]]</f>
        <v>-87.545805124439994</v>
      </c>
      <c r="BF1884" t="str">
        <f>IF(ifood_data[[#This Row],[AcceptedCmpOverall]]=1,"Campaign Respondent","Non-respondent")</f>
        <v>Non-respondent</v>
      </c>
    </row>
    <row r="1885" spans="1:58" x14ac:dyDescent="0.35">
      <c r="A1885">
        <v>1199</v>
      </c>
      <c r="B1885">
        <v>23748</v>
      </c>
      <c r="C1885">
        <v>1</v>
      </c>
      <c r="D1885">
        <v>0</v>
      </c>
      <c r="E1885">
        <v>97</v>
      </c>
      <c r="F1885">
        <v>6</v>
      </c>
      <c r="G1885">
        <v>6</v>
      </c>
      <c r="H1885">
        <v>29</v>
      </c>
      <c r="I1885">
        <v>12</v>
      </c>
      <c r="J1885">
        <v>15</v>
      </c>
      <c r="K1885">
        <v>8</v>
      </c>
      <c r="L1885">
        <v>3</v>
      </c>
      <c r="M1885">
        <v>2</v>
      </c>
      <c r="N1885">
        <v>1</v>
      </c>
      <c r="O1885">
        <v>3</v>
      </c>
      <c r="P1885">
        <v>8</v>
      </c>
      <c r="Q1885">
        <v>0</v>
      </c>
      <c r="R1885">
        <v>0</v>
      </c>
      <c r="S1885">
        <v>0</v>
      </c>
      <c r="T1885">
        <v>0</v>
      </c>
      <c r="U1885">
        <v>0</v>
      </c>
      <c r="V1885">
        <f>IF(SUM(ifood_data[[#This Row],[AcceptedCmp1]:[AcceptedCmp5]])&gt;0,1,0)</f>
        <v>0</v>
      </c>
      <c r="W1885">
        <v>0</v>
      </c>
      <c r="X1885">
        <v>3</v>
      </c>
      <c r="Y1885">
        <v>11</v>
      </c>
      <c r="Z1885">
        <v>0</v>
      </c>
      <c r="AA1885">
        <v>52</v>
      </c>
      <c r="AB1885">
        <v>2744</v>
      </c>
      <c r="AC1885" s="28">
        <f>ifood_data[[#This Row],[Customer_Days]]/365</f>
        <v>7.5178082191780824</v>
      </c>
      <c r="AD1885">
        <v>1</v>
      </c>
      <c r="AE1885">
        <v>0</v>
      </c>
      <c r="AF1885">
        <v>0</v>
      </c>
      <c r="AG1885">
        <v>0</v>
      </c>
      <c r="AH1885">
        <v>0</v>
      </c>
      <c r="AI1885">
        <v>0</v>
      </c>
      <c r="AJ1885">
        <v>0</v>
      </c>
      <c r="AK1885">
        <v>0</v>
      </c>
      <c r="AL1885">
        <v>1</v>
      </c>
      <c r="AM1885">
        <v>0</v>
      </c>
      <c r="AN1885">
        <v>68</v>
      </c>
      <c r="AO1885">
        <v>60</v>
      </c>
      <c r="AP1885">
        <f>ifood_data[[#This Row],[MntTotal]]-ifood_data[[#This Row],[MntRegularProds]]</f>
        <v>8</v>
      </c>
      <c r="AQ1885">
        <v>0</v>
      </c>
      <c r="AR1885">
        <f>IF(SUM(ifood_data[[#This Row],[Kidhome]:[Teenhome]])&gt;0,1,0)</f>
        <v>1</v>
      </c>
      <c r="AS1885" t="str">
        <f>IF(SUM(ifood_data[[#This Row],[Kidhome]:[Teenhome]])&gt;0,"Has Family","No Family")</f>
        <v>Has Family</v>
      </c>
      <c r="AT1885" t="str">
        <f>IF(ifood_data[[#This Row],[marital_Married]]=1,"Married", (IF(ifood_data[[#This Row],[marital_Single]]=1,"Single",(IF(ifood_data[[#This Row],[marital_Divorced]]=1,"Divorced",(IF(ifood_data[[#This Row],[marital_Together]]=1,"Living Together",(IF(ifood_data[[#This Row],[marital_Widow]]=1,"Widow","Other")))))))))</f>
        <v>Divorced</v>
      </c>
      <c r="AU1885" t="str">
        <f>IF(ifood_data[[#This Row],[education_Basic]]=1,"High School",(IF(ifood_data[[#This Row],[education_Graduation]]=1,"Undergraduate Degree",(IF(SUM(AM1885,AL1885,AI1885)&gt;0,"Master's Degree or Higher","Other")))))</f>
        <v>Master's Degree or Higher</v>
      </c>
      <c r="AV1885" t="str">
        <f>IF(ifood_data[[#All],[Income]]&gt;75000,"75K+",(IF(ifood_data[[#All],[Income]]&gt;50000,"50K-75K",(IF(ifood_data[[#All],[Income]]&gt;35000,"35K-50K","&lt;35K")))))</f>
        <v>&lt;35K</v>
      </c>
      <c r="AW1885" t="str">
        <f>IF(ifood_data[[#All],[Age]]&gt;60,"60+",(IF(ifood_data[[#All],[Age]]&gt;50,"50-60",(IF(ifood_data[[#All],[Age]]&gt;40,"40-50",(IF(ifood_data[[#All],[Age]]&gt;30,"30-40","&lt;30")))))))</f>
        <v>50-60</v>
      </c>
      <c r="AX1885">
        <f t="shared" si="116"/>
        <v>17</v>
      </c>
      <c r="AY1885">
        <f t="shared" si="117"/>
        <v>0.99999999999999978</v>
      </c>
      <c r="AZ1885">
        <f t="shared" si="118"/>
        <v>3</v>
      </c>
      <c r="BA1885">
        <f t="shared" si="119"/>
        <v>2</v>
      </c>
      <c r="BB1885">
        <f>SUM(ifood_data[[#This Row],[Recency Score]:[Monetary Score]])</f>
        <v>6</v>
      </c>
      <c r="BC1885">
        <f>(_xlfn.PERCENTRANK.INC(ifood_data[[#All],[RFM]],ifood_data[[#This Row],[RFM]],1))*10</f>
        <v>0</v>
      </c>
      <c r="BD1885" t="str">
        <f>VLOOKUP(ifood_data[[#This Row],[RFM Score]],'RFM Analysis'!$A$3:$B$14,2,FALSE)</f>
        <v>Lost</v>
      </c>
      <c r="BE1885">
        <f>'Regression Models'!$B$101+'Regression Models'!$B$102*ifood_data[[#This Row],[Income]]+'Regression Models'!$B$103*ifood_data[[#This Row],[Age]]+'Regression Models'!$B$104*ifood_data[[#This Row],[Family]]</f>
        <v>-88.731253568672912</v>
      </c>
      <c r="BF1885" t="str">
        <f>IF(ifood_data[[#This Row],[AcceptedCmpOverall]]=1,"Campaign Respondent","Non-respondent")</f>
        <v>Non-respondent</v>
      </c>
    </row>
    <row r="1886" spans="1:58" x14ac:dyDescent="0.35">
      <c r="A1886">
        <v>1520</v>
      </c>
      <c r="B1886">
        <v>22448</v>
      </c>
      <c r="C1886">
        <v>1</v>
      </c>
      <c r="D1886">
        <v>0</v>
      </c>
      <c r="E1886">
        <v>86</v>
      </c>
      <c r="F1886">
        <v>3</v>
      </c>
      <c r="G1886">
        <v>1</v>
      </c>
      <c r="H1886">
        <v>8</v>
      </c>
      <c r="I1886">
        <v>23</v>
      </c>
      <c r="J1886">
        <v>2</v>
      </c>
      <c r="K1886">
        <v>18</v>
      </c>
      <c r="L1886">
        <v>3</v>
      </c>
      <c r="M1886">
        <v>2</v>
      </c>
      <c r="N1886">
        <v>1</v>
      </c>
      <c r="O1886">
        <v>3</v>
      </c>
      <c r="P1886">
        <v>3</v>
      </c>
      <c r="Q1886">
        <v>0</v>
      </c>
      <c r="R1886">
        <v>0</v>
      </c>
      <c r="S1886">
        <v>0</v>
      </c>
      <c r="T1886">
        <v>0</v>
      </c>
      <c r="U1886">
        <v>0</v>
      </c>
      <c r="V1886">
        <f>IF(SUM(ifood_data[[#This Row],[AcceptedCmp1]:[AcceptedCmp5]])&gt;0,1,0)</f>
        <v>0</v>
      </c>
      <c r="W1886">
        <v>0</v>
      </c>
      <c r="X1886">
        <v>3</v>
      </c>
      <c r="Y1886">
        <v>11</v>
      </c>
      <c r="Z1886">
        <v>0</v>
      </c>
      <c r="AA1886">
        <v>38</v>
      </c>
      <c r="AB1886">
        <v>2282</v>
      </c>
      <c r="AC1886" s="28">
        <f>ifood_data[[#This Row],[Customer_Days]]/365</f>
        <v>6.2520547945205482</v>
      </c>
      <c r="AD1886">
        <v>0</v>
      </c>
      <c r="AE1886">
        <v>1</v>
      </c>
      <c r="AF1886">
        <v>0</v>
      </c>
      <c r="AG1886">
        <v>0</v>
      </c>
      <c r="AH1886">
        <v>0</v>
      </c>
      <c r="AI1886">
        <v>0</v>
      </c>
      <c r="AJ1886">
        <v>0</v>
      </c>
      <c r="AK1886">
        <v>1</v>
      </c>
      <c r="AL1886">
        <v>0</v>
      </c>
      <c r="AM1886">
        <v>0</v>
      </c>
      <c r="AN1886">
        <v>37</v>
      </c>
      <c r="AO1886">
        <v>19</v>
      </c>
      <c r="AP1886">
        <f>ifood_data[[#This Row],[MntTotal]]-ifood_data[[#This Row],[MntRegularProds]]</f>
        <v>18</v>
      </c>
      <c r="AQ1886">
        <v>0</v>
      </c>
      <c r="AR1886">
        <f>IF(SUM(ifood_data[[#This Row],[Kidhome]:[Teenhome]])&gt;0,1,0)</f>
        <v>1</v>
      </c>
      <c r="AS1886" t="str">
        <f>IF(SUM(ifood_data[[#This Row],[Kidhome]:[Teenhome]])&gt;0,"Has Family","No Family")</f>
        <v>Has Family</v>
      </c>
      <c r="AT1886" t="str">
        <f>IF(ifood_data[[#This Row],[marital_Married]]=1,"Married", (IF(ifood_data[[#This Row],[marital_Single]]=1,"Single",(IF(ifood_data[[#This Row],[marital_Divorced]]=1,"Divorced",(IF(ifood_data[[#This Row],[marital_Together]]=1,"Living Together",(IF(ifood_data[[#This Row],[marital_Widow]]=1,"Widow","Other")))))))))</f>
        <v>Married</v>
      </c>
      <c r="AU1886" t="str">
        <f>IF(ifood_data[[#This Row],[education_Basic]]=1,"High School",(IF(ifood_data[[#This Row],[education_Graduation]]=1,"Undergraduate Degree",(IF(SUM(AM1886,AL1886,AI1886)&gt;0,"Master's Degree or Higher","Other")))))</f>
        <v>Undergraduate Degree</v>
      </c>
      <c r="AV1886" t="str">
        <f>IF(ifood_data[[#All],[Income]]&gt;75000,"75K+",(IF(ifood_data[[#All],[Income]]&gt;50000,"50K-75K",(IF(ifood_data[[#All],[Income]]&gt;35000,"35K-50K","&lt;35K")))))</f>
        <v>&lt;35K</v>
      </c>
      <c r="AW1886" t="str">
        <f>IF(ifood_data[[#All],[Age]]&gt;60,"60+",(IF(ifood_data[[#All],[Age]]&gt;50,"50-60",(IF(ifood_data[[#All],[Age]]&gt;40,"40-50",(IF(ifood_data[[#All],[Age]]&gt;30,"30-40","&lt;30")))))))</f>
        <v>30-40</v>
      </c>
      <c r="AX1886">
        <f t="shared" si="116"/>
        <v>12</v>
      </c>
      <c r="AY1886">
        <f t="shared" si="117"/>
        <v>1.9999999999999996</v>
      </c>
      <c r="AZ1886">
        <f t="shared" si="118"/>
        <v>1</v>
      </c>
      <c r="BA1886">
        <f t="shared" si="119"/>
        <v>1</v>
      </c>
      <c r="BB1886">
        <f>SUM(ifood_data[[#This Row],[Recency Score]:[Monetary Score]])</f>
        <v>3.9999999999999996</v>
      </c>
      <c r="BC1886">
        <f>(_xlfn.PERCENTRANK.INC(ifood_data[[#All],[RFM]],ifood_data[[#This Row],[RFM]],1))*10</f>
        <v>0</v>
      </c>
      <c r="BD1886" t="str">
        <f>VLOOKUP(ifood_data[[#This Row],[RFM Score]],'RFM Analysis'!$A$3:$B$14,2,FALSE)</f>
        <v>Lost</v>
      </c>
      <c r="BE1886">
        <f>'Regression Models'!$B$101+'Regression Models'!$B$102*ifood_data[[#This Row],[Income]]+'Regression Models'!$B$103*ifood_data[[#This Row],[Age]]+'Regression Models'!$B$104*ifood_data[[#This Row],[Family]]</f>
        <v>-89.526505051221534</v>
      </c>
      <c r="BF1886" t="str">
        <f>IF(ifood_data[[#This Row],[AcceptedCmpOverall]]=1,"Campaign Respondent","Non-respondent")</f>
        <v>Non-respondent</v>
      </c>
    </row>
    <row r="1887" spans="1:58" x14ac:dyDescent="0.35">
      <c r="A1887">
        <v>1505</v>
      </c>
      <c r="B1887">
        <v>22775</v>
      </c>
      <c r="C1887">
        <v>1</v>
      </c>
      <c r="D1887">
        <v>0</v>
      </c>
      <c r="E1887">
        <v>40</v>
      </c>
      <c r="F1887">
        <v>5</v>
      </c>
      <c r="G1887">
        <v>1</v>
      </c>
      <c r="H1887">
        <v>8</v>
      </c>
      <c r="I1887">
        <v>0</v>
      </c>
      <c r="J1887">
        <v>0</v>
      </c>
      <c r="K1887">
        <v>1</v>
      </c>
      <c r="L1887">
        <v>1</v>
      </c>
      <c r="M1887">
        <v>1</v>
      </c>
      <c r="N1887">
        <v>0</v>
      </c>
      <c r="O1887">
        <v>2</v>
      </c>
      <c r="P1887">
        <v>8</v>
      </c>
      <c r="Q1887">
        <v>0</v>
      </c>
      <c r="R1887">
        <v>0</v>
      </c>
      <c r="S1887">
        <v>0</v>
      </c>
      <c r="T1887">
        <v>0</v>
      </c>
      <c r="U1887">
        <v>0</v>
      </c>
      <c r="V1887">
        <f>IF(SUM(ifood_data[[#This Row],[AcceptedCmp1]:[AcceptedCmp5]])&gt;0,1,0)</f>
        <v>0</v>
      </c>
      <c r="W1887">
        <v>0</v>
      </c>
      <c r="X1887">
        <v>3</v>
      </c>
      <c r="Y1887">
        <v>11</v>
      </c>
      <c r="Z1887">
        <v>0</v>
      </c>
      <c r="AA1887">
        <v>42</v>
      </c>
      <c r="AB1887">
        <v>2534</v>
      </c>
      <c r="AC1887" s="28">
        <f>ifood_data[[#This Row],[Customer_Days]]/365</f>
        <v>6.9424657534246572</v>
      </c>
      <c r="AD1887">
        <v>0</v>
      </c>
      <c r="AE1887">
        <v>0</v>
      </c>
      <c r="AF1887">
        <v>0</v>
      </c>
      <c r="AG1887">
        <v>1</v>
      </c>
      <c r="AH1887">
        <v>0</v>
      </c>
      <c r="AI1887">
        <v>0</v>
      </c>
      <c r="AJ1887">
        <v>0</v>
      </c>
      <c r="AK1887">
        <v>1</v>
      </c>
      <c r="AL1887">
        <v>0</v>
      </c>
      <c r="AM1887">
        <v>0</v>
      </c>
      <c r="AN1887">
        <v>14</v>
      </c>
      <c r="AO1887">
        <v>13</v>
      </c>
      <c r="AP1887">
        <f>ifood_data[[#This Row],[MntTotal]]-ifood_data[[#This Row],[MntRegularProds]]</f>
        <v>1</v>
      </c>
      <c r="AQ1887">
        <v>0</v>
      </c>
      <c r="AR1887">
        <f>IF(SUM(ifood_data[[#This Row],[Kidhome]:[Teenhome]])&gt;0,1,0)</f>
        <v>1</v>
      </c>
      <c r="AS1887" t="str">
        <f>IF(SUM(ifood_data[[#This Row],[Kidhome]:[Teenhome]])&gt;0,"Has Family","No Family")</f>
        <v>Has Family</v>
      </c>
      <c r="AT1887" t="str">
        <f>IF(ifood_data[[#This Row],[marital_Married]]=1,"Married", (IF(ifood_data[[#This Row],[marital_Single]]=1,"Single",(IF(ifood_data[[#This Row],[marital_Divorced]]=1,"Divorced",(IF(ifood_data[[#This Row],[marital_Together]]=1,"Living Together",(IF(ifood_data[[#This Row],[marital_Widow]]=1,"Widow","Other")))))))))</f>
        <v>Living Together</v>
      </c>
      <c r="AU1887" t="str">
        <f>IF(ifood_data[[#This Row],[education_Basic]]=1,"High School",(IF(ifood_data[[#This Row],[education_Graduation]]=1,"Undergraduate Degree",(IF(SUM(AM1887,AL1887,AI1887)&gt;0,"Master's Degree or Higher","Other")))))</f>
        <v>Undergraduate Degree</v>
      </c>
      <c r="AV1887" t="str">
        <f>IF(ifood_data[[#All],[Income]]&gt;75000,"75K+",(IF(ifood_data[[#All],[Income]]&gt;50000,"50K-75K",(IF(ifood_data[[#All],[Income]]&gt;35000,"35K-50K","&lt;35K")))))</f>
        <v>&lt;35K</v>
      </c>
      <c r="AW1887" t="str">
        <f>IF(ifood_data[[#All],[Age]]&gt;60,"60+",(IF(ifood_data[[#All],[Age]]&gt;50,"50-60",(IF(ifood_data[[#All],[Age]]&gt;40,"40-50",(IF(ifood_data[[#All],[Age]]&gt;30,"30-40","&lt;30")))))))</f>
        <v>40-50</v>
      </c>
      <c r="AX1887">
        <f t="shared" si="116"/>
        <v>12</v>
      </c>
      <c r="AY1887">
        <f t="shared" si="117"/>
        <v>6</v>
      </c>
      <c r="AZ1887">
        <f t="shared" si="118"/>
        <v>1</v>
      </c>
      <c r="BA1887">
        <f t="shared" si="119"/>
        <v>0</v>
      </c>
      <c r="BB1887">
        <f>SUM(ifood_data[[#This Row],[Recency Score]:[Monetary Score]])</f>
        <v>7</v>
      </c>
      <c r="BC1887">
        <f>(_xlfn.PERCENTRANK.INC(ifood_data[[#All],[RFM]],ifood_data[[#This Row],[RFM]],1))*10</f>
        <v>1</v>
      </c>
      <c r="BD1887" t="str">
        <f>VLOOKUP(ifood_data[[#This Row],[RFM Score]],'RFM Analysis'!$A$3:$B$14,2,FALSE)</f>
        <v>At Risk</v>
      </c>
      <c r="BE1887">
        <f>'Regression Models'!$B$101+'Regression Models'!$B$102*ifood_data[[#This Row],[Income]]+'Regression Models'!$B$103*ifood_data[[#This Row],[Age]]+'Regression Models'!$B$104*ifood_data[[#This Row],[Family]]</f>
        <v>-90.205134183743752</v>
      </c>
      <c r="BF1887" t="str">
        <f>IF(ifood_data[[#This Row],[AcceptedCmpOverall]]=1,"Campaign Respondent","Non-respondent")</f>
        <v>Non-respondent</v>
      </c>
    </row>
    <row r="1888" spans="1:58" x14ac:dyDescent="0.35">
      <c r="A1888">
        <v>1621</v>
      </c>
      <c r="B1888">
        <v>21955</v>
      </c>
      <c r="C1888">
        <v>1</v>
      </c>
      <c r="D1888">
        <v>0</v>
      </c>
      <c r="E1888">
        <v>81</v>
      </c>
      <c r="F1888">
        <v>5</v>
      </c>
      <c r="G1888">
        <v>1</v>
      </c>
      <c r="H1888">
        <v>7</v>
      </c>
      <c r="I1888">
        <v>17</v>
      </c>
      <c r="J1888">
        <v>14</v>
      </c>
      <c r="K1888">
        <v>11</v>
      </c>
      <c r="L1888">
        <v>2</v>
      </c>
      <c r="M1888">
        <v>2</v>
      </c>
      <c r="N1888">
        <v>1</v>
      </c>
      <c r="O1888">
        <v>3</v>
      </c>
      <c r="P1888">
        <v>6</v>
      </c>
      <c r="Q1888">
        <v>0</v>
      </c>
      <c r="R1888">
        <v>0</v>
      </c>
      <c r="S1888">
        <v>0</v>
      </c>
      <c r="T1888">
        <v>0</v>
      </c>
      <c r="U1888">
        <v>0</v>
      </c>
      <c r="V1888">
        <f>IF(SUM(ifood_data[[#This Row],[AcceptedCmp1]:[AcceptedCmp5]])&gt;0,1,0)</f>
        <v>0</v>
      </c>
      <c r="W1888">
        <v>0</v>
      </c>
      <c r="X1888">
        <v>3</v>
      </c>
      <c r="Y1888">
        <v>11</v>
      </c>
      <c r="Z1888">
        <v>0</v>
      </c>
      <c r="AA1888">
        <v>34</v>
      </c>
      <c r="AB1888">
        <v>2454</v>
      </c>
      <c r="AC1888" s="28">
        <f>ifood_data[[#This Row],[Customer_Days]]/365</f>
        <v>6.7232876712328764</v>
      </c>
      <c r="AD1888">
        <v>0</v>
      </c>
      <c r="AE1888">
        <v>1</v>
      </c>
      <c r="AF1888">
        <v>0</v>
      </c>
      <c r="AG1888">
        <v>0</v>
      </c>
      <c r="AH1888">
        <v>0</v>
      </c>
      <c r="AI1888">
        <v>1</v>
      </c>
      <c r="AJ1888">
        <v>0</v>
      </c>
      <c r="AK1888">
        <v>0</v>
      </c>
      <c r="AL1888">
        <v>0</v>
      </c>
      <c r="AM1888">
        <v>0</v>
      </c>
      <c r="AN1888">
        <v>44</v>
      </c>
      <c r="AO1888">
        <v>33</v>
      </c>
      <c r="AP1888">
        <f>ifood_data[[#This Row],[MntTotal]]-ifood_data[[#This Row],[MntRegularProds]]</f>
        <v>11</v>
      </c>
      <c r="AQ1888">
        <v>0</v>
      </c>
      <c r="AR1888">
        <f>IF(SUM(ifood_data[[#This Row],[Kidhome]:[Teenhome]])&gt;0,1,0)</f>
        <v>1</v>
      </c>
      <c r="AS1888" t="str">
        <f>IF(SUM(ifood_data[[#This Row],[Kidhome]:[Teenhome]])&gt;0,"Has Family","No Family")</f>
        <v>Has Family</v>
      </c>
      <c r="AT1888" t="str">
        <f>IF(ifood_data[[#This Row],[marital_Married]]=1,"Married", (IF(ifood_data[[#This Row],[marital_Single]]=1,"Single",(IF(ifood_data[[#This Row],[marital_Divorced]]=1,"Divorced",(IF(ifood_data[[#This Row],[marital_Together]]=1,"Living Together",(IF(ifood_data[[#This Row],[marital_Widow]]=1,"Widow","Other")))))))))</f>
        <v>Married</v>
      </c>
      <c r="AU1888" t="str">
        <f>IF(ifood_data[[#This Row],[education_Basic]]=1,"High School",(IF(ifood_data[[#This Row],[education_Graduation]]=1,"Undergraduate Degree",(IF(SUM(AM1888,AL1888,AI1888)&gt;0,"Master's Degree or Higher","Other")))))</f>
        <v>Master's Degree or Higher</v>
      </c>
      <c r="AV1888" t="str">
        <f>IF(ifood_data[[#All],[Income]]&gt;75000,"75K+",(IF(ifood_data[[#All],[Income]]&gt;50000,"50K-75K",(IF(ifood_data[[#All],[Income]]&gt;35000,"35K-50K","&lt;35K")))))</f>
        <v>&lt;35K</v>
      </c>
      <c r="AW1888" t="str">
        <f>IF(ifood_data[[#All],[Age]]&gt;60,"60+",(IF(ifood_data[[#All],[Age]]&gt;50,"50-60",(IF(ifood_data[[#All],[Age]]&gt;40,"40-50",(IF(ifood_data[[#All],[Age]]&gt;30,"30-40","&lt;30")))))))</f>
        <v>30-40</v>
      </c>
      <c r="AX1888">
        <f t="shared" si="116"/>
        <v>14</v>
      </c>
      <c r="AY1888">
        <f t="shared" si="117"/>
        <v>1.9999999999999996</v>
      </c>
      <c r="AZ1888">
        <f t="shared" si="118"/>
        <v>2</v>
      </c>
      <c r="BA1888">
        <f t="shared" si="119"/>
        <v>2</v>
      </c>
      <c r="BB1888">
        <f>SUM(ifood_data[[#This Row],[Recency Score]:[Monetary Score]])</f>
        <v>6</v>
      </c>
      <c r="BC1888">
        <f>(_xlfn.PERCENTRANK.INC(ifood_data[[#All],[RFM]],ifood_data[[#This Row],[RFM]],1))*10</f>
        <v>0</v>
      </c>
      <c r="BD1888" t="str">
        <f>VLOOKUP(ifood_data[[#This Row],[RFM Score]],'RFM Analysis'!$A$3:$B$14,2,FALSE)</f>
        <v>Lost</v>
      </c>
      <c r="BE1888">
        <f>'Regression Models'!$B$101+'Regression Models'!$B$102*ifood_data[[#This Row],[Income]]+'Regression Models'!$B$103*ifood_data[[#This Row],[Age]]+'Regression Models'!$B$104*ifood_data[[#This Row],[Family]]</f>
        <v>-92.232411430586637</v>
      </c>
      <c r="BF1888" t="str">
        <f>IF(ifood_data[[#This Row],[AcceptedCmpOverall]]=1,"Campaign Respondent","Non-respondent")</f>
        <v>Non-respondent</v>
      </c>
    </row>
    <row r="1889" spans="1:58" x14ac:dyDescent="0.35">
      <c r="A1889">
        <v>1756</v>
      </c>
      <c r="B1889">
        <v>22701</v>
      </c>
      <c r="C1889">
        <v>1</v>
      </c>
      <c r="D1889">
        <v>0</v>
      </c>
      <c r="E1889">
        <v>2</v>
      </c>
      <c r="F1889">
        <v>2</v>
      </c>
      <c r="G1889">
        <v>4</v>
      </c>
      <c r="H1889">
        <v>9</v>
      </c>
      <c r="I1889">
        <v>0</v>
      </c>
      <c r="J1889">
        <v>4</v>
      </c>
      <c r="K1889">
        <v>5</v>
      </c>
      <c r="L1889">
        <v>1</v>
      </c>
      <c r="M1889">
        <v>1</v>
      </c>
      <c r="N1889">
        <v>0</v>
      </c>
      <c r="O1889">
        <v>3</v>
      </c>
      <c r="P1889">
        <v>5</v>
      </c>
      <c r="Q1889">
        <v>0</v>
      </c>
      <c r="R1889">
        <v>0</v>
      </c>
      <c r="S1889">
        <v>0</v>
      </c>
      <c r="T1889">
        <v>0</v>
      </c>
      <c r="U1889">
        <v>0</v>
      </c>
      <c r="V1889">
        <f>IF(SUM(ifood_data[[#This Row],[AcceptedCmp1]:[AcceptedCmp5]])&gt;0,1,0)</f>
        <v>0</v>
      </c>
      <c r="W1889">
        <v>0</v>
      </c>
      <c r="X1889">
        <v>3</v>
      </c>
      <c r="Y1889">
        <v>11</v>
      </c>
      <c r="Z1889">
        <v>0</v>
      </c>
      <c r="AA1889">
        <v>43</v>
      </c>
      <c r="AB1889">
        <v>2456</v>
      </c>
      <c r="AC1889" s="28">
        <f>ifood_data[[#This Row],[Customer_Days]]/365</f>
        <v>6.7287671232876711</v>
      </c>
      <c r="AD1889">
        <v>0</v>
      </c>
      <c r="AE1889">
        <v>1</v>
      </c>
      <c r="AF1889">
        <v>0</v>
      </c>
      <c r="AG1889">
        <v>0</v>
      </c>
      <c r="AH1889">
        <v>0</v>
      </c>
      <c r="AI1889">
        <v>0</v>
      </c>
      <c r="AJ1889">
        <v>0</v>
      </c>
      <c r="AK1889">
        <v>0</v>
      </c>
      <c r="AL1889">
        <v>1</v>
      </c>
      <c r="AM1889">
        <v>0</v>
      </c>
      <c r="AN1889">
        <v>19</v>
      </c>
      <c r="AO1889">
        <v>14</v>
      </c>
      <c r="AP1889">
        <f>ifood_data[[#This Row],[MntTotal]]-ifood_data[[#This Row],[MntRegularProds]]</f>
        <v>5</v>
      </c>
      <c r="AQ1889">
        <v>0</v>
      </c>
      <c r="AR1889">
        <f>IF(SUM(ifood_data[[#This Row],[Kidhome]:[Teenhome]])&gt;0,1,0)</f>
        <v>1</v>
      </c>
      <c r="AS1889" t="str">
        <f>IF(SUM(ifood_data[[#This Row],[Kidhome]:[Teenhome]])&gt;0,"Has Family","No Family")</f>
        <v>Has Family</v>
      </c>
      <c r="AT1889" t="str">
        <f>IF(ifood_data[[#This Row],[marital_Married]]=1,"Married", (IF(ifood_data[[#This Row],[marital_Single]]=1,"Single",(IF(ifood_data[[#This Row],[marital_Divorced]]=1,"Divorced",(IF(ifood_data[[#This Row],[marital_Together]]=1,"Living Together",(IF(ifood_data[[#This Row],[marital_Widow]]=1,"Widow","Other")))))))))</f>
        <v>Married</v>
      </c>
      <c r="AU1889" t="str">
        <f>IF(ifood_data[[#This Row],[education_Basic]]=1,"High School",(IF(ifood_data[[#This Row],[education_Graduation]]=1,"Undergraduate Degree",(IF(SUM(AM1889,AL1889,AI1889)&gt;0,"Master's Degree or Higher","Other")))))</f>
        <v>Master's Degree or Higher</v>
      </c>
      <c r="AV1889" t="str">
        <f>IF(ifood_data[[#All],[Income]]&gt;75000,"75K+",(IF(ifood_data[[#All],[Income]]&gt;50000,"50K-75K",(IF(ifood_data[[#All],[Income]]&gt;35000,"35K-50K","&lt;35K")))))</f>
        <v>&lt;35K</v>
      </c>
      <c r="AW1889" t="str">
        <f>IF(ifood_data[[#All],[Age]]&gt;60,"60+",(IF(ifood_data[[#All],[Age]]&gt;50,"50-60",(IF(ifood_data[[#All],[Age]]&gt;40,"40-50",(IF(ifood_data[[#All],[Age]]&gt;30,"30-40","&lt;30")))))))</f>
        <v>40-50</v>
      </c>
      <c r="AX1889">
        <f t="shared" si="116"/>
        <v>10</v>
      </c>
      <c r="AY1889">
        <f t="shared" si="117"/>
        <v>10</v>
      </c>
      <c r="AZ1889">
        <f t="shared" si="118"/>
        <v>0</v>
      </c>
      <c r="BA1889">
        <f t="shared" si="119"/>
        <v>0</v>
      </c>
      <c r="BB1889">
        <f>SUM(ifood_data[[#This Row],[Recency Score]:[Monetary Score]])</f>
        <v>10</v>
      </c>
      <c r="BC1889">
        <f>(_xlfn.PERCENTRANK.INC(ifood_data[[#All],[RFM]],ifood_data[[#This Row],[RFM]],1))*10</f>
        <v>2</v>
      </c>
      <c r="BD1889" t="str">
        <f>VLOOKUP(ifood_data[[#This Row],[RFM Score]],'RFM Analysis'!$A$3:$B$14,2,FALSE)</f>
        <v>At Risk</v>
      </c>
      <c r="BE1889">
        <f>'Regression Models'!$B$101+'Regression Models'!$B$102*ifood_data[[#This Row],[Income]]+'Regression Models'!$B$103*ifood_data[[#This Row],[Age]]+'Regression Models'!$B$104*ifood_data[[#This Row],[Family]]</f>
        <v>-93.550342105286546</v>
      </c>
      <c r="BF1889" t="str">
        <f>IF(ifood_data[[#This Row],[AcceptedCmpOverall]]=1,"Campaign Respondent","Non-respondent")</f>
        <v>Non-respondent</v>
      </c>
    </row>
    <row r="1890" spans="1:58" x14ac:dyDescent="0.35">
      <c r="A1890">
        <v>578</v>
      </c>
      <c r="B1890">
        <v>21888</v>
      </c>
      <c r="C1890">
        <v>1</v>
      </c>
      <c r="D1890">
        <v>0</v>
      </c>
      <c r="E1890">
        <v>15</v>
      </c>
      <c r="F1890">
        <v>88</v>
      </c>
      <c r="G1890">
        <v>10</v>
      </c>
      <c r="H1890">
        <v>46</v>
      </c>
      <c r="I1890">
        <v>2</v>
      </c>
      <c r="J1890">
        <v>3</v>
      </c>
      <c r="K1890">
        <v>64</v>
      </c>
      <c r="L1890">
        <v>4</v>
      </c>
      <c r="M1890">
        <v>5</v>
      </c>
      <c r="N1890">
        <v>1</v>
      </c>
      <c r="O1890">
        <v>2</v>
      </c>
      <c r="P1890">
        <v>10</v>
      </c>
      <c r="Q1890">
        <v>0</v>
      </c>
      <c r="R1890">
        <v>0</v>
      </c>
      <c r="S1890">
        <v>0</v>
      </c>
      <c r="T1890">
        <v>0</v>
      </c>
      <c r="U1890">
        <v>0</v>
      </c>
      <c r="V1890">
        <f>IF(SUM(ifood_data[[#This Row],[AcceptedCmp1]:[AcceptedCmp5]])&gt;0,1,0)</f>
        <v>0</v>
      </c>
      <c r="W1890">
        <v>0</v>
      </c>
      <c r="X1890">
        <v>3</v>
      </c>
      <c r="Y1890">
        <v>11</v>
      </c>
      <c r="Z1890">
        <v>1</v>
      </c>
      <c r="AA1890">
        <v>34</v>
      </c>
      <c r="AB1890">
        <v>2706</v>
      </c>
      <c r="AC1890" s="28">
        <f>ifood_data[[#This Row],[Customer_Days]]/365</f>
        <v>7.4136986301369863</v>
      </c>
      <c r="AD1890">
        <v>0</v>
      </c>
      <c r="AE1890">
        <v>0</v>
      </c>
      <c r="AF1890">
        <v>1</v>
      </c>
      <c r="AG1890">
        <v>0</v>
      </c>
      <c r="AH1890">
        <v>0</v>
      </c>
      <c r="AI1890">
        <v>0</v>
      </c>
      <c r="AJ1890">
        <v>0</v>
      </c>
      <c r="AK1890">
        <v>0</v>
      </c>
      <c r="AL1890">
        <v>1</v>
      </c>
      <c r="AM1890">
        <v>0</v>
      </c>
      <c r="AN1890">
        <v>149</v>
      </c>
      <c r="AO1890">
        <v>85</v>
      </c>
      <c r="AP1890">
        <f>ifood_data[[#This Row],[MntTotal]]-ifood_data[[#This Row],[MntRegularProds]]</f>
        <v>64</v>
      </c>
      <c r="AQ1890">
        <v>0</v>
      </c>
      <c r="AR1890">
        <f>IF(SUM(ifood_data[[#This Row],[Kidhome]:[Teenhome]])&gt;0,1,0)</f>
        <v>1</v>
      </c>
      <c r="AS1890" t="str">
        <f>IF(SUM(ifood_data[[#This Row],[Kidhome]:[Teenhome]])&gt;0,"Has Family","No Family")</f>
        <v>Has Family</v>
      </c>
      <c r="AT1890" t="str">
        <f>IF(ifood_data[[#This Row],[marital_Married]]=1,"Married", (IF(ifood_data[[#This Row],[marital_Single]]=1,"Single",(IF(ifood_data[[#This Row],[marital_Divorced]]=1,"Divorced",(IF(ifood_data[[#This Row],[marital_Together]]=1,"Living Together",(IF(ifood_data[[#This Row],[marital_Widow]]=1,"Widow","Other")))))))))</f>
        <v>Single</v>
      </c>
      <c r="AU1890" t="str">
        <f>IF(ifood_data[[#This Row],[education_Basic]]=1,"High School",(IF(ifood_data[[#This Row],[education_Graduation]]=1,"Undergraduate Degree",(IF(SUM(AM1890,AL1890,AI1890)&gt;0,"Master's Degree or Higher","Other")))))</f>
        <v>Master's Degree or Higher</v>
      </c>
      <c r="AV1890" t="str">
        <f>IF(ifood_data[[#All],[Income]]&gt;75000,"75K+",(IF(ifood_data[[#All],[Income]]&gt;50000,"50K-75K",(IF(ifood_data[[#All],[Income]]&gt;35000,"35K-50K","&lt;35K")))))</f>
        <v>&lt;35K</v>
      </c>
      <c r="AW1890" t="str">
        <f>IF(ifood_data[[#All],[Age]]&gt;60,"60+",(IF(ifood_data[[#All],[Age]]&gt;50,"50-60",(IF(ifood_data[[#All],[Age]]&gt;40,"40-50",(IF(ifood_data[[#All],[Age]]&gt;30,"30-40","&lt;30")))))))</f>
        <v>30-40</v>
      </c>
      <c r="AX1890">
        <f t="shared" si="116"/>
        <v>22</v>
      </c>
      <c r="AY1890">
        <f t="shared" si="117"/>
        <v>9</v>
      </c>
      <c r="AZ1890">
        <f t="shared" si="118"/>
        <v>5</v>
      </c>
      <c r="BA1890">
        <f t="shared" si="119"/>
        <v>3</v>
      </c>
      <c r="BB1890">
        <f>SUM(ifood_data[[#This Row],[Recency Score]:[Monetary Score]])</f>
        <v>17</v>
      </c>
      <c r="BC1890">
        <f>(_xlfn.PERCENTRANK.INC(ifood_data[[#All],[RFM]],ifood_data[[#This Row],[RFM]],1))*10</f>
        <v>6</v>
      </c>
      <c r="BD1890" t="str">
        <f>VLOOKUP(ifood_data[[#This Row],[RFM Score]],'RFM Analysis'!$A$3:$B$14,2,FALSE)</f>
        <v>Promising</v>
      </c>
      <c r="BE1890">
        <f>'Regression Models'!$B$101+'Regression Models'!$B$102*ifood_data[[#This Row],[Income]]+'Regression Models'!$B$103*ifood_data[[#This Row],[Age]]+'Regression Models'!$B$104*ifood_data[[#This Row],[Family]]</f>
        <v>-93.598458896227839</v>
      </c>
      <c r="BF1890" t="str">
        <f>IF(ifood_data[[#This Row],[AcceptedCmpOverall]]=1,"Campaign Respondent","Non-respondent")</f>
        <v>Non-respondent</v>
      </c>
    </row>
    <row r="1891" spans="1:58" x14ac:dyDescent="0.35">
      <c r="A1891">
        <v>851</v>
      </c>
      <c r="B1891">
        <v>21846</v>
      </c>
      <c r="C1891">
        <v>1</v>
      </c>
      <c r="D1891">
        <v>0</v>
      </c>
      <c r="E1891">
        <v>38</v>
      </c>
      <c r="F1891">
        <v>7</v>
      </c>
      <c r="G1891">
        <v>17</v>
      </c>
      <c r="H1891">
        <v>18</v>
      </c>
      <c r="I1891">
        <v>6</v>
      </c>
      <c r="J1891">
        <v>10</v>
      </c>
      <c r="K1891">
        <v>26</v>
      </c>
      <c r="L1891">
        <v>4</v>
      </c>
      <c r="M1891">
        <v>4</v>
      </c>
      <c r="N1891">
        <v>0</v>
      </c>
      <c r="O1891">
        <v>3</v>
      </c>
      <c r="P1891">
        <v>8</v>
      </c>
      <c r="Q1891">
        <v>0</v>
      </c>
      <c r="R1891">
        <v>0</v>
      </c>
      <c r="S1891">
        <v>0</v>
      </c>
      <c r="T1891">
        <v>0</v>
      </c>
      <c r="U1891">
        <v>0</v>
      </c>
      <c r="V1891">
        <f>IF(SUM(ifood_data[[#This Row],[AcceptedCmp1]:[AcceptedCmp5]])&gt;0,1,0)</f>
        <v>0</v>
      </c>
      <c r="W1891">
        <v>0</v>
      </c>
      <c r="X1891">
        <v>3</v>
      </c>
      <c r="Y1891">
        <v>11</v>
      </c>
      <c r="Z1891">
        <v>0</v>
      </c>
      <c r="AA1891">
        <v>34</v>
      </c>
      <c r="AB1891">
        <v>2409</v>
      </c>
      <c r="AC1891" s="28">
        <f>ifood_data[[#This Row],[Customer_Days]]/365</f>
        <v>6.6</v>
      </c>
      <c r="AD1891">
        <v>1</v>
      </c>
      <c r="AE1891">
        <v>0</v>
      </c>
      <c r="AF1891">
        <v>0</v>
      </c>
      <c r="AG1891">
        <v>0</v>
      </c>
      <c r="AH1891">
        <v>0</v>
      </c>
      <c r="AI1891">
        <v>0</v>
      </c>
      <c r="AJ1891">
        <v>0</v>
      </c>
      <c r="AK1891">
        <v>1</v>
      </c>
      <c r="AL1891">
        <v>0</v>
      </c>
      <c r="AM1891">
        <v>0</v>
      </c>
      <c r="AN1891">
        <v>58</v>
      </c>
      <c r="AO1891">
        <v>32</v>
      </c>
      <c r="AP1891">
        <f>ifood_data[[#This Row],[MntTotal]]-ifood_data[[#This Row],[MntRegularProds]]</f>
        <v>26</v>
      </c>
      <c r="AQ1891">
        <v>0</v>
      </c>
      <c r="AR1891">
        <f>IF(SUM(ifood_data[[#This Row],[Kidhome]:[Teenhome]])&gt;0,1,0)</f>
        <v>1</v>
      </c>
      <c r="AS1891" t="str">
        <f>IF(SUM(ifood_data[[#This Row],[Kidhome]:[Teenhome]])&gt;0,"Has Family","No Family")</f>
        <v>Has Family</v>
      </c>
      <c r="AT1891" t="str">
        <f>IF(ifood_data[[#This Row],[marital_Married]]=1,"Married", (IF(ifood_data[[#This Row],[marital_Single]]=1,"Single",(IF(ifood_data[[#This Row],[marital_Divorced]]=1,"Divorced",(IF(ifood_data[[#This Row],[marital_Together]]=1,"Living Together",(IF(ifood_data[[#This Row],[marital_Widow]]=1,"Widow","Other")))))))))</f>
        <v>Divorced</v>
      </c>
      <c r="AU1891" t="str">
        <f>IF(ifood_data[[#This Row],[education_Basic]]=1,"High School",(IF(ifood_data[[#This Row],[education_Graduation]]=1,"Undergraduate Degree",(IF(SUM(AM1891,AL1891,AI1891)&gt;0,"Master's Degree or Higher","Other")))))</f>
        <v>Undergraduate Degree</v>
      </c>
      <c r="AV1891" t="str">
        <f>IF(ifood_data[[#All],[Income]]&gt;75000,"75K+",(IF(ifood_data[[#All],[Income]]&gt;50000,"50K-75K",(IF(ifood_data[[#All],[Income]]&gt;35000,"35K-50K","&lt;35K")))))</f>
        <v>&lt;35K</v>
      </c>
      <c r="AW1891" t="str">
        <f>IF(ifood_data[[#All],[Age]]&gt;60,"60+",(IF(ifood_data[[#All],[Age]]&gt;50,"50-60",(IF(ifood_data[[#All],[Age]]&gt;40,"40-50",(IF(ifood_data[[#All],[Age]]&gt;30,"30-40","&lt;30")))))))</f>
        <v>30-40</v>
      </c>
      <c r="AX1891">
        <f t="shared" si="116"/>
        <v>19</v>
      </c>
      <c r="AY1891">
        <f t="shared" si="117"/>
        <v>7</v>
      </c>
      <c r="AZ1891">
        <f t="shared" si="118"/>
        <v>4</v>
      </c>
      <c r="BA1891">
        <f t="shared" si="119"/>
        <v>2</v>
      </c>
      <c r="BB1891">
        <f>SUM(ifood_data[[#This Row],[Recency Score]:[Monetary Score]])</f>
        <v>13</v>
      </c>
      <c r="BC1891">
        <f>(_xlfn.PERCENTRANK.INC(ifood_data[[#All],[RFM]],ifood_data[[#This Row],[RFM]],1))*10</f>
        <v>3</v>
      </c>
      <c r="BD1891" t="str">
        <f>VLOOKUP(ifood_data[[#This Row],[RFM Score]],'RFM Analysis'!$A$3:$B$14,2,FALSE)</f>
        <v>At Risk</v>
      </c>
      <c r="BE1891">
        <f>'Regression Models'!$B$101+'Regression Models'!$B$102*ifood_data[[#This Row],[Income]]+'Regression Models'!$B$103*ifood_data[[#This Row],[Age]]+'Regression Models'!$B$104*ifood_data[[#This Row],[Family]]</f>
        <v>-94.454787158271586</v>
      </c>
      <c r="BF1891" t="str">
        <f>IF(ifood_data[[#This Row],[AcceptedCmpOverall]]=1,"Campaign Respondent","Non-respondent")</f>
        <v>Non-respondent</v>
      </c>
    </row>
    <row r="1892" spans="1:58" x14ac:dyDescent="0.35">
      <c r="A1892">
        <v>1523</v>
      </c>
      <c r="B1892">
        <v>25358</v>
      </c>
      <c r="C1892">
        <v>0</v>
      </c>
      <c r="D1892">
        <v>1</v>
      </c>
      <c r="E1892">
        <v>57</v>
      </c>
      <c r="F1892">
        <v>19</v>
      </c>
      <c r="G1892">
        <v>0</v>
      </c>
      <c r="H1892">
        <v>5</v>
      </c>
      <c r="I1892">
        <v>0</v>
      </c>
      <c r="J1892">
        <v>0</v>
      </c>
      <c r="K1892">
        <v>8</v>
      </c>
      <c r="L1892">
        <v>2</v>
      </c>
      <c r="M1892">
        <v>1</v>
      </c>
      <c r="N1892">
        <v>0</v>
      </c>
      <c r="O1892">
        <v>3</v>
      </c>
      <c r="P1892">
        <v>6</v>
      </c>
      <c r="Q1892">
        <v>0</v>
      </c>
      <c r="R1892">
        <v>0</v>
      </c>
      <c r="S1892">
        <v>0</v>
      </c>
      <c r="T1892">
        <v>0</v>
      </c>
      <c r="U1892">
        <v>0</v>
      </c>
      <c r="V1892">
        <f>IF(SUM(ifood_data[[#This Row],[AcceptedCmp1]:[AcceptedCmp5]])&gt;0,1,0)</f>
        <v>0</v>
      </c>
      <c r="W1892">
        <v>0</v>
      </c>
      <c r="X1892">
        <v>3</v>
      </c>
      <c r="Y1892">
        <v>11</v>
      </c>
      <c r="Z1892">
        <v>0</v>
      </c>
      <c r="AA1892">
        <v>73</v>
      </c>
      <c r="AB1892">
        <v>2501</v>
      </c>
      <c r="AC1892" s="28">
        <f>ifood_data[[#This Row],[Customer_Days]]/365</f>
        <v>6.8520547945205479</v>
      </c>
      <c r="AD1892">
        <v>0</v>
      </c>
      <c r="AE1892">
        <v>0</v>
      </c>
      <c r="AF1892">
        <v>0</v>
      </c>
      <c r="AG1892">
        <v>0</v>
      </c>
      <c r="AH1892">
        <v>1</v>
      </c>
      <c r="AI1892">
        <v>0</v>
      </c>
      <c r="AJ1892">
        <v>0</v>
      </c>
      <c r="AK1892">
        <v>0</v>
      </c>
      <c r="AL1892">
        <v>0</v>
      </c>
      <c r="AM1892">
        <v>1</v>
      </c>
      <c r="AN1892">
        <v>24</v>
      </c>
      <c r="AO1892">
        <v>16</v>
      </c>
      <c r="AP1892">
        <f>ifood_data[[#This Row],[MntTotal]]-ifood_data[[#This Row],[MntRegularProds]]</f>
        <v>8</v>
      </c>
      <c r="AQ1892">
        <v>0</v>
      </c>
      <c r="AR1892">
        <f>IF(SUM(ifood_data[[#This Row],[Kidhome]:[Teenhome]])&gt;0,1,0)</f>
        <v>1</v>
      </c>
      <c r="AS1892" t="str">
        <f>IF(SUM(ifood_data[[#This Row],[Kidhome]:[Teenhome]])&gt;0,"Has Family","No Family")</f>
        <v>Has Family</v>
      </c>
      <c r="AT1892" t="str">
        <f>IF(ifood_data[[#This Row],[marital_Married]]=1,"Married", (IF(ifood_data[[#This Row],[marital_Single]]=1,"Single",(IF(ifood_data[[#This Row],[marital_Divorced]]=1,"Divorced",(IF(ifood_data[[#This Row],[marital_Together]]=1,"Living Together",(IF(ifood_data[[#This Row],[marital_Widow]]=1,"Widow","Other")))))))))</f>
        <v>Widow</v>
      </c>
      <c r="AU1892" t="str">
        <f>IF(ifood_data[[#This Row],[education_Basic]]=1,"High School",(IF(ifood_data[[#This Row],[education_Graduation]]=1,"Undergraduate Degree",(IF(SUM(AM1892,AL1892,AI1892)&gt;0,"Master's Degree or Higher","Other")))))</f>
        <v>Master's Degree or Higher</v>
      </c>
      <c r="AV1892" t="str">
        <f>IF(ifood_data[[#All],[Income]]&gt;75000,"75K+",(IF(ifood_data[[#All],[Income]]&gt;50000,"50K-75K",(IF(ifood_data[[#All],[Income]]&gt;35000,"35K-50K","&lt;35K")))))</f>
        <v>&lt;35K</v>
      </c>
      <c r="AW1892" t="str">
        <f>IF(ifood_data[[#All],[Age]]&gt;60,"60+",(IF(ifood_data[[#All],[Age]]&gt;50,"50-60",(IF(ifood_data[[#All],[Age]]&gt;40,"40-50",(IF(ifood_data[[#All],[Age]]&gt;30,"30-40","&lt;30")))))))</f>
        <v>60+</v>
      </c>
      <c r="AX1892">
        <f t="shared" si="116"/>
        <v>12</v>
      </c>
      <c r="AY1892">
        <f t="shared" si="117"/>
        <v>5</v>
      </c>
      <c r="AZ1892">
        <f t="shared" si="118"/>
        <v>1</v>
      </c>
      <c r="BA1892">
        <f t="shared" si="119"/>
        <v>0</v>
      </c>
      <c r="BB1892">
        <f>SUM(ifood_data[[#This Row],[Recency Score]:[Monetary Score]])</f>
        <v>6</v>
      </c>
      <c r="BC1892">
        <f>(_xlfn.PERCENTRANK.INC(ifood_data[[#All],[RFM]],ifood_data[[#This Row],[RFM]],1))*10</f>
        <v>0</v>
      </c>
      <c r="BD1892" t="str">
        <f>VLOOKUP(ifood_data[[#This Row],[RFM Score]],'RFM Analysis'!$A$3:$B$14,2,FALSE)</f>
        <v>Lost</v>
      </c>
      <c r="BE1892">
        <f>'Regression Models'!$B$101+'Regression Models'!$B$102*ifood_data[[#This Row],[Income]]+'Regression Models'!$B$103*ifood_data[[#This Row],[Age]]+'Regression Models'!$B$104*ifood_data[[#This Row],[Family]]</f>
        <v>-94.470557513775503</v>
      </c>
      <c r="BF1892" t="str">
        <f>IF(ifood_data[[#This Row],[AcceptedCmpOverall]]=1,"Campaign Respondent","Non-respondent")</f>
        <v>Non-respondent</v>
      </c>
    </row>
    <row r="1893" spans="1:58" x14ac:dyDescent="0.35">
      <c r="A1893">
        <v>816</v>
      </c>
      <c r="B1893">
        <v>7500</v>
      </c>
      <c r="C1893">
        <v>0</v>
      </c>
      <c r="D1893">
        <v>0</v>
      </c>
      <c r="E1893">
        <v>94</v>
      </c>
      <c r="F1893">
        <v>0</v>
      </c>
      <c r="G1893">
        <v>2</v>
      </c>
      <c r="H1893">
        <v>3</v>
      </c>
      <c r="I1893">
        <v>4</v>
      </c>
      <c r="J1893">
        <v>1</v>
      </c>
      <c r="K1893">
        <v>5</v>
      </c>
      <c r="L1893">
        <v>1</v>
      </c>
      <c r="M1893">
        <v>0</v>
      </c>
      <c r="N1893">
        <v>0</v>
      </c>
      <c r="O1893">
        <v>3</v>
      </c>
      <c r="P1893">
        <v>6</v>
      </c>
      <c r="Q1893">
        <v>0</v>
      </c>
      <c r="R1893">
        <v>0</v>
      </c>
      <c r="S1893">
        <v>0</v>
      </c>
      <c r="T1893">
        <v>0</v>
      </c>
      <c r="U1893">
        <v>0</v>
      </c>
      <c r="V1893">
        <f>IF(SUM(ifood_data[[#This Row],[AcceptedCmp1]:[AcceptedCmp5]])&gt;0,1,0)</f>
        <v>0</v>
      </c>
      <c r="W1893">
        <v>0</v>
      </c>
      <c r="X1893">
        <v>3</v>
      </c>
      <c r="Y1893">
        <v>11</v>
      </c>
      <c r="Z1893">
        <v>0</v>
      </c>
      <c r="AA1893">
        <v>33</v>
      </c>
      <c r="AB1893">
        <v>2695</v>
      </c>
      <c r="AC1893" s="28">
        <f>ifood_data[[#This Row],[Customer_Days]]/365</f>
        <v>7.3835616438356162</v>
      </c>
      <c r="AD1893">
        <v>0</v>
      </c>
      <c r="AE1893">
        <v>1</v>
      </c>
      <c r="AF1893">
        <v>0</v>
      </c>
      <c r="AG1893">
        <v>0</v>
      </c>
      <c r="AH1893">
        <v>0</v>
      </c>
      <c r="AI1893">
        <v>0</v>
      </c>
      <c r="AJ1893">
        <v>0</v>
      </c>
      <c r="AK1893">
        <v>1</v>
      </c>
      <c r="AL1893">
        <v>0</v>
      </c>
      <c r="AM1893">
        <v>0</v>
      </c>
      <c r="AN1893">
        <v>10</v>
      </c>
      <c r="AO1893">
        <v>5</v>
      </c>
      <c r="AP1893">
        <f>ifood_data[[#This Row],[MntTotal]]-ifood_data[[#This Row],[MntRegularProds]]</f>
        <v>5</v>
      </c>
      <c r="AQ1893">
        <v>0</v>
      </c>
      <c r="AR1893">
        <f>IF(SUM(ifood_data[[#This Row],[Kidhome]:[Teenhome]])&gt;0,1,0)</f>
        <v>0</v>
      </c>
      <c r="AS1893" t="str">
        <f>IF(SUM(ifood_data[[#This Row],[Kidhome]:[Teenhome]])&gt;0,"Has Family","No Family")</f>
        <v>No Family</v>
      </c>
      <c r="AT1893" t="str">
        <f>IF(ifood_data[[#This Row],[marital_Married]]=1,"Married", (IF(ifood_data[[#This Row],[marital_Single]]=1,"Single",(IF(ifood_data[[#This Row],[marital_Divorced]]=1,"Divorced",(IF(ifood_data[[#This Row],[marital_Together]]=1,"Living Together",(IF(ifood_data[[#This Row],[marital_Widow]]=1,"Widow","Other")))))))))</f>
        <v>Married</v>
      </c>
      <c r="AU1893" t="str">
        <f>IF(ifood_data[[#This Row],[education_Basic]]=1,"High School",(IF(ifood_data[[#This Row],[education_Graduation]]=1,"Undergraduate Degree",(IF(SUM(AM1893,AL1893,AI1893)&gt;0,"Master's Degree or Higher","Other")))))</f>
        <v>Undergraduate Degree</v>
      </c>
      <c r="AV1893" t="str">
        <f>IF(ifood_data[[#All],[Income]]&gt;75000,"75K+",(IF(ifood_data[[#All],[Income]]&gt;50000,"50K-75K",(IF(ifood_data[[#All],[Income]]&gt;35000,"35K-50K","&lt;35K")))))</f>
        <v>&lt;35K</v>
      </c>
      <c r="AW1893" t="str">
        <f>IF(ifood_data[[#All],[Age]]&gt;60,"60+",(IF(ifood_data[[#All],[Age]]&gt;50,"50-60",(IF(ifood_data[[#All],[Age]]&gt;40,"40-50",(IF(ifood_data[[#All],[Age]]&gt;30,"30-40","&lt;30")))))))</f>
        <v>30-40</v>
      </c>
      <c r="AX1893">
        <f t="shared" si="116"/>
        <v>10</v>
      </c>
      <c r="AY1893">
        <f t="shared" si="117"/>
        <v>0.99999999999999978</v>
      </c>
      <c r="AZ1893">
        <f t="shared" si="118"/>
        <v>0</v>
      </c>
      <c r="BA1893">
        <f t="shared" si="119"/>
        <v>0</v>
      </c>
      <c r="BB1893">
        <f>SUM(ifood_data[[#This Row],[Recency Score]:[Monetary Score]])</f>
        <v>0.99999999999999978</v>
      </c>
      <c r="BC1893">
        <f>(_xlfn.PERCENTRANK.INC(ifood_data[[#All],[RFM]],ifood_data[[#This Row],[RFM]],1))*10</f>
        <v>0</v>
      </c>
      <c r="BD1893" t="str">
        <f>VLOOKUP(ifood_data[[#This Row],[RFM Score]],'RFM Analysis'!$A$3:$B$14,2,FALSE)</f>
        <v>Lost</v>
      </c>
      <c r="BE1893">
        <f>'Regression Models'!$B$101+'Regression Models'!$B$102*ifood_data[[#This Row],[Income]]+'Regression Models'!$B$103*ifood_data[[#This Row],[Age]]+'Regression Models'!$B$104*ifood_data[[#This Row],[Family]]</f>
        <v>-95.501984798735407</v>
      </c>
      <c r="BF1893" t="str">
        <f>IF(ifood_data[[#This Row],[AcceptedCmpOverall]]=1,"Campaign Respondent","Non-respondent")</f>
        <v>Non-respondent</v>
      </c>
    </row>
    <row r="1894" spans="1:58" x14ac:dyDescent="0.35">
      <c r="A1894">
        <v>525</v>
      </c>
      <c r="B1894">
        <v>21474</v>
      </c>
      <c r="C1894">
        <v>1</v>
      </c>
      <c r="D1894">
        <v>0</v>
      </c>
      <c r="E1894">
        <v>0</v>
      </c>
      <c r="F1894">
        <v>6</v>
      </c>
      <c r="G1894">
        <v>16</v>
      </c>
      <c r="H1894">
        <v>24</v>
      </c>
      <c r="I1894">
        <v>11</v>
      </c>
      <c r="J1894">
        <v>0</v>
      </c>
      <c r="K1894">
        <v>34</v>
      </c>
      <c r="L1894">
        <v>2</v>
      </c>
      <c r="M1894">
        <v>3</v>
      </c>
      <c r="N1894">
        <v>1</v>
      </c>
      <c r="O1894">
        <v>2</v>
      </c>
      <c r="P1894">
        <v>7</v>
      </c>
      <c r="Q1894">
        <v>0</v>
      </c>
      <c r="R1894">
        <v>0</v>
      </c>
      <c r="S1894">
        <v>1</v>
      </c>
      <c r="T1894">
        <v>0</v>
      </c>
      <c r="U1894">
        <v>0</v>
      </c>
      <c r="V1894">
        <f>IF(SUM(ifood_data[[#This Row],[AcceptedCmp1]:[AcceptedCmp5]])&gt;0,1,0)</f>
        <v>1</v>
      </c>
      <c r="W1894">
        <v>0</v>
      </c>
      <c r="X1894">
        <v>3</v>
      </c>
      <c r="Y1894">
        <v>11</v>
      </c>
      <c r="Z1894">
        <v>1</v>
      </c>
      <c r="AA1894">
        <v>31</v>
      </c>
      <c r="AB1894">
        <v>2241</v>
      </c>
      <c r="AC1894" s="28">
        <f>ifood_data[[#This Row],[Customer_Days]]/365</f>
        <v>6.13972602739726</v>
      </c>
      <c r="AD1894">
        <v>0</v>
      </c>
      <c r="AE1894">
        <v>0</v>
      </c>
      <c r="AF1894">
        <v>1</v>
      </c>
      <c r="AG1894">
        <v>0</v>
      </c>
      <c r="AH1894">
        <v>0</v>
      </c>
      <c r="AI1894">
        <v>0</v>
      </c>
      <c r="AJ1894">
        <v>0</v>
      </c>
      <c r="AK1894">
        <v>1</v>
      </c>
      <c r="AL1894">
        <v>0</v>
      </c>
      <c r="AM1894">
        <v>0</v>
      </c>
      <c r="AN1894">
        <v>57</v>
      </c>
      <c r="AO1894">
        <v>23</v>
      </c>
      <c r="AP1894">
        <f>ifood_data[[#This Row],[MntTotal]]-ifood_data[[#This Row],[MntRegularProds]]</f>
        <v>34</v>
      </c>
      <c r="AQ1894">
        <v>1</v>
      </c>
      <c r="AR1894">
        <f>IF(SUM(ifood_data[[#This Row],[Kidhome]:[Teenhome]])&gt;0,1,0)</f>
        <v>1</v>
      </c>
      <c r="AS1894" t="str">
        <f>IF(SUM(ifood_data[[#This Row],[Kidhome]:[Teenhome]])&gt;0,"Has Family","No Family")</f>
        <v>Has Family</v>
      </c>
      <c r="AT1894" t="str">
        <f>IF(ifood_data[[#This Row],[marital_Married]]=1,"Married", (IF(ifood_data[[#This Row],[marital_Single]]=1,"Single",(IF(ifood_data[[#This Row],[marital_Divorced]]=1,"Divorced",(IF(ifood_data[[#This Row],[marital_Together]]=1,"Living Together",(IF(ifood_data[[#This Row],[marital_Widow]]=1,"Widow","Other")))))))))</f>
        <v>Single</v>
      </c>
      <c r="AU1894" t="str">
        <f>IF(ifood_data[[#This Row],[education_Basic]]=1,"High School",(IF(ifood_data[[#This Row],[education_Graduation]]=1,"Undergraduate Degree",(IF(SUM(AM1894,AL1894,AI1894)&gt;0,"Master's Degree or Higher","Other")))))</f>
        <v>Undergraduate Degree</v>
      </c>
      <c r="AV1894" t="str">
        <f>IF(ifood_data[[#All],[Income]]&gt;75000,"75K+",(IF(ifood_data[[#All],[Income]]&gt;50000,"50K-75K",(IF(ifood_data[[#All],[Income]]&gt;35000,"35K-50K","&lt;35K")))))</f>
        <v>&lt;35K</v>
      </c>
      <c r="AW1894" t="str">
        <f>IF(ifood_data[[#All],[Age]]&gt;60,"60+",(IF(ifood_data[[#All],[Age]]&gt;50,"50-60",(IF(ifood_data[[#All],[Age]]&gt;40,"40-50",(IF(ifood_data[[#All],[Age]]&gt;30,"30-40","&lt;30")))))))</f>
        <v>30-40</v>
      </c>
      <c r="AX1894">
        <f t="shared" si="116"/>
        <v>15</v>
      </c>
      <c r="AY1894">
        <f t="shared" si="117"/>
        <v>10</v>
      </c>
      <c r="AZ1894">
        <f t="shared" si="118"/>
        <v>2</v>
      </c>
      <c r="BA1894">
        <f t="shared" si="119"/>
        <v>2</v>
      </c>
      <c r="BB1894">
        <f>SUM(ifood_data[[#This Row],[Recency Score]:[Monetary Score]])</f>
        <v>14</v>
      </c>
      <c r="BC1894">
        <f>(_xlfn.PERCENTRANK.INC(ifood_data[[#All],[RFM]],ifood_data[[#This Row],[RFM]],1))*10</f>
        <v>4</v>
      </c>
      <c r="BD1894" t="str">
        <f>VLOOKUP(ifood_data[[#This Row],[RFM Score]],'RFM Analysis'!$A$3:$B$14,2,FALSE)</f>
        <v>At Risk</v>
      </c>
      <c r="BE1894">
        <f>'Regression Models'!$B$101+'Regression Models'!$B$102*ifood_data[[#This Row],[Income]]+'Regression Models'!$B$103*ifood_data[[#This Row],[Age]]+'Regression Models'!$B$104*ifood_data[[#This Row],[Family]]</f>
        <v>-96.53009167111918</v>
      </c>
      <c r="BF1894" t="str">
        <f>IF(ifood_data[[#This Row],[AcceptedCmpOverall]]=1,"Campaign Respondent","Non-respondent")</f>
        <v>Campaign Respondent</v>
      </c>
    </row>
    <row r="1895" spans="1:58" x14ac:dyDescent="0.35">
      <c r="A1895">
        <v>315</v>
      </c>
      <c r="B1895">
        <v>22010</v>
      </c>
      <c r="C1895">
        <v>1</v>
      </c>
      <c r="D1895">
        <v>0</v>
      </c>
      <c r="E1895">
        <v>51</v>
      </c>
      <c r="F1895">
        <v>11</v>
      </c>
      <c r="G1895">
        <v>2</v>
      </c>
      <c r="H1895">
        <v>9</v>
      </c>
      <c r="I1895">
        <v>3</v>
      </c>
      <c r="J1895">
        <v>0</v>
      </c>
      <c r="K1895">
        <v>8</v>
      </c>
      <c r="L1895">
        <v>2</v>
      </c>
      <c r="M1895">
        <v>2</v>
      </c>
      <c r="N1895">
        <v>0</v>
      </c>
      <c r="O1895">
        <v>3</v>
      </c>
      <c r="P1895">
        <v>8</v>
      </c>
      <c r="Q1895">
        <v>0</v>
      </c>
      <c r="R1895">
        <v>0</v>
      </c>
      <c r="S1895">
        <v>0</v>
      </c>
      <c r="T1895">
        <v>0</v>
      </c>
      <c r="U1895">
        <v>0</v>
      </c>
      <c r="V1895">
        <f>IF(SUM(ifood_data[[#This Row],[AcceptedCmp1]:[AcceptedCmp5]])&gt;0,1,0)</f>
        <v>0</v>
      </c>
      <c r="W1895">
        <v>0</v>
      </c>
      <c r="X1895">
        <v>3</v>
      </c>
      <c r="Y1895">
        <v>11</v>
      </c>
      <c r="Z1895">
        <v>0</v>
      </c>
      <c r="AA1895">
        <v>37</v>
      </c>
      <c r="AB1895">
        <v>2523</v>
      </c>
      <c r="AC1895" s="28">
        <f>ifood_data[[#This Row],[Customer_Days]]/365</f>
        <v>6.912328767123288</v>
      </c>
      <c r="AD1895">
        <v>0</v>
      </c>
      <c r="AE1895">
        <v>0</v>
      </c>
      <c r="AF1895">
        <v>0</v>
      </c>
      <c r="AG1895">
        <v>1</v>
      </c>
      <c r="AH1895">
        <v>0</v>
      </c>
      <c r="AI1895">
        <v>0</v>
      </c>
      <c r="AJ1895">
        <v>0</v>
      </c>
      <c r="AK1895">
        <v>1</v>
      </c>
      <c r="AL1895">
        <v>0</v>
      </c>
      <c r="AM1895">
        <v>0</v>
      </c>
      <c r="AN1895">
        <v>25</v>
      </c>
      <c r="AO1895">
        <v>17</v>
      </c>
      <c r="AP1895">
        <f>ifood_data[[#This Row],[MntTotal]]-ifood_data[[#This Row],[MntRegularProds]]</f>
        <v>8</v>
      </c>
      <c r="AQ1895">
        <v>0</v>
      </c>
      <c r="AR1895">
        <f>IF(SUM(ifood_data[[#This Row],[Kidhome]:[Teenhome]])&gt;0,1,0)</f>
        <v>1</v>
      </c>
      <c r="AS1895" t="str">
        <f>IF(SUM(ifood_data[[#This Row],[Kidhome]:[Teenhome]])&gt;0,"Has Family","No Family")</f>
        <v>Has Family</v>
      </c>
      <c r="AT1895" t="str">
        <f>IF(ifood_data[[#This Row],[marital_Married]]=1,"Married", (IF(ifood_data[[#This Row],[marital_Single]]=1,"Single",(IF(ifood_data[[#This Row],[marital_Divorced]]=1,"Divorced",(IF(ifood_data[[#This Row],[marital_Together]]=1,"Living Together",(IF(ifood_data[[#This Row],[marital_Widow]]=1,"Widow","Other")))))))))</f>
        <v>Living Together</v>
      </c>
      <c r="AU1895" t="str">
        <f>IF(ifood_data[[#This Row],[education_Basic]]=1,"High School",(IF(ifood_data[[#This Row],[education_Graduation]]=1,"Undergraduate Degree",(IF(SUM(AM1895,AL1895,AI1895)&gt;0,"Master's Degree or Higher","Other")))))</f>
        <v>Undergraduate Degree</v>
      </c>
      <c r="AV1895" t="str">
        <f>IF(ifood_data[[#All],[Income]]&gt;75000,"75K+",(IF(ifood_data[[#All],[Income]]&gt;50000,"50K-75K",(IF(ifood_data[[#All],[Income]]&gt;35000,"35K-50K","&lt;35K")))))</f>
        <v>&lt;35K</v>
      </c>
      <c r="AW1895" t="str">
        <f>IF(ifood_data[[#All],[Age]]&gt;60,"60+",(IF(ifood_data[[#All],[Age]]&gt;50,"50-60",(IF(ifood_data[[#All],[Age]]&gt;40,"40-50",(IF(ifood_data[[#All],[Age]]&gt;30,"30-40","&lt;30")))))))</f>
        <v>30-40</v>
      </c>
      <c r="AX1895">
        <f t="shared" si="116"/>
        <v>15</v>
      </c>
      <c r="AY1895">
        <f t="shared" si="117"/>
        <v>5</v>
      </c>
      <c r="AZ1895">
        <f t="shared" si="118"/>
        <v>2</v>
      </c>
      <c r="BA1895">
        <f t="shared" si="119"/>
        <v>0</v>
      </c>
      <c r="BB1895">
        <f>SUM(ifood_data[[#This Row],[Recency Score]:[Monetary Score]])</f>
        <v>7</v>
      </c>
      <c r="BC1895">
        <f>(_xlfn.PERCENTRANK.INC(ifood_data[[#All],[RFM]],ifood_data[[#This Row],[RFM]],1))*10</f>
        <v>1</v>
      </c>
      <c r="BD1895" t="str">
        <f>VLOOKUP(ifood_data[[#This Row],[RFM Score]],'RFM Analysis'!$A$3:$B$14,2,FALSE)</f>
        <v>At Risk</v>
      </c>
      <c r="BE1895">
        <f>'Regression Models'!$B$101+'Regression Models'!$B$102*ifood_data[[#This Row],[Income]]+'Regression Models'!$B$103*ifood_data[[#This Row],[Age]]+'Regression Models'!$B$104*ifood_data[[#This Row],[Family]]</f>
        <v>-96.620346419354973</v>
      </c>
      <c r="BF1895" t="str">
        <f>IF(ifood_data[[#This Row],[AcceptedCmpOverall]]=1,"Campaign Respondent","Non-respondent")</f>
        <v>Non-respondent</v>
      </c>
    </row>
    <row r="1896" spans="1:58" x14ac:dyDescent="0.35">
      <c r="A1896">
        <v>1367</v>
      </c>
      <c r="B1896">
        <v>23162</v>
      </c>
      <c r="C1896">
        <v>1</v>
      </c>
      <c r="D1896">
        <v>1</v>
      </c>
      <c r="E1896">
        <v>82</v>
      </c>
      <c r="F1896">
        <v>8</v>
      </c>
      <c r="G1896">
        <v>3</v>
      </c>
      <c r="H1896">
        <v>9</v>
      </c>
      <c r="I1896">
        <v>19</v>
      </c>
      <c r="J1896">
        <v>4</v>
      </c>
      <c r="K1896">
        <v>22</v>
      </c>
      <c r="L1896">
        <v>3</v>
      </c>
      <c r="M1896">
        <v>1</v>
      </c>
      <c r="N1896">
        <v>1</v>
      </c>
      <c r="O1896">
        <v>3</v>
      </c>
      <c r="P1896">
        <v>6</v>
      </c>
      <c r="Q1896">
        <v>0</v>
      </c>
      <c r="R1896">
        <v>0</v>
      </c>
      <c r="S1896">
        <v>0</v>
      </c>
      <c r="T1896">
        <v>0</v>
      </c>
      <c r="U1896">
        <v>0</v>
      </c>
      <c r="V1896">
        <f>IF(SUM(ifood_data[[#This Row],[AcceptedCmp1]:[AcceptedCmp5]])&gt;0,1,0)</f>
        <v>0</v>
      </c>
      <c r="W1896">
        <v>0</v>
      </c>
      <c r="X1896">
        <v>3</v>
      </c>
      <c r="Y1896">
        <v>11</v>
      </c>
      <c r="Z1896">
        <v>0</v>
      </c>
      <c r="AA1896">
        <v>50</v>
      </c>
      <c r="AB1896">
        <v>2349</v>
      </c>
      <c r="AC1896" s="28">
        <f>ifood_data[[#This Row],[Customer_Days]]/365</f>
        <v>6.4356164383561643</v>
      </c>
      <c r="AD1896">
        <v>0</v>
      </c>
      <c r="AE1896">
        <v>1</v>
      </c>
      <c r="AF1896">
        <v>0</v>
      </c>
      <c r="AG1896">
        <v>0</v>
      </c>
      <c r="AH1896">
        <v>0</v>
      </c>
      <c r="AI1896">
        <v>1</v>
      </c>
      <c r="AJ1896">
        <v>0</v>
      </c>
      <c r="AK1896">
        <v>0</v>
      </c>
      <c r="AL1896">
        <v>0</v>
      </c>
      <c r="AM1896">
        <v>0</v>
      </c>
      <c r="AN1896">
        <v>43</v>
      </c>
      <c r="AO1896">
        <v>21</v>
      </c>
      <c r="AP1896">
        <f>ifood_data[[#This Row],[MntTotal]]-ifood_data[[#This Row],[MntRegularProds]]</f>
        <v>22</v>
      </c>
      <c r="AQ1896">
        <v>0</v>
      </c>
      <c r="AR1896">
        <f>IF(SUM(ifood_data[[#This Row],[Kidhome]:[Teenhome]])&gt;0,1,0)</f>
        <v>1</v>
      </c>
      <c r="AS1896" t="str">
        <f>IF(SUM(ifood_data[[#This Row],[Kidhome]:[Teenhome]])&gt;0,"Has Family","No Family")</f>
        <v>Has Family</v>
      </c>
      <c r="AT1896" t="str">
        <f>IF(ifood_data[[#This Row],[marital_Married]]=1,"Married", (IF(ifood_data[[#This Row],[marital_Single]]=1,"Single",(IF(ifood_data[[#This Row],[marital_Divorced]]=1,"Divorced",(IF(ifood_data[[#This Row],[marital_Together]]=1,"Living Together",(IF(ifood_data[[#This Row],[marital_Widow]]=1,"Widow","Other")))))))))</f>
        <v>Married</v>
      </c>
      <c r="AU1896" t="str">
        <f>IF(ifood_data[[#This Row],[education_Basic]]=1,"High School",(IF(ifood_data[[#This Row],[education_Graduation]]=1,"Undergraduate Degree",(IF(SUM(AM1896,AL1896,AI1896)&gt;0,"Master's Degree or Higher","Other")))))</f>
        <v>Master's Degree or Higher</v>
      </c>
      <c r="AV1896" t="str">
        <f>IF(ifood_data[[#All],[Income]]&gt;75000,"75K+",(IF(ifood_data[[#All],[Income]]&gt;50000,"50K-75K",(IF(ifood_data[[#All],[Income]]&gt;35000,"35K-50K","&lt;35K")))))</f>
        <v>&lt;35K</v>
      </c>
      <c r="AW1896" t="str">
        <f>IF(ifood_data[[#All],[Age]]&gt;60,"60+",(IF(ifood_data[[#All],[Age]]&gt;50,"50-60",(IF(ifood_data[[#All],[Age]]&gt;40,"40-50",(IF(ifood_data[[#All],[Age]]&gt;30,"30-40","&lt;30")))))))</f>
        <v>40-50</v>
      </c>
      <c r="AX1896">
        <f t="shared" si="116"/>
        <v>14</v>
      </c>
      <c r="AY1896">
        <f t="shared" si="117"/>
        <v>1.9999999999999996</v>
      </c>
      <c r="AZ1896">
        <f t="shared" si="118"/>
        <v>2</v>
      </c>
      <c r="BA1896">
        <f t="shared" si="119"/>
        <v>1</v>
      </c>
      <c r="BB1896">
        <f>SUM(ifood_data[[#This Row],[Recency Score]:[Monetary Score]])</f>
        <v>5</v>
      </c>
      <c r="BC1896">
        <f>(_xlfn.PERCENTRANK.INC(ifood_data[[#All],[RFM]],ifood_data[[#This Row],[RFM]],1))*10</f>
        <v>0</v>
      </c>
      <c r="BD1896" t="str">
        <f>VLOOKUP(ifood_data[[#This Row],[RFM Score]],'RFM Analysis'!$A$3:$B$14,2,FALSE)</f>
        <v>Lost</v>
      </c>
      <c r="BE1896">
        <f>'Regression Models'!$B$101+'Regression Models'!$B$102*ifood_data[[#This Row],[Income]]+'Regression Models'!$B$103*ifood_data[[#This Row],[Age]]+'Regression Models'!$B$104*ifood_data[[#This Row],[Family]]</f>
        <v>-97.006193543209065</v>
      </c>
      <c r="BF1896" t="str">
        <f>IF(ifood_data[[#This Row],[AcceptedCmpOverall]]=1,"Campaign Respondent","Non-respondent")</f>
        <v>Non-respondent</v>
      </c>
    </row>
    <row r="1897" spans="1:58" x14ac:dyDescent="0.35">
      <c r="A1897">
        <v>814</v>
      </c>
      <c r="B1897">
        <v>23228</v>
      </c>
      <c r="C1897">
        <v>1</v>
      </c>
      <c r="D1897">
        <v>0</v>
      </c>
      <c r="E1897">
        <v>71</v>
      </c>
      <c r="F1897">
        <v>13</v>
      </c>
      <c r="G1897">
        <v>2</v>
      </c>
      <c r="H1897">
        <v>18</v>
      </c>
      <c r="I1897">
        <v>6</v>
      </c>
      <c r="J1897">
        <v>1</v>
      </c>
      <c r="K1897">
        <v>0</v>
      </c>
      <c r="L1897">
        <v>2</v>
      </c>
      <c r="M1897">
        <v>2</v>
      </c>
      <c r="N1897">
        <v>0</v>
      </c>
      <c r="O1897">
        <v>3</v>
      </c>
      <c r="P1897">
        <v>8</v>
      </c>
      <c r="Q1897">
        <v>0</v>
      </c>
      <c r="R1897">
        <v>0</v>
      </c>
      <c r="S1897">
        <v>0</v>
      </c>
      <c r="T1897">
        <v>0</v>
      </c>
      <c r="U1897">
        <v>0</v>
      </c>
      <c r="V1897">
        <f>IF(SUM(ifood_data[[#This Row],[AcceptedCmp1]:[AcceptedCmp5]])&gt;0,1,0)</f>
        <v>0</v>
      </c>
      <c r="W1897">
        <v>0</v>
      </c>
      <c r="X1897">
        <v>3</v>
      </c>
      <c r="Y1897">
        <v>11</v>
      </c>
      <c r="Z1897">
        <v>0</v>
      </c>
      <c r="AA1897">
        <v>51</v>
      </c>
      <c r="AB1897">
        <v>2313</v>
      </c>
      <c r="AC1897" s="28">
        <f>ifood_data[[#This Row],[Customer_Days]]/365</f>
        <v>6.3369863013698629</v>
      </c>
      <c r="AD1897">
        <v>0</v>
      </c>
      <c r="AE1897">
        <v>0</v>
      </c>
      <c r="AF1897">
        <v>0</v>
      </c>
      <c r="AG1897">
        <v>1</v>
      </c>
      <c r="AH1897">
        <v>0</v>
      </c>
      <c r="AI1897">
        <v>0</v>
      </c>
      <c r="AJ1897">
        <v>0</v>
      </c>
      <c r="AK1897">
        <v>1</v>
      </c>
      <c r="AL1897">
        <v>0</v>
      </c>
      <c r="AM1897">
        <v>0</v>
      </c>
      <c r="AN1897">
        <v>40</v>
      </c>
      <c r="AO1897">
        <v>40</v>
      </c>
      <c r="AP1897">
        <f>ifood_data[[#This Row],[MntTotal]]-ifood_data[[#This Row],[MntRegularProds]]</f>
        <v>0</v>
      </c>
      <c r="AQ1897">
        <v>0</v>
      </c>
      <c r="AR1897">
        <f>IF(SUM(ifood_data[[#This Row],[Kidhome]:[Teenhome]])&gt;0,1,0)</f>
        <v>1</v>
      </c>
      <c r="AS1897" t="str">
        <f>IF(SUM(ifood_data[[#This Row],[Kidhome]:[Teenhome]])&gt;0,"Has Family","No Family")</f>
        <v>Has Family</v>
      </c>
      <c r="AT1897" t="str">
        <f>IF(ifood_data[[#This Row],[marital_Married]]=1,"Married", (IF(ifood_data[[#This Row],[marital_Single]]=1,"Single",(IF(ifood_data[[#This Row],[marital_Divorced]]=1,"Divorced",(IF(ifood_data[[#This Row],[marital_Together]]=1,"Living Together",(IF(ifood_data[[#This Row],[marital_Widow]]=1,"Widow","Other")))))))))</f>
        <v>Living Together</v>
      </c>
      <c r="AU1897" t="str">
        <f>IF(ifood_data[[#This Row],[education_Basic]]=1,"High School",(IF(ifood_data[[#This Row],[education_Graduation]]=1,"Undergraduate Degree",(IF(SUM(AM1897,AL1897,AI1897)&gt;0,"Master's Degree or Higher","Other")))))</f>
        <v>Undergraduate Degree</v>
      </c>
      <c r="AV1897" t="str">
        <f>IF(ifood_data[[#All],[Income]]&gt;75000,"75K+",(IF(ifood_data[[#All],[Income]]&gt;50000,"50K-75K",(IF(ifood_data[[#All],[Income]]&gt;35000,"35K-50K","&lt;35K")))))</f>
        <v>&lt;35K</v>
      </c>
      <c r="AW1897" t="str">
        <f>IF(ifood_data[[#All],[Age]]&gt;60,"60+",(IF(ifood_data[[#All],[Age]]&gt;50,"50-60",(IF(ifood_data[[#All],[Age]]&gt;40,"40-50",(IF(ifood_data[[#All],[Age]]&gt;30,"30-40","&lt;30")))))))</f>
        <v>50-60</v>
      </c>
      <c r="AX1897">
        <f t="shared" si="116"/>
        <v>15</v>
      </c>
      <c r="AY1897">
        <f t="shared" si="117"/>
        <v>3.0000000000000004</v>
      </c>
      <c r="AZ1897">
        <f t="shared" si="118"/>
        <v>2</v>
      </c>
      <c r="BA1897">
        <f t="shared" si="119"/>
        <v>1</v>
      </c>
      <c r="BB1897">
        <f>SUM(ifood_data[[#This Row],[Recency Score]:[Monetary Score]])</f>
        <v>6</v>
      </c>
      <c r="BC1897">
        <f>(_xlfn.PERCENTRANK.INC(ifood_data[[#All],[RFM]],ifood_data[[#This Row],[RFM]],1))*10</f>
        <v>0</v>
      </c>
      <c r="BD1897" t="str">
        <f>VLOOKUP(ifood_data[[#This Row],[RFM Score]],'RFM Analysis'!$A$3:$B$14,2,FALSE)</f>
        <v>Lost</v>
      </c>
      <c r="BE1897">
        <f>'Regression Models'!$B$101+'Regression Models'!$B$102*ifood_data[[#This Row],[Income]]+'Regression Models'!$B$103*ifood_data[[#This Row],[Age]]+'Regression Models'!$B$104*ifood_data[[#This Row],[Family]]</f>
        <v>-97.496973924606039</v>
      </c>
      <c r="BF1897" t="str">
        <f>IF(ifood_data[[#This Row],[AcceptedCmpOverall]]=1,"Campaign Respondent","Non-respondent")</f>
        <v>Non-respondent</v>
      </c>
    </row>
    <row r="1898" spans="1:58" x14ac:dyDescent="0.35">
      <c r="A1898">
        <v>1670</v>
      </c>
      <c r="B1898">
        <v>22669</v>
      </c>
      <c r="C1898">
        <v>1</v>
      </c>
      <c r="D1898">
        <v>0</v>
      </c>
      <c r="E1898">
        <v>30</v>
      </c>
      <c r="F1898">
        <v>16</v>
      </c>
      <c r="G1898">
        <v>14</v>
      </c>
      <c r="H1898">
        <v>36</v>
      </c>
      <c r="I1898">
        <v>37</v>
      </c>
      <c r="J1898">
        <v>22</v>
      </c>
      <c r="K1898">
        <v>48</v>
      </c>
      <c r="L1898">
        <v>3</v>
      </c>
      <c r="M1898">
        <v>4</v>
      </c>
      <c r="N1898">
        <v>1</v>
      </c>
      <c r="O1898">
        <v>2</v>
      </c>
      <c r="P1898">
        <v>9</v>
      </c>
      <c r="Q1898">
        <v>0</v>
      </c>
      <c r="R1898">
        <v>0</v>
      </c>
      <c r="S1898">
        <v>0</v>
      </c>
      <c r="T1898">
        <v>0</v>
      </c>
      <c r="U1898">
        <v>0</v>
      </c>
      <c r="V1898">
        <f>IF(SUM(ifood_data[[#This Row],[AcceptedCmp1]:[AcceptedCmp5]])&gt;0,1,0)</f>
        <v>0</v>
      </c>
      <c r="W1898">
        <v>0</v>
      </c>
      <c r="X1898">
        <v>3</v>
      </c>
      <c r="Y1898">
        <v>11</v>
      </c>
      <c r="Z1898">
        <v>1</v>
      </c>
      <c r="AA1898">
        <v>45</v>
      </c>
      <c r="AB1898">
        <v>2562</v>
      </c>
      <c r="AC1898" s="28">
        <f>ifood_data[[#This Row],[Customer_Days]]/365</f>
        <v>7.0191780821917806</v>
      </c>
      <c r="AD1898">
        <v>0</v>
      </c>
      <c r="AE1898">
        <v>0</v>
      </c>
      <c r="AF1898">
        <v>0</v>
      </c>
      <c r="AG1898">
        <v>1</v>
      </c>
      <c r="AH1898">
        <v>0</v>
      </c>
      <c r="AI1898">
        <v>0</v>
      </c>
      <c r="AJ1898">
        <v>0</v>
      </c>
      <c r="AK1898">
        <v>0</v>
      </c>
      <c r="AL1898">
        <v>1</v>
      </c>
      <c r="AM1898">
        <v>0</v>
      </c>
      <c r="AN1898">
        <v>125</v>
      </c>
      <c r="AO1898">
        <v>77</v>
      </c>
      <c r="AP1898">
        <f>ifood_data[[#This Row],[MntTotal]]-ifood_data[[#This Row],[MntRegularProds]]</f>
        <v>48</v>
      </c>
      <c r="AQ1898">
        <v>0</v>
      </c>
      <c r="AR1898">
        <f>IF(SUM(ifood_data[[#This Row],[Kidhome]:[Teenhome]])&gt;0,1,0)</f>
        <v>1</v>
      </c>
      <c r="AS1898" t="str">
        <f>IF(SUM(ifood_data[[#This Row],[Kidhome]:[Teenhome]])&gt;0,"Has Family","No Family")</f>
        <v>Has Family</v>
      </c>
      <c r="AT1898" t="str">
        <f>IF(ifood_data[[#This Row],[marital_Married]]=1,"Married", (IF(ifood_data[[#This Row],[marital_Single]]=1,"Single",(IF(ifood_data[[#This Row],[marital_Divorced]]=1,"Divorced",(IF(ifood_data[[#This Row],[marital_Together]]=1,"Living Together",(IF(ifood_data[[#This Row],[marital_Widow]]=1,"Widow","Other")))))))))</f>
        <v>Living Together</v>
      </c>
      <c r="AU1898" t="str">
        <f>IF(ifood_data[[#This Row],[education_Basic]]=1,"High School",(IF(ifood_data[[#This Row],[education_Graduation]]=1,"Undergraduate Degree",(IF(SUM(AM1898,AL1898,AI1898)&gt;0,"Master's Degree or Higher","Other")))))</f>
        <v>Master's Degree or Higher</v>
      </c>
      <c r="AV1898" t="str">
        <f>IF(ifood_data[[#All],[Income]]&gt;75000,"75K+",(IF(ifood_data[[#All],[Income]]&gt;50000,"50K-75K",(IF(ifood_data[[#All],[Income]]&gt;35000,"35K-50K","&lt;35K")))))</f>
        <v>&lt;35K</v>
      </c>
      <c r="AW1898" t="str">
        <f>IF(ifood_data[[#All],[Age]]&gt;60,"60+",(IF(ifood_data[[#All],[Age]]&gt;50,"50-60",(IF(ifood_data[[#All],[Age]]&gt;40,"40-50",(IF(ifood_data[[#All],[Age]]&gt;30,"30-40","&lt;30")))))))</f>
        <v>40-50</v>
      </c>
      <c r="AX1898">
        <f t="shared" si="116"/>
        <v>19</v>
      </c>
      <c r="AY1898">
        <f t="shared" si="117"/>
        <v>7</v>
      </c>
      <c r="AZ1898">
        <f t="shared" si="118"/>
        <v>4</v>
      </c>
      <c r="BA1898">
        <f t="shared" si="119"/>
        <v>3</v>
      </c>
      <c r="BB1898">
        <f>SUM(ifood_data[[#This Row],[Recency Score]:[Monetary Score]])</f>
        <v>14</v>
      </c>
      <c r="BC1898">
        <f>(_xlfn.PERCENTRANK.INC(ifood_data[[#All],[RFM]],ifood_data[[#This Row],[RFM]],1))*10</f>
        <v>4</v>
      </c>
      <c r="BD1898" t="str">
        <f>VLOOKUP(ifood_data[[#This Row],[RFM Score]],'RFM Analysis'!$A$3:$B$14,2,FALSE)</f>
        <v>At Risk</v>
      </c>
      <c r="BE1898">
        <f>'Regression Models'!$B$101+'Regression Models'!$B$102*ifood_data[[#This Row],[Income]]+'Regression Models'!$B$103*ifood_data[[#This Row],[Age]]+'Regression Models'!$B$104*ifood_data[[#This Row],[Family]]</f>
        <v>-97.875660843679867</v>
      </c>
      <c r="BF1898" t="str">
        <f>IF(ifood_data[[#This Row],[AcceptedCmpOverall]]=1,"Campaign Respondent","Non-respondent")</f>
        <v>Non-respondent</v>
      </c>
    </row>
    <row r="1899" spans="1:58" x14ac:dyDescent="0.35">
      <c r="A1899">
        <v>1590</v>
      </c>
      <c r="B1899">
        <v>23529</v>
      </c>
      <c r="C1899">
        <v>0</v>
      </c>
      <c r="D1899">
        <v>1</v>
      </c>
      <c r="E1899">
        <v>67</v>
      </c>
      <c r="F1899">
        <v>9</v>
      </c>
      <c r="G1899">
        <v>7</v>
      </c>
      <c r="H1899">
        <v>13</v>
      </c>
      <c r="I1899">
        <v>3</v>
      </c>
      <c r="J1899">
        <v>2</v>
      </c>
      <c r="K1899">
        <v>20</v>
      </c>
      <c r="L1899">
        <v>1</v>
      </c>
      <c r="M1899">
        <v>1</v>
      </c>
      <c r="N1899">
        <v>1</v>
      </c>
      <c r="O1899">
        <v>2</v>
      </c>
      <c r="P1899">
        <v>6</v>
      </c>
      <c r="Q1899">
        <v>0</v>
      </c>
      <c r="R1899">
        <v>0</v>
      </c>
      <c r="S1899">
        <v>0</v>
      </c>
      <c r="T1899">
        <v>0</v>
      </c>
      <c r="U1899">
        <v>0</v>
      </c>
      <c r="V1899">
        <f>IF(SUM(ifood_data[[#This Row],[AcceptedCmp1]:[AcceptedCmp5]])&gt;0,1,0)</f>
        <v>0</v>
      </c>
      <c r="W1899">
        <v>0</v>
      </c>
      <c r="X1899">
        <v>3</v>
      </c>
      <c r="Y1899">
        <v>11</v>
      </c>
      <c r="Z1899">
        <v>0</v>
      </c>
      <c r="AA1899">
        <v>55</v>
      </c>
      <c r="AB1899">
        <v>2697</v>
      </c>
      <c r="AC1899" s="28">
        <f>ifood_data[[#This Row],[Customer_Days]]/365</f>
        <v>7.3890410958904109</v>
      </c>
      <c r="AD1899">
        <v>0</v>
      </c>
      <c r="AE1899">
        <v>0</v>
      </c>
      <c r="AF1899">
        <v>1</v>
      </c>
      <c r="AG1899">
        <v>0</v>
      </c>
      <c r="AH1899">
        <v>0</v>
      </c>
      <c r="AI1899">
        <v>0</v>
      </c>
      <c r="AJ1899">
        <v>1</v>
      </c>
      <c r="AK1899">
        <v>0</v>
      </c>
      <c r="AL1899">
        <v>0</v>
      </c>
      <c r="AM1899">
        <v>0</v>
      </c>
      <c r="AN1899">
        <v>34</v>
      </c>
      <c r="AO1899">
        <v>14</v>
      </c>
      <c r="AP1899">
        <f>ifood_data[[#This Row],[MntTotal]]-ifood_data[[#This Row],[MntRegularProds]]</f>
        <v>20</v>
      </c>
      <c r="AQ1899">
        <v>0</v>
      </c>
      <c r="AR1899">
        <f>IF(SUM(ifood_data[[#This Row],[Kidhome]:[Teenhome]])&gt;0,1,0)</f>
        <v>1</v>
      </c>
      <c r="AS1899" t="str">
        <f>IF(SUM(ifood_data[[#This Row],[Kidhome]:[Teenhome]])&gt;0,"Has Family","No Family")</f>
        <v>Has Family</v>
      </c>
      <c r="AT1899" t="str">
        <f>IF(ifood_data[[#This Row],[marital_Married]]=1,"Married", (IF(ifood_data[[#This Row],[marital_Single]]=1,"Single",(IF(ifood_data[[#This Row],[marital_Divorced]]=1,"Divorced",(IF(ifood_data[[#This Row],[marital_Together]]=1,"Living Together",(IF(ifood_data[[#This Row],[marital_Widow]]=1,"Widow","Other")))))))))</f>
        <v>Single</v>
      </c>
      <c r="AU1899" t="str">
        <f>IF(ifood_data[[#This Row],[education_Basic]]=1,"High School",(IF(ifood_data[[#This Row],[education_Graduation]]=1,"Undergraduate Degree",(IF(SUM(AM1899,AL1899,AI1899)&gt;0,"Master's Degree or Higher","Other")))))</f>
        <v>High School</v>
      </c>
      <c r="AV1899" t="str">
        <f>IF(ifood_data[[#All],[Income]]&gt;75000,"75K+",(IF(ifood_data[[#All],[Income]]&gt;50000,"50K-75K",(IF(ifood_data[[#All],[Income]]&gt;35000,"35K-50K","&lt;35K")))))</f>
        <v>&lt;35K</v>
      </c>
      <c r="AW1899" t="str">
        <f>IF(ifood_data[[#All],[Age]]&gt;60,"60+",(IF(ifood_data[[#All],[Age]]&gt;50,"50-60",(IF(ifood_data[[#All],[Age]]&gt;40,"40-50",(IF(ifood_data[[#All],[Age]]&gt;30,"30-40","&lt;30")))))))</f>
        <v>50-60</v>
      </c>
      <c r="AX1899">
        <f t="shared" si="116"/>
        <v>11</v>
      </c>
      <c r="AY1899">
        <f t="shared" si="117"/>
        <v>4</v>
      </c>
      <c r="AZ1899">
        <f t="shared" si="118"/>
        <v>0</v>
      </c>
      <c r="BA1899">
        <f t="shared" si="119"/>
        <v>1</v>
      </c>
      <c r="BB1899">
        <f>SUM(ifood_data[[#This Row],[Recency Score]:[Monetary Score]])</f>
        <v>5</v>
      </c>
      <c r="BC1899">
        <f>(_xlfn.PERCENTRANK.INC(ifood_data[[#All],[RFM]],ifood_data[[#This Row],[RFM]],1))*10</f>
        <v>0</v>
      </c>
      <c r="BD1899" t="str">
        <f>VLOOKUP(ifood_data[[#This Row],[RFM Score]],'RFM Analysis'!$A$3:$B$14,2,FALSE)</f>
        <v>Lost</v>
      </c>
      <c r="BE1899">
        <f>'Regression Models'!$B$101+'Regression Models'!$B$102*ifood_data[[#This Row],[Income]]+'Regression Models'!$B$103*ifood_data[[#This Row],[Age]]+'Regression Models'!$B$104*ifood_data[[#This Row],[Family]]</f>
        <v>-98.705711028869587</v>
      </c>
      <c r="BF1899" t="str">
        <f>IF(ifood_data[[#This Row],[AcceptedCmpOverall]]=1,"Campaign Respondent","Non-respondent")</f>
        <v>Non-respondent</v>
      </c>
    </row>
    <row r="1900" spans="1:58" x14ac:dyDescent="0.35">
      <c r="A1900">
        <v>1657</v>
      </c>
      <c r="B1900">
        <v>21840</v>
      </c>
      <c r="C1900">
        <v>1</v>
      </c>
      <c r="D1900">
        <v>0</v>
      </c>
      <c r="E1900">
        <v>80</v>
      </c>
      <c r="F1900">
        <v>17</v>
      </c>
      <c r="G1900">
        <v>0</v>
      </c>
      <c r="H1900">
        <v>9</v>
      </c>
      <c r="I1900">
        <v>0</v>
      </c>
      <c r="J1900">
        <v>0</v>
      </c>
      <c r="K1900">
        <v>1</v>
      </c>
      <c r="L1900">
        <v>1</v>
      </c>
      <c r="M1900">
        <v>1</v>
      </c>
      <c r="N1900">
        <v>0</v>
      </c>
      <c r="O1900">
        <v>3</v>
      </c>
      <c r="P1900">
        <v>9</v>
      </c>
      <c r="Q1900">
        <v>0</v>
      </c>
      <c r="R1900">
        <v>0</v>
      </c>
      <c r="S1900">
        <v>0</v>
      </c>
      <c r="T1900">
        <v>0</v>
      </c>
      <c r="U1900">
        <v>0</v>
      </c>
      <c r="V1900">
        <f>IF(SUM(ifood_data[[#This Row],[AcceptedCmp1]:[AcceptedCmp5]])&gt;0,1,0)</f>
        <v>0</v>
      </c>
      <c r="W1900">
        <v>0</v>
      </c>
      <c r="X1900">
        <v>3</v>
      </c>
      <c r="Y1900">
        <v>11</v>
      </c>
      <c r="Z1900">
        <v>0</v>
      </c>
      <c r="AA1900">
        <v>37</v>
      </c>
      <c r="AB1900">
        <v>2502</v>
      </c>
      <c r="AC1900" s="28">
        <f>ifood_data[[#This Row],[Customer_Days]]/365</f>
        <v>6.8547945205479452</v>
      </c>
      <c r="AD1900">
        <v>0</v>
      </c>
      <c r="AE1900">
        <v>0</v>
      </c>
      <c r="AF1900">
        <v>0</v>
      </c>
      <c r="AG1900">
        <v>1</v>
      </c>
      <c r="AH1900">
        <v>0</v>
      </c>
      <c r="AI1900">
        <v>0</v>
      </c>
      <c r="AJ1900">
        <v>0</v>
      </c>
      <c r="AK1900">
        <v>0</v>
      </c>
      <c r="AL1900">
        <v>0</v>
      </c>
      <c r="AM1900">
        <v>1</v>
      </c>
      <c r="AN1900">
        <v>26</v>
      </c>
      <c r="AO1900">
        <v>25</v>
      </c>
      <c r="AP1900">
        <f>ifood_data[[#This Row],[MntTotal]]-ifood_data[[#This Row],[MntRegularProds]]</f>
        <v>1</v>
      </c>
      <c r="AQ1900">
        <v>0</v>
      </c>
      <c r="AR1900">
        <f>IF(SUM(ifood_data[[#This Row],[Kidhome]:[Teenhome]])&gt;0,1,0)</f>
        <v>1</v>
      </c>
      <c r="AS1900" t="str">
        <f>IF(SUM(ifood_data[[#This Row],[Kidhome]:[Teenhome]])&gt;0,"Has Family","No Family")</f>
        <v>Has Family</v>
      </c>
      <c r="AT1900" t="str">
        <f>IF(ifood_data[[#This Row],[marital_Married]]=1,"Married", (IF(ifood_data[[#This Row],[marital_Single]]=1,"Single",(IF(ifood_data[[#This Row],[marital_Divorced]]=1,"Divorced",(IF(ifood_data[[#This Row],[marital_Together]]=1,"Living Together",(IF(ifood_data[[#This Row],[marital_Widow]]=1,"Widow","Other")))))))))</f>
        <v>Living Together</v>
      </c>
      <c r="AU1900" t="str">
        <f>IF(ifood_data[[#This Row],[education_Basic]]=1,"High School",(IF(ifood_data[[#This Row],[education_Graduation]]=1,"Undergraduate Degree",(IF(SUM(AM1900,AL1900,AI1900)&gt;0,"Master's Degree or Higher","Other")))))</f>
        <v>Master's Degree or Higher</v>
      </c>
      <c r="AV1900" t="str">
        <f>IF(ifood_data[[#All],[Income]]&gt;75000,"75K+",(IF(ifood_data[[#All],[Income]]&gt;50000,"50K-75K",(IF(ifood_data[[#All],[Income]]&gt;35000,"35K-50K","&lt;35K")))))</f>
        <v>&lt;35K</v>
      </c>
      <c r="AW1900" t="str">
        <f>IF(ifood_data[[#All],[Age]]&gt;60,"60+",(IF(ifood_data[[#All],[Age]]&gt;50,"50-60",(IF(ifood_data[[#All],[Age]]&gt;40,"40-50",(IF(ifood_data[[#All],[Age]]&gt;30,"30-40","&lt;30")))))))</f>
        <v>30-40</v>
      </c>
      <c r="AX1900">
        <f t="shared" si="116"/>
        <v>14</v>
      </c>
      <c r="AY1900">
        <f t="shared" si="117"/>
        <v>1.9999999999999996</v>
      </c>
      <c r="AZ1900">
        <f t="shared" si="118"/>
        <v>2</v>
      </c>
      <c r="BA1900">
        <f t="shared" si="119"/>
        <v>0</v>
      </c>
      <c r="BB1900">
        <f>SUM(ifood_data[[#This Row],[Recency Score]:[Monetary Score]])</f>
        <v>3.9999999999999996</v>
      </c>
      <c r="BC1900">
        <f>(_xlfn.PERCENTRANK.INC(ifood_data[[#All],[RFM]],ifood_data[[#This Row],[RFM]],1))*10</f>
        <v>0</v>
      </c>
      <c r="BD1900" t="str">
        <f>VLOOKUP(ifood_data[[#This Row],[RFM Score]],'RFM Analysis'!$A$3:$B$14,2,FALSE)</f>
        <v>Lost</v>
      </c>
      <c r="BE1900">
        <f>'Regression Models'!$B$101+'Regression Models'!$B$102*ifood_data[[#This Row],[Income]]+'Regression Models'!$B$103*ifood_data[[#This Row],[Age]]+'Regression Models'!$B$104*ifood_data[[#This Row],[Family]]</f>
        <v>-100.08643700381782</v>
      </c>
      <c r="BF1900" t="str">
        <f>IF(ifood_data[[#This Row],[AcceptedCmpOverall]]=1,"Campaign Respondent","Non-respondent")</f>
        <v>Non-respondent</v>
      </c>
    </row>
    <row r="1901" spans="1:58" x14ac:dyDescent="0.35">
      <c r="A1901">
        <v>1826</v>
      </c>
      <c r="B1901">
        <v>22979</v>
      </c>
      <c r="C1901">
        <v>1</v>
      </c>
      <c r="D1901">
        <v>0</v>
      </c>
      <c r="E1901">
        <v>29</v>
      </c>
      <c r="F1901">
        <v>16</v>
      </c>
      <c r="G1901">
        <v>17</v>
      </c>
      <c r="H1901">
        <v>19</v>
      </c>
      <c r="I1901">
        <v>20</v>
      </c>
      <c r="J1901">
        <v>21</v>
      </c>
      <c r="K1901">
        <v>22</v>
      </c>
      <c r="L1901">
        <v>3</v>
      </c>
      <c r="M1901">
        <v>3</v>
      </c>
      <c r="N1901">
        <v>2</v>
      </c>
      <c r="O1901">
        <v>2</v>
      </c>
      <c r="P1901">
        <v>8</v>
      </c>
      <c r="Q1901">
        <v>0</v>
      </c>
      <c r="R1901">
        <v>0</v>
      </c>
      <c r="S1901">
        <v>0</v>
      </c>
      <c r="T1901">
        <v>0</v>
      </c>
      <c r="U1901">
        <v>0</v>
      </c>
      <c r="V1901">
        <f>IF(SUM(ifood_data[[#This Row],[AcceptedCmp1]:[AcceptedCmp5]])&gt;0,1,0)</f>
        <v>0</v>
      </c>
      <c r="W1901">
        <v>0</v>
      </c>
      <c r="X1901">
        <v>3</v>
      </c>
      <c r="Y1901">
        <v>11</v>
      </c>
      <c r="Z1901">
        <v>1</v>
      </c>
      <c r="AA1901">
        <v>50</v>
      </c>
      <c r="AB1901">
        <v>2820</v>
      </c>
      <c r="AC1901" s="28">
        <f>ifood_data[[#This Row],[Customer_Days]]/365</f>
        <v>7.7260273972602738</v>
      </c>
      <c r="AD1901">
        <v>0</v>
      </c>
      <c r="AE1901">
        <v>1</v>
      </c>
      <c r="AF1901">
        <v>0</v>
      </c>
      <c r="AG1901">
        <v>0</v>
      </c>
      <c r="AH1901">
        <v>0</v>
      </c>
      <c r="AI1901">
        <v>0</v>
      </c>
      <c r="AJ1901">
        <v>0</v>
      </c>
      <c r="AK1901">
        <v>1</v>
      </c>
      <c r="AL1901">
        <v>0</v>
      </c>
      <c r="AM1901">
        <v>0</v>
      </c>
      <c r="AN1901">
        <v>93</v>
      </c>
      <c r="AO1901">
        <v>71</v>
      </c>
      <c r="AP1901">
        <f>ifood_data[[#This Row],[MntTotal]]-ifood_data[[#This Row],[MntRegularProds]]</f>
        <v>22</v>
      </c>
      <c r="AQ1901">
        <v>0</v>
      </c>
      <c r="AR1901">
        <f>IF(SUM(ifood_data[[#This Row],[Kidhome]:[Teenhome]])&gt;0,1,0)</f>
        <v>1</v>
      </c>
      <c r="AS1901" t="str">
        <f>IF(SUM(ifood_data[[#This Row],[Kidhome]:[Teenhome]])&gt;0,"Has Family","No Family")</f>
        <v>Has Family</v>
      </c>
      <c r="AT1901" t="str">
        <f>IF(ifood_data[[#This Row],[marital_Married]]=1,"Married", (IF(ifood_data[[#This Row],[marital_Single]]=1,"Single",(IF(ifood_data[[#This Row],[marital_Divorced]]=1,"Divorced",(IF(ifood_data[[#This Row],[marital_Together]]=1,"Living Together",(IF(ifood_data[[#This Row],[marital_Widow]]=1,"Widow","Other")))))))))</f>
        <v>Married</v>
      </c>
      <c r="AU1901" t="str">
        <f>IF(ifood_data[[#This Row],[education_Basic]]=1,"High School",(IF(ifood_data[[#This Row],[education_Graduation]]=1,"Undergraduate Degree",(IF(SUM(AM1901,AL1901,AI1901)&gt;0,"Master's Degree or Higher","Other")))))</f>
        <v>Undergraduate Degree</v>
      </c>
      <c r="AV1901" t="str">
        <f>IF(ifood_data[[#All],[Income]]&gt;75000,"75K+",(IF(ifood_data[[#All],[Income]]&gt;50000,"50K-75K",(IF(ifood_data[[#All],[Income]]&gt;35000,"35K-50K","&lt;35K")))))</f>
        <v>&lt;35K</v>
      </c>
      <c r="AW1901" t="str">
        <f>IF(ifood_data[[#All],[Age]]&gt;60,"60+",(IF(ifood_data[[#All],[Age]]&gt;50,"50-60",(IF(ifood_data[[#All],[Age]]&gt;40,"40-50",(IF(ifood_data[[#All],[Age]]&gt;30,"30-40","&lt;30")))))))</f>
        <v>40-50</v>
      </c>
      <c r="AX1901">
        <f t="shared" si="116"/>
        <v>18</v>
      </c>
      <c r="AY1901">
        <f t="shared" si="117"/>
        <v>8</v>
      </c>
      <c r="AZ1901">
        <f t="shared" si="118"/>
        <v>4</v>
      </c>
      <c r="BA1901">
        <f t="shared" si="119"/>
        <v>3</v>
      </c>
      <c r="BB1901">
        <f>SUM(ifood_data[[#This Row],[Recency Score]:[Monetary Score]])</f>
        <v>15</v>
      </c>
      <c r="BC1901">
        <f>(_xlfn.PERCENTRANK.INC(ifood_data[[#All],[RFM]],ifood_data[[#This Row],[RFM]],1))*10</f>
        <v>4</v>
      </c>
      <c r="BD1901" t="str">
        <f>VLOOKUP(ifood_data[[#This Row],[RFM Score]],'RFM Analysis'!$A$3:$B$14,2,FALSE)</f>
        <v>At Risk</v>
      </c>
      <c r="BE1901">
        <f>'Regression Models'!$B$101+'Regression Models'!$B$102*ifood_data[[#This Row],[Income]]+'Regression Models'!$B$103*ifood_data[[#This Row],[Age]]+'Regression Models'!$B$104*ifood_data[[#This Row],[Family]]</f>
        <v>-100.73733811354259</v>
      </c>
      <c r="BF1901" t="str">
        <f>IF(ifood_data[[#This Row],[AcceptedCmpOverall]]=1,"Campaign Respondent","Non-respondent")</f>
        <v>Non-respondent</v>
      </c>
    </row>
    <row r="1902" spans="1:58" x14ac:dyDescent="0.35">
      <c r="A1902">
        <v>1301</v>
      </c>
      <c r="B1902">
        <v>22682</v>
      </c>
      <c r="C1902">
        <v>1</v>
      </c>
      <c r="D1902">
        <v>0</v>
      </c>
      <c r="E1902">
        <v>51</v>
      </c>
      <c r="F1902">
        <v>10</v>
      </c>
      <c r="G1902">
        <v>14</v>
      </c>
      <c r="H1902">
        <v>29</v>
      </c>
      <c r="I1902">
        <v>4</v>
      </c>
      <c r="J1902">
        <v>2</v>
      </c>
      <c r="K1902">
        <v>36</v>
      </c>
      <c r="L1902">
        <v>3</v>
      </c>
      <c r="M1902">
        <v>2</v>
      </c>
      <c r="N1902">
        <v>1</v>
      </c>
      <c r="O1902">
        <v>4</v>
      </c>
      <c r="P1902">
        <v>4</v>
      </c>
      <c r="Q1902">
        <v>0</v>
      </c>
      <c r="R1902">
        <v>0</v>
      </c>
      <c r="S1902">
        <v>0</v>
      </c>
      <c r="T1902">
        <v>0</v>
      </c>
      <c r="U1902">
        <v>0</v>
      </c>
      <c r="V1902">
        <f>IF(SUM(ifood_data[[#This Row],[AcceptedCmp1]:[AcceptedCmp5]])&gt;0,1,0)</f>
        <v>0</v>
      </c>
      <c r="W1902">
        <v>0</v>
      </c>
      <c r="X1902">
        <v>3</v>
      </c>
      <c r="Y1902">
        <v>11</v>
      </c>
      <c r="Z1902">
        <v>0</v>
      </c>
      <c r="AA1902">
        <v>47</v>
      </c>
      <c r="AB1902">
        <v>2428</v>
      </c>
      <c r="AC1902" s="28">
        <f>ifood_data[[#This Row],[Customer_Days]]/365</f>
        <v>6.6520547945205477</v>
      </c>
      <c r="AD1902">
        <v>0</v>
      </c>
      <c r="AE1902">
        <v>0</v>
      </c>
      <c r="AF1902">
        <v>0</v>
      </c>
      <c r="AG1902">
        <v>1</v>
      </c>
      <c r="AH1902">
        <v>0</v>
      </c>
      <c r="AI1902">
        <v>0</v>
      </c>
      <c r="AJ1902">
        <v>0</v>
      </c>
      <c r="AK1902">
        <v>1</v>
      </c>
      <c r="AL1902">
        <v>0</v>
      </c>
      <c r="AM1902">
        <v>0</v>
      </c>
      <c r="AN1902">
        <v>59</v>
      </c>
      <c r="AO1902">
        <v>23</v>
      </c>
      <c r="AP1902">
        <f>ifood_data[[#This Row],[MntTotal]]-ifood_data[[#This Row],[MntRegularProds]]</f>
        <v>36</v>
      </c>
      <c r="AQ1902">
        <v>0</v>
      </c>
      <c r="AR1902">
        <f>IF(SUM(ifood_data[[#This Row],[Kidhome]:[Teenhome]])&gt;0,1,0)</f>
        <v>1</v>
      </c>
      <c r="AS1902" t="str">
        <f>IF(SUM(ifood_data[[#This Row],[Kidhome]:[Teenhome]])&gt;0,"Has Family","No Family")</f>
        <v>Has Family</v>
      </c>
      <c r="AT1902" t="str">
        <f>IF(ifood_data[[#This Row],[marital_Married]]=1,"Married", (IF(ifood_data[[#This Row],[marital_Single]]=1,"Single",(IF(ifood_data[[#This Row],[marital_Divorced]]=1,"Divorced",(IF(ifood_data[[#This Row],[marital_Together]]=1,"Living Together",(IF(ifood_data[[#This Row],[marital_Widow]]=1,"Widow","Other")))))))))</f>
        <v>Living Together</v>
      </c>
      <c r="AU1902" t="str">
        <f>IF(ifood_data[[#This Row],[education_Basic]]=1,"High School",(IF(ifood_data[[#This Row],[education_Graduation]]=1,"Undergraduate Degree",(IF(SUM(AM1902,AL1902,AI1902)&gt;0,"Master's Degree or Higher","Other")))))</f>
        <v>Undergraduate Degree</v>
      </c>
      <c r="AV1902" t="str">
        <f>IF(ifood_data[[#All],[Income]]&gt;75000,"75K+",(IF(ifood_data[[#All],[Income]]&gt;50000,"50K-75K",(IF(ifood_data[[#All],[Income]]&gt;35000,"35K-50K","&lt;35K")))))</f>
        <v>&lt;35K</v>
      </c>
      <c r="AW1902" t="str">
        <f>IF(ifood_data[[#All],[Age]]&gt;60,"60+",(IF(ifood_data[[#All],[Age]]&gt;50,"50-60",(IF(ifood_data[[#All],[Age]]&gt;40,"40-50",(IF(ifood_data[[#All],[Age]]&gt;30,"30-40","&lt;30")))))))</f>
        <v>40-50</v>
      </c>
      <c r="AX1902">
        <f t="shared" si="116"/>
        <v>14</v>
      </c>
      <c r="AY1902">
        <f t="shared" si="117"/>
        <v>5</v>
      </c>
      <c r="AZ1902">
        <f t="shared" si="118"/>
        <v>2</v>
      </c>
      <c r="BA1902">
        <f t="shared" si="119"/>
        <v>2</v>
      </c>
      <c r="BB1902">
        <f>SUM(ifood_data[[#This Row],[Recency Score]:[Monetary Score]])</f>
        <v>9</v>
      </c>
      <c r="BC1902">
        <f>(_xlfn.PERCENTRANK.INC(ifood_data[[#All],[RFM]],ifood_data[[#This Row],[RFM]],1))*10</f>
        <v>1</v>
      </c>
      <c r="BD1902" t="str">
        <f>VLOOKUP(ifood_data[[#This Row],[RFM Score]],'RFM Analysis'!$A$3:$B$14,2,FALSE)</f>
        <v>At Risk</v>
      </c>
      <c r="BE1902">
        <f>'Regression Models'!$B$101+'Regression Models'!$B$102*ifood_data[[#This Row],[Income]]+'Regression Models'!$B$103*ifood_data[[#This Row],[Age]]+'Regression Models'!$B$104*ifood_data[[#This Row],[Family]]</f>
        <v>-101.28348501559771</v>
      </c>
      <c r="BF1902" t="str">
        <f>IF(ifood_data[[#This Row],[AcceptedCmpOverall]]=1,"Campaign Respondent","Non-respondent")</f>
        <v>Non-respondent</v>
      </c>
    </row>
    <row r="1903" spans="1:58" x14ac:dyDescent="0.35">
      <c r="A1903">
        <v>227</v>
      </c>
      <c r="B1903">
        <v>22804</v>
      </c>
      <c r="C1903">
        <v>1</v>
      </c>
      <c r="D1903">
        <v>0</v>
      </c>
      <c r="E1903">
        <v>75</v>
      </c>
      <c r="F1903">
        <v>14</v>
      </c>
      <c r="G1903">
        <v>1</v>
      </c>
      <c r="H1903">
        <v>7</v>
      </c>
      <c r="I1903">
        <v>2</v>
      </c>
      <c r="J1903">
        <v>1</v>
      </c>
      <c r="K1903">
        <v>1</v>
      </c>
      <c r="L1903">
        <v>1</v>
      </c>
      <c r="M1903">
        <v>2</v>
      </c>
      <c r="N1903">
        <v>0</v>
      </c>
      <c r="O1903">
        <v>2</v>
      </c>
      <c r="P1903">
        <v>9</v>
      </c>
      <c r="Q1903">
        <v>0</v>
      </c>
      <c r="R1903">
        <v>0</v>
      </c>
      <c r="S1903">
        <v>0</v>
      </c>
      <c r="T1903">
        <v>0</v>
      </c>
      <c r="U1903">
        <v>0</v>
      </c>
      <c r="V1903">
        <f>IF(SUM(ifood_data[[#This Row],[AcceptedCmp1]:[AcceptedCmp5]])&gt;0,1,0)</f>
        <v>0</v>
      </c>
      <c r="W1903">
        <v>0</v>
      </c>
      <c r="X1903">
        <v>3</v>
      </c>
      <c r="Y1903">
        <v>11</v>
      </c>
      <c r="Z1903">
        <v>0</v>
      </c>
      <c r="AA1903">
        <v>49</v>
      </c>
      <c r="AB1903">
        <v>2492</v>
      </c>
      <c r="AC1903" s="28">
        <f>ifood_data[[#This Row],[Customer_Days]]/365</f>
        <v>6.8273972602739725</v>
      </c>
      <c r="AD1903">
        <v>0</v>
      </c>
      <c r="AE1903">
        <v>0</v>
      </c>
      <c r="AF1903">
        <v>1</v>
      </c>
      <c r="AG1903">
        <v>0</v>
      </c>
      <c r="AH1903">
        <v>0</v>
      </c>
      <c r="AI1903">
        <v>0</v>
      </c>
      <c r="AJ1903">
        <v>0</v>
      </c>
      <c r="AK1903">
        <v>1</v>
      </c>
      <c r="AL1903">
        <v>0</v>
      </c>
      <c r="AM1903">
        <v>0</v>
      </c>
      <c r="AN1903">
        <v>25</v>
      </c>
      <c r="AO1903">
        <v>24</v>
      </c>
      <c r="AP1903">
        <f>ifood_data[[#This Row],[MntTotal]]-ifood_data[[#This Row],[MntRegularProds]]</f>
        <v>1</v>
      </c>
      <c r="AQ1903">
        <v>0</v>
      </c>
      <c r="AR1903">
        <f>IF(SUM(ifood_data[[#This Row],[Kidhome]:[Teenhome]])&gt;0,1,0)</f>
        <v>1</v>
      </c>
      <c r="AS1903" t="str">
        <f>IF(SUM(ifood_data[[#This Row],[Kidhome]:[Teenhome]])&gt;0,"Has Family","No Family")</f>
        <v>Has Family</v>
      </c>
      <c r="AT1903" t="str">
        <f>IF(ifood_data[[#This Row],[marital_Married]]=1,"Married", (IF(ifood_data[[#This Row],[marital_Single]]=1,"Single",(IF(ifood_data[[#This Row],[marital_Divorced]]=1,"Divorced",(IF(ifood_data[[#This Row],[marital_Together]]=1,"Living Together",(IF(ifood_data[[#This Row],[marital_Widow]]=1,"Widow","Other")))))))))</f>
        <v>Single</v>
      </c>
      <c r="AU1903" t="str">
        <f>IF(ifood_data[[#This Row],[education_Basic]]=1,"High School",(IF(ifood_data[[#This Row],[education_Graduation]]=1,"Undergraduate Degree",(IF(SUM(AM1903,AL1903,AI1903)&gt;0,"Master's Degree or Higher","Other")))))</f>
        <v>Undergraduate Degree</v>
      </c>
      <c r="AV1903" t="str">
        <f>IF(ifood_data[[#All],[Income]]&gt;75000,"75K+",(IF(ifood_data[[#All],[Income]]&gt;50000,"50K-75K",(IF(ifood_data[[#All],[Income]]&gt;35000,"35K-50K","&lt;35K")))))</f>
        <v>&lt;35K</v>
      </c>
      <c r="AW1903" t="str">
        <f>IF(ifood_data[[#All],[Age]]&gt;60,"60+",(IF(ifood_data[[#All],[Age]]&gt;50,"50-60",(IF(ifood_data[[#All],[Age]]&gt;40,"40-50",(IF(ifood_data[[#All],[Age]]&gt;30,"30-40","&lt;30")))))))</f>
        <v>40-50</v>
      </c>
      <c r="AX1903">
        <f t="shared" si="116"/>
        <v>14</v>
      </c>
      <c r="AY1903">
        <f t="shared" si="117"/>
        <v>3.0000000000000004</v>
      </c>
      <c r="AZ1903">
        <f t="shared" si="118"/>
        <v>2</v>
      </c>
      <c r="BA1903">
        <f t="shared" si="119"/>
        <v>0</v>
      </c>
      <c r="BB1903">
        <f>SUM(ifood_data[[#This Row],[Recency Score]:[Monetary Score]])</f>
        <v>5</v>
      </c>
      <c r="BC1903">
        <f>(_xlfn.PERCENTRANK.INC(ifood_data[[#All],[RFM]],ifood_data[[#This Row],[RFM]],1))*10</f>
        <v>0</v>
      </c>
      <c r="BD1903" t="str">
        <f>VLOOKUP(ifood_data[[#This Row],[RFM Score]],'RFM Analysis'!$A$3:$B$14,2,FALSE)</f>
        <v>Lost</v>
      </c>
      <c r="BE1903">
        <f>'Regression Models'!$B$101+'Regression Models'!$B$102*ifood_data[[#This Row],[Income]]+'Regression Models'!$B$103*ifood_data[[#This Row],[Age]]+'Regression Models'!$B$104*ifood_data[[#This Row],[Family]]</f>
        <v>-102.46893345983062</v>
      </c>
      <c r="BF1903" t="str">
        <f>IF(ifood_data[[#This Row],[AcceptedCmpOverall]]=1,"Campaign Respondent","Non-respondent")</f>
        <v>Non-respondent</v>
      </c>
    </row>
    <row r="1904" spans="1:58" x14ac:dyDescent="0.35">
      <c r="A1904">
        <v>1580</v>
      </c>
      <c r="B1904">
        <v>22108</v>
      </c>
      <c r="C1904">
        <v>1</v>
      </c>
      <c r="D1904">
        <v>1</v>
      </c>
      <c r="E1904">
        <v>46</v>
      </c>
      <c r="F1904">
        <v>5</v>
      </c>
      <c r="G1904">
        <v>3</v>
      </c>
      <c r="H1904">
        <v>9</v>
      </c>
      <c r="I1904">
        <v>6</v>
      </c>
      <c r="J1904">
        <v>2</v>
      </c>
      <c r="K1904">
        <v>6</v>
      </c>
      <c r="L1904">
        <v>2</v>
      </c>
      <c r="M1904">
        <v>2</v>
      </c>
      <c r="N1904">
        <v>0</v>
      </c>
      <c r="O1904">
        <v>3</v>
      </c>
      <c r="P1904">
        <v>7</v>
      </c>
      <c r="Q1904">
        <v>0</v>
      </c>
      <c r="R1904">
        <v>0</v>
      </c>
      <c r="S1904">
        <v>0</v>
      </c>
      <c r="T1904">
        <v>0</v>
      </c>
      <c r="U1904">
        <v>0</v>
      </c>
      <c r="V1904">
        <f>IF(SUM(ifood_data[[#This Row],[AcceptedCmp1]:[AcceptedCmp5]])&gt;0,1,0)</f>
        <v>0</v>
      </c>
      <c r="W1904">
        <v>0</v>
      </c>
      <c r="X1904">
        <v>3</v>
      </c>
      <c r="Y1904">
        <v>11</v>
      </c>
      <c r="Z1904">
        <v>0</v>
      </c>
      <c r="AA1904">
        <v>43</v>
      </c>
      <c r="AB1904">
        <v>2211</v>
      </c>
      <c r="AC1904" s="28">
        <f>ifood_data[[#This Row],[Customer_Days]]/365</f>
        <v>6.0575342465753428</v>
      </c>
      <c r="AD1904">
        <v>0</v>
      </c>
      <c r="AE1904">
        <v>1</v>
      </c>
      <c r="AF1904">
        <v>0</v>
      </c>
      <c r="AG1904">
        <v>0</v>
      </c>
      <c r="AH1904">
        <v>0</v>
      </c>
      <c r="AI1904">
        <v>0</v>
      </c>
      <c r="AJ1904">
        <v>0</v>
      </c>
      <c r="AK1904">
        <v>1</v>
      </c>
      <c r="AL1904">
        <v>0</v>
      </c>
      <c r="AM1904">
        <v>0</v>
      </c>
      <c r="AN1904">
        <v>25</v>
      </c>
      <c r="AO1904">
        <v>19</v>
      </c>
      <c r="AP1904">
        <f>ifood_data[[#This Row],[MntTotal]]-ifood_data[[#This Row],[MntRegularProds]]</f>
        <v>6</v>
      </c>
      <c r="AQ1904">
        <v>0</v>
      </c>
      <c r="AR1904">
        <f>IF(SUM(ifood_data[[#This Row],[Kidhome]:[Teenhome]])&gt;0,1,0)</f>
        <v>1</v>
      </c>
      <c r="AS1904" t="str">
        <f>IF(SUM(ifood_data[[#This Row],[Kidhome]:[Teenhome]])&gt;0,"Has Family","No Family")</f>
        <v>Has Family</v>
      </c>
      <c r="AT1904" t="str">
        <f>IF(ifood_data[[#This Row],[marital_Married]]=1,"Married", (IF(ifood_data[[#This Row],[marital_Single]]=1,"Single",(IF(ifood_data[[#This Row],[marital_Divorced]]=1,"Divorced",(IF(ifood_data[[#This Row],[marital_Together]]=1,"Living Together",(IF(ifood_data[[#This Row],[marital_Widow]]=1,"Widow","Other")))))))))</f>
        <v>Married</v>
      </c>
      <c r="AU1904" t="str">
        <f>IF(ifood_data[[#This Row],[education_Basic]]=1,"High School",(IF(ifood_data[[#This Row],[education_Graduation]]=1,"Undergraduate Degree",(IF(SUM(AM1904,AL1904,AI1904)&gt;0,"Master's Degree or Higher","Other")))))</f>
        <v>Undergraduate Degree</v>
      </c>
      <c r="AV1904" t="str">
        <f>IF(ifood_data[[#All],[Income]]&gt;75000,"75K+",(IF(ifood_data[[#All],[Income]]&gt;50000,"50K-75K",(IF(ifood_data[[#All],[Income]]&gt;35000,"35K-50K","&lt;35K")))))</f>
        <v>&lt;35K</v>
      </c>
      <c r="AW1904" t="str">
        <f>IF(ifood_data[[#All],[Age]]&gt;60,"60+",(IF(ifood_data[[#All],[Age]]&gt;50,"50-60",(IF(ifood_data[[#All],[Age]]&gt;40,"40-50",(IF(ifood_data[[#All],[Age]]&gt;30,"30-40","&lt;30")))))))</f>
        <v>40-50</v>
      </c>
      <c r="AX1904">
        <f t="shared" si="116"/>
        <v>14</v>
      </c>
      <c r="AY1904">
        <f t="shared" si="117"/>
        <v>6</v>
      </c>
      <c r="AZ1904">
        <f t="shared" si="118"/>
        <v>2</v>
      </c>
      <c r="BA1904">
        <f t="shared" si="119"/>
        <v>0</v>
      </c>
      <c r="BB1904">
        <f>SUM(ifood_data[[#This Row],[Recency Score]:[Monetary Score]])</f>
        <v>8</v>
      </c>
      <c r="BC1904">
        <f>(_xlfn.PERCENTRANK.INC(ifood_data[[#All],[RFM]],ifood_data[[#This Row],[RFM]],1))*10</f>
        <v>1</v>
      </c>
      <c r="BD1904" t="str">
        <f>VLOOKUP(ifood_data[[#This Row],[RFM Score]],'RFM Analysis'!$A$3:$B$14,2,FALSE)</f>
        <v>At Risk</v>
      </c>
      <c r="BE1904">
        <f>'Regression Models'!$B$101+'Regression Models'!$B$102*ifood_data[[#This Row],[Income]]+'Regression Models'!$B$103*ifood_data[[#This Row],[Age]]+'Regression Models'!$B$104*ifood_data[[#This Row],[Family]]</f>
        <v>-105.64088161461856</v>
      </c>
      <c r="BF1904" t="str">
        <f>IF(ifood_data[[#This Row],[AcceptedCmpOverall]]=1,"Campaign Respondent","Non-respondent")</f>
        <v>Non-respondent</v>
      </c>
    </row>
    <row r="1905" spans="1:58" x14ac:dyDescent="0.35">
      <c r="A1905">
        <v>1692</v>
      </c>
      <c r="B1905">
        <v>22280</v>
      </c>
      <c r="C1905">
        <v>1</v>
      </c>
      <c r="D1905">
        <v>0</v>
      </c>
      <c r="E1905">
        <v>85</v>
      </c>
      <c r="F1905">
        <v>2</v>
      </c>
      <c r="G1905">
        <v>1</v>
      </c>
      <c r="H1905">
        <v>4</v>
      </c>
      <c r="I1905">
        <v>3</v>
      </c>
      <c r="J1905">
        <v>1</v>
      </c>
      <c r="K1905">
        <v>2</v>
      </c>
      <c r="L1905">
        <v>1</v>
      </c>
      <c r="M1905">
        <v>1</v>
      </c>
      <c r="N1905">
        <v>0</v>
      </c>
      <c r="O1905">
        <v>2</v>
      </c>
      <c r="P1905">
        <v>8</v>
      </c>
      <c r="Q1905">
        <v>0</v>
      </c>
      <c r="R1905">
        <v>0</v>
      </c>
      <c r="S1905">
        <v>0</v>
      </c>
      <c r="T1905">
        <v>0</v>
      </c>
      <c r="U1905">
        <v>0</v>
      </c>
      <c r="V1905">
        <f>IF(SUM(ifood_data[[#This Row],[AcceptedCmp1]:[AcceptedCmp5]])&gt;0,1,0)</f>
        <v>0</v>
      </c>
      <c r="W1905">
        <v>0</v>
      </c>
      <c r="X1905">
        <v>3</v>
      </c>
      <c r="Y1905">
        <v>11</v>
      </c>
      <c r="Z1905">
        <v>0</v>
      </c>
      <c r="AA1905">
        <v>45</v>
      </c>
      <c r="AB1905">
        <v>2565</v>
      </c>
      <c r="AC1905" s="28">
        <f>ifood_data[[#This Row],[Customer_Days]]/365</f>
        <v>7.0273972602739727</v>
      </c>
      <c r="AD1905">
        <v>0</v>
      </c>
      <c r="AE1905">
        <v>0</v>
      </c>
      <c r="AF1905">
        <v>0</v>
      </c>
      <c r="AG1905">
        <v>1</v>
      </c>
      <c r="AH1905">
        <v>0</v>
      </c>
      <c r="AI1905">
        <v>0</v>
      </c>
      <c r="AJ1905">
        <v>0</v>
      </c>
      <c r="AK1905">
        <v>1</v>
      </c>
      <c r="AL1905">
        <v>0</v>
      </c>
      <c r="AM1905">
        <v>0</v>
      </c>
      <c r="AN1905">
        <v>11</v>
      </c>
      <c r="AO1905">
        <v>9</v>
      </c>
      <c r="AP1905">
        <f>ifood_data[[#This Row],[MntTotal]]-ifood_data[[#This Row],[MntRegularProds]]</f>
        <v>2</v>
      </c>
      <c r="AQ1905">
        <v>0</v>
      </c>
      <c r="AR1905">
        <f>IF(SUM(ifood_data[[#This Row],[Kidhome]:[Teenhome]])&gt;0,1,0)</f>
        <v>1</v>
      </c>
      <c r="AS1905" t="str">
        <f>IF(SUM(ifood_data[[#This Row],[Kidhome]:[Teenhome]])&gt;0,"Has Family","No Family")</f>
        <v>Has Family</v>
      </c>
      <c r="AT1905" t="str">
        <f>IF(ifood_data[[#This Row],[marital_Married]]=1,"Married", (IF(ifood_data[[#This Row],[marital_Single]]=1,"Single",(IF(ifood_data[[#This Row],[marital_Divorced]]=1,"Divorced",(IF(ifood_data[[#This Row],[marital_Together]]=1,"Living Together",(IF(ifood_data[[#This Row],[marital_Widow]]=1,"Widow","Other")))))))))</f>
        <v>Living Together</v>
      </c>
      <c r="AU1905" t="str">
        <f>IF(ifood_data[[#This Row],[education_Basic]]=1,"High School",(IF(ifood_data[[#This Row],[education_Graduation]]=1,"Undergraduate Degree",(IF(SUM(AM1905,AL1905,AI1905)&gt;0,"Master's Degree or Higher","Other")))))</f>
        <v>Undergraduate Degree</v>
      </c>
      <c r="AV1905" t="str">
        <f>IF(ifood_data[[#All],[Income]]&gt;75000,"75K+",(IF(ifood_data[[#All],[Income]]&gt;50000,"50K-75K",(IF(ifood_data[[#All],[Income]]&gt;35000,"35K-50K","&lt;35K")))))</f>
        <v>&lt;35K</v>
      </c>
      <c r="AW1905" t="str">
        <f>IF(ifood_data[[#All],[Age]]&gt;60,"60+",(IF(ifood_data[[#All],[Age]]&gt;50,"50-60",(IF(ifood_data[[#All],[Age]]&gt;40,"40-50",(IF(ifood_data[[#All],[Age]]&gt;30,"30-40","&lt;30")))))))</f>
        <v>40-50</v>
      </c>
      <c r="AX1905">
        <f t="shared" si="116"/>
        <v>12</v>
      </c>
      <c r="AY1905">
        <f t="shared" si="117"/>
        <v>1.9999999999999996</v>
      </c>
      <c r="AZ1905">
        <f t="shared" si="118"/>
        <v>1</v>
      </c>
      <c r="BA1905">
        <f t="shared" si="119"/>
        <v>0</v>
      </c>
      <c r="BB1905">
        <f>SUM(ifood_data[[#This Row],[Recency Score]:[Monetary Score]])</f>
        <v>2.9999999999999996</v>
      </c>
      <c r="BC1905">
        <f>(_xlfn.PERCENTRANK.INC(ifood_data[[#All],[RFM]],ifood_data[[#This Row],[RFM]],1))*10</f>
        <v>0</v>
      </c>
      <c r="BD1905" t="str">
        <f>VLOOKUP(ifood_data[[#This Row],[RFM Score]],'RFM Analysis'!$A$3:$B$14,2,FALSE)</f>
        <v>Lost</v>
      </c>
      <c r="BE1905">
        <f>'Regression Models'!$B$101+'Regression Models'!$B$102*ifood_data[[#This Row],[Income]]+'Regression Models'!$B$103*ifood_data[[#This Row],[Age]]+'Regression Models'!$B$104*ifood_data[[#This Row],[Family]]</f>
        <v>-105.80689165165651</v>
      </c>
      <c r="BF1905" t="str">
        <f>IF(ifood_data[[#This Row],[AcceptedCmpOverall]]=1,"Campaign Respondent","Non-respondent")</f>
        <v>Non-respondent</v>
      </c>
    </row>
    <row r="1906" spans="1:58" x14ac:dyDescent="0.35">
      <c r="A1906">
        <v>1293</v>
      </c>
      <c r="B1906">
        <v>21355</v>
      </c>
      <c r="C1906">
        <v>1</v>
      </c>
      <c r="D1906">
        <v>0</v>
      </c>
      <c r="E1906">
        <v>5</v>
      </c>
      <c r="F1906">
        <v>5</v>
      </c>
      <c r="G1906">
        <v>13</v>
      </c>
      <c r="H1906">
        <v>14</v>
      </c>
      <c r="I1906">
        <v>0</v>
      </c>
      <c r="J1906">
        <v>5</v>
      </c>
      <c r="K1906">
        <v>31</v>
      </c>
      <c r="L1906">
        <v>2</v>
      </c>
      <c r="M1906">
        <v>2</v>
      </c>
      <c r="N1906">
        <v>1</v>
      </c>
      <c r="O1906">
        <v>2</v>
      </c>
      <c r="P1906">
        <v>6</v>
      </c>
      <c r="Q1906">
        <v>0</v>
      </c>
      <c r="R1906">
        <v>0</v>
      </c>
      <c r="S1906">
        <v>1</v>
      </c>
      <c r="T1906">
        <v>0</v>
      </c>
      <c r="U1906">
        <v>0</v>
      </c>
      <c r="V1906">
        <f>IF(SUM(ifood_data[[#This Row],[AcceptedCmp1]:[AcceptedCmp5]])&gt;0,1,0)</f>
        <v>1</v>
      </c>
      <c r="W1906">
        <v>0</v>
      </c>
      <c r="X1906">
        <v>3</v>
      </c>
      <c r="Y1906">
        <v>11</v>
      </c>
      <c r="Z1906">
        <v>1</v>
      </c>
      <c r="AA1906">
        <v>35</v>
      </c>
      <c r="AB1906">
        <v>2472</v>
      </c>
      <c r="AC1906" s="28">
        <f>ifood_data[[#This Row],[Customer_Days]]/365</f>
        <v>6.7726027397260271</v>
      </c>
      <c r="AD1906">
        <v>0</v>
      </c>
      <c r="AE1906">
        <v>1</v>
      </c>
      <c r="AF1906">
        <v>0</v>
      </c>
      <c r="AG1906">
        <v>0</v>
      </c>
      <c r="AH1906">
        <v>0</v>
      </c>
      <c r="AI1906">
        <v>0</v>
      </c>
      <c r="AJ1906">
        <v>0</v>
      </c>
      <c r="AK1906">
        <v>1</v>
      </c>
      <c r="AL1906">
        <v>0</v>
      </c>
      <c r="AM1906">
        <v>0</v>
      </c>
      <c r="AN1906">
        <v>37</v>
      </c>
      <c r="AO1906">
        <v>6</v>
      </c>
      <c r="AP1906">
        <f>ifood_data[[#This Row],[MntTotal]]-ifood_data[[#This Row],[MntRegularProds]]</f>
        <v>31</v>
      </c>
      <c r="AQ1906">
        <v>1</v>
      </c>
      <c r="AR1906">
        <f>IF(SUM(ifood_data[[#This Row],[Kidhome]:[Teenhome]])&gt;0,1,0)</f>
        <v>1</v>
      </c>
      <c r="AS1906" t="str">
        <f>IF(SUM(ifood_data[[#This Row],[Kidhome]:[Teenhome]])&gt;0,"Has Family","No Family")</f>
        <v>Has Family</v>
      </c>
      <c r="AT1906" t="str">
        <f>IF(ifood_data[[#This Row],[marital_Married]]=1,"Married", (IF(ifood_data[[#This Row],[marital_Single]]=1,"Single",(IF(ifood_data[[#This Row],[marital_Divorced]]=1,"Divorced",(IF(ifood_data[[#This Row],[marital_Together]]=1,"Living Together",(IF(ifood_data[[#This Row],[marital_Widow]]=1,"Widow","Other")))))))))</f>
        <v>Married</v>
      </c>
      <c r="AU1906" t="str">
        <f>IF(ifood_data[[#This Row],[education_Basic]]=1,"High School",(IF(ifood_data[[#This Row],[education_Graduation]]=1,"Undergraduate Degree",(IF(SUM(AM1906,AL1906,AI1906)&gt;0,"Master's Degree or Higher","Other")))))</f>
        <v>Undergraduate Degree</v>
      </c>
      <c r="AV1906" t="str">
        <f>IF(ifood_data[[#All],[Income]]&gt;75000,"75K+",(IF(ifood_data[[#All],[Income]]&gt;50000,"50K-75K",(IF(ifood_data[[#All],[Income]]&gt;35000,"35K-50K","&lt;35K")))))</f>
        <v>&lt;35K</v>
      </c>
      <c r="AW1906" t="str">
        <f>IF(ifood_data[[#All],[Age]]&gt;60,"60+",(IF(ifood_data[[#All],[Age]]&gt;50,"50-60",(IF(ifood_data[[#All],[Age]]&gt;40,"40-50",(IF(ifood_data[[#All],[Age]]&gt;30,"30-40","&lt;30")))))))</f>
        <v>30-40</v>
      </c>
      <c r="AX1906">
        <f t="shared" si="116"/>
        <v>13</v>
      </c>
      <c r="AY1906">
        <f t="shared" si="117"/>
        <v>10</v>
      </c>
      <c r="AZ1906">
        <f t="shared" si="118"/>
        <v>1</v>
      </c>
      <c r="BA1906">
        <f t="shared" si="119"/>
        <v>1</v>
      </c>
      <c r="BB1906">
        <f>SUM(ifood_data[[#This Row],[Recency Score]:[Monetary Score]])</f>
        <v>12</v>
      </c>
      <c r="BC1906">
        <f>(_xlfn.PERCENTRANK.INC(ifood_data[[#All],[RFM]],ifood_data[[#This Row],[RFM]],1))*10</f>
        <v>3</v>
      </c>
      <c r="BD1906" t="str">
        <f>VLOOKUP(ifood_data[[#This Row],[RFM Score]],'RFM Analysis'!$A$3:$B$14,2,FALSE)</f>
        <v>At Risk</v>
      </c>
      <c r="BE1906">
        <f>'Regression Models'!$B$101+'Regression Models'!$B$102*ifood_data[[#This Row],[Income]]+'Regression Models'!$B$103*ifood_data[[#This Row],[Age]]+'Regression Models'!$B$104*ifood_data[[#This Row],[Family]]</f>
        <v>-106.30211139582019</v>
      </c>
      <c r="BF1906" t="str">
        <f>IF(ifood_data[[#This Row],[AcceptedCmpOverall]]=1,"Campaign Respondent","Non-respondent")</f>
        <v>Campaign Respondent</v>
      </c>
    </row>
    <row r="1907" spans="1:58" x14ac:dyDescent="0.35">
      <c r="A1907">
        <v>221</v>
      </c>
      <c r="B1907">
        <v>22212</v>
      </c>
      <c r="C1907">
        <v>1</v>
      </c>
      <c r="D1907">
        <v>0</v>
      </c>
      <c r="E1907">
        <v>49</v>
      </c>
      <c r="F1907">
        <v>5</v>
      </c>
      <c r="G1907">
        <v>9</v>
      </c>
      <c r="H1907">
        <v>20</v>
      </c>
      <c r="I1907">
        <v>6</v>
      </c>
      <c r="J1907">
        <v>8</v>
      </c>
      <c r="K1907">
        <v>21</v>
      </c>
      <c r="L1907">
        <v>2</v>
      </c>
      <c r="M1907">
        <v>2</v>
      </c>
      <c r="N1907">
        <v>0</v>
      </c>
      <c r="O1907">
        <v>4</v>
      </c>
      <c r="P1907">
        <v>6</v>
      </c>
      <c r="Q1907">
        <v>0</v>
      </c>
      <c r="R1907">
        <v>0</v>
      </c>
      <c r="S1907">
        <v>0</v>
      </c>
      <c r="T1907">
        <v>0</v>
      </c>
      <c r="U1907">
        <v>0</v>
      </c>
      <c r="V1907">
        <f>IF(SUM(ifood_data[[#This Row],[AcceptedCmp1]:[AcceptedCmp5]])&gt;0,1,0)</f>
        <v>0</v>
      </c>
      <c r="W1907">
        <v>0</v>
      </c>
      <c r="X1907">
        <v>3</v>
      </c>
      <c r="Y1907">
        <v>11</v>
      </c>
      <c r="Z1907">
        <v>0</v>
      </c>
      <c r="AA1907">
        <v>45</v>
      </c>
      <c r="AB1907">
        <v>2361</v>
      </c>
      <c r="AC1907" s="28">
        <f>ifood_data[[#This Row],[Customer_Days]]/365</f>
        <v>6.4684931506849317</v>
      </c>
      <c r="AD1907">
        <v>0</v>
      </c>
      <c r="AE1907">
        <v>1</v>
      </c>
      <c r="AF1907">
        <v>0</v>
      </c>
      <c r="AG1907">
        <v>0</v>
      </c>
      <c r="AH1907">
        <v>0</v>
      </c>
      <c r="AI1907">
        <v>1</v>
      </c>
      <c r="AJ1907">
        <v>0</v>
      </c>
      <c r="AK1907">
        <v>0</v>
      </c>
      <c r="AL1907">
        <v>0</v>
      </c>
      <c r="AM1907">
        <v>0</v>
      </c>
      <c r="AN1907">
        <v>48</v>
      </c>
      <c r="AO1907">
        <v>27</v>
      </c>
      <c r="AP1907">
        <f>ifood_data[[#This Row],[MntTotal]]-ifood_data[[#This Row],[MntRegularProds]]</f>
        <v>21</v>
      </c>
      <c r="AQ1907">
        <v>0</v>
      </c>
      <c r="AR1907">
        <f>IF(SUM(ifood_data[[#This Row],[Kidhome]:[Teenhome]])&gt;0,1,0)</f>
        <v>1</v>
      </c>
      <c r="AS1907" t="str">
        <f>IF(SUM(ifood_data[[#This Row],[Kidhome]:[Teenhome]])&gt;0,"Has Family","No Family")</f>
        <v>Has Family</v>
      </c>
      <c r="AT1907" t="str">
        <f>IF(ifood_data[[#This Row],[marital_Married]]=1,"Married", (IF(ifood_data[[#This Row],[marital_Single]]=1,"Single",(IF(ifood_data[[#This Row],[marital_Divorced]]=1,"Divorced",(IF(ifood_data[[#This Row],[marital_Together]]=1,"Living Together",(IF(ifood_data[[#This Row],[marital_Widow]]=1,"Widow","Other")))))))))</f>
        <v>Married</v>
      </c>
      <c r="AU1907" t="str">
        <f>IF(ifood_data[[#This Row],[education_Basic]]=1,"High School",(IF(ifood_data[[#This Row],[education_Graduation]]=1,"Undergraduate Degree",(IF(SUM(AM1907,AL1907,AI1907)&gt;0,"Master's Degree or Higher","Other")))))</f>
        <v>Master's Degree or Higher</v>
      </c>
      <c r="AV1907" t="str">
        <f>IF(ifood_data[[#All],[Income]]&gt;75000,"75K+",(IF(ifood_data[[#All],[Income]]&gt;50000,"50K-75K",(IF(ifood_data[[#All],[Income]]&gt;35000,"35K-50K","&lt;35K")))))</f>
        <v>&lt;35K</v>
      </c>
      <c r="AW1907" t="str">
        <f>IF(ifood_data[[#All],[Age]]&gt;60,"60+",(IF(ifood_data[[#All],[Age]]&gt;50,"50-60",(IF(ifood_data[[#All],[Age]]&gt;40,"40-50",(IF(ifood_data[[#All],[Age]]&gt;30,"30-40","&lt;30")))))))</f>
        <v>40-50</v>
      </c>
      <c r="AX1907">
        <f t="shared" si="116"/>
        <v>14</v>
      </c>
      <c r="AY1907">
        <f t="shared" si="117"/>
        <v>6</v>
      </c>
      <c r="AZ1907">
        <f t="shared" si="118"/>
        <v>2</v>
      </c>
      <c r="BA1907">
        <f t="shared" si="119"/>
        <v>2</v>
      </c>
      <c r="BB1907">
        <f>SUM(ifood_data[[#This Row],[Recency Score]:[Monetary Score]])</f>
        <v>10</v>
      </c>
      <c r="BC1907">
        <f>(_xlfn.PERCENTRANK.INC(ifood_data[[#All],[RFM]],ifood_data[[#This Row],[RFM]],1))*10</f>
        <v>2</v>
      </c>
      <c r="BD1907" t="str">
        <f>VLOOKUP(ifood_data[[#This Row],[RFM Score]],'RFM Analysis'!$A$3:$B$14,2,FALSE)</f>
        <v>At Risk</v>
      </c>
      <c r="BE1907">
        <f>'Regression Models'!$B$101+'Regression Models'!$B$102*ifood_data[[#This Row],[Income]]+'Regression Models'!$B$103*ifood_data[[#This Row],[Age]]+'Regression Models'!$B$104*ifood_data[[#This Row],[Family]]</f>
        <v>-107.19332788544162</v>
      </c>
      <c r="BF1907" t="str">
        <f>IF(ifood_data[[#This Row],[AcceptedCmpOverall]]=1,"Campaign Respondent","Non-respondent")</f>
        <v>Non-respondent</v>
      </c>
    </row>
    <row r="1908" spans="1:58" x14ac:dyDescent="0.35">
      <c r="A1908">
        <v>632</v>
      </c>
      <c r="B1908">
        <v>21063</v>
      </c>
      <c r="C1908">
        <v>1</v>
      </c>
      <c r="D1908">
        <v>0</v>
      </c>
      <c r="E1908">
        <v>34</v>
      </c>
      <c r="F1908">
        <v>1</v>
      </c>
      <c r="G1908">
        <v>10</v>
      </c>
      <c r="H1908">
        <v>11</v>
      </c>
      <c r="I1908">
        <v>19</v>
      </c>
      <c r="J1908">
        <v>3</v>
      </c>
      <c r="K1908">
        <v>15</v>
      </c>
      <c r="L1908">
        <v>2</v>
      </c>
      <c r="M1908">
        <v>2</v>
      </c>
      <c r="N1908">
        <v>0</v>
      </c>
      <c r="O1908">
        <v>3</v>
      </c>
      <c r="P1908">
        <v>6</v>
      </c>
      <c r="Q1908">
        <v>0</v>
      </c>
      <c r="R1908">
        <v>0</v>
      </c>
      <c r="S1908">
        <v>0</v>
      </c>
      <c r="T1908">
        <v>0</v>
      </c>
      <c r="U1908">
        <v>0</v>
      </c>
      <c r="V1908">
        <f>IF(SUM(ifood_data[[#This Row],[AcceptedCmp1]:[AcceptedCmp5]])&gt;0,1,0)</f>
        <v>0</v>
      </c>
      <c r="W1908">
        <v>0</v>
      </c>
      <c r="X1908">
        <v>3</v>
      </c>
      <c r="Y1908">
        <v>11</v>
      </c>
      <c r="Z1908">
        <v>0</v>
      </c>
      <c r="AA1908">
        <v>33</v>
      </c>
      <c r="AB1908">
        <v>2436</v>
      </c>
      <c r="AC1908" s="28">
        <f>ifood_data[[#This Row],[Customer_Days]]/365</f>
        <v>6.6739726027397257</v>
      </c>
      <c r="AD1908">
        <v>0</v>
      </c>
      <c r="AE1908">
        <v>0</v>
      </c>
      <c r="AF1908">
        <v>1</v>
      </c>
      <c r="AG1908">
        <v>0</v>
      </c>
      <c r="AH1908">
        <v>0</v>
      </c>
      <c r="AI1908">
        <v>0</v>
      </c>
      <c r="AJ1908">
        <v>1</v>
      </c>
      <c r="AK1908">
        <v>0</v>
      </c>
      <c r="AL1908">
        <v>0</v>
      </c>
      <c r="AM1908">
        <v>0</v>
      </c>
      <c r="AN1908">
        <v>44</v>
      </c>
      <c r="AO1908">
        <v>29</v>
      </c>
      <c r="AP1908">
        <f>ifood_data[[#This Row],[MntTotal]]-ifood_data[[#This Row],[MntRegularProds]]</f>
        <v>15</v>
      </c>
      <c r="AQ1908">
        <v>0</v>
      </c>
      <c r="AR1908">
        <f>IF(SUM(ifood_data[[#This Row],[Kidhome]:[Teenhome]])&gt;0,1,0)</f>
        <v>1</v>
      </c>
      <c r="AS1908" t="str">
        <f>IF(SUM(ifood_data[[#This Row],[Kidhome]:[Teenhome]])&gt;0,"Has Family","No Family")</f>
        <v>Has Family</v>
      </c>
      <c r="AT1908" t="str">
        <f>IF(ifood_data[[#This Row],[marital_Married]]=1,"Married", (IF(ifood_data[[#This Row],[marital_Single]]=1,"Single",(IF(ifood_data[[#This Row],[marital_Divorced]]=1,"Divorced",(IF(ifood_data[[#This Row],[marital_Together]]=1,"Living Together",(IF(ifood_data[[#This Row],[marital_Widow]]=1,"Widow","Other")))))))))</f>
        <v>Single</v>
      </c>
      <c r="AU1908" t="str">
        <f>IF(ifood_data[[#This Row],[education_Basic]]=1,"High School",(IF(ifood_data[[#This Row],[education_Graduation]]=1,"Undergraduate Degree",(IF(SUM(AM1908,AL1908,AI1908)&gt;0,"Master's Degree or Higher","Other")))))</f>
        <v>High School</v>
      </c>
      <c r="AV1908" t="str">
        <f>IF(ifood_data[[#All],[Income]]&gt;75000,"75K+",(IF(ifood_data[[#All],[Income]]&gt;50000,"50K-75K",(IF(ifood_data[[#All],[Income]]&gt;35000,"35K-50K","&lt;35K")))))</f>
        <v>&lt;35K</v>
      </c>
      <c r="AW1908" t="str">
        <f>IF(ifood_data[[#All],[Age]]&gt;60,"60+",(IF(ifood_data[[#All],[Age]]&gt;50,"50-60",(IF(ifood_data[[#All],[Age]]&gt;40,"40-50",(IF(ifood_data[[#All],[Age]]&gt;30,"30-40","&lt;30")))))))</f>
        <v>30-40</v>
      </c>
      <c r="AX1908">
        <f t="shared" si="116"/>
        <v>13</v>
      </c>
      <c r="AY1908">
        <f t="shared" si="117"/>
        <v>7</v>
      </c>
      <c r="AZ1908">
        <f t="shared" si="118"/>
        <v>1</v>
      </c>
      <c r="BA1908">
        <f t="shared" si="119"/>
        <v>2</v>
      </c>
      <c r="BB1908">
        <f>SUM(ifood_data[[#This Row],[Recency Score]:[Monetary Score]])</f>
        <v>10</v>
      </c>
      <c r="BC1908">
        <f>(_xlfn.PERCENTRANK.INC(ifood_data[[#All],[RFM]],ifood_data[[#This Row],[RFM]],1))*10</f>
        <v>2</v>
      </c>
      <c r="BD1908" t="str">
        <f>VLOOKUP(ifood_data[[#This Row],[RFM Score]],'RFM Analysis'!$A$3:$B$14,2,FALSE)</f>
        <v>At Risk</v>
      </c>
      <c r="BE1908">
        <f>'Regression Models'!$B$101+'Regression Models'!$B$102*ifood_data[[#This Row],[Income]]+'Regression Models'!$B$103*ifood_data[[#This Row],[Age]]+'Regression Models'!$B$104*ifood_data[[#This Row],[Family]]</f>
        <v>-108.58275353605012</v>
      </c>
      <c r="BF1908" t="str">
        <f>IF(ifood_data[[#This Row],[AcceptedCmpOverall]]=1,"Campaign Respondent","Non-respondent")</f>
        <v>Non-respondent</v>
      </c>
    </row>
    <row r="1909" spans="1:58" x14ac:dyDescent="0.35">
      <c r="A1909">
        <v>1091</v>
      </c>
      <c r="B1909">
        <v>23091</v>
      </c>
      <c r="C1909">
        <v>1</v>
      </c>
      <c r="D1909">
        <v>1</v>
      </c>
      <c r="E1909">
        <v>98</v>
      </c>
      <c r="F1909">
        <v>35</v>
      </c>
      <c r="G1909">
        <v>0</v>
      </c>
      <c r="H1909">
        <v>11</v>
      </c>
      <c r="I1909">
        <v>0</v>
      </c>
      <c r="J1909">
        <v>0</v>
      </c>
      <c r="K1909">
        <v>2</v>
      </c>
      <c r="L1909">
        <v>4</v>
      </c>
      <c r="M1909">
        <v>2</v>
      </c>
      <c r="N1909">
        <v>1</v>
      </c>
      <c r="O1909">
        <v>3</v>
      </c>
      <c r="P1909">
        <v>7</v>
      </c>
      <c r="Q1909">
        <v>0</v>
      </c>
      <c r="R1909">
        <v>0</v>
      </c>
      <c r="S1909">
        <v>0</v>
      </c>
      <c r="T1909">
        <v>0</v>
      </c>
      <c r="U1909">
        <v>0</v>
      </c>
      <c r="V1909">
        <f>IF(SUM(ifood_data[[#This Row],[AcceptedCmp1]:[AcceptedCmp5]])&gt;0,1,0)</f>
        <v>0</v>
      </c>
      <c r="W1909">
        <v>0</v>
      </c>
      <c r="X1909">
        <v>3</v>
      </c>
      <c r="Y1909">
        <v>11</v>
      </c>
      <c r="Z1909">
        <v>0</v>
      </c>
      <c r="AA1909">
        <v>57</v>
      </c>
      <c r="AB1909">
        <v>2191</v>
      </c>
      <c r="AC1909" s="28">
        <f>ifood_data[[#This Row],[Customer_Days]]/365</f>
        <v>6.0027397260273974</v>
      </c>
      <c r="AD1909">
        <v>0</v>
      </c>
      <c r="AE1909">
        <v>0</v>
      </c>
      <c r="AF1909">
        <v>1</v>
      </c>
      <c r="AG1909">
        <v>0</v>
      </c>
      <c r="AH1909">
        <v>0</v>
      </c>
      <c r="AI1909">
        <v>0</v>
      </c>
      <c r="AJ1909">
        <v>0</v>
      </c>
      <c r="AK1909">
        <v>0</v>
      </c>
      <c r="AL1909">
        <v>0</v>
      </c>
      <c r="AM1909">
        <v>1</v>
      </c>
      <c r="AN1909">
        <v>46</v>
      </c>
      <c r="AO1909">
        <v>44</v>
      </c>
      <c r="AP1909">
        <f>ifood_data[[#This Row],[MntTotal]]-ifood_data[[#This Row],[MntRegularProds]]</f>
        <v>2</v>
      </c>
      <c r="AQ1909">
        <v>0</v>
      </c>
      <c r="AR1909">
        <f>IF(SUM(ifood_data[[#This Row],[Kidhome]:[Teenhome]])&gt;0,1,0)</f>
        <v>1</v>
      </c>
      <c r="AS1909" t="str">
        <f>IF(SUM(ifood_data[[#This Row],[Kidhome]:[Teenhome]])&gt;0,"Has Family","No Family")</f>
        <v>Has Family</v>
      </c>
      <c r="AT1909" t="str">
        <f>IF(ifood_data[[#This Row],[marital_Married]]=1,"Married", (IF(ifood_data[[#This Row],[marital_Single]]=1,"Single",(IF(ifood_data[[#This Row],[marital_Divorced]]=1,"Divorced",(IF(ifood_data[[#This Row],[marital_Together]]=1,"Living Together",(IF(ifood_data[[#This Row],[marital_Widow]]=1,"Widow","Other")))))))))</f>
        <v>Single</v>
      </c>
      <c r="AU1909" t="str">
        <f>IF(ifood_data[[#This Row],[education_Basic]]=1,"High School",(IF(ifood_data[[#This Row],[education_Graduation]]=1,"Undergraduate Degree",(IF(SUM(AM1909,AL1909,AI1909)&gt;0,"Master's Degree or Higher","Other")))))</f>
        <v>Master's Degree or Higher</v>
      </c>
      <c r="AV1909" t="str">
        <f>IF(ifood_data[[#All],[Income]]&gt;75000,"75K+",(IF(ifood_data[[#All],[Income]]&gt;50000,"50K-75K",(IF(ifood_data[[#All],[Income]]&gt;35000,"35K-50K","&lt;35K")))))</f>
        <v>&lt;35K</v>
      </c>
      <c r="AW1909" t="str">
        <f>IF(ifood_data[[#All],[Age]]&gt;60,"60+",(IF(ifood_data[[#All],[Age]]&gt;50,"50-60",(IF(ifood_data[[#All],[Age]]&gt;40,"40-50",(IF(ifood_data[[#All],[Age]]&gt;30,"30-40","&lt;30")))))))</f>
        <v>50-60</v>
      </c>
      <c r="AX1909">
        <f t="shared" si="116"/>
        <v>17</v>
      </c>
      <c r="AY1909">
        <f t="shared" si="117"/>
        <v>0.99999999999999978</v>
      </c>
      <c r="AZ1909">
        <f t="shared" si="118"/>
        <v>3</v>
      </c>
      <c r="BA1909">
        <f t="shared" si="119"/>
        <v>2</v>
      </c>
      <c r="BB1909">
        <f>SUM(ifood_data[[#This Row],[Recency Score]:[Monetary Score]])</f>
        <v>6</v>
      </c>
      <c r="BC1909">
        <f>(_xlfn.PERCENTRANK.INC(ifood_data[[#All],[RFM]],ifood_data[[#This Row],[RFM]],1))*10</f>
        <v>0</v>
      </c>
      <c r="BD1909" t="str">
        <f>VLOOKUP(ifood_data[[#This Row],[RFM Score]],'RFM Analysis'!$A$3:$B$14,2,FALSE)</f>
        <v>Lost</v>
      </c>
      <c r="BE1909">
        <f>'Regression Models'!$B$101+'Regression Models'!$B$102*ifood_data[[#This Row],[Income]]+'Regression Models'!$B$103*ifood_data[[#This Row],[Age]]+'Regression Models'!$B$104*ifood_data[[#This Row],[Family]]</f>
        <v>-111.30886963368584</v>
      </c>
      <c r="BF1909" t="str">
        <f>IF(ifood_data[[#This Row],[AcceptedCmpOverall]]=1,"Campaign Respondent","Non-respondent")</f>
        <v>Non-respondent</v>
      </c>
    </row>
    <row r="1910" spans="1:58" x14ac:dyDescent="0.35">
      <c r="A1910">
        <v>1342</v>
      </c>
      <c r="B1910">
        <v>21645</v>
      </c>
      <c r="C1910">
        <v>1</v>
      </c>
      <c r="D1910">
        <v>0</v>
      </c>
      <c r="E1910">
        <v>75</v>
      </c>
      <c r="F1910">
        <v>14</v>
      </c>
      <c r="G1910">
        <v>0</v>
      </c>
      <c r="H1910">
        <v>23</v>
      </c>
      <c r="I1910">
        <v>4</v>
      </c>
      <c r="J1910">
        <v>5</v>
      </c>
      <c r="K1910">
        <v>19</v>
      </c>
      <c r="L1910">
        <v>3</v>
      </c>
      <c r="M1910">
        <v>3</v>
      </c>
      <c r="N1910">
        <v>0</v>
      </c>
      <c r="O1910">
        <v>3</v>
      </c>
      <c r="P1910">
        <v>9</v>
      </c>
      <c r="Q1910">
        <v>0</v>
      </c>
      <c r="R1910">
        <v>0</v>
      </c>
      <c r="S1910">
        <v>0</v>
      </c>
      <c r="T1910">
        <v>0</v>
      </c>
      <c r="U1910">
        <v>0</v>
      </c>
      <c r="V1910">
        <f>IF(SUM(ifood_data[[#This Row],[AcceptedCmp1]:[AcceptedCmp5]])&gt;0,1,0)</f>
        <v>0</v>
      </c>
      <c r="W1910">
        <v>0</v>
      </c>
      <c r="X1910">
        <v>3</v>
      </c>
      <c r="Y1910">
        <v>11</v>
      </c>
      <c r="Z1910">
        <v>1</v>
      </c>
      <c r="AA1910">
        <v>41</v>
      </c>
      <c r="AB1910">
        <v>2823</v>
      </c>
      <c r="AC1910" s="28">
        <f>ifood_data[[#This Row],[Customer_Days]]/365</f>
        <v>7.7342465753424658</v>
      </c>
      <c r="AD1910">
        <v>0</v>
      </c>
      <c r="AE1910">
        <v>0</v>
      </c>
      <c r="AF1910">
        <v>0</v>
      </c>
      <c r="AG1910">
        <v>1</v>
      </c>
      <c r="AH1910">
        <v>0</v>
      </c>
      <c r="AI1910">
        <v>0</v>
      </c>
      <c r="AJ1910">
        <v>0</v>
      </c>
      <c r="AK1910">
        <v>1</v>
      </c>
      <c r="AL1910">
        <v>0</v>
      </c>
      <c r="AM1910">
        <v>0</v>
      </c>
      <c r="AN1910">
        <v>46</v>
      </c>
      <c r="AO1910">
        <v>27</v>
      </c>
      <c r="AP1910">
        <f>ifood_data[[#This Row],[MntTotal]]-ifood_data[[#This Row],[MntRegularProds]]</f>
        <v>19</v>
      </c>
      <c r="AQ1910">
        <v>0</v>
      </c>
      <c r="AR1910">
        <f>IF(SUM(ifood_data[[#This Row],[Kidhome]:[Teenhome]])&gt;0,1,0)</f>
        <v>1</v>
      </c>
      <c r="AS1910" t="str">
        <f>IF(SUM(ifood_data[[#This Row],[Kidhome]:[Teenhome]])&gt;0,"Has Family","No Family")</f>
        <v>Has Family</v>
      </c>
      <c r="AT1910" t="str">
        <f>IF(ifood_data[[#This Row],[marital_Married]]=1,"Married", (IF(ifood_data[[#This Row],[marital_Single]]=1,"Single",(IF(ifood_data[[#This Row],[marital_Divorced]]=1,"Divorced",(IF(ifood_data[[#This Row],[marital_Together]]=1,"Living Together",(IF(ifood_data[[#This Row],[marital_Widow]]=1,"Widow","Other")))))))))</f>
        <v>Living Together</v>
      </c>
      <c r="AU1910" t="str">
        <f>IF(ifood_data[[#This Row],[education_Basic]]=1,"High School",(IF(ifood_data[[#This Row],[education_Graduation]]=1,"Undergraduate Degree",(IF(SUM(AM1910,AL1910,AI1910)&gt;0,"Master's Degree or Higher","Other")))))</f>
        <v>Undergraduate Degree</v>
      </c>
      <c r="AV1910" t="str">
        <f>IF(ifood_data[[#All],[Income]]&gt;75000,"75K+",(IF(ifood_data[[#All],[Income]]&gt;50000,"50K-75K",(IF(ifood_data[[#All],[Income]]&gt;35000,"35K-50K","&lt;35K")))))</f>
        <v>&lt;35K</v>
      </c>
      <c r="AW1910" t="str">
        <f>IF(ifood_data[[#All],[Age]]&gt;60,"60+",(IF(ifood_data[[#All],[Age]]&gt;50,"50-60",(IF(ifood_data[[#All],[Age]]&gt;40,"40-50",(IF(ifood_data[[#All],[Age]]&gt;30,"30-40","&lt;30")))))))</f>
        <v>40-50</v>
      </c>
      <c r="AX1910">
        <f t="shared" si="116"/>
        <v>18</v>
      </c>
      <c r="AY1910">
        <f t="shared" si="117"/>
        <v>3.0000000000000004</v>
      </c>
      <c r="AZ1910">
        <f t="shared" si="118"/>
        <v>4</v>
      </c>
      <c r="BA1910">
        <f t="shared" si="119"/>
        <v>2</v>
      </c>
      <c r="BB1910">
        <f>SUM(ifood_data[[#This Row],[Recency Score]:[Monetary Score]])</f>
        <v>9</v>
      </c>
      <c r="BC1910">
        <f>(_xlfn.PERCENTRANK.INC(ifood_data[[#All],[RFM]],ifood_data[[#This Row],[RFM]],1))*10</f>
        <v>1</v>
      </c>
      <c r="BD1910" t="str">
        <f>VLOOKUP(ifood_data[[#This Row],[RFM Score]],'RFM Analysis'!$A$3:$B$14,2,FALSE)</f>
        <v>At Risk</v>
      </c>
      <c r="BE1910">
        <f>'Regression Models'!$B$101+'Regression Models'!$B$102*ifood_data[[#This Row],[Income]]+'Regression Models'!$B$103*ifood_data[[#This Row],[Age]]+'Regression Models'!$B$104*ifood_data[[#This Row],[Family]]</f>
        <v>-111.40800310745519</v>
      </c>
      <c r="BF1910" t="str">
        <f>IF(ifood_data[[#This Row],[AcceptedCmpOverall]]=1,"Campaign Respondent","Non-respondent")</f>
        <v>Non-respondent</v>
      </c>
    </row>
    <row r="1911" spans="1:58" x14ac:dyDescent="0.35">
      <c r="A1911">
        <v>294</v>
      </c>
      <c r="B1911">
        <v>22574</v>
      </c>
      <c r="C1911">
        <v>2</v>
      </c>
      <c r="D1911">
        <v>1</v>
      </c>
      <c r="E1911">
        <v>28</v>
      </c>
      <c r="F1911">
        <v>25</v>
      </c>
      <c r="G1911">
        <v>0</v>
      </c>
      <c r="H1911">
        <v>8</v>
      </c>
      <c r="I1911">
        <v>2</v>
      </c>
      <c r="J1911">
        <v>0</v>
      </c>
      <c r="K1911">
        <v>2</v>
      </c>
      <c r="L1911">
        <v>2</v>
      </c>
      <c r="M1911">
        <v>2</v>
      </c>
      <c r="N1911">
        <v>0</v>
      </c>
      <c r="O1911">
        <v>3</v>
      </c>
      <c r="P1911">
        <v>7</v>
      </c>
      <c r="Q1911">
        <v>0</v>
      </c>
      <c r="R1911">
        <v>0</v>
      </c>
      <c r="S1911">
        <v>0</v>
      </c>
      <c r="T1911">
        <v>0</v>
      </c>
      <c r="U1911">
        <v>0</v>
      </c>
      <c r="V1911">
        <f>IF(SUM(ifood_data[[#This Row],[AcceptedCmp1]:[AcceptedCmp5]])&gt;0,1,0)</f>
        <v>0</v>
      </c>
      <c r="W1911">
        <v>0</v>
      </c>
      <c r="X1911">
        <v>3</v>
      </c>
      <c r="Y1911">
        <v>11</v>
      </c>
      <c r="Z1911">
        <v>0</v>
      </c>
      <c r="AA1911">
        <v>53</v>
      </c>
      <c r="AB1911">
        <v>2403</v>
      </c>
      <c r="AC1911" s="28">
        <f>ifood_data[[#This Row],[Customer_Days]]/365</f>
        <v>6.5835616438356164</v>
      </c>
      <c r="AD1911">
        <v>0</v>
      </c>
      <c r="AE1911">
        <v>1</v>
      </c>
      <c r="AF1911">
        <v>0</v>
      </c>
      <c r="AG1911">
        <v>0</v>
      </c>
      <c r="AH1911">
        <v>0</v>
      </c>
      <c r="AI1911">
        <v>0</v>
      </c>
      <c r="AJ1911">
        <v>0</v>
      </c>
      <c r="AK1911">
        <v>1</v>
      </c>
      <c r="AL1911">
        <v>0</v>
      </c>
      <c r="AM1911">
        <v>0</v>
      </c>
      <c r="AN1911">
        <v>35</v>
      </c>
      <c r="AO1911">
        <v>33</v>
      </c>
      <c r="AP1911">
        <f>ifood_data[[#This Row],[MntTotal]]-ifood_data[[#This Row],[MntRegularProds]]</f>
        <v>2</v>
      </c>
      <c r="AQ1911">
        <v>0</v>
      </c>
      <c r="AR1911">
        <f>IF(SUM(ifood_data[[#This Row],[Kidhome]:[Teenhome]])&gt;0,1,0)</f>
        <v>1</v>
      </c>
      <c r="AS1911" t="str">
        <f>IF(SUM(ifood_data[[#This Row],[Kidhome]:[Teenhome]])&gt;0,"Has Family","No Family")</f>
        <v>Has Family</v>
      </c>
      <c r="AT1911" t="str">
        <f>IF(ifood_data[[#This Row],[marital_Married]]=1,"Married", (IF(ifood_data[[#This Row],[marital_Single]]=1,"Single",(IF(ifood_data[[#This Row],[marital_Divorced]]=1,"Divorced",(IF(ifood_data[[#This Row],[marital_Together]]=1,"Living Together",(IF(ifood_data[[#This Row],[marital_Widow]]=1,"Widow","Other")))))))))</f>
        <v>Married</v>
      </c>
      <c r="AU1911" t="str">
        <f>IF(ifood_data[[#This Row],[education_Basic]]=1,"High School",(IF(ifood_data[[#This Row],[education_Graduation]]=1,"Undergraduate Degree",(IF(SUM(AM1911,AL1911,AI1911)&gt;0,"Master's Degree or Higher","Other")))))</f>
        <v>Undergraduate Degree</v>
      </c>
      <c r="AV1911" t="str">
        <f>IF(ifood_data[[#All],[Income]]&gt;75000,"75K+",(IF(ifood_data[[#All],[Income]]&gt;50000,"50K-75K",(IF(ifood_data[[#All],[Income]]&gt;35000,"35K-50K","&lt;35K")))))</f>
        <v>&lt;35K</v>
      </c>
      <c r="AW1911" t="str">
        <f>IF(ifood_data[[#All],[Age]]&gt;60,"60+",(IF(ifood_data[[#All],[Age]]&gt;50,"50-60",(IF(ifood_data[[#All],[Age]]&gt;40,"40-50",(IF(ifood_data[[#All],[Age]]&gt;30,"30-40","&lt;30")))))))</f>
        <v>50-60</v>
      </c>
      <c r="AX1911">
        <f t="shared" si="116"/>
        <v>14</v>
      </c>
      <c r="AY1911">
        <f t="shared" si="117"/>
        <v>8</v>
      </c>
      <c r="AZ1911">
        <f t="shared" si="118"/>
        <v>2</v>
      </c>
      <c r="BA1911">
        <f t="shared" si="119"/>
        <v>1</v>
      </c>
      <c r="BB1911">
        <f>SUM(ifood_data[[#This Row],[Recency Score]:[Monetary Score]])</f>
        <v>11</v>
      </c>
      <c r="BC1911">
        <f>(_xlfn.PERCENTRANK.INC(ifood_data[[#All],[RFM]],ifood_data[[#This Row],[RFM]],1))*10</f>
        <v>2</v>
      </c>
      <c r="BD1911" t="str">
        <f>VLOOKUP(ifood_data[[#This Row],[RFM Score]],'RFM Analysis'!$A$3:$B$14,2,FALSE)</f>
        <v>At Risk</v>
      </c>
      <c r="BE1911">
        <f>'Regression Models'!$B$101+'Regression Models'!$B$102*ifood_data[[#This Row],[Income]]+'Regression Models'!$B$103*ifood_data[[#This Row],[Age]]+'Regression Models'!$B$104*ifood_data[[#This Row],[Family]]</f>
        <v>-114.50410644850444</v>
      </c>
      <c r="BF1911" t="str">
        <f>IF(ifood_data[[#This Row],[AcceptedCmpOverall]]=1,"Campaign Respondent","Non-respondent")</f>
        <v>Non-respondent</v>
      </c>
    </row>
    <row r="1912" spans="1:58" x14ac:dyDescent="0.35">
      <c r="A1912">
        <v>11</v>
      </c>
      <c r="B1912">
        <v>7500</v>
      </c>
      <c r="C1912">
        <v>0</v>
      </c>
      <c r="D1912">
        <v>0</v>
      </c>
      <c r="E1912">
        <v>59</v>
      </c>
      <c r="F1912">
        <v>6</v>
      </c>
      <c r="G1912">
        <v>16</v>
      </c>
      <c r="H1912">
        <v>11</v>
      </c>
      <c r="I1912">
        <v>11</v>
      </c>
      <c r="J1912">
        <v>1</v>
      </c>
      <c r="K1912">
        <v>16</v>
      </c>
      <c r="L1912">
        <v>1</v>
      </c>
      <c r="M1912">
        <v>2</v>
      </c>
      <c r="N1912">
        <v>0</v>
      </c>
      <c r="O1912">
        <v>3</v>
      </c>
      <c r="P1912">
        <v>8</v>
      </c>
      <c r="Q1912">
        <v>0</v>
      </c>
      <c r="R1912">
        <v>0</v>
      </c>
      <c r="S1912">
        <v>0</v>
      </c>
      <c r="T1912">
        <v>0</v>
      </c>
      <c r="U1912">
        <v>0</v>
      </c>
      <c r="V1912">
        <f>IF(SUM(ifood_data[[#This Row],[AcceptedCmp1]:[AcceptedCmp5]])&gt;0,1,0)</f>
        <v>0</v>
      </c>
      <c r="W1912">
        <v>0</v>
      </c>
      <c r="X1912">
        <v>3</v>
      </c>
      <c r="Y1912">
        <v>11</v>
      </c>
      <c r="Z1912">
        <v>0</v>
      </c>
      <c r="AA1912">
        <v>44</v>
      </c>
      <c r="AB1912">
        <v>2752</v>
      </c>
      <c r="AC1912" s="28">
        <f>ifood_data[[#This Row],[Customer_Days]]/365</f>
        <v>7.5397260273972604</v>
      </c>
      <c r="AD1912">
        <v>0</v>
      </c>
      <c r="AE1912">
        <v>1</v>
      </c>
      <c r="AF1912">
        <v>0</v>
      </c>
      <c r="AG1912">
        <v>0</v>
      </c>
      <c r="AH1912">
        <v>0</v>
      </c>
      <c r="AI1912">
        <v>0</v>
      </c>
      <c r="AJ1912">
        <v>1</v>
      </c>
      <c r="AK1912">
        <v>0</v>
      </c>
      <c r="AL1912">
        <v>0</v>
      </c>
      <c r="AM1912">
        <v>0</v>
      </c>
      <c r="AN1912">
        <v>45</v>
      </c>
      <c r="AO1912">
        <v>29</v>
      </c>
      <c r="AP1912">
        <f>ifood_data[[#This Row],[MntTotal]]-ifood_data[[#This Row],[MntRegularProds]]</f>
        <v>16</v>
      </c>
      <c r="AQ1912">
        <v>0</v>
      </c>
      <c r="AR1912">
        <f>IF(SUM(ifood_data[[#This Row],[Kidhome]:[Teenhome]])&gt;0,1,0)</f>
        <v>0</v>
      </c>
      <c r="AS1912" t="str">
        <f>IF(SUM(ifood_data[[#This Row],[Kidhome]:[Teenhome]])&gt;0,"Has Family","No Family")</f>
        <v>No Family</v>
      </c>
      <c r="AT1912" t="str">
        <f>IF(ifood_data[[#This Row],[marital_Married]]=1,"Married", (IF(ifood_data[[#This Row],[marital_Single]]=1,"Single",(IF(ifood_data[[#This Row],[marital_Divorced]]=1,"Divorced",(IF(ifood_data[[#This Row],[marital_Together]]=1,"Living Together",(IF(ifood_data[[#This Row],[marital_Widow]]=1,"Widow","Other")))))))))</f>
        <v>Married</v>
      </c>
      <c r="AU1912" t="str">
        <f>IF(ifood_data[[#This Row],[education_Basic]]=1,"High School",(IF(ifood_data[[#This Row],[education_Graduation]]=1,"Undergraduate Degree",(IF(SUM(AM1912,AL1912,AI1912)&gt;0,"Master's Degree or Higher","Other")))))</f>
        <v>High School</v>
      </c>
      <c r="AV1912" t="str">
        <f>IF(ifood_data[[#All],[Income]]&gt;75000,"75K+",(IF(ifood_data[[#All],[Income]]&gt;50000,"50K-75K",(IF(ifood_data[[#All],[Income]]&gt;35000,"35K-50K","&lt;35K")))))</f>
        <v>&lt;35K</v>
      </c>
      <c r="AW1912" t="str">
        <f>IF(ifood_data[[#All],[Age]]&gt;60,"60+",(IF(ifood_data[[#All],[Age]]&gt;50,"50-60",(IF(ifood_data[[#All],[Age]]&gt;40,"40-50",(IF(ifood_data[[#All],[Age]]&gt;30,"30-40","&lt;30")))))))</f>
        <v>40-50</v>
      </c>
      <c r="AX1912">
        <f t="shared" si="116"/>
        <v>14</v>
      </c>
      <c r="AY1912">
        <f t="shared" si="117"/>
        <v>4</v>
      </c>
      <c r="AZ1912">
        <f t="shared" si="118"/>
        <v>2</v>
      </c>
      <c r="BA1912">
        <f t="shared" si="119"/>
        <v>2</v>
      </c>
      <c r="BB1912">
        <f>SUM(ifood_data[[#This Row],[Recency Score]:[Monetary Score]])</f>
        <v>8</v>
      </c>
      <c r="BC1912">
        <f>(_xlfn.PERCENTRANK.INC(ifood_data[[#All],[RFM]],ifood_data[[#This Row],[RFM]],1))*10</f>
        <v>1</v>
      </c>
      <c r="BD1912" t="str">
        <f>VLOOKUP(ifood_data[[#This Row],[RFM Score]],'RFM Analysis'!$A$3:$B$14,2,FALSE)</f>
        <v>At Risk</v>
      </c>
      <c r="BE1912">
        <f>'Regression Models'!$B$101+'Regression Models'!$B$102*ifood_data[[#This Row],[Income]]+'Regression Models'!$B$103*ifood_data[[#This Row],[Age]]+'Regression Models'!$B$104*ifood_data[[#This Row],[Family]]</f>
        <v>-115.70281466657244</v>
      </c>
      <c r="BF1912" t="str">
        <f>IF(ifood_data[[#This Row],[AcceptedCmpOverall]]=1,"Campaign Respondent","Non-respondent")</f>
        <v>Non-respondent</v>
      </c>
    </row>
    <row r="1913" spans="1:58" x14ac:dyDescent="0.35">
      <c r="A1913">
        <v>779</v>
      </c>
      <c r="B1913">
        <v>22063</v>
      </c>
      <c r="C1913">
        <v>1</v>
      </c>
      <c r="D1913">
        <v>0</v>
      </c>
      <c r="E1913">
        <v>43</v>
      </c>
      <c r="F1913">
        <v>7</v>
      </c>
      <c r="G1913">
        <v>10</v>
      </c>
      <c r="H1913">
        <v>13</v>
      </c>
      <c r="I1913">
        <v>3</v>
      </c>
      <c r="J1913">
        <v>11</v>
      </c>
      <c r="K1913">
        <v>11</v>
      </c>
      <c r="L1913">
        <v>2</v>
      </c>
      <c r="M1913">
        <v>2</v>
      </c>
      <c r="N1913">
        <v>0</v>
      </c>
      <c r="O1913">
        <v>3</v>
      </c>
      <c r="P1913">
        <v>7</v>
      </c>
      <c r="Q1913">
        <v>0</v>
      </c>
      <c r="R1913">
        <v>0</v>
      </c>
      <c r="S1913">
        <v>0</v>
      </c>
      <c r="T1913">
        <v>0</v>
      </c>
      <c r="U1913">
        <v>0</v>
      </c>
      <c r="V1913">
        <f>IF(SUM(ifood_data[[#This Row],[AcceptedCmp1]:[AcceptedCmp5]])&gt;0,1,0)</f>
        <v>0</v>
      </c>
      <c r="W1913">
        <v>0</v>
      </c>
      <c r="X1913">
        <v>3</v>
      </c>
      <c r="Y1913">
        <v>11</v>
      </c>
      <c r="Z1913">
        <v>0</v>
      </c>
      <c r="AA1913">
        <v>48</v>
      </c>
      <c r="AB1913">
        <v>2484</v>
      </c>
      <c r="AC1913" s="28">
        <f>ifood_data[[#This Row],[Customer_Days]]/365</f>
        <v>6.8054794520547945</v>
      </c>
      <c r="AD1913">
        <v>0</v>
      </c>
      <c r="AE1913">
        <v>1</v>
      </c>
      <c r="AF1913">
        <v>0</v>
      </c>
      <c r="AG1913">
        <v>0</v>
      </c>
      <c r="AH1913">
        <v>0</v>
      </c>
      <c r="AI1913">
        <v>0</v>
      </c>
      <c r="AJ1913">
        <v>0</v>
      </c>
      <c r="AK1913">
        <v>1</v>
      </c>
      <c r="AL1913">
        <v>0</v>
      </c>
      <c r="AM1913">
        <v>0</v>
      </c>
      <c r="AN1913">
        <v>44</v>
      </c>
      <c r="AO1913">
        <v>33</v>
      </c>
      <c r="AP1913">
        <f>ifood_data[[#This Row],[MntTotal]]-ifood_data[[#This Row],[MntRegularProds]]</f>
        <v>11</v>
      </c>
      <c r="AQ1913">
        <v>0</v>
      </c>
      <c r="AR1913">
        <f>IF(SUM(ifood_data[[#This Row],[Kidhome]:[Teenhome]])&gt;0,1,0)</f>
        <v>1</v>
      </c>
      <c r="AS1913" t="str">
        <f>IF(SUM(ifood_data[[#This Row],[Kidhome]:[Teenhome]])&gt;0,"Has Family","No Family")</f>
        <v>Has Family</v>
      </c>
      <c r="AT1913" t="str">
        <f>IF(ifood_data[[#This Row],[marital_Married]]=1,"Married", (IF(ifood_data[[#This Row],[marital_Single]]=1,"Single",(IF(ifood_data[[#This Row],[marital_Divorced]]=1,"Divorced",(IF(ifood_data[[#This Row],[marital_Together]]=1,"Living Together",(IF(ifood_data[[#This Row],[marital_Widow]]=1,"Widow","Other")))))))))</f>
        <v>Married</v>
      </c>
      <c r="AU1913" t="str">
        <f>IF(ifood_data[[#This Row],[education_Basic]]=1,"High School",(IF(ifood_data[[#This Row],[education_Graduation]]=1,"Undergraduate Degree",(IF(SUM(AM1913,AL1913,AI1913)&gt;0,"Master's Degree or Higher","Other")))))</f>
        <v>Undergraduate Degree</v>
      </c>
      <c r="AV1913" t="str">
        <f>IF(ifood_data[[#All],[Income]]&gt;75000,"75K+",(IF(ifood_data[[#All],[Income]]&gt;50000,"50K-75K",(IF(ifood_data[[#All],[Income]]&gt;35000,"35K-50K","&lt;35K")))))</f>
        <v>&lt;35K</v>
      </c>
      <c r="AW1913" t="str">
        <f>IF(ifood_data[[#All],[Age]]&gt;60,"60+",(IF(ifood_data[[#All],[Age]]&gt;50,"50-60",(IF(ifood_data[[#All],[Age]]&gt;40,"40-50",(IF(ifood_data[[#All],[Age]]&gt;30,"30-40","&lt;30")))))))</f>
        <v>40-50</v>
      </c>
      <c r="AX1913">
        <f t="shared" si="116"/>
        <v>14</v>
      </c>
      <c r="AY1913">
        <f t="shared" si="117"/>
        <v>6</v>
      </c>
      <c r="AZ1913">
        <f t="shared" si="118"/>
        <v>2</v>
      </c>
      <c r="BA1913">
        <f t="shared" si="119"/>
        <v>2</v>
      </c>
      <c r="BB1913">
        <f>SUM(ifood_data[[#This Row],[Recency Score]:[Monetary Score]])</f>
        <v>10</v>
      </c>
      <c r="BC1913">
        <f>(_xlfn.PERCENTRANK.INC(ifood_data[[#All],[RFM]],ifood_data[[#This Row],[RFM]],1))*10</f>
        <v>2</v>
      </c>
      <c r="BD1913" t="str">
        <f>VLOOKUP(ifood_data[[#This Row],[RFM Score]],'RFM Analysis'!$A$3:$B$14,2,FALSE)</f>
        <v>At Risk</v>
      </c>
      <c r="BE1913">
        <f>'Regression Models'!$B$101+'Regression Models'!$B$102*ifood_data[[#This Row],[Income]]+'Regression Models'!$B$103*ifood_data[[#This Row],[Age]]+'Regression Models'!$B$104*ifood_data[[#This Row],[Family]]</f>
        <v>-115.74057157556541</v>
      </c>
      <c r="BF1913" t="str">
        <f>IF(ifood_data[[#This Row],[AcceptedCmpOverall]]=1,"Campaign Respondent","Non-respondent")</f>
        <v>Non-respondent</v>
      </c>
    </row>
    <row r="1914" spans="1:58" x14ac:dyDescent="0.35">
      <c r="A1914">
        <v>826</v>
      </c>
      <c r="B1914">
        <v>21675</v>
      </c>
      <c r="C1914">
        <v>1</v>
      </c>
      <c r="D1914">
        <v>0</v>
      </c>
      <c r="E1914">
        <v>55</v>
      </c>
      <c r="F1914">
        <v>4</v>
      </c>
      <c r="G1914">
        <v>0</v>
      </c>
      <c r="H1914">
        <v>16</v>
      </c>
      <c r="I1914">
        <v>17</v>
      </c>
      <c r="J1914">
        <v>4</v>
      </c>
      <c r="K1914">
        <v>4</v>
      </c>
      <c r="L1914">
        <v>3</v>
      </c>
      <c r="M1914">
        <v>4</v>
      </c>
      <c r="N1914">
        <v>0</v>
      </c>
      <c r="O1914">
        <v>3</v>
      </c>
      <c r="P1914">
        <v>7</v>
      </c>
      <c r="Q1914">
        <v>0</v>
      </c>
      <c r="R1914">
        <v>0</v>
      </c>
      <c r="S1914">
        <v>0</v>
      </c>
      <c r="T1914">
        <v>0</v>
      </c>
      <c r="U1914">
        <v>0</v>
      </c>
      <c r="V1914">
        <f>IF(SUM(ifood_data[[#This Row],[AcceptedCmp1]:[AcceptedCmp5]])&gt;0,1,0)</f>
        <v>0</v>
      </c>
      <c r="W1914">
        <v>0</v>
      </c>
      <c r="X1914">
        <v>3</v>
      </c>
      <c r="Y1914">
        <v>11</v>
      </c>
      <c r="Z1914">
        <v>0</v>
      </c>
      <c r="AA1914">
        <v>44</v>
      </c>
      <c r="AB1914">
        <v>2177</v>
      </c>
      <c r="AC1914" s="28">
        <f>ifood_data[[#This Row],[Customer_Days]]/365</f>
        <v>5.9643835616438352</v>
      </c>
      <c r="AD1914">
        <v>0</v>
      </c>
      <c r="AE1914">
        <v>0</v>
      </c>
      <c r="AF1914">
        <v>0</v>
      </c>
      <c r="AG1914">
        <v>1</v>
      </c>
      <c r="AH1914">
        <v>0</v>
      </c>
      <c r="AI1914">
        <v>0</v>
      </c>
      <c r="AJ1914">
        <v>0</v>
      </c>
      <c r="AK1914">
        <v>1</v>
      </c>
      <c r="AL1914">
        <v>0</v>
      </c>
      <c r="AM1914">
        <v>0</v>
      </c>
      <c r="AN1914">
        <v>41</v>
      </c>
      <c r="AO1914">
        <v>37</v>
      </c>
      <c r="AP1914">
        <f>ifood_data[[#This Row],[MntTotal]]-ifood_data[[#This Row],[MntRegularProds]]</f>
        <v>4</v>
      </c>
      <c r="AQ1914">
        <v>0</v>
      </c>
      <c r="AR1914">
        <f>IF(SUM(ifood_data[[#This Row],[Kidhome]:[Teenhome]])&gt;0,1,0)</f>
        <v>1</v>
      </c>
      <c r="AS1914" t="str">
        <f>IF(SUM(ifood_data[[#This Row],[Kidhome]:[Teenhome]])&gt;0,"Has Family","No Family")</f>
        <v>Has Family</v>
      </c>
      <c r="AT1914" t="str">
        <f>IF(ifood_data[[#This Row],[marital_Married]]=1,"Married", (IF(ifood_data[[#This Row],[marital_Single]]=1,"Single",(IF(ifood_data[[#This Row],[marital_Divorced]]=1,"Divorced",(IF(ifood_data[[#This Row],[marital_Together]]=1,"Living Together",(IF(ifood_data[[#This Row],[marital_Widow]]=1,"Widow","Other")))))))))</f>
        <v>Living Together</v>
      </c>
      <c r="AU1914" t="str">
        <f>IF(ifood_data[[#This Row],[education_Basic]]=1,"High School",(IF(ifood_data[[#This Row],[education_Graduation]]=1,"Undergraduate Degree",(IF(SUM(AM1914,AL1914,AI1914)&gt;0,"Master's Degree or Higher","Other")))))</f>
        <v>Undergraduate Degree</v>
      </c>
      <c r="AV1914" t="str">
        <f>IF(ifood_data[[#All],[Income]]&gt;75000,"75K+",(IF(ifood_data[[#All],[Income]]&gt;50000,"50K-75K",(IF(ifood_data[[#All],[Income]]&gt;35000,"35K-50K","&lt;35K")))))</f>
        <v>&lt;35K</v>
      </c>
      <c r="AW1914" t="str">
        <f>IF(ifood_data[[#All],[Age]]&gt;60,"60+",(IF(ifood_data[[#All],[Age]]&gt;50,"50-60",(IF(ifood_data[[#All],[Age]]&gt;40,"40-50",(IF(ifood_data[[#All],[Age]]&gt;30,"30-40","&lt;30")))))))</f>
        <v>40-50</v>
      </c>
      <c r="AX1914">
        <f t="shared" si="116"/>
        <v>17</v>
      </c>
      <c r="AY1914">
        <f t="shared" si="117"/>
        <v>5</v>
      </c>
      <c r="AZ1914">
        <f t="shared" si="118"/>
        <v>3</v>
      </c>
      <c r="BA1914">
        <f t="shared" si="119"/>
        <v>1</v>
      </c>
      <c r="BB1914">
        <f>SUM(ifood_data[[#This Row],[Recency Score]:[Monetary Score]])</f>
        <v>9</v>
      </c>
      <c r="BC1914">
        <f>(_xlfn.PERCENTRANK.INC(ifood_data[[#All],[RFM]],ifood_data[[#This Row],[RFM]],1))*10</f>
        <v>1</v>
      </c>
      <c r="BD1914" t="str">
        <f>VLOOKUP(ifood_data[[#This Row],[RFM Score]],'RFM Analysis'!$A$3:$B$14,2,FALSE)</f>
        <v>At Risk</v>
      </c>
      <c r="BE1914">
        <f>'Regression Models'!$B$101+'Regression Models'!$B$102*ifood_data[[#This Row],[Income]]+'Regression Models'!$B$103*ifood_data[[#This Row],[Age]]+'Regression Models'!$B$104*ifood_data[[#This Row],[Family]]</f>
        <v>-116.30565729982104</v>
      </c>
      <c r="BF1914" t="str">
        <f>IF(ifood_data[[#This Row],[AcceptedCmpOverall]]=1,"Campaign Respondent","Non-respondent")</f>
        <v>Non-respondent</v>
      </c>
    </row>
    <row r="1915" spans="1:58" x14ac:dyDescent="0.35">
      <c r="A1915">
        <v>1762</v>
      </c>
      <c r="B1915">
        <v>21059</v>
      </c>
      <c r="C1915">
        <v>1</v>
      </c>
      <c r="D1915">
        <v>0</v>
      </c>
      <c r="E1915">
        <v>40</v>
      </c>
      <c r="F1915">
        <v>8</v>
      </c>
      <c r="G1915">
        <v>3</v>
      </c>
      <c r="H1915">
        <v>19</v>
      </c>
      <c r="I1915">
        <v>3</v>
      </c>
      <c r="J1915">
        <v>3</v>
      </c>
      <c r="K1915">
        <v>8</v>
      </c>
      <c r="L1915">
        <v>3</v>
      </c>
      <c r="M1915">
        <v>3</v>
      </c>
      <c r="N1915">
        <v>0</v>
      </c>
      <c r="O1915">
        <v>3</v>
      </c>
      <c r="P1915">
        <v>6</v>
      </c>
      <c r="Q1915">
        <v>0</v>
      </c>
      <c r="R1915">
        <v>0</v>
      </c>
      <c r="S1915">
        <v>0</v>
      </c>
      <c r="T1915">
        <v>0</v>
      </c>
      <c r="U1915">
        <v>0</v>
      </c>
      <c r="V1915">
        <f>IF(SUM(ifood_data[[#This Row],[AcceptedCmp1]:[AcceptedCmp5]])&gt;0,1,0)</f>
        <v>0</v>
      </c>
      <c r="W1915">
        <v>0</v>
      </c>
      <c r="X1915">
        <v>3</v>
      </c>
      <c r="Y1915">
        <v>11</v>
      </c>
      <c r="Z1915">
        <v>0</v>
      </c>
      <c r="AA1915">
        <v>38</v>
      </c>
      <c r="AB1915">
        <v>2332</v>
      </c>
      <c r="AC1915" s="28">
        <f>ifood_data[[#This Row],[Customer_Days]]/365</f>
        <v>6.3890410958904109</v>
      </c>
      <c r="AD1915">
        <v>0</v>
      </c>
      <c r="AE1915">
        <v>1</v>
      </c>
      <c r="AF1915">
        <v>0</v>
      </c>
      <c r="AG1915">
        <v>0</v>
      </c>
      <c r="AH1915">
        <v>0</v>
      </c>
      <c r="AI1915">
        <v>0</v>
      </c>
      <c r="AJ1915">
        <v>0</v>
      </c>
      <c r="AK1915">
        <v>0</v>
      </c>
      <c r="AL1915">
        <v>1</v>
      </c>
      <c r="AM1915">
        <v>0</v>
      </c>
      <c r="AN1915">
        <v>36</v>
      </c>
      <c r="AO1915">
        <v>28</v>
      </c>
      <c r="AP1915">
        <f>ifood_data[[#This Row],[MntTotal]]-ifood_data[[#This Row],[MntRegularProds]]</f>
        <v>8</v>
      </c>
      <c r="AQ1915">
        <v>0</v>
      </c>
      <c r="AR1915">
        <f>IF(SUM(ifood_data[[#This Row],[Kidhome]:[Teenhome]])&gt;0,1,0)</f>
        <v>1</v>
      </c>
      <c r="AS1915" t="str">
        <f>IF(SUM(ifood_data[[#This Row],[Kidhome]:[Teenhome]])&gt;0,"Has Family","No Family")</f>
        <v>Has Family</v>
      </c>
      <c r="AT1915" t="str">
        <f>IF(ifood_data[[#This Row],[marital_Married]]=1,"Married", (IF(ifood_data[[#This Row],[marital_Single]]=1,"Single",(IF(ifood_data[[#This Row],[marital_Divorced]]=1,"Divorced",(IF(ifood_data[[#This Row],[marital_Together]]=1,"Living Together",(IF(ifood_data[[#This Row],[marital_Widow]]=1,"Widow","Other")))))))))</f>
        <v>Married</v>
      </c>
      <c r="AU1915" t="str">
        <f>IF(ifood_data[[#This Row],[education_Basic]]=1,"High School",(IF(ifood_data[[#This Row],[education_Graduation]]=1,"Undergraduate Degree",(IF(SUM(AM1915,AL1915,AI1915)&gt;0,"Master's Degree or Higher","Other")))))</f>
        <v>Master's Degree or Higher</v>
      </c>
      <c r="AV1915" t="str">
        <f>IF(ifood_data[[#All],[Income]]&gt;75000,"75K+",(IF(ifood_data[[#All],[Income]]&gt;50000,"50K-75K",(IF(ifood_data[[#All],[Income]]&gt;35000,"35K-50K","&lt;35K")))))</f>
        <v>&lt;35K</v>
      </c>
      <c r="AW1915" t="str">
        <f>IF(ifood_data[[#All],[Age]]&gt;60,"60+",(IF(ifood_data[[#All],[Age]]&gt;50,"50-60",(IF(ifood_data[[#All],[Age]]&gt;40,"40-50",(IF(ifood_data[[#All],[Age]]&gt;30,"30-40","&lt;30")))))))</f>
        <v>30-40</v>
      </c>
      <c r="AX1915">
        <f t="shared" si="116"/>
        <v>15</v>
      </c>
      <c r="AY1915">
        <f t="shared" si="117"/>
        <v>6</v>
      </c>
      <c r="AZ1915">
        <f t="shared" si="118"/>
        <v>2</v>
      </c>
      <c r="BA1915">
        <f t="shared" si="119"/>
        <v>1</v>
      </c>
      <c r="BB1915">
        <f>SUM(ifood_data[[#This Row],[Recency Score]:[Monetary Score]])</f>
        <v>9</v>
      </c>
      <c r="BC1915">
        <f>(_xlfn.PERCENTRANK.INC(ifood_data[[#All],[RFM]],ifood_data[[#This Row],[RFM]],1))*10</f>
        <v>1</v>
      </c>
      <c r="BD1915" t="str">
        <f>VLOOKUP(ifood_data[[#This Row],[RFM Score]],'RFM Analysis'!$A$3:$B$14,2,FALSE)</f>
        <v>At Risk</v>
      </c>
      <c r="BE1915">
        <f>'Regression Models'!$B$101+'Regression Models'!$B$102*ifood_data[[#This Row],[Income]]+'Regression Models'!$B$103*ifood_data[[#This Row],[Age]]+'Regression Models'!$B$104*ifood_data[[#This Row],[Family]]</f>
        <v>-117.8465040030971</v>
      </c>
      <c r="BF1915" t="str">
        <f>IF(ifood_data[[#This Row],[AcceptedCmpOverall]]=1,"Campaign Respondent","Non-respondent")</f>
        <v>Non-respondent</v>
      </c>
    </row>
    <row r="1916" spans="1:58" x14ac:dyDescent="0.35">
      <c r="A1916">
        <v>449</v>
      </c>
      <c r="B1916">
        <v>20518</v>
      </c>
      <c r="C1916">
        <v>1</v>
      </c>
      <c r="D1916">
        <v>0</v>
      </c>
      <c r="E1916">
        <v>58</v>
      </c>
      <c r="F1916">
        <v>4</v>
      </c>
      <c r="G1916">
        <v>1</v>
      </c>
      <c r="H1916">
        <v>6</v>
      </c>
      <c r="I1916">
        <v>4</v>
      </c>
      <c r="J1916">
        <v>1</v>
      </c>
      <c r="K1916">
        <v>9</v>
      </c>
      <c r="L1916">
        <v>1</v>
      </c>
      <c r="M1916">
        <v>1</v>
      </c>
      <c r="N1916">
        <v>1</v>
      </c>
      <c r="O1916">
        <v>2</v>
      </c>
      <c r="P1916">
        <v>5</v>
      </c>
      <c r="Q1916">
        <v>0</v>
      </c>
      <c r="R1916">
        <v>0</v>
      </c>
      <c r="S1916">
        <v>0</v>
      </c>
      <c r="T1916">
        <v>0</v>
      </c>
      <c r="U1916">
        <v>0</v>
      </c>
      <c r="V1916">
        <f>IF(SUM(ifood_data[[#This Row],[AcceptedCmp1]:[AcceptedCmp5]])&gt;0,1,0)</f>
        <v>0</v>
      </c>
      <c r="W1916">
        <v>0</v>
      </c>
      <c r="X1916">
        <v>3</v>
      </c>
      <c r="Y1916">
        <v>11</v>
      </c>
      <c r="Z1916">
        <v>0</v>
      </c>
      <c r="AA1916">
        <v>32</v>
      </c>
      <c r="AB1916">
        <v>2201</v>
      </c>
      <c r="AC1916" s="28">
        <f>ifood_data[[#This Row],[Customer_Days]]/365</f>
        <v>6.0301369863013701</v>
      </c>
      <c r="AD1916">
        <v>0</v>
      </c>
      <c r="AE1916">
        <v>0</v>
      </c>
      <c r="AF1916">
        <v>1</v>
      </c>
      <c r="AG1916">
        <v>0</v>
      </c>
      <c r="AH1916">
        <v>0</v>
      </c>
      <c r="AI1916">
        <v>0</v>
      </c>
      <c r="AJ1916">
        <v>0</v>
      </c>
      <c r="AK1916">
        <v>1</v>
      </c>
      <c r="AL1916">
        <v>0</v>
      </c>
      <c r="AM1916">
        <v>0</v>
      </c>
      <c r="AN1916">
        <v>16</v>
      </c>
      <c r="AO1916">
        <v>7</v>
      </c>
      <c r="AP1916">
        <f>ifood_data[[#This Row],[MntTotal]]-ifood_data[[#This Row],[MntRegularProds]]</f>
        <v>9</v>
      </c>
      <c r="AQ1916">
        <v>0</v>
      </c>
      <c r="AR1916">
        <f>IF(SUM(ifood_data[[#This Row],[Kidhome]:[Teenhome]])&gt;0,1,0)</f>
        <v>1</v>
      </c>
      <c r="AS1916" t="str">
        <f>IF(SUM(ifood_data[[#This Row],[Kidhome]:[Teenhome]])&gt;0,"Has Family","No Family")</f>
        <v>Has Family</v>
      </c>
      <c r="AT1916" t="str">
        <f>IF(ifood_data[[#This Row],[marital_Married]]=1,"Married", (IF(ifood_data[[#This Row],[marital_Single]]=1,"Single",(IF(ifood_data[[#This Row],[marital_Divorced]]=1,"Divorced",(IF(ifood_data[[#This Row],[marital_Together]]=1,"Living Together",(IF(ifood_data[[#This Row],[marital_Widow]]=1,"Widow","Other")))))))))</f>
        <v>Single</v>
      </c>
      <c r="AU1916" t="str">
        <f>IF(ifood_data[[#This Row],[education_Basic]]=1,"High School",(IF(ifood_data[[#This Row],[education_Graduation]]=1,"Undergraduate Degree",(IF(SUM(AM1916,AL1916,AI1916)&gt;0,"Master's Degree or Higher","Other")))))</f>
        <v>Undergraduate Degree</v>
      </c>
      <c r="AV1916" t="str">
        <f>IF(ifood_data[[#All],[Income]]&gt;75000,"75K+",(IF(ifood_data[[#All],[Income]]&gt;50000,"50K-75K",(IF(ifood_data[[#All],[Income]]&gt;35000,"35K-50K","&lt;35K")))))</f>
        <v>&lt;35K</v>
      </c>
      <c r="AW1916" t="str">
        <f>IF(ifood_data[[#All],[Age]]&gt;60,"60+",(IF(ifood_data[[#All],[Age]]&gt;50,"50-60",(IF(ifood_data[[#All],[Age]]&gt;40,"40-50",(IF(ifood_data[[#All],[Age]]&gt;30,"30-40","&lt;30")))))))</f>
        <v>30-40</v>
      </c>
      <c r="AX1916">
        <f t="shared" si="116"/>
        <v>10</v>
      </c>
      <c r="AY1916">
        <f t="shared" si="117"/>
        <v>5</v>
      </c>
      <c r="AZ1916">
        <f t="shared" si="118"/>
        <v>0</v>
      </c>
      <c r="BA1916">
        <f t="shared" si="119"/>
        <v>0</v>
      </c>
      <c r="BB1916">
        <f>SUM(ifood_data[[#This Row],[Recency Score]:[Monetary Score]])</f>
        <v>5</v>
      </c>
      <c r="BC1916">
        <f>(_xlfn.PERCENTRANK.INC(ifood_data[[#All],[RFM]],ifood_data[[#This Row],[RFM]],1))*10</f>
        <v>0</v>
      </c>
      <c r="BD1916" t="str">
        <f>VLOOKUP(ifood_data[[#This Row],[RFM Score]],'RFM Analysis'!$A$3:$B$14,2,FALSE)</f>
        <v>Lost</v>
      </c>
      <c r="BE1916">
        <f>'Regression Models'!$B$101+'Regression Models'!$B$102*ifood_data[[#This Row],[Income]]+'Regression Models'!$B$103*ifood_data[[#This Row],[Age]]+'Regression Models'!$B$104*ifood_data[[#This Row],[Family]]</f>
        <v>-117.85819309558076</v>
      </c>
      <c r="BF1916" t="str">
        <f>IF(ifood_data[[#This Row],[AcceptedCmpOverall]]=1,"Campaign Respondent","Non-respondent")</f>
        <v>Non-respondent</v>
      </c>
    </row>
    <row r="1917" spans="1:58" x14ac:dyDescent="0.35">
      <c r="A1917">
        <v>254</v>
      </c>
      <c r="B1917">
        <v>22070</v>
      </c>
      <c r="C1917">
        <v>1</v>
      </c>
      <c r="D1917">
        <v>0</v>
      </c>
      <c r="E1917">
        <v>11</v>
      </c>
      <c r="F1917">
        <v>10</v>
      </c>
      <c r="G1917">
        <v>7</v>
      </c>
      <c r="H1917">
        <v>19</v>
      </c>
      <c r="I1917">
        <v>8</v>
      </c>
      <c r="J1917">
        <v>2</v>
      </c>
      <c r="K1917">
        <v>21</v>
      </c>
      <c r="L1917">
        <v>2</v>
      </c>
      <c r="M1917">
        <v>2</v>
      </c>
      <c r="N1917">
        <v>2</v>
      </c>
      <c r="O1917">
        <v>2</v>
      </c>
      <c r="P1917">
        <v>6</v>
      </c>
      <c r="Q1917">
        <v>0</v>
      </c>
      <c r="R1917">
        <v>0</v>
      </c>
      <c r="S1917">
        <v>0</v>
      </c>
      <c r="T1917">
        <v>0</v>
      </c>
      <c r="U1917">
        <v>0</v>
      </c>
      <c r="V1917">
        <f>IF(SUM(ifood_data[[#This Row],[AcceptedCmp1]:[AcceptedCmp5]])&gt;0,1,0)</f>
        <v>0</v>
      </c>
      <c r="W1917">
        <v>0</v>
      </c>
      <c r="X1917">
        <v>3</v>
      </c>
      <c r="Y1917">
        <v>11</v>
      </c>
      <c r="Z1917">
        <v>0</v>
      </c>
      <c r="AA1917">
        <v>50</v>
      </c>
      <c r="AB1917">
        <v>2427</v>
      </c>
      <c r="AC1917" s="28">
        <f>ifood_data[[#This Row],[Customer_Days]]/365</f>
        <v>6.6493150684931503</v>
      </c>
      <c r="AD1917">
        <v>0</v>
      </c>
      <c r="AE1917">
        <v>0</v>
      </c>
      <c r="AF1917">
        <v>0</v>
      </c>
      <c r="AG1917">
        <v>1</v>
      </c>
      <c r="AH1917">
        <v>0</v>
      </c>
      <c r="AI1917">
        <v>0</v>
      </c>
      <c r="AJ1917">
        <v>0</v>
      </c>
      <c r="AK1917">
        <v>1</v>
      </c>
      <c r="AL1917">
        <v>0</v>
      </c>
      <c r="AM1917">
        <v>0</v>
      </c>
      <c r="AN1917">
        <v>46</v>
      </c>
      <c r="AO1917">
        <v>25</v>
      </c>
      <c r="AP1917">
        <f>ifood_data[[#This Row],[MntTotal]]-ifood_data[[#This Row],[MntRegularProds]]</f>
        <v>21</v>
      </c>
      <c r="AQ1917">
        <v>0</v>
      </c>
      <c r="AR1917">
        <f>IF(SUM(ifood_data[[#This Row],[Kidhome]:[Teenhome]])&gt;0,1,0)</f>
        <v>1</v>
      </c>
      <c r="AS1917" t="str">
        <f>IF(SUM(ifood_data[[#This Row],[Kidhome]:[Teenhome]])&gt;0,"Has Family","No Family")</f>
        <v>Has Family</v>
      </c>
      <c r="AT1917" t="str">
        <f>IF(ifood_data[[#This Row],[marital_Married]]=1,"Married", (IF(ifood_data[[#This Row],[marital_Single]]=1,"Single",(IF(ifood_data[[#This Row],[marital_Divorced]]=1,"Divorced",(IF(ifood_data[[#This Row],[marital_Together]]=1,"Living Together",(IF(ifood_data[[#This Row],[marital_Widow]]=1,"Widow","Other")))))))))</f>
        <v>Living Together</v>
      </c>
      <c r="AU1917" t="str">
        <f>IF(ifood_data[[#This Row],[education_Basic]]=1,"High School",(IF(ifood_data[[#This Row],[education_Graduation]]=1,"Undergraduate Degree",(IF(SUM(AM1917,AL1917,AI1917)&gt;0,"Master's Degree or Higher","Other")))))</f>
        <v>Undergraduate Degree</v>
      </c>
      <c r="AV1917" t="str">
        <f>IF(ifood_data[[#All],[Income]]&gt;75000,"75K+",(IF(ifood_data[[#All],[Income]]&gt;50000,"50K-75K",(IF(ifood_data[[#All],[Income]]&gt;35000,"35K-50K","&lt;35K")))))</f>
        <v>&lt;35K</v>
      </c>
      <c r="AW1917" t="str">
        <f>IF(ifood_data[[#All],[Age]]&gt;60,"60+",(IF(ifood_data[[#All],[Age]]&gt;50,"50-60",(IF(ifood_data[[#All],[Age]]&gt;40,"40-50",(IF(ifood_data[[#All],[Age]]&gt;30,"30-40","&lt;30")))))))</f>
        <v>40-50</v>
      </c>
      <c r="AX1917">
        <f t="shared" si="116"/>
        <v>14</v>
      </c>
      <c r="AY1917">
        <f t="shared" si="117"/>
        <v>9</v>
      </c>
      <c r="AZ1917">
        <f t="shared" si="118"/>
        <v>2</v>
      </c>
      <c r="BA1917">
        <f t="shared" si="119"/>
        <v>2</v>
      </c>
      <c r="BB1917">
        <f>SUM(ifood_data[[#This Row],[Recency Score]:[Monetary Score]])</f>
        <v>13</v>
      </c>
      <c r="BC1917">
        <f>(_xlfn.PERCENTRANK.INC(ifood_data[[#All],[RFM]],ifood_data[[#This Row],[RFM]],1))*10</f>
        <v>3</v>
      </c>
      <c r="BD1917" t="str">
        <f>VLOOKUP(ifood_data[[#This Row],[RFM Score]],'RFM Analysis'!$A$3:$B$14,2,FALSE)</f>
        <v>At Risk</v>
      </c>
      <c r="BE1917">
        <f>'Regression Models'!$B$101+'Regression Models'!$B$102*ifood_data[[#This Row],[Income]]+'Regression Models'!$B$103*ifood_data[[#This Row],[Age]]+'Regression Models'!$B$104*ifood_data[[#This Row],[Family]]</f>
        <v>-119.27072835634664</v>
      </c>
      <c r="BF1917" t="str">
        <f>IF(ifood_data[[#This Row],[AcceptedCmpOverall]]=1,"Campaign Respondent","Non-respondent")</f>
        <v>Non-respondent</v>
      </c>
    </row>
    <row r="1918" spans="1:58" x14ac:dyDescent="0.35">
      <c r="A1918">
        <v>1078</v>
      </c>
      <c r="B1918">
        <v>21282</v>
      </c>
      <c r="C1918">
        <v>1</v>
      </c>
      <c r="D1918">
        <v>0</v>
      </c>
      <c r="E1918">
        <v>76</v>
      </c>
      <c r="F1918">
        <v>1</v>
      </c>
      <c r="G1918">
        <v>5</v>
      </c>
      <c r="H1918">
        <v>8</v>
      </c>
      <c r="I1918">
        <v>4</v>
      </c>
      <c r="J1918">
        <v>8</v>
      </c>
      <c r="K1918">
        <v>20</v>
      </c>
      <c r="L1918">
        <v>2</v>
      </c>
      <c r="M1918">
        <v>2</v>
      </c>
      <c r="N1918">
        <v>1</v>
      </c>
      <c r="O1918">
        <v>2</v>
      </c>
      <c r="P1918">
        <v>6</v>
      </c>
      <c r="Q1918">
        <v>0</v>
      </c>
      <c r="R1918">
        <v>0</v>
      </c>
      <c r="S1918">
        <v>0</v>
      </c>
      <c r="T1918">
        <v>0</v>
      </c>
      <c r="U1918">
        <v>0</v>
      </c>
      <c r="V1918">
        <f>IF(SUM(ifood_data[[#This Row],[AcceptedCmp1]:[AcceptedCmp5]])&gt;0,1,0)</f>
        <v>0</v>
      </c>
      <c r="W1918">
        <v>0</v>
      </c>
      <c r="X1918">
        <v>3</v>
      </c>
      <c r="Y1918">
        <v>11</v>
      </c>
      <c r="Z1918">
        <v>0</v>
      </c>
      <c r="AA1918">
        <v>42</v>
      </c>
      <c r="AB1918">
        <v>2208</v>
      </c>
      <c r="AC1918" s="28">
        <f>ifood_data[[#This Row],[Customer_Days]]/365</f>
        <v>6.0493150684931507</v>
      </c>
      <c r="AD1918">
        <v>1</v>
      </c>
      <c r="AE1918">
        <v>0</v>
      </c>
      <c r="AF1918">
        <v>0</v>
      </c>
      <c r="AG1918">
        <v>0</v>
      </c>
      <c r="AH1918">
        <v>0</v>
      </c>
      <c r="AI1918">
        <v>1</v>
      </c>
      <c r="AJ1918">
        <v>0</v>
      </c>
      <c r="AK1918">
        <v>0</v>
      </c>
      <c r="AL1918">
        <v>0</v>
      </c>
      <c r="AM1918">
        <v>0</v>
      </c>
      <c r="AN1918">
        <v>26</v>
      </c>
      <c r="AO1918">
        <v>6</v>
      </c>
      <c r="AP1918">
        <f>ifood_data[[#This Row],[MntTotal]]-ifood_data[[#This Row],[MntRegularProds]]</f>
        <v>20</v>
      </c>
      <c r="AQ1918">
        <v>0</v>
      </c>
      <c r="AR1918">
        <f>IF(SUM(ifood_data[[#This Row],[Kidhome]:[Teenhome]])&gt;0,1,0)</f>
        <v>1</v>
      </c>
      <c r="AS1918" t="str">
        <f>IF(SUM(ifood_data[[#This Row],[Kidhome]:[Teenhome]])&gt;0,"Has Family","No Family")</f>
        <v>Has Family</v>
      </c>
      <c r="AT1918" t="str">
        <f>IF(ifood_data[[#This Row],[marital_Married]]=1,"Married", (IF(ifood_data[[#This Row],[marital_Single]]=1,"Single",(IF(ifood_data[[#This Row],[marital_Divorced]]=1,"Divorced",(IF(ifood_data[[#This Row],[marital_Together]]=1,"Living Together",(IF(ifood_data[[#This Row],[marital_Widow]]=1,"Widow","Other")))))))))</f>
        <v>Divorced</v>
      </c>
      <c r="AU1918" t="str">
        <f>IF(ifood_data[[#This Row],[education_Basic]]=1,"High School",(IF(ifood_data[[#This Row],[education_Graduation]]=1,"Undergraduate Degree",(IF(SUM(AM1918,AL1918,AI1918)&gt;0,"Master's Degree or Higher","Other")))))</f>
        <v>Master's Degree or Higher</v>
      </c>
      <c r="AV1918" t="str">
        <f>IF(ifood_data[[#All],[Income]]&gt;75000,"75K+",(IF(ifood_data[[#All],[Income]]&gt;50000,"50K-75K",(IF(ifood_data[[#All],[Income]]&gt;35000,"35K-50K","&lt;35K")))))</f>
        <v>&lt;35K</v>
      </c>
      <c r="AW1918" t="str">
        <f>IF(ifood_data[[#All],[Age]]&gt;60,"60+",(IF(ifood_data[[#All],[Age]]&gt;50,"50-60",(IF(ifood_data[[#All],[Age]]&gt;40,"40-50",(IF(ifood_data[[#All],[Age]]&gt;30,"30-40","&lt;30")))))))</f>
        <v>40-50</v>
      </c>
      <c r="AX1918">
        <f t="shared" si="116"/>
        <v>13</v>
      </c>
      <c r="AY1918">
        <f t="shared" si="117"/>
        <v>3.0000000000000004</v>
      </c>
      <c r="AZ1918">
        <f t="shared" si="118"/>
        <v>1</v>
      </c>
      <c r="BA1918">
        <f t="shared" si="119"/>
        <v>0</v>
      </c>
      <c r="BB1918">
        <f>SUM(ifood_data[[#This Row],[Recency Score]:[Monetary Score]])</f>
        <v>4</v>
      </c>
      <c r="BC1918">
        <f>(_xlfn.PERCENTRANK.INC(ifood_data[[#All],[RFM]],ifood_data[[#This Row],[RFM]],1))*10</f>
        <v>0</v>
      </c>
      <c r="BD1918" t="str">
        <f>VLOOKUP(ifood_data[[#This Row],[RFM Score]],'RFM Analysis'!$A$3:$B$14,2,FALSE)</f>
        <v>Lost</v>
      </c>
      <c r="BE1918">
        <f>'Regression Models'!$B$101+'Regression Models'!$B$102*ifood_data[[#This Row],[Income]]+'Regression Models'!$B$103*ifood_data[[#This Row],[Age]]+'Regression Models'!$B$104*ifood_data[[#This Row],[Family]]</f>
        <v>-120.64556502258475</v>
      </c>
      <c r="BF1918" t="str">
        <f>IF(ifood_data[[#This Row],[AcceptedCmpOverall]]=1,"Campaign Respondent","Non-respondent")</f>
        <v>Non-respondent</v>
      </c>
    </row>
    <row r="1919" spans="1:58" x14ac:dyDescent="0.35">
      <c r="A1919">
        <v>40</v>
      </c>
      <c r="B1919">
        <v>20559</v>
      </c>
      <c r="C1919">
        <v>1</v>
      </c>
      <c r="D1919">
        <v>0</v>
      </c>
      <c r="E1919">
        <v>88</v>
      </c>
      <c r="F1919">
        <v>13</v>
      </c>
      <c r="G1919">
        <v>1</v>
      </c>
      <c r="H1919">
        <v>29</v>
      </c>
      <c r="I1919">
        <v>3</v>
      </c>
      <c r="J1919">
        <v>0</v>
      </c>
      <c r="K1919">
        <v>7</v>
      </c>
      <c r="L1919">
        <v>2</v>
      </c>
      <c r="M1919">
        <v>2</v>
      </c>
      <c r="N1919">
        <v>0</v>
      </c>
      <c r="O1919">
        <v>3</v>
      </c>
      <c r="P1919">
        <v>8</v>
      </c>
      <c r="Q1919">
        <v>0</v>
      </c>
      <c r="R1919">
        <v>0</v>
      </c>
      <c r="S1919">
        <v>0</v>
      </c>
      <c r="T1919">
        <v>0</v>
      </c>
      <c r="U1919">
        <v>0</v>
      </c>
      <c r="V1919">
        <f>IF(SUM(ifood_data[[#This Row],[AcceptedCmp1]:[AcceptedCmp5]])&gt;0,1,0)</f>
        <v>0</v>
      </c>
      <c r="W1919">
        <v>0</v>
      </c>
      <c r="X1919">
        <v>3</v>
      </c>
      <c r="Y1919">
        <v>11</v>
      </c>
      <c r="Z1919">
        <v>0</v>
      </c>
      <c r="AA1919">
        <v>35</v>
      </c>
      <c r="AB1919">
        <v>2633</v>
      </c>
      <c r="AC1919" s="28">
        <f>ifood_data[[#This Row],[Customer_Days]]/365</f>
        <v>7.2136986301369861</v>
      </c>
      <c r="AD1919">
        <v>0</v>
      </c>
      <c r="AE1919">
        <v>1</v>
      </c>
      <c r="AF1919">
        <v>0</v>
      </c>
      <c r="AG1919">
        <v>0</v>
      </c>
      <c r="AH1919">
        <v>0</v>
      </c>
      <c r="AI1919">
        <v>0</v>
      </c>
      <c r="AJ1919">
        <v>0</v>
      </c>
      <c r="AK1919">
        <v>0</v>
      </c>
      <c r="AL1919">
        <v>1</v>
      </c>
      <c r="AM1919">
        <v>0</v>
      </c>
      <c r="AN1919">
        <v>46</v>
      </c>
      <c r="AO1919">
        <v>39</v>
      </c>
      <c r="AP1919">
        <f>ifood_data[[#This Row],[MntTotal]]-ifood_data[[#This Row],[MntRegularProds]]</f>
        <v>7</v>
      </c>
      <c r="AQ1919">
        <v>0</v>
      </c>
      <c r="AR1919">
        <f>IF(SUM(ifood_data[[#This Row],[Kidhome]:[Teenhome]])&gt;0,1,0)</f>
        <v>1</v>
      </c>
      <c r="AS1919" t="str">
        <f>IF(SUM(ifood_data[[#This Row],[Kidhome]:[Teenhome]])&gt;0,"Has Family","No Family")</f>
        <v>Has Family</v>
      </c>
      <c r="AT1919" t="str">
        <f>IF(ifood_data[[#This Row],[marital_Married]]=1,"Married", (IF(ifood_data[[#This Row],[marital_Single]]=1,"Single",(IF(ifood_data[[#This Row],[marital_Divorced]]=1,"Divorced",(IF(ifood_data[[#This Row],[marital_Together]]=1,"Living Together",(IF(ifood_data[[#This Row],[marital_Widow]]=1,"Widow","Other")))))))))</f>
        <v>Married</v>
      </c>
      <c r="AU1919" t="str">
        <f>IF(ifood_data[[#This Row],[education_Basic]]=1,"High School",(IF(ifood_data[[#This Row],[education_Graduation]]=1,"Undergraduate Degree",(IF(SUM(AM1919,AL1919,AI1919)&gt;0,"Master's Degree or Higher","Other")))))</f>
        <v>Master's Degree or Higher</v>
      </c>
      <c r="AV1919" t="str">
        <f>IF(ifood_data[[#All],[Income]]&gt;75000,"75K+",(IF(ifood_data[[#All],[Income]]&gt;50000,"50K-75K",(IF(ifood_data[[#All],[Income]]&gt;35000,"35K-50K","&lt;35K")))))</f>
        <v>&lt;35K</v>
      </c>
      <c r="AW1919" t="str">
        <f>IF(ifood_data[[#All],[Age]]&gt;60,"60+",(IF(ifood_data[[#All],[Age]]&gt;50,"50-60",(IF(ifood_data[[#All],[Age]]&gt;40,"40-50",(IF(ifood_data[[#All],[Age]]&gt;30,"30-40","&lt;30")))))))</f>
        <v>30-40</v>
      </c>
      <c r="AX1919">
        <f t="shared" si="116"/>
        <v>15</v>
      </c>
      <c r="AY1919">
        <f t="shared" si="117"/>
        <v>1.9999999999999996</v>
      </c>
      <c r="AZ1919">
        <f t="shared" si="118"/>
        <v>2</v>
      </c>
      <c r="BA1919">
        <f t="shared" si="119"/>
        <v>2</v>
      </c>
      <c r="BB1919">
        <f>SUM(ifood_data[[#This Row],[Recency Score]:[Monetary Score]])</f>
        <v>6</v>
      </c>
      <c r="BC1919">
        <f>(_xlfn.PERCENTRANK.INC(ifood_data[[#All],[RFM]],ifood_data[[#This Row],[RFM]],1))*10</f>
        <v>0</v>
      </c>
      <c r="BD1919" t="str">
        <f>VLOOKUP(ifood_data[[#This Row],[RFM Score]],'RFM Analysis'!$A$3:$B$14,2,FALSE)</f>
        <v>Lost</v>
      </c>
      <c r="BE1919">
        <f>'Regression Models'!$B$101+'Regression Models'!$B$102*ifood_data[[#This Row],[Income]]+'Regression Models'!$B$103*ifood_data[[#This Row],[Age]]+'Regression Models'!$B$104*ifood_data[[#This Row],[Family]]</f>
        <v>-122.53157083836373</v>
      </c>
      <c r="BF1919" t="str">
        <f>IF(ifood_data[[#This Row],[AcceptedCmpOverall]]=1,"Campaign Respondent","Non-respondent")</f>
        <v>Non-respondent</v>
      </c>
    </row>
    <row r="1920" spans="1:58" x14ac:dyDescent="0.35">
      <c r="A1920">
        <v>743</v>
      </c>
      <c r="B1920">
        <v>20425</v>
      </c>
      <c r="C1920">
        <v>1</v>
      </c>
      <c r="D1920">
        <v>0</v>
      </c>
      <c r="E1920">
        <v>5</v>
      </c>
      <c r="F1920">
        <v>4</v>
      </c>
      <c r="G1920">
        <v>12</v>
      </c>
      <c r="H1920">
        <v>5</v>
      </c>
      <c r="I1920">
        <v>3</v>
      </c>
      <c r="J1920">
        <v>16</v>
      </c>
      <c r="K1920">
        <v>17</v>
      </c>
      <c r="L1920">
        <v>2</v>
      </c>
      <c r="M1920">
        <v>2</v>
      </c>
      <c r="N1920">
        <v>0</v>
      </c>
      <c r="O1920">
        <v>3</v>
      </c>
      <c r="P1920">
        <v>7</v>
      </c>
      <c r="Q1920">
        <v>0</v>
      </c>
      <c r="R1920">
        <v>0</v>
      </c>
      <c r="S1920">
        <v>0</v>
      </c>
      <c r="T1920">
        <v>0</v>
      </c>
      <c r="U1920">
        <v>0</v>
      </c>
      <c r="V1920">
        <f>IF(SUM(ifood_data[[#This Row],[AcceptedCmp1]:[AcceptedCmp5]])&gt;0,1,0)</f>
        <v>0</v>
      </c>
      <c r="W1920">
        <v>0</v>
      </c>
      <c r="X1920">
        <v>3</v>
      </c>
      <c r="Y1920">
        <v>11</v>
      </c>
      <c r="Z1920">
        <v>0</v>
      </c>
      <c r="AA1920">
        <v>34</v>
      </c>
      <c r="AB1920">
        <v>2767</v>
      </c>
      <c r="AC1920" s="28">
        <f>ifood_data[[#This Row],[Customer_Days]]/365</f>
        <v>7.580821917808219</v>
      </c>
      <c r="AD1920">
        <v>0</v>
      </c>
      <c r="AE1920">
        <v>1</v>
      </c>
      <c r="AF1920">
        <v>0</v>
      </c>
      <c r="AG1920">
        <v>0</v>
      </c>
      <c r="AH1920">
        <v>0</v>
      </c>
      <c r="AI1920">
        <v>0</v>
      </c>
      <c r="AJ1920">
        <v>1</v>
      </c>
      <c r="AK1920">
        <v>0</v>
      </c>
      <c r="AL1920">
        <v>0</v>
      </c>
      <c r="AM1920">
        <v>0</v>
      </c>
      <c r="AN1920">
        <v>40</v>
      </c>
      <c r="AO1920">
        <v>23</v>
      </c>
      <c r="AP1920">
        <f>ifood_data[[#This Row],[MntTotal]]-ifood_data[[#This Row],[MntRegularProds]]</f>
        <v>17</v>
      </c>
      <c r="AQ1920">
        <v>0</v>
      </c>
      <c r="AR1920">
        <f>IF(SUM(ifood_data[[#This Row],[Kidhome]:[Teenhome]])&gt;0,1,0)</f>
        <v>1</v>
      </c>
      <c r="AS1920" t="str">
        <f>IF(SUM(ifood_data[[#This Row],[Kidhome]:[Teenhome]])&gt;0,"Has Family","No Family")</f>
        <v>Has Family</v>
      </c>
      <c r="AT1920" t="str">
        <f>IF(ifood_data[[#This Row],[marital_Married]]=1,"Married", (IF(ifood_data[[#This Row],[marital_Single]]=1,"Single",(IF(ifood_data[[#This Row],[marital_Divorced]]=1,"Divorced",(IF(ifood_data[[#This Row],[marital_Together]]=1,"Living Together",(IF(ifood_data[[#This Row],[marital_Widow]]=1,"Widow","Other")))))))))</f>
        <v>Married</v>
      </c>
      <c r="AU1920" t="str">
        <f>IF(ifood_data[[#This Row],[education_Basic]]=1,"High School",(IF(ifood_data[[#This Row],[education_Graduation]]=1,"Undergraduate Degree",(IF(SUM(AM1920,AL1920,AI1920)&gt;0,"Master's Degree or Higher","Other")))))</f>
        <v>High School</v>
      </c>
      <c r="AV1920" t="str">
        <f>IF(ifood_data[[#All],[Income]]&gt;75000,"75K+",(IF(ifood_data[[#All],[Income]]&gt;50000,"50K-75K",(IF(ifood_data[[#All],[Income]]&gt;35000,"35K-50K","&lt;35K")))))</f>
        <v>&lt;35K</v>
      </c>
      <c r="AW1920" t="str">
        <f>IF(ifood_data[[#All],[Age]]&gt;60,"60+",(IF(ifood_data[[#All],[Age]]&gt;50,"50-60",(IF(ifood_data[[#All],[Age]]&gt;40,"40-50",(IF(ifood_data[[#All],[Age]]&gt;30,"30-40","&lt;30")))))))</f>
        <v>30-40</v>
      </c>
      <c r="AX1920">
        <f t="shared" si="116"/>
        <v>14</v>
      </c>
      <c r="AY1920">
        <f t="shared" si="117"/>
        <v>10</v>
      </c>
      <c r="AZ1920">
        <f t="shared" si="118"/>
        <v>2</v>
      </c>
      <c r="BA1920">
        <f t="shared" si="119"/>
        <v>1</v>
      </c>
      <c r="BB1920">
        <f>SUM(ifood_data[[#This Row],[Recency Score]:[Monetary Score]])</f>
        <v>13</v>
      </c>
      <c r="BC1920">
        <f>(_xlfn.PERCENTRANK.INC(ifood_data[[#All],[RFM]],ifood_data[[#This Row],[RFM]],1))*10</f>
        <v>3</v>
      </c>
      <c r="BD1920" t="str">
        <f>VLOOKUP(ifood_data[[#This Row],[RFM Score]],'RFM Analysis'!$A$3:$B$14,2,FALSE)</f>
        <v>At Risk</v>
      </c>
      <c r="BE1920">
        <f>'Regression Models'!$B$101+'Regression Models'!$B$102*ifood_data[[#This Row],[Income]]+'Regression Models'!$B$103*ifood_data[[#This Row],[Age]]+'Regression Models'!$B$104*ifood_data[[#This Row],[Family]]</f>
        <v>-123.42722669075187</v>
      </c>
      <c r="BF1920" t="str">
        <f>IF(ifood_data[[#This Row],[AcceptedCmpOverall]]=1,"Campaign Respondent","Non-respondent")</f>
        <v>Non-respondent</v>
      </c>
    </row>
    <row r="1921" spans="1:58" x14ac:dyDescent="0.35">
      <c r="A1921">
        <v>1249</v>
      </c>
      <c r="B1921">
        <v>6560</v>
      </c>
      <c r="C1921">
        <v>0</v>
      </c>
      <c r="D1921">
        <v>0</v>
      </c>
      <c r="E1921">
        <v>2</v>
      </c>
      <c r="F1921">
        <v>67</v>
      </c>
      <c r="G1921">
        <v>11</v>
      </c>
      <c r="H1921">
        <v>26</v>
      </c>
      <c r="I1921">
        <v>4</v>
      </c>
      <c r="J1921">
        <v>3</v>
      </c>
      <c r="K1921">
        <v>262</v>
      </c>
      <c r="L1921">
        <v>0</v>
      </c>
      <c r="M1921">
        <v>1</v>
      </c>
      <c r="N1921">
        <v>0</v>
      </c>
      <c r="O1921">
        <v>1</v>
      </c>
      <c r="P1921">
        <v>17</v>
      </c>
      <c r="Q1921">
        <v>0</v>
      </c>
      <c r="R1921">
        <v>0</v>
      </c>
      <c r="S1921">
        <v>0</v>
      </c>
      <c r="T1921">
        <v>0</v>
      </c>
      <c r="U1921">
        <v>0</v>
      </c>
      <c r="V1921">
        <f>IF(SUM(ifood_data[[#This Row],[AcceptedCmp1]:[AcceptedCmp5]])&gt;0,1,0)</f>
        <v>0</v>
      </c>
      <c r="W1921">
        <v>0</v>
      </c>
      <c r="X1921">
        <v>3</v>
      </c>
      <c r="Y1921">
        <v>11</v>
      </c>
      <c r="Z1921">
        <v>0</v>
      </c>
      <c r="AA1921">
        <v>38</v>
      </c>
      <c r="AB1921">
        <v>2358</v>
      </c>
      <c r="AC1921" s="28">
        <f>ifood_data[[#This Row],[Customer_Days]]/365</f>
        <v>6.4602739726027396</v>
      </c>
      <c r="AD1921">
        <v>0</v>
      </c>
      <c r="AE1921">
        <v>0</v>
      </c>
      <c r="AF1921">
        <v>1</v>
      </c>
      <c r="AG1921">
        <v>0</v>
      </c>
      <c r="AH1921">
        <v>0</v>
      </c>
      <c r="AI1921">
        <v>0</v>
      </c>
      <c r="AJ1921">
        <v>0</v>
      </c>
      <c r="AK1921">
        <v>0</v>
      </c>
      <c r="AL1921">
        <v>1</v>
      </c>
      <c r="AM1921">
        <v>0</v>
      </c>
      <c r="AN1921">
        <v>111</v>
      </c>
      <c r="AO1921">
        <v>-151</v>
      </c>
      <c r="AP1921">
        <f>ifood_data[[#This Row],[MntTotal]]-ifood_data[[#This Row],[MntRegularProds]]</f>
        <v>262</v>
      </c>
      <c r="AQ1921">
        <v>0</v>
      </c>
      <c r="AR1921">
        <f>IF(SUM(ifood_data[[#This Row],[Kidhome]:[Teenhome]])&gt;0,1,0)</f>
        <v>0</v>
      </c>
      <c r="AS1921" t="str">
        <f>IF(SUM(ifood_data[[#This Row],[Kidhome]:[Teenhome]])&gt;0,"Has Family","No Family")</f>
        <v>No Family</v>
      </c>
      <c r="AT1921" t="str">
        <f>IF(ifood_data[[#This Row],[marital_Married]]=1,"Married", (IF(ifood_data[[#This Row],[marital_Single]]=1,"Single",(IF(ifood_data[[#This Row],[marital_Divorced]]=1,"Divorced",(IF(ifood_data[[#This Row],[marital_Together]]=1,"Living Together",(IF(ifood_data[[#This Row],[marital_Widow]]=1,"Widow","Other")))))))))</f>
        <v>Single</v>
      </c>
      <c r="AU1921" t="str">
        <f>IF(ifood_data[[#This Row],[education_Basic]]=1,"High School",(IF(ifood_data[[#This Row],[education_Graduation]]=1,"Undergraduate Degree",(IF(SUM(AM1921,AL1921,AI1921)&gt;0,"Master's Degree or Higher","Other")))))</f>
        <v>Master's Degree or Higher</v>
      </c>
      <c r="AV1921" t="str">
        <f>IF(ifood_data[[#All],[Income]]&gt;75000,"75K+",(IF(ifood_data[[#All],[Income]]&gt;50000,"50K-75K",(IF(ifood_data[[#All],[Income]]&gt;35000,"35K-50K","&lt;35K")))))</f>
        <v>&lt;35K</v>
      </c>
      <c r="AW1921" t="str">
        <f>IF(ifood_data[[#All],[Age]]&gt;60,"60+",(IF(ifood_data[[#All],[Age]]&gt;50,"50-60",(IF(ifood_data[[#All],[Age]]&gt;40,"40-50",(IF(ifood_data[[#All],[Age]]&gt;30,"30-40","&lt;30")))))))</f>
        <v>30-40</v>
      </c>
      <c r="AX1921">
        <f t="shared" si="116"/>
        <v>19</v>
      </c>
      <c r="AY1921">
        <f t="shared" si="117"/>
        <v>10</v>
      </c>
      <c r="AZ1921">
        <f t="shared" si="118"/>
        <v>4</v>
      </c>
      <c r="BA1921">
        <f t="shared" si="119"/>
        <v>3</v>
      </c>
      <c r="BB1921">
        <f>SUM(ifood_data[[#This Row],[Recency Score]:[Monetary Score]])</f>
        <v>17</v>
      </c>
      <c r="BC1921">
        <f>(_xlfn.PERCENTRANK.INC(ifood_data[[#All],[RFM]],ifood_data[[#This Row],[RFM]],1))*10</f>
        <v>6</v>
      </c>
      <c r="BD1921" t="str">
        <f>VLOOKUP(ifood_data[[#This Row],[RFM Score]],'RFM Analysis'!$A$3:$B$14,2,FALSE)</f>
        <v>Promising</v>
      </c>
      <c r="BE1921">
        <f>'Regression Models'!$B$101+'Regression Models'!$B$102*ifood_data[[#This Row],[Income]]+'Regression Models'!$B$103*ifood_data[[#This Row],[Age]]+'Regression Models'!$B$104*ifood_data[[#This Row],[Family]]</f>
        <v>-123.84962224847173</v>
      </c>
      <c r="BF1921" t="str">
        <f>IF(ifood_data[[#This Row],[AcceptedCmpOverall]]=1,"Campaign Respondent","Non-respondent")</f>
        <v>Non-respondent</v>
      </c>
    </row>
    <row r="1922" spans="1:58" x14ac:dyDescent="0.35">
      <c r="A1922">
        <v>110</v>
      </c>
      <c r="B1922">
        <v>21918</v>
      </c>
      <c r="C1922">
        <v>1</v>
      </c>
      <c r="D1922">
        <v>0</v>
      </c>
      <c r="E1922">
        <v>37</v>
      </c>
      <c r="F1922">
        <v>1</v>
      </c>
      <c r="G1922">
        <v>6</v>
      </c>
      <c r="H1922">
        <v>7</v>
      </c>
      <c r="I1922">
        <v>11</v>
      </c>
      <c r="J1922">
        <v>5</v>
      </c>
      <c r="K1922">
        <v>3</v>
      </c>
      <c r="L1922">
        <v>2</v>
      </c>
      <c r="M1922">
        <v>2</v>
      </c>
      <c r="N1922">
        <v>0</v>
      </c>
      <c r="O1922">
        <v>3</v>
      </c>
      <c r="P1922">
        <v>6</v>
      </c>
      <c r="Q1922">
        <v>0</v>
      </c>
      <c r="R1922">
        <v>0</v>
      </c>
      <c r="S1922">
        <v>0</v>
      </c>
      <c r="T1922">
        <v>0</v>
      </c>
      <c r="U1922">
        <v>0</v>
      </c>
      <c r="V1922">
        <f>IF(SUM(ifood_data[[#This Row],[AcceptedCmp1]:[AcceptedCmp5]])&gt;0,1,0)</f>
        <v>0</v>
      </c>
      <c r="W1922">
        <v>0</v>
      </c>
      <c r="X1922">
        <v>3</v>
      </c>
      <c r="Y1922">
        <v>11</v>
      </c>
      <c r="Z1922">
        <v>0</v>
      </c>
      <c r="AA1922">
        <v>51</v>
      </c>
      <c r="AB1922">
        <v>2386</v>
      </c>
      <c r="AC1922" s="28">
        <f>ifood_data[[#This Row],[Customer_Days]]/365</f>
        <v>6.536986301369863</v>
      </c>
      <c r="AD1922">
        <v>0</v>
      </c>
      <c r="AE1922">
        <v>0</v>
      </c>
      <c r="AF1922">
        <v>0</v>
      </c>
      <c r="AG1922">
        <v>1</v>
      </c>
      <c r="AH1922">
        <v>0</v>
      </c>
      <c r="AI1922">
        <v>0</v>
      </c>
      <c r="AJ1922">
        <v>0</v>
      </c>
      <c r="AK1922">
        <v>1</v>
      </c>
      <c r="AL1922">
        <v>0</v>
      </c>
      <c r="AM1922">
        <v>0</v>
      </c>
      <c r="AN1922">
        <v>30</v>
      </c>
      <c r="AO1922">
        <v>27</v>
      </c>
      <c r="AP1922">
        <f>ifood_data[[#This Row],[MntTotal]]-ifood_data[[#This Row],[MntRegularProds]]</f>
        <v>3</v>
      </c>
      <c r="AQ1922">
        <v>0</v>
      </c>
      <c r="AR1922">
        <f>IF(SUM(ifood_data[[#This Row],[Kidhome]:[Teenhome]])&gt;0,1,0)</f>
        <v>1</v>
      </c>
      <c r="AS1922" t="str">
        <f>IF(SUM(ifood_data[[#This Row],[Kidhome]:[Teenhome]])&gt;0,"Has Family","No Family")</f>
        <v>Has Family</v>
      </c>
      <c r="AT1922" t="str">
        <f>IF(ifood_data[[#This Row],[marital_Married]]=1,"Married", (IF(ifood_data[[#This Row],[marital_Single]]=1,"Single",(IF(ifood_data[[#This Row],[marital_Divorced]]=1,"Divorced",(IF(ifood_data[[#This Row],[marital_Together]]=1,"Living Together",(IF(ifood_data[[#This Row],[marital_Widow]]=1,"Widow","Other")))))))))</f>
        <v>Living Together</v>
      </c>
      <c r="AU1922" t="str">
        <f>IF(ifood_data[[#This Row],[education_Basic]]=1,"High School",(IF(ifood_data[[#This Row],[education_Graduation]]=1,"Undergraduate Degree",(IF(SUM(AM1922,AL1922,AI1922)&gt;0,"Master's Degree or Higher","Other")))))</f>
        <v>Undergraduate Degree</v>
      </c>
      <c r="AV1922" t="str">
        <f>IF(ifood_data[[#All],[Income]]&gt;75000,"75K+",(IF(ifood_data[[#All],[Income]]&gt;50000,"50K-75K",(IF(ifood_data[[#All],[Income]]&gt;35000,"35K-50K","&lt;35K")))))</f>
        <v>&lt;35K</v>
      </c>
      <c r="AW1922" t="str">
        <f>IF(ifood_data[[#All],[Age]]&gt;60,"60+",(IF(ifood_data[[#All],[Age]]&gt;50,"50-60",(IF(ifood_data[[#All],[Age]]&gt;40,"40-50",(IF(ifood_data[[#All],[Age]]&gt;30,"30-40","&lt;30")))))))</f>
        <v>50-60</v>
      </c>
      <c r="AX1922">
        <f t="shared" ref="AX1922:AX1985" si="120">SUM(L1922:P1922)</f>
        <v>13</v>
      </c>
      <c r="AY1922">
        <f t="shared" ref="AY1922:AY1985" si="121">(1-_xlfn.PERCENTRANK.INC($E$2:$E$2022,E1922,1))*10</f>
        <v>7</v>
      </c>
      <c r="AZ1922">
        <f t="shared" ref="AZ1922:AZ1985" si="122">_xlfn.PERCENTRANK.INC($AX$2:$AX$2022,AX1922,1)*10</f>
        <v>1</v>
      </c>
      <c r="BA1922">
        <f t="shared" ref="BA1922:BA1985" si="123">_xlfn.PERCENTRANK.INC($AN$2:$AN$2022,AN1922,1)*10</f>
        <v>1</v>
      </c>
      <c r="BB1922">
        <f>SUM(ifood_data[[#This Row],[Recency Score]:[Monetary Score]])</f>
        <v>9</v>
      </c>
      <c r="BC1922">
        <f>(_xlfn.PERCENTRANK.INC(ifood_data[[#All],[RFM]],ifood_data[[#This Row],[RFM]],1))*10</f>
        <v>1</v>
      </c>
      <c r="BD1922" t="str">
        <f>VLOOKUP(ifood_data[[#This Row],[RFM Score]],'RFM Analysis'!$A$3:$B$14,2,FALSE)</f>
        <v>At Risk</v>
      </c>
      <c r="BE1922">
        <f>'Regression Models'!$B$101+'Regression Models'!$B$102*ifood_data[[#This Row],[Income]]+'Regression Models'!$B$103*ifood_data[[#This Row],[Age]]+'Regression Models'!$B$104*ifood_data[[#This Row],[Family]]</f>
        <v>-124.20626019311356</v>
      </c>
      <c r="BF1922" t="str">
        <f>IF(ifood_data[[#This Row],[AcceptedCmpOverall]]=1,"Campaign Respondent","Non-respondent")</f>
        <v>Non-respondent</v>
      </c>
    </row>
    <row r="1923" spans="1:58" x14ac:dyDescent="0.35">
      <c r="A1923">
        <v>1081</v>
      </c>
      <c r="B1923">
        <v>21255</v>
      </c>
      <c r="C1923">
        <v>1</v>
      </c>
      <c r="D1923">
        <v>0</v>
      </c>
      <c r="E1923">
        <v>56</v>
      </c>
      <c r="F1923">
        <v>29</v>
      </c>
      <c r="G1923">
        <v>0</v>
      </c>
      <c r="H1923">
        <v>25</v>
      </c>
      <c r="I1923">
        <v>2</v>
      </c>
      <c r="J1923">
        <v>2</v>
      </c>
      <c r="K1923">
        <v>3</v>
      </c>
      <c r="L1923">
        <v>4</v>
      </c>
      <c r="M1923">
        <v>2</v>
      </c>
      <c r="N1923">
        <v>1</v>
      </c>
      <c r="O1923">
        <v>4</v>
      </c>
      <c r="P1923">
        <v>4</v>
      </c>
      <c r="Q1923">
        <v>0</v>
      </c>
      <c r="R1923">
        <v>0</v>
      </c>
      <c r="S1923">
        <v>0</v>
      </c>
      <c r="T1923">
        <v>0</v>
      </c>
      <c r="U1923">
        <v>0</v>
      </c>
      <c r="V1923">
        <f>IF(SUM(ifood_data[[#This Row],[AcceptedCmp1]:[AcceptedCmp5]])&gt;0,1,0)</f>
        <v>0</v>
      </c>
      <c r="W1923">
        <v>0</v>
      </c>
      <c r="X1923">
        <v>3</v>
      </c>
      <c r="Y1923">
        <v>11</v>
      </c>
      <c r="Z1923">
        <v>0</v>
      </c>
      <c r="AA1923">
        <v>46</v>
      </c>
      <c r="AB1923">
        <v>2318</v>
      </c>
      <c r="AC1923" s="28">
        <f>ifood_data[[#This Row],[Customer_Days]]/365</f>
        <v>6.3506849315068497</v>
      </c>
      <c r="AD1923">
        <v>0</v>
      </c>
      <c r="AE1923">
        <v>0</v>
      </c>
      <c r="AF1923">
        <v>0</v>
      </c>
      <c r="AG1923">
        <v>1</v>
      </c>
      <c r="AH1923">
        <v>0</v>
      </c>
      <c r="AI1923">
        <v>0</v>
      </c>
      <c r="AJ1923">
        <v>0</v>
      </c>
      <c r="AK1923">
        <v>0</v>
      </c>
      <c r="AL1923">
        <v>1</v>
      </c>
      <c r="AM1923">
        <v>0</v>
      </c>
      <c r="AN1923">
        <v>58</v>
      </c>
      <c r="AO1923">
        <v>55</v>
      </c>
      <c r="AP1923">
        <f>ifood_data[[#This Row],[MntTotal]]-ifood_data[[#This Row],[MntRegularProds]]</f>
        <v>3</v>
      </c>
      <c r="AQ1923">
        <v>0</v>
      </c>
      <c r="AR1923">
        <f>IF(SUM(ifood_data[[#This Row],[Kidhome]:[Teenhome]])&gt;0,1,0)</f>
        <v>1</v>
      </c>
      <c r="AS1923" t="str">
        <f>IF(SUM(ifood_data[[#This Row],[Kidhome]:[Teenhome]])&gt;0,"Has Family","No Family")</f>
        <v>Has Family</v>
      </c>
      <c r="AT1923" t="str">
        <f>IF(ifood_data[[#This Row],[marital_Married]]=1,"Married", (IF(ifood_data[[#This Row],[marital_Single]]=1,"Single",(IF(ifood_data[[#This Row],[marital_Divorced]]=1,"Divorced",(IF(ifood_data[[#This Row],[marital_Together]]=1,"Living Together",(IF(ifood_data[[#This Row],[marital_Widow]]=1,"Widow","Other")))))))))</f>
        <v>Living Together</v>
      </c>
      <c r="AU1923" t="str">
        <f>IF(ifood_data[[#This Row],[education_Basic]]=1,"High School",(IF(ifood_data[[#This Row],[education_Graduation]]=1,"Undergraduate Degree",(IF(SUM(AM1923,AL1923,AI1923)&gt;0,"Master's Degree or Higher","Other")))))</f>
        <v>Master's Degree or Higher</v>
      </c>
      <c r="AV1923" t="str">
        <f>IF(ifood_data[[#All],[Income]]&gt;75000,"75K+",(IF(ifood_data[[#All],[Income]]&gt;50000,"50K-75K",(IF(ifood_data[[#All],[Income]]&gt;35000,"35K-50K","&lt;35K")))))</f>
        <v>&lt;35K</v>
      </c>
      <c r="AW1923" t="str">
        <f>IF(ifood_data[[#All],[Age]]&gt;60,"60+",(IF(ifood_data[[#All],[Age]]&gt;50,"50-60",(IF(ifood_data[[#All],[Age]]&gt;40,"40-50",(IF(ifood_data[[#All],[Age]]&gt;30,"30-40","&lt;30")))))))</f>
        <v>40-50</v>
      </c>
      <c r="AX1923">
        <f t="shared" si="120"/>
        <v>15</v>
      </c>
      <c r="AY1923">
        <f t="shared" si="121"/>
        <v>5</v>
      </c>
      <c r="AZ1923">
        <f t="shared" si="122"/>
        <v>2</v>
      </c>
      <c r="BA1923">
        <f t="shared" si="123"/>
        <v>2</v>
      </c>
      <c r="BB1923">
        <f>SUM(ifood_data[[#This Row],[Recency Score]:[Monetary Score]])</f>
        <v>9</v>
      </c>
      <c r="BC1923">
        <f>(_xlfn.PERCENTRANK.INC(ifood_data[[#All],[RFM]],ifood_data[[#This Row],[RFM]],1))*10</f>
        <v>1</v>
      </c>
      <c r="BD1923" t="str">
        <f>VLOOKUP(ifood_data[[#This Row],[RFM Score]],'RFM Analysis'!$A$3:$B$14,2,FALSE)</f>
        <v>At Risk</v>
      </c>
      <c r="BE1923">
        <f>'Regression Models'!$B$101+'Regression Models'!$B$102*ifood_data[[#This Row],[Income]]+'Regression Models'!$B$103*ifood_data[[#This Row],[Age]]+'Regression Models'!$B$104*ifood_data[[#This Row],[Family]]</f>
        <v>-128.5418180780471</v>
      </c>
      <c r="BF1923" t="str">
        <f>IF(ifood_data[[#This Row],[AcceptedCmpOverall]]=1,"Campaign Respondent","Non-respondent")</f>
        <v>Non-respondent</v>
      </c>
    </row>
    <row r="1924" spans="1:58" x14ac:dyDescent="0.35">
      <c r="A1924">
        <v>769</v>
      </c>
      <c r="B1924">
        <v>21359</v>
      </c>
      <c r="C1924">
        <v>1</v>
      </c>
      <c r="D1924">
        <v>0</v>
      </c>
      <c r="E1924">
        <v>1</v>
      </c>
      <c r="F1924">
        <v>12</v>
      </c>
      <c r="G1924">
        <v>2</v>
      </c>
      <c r="H1924">
        <v>17</v>
      </c>
      <c r="I1924">
        <v>6</v>
      </c>
      <c r="J1924">
        <v>1</v>
      </c>
      <c r="K1924">
        <v>10</v>
      </c>
      <c r="L1924">
        <v>2</v>
      </c>
      <c r="M1924">
        <v>2</v>
      </c>
      <c r="N1924">
        <v>0</v>
      </c>
      <c r="O1924">
        <v>3</v>
      </c>
      <c r="P1924">
        <v>8</v>
      </c>
      <c r="Q1924">
        <v>0</v>
      </c>
      <c r="R1924">
        <v>0</v>
      </c>
      <c r="S1924">
        <v>0</v>
      </c>
      <c r="T1924">
        <v>0</v>
      </c>
      <c r="U1924">
        <v>0</v>
      </c>
      <c r="V1924">
        <f>IF(SUM(ifood_data[[#This Row],[AcceptedCmp1]:[AcceptedCmp5]])&gt;0,1,0)</f>
        <v>0</v>
      </c>
      <c r="W1924">
        <v>0</v>
      </c>
      <c r="X1924">
        <v>3</v>
      </c>
      <c r="Y1924">
        <v>11</v>
      </c>
      <c r="Z1924">
        <v>1</v>
      </c>
      <c r="AA1924">
        <v>48</v>
      </c>
      <c r="AB1924">
        <v>2594</v>
      </c>
      <c r="AC1924" s="28">
        <f>ifood_data[[#This Row],[Customer_Days]]/365</f>
        <v>7.1068493150684935</v>
      </c>
      <c r="AD1924">
        <v>0</v>
      </c>
      <c r="AE1924">
        <v>0</v>
      </c>
      <c r="AF1924">
        <v>1</v>
      </c>
      <c r="AG1924">
        <v>0</v>
      </c>
      <c r="AH1924">
        <v>0</v>
      </c>
      <c r="AI1924">
        <v>0</v>
      </c>
      <c r="AJ1924">
        <v>0</v>
      </c>
      <c r="AK1924">
        <v>1</v>
      </c>
      <c r="AL1924">
        <v>0</v>
      </c>
      <c r="AM1924">
        <v>0</v>
      </c>
      <c r="AN1924">
        <v>38</v>
      </c>
      <c r="AO1924">
        <v>28</v>
      </c>
      <c r="AP1924">
        <f>ifood_data[[#This Row],[MntTotal]]-ifood_data[[#This Row],[MntRegularProds]]</f>
        <v>10</v>
      </c>
      <c r="AQ1924">
        <v>0</v>
      </c>
      <c r="AR1924">
        <f>IF(SUM(ifood_data[[#This Row],[Kidhome]:[Teenhome]])&gt;0,1,0)</f>
        <v>1</v>
      </c>
      <c r="AS1924" t="str">
        <f>IF(SUM(ifood_data[[#This Row],[Kidhome]:[Teenhome]])&gt;0,"Has Family","No Family")</f>
        <v>Has Family</v>
      </c>
      <c r="AT1924" t="str">
        <f>IF(ifood_data[[#This Row],[marital_Married]]=1,"Married", (IF(ifood_data[[#This Row],[marital_Single]]=1,"Single",(IF(ifood_data[[#This Row],[marital_Divorced]]=1,"Divorced",(IF(ifood_data[[#This Row],[marital_Together]]=1,"Living Together",(IF(ifood_data[[#This Row],[marital_Widow]]=1,"Widow","Other")))))))))</f>
        <v>Single</v>
      </c>
      <c r="AU1924" t="str">
        <f>IF(ifood_data[[#This Row],[education_Basic]]=1,"High School",(IF(ifood_data[[#This Row],[education_Graduation]]=1,"Undergraduate Degree",(IF(SUM(AM1924,AL1924,AI1924)&gt;0,"Master's Degree or Higher","Other")))))</f>
        <v>Undergraduate Degree</v>
      </c>
      <c r="AV1924" t="str">
        <f>IF(ifood_data[[#All],[Income]]&gt;75000,"75K+",(IF(ifood_data[[#All],[Income]]&gt;50000,"50K-75K",(IF(ifood_data[[#All],[Income]]&gt;35000,"35K-50K","&lt;35K")))))</f>
        <v>&lt;35K</v>
      </c>
      <c r="AW1924" t="str">
        <f>IF(ifood_data[[#All],[Age]]&gt;60,"60+",(IF(ifood_data[[#All],[Age]]&gt;50,"50-60",(IF(ifood_data[[#All],[Age]]&gt;40,"40-50",(IF(ifood_data[[#All],[Age]]&gt;30,"30-40","&lt;30")))))))</f>
        <v>40-50</v>
      </c>
      <c r="AX1924">
        <f t="shared" si="120"/>
        <v>15</v>
      </c>
      <c r="AY1924">
        <f t="shared" si="121"/>
        <v>10</v>
      </c>
      <c r="AZ1924">
        <f t="shared" si="122"/>
        <v>2</v>
      </c>
      <c r="BA1924">
        <f t="shared" si="123"/>
        <v>1</v>
      </c>
      <c r="BB1924">
        <f>SUM(ifood_data[[#This Row],[Recency Score]:[Monetary Score]])</f>
        <v>13</v>
      </c>
      <c r="BC1924">
        <f>(_xlfn.PERCENTRANK.INC(ifood_data[[#All],[RFM]],ifood_data[[#This Row],[RFM]],1))*10</f>
        <v>3</v>
      </c>
      <c r="BD1924" t="str">
        <f>VLOOKUP(ifood_data[[#This Row],[RFM Score]],'RFM Analysis'!$A$3:$B$14,2,FALSE)</f>
        <v>At Risk</v>
      </c>
      <c r="BE1924">
        <f>'Regression Models'!$B$101+'Regression Models'!$B$102*ifood_data[[#This Row],[Income]]+'Regression Models'!$B$103*ifood_data[[#This Row],[Age]]+'Regression Models'!$B$104*ifood_data[[#This Row],[Family]]</f>
        <v>-130.09426434887024</v>
      </c>
      <c r="BF1924" t="str">
        <f>IF(ifood_data[[#This Row],[AcceptedCmpOverall]]=1,"Campaign Respondent","Non-respondent")</f>
        <v>Non-respondent</v>
      </c>
    </row>
    <row r="1925" spans="1:58" x14ac:dyDescent="0.35">
      <c r="A1925">
        <v>360</v>
      </c>
      <c r="B1925">
        <v>19986</v>
      </c>
      <c r="C1925">
        <v>1</v>
      </c>
      <c r="D1925">
        <v>0</v>
      </c>
      <c r="E1925">
        <v>74</v>
      </c>
      <c r="F1925">
        <v>3</v>
      </c>
      <c r="G1925">
        <v>6</v>
      </c>
      <c r="H1925">
        <v>5</v>
      </c>
      <c r="I1925">
        <v>0</v>
      </c>
      <c r="J1925">
        <v>2</v>
      </c>
      <c r="K1925">
        <v>6</v>
      </c>
      <c r="L1925">
        <v>1</v>
      </c>
      <c r="M1925">
        <v>0</v>
      </c>
      <c r="N1925">
        <v>0</v>
      </c>
      <c r="O1925">
        <v>3</v>
      </c>
      <c r="P1925">
        <v>7</v>
      </c>
      <c r="Q1925">
        <v>0</v>
      </c>
      <c r="R1925">
        <v>0</v>
      </c>
      <c r="S1925">
        <v>0</v>
      </c>
      <c r="T1925">
        <v>0</v>
      </c>
      <c r="U1925">
        <v>0</v>
      </c>
      <c r="V1925">
        <f>IF(SUM(ifood_data[[#This Row],[AcceptedCmp1]:[AcceptedCmp5]])&gt;0,1,0)</f>
        <v>0</v>
      </c>
      <c r="W1925">
        <v>0</v>
      </c>
      <c r="X1925">
        <v>3</v>
      </c>
      <c r="Y1925">
        <v>11</v>
      </c>
      <c r="Z1925">
        <v>0</v>
      </c>
      <c r="AA1925">
        <v>35</v>
      </c>
      <c r="AB1925">
        <v>2386</v>
      </c>
      <c r="AC1925" s="28">
        <f>ifood_data[[#This Row],[Customer_Days]]/365</f>
        <v>6.536986301369863</v>
      </c>
      <c r="AD1925">
        <v>0</v>
      </c>
      <c r="AE1925">
        <v>1</v>
      </c>
      <c r="AF1925">
        <v>0</v>
      </c>
      <c r="AG1925">
        <v>0</v>
      </c>
      <c r="AH1925">
        <v>0</v>
      </c>
      <c r="AI1925">
        <v>0</v>
      </c>
      <c r="AJ1925">
        <v>0</v>
      </c>
      <c r="AK1925">
        <v>1</v>
      </c>
      <c r="AL1925">
        <v>0</v>
      </c>
      <c r="AM1925">
        <v>0</v>
      </c>
      <c r="AN1925">
        <v>16</v>
      </c>
      <c r="AO1925">
        <v>10</v>
      </c>
      <c r="AP1925">
        <f>ifood_data[[#This Row],[MntTotal]]-ifood_data[[#This Row],[MntRegularProds]]</f>
        <v>6</v>
      </c>
      <c r="AQ1925">
        <v>0</v>
      </c>
      <c r="AR1925">
        <f>IF(SUM(ifood_data[[#This Row],[Kidhome]:[Teenhome]])&gt;0,1,0)</f>
        <v>1</v>
      </c>
      <c r="AS1925" t="str">
        <f>IF(SUM(ifood_data[[#This Row],[Kidhome]:[Teenhome]])&gt;0,"Has Family","No Family")</f>
        <v>Has Family</v>
      </c>
      <c r="AT1925" t="str">
        <f>IF(ifood_data[[#This Row],[marital_Married]]=1,"Married", (IF(ifood_data[[#This Row],[marital_Single]]=1,"Single",(IF(ifood_data[[#This Row],[marital_Divorced]]=1,"Divorced",(IF(ifood_data[[#This Row],[marital_Together]]=1,"Living Together",(IF(ifood_data[[#This Row],[marital_Widow]]=1,"Widow","Other")))))))))</f>
        <v>Married</v>
      </c>
      <c r="AU1925" t="str">
        <f>IF(ifood_data[[#This Row],[education_Basic]]=1,"High School",(IF(ifood_data[[#This Row],[education_Graduation]]=1,"Undergraduate Degree",(IF(SUM(AM1925,AL1925,AI1925)&gt;0,"Master's Degree or Higher","Other")))))</f>
        <v>Undergraduate Degree</v>
      </c>
      <c r="AV1925" t="str">
        <f>IF(ifood_data[[#All],[Income]]&gt;75000,"75K+",(IF(ifood_data[[#All],[Income]]&gt;50000,"50K-75K",(IF(ifood_data[[#All],[Income]]&gt;35000,"35K-50K","&lt;35K")))))</f>
        <v>&lt;35K</v>
      </c>
      <c r="AW1925" t="str">
        <f>IF(ifood_data[[#All],[Age]]&gt;60,"60+",(IF(ifood_data[[#All],[Age]]&gt;50,"50-60",(IF(ifood_data[[#All],[Age]]&gt;40,"40-50",(IF(ifood_data[[#All],[Age]]&gt;30,"30-40","&lt;30")))))))</f>
        <v>30-40</v>
      </c>
      <c r="AX1925">
        <f t="shared" si="120"/>
        <v>11</v>
      </c>
      <c r="AY1925">
        <f t="shared" si="121"/>
        <v>3.0000000000000004</v>
      </c>
      <c r="AZ1925">
        <f t="shared" si="122"/>
        <v>0</v>
      </c>
      <c r="BA1925">
        <f t="shared" si="123"/>
        <v>0</v>
      </c>
      <c r="BB1925">
        <f>SUM(ifood_data[[#This Row],[Recency Score]:[Monetary Score]])</f>
        <v>3.0000000000000004</v>
      </c>
      <c r="BC1925">
        <f>(_xlfn.PERCENTRANK.INC(ifood_data[[#All],[RFM]],ifood_data[[#This Row],[RFM]],1))*10</f>
        <v>0</v>
      </c>
      <c r="BD1925" t="str">
        <f>VLOOKUP(ifood_data[[#This Row],[RFM Score]],'RFM Analysis'!$A$3:$B$14,2,FALSE)</f>
        <v>Lost</v>
      </c>
      <c r="BE1925">
        <f>'Regression Models'!$B$101+'Regression Models'!$B$102*ifood_data[[#This Row],[Income]]+'Regression Models'!$B$103*ifood_data[[#This Row],[Age]]+'Regression Models'!$B$104*ifood_data[[#This Row],[Family]]</f>
        <v>-134.21433498481775</v>
      </c>
      <c r="BF1925" t="str">
        <f>IF(ifood_data[[#This Row],[AcceptedCmpOverall]]=1,"Campaign Respondent","Non-respondent")</f>
        <v>Non-respondent</v>
      </c>
    </row>
    <row r="1926" spans="1:58" x14ac:dyDescent="0.35">
      <c r="A1926">
        <v>1547</v>
      </c>
      <c r="B1926">
        <v>22554</v>
      </c>
      <c r="C1926">
        <v>1</v>
      </c>
      <c r="D1926">
        <v>1</v>
      </c>
      <c r="E1926">
        <v>38</v>
      </c>
      <c r="F1926">
        <v>27</v>
      </c>
      <c r="G1926">
        <v>0</v>
      </c>
      <c r="H1926">
        <v>10</v>
      </c>
      <c r="I1926">
        <v>0</v>
      </c>
      <c r="J1926">
        <v>0</v>
      </c>
      <c r="K1926">
        <v>4</v>
      </c>
      <c r="L1926">
        <v>4</v>
      </c>
      <c r="M1926">
        <v>2</v>
      </c>
      <c r="N1926">
        <v>0</v>
      </c>
      <c r="O1926">
        <v>4</v>
      </c>
      <c r="P1926">
        <v>5</v>
      </c>
      <c r="Q1926">
        <v>0</v>
      </c>
      <c r="R1926">
        <v>0</v>
      </c>
      <c r="S1926">
        <v>0</v>
      </c>
      <c r="T1926">
        <v>0</v>
      </c>
      <c r="U1926">
        <v>0</v>
      </c>
      <c r="V1926">
        <f>IF(SUM(ifood_data[[#This Row],[AcceptedCmp1]:[AcceptedCmp5]])&gt;0,1,0)</f>
        <v>0</v>
      </c>
      <c r="W1926">
        <v>0</v>
      </c>
      <c r="X1926">
        <v>3</v>
      </c>
      <c r="Y1926">
        <v>11</v>
      </c>
      <c r="Z1926">
        <v>0</v>
      </c>
      <c r="AA1926">
        <v>65</v>
      </c>
      <c r="AB1926">
        <v>2762</v>
      </c>
      <c r="AC1926" s="28">
        <f>ifood_data[[#This Row],[Customer_Days]]/365</f>
        <v>7.5671232876712331</v>
      </c>
      <c r="AD1926">
        <v>0</v>
      </c>
      <c r="AE1926">
        <v>1</v>
      </c>
      <c r="AF1926">
        <v>0</v>
      </c>
      <c r="AG1926">
        <v>0</v>
      </c>
      <c r="AH1926">
        <v>0</v>
      </c>
      <c r="AI1926">
        <v>0</v>
      </c>
      <c r="AJ1926">
        <v>0</v>
      </c>
      <c r="AK1926">
        <v>0</v>
      </c>
      <c r="AL1926">
        <v>0</v>
      </c>
      <c r="AM1926">
        <v>1</v>
      </c>
      <c r="AN1926">
        <v>37</v>
      </c>
      <c r="AO1926">
        <v>33</v>
      </c>
      <c r="AP1926">
        <f>ifood_data[[#This Row],[MntTotal]]-ifood_data[[#This Row],[MntRegularProds]]</f>
        <v>4</v>
      </c>
      <c r="AQ1926">
        <v>0</v>
      </c>
      <c r="AR1926">
        <f>IF(SUM(ifood_data[[#This Row],[Kidhome]:[Teenhome]])&gt;0,1,0)</f>
        <v>1</v>
      </c>
      <c r="AS1926" t="str">
        <f>IF(SUM(ifood_data[[#This Row],[Kidhome]:[Teenhome]])&gt;0,"Has Family","No Family")</f>
        <v>Has Family</v>
      </c>
      <c r="AT1926" t="str">
        <f>IF(ifood_data[[#This Row],[marital_Married]]=1,"Married", (IF(ifood_data[[#This Row],[marital_Single]]=1,"Single",(IF(ifood_data[[#This Row],[marital_Divorced]]=1,"Divorced",(IF(ifood_data[[#This Row],[marital_Together]]=1,"Living Together",(IF(ifood_data[[#This Row],[marital_Widow]]=1,"Widow","Other")))))))))</f>
        <v>Married</v>
      </c>
      <c r="AU1926" t="str">
        <f>IF(ifood_data[[#This Row],[education_Basic]]=1,"High School",(IF(ifood_data[[#This Row],[education_Graduation]]=1,"Undergraduate Degree",(IF(SUM(AM1926,AL1926,AI1926)&gt;0,"Master's Degree or Higher","Other")))))</f>
        <v>Master's Degree or Higher</v>
      </c>
      <c r="AV1926" t="str">
        <f>IF(ifood_data[[#All],[Income]]&gt;75000,"75K+",(IF(ifood_data[[#All],[Income]]&gt;50000,"50K-75K",(IF(ifood_data[[#All],[Income]]&gt;35000,"35K-50K","&lt;35K")))))</f>
        <v>&lt;35K</v>
      </c>
      <c r="AW1926" t="str">
        <f>IF(ifood_data[[#All],[Age]]&gt;60,"60+",(IF(ifood_data[[#All],[Age]]&gt;50,"50-60",(IF(ifood_data[[#All],[Age]]&gt;40,"40-50",(IF(ifood_data[[#All],[Age]]&gt;30,"30-40","&lt;30")))))))</f>
        <v>60+</v>
      </c>
      <c r="AX1926">
        <f t="shared" si="120"/>
        <v>15</v>
      </c>
      <c r="AY1926">
        <f t="shared" si="121"/>
        <v>7</v>
      </c>
      <c r="AZ1926">
        <f t="shared" si="122"/>
        <v>2</v>
      </c>
      <c r="BA1926">
        <f t="shared" si="123"/>
        <v>1</v>
      </c>
      <c r="BB1926">
        <f>SUM(ifood_data[[#This Row],[Recency Score]:[Monetary Score]])</f>
        <v>10</v>
      </c>
      <c r="BC1926">
        <f>(_xlfn.PERCENTRANK.INC(ifood_data[[#All],[RFM]],ifood_data[[#This Row],[RFM]],1))*10</f>
        <v>2</v>
      </c>
      <c r="BD1926" t="str">
        <f>VLOOKUP(ifood_data[[#This Row],[RFM Score]],'RFM Analysis'!$A$3:$B$14,2,FALSE)</f>
        <v>At Risk</v>
      </c>
      <c r="BE1926">
        <f>'Regression Models'!$B$101+'Regression Models'!$B$102*ifood_data[[#This Row],[Income]]+'Regression Models'!$B$103*ifood_data[[#This Row],[Age]]+'Regression Models'!$B$104*ifood_data[[#This Row],[Family]]</f>
        <v>-136.94915075811372</v>
      </c>
      <c r="BF1926" t="str">
        <f>IF(ifood_data[[#This Row],[AcceptedCmpOverall]]=1,"Campaign Respondent","Non-respondent")</f>
        <v>Non-respondent</v>
      </c>
    </row>
    <row r="1927" spans="1:58" x14ac:dyDescent="0.35">
      <c r="A1927">
        <v>1297</v>
      </c>
      <c r="B1927">
        <v>20895</v>
      </c>
      <c r="C1927">
        <v>1</v>
      </c>
      <c r="D1927">
        <v>0</v>
      </c>
      <c r="E1927">
        <v>24</v>
      </c>
      <c r="F1927">
        <v>18</v>
      </c>
      <c r="G1927">
        <v>3</v>
      </c>
      <c r="H1927">
        <v>17</v>
      </c>
      <c r="I1927">
        <v>3</v>
      </c>
      <c r="J1927">
        <v>0</v>
      </c>
      <c r="K1927">
        <v>4</v>
      </c>
      <c r="L1927">
        <v>1</v>
      </c>
      <c r="M1927">
        <v>2</v>
      </c>
      <c r="N1927">
        <v>0</v>
      </c>
      <c r="O1927">
        <v>3</v>
      </c>
      <c r="P1927">
        <v>9</v>
      </c>
      <c r="Q1927">
        <v>0</v>
      </c>
      <c r="R1927">
        <v>0</v>
      </c>
      <c r="S1927">
        <v>0</v>
      </c>
      <c r="T1927">
        <v>0</v>
      </c>
      <c r="U1927">
        <v>0</v>
      </c>
      <c r="V1927">
        <f>IF(SUM(ifood_data[[#This Row],[AcceptedCmp1]:[AcceptedCmp5]])&gt;0,1,0)</f>
        <v>0</v>
      </c>
      <c r="W1927">
        <v>0</v>
      </c>
      <c r="X1927">
        <v>3</v>
      </c>
      <c r="Y1927">
        <v>11</v>
      </c>
      <c r="Z1927">
        <v>0</v>
      </c>
      <c r="AA1927">
        <v>47</v>
      </c>
      <c r="AB1927">
        <v>2790</v>
      </c>
      <c r="AC1927" s="28">
        <f>ifood_data[[#This Row],[Customer_Days]]/365</f>
        <v>7.6438356164383565</v>
      </c>
      <c r="AD1927">
        <v>0</v>
      </c>
      <c r="AE1927">
        <v>1</v>
      </c>
      <c r="AF1927">
        <v>0</v>
      </c>
      <c r="AG1927">
        <v>0</v>
      </c>
      <c r="AH1927">
        <v>0</v>
      </c>
      <c r="AI1927">
        <v>0</v>
      </c>
      <c r="AJ1927">
        <v>0</v>
      </c>
      <c r="AK1927">
        <v>1</v>
      </c>
      <c r="AL1927">
        <v>0</v>
      </c>
      <c r="AM1927">
        <v>0</v>
      </c>
      <c r="AN1927">
        <v>41</v>
      </c>
      <c r="AO1927">
        <v>37</v>
      </c>
      <c r="AP1927">
        <f>ifood_data[[#This Row],[MntTotal]]-ifood_data[[#This Row],[MntRegularProds]]</f>
        <v>4</v>
      </c>
      <c r="AQ1927">
        <v>0</v>
      </c>
      <c r="AR1927">
        <f>IF(SUM(ifood_data[[#This Row],[Kidhome]:[Teenhome]])&gt;0,1,0)</f>
        <v>1</v>
      </c>
      <c r="AS1927" t="str">
        <f>IF(SUM(ifood_data[[#This Row],[Kidhome]:[Teenhome]])&gt;0,"Has Family","No Family")</f>
        <v>Has Family</v>
      </c>
      <c r="AT1927" t="str">
        <f>IF(ifood_data[[#This Row],[marital_Married]]=1,"Married", (IF(ifood_data[[#This Row],[marital_Single]]=1,"Single",(IF(ifood_data[[#This Row],[marital_Divorced]]=1,"Divorced",(IF(ifood_data[[#This Row],[marital_Together]]=1,"Living Together",(IF(ifood_data[[#This Row],[marital_Widow]]=1,"Widow","Other")))))))))</f>
        <v>Married</v>
      </c>
      <c r="AU1927" t="str">
        <f>IF(ifood_data[[#This Row],[education_Basic]]=1,"High School",(IF(ifood_data[[#This Row],[education_Graduation]]=1,"Undergraduate Degree",(IF(SUM(AM1927,AL1927,AI1927)&gt;0,"Master's Degree or Higher","Other")))))</f>
        <v>Undergraduate Degree</v>
      </c>
      <c r="AV1927" t="str">
        <f>IF(ifood_data[[#All],[Income]]&gt;75000,"75K+",(IF(ifood_data[[#All],[Income]]&gt;50000,"50K-75K",(IF(ifood_data[[#All],[Income]]&gt;35000,"35K-50K","&lt;35K")))))</f>
        <v>&lt;35K</v>
      </c>
      <c r="AW1927" t="str">
        <f>IF(ifood_data[[#All],[Age]]&gt;60,"60+",(IF(ifood_data[[#All],[Age]]&gt;50,"50-60",(IF(ifood_data[[#All],[Age]]&gt;40,"40-50",(IF(ifood_data[[#All],[Age]]&gt;30,"30-40","&lt;30")))))))</f>
        <v>40-50</v>
      </c>
      <c r="AX1927">
        <f t="shared" si="120"/>
        <v>15</v>
      </c>
      <c r="AY1927">
        <f t="shared" si="121"/>
        <v>8</v>
      </c>
      <c r="AZ1927">
        <f t="shared" si="122"/>
        <v>2</v>
      </c>
      <c r="BA1927">
        <f t="shared" si="123"/>
        <v>1</v>
      </c>
      <c r="BB1927">
        <f>SUM(ifood_data[[#This Row],[Recency Score]:[Monetary Score]])</f>
        <v>11</v>
      </c>
      <c r="BC1927">
        <f>(_xlfn.PERCENTRANK.INC(ifood_data[[#All],[RFM]],ifood_data[[#This Row],[RFM]],1))*10</f>
        <v>2</v>
      </c>
      <c r="BD1927" t="str">
        <f>VLOOKUP(ifood_data[[#This Row],[RFM Score]],'RFM Analysis'!$A$3:$B$14,2,FALSE)</f>
        <v>At Risk</v>
      </c>
      <c r="BE1927">
        <f>'Regression Models'!$B$101+'Regression Models'!$B$102*ifood_data[[#This Row],[Income]]+'Regression Models'!$B$103*ifood_data[[#This Row],[Age]]+'Regression Models'!$B$104*ifood_data[[#This Row],[Family]]</f>
        <v>-137.71821368874504</v>
      </c>
      <c r="BF1927" t="str">
        <f>IF(ifood_data[[#This Row],[AcceptedCmpOverall]]=1,"Campaign Respondent","Non-respondent")</f>
        <v>Non-respondent</v>
      </c>
    </row>
    <row r="1928" spans="1:58" x14ac:dyDescent="0.35">
      <c r="A1928">
        <v>1631</v>
      </c>
      <c r="B1928">
        <v>20194</v>
      </c>
      <c r="C1928">
        <v>1</v>
      </c>
      <c r="D1928">
        <v>0</v>
      </c>
      <c r="E1928">
        <v>64</v>
      </c>
      <c r="F1928">
        <v>0</v>
      </c>
      <c r="G1928">
        <v>4</v>
      </c>
      <c r="H1928">
        <v>7</v>
      </c>
      <c r="I1928">
        <v>11</v>
      </c>
      <c r="J1928">
        <v>10</v>
      </c>
      <c r="K1928">
        <v>15</v>
      </c>
      <c r="L1928">
        <v>2</v>
      </c>
      <c r="M1928">
        <v>2</v>
      </c>
      <c r="N1928">
        <v>0</v>
      </c>
      <c r="O1928">
        <v>3</v>
      </c>
      <c r="P1928">
        <v>6</v>
      </c>
      <c r="Q1928">
        <v>0</v>
      </c>
      <c r="R1928">
        <v>0</v>
      </c>
      <c r="S1928">
        <v>0</v>
      </c>
      <c r="T1928">
        <v>0</v>
      </c>
      <c r="U1928">
        <v>0</v>
      </c>
      <c r="V1928">
        <f>IF(SUM(ifood_data[[#This Row],[AcceptedCmp1]:[AcceptedCmp5]])&gt;0,1,0)</f>
        <v>0</v>
      </c>
      <c r="W1928">
        <v>0</v>
      </c>
      <c r="X1928">
        <v>3</v>
      </c>
      <c r="Y1928">
        <v>11</v>
      </c>
      <c r="Z1928">
        <v>0</v>
      </c>
      <c r="AA1928">
        <v>41</v>
      </c>
      <c r="AB1928">
        <v>2718</v>
      </c>
      <c r="AC1928" s="28">
        <f>ifood_data[[#This Row],[Customer_Days]]/365</f>
        <v>7.4465753424657537</v>
      </c>
      <c r="AD1928">
        <v>0</v>
      </c>
      <c r="AE1928">
        <v>0</v>
      </c>
      <c r="AF1928">
        <v>1</v>
      </c>
      <c r="AG1928">
        <v>0</v>
      </c>
      <c r="AH1928">
        <v>0</v>
      </c>
      <c r="AI1928">
        <v>0</v>
      </c>
      <c r="AJ1928">
        <v>1</v>
      </c>
      <c r="AK1928">
        <v>0</v>
      </c>
      <c r="AL1928">
        <v>0</v>
      </c>
      <c r="AM1928">
        <v>0</v>
      </c>
      <c r="AN1928">
        <v>32</v>
      </c>
      <c r="AO1928">
        <v>17</v>
      </c>
      <c r="AP1928">
        <f>ifood_data[[#This Row],[MntTotal]]-ifood_data[[#This Row],[MntRegularProds]]</f>
        <v>15</v>
      </c>
      <c r="AQ1928">
        <v>0</v>
      </c>
      <c r="AR1928">
        <f>IF(SUM(ifood_data[[#This Row],[Kidhome]:[Teenhome]])&gt;0,1,0)</f>
        <v>1</v>
      </c>
      <c r="AS1928" t="str">
        <f>IF(SUM(ifood_data[[#This Row],[Kidhome]:[Teenhome]])&gt;0,"Has Family","No Family")</f>
        <v>Has Family</v>
      </c>
      <c r="AT1928" t="str">
        <f>IF(ifood_data[[#This Row],[marital_Married]]=1,"Married", (IF(ifood_data[[#This Row],[marital_Single]]=1,"Single",(IF(ifood_data[[#This Row],[marital_Divorced]]=1,"Divorced",(IF(ifood_data[[#This Row],[marital_Together]]=1,"Living Together",(IF(ifood_data[[#This Row],[marital_Widow]]=1,"Widow","Other")))))))))</f>
        <v>Single</v>
      </c>
      <c r="AU1928" t="str">
        <f>IF(ifood_data[[#This Row],[education_Basic]]=1,"High School",(IF(ifood_data[[#This Row],[education_Graduation]]=1,"Undergraduate Degree",(IF(SUM(AM1928,AL1928,AI1928)&gt;0,"Master's Degree or Higher","Other")))))</f>
        <v>High School</v>
      </c>
      <c r="AV1928" t="str">
        <f>IF(ifood_data[[#All],[Income]]&gt;75000,"75K+",(IF(ifood_data[[#All],[Income]]&gt;50000,"50K-75K",(IF(ifood_data[[#All],[Income]]&gt;35000,"35K-50K","&lt;35K")))))</f>
        <v>&lt;35K</v>
      </c>
      <c r="AW1928" t="str">
        <f>IF(ifood_data[[#All],[Age]]&gt;60,"60+",(IF(ifood_data[[#All],[Age]]&gt;50,"50-60",(IF(ifood_data[[#All],[Age]]&gt;40,"40-50",(IF(ifood_data[[#All],[Age]]&gt;30,"30-40","&lt;30")))))))</f>
        <v>40-50</v>
      </c>
      <c r="AX1928">
        <f t="shared" si="120"/>
        <v>13</v>
      </c>
      <c r="AY1928">
        <f t="shared" si="121"/>
        <v>4</v>
      </c>
      <c r="AZ1928">
        <f t="shared" si="122"/>
        <v>1</v>
      </c>
      <c r="BA1928">
        <f t="shared" si="123"/>
        <v>1</v>
      </c>
      <c r="BB1928">
        <f>SUM(ifood_data[[#This Row],[Recency Score]:[Monetary Score]])</f>
        <v>6</v>
      </c>
      <c r="BC1928">
        <f>(_xlfn.PERCENTRANK.INC(ifood_data[[#All],[RFM]],ifood_data[[#This Row],[RFM]],1))*10</f>
        <v>0</v>
      </c>
      <c r="BD1928" t="str">
        <f>VLOOKUP(ifood_data[[#This Row],[RFM Score]],'RFM Analysis'!$A$3:$B$14,2,FALSE)</f>
        <v>Lost</v>
      </c>
      <c r="BE1928">
        <f>'Regression Models'!$B$101+'Regression Models'!$B$102*ifood_data[[#This Row],[Income]]+'Regression Models'!$B$103*ifood_data[[#This Row],[Age]]+'Regression Models'!$B$104*ifood_data[[#This Row],[Family]]</f>
        <v>-140.99210568425249</v>
      </c>
      <c r="BF1928" t="str">
        <f>IF(ifood_data[[#This Row],[AcceptedCmpOverall]]=1,"Campaign Respondent","Non-respondent")</f>
        <v>Non-respondent</v>
      </c>
    </row>
    <row r="1929" spans="1:58" x14ac:dyDescent="0.35">
      <c r="A1929">
        <v>821</v>
      </c>
      <c r="B1929">
        <v>19485</v>
      </c>
      <c r="C1929">
        <v>2</v>
      </c>
      <c r="D1929">
        <v>0</v>
      </c>
      <c r="E1929">
        <v>80</v>
      </c>
      <c r="F1929">
        <v>6</v>
      </c>
      <c r="G1929">
        <v>0</v>
      </c>
      <c r="H1929">
        <v>4</v>
      </c>
      <c r="I1929">
        <v>0</v>
      </c>
      <c r="J1929">
        <v>0</v>
      </c>
      <c r="K1929">
        <v>0</v>
      </c>
      <c r="L1929">
        <v>1</v>
      </c>
      <c r="M1929">
        <v>1</v>
      </c>
      <c r="N1929">
        <v>0</v>
      </c>
      <c r="O1929">
        <v>2</v>
      </c>
      <c r="P1929">
        <v>7</v>
      </c>
      <c r="Q1929">
        <v>0</v>
      </c>
      <c r="R1929">
        <v>0</v>
      </c>
      <c r="S1929">
        <v>0</v>
      </c>
      <c r="T1929">
        <v>0</v>
      </c>
      <c r="U1929">
        <v>0</v>
      </c>
      <c r="V1929">
        <f>IF(SUM(ifood_data[[#This Row],[AcceptedCmp1]:[AcceptedCmp5]])&gt;0,1,0)</f>
        <v>0</v>
      </c>
      <c r="W1929">
        <v>0</v>
      </c>
      <c r="X1929">
        <v>3</v>
      </c>
      <c r="Y1929">
        <v>11</v>
      </c>
      <c r="Z1929">
        <v>0</v>
      </c>
      <c r="AA1929">
        <v>34</v>
      </c>
      <c r="AB1929">
        <v>2437</v>
      </c>
      <c r="AC1929" s="28">
        <f>ifood_data[[#This Row],[Customer_Days]]/365</f>
        <v>6.6767123287671231</v>
      </c>
      <c r="AD1929">
        <v>0</v>
      </c>
      <c r="AE1929">
        <v>0</v>
      </c>
      <c r="AF1929">
        <v>1</v>
      </c>
      <c r="AG1929">
        <v>0</v>
      </c>
      <c r="AH1929">
        <v>0</v>
      </c>
      <c r="AI1929">
        <v>0</v>
      </c>
      <c r="AJ1929">
        <v>0</v>
      </c>
      <c r="AK1929">
        <v>0</v>
      </c>
      <c r="AL1929">
        <v>1</v>
      </c>
      <c r="AM1929">
        <v>0</v>
      </c>
      <c r="AN1929">
        <v>10</v>
      </c>
      <c r="AO1929">
        <v>10</v>
      </c>
      <c r="AP1929">
        <f>ifood_data[[#This Row],[MntTotal]]-ifood_data[[#This Row],[MntRegularProds]]</f>
        <v>0</v>
      </c>
      <c r="AQ1929">
        <v>0</v>
      </c>
      <c r="AR1929">
        <f>IF(SUM(ifood_data[[#This Row],[Kidhome]:[Teenhome]])&gt;0,1,0)</f>
        <v>1</v>
      </c>
      <c r="AS1929" t="str">
        <f>IF(SUM(ifood_data[[#This Row],[Kidhome]:[Teenhome]])&gt;0,"Has Family","No Family")</f>
        <v>Has Family</v>
      </c>
      <c r="AT1929" t="str">
        <f>IF(ifood_data[[#This Row],[marital_Married]]=1,"Married", (IF(ifood_data[[#This Row],[marital_Single]]=1,"Single",(IF(ifood_data[[#This Row],[marital_Divorced]]=1,"Divorced",(IF(ifood_data[[#This Row],[marital_Together]]=1,"Living Together",(IF(ifood_data[[#This Row],[marital_Widow]]=1,"Widow","Other")))))))))</f>
        <v>Single</v>
      </c>
      <c r="AU1929" t="str">
        <f>IF(ifood_data[[#This Row],[education_Basic]]=1,"High School",(IF(ifood_data[[#This Row],[education_Graduation]]=1,"Undergraduate Degree",(IF(SUM(AM1929,AL1929,AI1929)&gt;0,"Master's Degree or Higher","Other")))))</f>
        <v>Master's Degree or Higher</v>
      </c>
      <c r="AV1929" t="str">
        <f>IF(ifood_data[[#All],[Income]]&gt;75000,"75K+",(IF(ifood_data[[#All],[Income]]&gt;50000,"50K-75K",(IF(ifood_data[[#All],[Income]]&gt;35000,"35K-50K","&lt;35K")))))</f>
        <v>&lt;35K</v>
      </c>
      <c r="AW1929" t="str">
        <f>IF(ifood_data[[#All],[Age]]&gt;60,"60+",(IF(ifood_data[[#All],[Age]]&gt;50,"50-60",(IF(ifood_data[[#All],[Age]]&gt;40,"40-50",(IF(ifood_data[[#All],[Age]]&gt;30,"30-40","&lt;30")))))))</f>
        <v>30-40</v>
      </c>
      <c r="AX1929">
        <f t="shared" si="120"/>
        <v>11</v>
      </c>
      <c r="AY1929">
        <f t="shared" si="121"/>
        <v>1.9999999999999996</v>
      </c>
      <c r="AZ1929">
        <f t="shared" si="122"/>
        <v>0</v>
      </c>
      <c r="BA1929">
        <f t="shared" si="123"/>
        <v>0</v>
      </c>
      <c r="BB1929">
        <f>SUM(ifood_data[[#This Row],[Recency Score]:[Monetary Score]])</f>
        <v>1.9999999999999996</v>
      </c>
      <c r="BC1929">
        <f>(_xlfn.PERCENTRANK.INC(ifood_data[[#All],[RFM]],ifood_data[[#This Row],[RFM]],1))*10</f>
        <v>0</v>
      </c>
      <c r="BD1929" t="str">
        <f>VLOOKUP(ifood_data[[#This Row],[RFM Score]],'RFM Analysis'!$A$3:$B$14,2,FALSE)</f>
        <v>Lost</v>
      </c>
      <c r="BE1929">
        <f>'Regression Models'!$B$101+'Regression Models'!$B$102*ifood_data[[#This Row],[Income]]+'Regression Models'!$B$103*ifood_data[[#This Row],[Age]]+'Regression Models'!$B$104*ifood_data[[#This Row],[Family]]</f>
        <v>-142.59266874601684</v>
      </c>
      <c r="BF1929" t="str">
        <f>IF(ifood_data[[#This Row],[AcceptedCmpOverall]]=1,"Campaign Respondent","Non-respondent")</f>
        <v>Non-respondent</v>
      </c>
    </row>
    <row r="1930" spans="1:58" x14ac:dyDescent="0.35">
      <c r="A1930">
        <v>113</v>
      </c>
      <c r="B1930">
        <v>19510</v>
      </c>
      <c r="C1930">
        <v>2</v>
      </c>
      <c r="D1930">
        <v>0</v>
      </c>
      <c r="E1930">
        <v>63</v>
      </c>
      <c r="F1930">
        <v>9</v>
      </c>
      <c r="G1930">
        <v>0</v>
      </c>
      <c r="H1930">
        <v>7</v>
      </c>
      <c r="I1930">
        <v>3</v>
      </c>
      <c r="J1930">
        <v>4</v>
      </c>
      <c r="K1930">
        <v>7</v>
      </c>
      <c r="L1930">
        <v>2</v>
      </c>
      <c r="M1930">
        <v>1</v>
      </c>
      <c r="N1930">
        <v>0</v>
      </c>
      <c r="O1930">
        <v>3</v>
      </c>
      <c r="P1930">
        <v>7</v>
      </c>
      <c r="Q1930">
        <v>0</v>
      </c>
      <c r="R1930">
        <v>0</v>
      </c>
      <c r="S1930">
        <v>0</v>
      </c>
      <c r="T1930">
        <v>0</v>
      </c>
      <c r="U1930">
        <v>0</v>
      </c>
      <c r="V1930">
        <f>IF(SUM(ifood_data[[#This Row],[AcceptedCmp1]:[AcceptedCmp5]])&gt;0,1,0)</f>
        <v>0</v>
      </c>
      <c r="W1930">
        <v>0</v>
      </c>
      <c r="X1930">
        <v>3</v>
      </c>
      <c r="Y1930">
        <v>11</v>
      </c>
      <c r="Z1930">
        <v>0</v>
      </c>
      <c r="AA1930">
        <v>35</v>
      </c>
      <c r="AB1930">
        <v>2457</v>
      </c>
      <c r="AC1930" s="28">
        <f>ifood_data[[#This Row],[Customer_Days]]/365</f>
        <v>6.7315068493150685</v>
      </c>
      <c r="AD1930">
        <v>0</v>
      </c>
      <c r="AE1930">
        <v>1</v>
      </c>
      <c r="AF1930">
        <v>0</v>
      </c>
      <c r="AG1930">
        <v>0</v>
      </c>
      <c r="AH1930">
        <v>0</v>
      </c>
      <c r="AI1930">
        <v>0</v>
      </c>
      <c r="AJ1930">
        <v>0</v>
      </c>
      <c r="AK1930">
        <v>0</v>
      </c>
      <c r="AL1930">
        <v>1</v>
      </c>
      <c r="AM1930">
        <v>0</v>
      </c>
      <c r="AN1930">
        <v>23</v>
      </c>
      <c r="AO1930">
        <v>16</v>
      </c>
      <c r="AP1930">
        <f>ifood_data[[#This Row],[MntTotal]]-ifood_data[[#This Row],[MntRegularProds]]</f>
        <v>7</v>
      </c>
      <c r="AQ1930">
        <v>0</v>
      </c>
      <c r="AR1930">
        <f>IF(SUM(ifood_data[[#This Row],[Kidhome]:[Teenhome]])&gt;0,1,0)</f>
        <v>1</v>
      </c>
      <c r="AS1930" t="str">
        <f>IF(SUM(ifood_data[[#This Row],[Kidhome]:[Teenhome]])&gt;0,"Has Family","No Family")</f>
        <v>Has Family</v>
      </c>
      <c r="AT1930" t="str">
        <f>IF(ifood_data[[#This Row],[marital_Married]]=1,"Married", (IF(ifood_data[[#This Row],[marital_Single]]=1,"Single",(IF(ifood_data[[#This Row],[marital_Divorced]]=1,"Divorced",(IF(ifood_data[[#This Row],[marital_Together]]=1,"Living Together",(IF(ifood_data[[#This Row],[marital_Widow]]=1,"Widow","Other")))))))))</f>
        <v>Married</v>
      </c>
      <c r="AU1930" t="str">
        <f>IF(ifood_data[[#This Row],[education_Basic]]=1,"High School",(IF(ifood_data[[#This Row],[education_Graduation]]=1,"Undergraduate Degree",(IF(SUM(AM1930,AL1930,AI1930)&gt;0,"Master's Degree or Higher","Other")))))</f>
        <v>Master's Degree or Higher</v>
      </c>
      <c r="AV1930" t="str">
        <f>IF(ifood_data[[#All],[Income]]&gt;75000,"75K+",(IF(ifood_data[[#All],[Income]]&gt;50000,"50K-75K",(IF(ifood_data[[#All],[Income]]&gt;35000,"35K-50K","&lt;35K")))))</f>
        <v>&lt;35K</v>
      </c>
      <c r="AW1930" t="str">
        <f>IF(ifood_data[[#All],[Age]]&gt;60,"60+",(IF(ifood_data[[#All],[Age]]&gt;50,"50-60",(IF(ifood_data[[#All],[Age]]&gt;40,"40-50",(IF(ifood_data[[#All],[Age]]&gt;30,"30-40","&lt;30")))))))</f>
        <v>30-40</v>
      </c>
      <c r="AX1930">
        <f t="shared" si="120"/>
        <v>13</v>
      </c>
      <c r="AY1930">
        <f t="shared" si="121"/>
        <v>4</v>
      </c>
      <c r="AZ1930">
        <f t="shared" si="122"/>
        <v>1</v>
      </c>
      <c r="BA1930">
        <f t="shared" si="123"/>
        <v>0</v>
      </c>
      <c r="BB1930">
        <f>SUM(ifood_data[[#This Row],[Recency Score]:[Monetary Score]])</f>
        <v>5</v>
      </c>
      <c r="BC1930">
        <f>(_xlfn.PERCENTRANK.INC(ifood_data[[#All],[RFM]],ifood_data[[#This Row],[RFM]],1))*10</f>
        <v>0</v>
      </c>
      <c r="BD1930" t="str">
        <f>VLOOKUP(ifood_data[[#This Row],[RFM Score]],'RFM Analysis'!$A$3:$B$14,2,FALSE)</f>
        <v>Lost</v>
      </c>
      <c r="BE1930">
        <f>'Regression Models'!$B$101+'Regression Models'!$B$102*ifood_data[[#This Row],[Income]]+'Regression Models'!$B$103*ifood_data[[#This Row],[Age]]+'Regression Models'!$B$104*ifood_data[[#This Row],[Family]]</f>
        <v>-143.91938862131366</v>
      </c>
      <c r="BF1930" t="str">
        <f>IF(ifood_data[[#This Row],[AcceptedCmpOverall]]=1,"Campaign Respondent","Non-respondent")</f>
        <v>Non-respondent</v>
      </c>
    </row>
    <row r="1931" spans="1:58" x14ac:dyDescent="0.35">
      <c r="A1931">
        <v>41</v>
      </c>
      <c r="B1931">
        <v>21994</v>
      </c>
      <c r="C1931">
        <v>0</v>
      </c>
      <c r="D1931">
        <v>1</v>
      </c>
      <c r="E1931">
        <v>4</v>
      </c>
      <c r="F1931">
        <v>9</v>
      </c>
      <c r="G1931">
        <v>0</v>
      </c>
      <c r="H1931">
        <v>6</v>
      </c>
      <c r="I1931">
        <v>3</v>
      </c>
      <c r="J1931">
        <v>1</v>
      </c>
      <c r="K1931">
        <v>3</v>
      </c>
      <c r="L1931">
        <v>1</v>
      </c>
      <c r="M1931">
        <v>0</v>
      </c>
      <c r="N1931">
        <v>0</v>
      </c>
      <c r="O1931">
        <v>3</v>
      </c>
      <c r="P1931">
        <v>5</v>
      </c>
      <c r="Q1931">
        <v>0</v>
      </c>
      <c r="R1931">
        <v>0</v>
      </c>
      <c r="S1931">
        <v>0</v>
      </c>
      <c r="T1931">
        <v>0</v>
      </c>
      <c r="U1931">
        <v>0</v>
      </c>
      <c r="V1931">
        <f>IF(SUM(ifood_data[[#This Row],[AcceptedCmp1]:[AcceptedCmp5]])&gt;0,1,0)</f>
        <v>0</v>
      </c>
      <c r="W1931">
        <v>0</v>
      </c>
      <c r="X1931">
        <v>3</v>
      </c>
      <c r="Y1931">
        <v>11</v>
      </c>
      <c r="Z1931">
        <v>0</v>
      </c>
      <c r="AA1931">
        <v>63</v>
      </c>
      <c r="AB1931">
        <v>2711</v>
      </c>
      <c r="AC1931" s="28">
        <f>ifood_data[[#This Row],[Customer_Days]]/365</f>
        <v>7.4273972602739722</v>
      </c>
      <c r="AD1931">
        <v>0</v>
      </c>
      <c r="AE1931">
        <v>0</v>
      </c>
      <c r="AF1931">
        <v>0</v>
      </c>
      <c r="AG1931">
        <v>1</v>
      </c>
      <c r="AH1931">
        <v>0</v>
      </c>
      <c r="AI1931">
        <v>0</v>
      </c>
      <c r="AJ1931">
        <v>0</v>
      </c>
      <c r="AK1931">
        <v>1</v>
      </c>
      <c r="AL1931">
        <v>0</v>
      </c>
      <c r="AM1931">
        <v>0</v>
      </c>
      <c r="AN1931">
        <v>19</v>
      </c>
      <c r="AO1931">
        <v>16</v>
      </c>
      <c r="AP1931">
        <f>ifood_data[[#This Row],[MntTotal]]-ifood_data[[#This Row],[MntRegularProds]]</f>
        <v>3</v>
      </c>
      <c r="AQ1931">
        <v>0</v>
      </c>
      <c r="AR1931">
        <f>IF(SUM(ifood_data[[#This Row],[Kidhome]:[Teenhome]])&gt;0,1,0)</f>
        <v>1</v>
      </c>
      <c r="AS1931" t="str">
        <f>IF(SUM(ifood_data[[#This Row],[Kidhome]:[Teenhome]])&gt;0,"Has Family","No Family")</f>
        <v>Has Family</v>
      </c>
      <c r="AT1931" t="str">
        <f>IF(ifood_data[[#This Row],[marital_Married]]=1,"Married", (IF(ifood_data[[#This Row],[marital_Single]]=1,"Single",(IF(ifood_data[[#This Row],[marital_Divorced]]=1,"Divorced",(IF(ifood_data[[#This Row],[marital_Together]]=1,"Living Together",(IF(ifood_data[[#This Row],[marital_Widow]]=1,"Widow","Other")))))))))</f>
        <v>Living Together</v>
      </c>
      <c r="AU1931" t="str">
        <f>IF(ifood_data[[#This Row],[education_Basic]]=1,"High School",(IF(ifood_data[[#This Row],[education_Graduation]]=1,"Undergraduate Degree",(IF(SUM(AM1931,AL1931,AI1931)&gt;0,"Master's Degree or Higher","Other")))))</f>
        <v>Undergraduate Degree</v>
      </c>
      <c r="AV1931" t="str">
        <f>IF(ifood_data[[#All],[Income]]&gt;75000,"75K+",(IF(ifood_data[[#All],[Income]]&gt;50000,"50K-75K",(IF(ifood_data[[#All],[Income]]&gt;35000,"35K-50K","&lt;35K")))))</f>
        <v>&lt;35K</v>
      </c>
      <c r="AW1931" t="str">
        <f>IF(ifood_data[[#All],[Age]]&gt;60,"60+",(IF(ifood_data[[#All],[Age]]&gt;50,"50-60",(IF(ifood_data[[#All],[Age]]&gt;40,"40-50",(IF(ifood_data[[#All],[Age]]&gt;30,"30-40","&lt;30")))))))</f>
        <v>60+</v>
      </c>
      <c r="AX1931">
        <f t="shared" si="120"/>
        <v>9</v>
      </c>
      <c r="AY1931">
        <f t="shared" si="121"/>
        <v>10</v>
      </c>
      <c r="AZ1931">
        <f t="shared" si="122"/>
        <v>0</v>
      </c>
      <c r="BA1931">
        <f t="shared" si="123"/>
        <v>0</v>
      </c>
      <c r="BB1931">
        <f>SUM(ifood_data[[#This Row],[Recency Score]:[Monetary Score]])</f>
        <v>10</v>
      </c>
      <c r="BC1931">
        <f>(_xlfn.PERCENTRANK.INC(ifood_data[[#All],[RFM]],ifood_data[[#This Row],[RFM]],1))*10</f>
        <v>2</v>
      </c>
      <c r="BD1931" t="str">
        <f>VLOOKUP(ifood_data[[#This Row],[RFM Score]],'RFM Analysis'!$A$3:$B$14,2,FALSE)</f>
        <v>At Risk</v>
      </c>
      <c r="BE1931">
        <f>'Regression Models'!$B$101+'Regression Models'!$B$102*ifood_data[[#This Row],[Income]]+'Regression Models'!$B$103*ifood_data[[#This Row],[Age]]+'Regression Models'!$B$104*ifood_data[[#This Row],[Family]]</f>
        <v>-144.69398276090851</v>
      </c>
      <c r="BF1931" t="str">
        <f>IF(ifood_data[[#This Row],[AcceptedCmpOverall]]=1,"Campaign Respondent","Non-respondent")</f>
        <v>Non-respondent</v>
      </c>
    </row>
    <row r="1932" spans="1:58" x14ac:dyDescent="0.35">
      <c r="A1932">
        <v>1577</v>
      </c>
      <c r="B1932">
        <v>18746</v>
      </c>
      <c r="C1932">
        <v>1</v>
      </c>
      <c r="D1932">
        <v>0</v>
      </c>
      <c r="E1932">
        <v>41</v>
      </c>
      <c r="F1932">
        <v>2</v>
      </c>
      <c r="G1932">
        <v>10</v>
      </c>
      <c r="H1932">
        <v>11</v>
      </c>
      <c r="I1932">
        <v>12</v>
      </c>
      <c r="J1932">
        <v>9</v>
      </c>
      <c r="K1932">
        <v>20</v>
      </c>
      <c r="L1932">
        <v>2</v>
      </c>
      <c r="M1932">
        <v>3</v>
      </c>
      <c r="N1932">
        <v>0</v>
      </c>
      <c r="O1932">
        <v>3</v>
      </c>
      <c r="P1932">
        <v>6</v>
      </c>
      <c r="Q1932">
        <v>0</v>
      </c>
      <c r="R1932">
        <v>0</v>
      </c>
      <c r="S1932">
        <v>0</v>
      </c>
      <c r="T1932">
        <v>0</v>
      </c>
      <c r="U1932">
        <v>0</v>
      </c>
      <c r="V1932">
        <f>IF(SUM(ifood_data[[#This Row],[AcceptedCmp1]:[AcceptedCmp5]])&gt;0,1,0)</f>
        <v>0</v>
      </c>
      <c r="W1932">
        <v>0</v>
      </c>
      <c r="X1932">
        <v>3</v>
      </c>
      <c r="Y1932">
        <v>11</v>
      </c>
      <c r="Z1932">
        <v>0</v>
      </c>
      <c r="AA1932">
        <v>28</v>
      </c>
      <c r="AB1932">
        <v>2190</v>
      </c>
      <c r="AC1932" s="28">
        <f>ifood_data[[#This Row],[Customer_Days]]/365</f>
        <v>6</v>
      </c>
      <c r="AD1932">
        <v>0</v>
      </c>
      <c r="AE1932">
        <v>0</v>
      </c>
      <c r="AF1932">
        <v>1</v>
      </c>
      <c r="AG1932">
        <v>0</v>
      </c>
      <c r="AH1932">
        <v>0</v>
      </c>
      <c r="AI1932">
        <v>0</v>
      </c>
      <c r="AJ1932">
        <v>1</v>
      </c>
      <c r="AK1932">
        <v>0</v>
      </c>
      <c r="AL1932">
        <v>0</v>
      </c>
      <c r="AM1932">
        <v>0</v>
      </c>
      <c r="AN1932">
        <v>44</v>
      </c>
      <c r="AO1932">
        <v>24</v>
      </c>
      <c r="AP1932">
        <f>ifood_data[[#This Row],[MntTotal]]-ifood_data[[#This Row],[MntRegularProds]]</f>
        <v>20</v>
      </c>
      <c r="AQ1932">
        <v>0</v>
      </c>
      <c r="AR1932">
        <f>IF(SUM(ifood_data[[#This Row],[Kidhome]:[Teenhome]])&gt;0,1,0)</f>
        <v>1</v>
      </c>
      <c r="AS1932" t="str">
        <f>IF(SUM(ifood_data[[#This Row],[Kidhome]:[Teenhome]])&gt;0,"Has Family","No Family")</f>
        <v>Has Family</v>
      </c>
      <c r="AT1932" t="str">
        <f>IF(ifood_data[[#This Row],[marital_Married]]=1,"Married", (IF(ifood_data[[#This Row],[marital_Single]]=1,"Single",(IF(ifood_data[[#This Row],[marital_Divorced]]=1,"Divorced",(IF(ifood_data[[#This Row],[marital_Together]]=1,"Living Together",(IF(ifood_data[[#This Row],[marital_Widow]]=1,"Widow","Other")))))))))</f>
        <v>Single</v>
      </c>
      <c r="AU1932" t="str">
        <f>IF(ifood_data[[#This Row],[education_Basic]]=1,"High School",(IF(ifood_data[[#This Row],[education_Graduation]]=1,"Undergraduate Degree",(IF(SUM(AM1932,AL1932,AI1932)&gt;0,"Master's Degree or Higher","Other")))))</f>
        <v>High School</v>
      </c>
      <c r="AV1932" t="str">
        <f>IF(ifood_data[[#All],[Income]]&gt;75000,"75K+",(IF(ifood_data[[#All],[Income]]&gt;50000,"50K-75K",(IF(ifood_data[[#All],[Income]]&gt;35000,"35K-50K","&lt;35K")))))</f>
        <v>&lt;35K</v>
      </c>
      <c r="AW1932" t="str">
        <f>IF(ifood_data[[#All],[Age]]&gt;60,"60+",(IF(ifood_data[[#All],[Age]]&gt;50,"50-60",(IF(ifood_data[[#All],[Age]]&gt;40,"40-50",(IF(ifood_data[[#All],[Age]]&gt;30,"30-40","&lt;30")))))))</f>
        <v>&lt;30</v>
      </c>
      <c r="AX1932">
        <f t="shared" si="120"/>
        <v>14</v>
      </c>
      <c r="AY1932">
        <f t="shared" si="121"/>
        <v>6</v>
      </c>
      <c r="AZ1932">
        <f t="shared" si="122"/>
        <v>2</v>
      </c>
      <c r="BA1932">
        <f t="shared" si="123"/>
        <v>2</v>
      </c>
      <c r="BB1932">
        <f>SUM(ifood_data[[#This Row],[Recency Score]:[Monetary Score]])</f>
        <v>10</v>
      </c>
      <c r="BC1932">
        <f>(_xlfn.PERCENTRANK.INC(ifood_data[[#All],[RFM]],ifood_data[[#This Row],[RFM]],1))*10</f>
        <v>2</v>
      </c>
      <c r="BD1932" t="str">
        <f>VLOOKUP(ifood_data[[#This Row],[RFM Score]],'RFM Analysis'!$A$3:$B$14,2,FALSE)</f>
        <v>At Risk</v>
      </c>
      <c r="BE1932">
        <f>'Regression Models'!$B$101+'Regression Models'!$B$102*ifood_data[[#This Row],[Income]]+'Regression Models'!$B$103*ifood_data[[#This Row],[Age]]+'Regression Models'!$B$104*ifood_data[[#This Row],[Family]]</f>
        <v>-146.64133393099246</v>
      </c>
      <c r="BF1932" t="str">
        <f>IF(ifood_data[[#This Row],[AcceptedCmpOverall]]=1,"Campaign Respondent","Non-respondent")</f>
        <v>Non-respondent</v>
      </c>
    </row>
    <row r="1933" spans="1:58" x14ac:dyDescent="0.35">
      <c r="A1933">
        <v>1176</v>
      </c>
      <c r="B1933">
        <v>20427</v>
      </c>
      <c r="C1933">
        <v>1</v>
      </c>
      <c r="D1933">
        <v>0</v>
      </c>
      <c r="E1933">
        <v>63</v>
      </c>
      <c r="F1933">
        <v>5</v>
      </c>
      <c r="G1933">
        <v>0</v>
      </c>
      <c r="H1933">
        <v>4</v>
      </c>
      <c r="I1933">
        <v>0</v>
      </c>
      <c r="J1933">
        <v>0</v>
      </c>
      <c r="K1933">
        <v>1</v>
      </c>
      <c r="L1933">
        <v>1</v>
      </c>
      <c r="M1933">
        <v>1</v>
      </c>
      <c r="N1933">
        <v>0</v>
      </c>
      <c r="O1933">
        <v>2</v>
      </c>
      <c r="P1933">
        <v>8</v>
      </c>
      <c r="Q1933">
        <v>0</v>
      </c>
      <c r="R1933">
        <v>0</v>
      </c>
      <c r="S1933">
        <v>0</v>
      </c>
      <c r="T1933">
        <v>0</v>
      </c>
      <c r="U1933">
        <v>0</v>
      </c>
      <c r="V1933">
        <f>IF(SUM(ifood_data[[#This Row],[AcceptedCmp1]:[AcceptedCmp5]])&gt;0,1,0)</f>
        <v>0</v>
      </c>
      <c r="W1933">
        <v>0</v>
      </c>
      <c r="X1933">
        <v>3</v>
      </c>
      <c r="Y1933">
        <v>11</v>
      </c>
      <c r="Z1933">
        <v>0</v>
      </c>
      <c r="AA1933">
        <v>47</v>
      </c>
      <c r="AB1933">
        <v>2256</v>
      </c>
      <c r="AC1933" s="28">
        <f>ifood_data[[#This Row],[Customer_Days]]/365</f>
        <v>6.1808219178082195</v>
      </c>
      <c r="AD1933">
        <v>0</v>
      </c>
      <c r="AE1933">
        <v>0</v>
      </c>
      <c r="AF1933">
        <v>0</v>
      </c>
      <c r="AG1933">
        <v>1</v>
      </c>
      <c r="AH1933">
        <v>0</v>
      </c>
      <c r="AI1933">
        <v>0</v>
      </c>
      <c r="AJ1933">
        <v>0</v>
      </c>
      <c r="AK1933">
        <v>0</v>
      </c>
      <c r="AL1933">
        <v>0</v>
      </c>
      <c r="AM1933">
        <v>1</v>
      </c>
      <c r="AN1933">
        <v>9</v>
      </c>
      <c r="AO1933">
        <v>8</v>
      </c>
      <c r="AP1933">
        <f>ifood_data[[#This Row],[MntTotal]]-ifood_data[[#This Row],[MntRegularProds]]</f>
        <v>1</v>
      </c>
      <c r="AQ1933">
        <v>0</v>
      </c>
      <c r="AR1933">
        <f>IF(SUM(ifood_data[[#This Row],[Kidhome]:[Teenhome]])&gt;0,1,0)</f>
        <v>1</v>
      </c>
      <c r="AS1933" t="str">
        <f>IF(SUM(ifood_data[[#This Row],[Kidhome]:[Teenhome]])&gt;0,"Has Family","No Family")</f>
        <v>Has Family</v>
      </c>
      <c r="AT1933" t="str">
        <f>IF(ifood_data[[#This Row],[marital_Married]]=1,"Married", (IF(ifood_data[[#This Row],[marital_Single]]=1,"Single",(IF(ifood_data[[#This Row],[marital_Divorced]]=1,"Divorced",(IF(ifood_data[[#This Row],[marital_Together]]=1,"Living Together",(IF(ifood_data[[#This Row],[marital_Widow]]=1,"Widow","Other")))))))))</f>
        <v>Living Together</v>
      </c>
      <c r="AU1933" t="str">
        <f>IF(ifood_data[[#This Row],[education_Basic]]=1,"High School",(IF(ifood_data[[#This Row],[education_Graduation]]=1,"Undergraduate Degree",(IF(SUM(AM1933,AL1933,AI1933)&gt;0,"Master's Degree or Higher","Other")))))</f>
        <v>Master's Degree or Higher</v>
      </c>
      <c r="AV1933" t="str">
        <f>IF(ifood_data[[#All],[Income]]&gt;75000,"75K+",(IF(ifood_data[[#All],[Income]]&gt;50000,"50K-75K",(IF(ifood_data[[#All],[Income]]&gt;35000,"35K-50K","&lt;35K")))))</f>
        <v>&lt;35K</v>
      </c>
      <c r="AW1933" t="str">
        <f>IF(ifood_data[[#All],[Age]]&gt;60,"60+",(IF(ifood_data[[#All],[Age]]&gt;50,"50-60",(IF(ifood_data[[#All],[Age]]&gt;40,"40-50",(IF(ifood_data[[#All],[Age]]&gt;30,"30-40","&lt;30")))))))</f>
        <v>40-50</v>
      </c>
      <c r="AX1933">
        <f t="shared" si="120"/>
        <v>12</v>
      </c>
      <c r="AY1933">
        <f t="shared" si="121"/>
        <v>4</v>
      </c>
      <c r="AZ1933">
        <f t="shared" si="122"/>
        <v>1</v>
      </c>
      <c r="BA1933">
        <f t="shared" si="123"/>
        <v>0</v>
      </c>
      <c r="BB1933">
        <f>SUM(ifood_data[[#This Row],[Recency Score]:[Monetary Score]])</f>
        <v>5</v>
      </c>
      <c r="BC1933">
        <f>(_xlfn.PERCENTRANK.INC(ifood_data[[#All],[RFM]],ifood_data[[#This Row],[RFM]],1))*10</f>
        <v>0</v>
      </c>
      <c r="BD1933" t="str">
        <f>VLOOKUP(ifood_data[[#This Row],[RFM Score]],'RFM Analysis'!$A$3:$B$14,2,FALSE)</f>
        <v>Lost</v>
      </c>
      <c r="BE1933">
        <f>'Regression Models'!$B$101+'Regression Models'!$B$102*ifood_data[[#This Row],[Income]]+'Regression Models'!$B$103*ifood_data[[#This Row],[Age]]+'Regression Models'!$B$104*ifood_data[[#This Row],[Family]]</f>
        <v>-147.26015718008972</v>
      </c>
      <c r="BF1933" t="str">
        <f>IF(ifood_data[[#This Row],[AcceptedCmpOverall]]=1,"Campaign Respondent","Non-respondent")</f>
        <v>Non-respondent</v>
      </c>
    </row>
    <row r="1934" spans="1:58" x14ac:dyDescent="0.35">
      <c r="A1934">
        <v>740</v>
      </c>
      <c r="B1934">
        <v>20587</v>
      </c>
      <c r="C1934">
        <v>1</v>
      </c>
      <c r="D1934">
        <v>0</v>
      </c>
      <c r="E1934">
        <v>39</v>
      </c>
      <c r="F1934">
        <v>2</v>
      </c>
      <c r="G1934">
        <v>3</v>
      </c>
      <c r="H1934">
        <v>6</v>
      </c>
      <c r="I1934">
        <v>4</v>
      </c>
      <c r="J1934">
        <v>1</v>
      </c>
      <c r="K1934">
        <v>9</v>
      </c>
      <c r="L1934">
        <v>1</v>
      </c>
      <c r="M1934">
        <v>1</v>
      </c>
      <c r="N1934">
        <v>1</v>
      </c>
      <c r="O1934">
        <v>2</v>
      </c>
      <c r="P1934">
        <v>7</v>
      </c>
      <c r="Q1934">
        <v>0</v>
      </c>
      <c r="R1934">
        <v>0</v>
      </c>
      <c r="S1934">
        <v>0</v>
      </c>
      <c r="T1934">
        <v>0</v>
      </c>
      <c r="U1934">
        <v>0</v>
      </c>
      <c r="V1934">
        <f>IF(SUM(ifood_data[[#This Row],[AcceptedCmp1]:[AcceptedCmp5]])&gt;0,1,0)</f>
        <v>0</v>
      </c>
      <c r="W1934">
        <v>0</v>
      </c>
      <c r="X1934">
        <v>3</v>
      </c>
      <c r="Y1934">
        <v>11</v>
      </c>
      <c r="Z1934">
        <v>0</v>
      </c>
      <c r="AA1934">
        <v>50</v>
      </c>
      <c r="AB1934">
        <v>2208</v>
      </c>
      <c r="AC1934" s="28">
        <f>ifood_data[[#This Row],[Customer_Days]]/365</f>
        <v>6.0493150684931507</v>
      </c>
      <c r="AD1934">
        <v>0</v>
      </c>
      <c r="AE1934">
        <v>0</v>
      </c>
      <c r="AF1934">
        <v>1</v>
      </c>
      <c r="AG1934">
        <v>0</v>
      </c>
      <c r="AH1934">
        <v>0</v>
      </c>
      <c r="AI1934">
        <v>0</v>
      </c>
      <c r="AJ1934">
        <v>0</v>
      </c>
      <c r="AK1934">
        <v>1</v>
      </c>
      <c r="AL1934">
        <v>0</v>
      </c>
      <c r="AM1934">
        <v>0</v>
      </c>
      <c r="AN1934">
        <v>16</v>
      </c>
      <c r="AO1934">
        <v>7</v>
      </c>
      <c r="AP1934">
        <f>ifood_data[[#This Row],[MntTotal]]-ifood_data[[#This Row],[MntRegularProds]]</f>
        <v>9</v>
      </c>
      <c r="AQ1934">
        <v>0</v>
      </c>
      <c r="AR1934">
        <f>IF(SUM(ifood_data[[#This Row],[Kidhome]:[Teenhome]])&gt;0,1,0)</f>
        <v>1</v>
      </c>
      <c r="AS1934" t="str">
        <f>IF(SUM(ifood_data[[#This Row],[Kidhome]:[Teenhome]])&gt;0,"Has Family","No Family")</f>
        <v>Has Family</v>
      </c>
      <c r="AT1934" t="str">
        <f>IF(ifood_data[[#This Row],[marital_Married]]=1,"Married", (IF(ifood_data[[#This Row],[marital_Single]]=1,"Single",(IF(ifood_data[[#This Row],[marital_Divorced]]=1,"Divorced",(IF(ifood_data[[#This Row],[marital_Together]]=1,"Living Together",(IF(ifood_data[[#This Row],[marital_Widow]]=1,"Widow","Other")))))))))</f>
        <v>Single</v>
      </c>
      <c r="AU1934" t="str">
        <f>IF(ifood_data[[#This Row],[education_Basic]]=1,"High School",(IF(ifood_data[[#This Row],[education_Graduation]]=1,"Undergraduate Degree",(IF(SUM(AM1934,AL1934,AI1934)&gt;0,"Master's Degree or Higher","Other")))))</f>
        <v>Undergraduate Degree</v>
      </c>
      <c r="AV1934" t="str">
        <f>IF(ifood_data[[#All],[Income]]&gt;75000,"75K+",(IF(ifood_data[[#All],[Income]]&gt;50000,"50K-75K",(IF(ifood_data[[#All],[Income]]&gt;35000,"35K-50K","&lt;35K")))))</f>
        <v>&lt;35K</v>
      </c>
      <c r="AW1934" t="str">
        <f>IF(ifood_data[[#All],[Age]]&gt;60,"60+",(IF(ifood_data[[#All],[Age]]&gt;50,"50-60",(IF(ifood_data[[#All],[Age]]&gt;40,"40-50",(IF(ifood_data[[#All],[Age]]&gt;30,"30-40","&lt;30")))))))</f>
        <v>40-50</v>
      </c>
      <c r="AX1934">
        <f t="shared" si="120"/>
        <v>12</v>
      </c>
      <c r="AY1934">
        <f t="shared" si="121"/>
        <v>7</v>
      </c>
      <c r="AZ1934">
        <f t="shared" si="122"/>
        <v>1</v>
      </c>
      <c r="BA1934">
        <f t="shared" si="123"/>
        <v>0</v>
      </c>
      <c r="BB1934">
        <f>SUM(ifood_data[[#This Row],[Recency Score]:[Monetary Score]])</f>
        <v>8</v>
      </c>
      <c r="BC1934">
        <f>(_xlfn.PERCENTRANK.INC(ifood_data[[#All],[RFM]],ifood_data[[#This Row],[RFM]],1))*10</f>
        <v>1</v>
      </c>
      <c r="BD1934" t="str">
        <f>VLOOKUP(ifood_data[[#This Row],[RFM Score]],'RFM Analysis'!$A$3:$B$14,2,FALSE)</f>
        <v>At Risk</v>
      </c>
      <c r="BE1934">
        <f>'Regression Models'!$B$101+'Regression Models'!$B$102*ifood_data[[#This Row],[Income]]+'Regression Models'!$B$103*ifood_data[[#This Row],[Age]]+'Regression Models'!$B$104*ifood_data[[#This Row],[Family]]</f>
        <v>-149.50727151374872</v>
      </c>
      <c r="BF1934" t="str">
        <f>IF(ifood_data[[#This Row],[AcceptedCmpOverall]]=1,"Campaign Respondent","Non-respondent")</f>
        <v>Non-respondent</v>
      </c>
    </row>
    <row r="1935" spans="1:58" x14ac:dyDescent="0.35">
      <c r="A1935">
        <v>1840</v>
      </c>
      <c r="B1935">
        <v>22263</v>
      </c>
      <c r="C1935">
        <v>1</v>
      </c>
      <c r="D1935">
        <v>1</v>
      </c>
      <c r="E1935">
        <v>31</v>
      </c>
      <c r="F1935">
        <v>17</v>
      </c>
      <c r="G1935">
        <v>0</v>
      </c>
      <c r="H1935">
        <v>2</v>
      </c>
      <c r="I1935">
        <v>0</v>
      </c>
      <c r="J1935">
        <v>0</v>
      </c>
      <c r="K1935">
        <v>2</v>
      </c>
      <c r="L1935">
        <v>2</v>
      </c>
      <c r="M1935">
        <v>1</v>
      </c>
      <c r="N1935">
        <v>0</v>
      </c>
      <c r="O1935">
        <v>3</v>
      </c>
      <c r="P1935">
        <v>6</v>
      </c>
      <c r="Q1935">
        <v>0</v>
      </c>
      <c r="R1935">
        <v>0</v>
      </c>
      <c r="S1935">
        <v>0</v>
      </c>
      <c r="T1935">
        <v>0</v>
      </c>
      <c r="U1935">
        <v>0</v>
      </c>
      <c r="V1935">
        <f>IF(SUM(ifood_data[[#This Row],[AcceptedCmp1]:[AcceptedCmp5]])&gt;0,1,0)</f>
        <v>0</v>
      </c>
      <c r="W1935">
        <v>1</v>
      </c>
      <c r="X1935">
        <v>3</v>
      </c>
      <c r="Y1935">
        <v>11</v>
      </c>
      <c r="Z1935">
        <v>0</v>
      </c>
      <c r="AA1935">
        <v>69</v>
      </c>
      <c r="AB1935">
        <v>2250</v>
      </c>
      <c r="AC1935" s="28">
        <f>ifood_data[[#This Row],[Customer_Days]]/365</f>
        <v>6.1643835616438354</v>
      </c>
      <c r="AD1935">
        <v>1</v>
      </c>
      <c r="AE1935">
        <v>0</v>
      </c>
      <c r="AF1935">
        <v>0</v>
      </c>
      <c r="AG1935">
        <v>0</v>
      </c>
      <c r="AH1935">
        <v>0</v>
      </c>
      <c r="AI1935">
        <v>0</v>
      </c>
      <c r="AJ1935">
        <v>0</v>
      </c>
      <c r="AK1935">
        <v>1</v>
      </c>
      <c r="AL1935">
        <v>0</v>
      </c>
      <c r="AM1935">
        <v>0</v>
      </c>
      <c r="AN1935">
        <v>19</v>
      </c>
      <c r="AO1935">
        <v>17</v>
      </c>
      <c r="AP1935">
        <f>ifood_data[[#This Row],[MntTotal]]-ifood_data[[#This Row],[MntRegularProds]]</f>
        <v>2</v>
      </c>
      <c r="AQ1935">
        <v>0</v>
      </c>
      <c r="AR1935">
        <f>IF(SUM(ifood_data[[#This Row],[Kidhome]:[Teenhome]])&gt;0,1,0)</f>
        <v>1</v>
      </c>
      <c r="AS1935" t="str">
        <f>IF(SUM(ifood_data[[#This Row],[Kidhome]:[Teenhome]])&gt;0,"Has Family","No Family")</f>
        <v>Has Family</v>
      </c>
      <c r="AT1935" t="str">
        <f>IF(ifood_data[[#This Row],[marital_Married]]=1,"Married", (IF(ifood_data[[#This Row],[marital_Single]]=1,"Single",(IF(ifood_data[[#This Row],[marital_Divorced]]=1,"Divorced",(IF(ifood_data[[#This Row],[marital_Together]]=1,"Living Together",(IF(ifood_data[[#This Row],[marital_Widow]]=1,"Widow","Other")))))))))</f>
        <v>Divorced</v>
      </c>
      <c r="AU1935" t="str">
        <f>IF(ifood_data[[#This Row],[education_Basic]]=1,"High School",(IF(ifood_data[[#This Row],[education_Graduation]]=1,"Undergraduate Degree",(IF(SUM(AM1935,AL1935,AI1935)&gt;0,"Master's Degree or Higher","Other")))))</f>
        <v>Undergraduate Degree</v>
      </c>
      <c r="AV1935" t="str">
        <f>IF(ifood_data[[#All],[Income]]&gt;75000,"75K+",(IF(ifood_data[[#All],[Income]]&gt;50000,"50K-75K",(IF(ifood_data[[#All],[Income]]&gt;35000,"35K-50K","&lt;35K")))))</f>
        <v>&lt;35K</v>
      </c>
      <c r="AW1935" t="str">
        <f>IF(ifood_data[[#All],[Age]]&gt;60,"60+",(IF(ifood_data[[#All],[Age]]&gt;50,"50-60",(IF(ifood_data[[#All],[Age]]&gt;40,"40-50",(IF(ifood_data[[#All],[Age]]&gt;30,"30-40","&lt;30")))))))</f>
        <v>60+</v>
      </c>
      <c r="AX1935">
        <f t="shared" si="120"/>
        <v>12</v>
      </c>
      <c r="AY1935">
        <f t="shared" si="121"/>
        <v>7</v>
      </c>
      <c r="AZ1935">
        <f t="shared" si="122"/>
        <v>1</v>
      </c>
      <c r="BA1935">
        <f t="shared" si="123"/>
        <v>0</v>
      </c>
      <c r="BB1935">
        <f>SUM(ifood_data[[#This Row],[Recency Score]:[Monetary Score]])</f>
        <v>8</v>
      </c>
      <c r="BC1935">
        <f>(_xlfn.PERCENTRANK.INC(ifood_data[[#All],[RFM]],ifood_data[[#This Row],[RFM]],1))*10</f>
        <v>1</v>
      </c>
      <c r="BD1935" t="str">
        <f>VLOOKUP(ifood_data[[#This Row],[RFM Score]],'RFM Analysis'!$A$3:$B$14,2,FALSE)</f>
        <v>At Risk</v>
      </c>
      <c r="BE1935">
        <f>'Regression Models'!$B$101+'Regression Models'!$B$102*ifood_data[[#This Row],[Income]]+'Regression Models'!$B$103*ifood_data[[#This Row],[Age]]+'Regression Models'!$B$104*ifood_data[[#This Row],[Family]]</f>
        <v>-150.22803860356541</v>
      </c>
      <c r="BF1935" t="str">
        <f>IF(ifood_data[[#This Row],[AcceptedCmpOverall]]=1,"Campaign Respondent","Non-respondent")</f>
        <v>Non-respondent</v>
      </c>
    </row>
    <row r="1936" spans="1:58" x14ac:dyDescent="0.35">
      <c r="A1936">
        <v>1501</v>
      </c>
      <c r="B1936">
        <v>19444</v>
      </c>
      <c r="C1936">
        <v>1</v>
      </c>
      <c r="D1936">
        <v>0</v>
      </c>
      <c r="E1936">
        <v>8</v>
      </c>
      <c r="F1936">
        <v>16</v>
      </c>
      <c r="G1936">
        <v>0</v>
      </c>
      <c r="H1936">
        <v>23</v>
      </c>
      <c r="I1936">
        <v>3</v>
      </c>
      <c r="J1936">
        <v>2</v>
      </c>
      <c r="K1936">
        <v>10</v>
      </c>
      <c r="L1936">
        <v>3</v>
      </c>
      <c r="M1936">
        <v>4</v>
      </c>
      <c r="N1936">
        <v>1</v>
      </c>
      <c r="O1936">
        <v>2</v>
      </c>
      <c r="P1936">
        <v>7</v>
      </c>
      <c r="Q1936">
        <v>0</v>
      </c>
      <c r="R1936">
        <v>0</v>
      </c>
      <c r="S1936">
        <v>0</v>
      </c>
      <c r="T1936">
        <v>0</v>
      </c>
      <c r="U1936">
        <v>0</v>
      </c>
      <c r="V1936">
        <f>IF(SUM(ifood_data[[#This Row],[AcceptedCmp1]:[AcceptedCmp5]])&gt;0,1,0)</f>
        <v>0</v>
      </c>
      <c r="W1936">
        <v>0</v>
      </c>
      <c r="X1936">
        <v>3</v>
      </c>
      <c r="Y1936">
        <v>11</v>
      </c>
      <c r="Z1936">
        <v>1</v>
      </c>
      <c r="AA1936">
        <v>38</v>
      </c>
      <c r="AB1936">
        <v>2286</v>
      </c>
      <c r="AC1936" s="28">
        <f>ifood_data[[#This Row],[Customer_Days]]/365</f>
        <v>6.2630136986301368</v>
      </c>
      <c r="AD1936">
        <v>0</v>
      </c>
      <c r="AE1936">
        <v>0</v>
      </c>
      <c r="AF1936">
        <v>0</v>
      </c>
      <c r="AG1936">
        <v>1</v>
      </c>
      <c r="AH1936">
        <v>0</v>
      </c>
      <c r="AI1936">
        <v>0</v>
      </c>
      <c r="AJ1936">
        <v>0</v>
      </c>
      <c r="AK1936">
        <v>1</v>
      </c>
      <c r="AL1936">
        <v>0</v>
      </c>
      <c r="AM1936">
        <v>0</v>
      </c>
      <c r="AN1936">
        <v>44</v>
      </c>
      <c r="AO1936">
        <v>34</v>
      </c>
      <c r="AP1936">
        <f>ifood_data[[#This Row],[MntTotal]]-ifood_data[[#This Row],[MntRegularProds]]</f>
        <v>10</v>
      </c>
      <c r="AQ1936">
        <v>0</v>
      </c>
      <c r="AR1936">
        <f>IF(SUM(ifood_data[[#This Row],[Kidhome]:[Teenhome]])&gt;0,1,0)</f>
        <v>1</v>
      </c>
      <c r="AS1936" t="str">
        <f>IF(SUM(ifood_data[[#This Row],[Kidhome]:[Teenhome]])&gt;0,"Has Family","No Family")</f>
        <v>Has Family</v>
      </c>
      <c r="AT1936" t="str">
        <f>IF(ifood_data[[#This Row],[marital_Married]]=1,"Married", (IF(ifood_data[[#This Row],[marital_Single]]=1,"Single",(IF(ifood_data[[#This Row],[marital_Divorced]]=1,"Divorced",(IF(ifood_data[[#This Row],[marital_Together]]=1,"Living Together",(IF(ifood_data[[#This Row],[marital_Widow]]=1,"Widow","Other")))))))))</f>
        <v>Living Together</v>
      </c>
      <c r="AU1936" t="str">
        <f>IF(ifood_data[[#This Row],[education_Basic]]=1,"High School",(IF(ifood_data[[#This Row],[education_Graduation]]=1,"Undergraduate Degree",(IF(SUM(AM1936,AL1936,AI1936)&gt;0,"Master's Degree or Higher","Other")))))</f>
        <v>Undergraduate Degree</v>
      </c>
      <c r="AV1936" t="str">
        <f>IF(ifood_data[[#All],[Income]]&gt;75000,"75K+",(IF(ifood_data[[#All],[Income]]&gt;50000,"50K-75K",(IF(ifood_data[[#All],[Income]]&gt;35000,"35K-50K","&lt;35K")))))</f>
        <v>&lt;35K</v>
      </c>
      <c r="AW1936" t="str">
        <f>IF(ifood_data[[#All],[Age]]&gt;60,"60+",(IF(ifood_data[[#All],[Age]]&gt;50,"50-60",(IF(ifood_data[[#All],[Age]]&gt;40,"40-50",(IF(ifood_data[[#All],[Age]]&gt;30,"30-40","&lt;30")))))))</f>
        <v>30-40</v>
      </c>
      <c r="AX1936">
        <f t="shared" si="120"/>
        <v>17</v>
      </c>
      <c r="AY1936">
        <f t="shared" si="121"/>
        <v>10</v>
      </c>
      <c r="AZ1936">
        <f t="shared" si="122"/>
        <v>3</v>
      </c>
      <c r="BA1936">
        <f t="shared" si="123"/>
        <v>2</v>
      </c>
      <c r="BB1936">
        <f>SUM(ifood_data[[#This Row],[Recency Score]:[Monetary Score]])</f>
        <v>15</v>
      </c>
      <c r="BC1936">
        <f>(_xlfn.PERCENTRANK.INC(ifood_data[[#All],[RFM]],ifood_data[[#This Row],[RFM]],1))*10</f>
        <v>4</v>
      </c>
      <c r="BD1936" t="str">
        <f>VLOOKUP(ifood_data[[#This Row],[RFM Score]],'RFM Analysis'!$A$3:$B$14,2,FALSE)</f>
        <v>At Risk</v>
      </c>
      <c r="BE1936">
        <f>'Regression Models'!$B$101+'Regression Models'!$B$102*ifood_data[[#This Row],[Income]]+'Regression Models'!$B$103*ifood_data[[#This Row],[Age]]+'Regression Models'!$B$104*ifood_data[[#This Row],[Family]]</f>
        <v>-150.77436455549378</v>
      </c>
      <c r="BF1936" t="str">
        <f>IF(ifood_data[[#This Row],[AcceptedCmpOverall]]=1,"Campaign Respondent","Non-respondent")</f>
        <v>Non-respondent</v>
      </c>
    </row>
    <row r="1937" spans="1:58" x14ac:dyDescent="0.35">
      <c r="A1937">
        <v>798</v>
      </c>
      <c r="B1937">
        <v>19419</v>
      </c>
      <c r="C1937">
        <v>1</v>
      </c>
      <c r="D1937">
        <v>0</v>
      </c>
      <c r="E1937">
        <v>76</v>
      </c>
      <c r="F1937">
        <v>2</v>
      </c>
      <c r="G1937">
        <v>14</v>
      </c>
      <c r="H1937">
        <v>28</v>
      </c>
      <c r="I1937">
        <v>16</v>
      </c>
      <c r="J1937">
        <v>3</v>
      </c>
      <c r="K1937">
        <v>7</v>
      </c>
      <c r="L1937">
        <v>4</v>
      </c>
      <c r="M1937">
        <v>4</v>
      </c>
      <c r="N1937">
        <v>0</v>
      </c>
      <c r="O1937">
        <v>3</v>
      </c>
      <c r="P1937">
        <v>9</v>
      </c>
      <c r="Q1937">
        <v>0</v>
      </c>
      <c r="R1937">
        <v>0</v>
      </c>
      <c r="S1937">
        <v>0</v>
      </c>
      <c r="T1937">
        <v>0</v>
      </c>
      <c r="U1937">
        <v>0</v>
      </c>
      <c r="V1937">
        <f>IF(SUM(ifood_data[[#This Row],[AcceptedCmp1]:[AcceptedCmp5]])&gt;0,1,0)</f>
        <v>0</v>
      </c>
      <c r="W1937">
        <v>0</v>
      </c>
      <c r="X1937">
        <v>3</v>
      </c>
      <c r="Y1937">
        <v>11</v>
      </c>
      <c r="Z1937">
        <v>0</v>
      </c>
      <c r="AA1937">
        <v>39</v>
      </c>
      <c r="AB1937">
        <v>2755</v>
      </c>
      <c r="AC1937" s="28">
        <f>ifood_data[[#This Row],[Customer_Days]]/365</f>
        <v>7.5479452054794525</v>
      </c>
      <c r="AD1937">
        <v>0</v>
      </c>
      <c r="AE1937">
        <v>1</v>
      </c>
      <c r="AF1937">
        <v>0</v>
      </c>
      <c r="AG1937">
        <v>0</v>
      </c>
      <c r="AH1937">
        <v>0</v>
      </c>
      <c r="AI1937">
        <v>0</v>
      </c>
      <c r="AJ1937">
        <v>0</v>
      </c>
      <c r="AK1937">
        <v>1</v>
      </c>
      <c r="AL1937">
        <v>0</v>
      </c>
      <c r="AM1937">
        <v>0</v>
      </c>
      <c r="AN1937">
        <v>63</v>
      </c>
      <c r="AO1937">
        <v>56</v>
      </c>
      <c r="AP1937">
        <f>ifood_data[[#This Row],[MntTotal]]-ifood_data[[#This Row],[MntRegularProds]]</f>
        <v>7</v>
      </c>
      <c r="AQ1937">
        <v>0</v>
      </c>
      <c r="AR1937">
        <f>IF(SUM(ifood_data[[#This Row],[Kidhome]:[Teenhome]])&gt;0,1,0)</f>
        <v>1</v>
      </c>
      <c r="AS1937" t="str">
        <f>IF(SUM(ifood_data[[#This Row],[Kidhome]:[Teenhome]])&gt;0,"Has Family","No Family")</f>
        <v>Has Family</v>
      </c>
      <c r="AT1937" t="str">
        <f>IF(ifood_data[[#This Row],[marital_Married]]=1,"Married", (IF(ifood_data[[#This Row],[marital_Single]]=1,"Single",(IF(ifood_data[[#This Row],[marital_Divorced]]=1,"Divorced",(IF(ifood_data[[#This Row],[marital_Together]]=1,"Living Together",(IF(ifood_data[[#This Row],[marital_Widow]]=1,"Widow","Other")))))))))</f>
        <v>Married</v>
      </c>
      <c r="AU1937" t="str">
        <f>IF(ifood_data[[#This Row],[education_Basic]]=1,"High School",(IF(ifood_data[[#This Row],[education_Graduation]]=1,"Undergraduate Degree",(IF(SUM(AM1937,AL1937,AI1937)&gt;0,"Master's Degree or Higher","Other")))))</f>
        <v>Undergraduate Degree</v>
      </c>
      <c r="AV1937" t="str">
        <f>IF(ifood_data[[#All],[Income]]&gt;75000,"75K+",(IF(ifood_data[[#All],[Income]]&gt;50000,"50K-75K",(IF(ifood_data[[#All],[Income]]&gt;35000,"35K-50K","&lt;35K")))))</f>
        <v>&lt;35K</v>
      </c>
      <c r="AW1937" t="str">
        <f>IF(ifood_data[[#All],[Age]]&gt;60,"60+",(IF(ifood_data[[#All],[Age]]&gt;50,"50-60",(IF(ifood_data[[#All],[Age]]&gt;40,"40-50",(IF(ifood_data[[#All],[Age]]&gt;30,"30-40","&lt;30")))))))</f>
        <v>30-40</v>
      </c>
      <c r="AX1937">
        <f t="shared" si="120"/>
        <v>20</v>
      </c>
      <c r="AY1937">
        <f t="shared" si="121"/>
        <v>3.0000000000000004</v>
      </c>
      <c r="AZ1937">
        <f t="shared" si="122"/>
        <v>4</v>
      </c>
      <c r="BA1937">
        <f t="shared" si="123"/>
        <v>2</v>
      </c>
      <c r="BB1937">
        <f>SUM(ifood_data[[#This Row],[Recency Score]:[Monetary Score]])</f>
        <v>9</v>
      </c>
      <c r="BC1937">
        <f>(_xlfn.PERCENTRANK.INC(ifood_data[[#All],[RFM]],ifood_data[[#This Row],[RFM]],1))*10</f>
        <v>1</v>
      </c>
      <c r="BD1937" t="str">
        <f>VLOOKUP(ifood_data[[#This Row],[RFM Score]],'RFM Analysis'!$A$3:$B$14,2,FALSE)</f>
        <v>At Risk</v>
      </c>
      <c r="BE1937">
        <f>'Regression Models'!$B$101+'Regression Models'!$B$102*ifood_data[[#This Row],[Income]]+'Regression Models'!$B$103*ifood_data[[#This Row],[Age]]+'Regression Models'!$B$104*ifood_data[[#This Row],[Family]]</f>
        <v>-153.1205228379855</v>
      </c>
      <c r="BF1937" t="str">
        <f>IF(ifood_data[[#This Row],[AcceptedCmpOverall]]=1,"Campaign Respondent","Non-respondent")</f>
        <v>Non-respondent</v>
      </c>
    </row>
    <row r="1938" spans="1:58" x14ac:dyDescent="0.35">
      <c r="A1938">
        <v>1376</v>
      </c>
      <c r="B1938">
        <v>19414</v>
      </c>
      <c r="C1938">
        <v>1</v>
      </c>
      <c r="D1938">
        <v>0</v>
      </c>
      <c r="E1938">
        <v>32</v>
      </c>
      <c r="F1938">
        <v>2</v>
      </c>
      <c r="G1938">
        <v>3</v>
      </c>
      <c r="H1938">
        <v>12</v>
      </c>
      <c r="I1938">
        <v>3</v>
      </c>
      <c r="J1938">
        <v>5</v>
      </c>
      <c r="K1938">
        <v>7</v>
      </c>
      <c r="L1938">
        <v>1</v>
      </c>
      <c r="M1938">
        <v>1</v>
      </c>
      <c r="N1938">
        <v>0</v>
      </c>
      <c r="O1938">
        <v>3</v>
      </c>
      <c r="P1938">
        <v>8</v>
      </c>
      <c r="Q1938">
        <v>0</v>
      </c>
      <c r="R1938">
        <v>0</v>
      </c>
      <c r="S1938">
        <v>0</v>
      </c>
      <c r="T1938">
        <v>0</v>
      </c>
      <c r="U1938">
        <v>0</v>
      </c>
      <c r="V1938">
        <f>IF(SUM(ifood_data[[#This Row],[AcceptedCmp1]:[AcceptedCmp5]])&gt;0,1,0)</f>
        <v>0</v>
      </c>
      <c r="W1938">
        <v>0</v>
      </c>
      <c r="X1938">
        <v>3</v>
      </c>
      <c r="Y1938">
        <v>11</v>
      </c>
      <c r="Z1938">
        <v>0</v>
      </c>
      <c r="AA1938">
        <v>39</v>
      </c>
      <c r="AB1938">
        <v>2415</v>
      </c>
      <c r="AC1938" s="28">
        <f>ifood_data[[#This Row],[Customer_Days]]/365</f>
        <v>6.6164383561643838</v>
      </c>
      <c r="AD1938">
        <v>0</v>
      </c>
      <c r="AE1938">
        <v>0</v>
      </c>
      <c r="AF1938">
        <v>0</v>
      </c>
      <c r="AG1938">
        <v>1</v>
      </c>
      <c r="AH1938">
        <v>0</v>
      </c>
      <c r="AI1938">
        <v>1</v>
      </c>
      <c r="AJ1938">
        <v>0</v>
      </c>
      <c r="AK1938">
        <v>0</v>
      </c>
      <c r="AL1938">
        <v>0</v>
      </c>
      <c r="AM1938">
        <v>0</v>
      </c>
      <c r="AN1938">
        <v>25</v>
      </c>
      <c r="AO1938">
        <v>18</v>
      </c>
      <c r="AP1938">
        <f>ifood_data[[#This Row],[MntTotal]]-ifood_data[[#This Row],[MntRegularProds]]</f>
        <v>7</v>
      </c>
      <c r="AQ1938">
        <v>0</v>
      </c>
      <c r="AR1938">
        <f>IF(SUM(ifood_data[[#This Row],[Kidhome]:[Teenhome]])&gt;0,1,0)</f>
        <v>1</v>
      </c>
      <c r="AS1938" t="str">
        <f>IF(SUM(ifood_data[[#This Row],[Kidhome]:[Teenhome]])&gt;0,"Has Family","No Family")</f>
        <v>Has Family</v>
      </c>
      <c r="AT1938" t="str">
        <f>IF(ifood_data[[#This Row],[marital_Married]]=1,"Married", (IF(ifood_data[[#This Row],[marital_Single]]=1,"Single",(IF(ifood_data[[#This Row],[marital_Divorced]]=1,"Divorced",(IF(ifood_data[[#This Row],[marital_Together]]=1,"Living Together",(IF(ifood_data[[#This Row],[marital_Widow]]=1,"Widow","Other")))))))))</f>
        <v>Living Together</v>
      </c>
      <c r="AU1938" t="str">
        <f>IF(ifood_data[[#This Row],[education_Basic]]=1,"High School",(IF(ifood_data[[#This Row],[education_Graduation]]=1,"Undergraduate Degree",(IF(SUM(AM1938,AL1938,AI1938)&gt;0,"Master's Degree or Higher","Other")))))</f>
        <v>Master's Degree or Higher</v>
      </c>
      <c r="AV1938" t="str">
        <f>IF(ifood_data[[#All],[Income]]&gt;75000,"75K+",(IF(ifood_data[[#All],[Income]]&gt;50000,"50K-75K",(IF(ifood_data[[#All],[Income]]&gt;35000,"35K-50K","&lt;35K")))))</f>
        <v>&lt;35K</v>
      </c>
      <c r="AW1938" t="str">
        <f>IF(ifood_data[[#All],[Age]]&gt;60,"60+",(IF(ifood_data[[#All],[Age]]&gt;50,"50-60",(IF(ifood_data[[#All],[Age]]&gt;40,"40-50",(IF(ifood_data[[#All],[Age]]&gt;30,"30-40","&lt;30")))))))</f>
        <v>30-40</v>
      </c>
      <c r="AX1938">
        <f t="shared" si="120"/>
        <v>13</v>
      </c>
      <c r="AY1938">
        <f t="shared" si="121"/>
        <v>7</v>
      </c>
      <c r="AZ1938">
        <f t="shared" si="122"/>
        <v>1</v>
      </c>
      <c r="BA1938">
        <f t="shared" si="123"/>
        <v>0</v>
      </c>
      <c r="BB1938">
        <f>SUM(ifood_data[[#This Row],[Recency Score]:[Monetary Score]])</f>
        <v>8</v>
      </c>
      <c r="BC1938">
        <f>(_xlfn.PERCENTRANK.INC(ifood_data[[#All],[RFM]],ifood_data[[#This Row],[RFM]],1))*10</f>
        <v>1</v>
      </c>
      <c r="BD1938" t="str">
        <f>VLOOKUP(ifood_data[[#This Row],[RFM Score]],'RFM Analysis'!$A$3:$B$14,2,FALSE)</f>
        <v>At Risk</v>
      </c>
      <c r="BE1938">
        <f>'Regression Models'!$B$101+'Regression Models'!$B$102*ifood_data[[#This Row],[Income]]+'Regression Models'!$B$103*ifood_data[[#This Row],[Age]]+'Regression Models'!$B$104*ifood_data[[#This Row],[Family]]</f>
        <v>-153.22246667870502</v>
      </c>
      <c r="BF1938" t="str">
        <f>IF(ifood_data[[#This Row],[AcceptedCmpOverall]]=1,"Campaign Respondent","Non-respondent")</f>
        <v>Non-respondent</v>
      </c>
    </row>
    <row r="1939" spans="1:58" x14ac:dyDescent="0.35">
      <c r="A1939">
        <v>683</v>
      </c>
      <c r="B1939">
        <v>18988</v>
      </c>
      <c r="C1939">
        <v>1</v>
      </c>
      <c r="D1939">
        <v>0</v>
      </c>
      <c r="E1939">
        <v>43</v>
      </c>
      <c r="F1939">
        <v>6</v>
      </c>
      <c r="G1939">
        <v>0</v>
      </c>
      <c r="H1939">
        <v>6</v>
      </c>
      <c r="I1939">
        <v>2</v>
      </c>
      <c r="J1939">
        <v>1</v>
      </c>
      <c r="K1939">
        <v>1</v>
      </c>
      <c r="L1939">
        <v>2</v>
      </c>
      <c r="M1939">
        <v>1</v>
      </c>
      <c r="N1939">
        <v>0</v>
      </c>
      <c r="O1939">
        <v>3</v>
      </c>
      <c r="P1939">
        <v>7</v>
      </c>
      <c r="Q1939">
        <v>0</v>
      </c>
      <c r="R1939">
        <v>0</v>
      </c>
      <c r="S1939">
        <v>0</v>
      </c>
      <c r="T1939">
        <v>0</v>
      </c>
      <c r="U1939">
        <v>0</v>
      </c>
      <c r="V1939">
        <f>IF(SUM(ifood_data[[#This Row],[AcceptedCmp1]:[AcceptedCmp5]])&gt;0,1,0)</f>
        <v>0</v>
      </c>
      <c r="W1939">
        <v>0</v>
      </c>
      <c r="X1939">
        <v>3</v>
      </c>
      <c r="Y1939">
        <v>11</v>
      </c>
      <c r="Z1939">
        <v>0</v>
      </c>
      <c r="AA1939">
        <v>36</v>
      </c>
      <c r="AB1939">
        <v>2196</v>
      </c>
      <c r="AC1939" s="28">
        <f>ifood_data[[#This Row],[Customer_Days]]/365</f>
        <v>6.0164383561643833</v>
      </c>
      <c r="AD1939">
        <v>0</v>
      </c>
      <c r="AE1939">
        <v>1</v>
      </c>
      <c r="AF1939">
        <v>0</v>
      </c>
      <c r="AG1939">
        <v>0</v>
      </c>
      <c r="AH1939">
        <v>0</v>
      </c>
      <c r="AI1939">
        <v>0</v>
      </c>
      <c r="AJ1939">
        <v>0</v>
      </c>
      <c r="AK1939">
        <v>0</v>
      </c>
      <c r="AL1939">
        <v>0</v>
      </c>
      <c r="AM1939">
        <v>1</v>
      </c>
      <c r="AN1939">
        <v>15</v>
      </c>
      <c r="AO1939">
        <v>14</v>
      </c>
      <c r="AP1939">
        <f>ifood_data[[#This Row],[MntTotal]]-ifood_data[[#This Row],[MntRegularProds]]</f>
        <v>1</v>
      </c>
      <c r="AQ1939">
        <v>0</v>
      </c>
      <c r="AR1939">
        <f>IF(SUM(ifood_data[[#This Row],[Kidhome]:[Teenhome]])&gt;0,1,0)</f>
        <v>1</v>
      </c>
      <c r="AS1939" t="str">
        <f>IF(SUM(ifood_data[[#This Row],[Kidhome]:[Teenhome]])&gt;0,"Has Family","No Family")</f>
        <v>Has Family</v>
      </c>
      <c r="AT1939" t="str">
        <f>IF(ifood_data[[#This Row],[marital_Married]]=1,"Married", (IF(ifood_data[[#This Row],[marital_Single]]=1,"Single",(IF(ifood_data[[#This Row],[marital_Divorced]]=1,"Divorced",(IF(ifood_data[[#This Row],[marital_Together]]=1,"Living Together",(IF(ifood_data[[#This Row],[marital_Widow]]=1,"Widow","Other")))))))))</f>
        <v>Married</v>
      </c>
      <c r="AU1939" t="str">
        <f>IF(ifood_data[[#This Row],[education_Basic]]=1,"High School",(IF(ifood_data[[#This Row],[education_Graduation]]=1,"Undergraduate Degree",(IF(SUM(AM1939,AL1939,AI1939)&gt;0,"Master's Degree or Higher","Other")))))</f>
        <v>Master's Degree or Higher</v>
      </c>
      <c r="AV1939" t="str">
        <f>IF(ifood_data[[#All],[Income]]&gt;75000,"75K+",(IF(ifood_data[[#All],[Income]]&gt;50000,"50K-75K",(IF(ifood_data[[#All],[Income]]&gt;35000,"35K-50K","&lt;35K")))))</f>
        <v>&lt;35K</v>
      </c>
      <c r="AW1939" t="str">
        <f>IF(ifood_data[[#All],[Age]]&gt;60,"60+",(IF(ifood_data[[#All],[Age]]&gt;50,"50-60",(IF(ifood_data[[#All],[Age]]&gt;40,"40-50",(IF(ifood_data[[#All],[Age]]&gt;30,"30-40","&lt;30")))))))</f>
        <v>30-40</v>
      </c>
      <c r="AX1939">
        <f t="shared" si="120"/>
        <v>13</v>
      </c>
      <c r="AY1939">
        <f t="shared" si="121"/>
        <v>6</v>
      </c>
      <c r="AZ1939">
        <f t="shared" si="122"/>
        <v>1</v>
      </c>
      <c r="BA1939">
        <f t="shared" si="123"/>
        <v>0</v>
      </c>
      <c r="BB1939">
        <f>SUM(ifood_data[[#This Row],[Recency Score]:[Monetary Score]])</f>
        <v>7</v>
      </c>
      <c r="BC1939">
        <f>(_xlfn.PERCENTRANK.INC(ifood_data[[#All],[RFM]],ifood_data[[#This Row],[RFM]],1))*10</f>
        <v>1</v>
      </c>
      <c r="BD1939" t="str">
        <f>VLOOKUP(ifood_data[[#This Row],[RFM Score]],'RFM Analysis'!$A$3:$B$14,2,FALSE)</f>
        <v>At Risk</v>
      </c>
      <c r="BE1939">
        <f>'Regression Models'!$B$101+'Regression Models'!$B$102*ifood_data[[#This Row],[Income]]+'Regression Models'!$B$103*ifood_data[[#This Row],[Age]]+'Regression Models'!$B$104*ifood_data[[#This Row],[Family]]</f>
        <v>-156.39876467132314</v>
      </c>
      <c r="BF1939" t="str">
        <f>IF(ifood_data[[#This Row],[AcceptedCmpOverall]]=1,"Campaign Respondent","Non-respondent")</f>
        <v>Non-respondent</v>
      </c>
    </row>
    <row r="1940" spans="1:58" x14ac:dyDescent="0.35">
      <c r="A1940">
        <v>394</v>
      </c>
      <c r="B1940">
        <v>19789</v>
      </c>
      <c r="C1940">
        <v>1</v>
      </c>
      <c r="D1940">
        <v>0</v>
      </c>
      <c r="E1940">
        <v>24</v>
      </c>
      <c r="F1940">
        <v>2</v>
      </c>
      <c r="G1940">
        <v>5</v>
      </c>
      <c r="H1940">
        <v>9</v>
      </c>
      <c r="I1940">
        <v>28</v>
      </c>
      <c r="J1940">
        <v>6</v>
      </c>
      <c r="K1940">
        <v>28</v>
      </c>
      <c r="L1940">
        <v>3</v>
      </c>
      <c r="M1940">
        <v>2</v>
      </c>
      <c r="N1940">
        <v>1</v>
      </c>
      <c r="O1940">
        <v>3</v>
      </c>
      <c r="P1940">
        <v>5</v>
      </c>
      <c r="Q1940">
        <v>0</v>
      </c>
      <c r="R1940">
        <v>0</v>
      </c>
      <c r="S1940">
        <v>1</v>
      </c>
      <c r="T1940">
        <v>0</v>
      </c>
      <c r="U1940">
        <v>0</v>
      </c>
      <c r="V1940">
        <f>IF(SUM(ifood_data[[#This Row],[AcceptedCmp1]:[AcceptedCmp5]])&gt;0,1,0)</f>
        <v>1</v>
      </c>
      <c r="W1940">
        <v>0</v>
      </c>
      <c r="X1940">
        <v>3</v>
      </c>
      <c r="Y1940">
        <v>11</v>
      </c>
      <c r="Z1940">
        <v>0</v>
      </c>
      <c r="AA1940">
        <v>45</v>
      </c>
      <c r="AB1940">
        <v>2380</v>
      </c>
      <c r="AC1940" s="28">
        <f>ifood_data[[#This Row],[Customer_Days]]/365</f>
        <v>6.5205479452054798</v>
      </c>
      <c r="AD1940">
        <v>0</v>
      </c>
      <c r="AE1940">
        <v>0</v>
      </c>
      <c r="AF1940">
        <v>0</v>
      </c>
      <c r="AG1940">
        <v>1</v>
      </c>
      <c r="AH1940">
        <v>0</v>
      </c>
      <c r="AI1940">
        <v>1</v>
      </c>
      <c r="AJ1940">
        <v>0</v>
      </c>
      <c r="AK1940">
        <v>0</v>
      </c>
      <c r="AL1940">
        <v>0</v>
      </c>
      <c r="AM1940">
        <v>0</v>
      </c>
      <c r="AN1940">
        <v>50</v>
      </c>
      <c r="AO1940">
        <v>22</v>
      </c>
      <c r="AP1940">
        <f>ifood_data[[#This Row],[MntTotal]]-ifood_data[[#This Row],[MntRegularProds]]</f>
        <v>28</v>
      </c>
      <c r="AQ1940">
        <v>1</v>
      </c>
      <c r="AR1940">
        <f>IF(SUM(ifood_data[[#This Row],[Kidhome]:[Teenhome]])&gt;0,1,0)</f>
        <v>1</v>
      </c>
      <c r="AS1940" t="str">
        <f>IF(SUM(ifood_data[[#This Row],[Kidhome]:[Teenhome]])&gt;0,"Has Family","No Family")</f>
        <v>Has Family</v>
      </c>
      <c r="AT1940" t="str">
        <f>IF(ifood_data[[#This Row],[marital_Married]]=1,"Married", (IF(ifood_data[[#This Row],[marital_Single]]=1,"Single",(IF(ifood_data[[#This Row],[marital_Divorced]]=1,"Divorced",(IF(ifood_data[[#This Row],[marital_Together]]=1,"Living Together",(IF(ifood_data[[#This Row],[marital_Widow]]=1,"Widow","Other")))))))))</f>
        <v>Living Together</v>
      </c>
      <c r="AU1940" t="str">
        <f>IF(ifood_data[[#This Row],[education_Basic]]=1,"High School",(IF(ifood_data[[#This Row],[education_Graduation]]=1,"Undergraduate Degree",(IF(SUM(AM1940,AL1940,AI1940)&gt;0,"Master's Degree or Higher","Other")))))</f>
        <v>Master's Degree or Higher</v>
      </c>
      <c r="AV1940" t="str">
        <f>IF(ifood_data[[#All],[Income]]&gt;75000,"75K+",(IF(ifood_data[[#All],[Income]]&gt;50000,"50K-75K",(IF(ifood_data[[#All],[Income]]&gt;35000,"35K-50K","&lt;35K")))))</f>
        <v>&lt;35K</v>
      </c>
      <c r="AW1940" t="str">
        <f>IF(ifood_data[[#All],[Age]]&gt;60,"60+",(IF(ifood_data[[#All],[Age]]&gt;50,"50-60",(IF(ifood_data[[#All],[Age]]&gt;40,"40-50",(IF(ifood_data[[#All],[Age]]&gt;30,"30-40","&lt;30")))))))</f>
        <v>40-50</v>
      </c>
      <c r="AX1940">
        <f t="shared" si="120"/>
        <v>14</v>
      </c>
      <c r="AY1940">
        <f t="shared" si="121"/>
        <v>8</v>
      </c>
      <c r="AZ1940">
        <f t="shared" si="122"/>
        <v>2</v>
      </c>
      <c r="BA1940">
        <f t="shared" si="123"/>
        <v>2</v>
      </c>
      <c r="BB1940">
        <f>SUM(ifood_data[[#This Row],[Recency Score]:[Monetary Score]])</f>
        <v>12</v>
      </c>
      <c r="BC1940">
        <f>(_xlfn.PERCENTRANK.INC(ifood_data[[#All],[RFM]],ifood_data[[#This Row],[RFM]],1))*10</f>
        <v>3</v>
      </c>
      <c r="BD1940" t="str">
        <f>VLOOKUP(ifood_data[[#This Row],[RFM Score]],'RFM Analysis'!$A$3:$B$14,2,FALSE)</f>
        <v>At Risk</v>
      </c>
      <c r="BE1940">
        <f>'Regression Models'!$B$101+'Regression Models'!$B$102*ifood_data[[#This Row],[Income]]+'Regression Models'!$B$103*ifood_data[[#This Row],[Age]]+'Regression Models'!$B$104*ifood_data[[#This Row],[Family]]</f>
        <v>-156.59531309810862</v>
      </c>
      <c r="BF1940" t="str">
        <f>IF(ifood_data[[#This Row],[AcceptedCmpOverall]]=1,"Campaign Respondent","Non-respondent")</f>
        <v>Campaign Respondent</v>
      </c>
    </row>
    <row r="1941" spans="1:58" x14ac:dyDescent="0.35">
      <c r="A1941">
        <v>1565</v>
      </c>
      <c r="B1941">
        <v>18358</v>
      </c>
      <c r="C1941">
        <v>1</v>
      </c>
      <c r="D1941">
        <v>0</v>
      </c>
      <c r="E1941">
        <v>49</v>
      </c>
      <c r="F1941">
        <v>6</v>
      </c>
      <c r="G1941">
        <v>8</v>
      </c>
      <c r="H1941">
        <v>19</v>
      </c>
      <c r="I1941">
        <v>16</v>
      </c>
      <c r="J1941">
        <v>4</v>
      </c>
      <c r="K1941">
        <v>4</v>
      </c>
      <c r="L1941">
        <v>3</v>
      </c>
      <c r="M1941">
        <v>3</v>
      </c>
      <c r="N1941">
        <v>0</v>
      </c>
      <c r="O1941">
        <v>4</v>
      </c>
      <c r="P1941">
        <v>7</v>
      </c>
      <c r="Q1941">
        <v>0</v>
      </c>
      <c r="R1941">
        <v>0</v>
      </c>
      <c r="S1941">
        <v>0</v>
      </c>
      <c r="T1941">
        <v>0</v>
      </c>
      <c r="U1941">
        <v>0</v>
      </c>
      <c r="V1941">
        <f>IF(SUM(ifood_data[[#This Row],[AcceptedCmp1]:[AcceptedCmp5]])&gt;0,1,0)</f>
        <v>0</v>
      </c>
      <c r="W1941">
        <v>0</v>
      </c>
      <c r="X1941">
        <v>3</v>
      </c>
      <c r="Y1941">
        <v>11</v>
      </c>
      <c r="Z1941">
        <v>0</v>
      </c>
      <c r="AA1941">
        <v>31</v>
      </c>
      <c r="AB1941">
        <v>2380</v>
      </c>
      <c r="AC1941" s="28">
        <f>ifood_data[[#This Row],[Customer_Days]]/365</f>
        <v>6.5205479452054798</v>
      </c>
      <c r="AD1941">
        <v>0</v>
      </c>
      <c r="AE1941">
        <v>0</v>
      </c>
      <c r="AF1941">
        <v>1</v>
      </c>
      <c r="AG1941">
        <v>0</v>
      </c>
      <c r="AH1941">
        <v>0</v>
      </c>
      <c r="AI1941">
        <v>0</v>
      </c>
      <c r="AJ1941">
        <v>0</v>
      </c>
      <c r="AK1941">
        <v>1</v>
      </c>
      <c r="AL1941">
        <v>0</v>
      </c>
      <c r="AM1941">
        <v>0</v>
      </c>
      <c r="AN1941">
        <v>53</v>
      </c>
      <c r="AO1941">
        <v>49</v>
      </c>
      <c r="AP1941">
        <f>ifood_data[[#This Row],[MntTotal]]-ifood_data[[#This Row],[MntRegularProds]]</f>
        <v>4</v>
      </c>
      <c r="AQ1941">
        <v>0</v>
      </c>
      <c r="AR1941">
        <f>IF(SUM(ifood_data[[#This Row],[Kidhome]:[Teenhome]])&gt;0,1,0)</f>
        <v>1</v>
      </c>
      <c r="AS1941" t="str">
        <f>IF(SUM(ifood_data[[#This Row],[Kidhome]:[Teenhome]])&gt;0,"Has Family","No Family")</f>
        <v>Has Family</v>
      </c>
      <c r="AT1941" t="str">
        <f>IF(ifood_data[[#This Row],[marital_Married]]=1,"Married", (IF(ifood_data[[#This Row],[marital_Single]]=1,"Single",(IF(ifood_data[[#This Row],[marital_Divorced]]=1,"Divorced",(IF(ifood_data[[#This Row],[marital_Together]]=1,"Living Together",(IF(ifood_data[[#This Row],[marital_Widow]]=1,"Widow","Other")))))))))</f>
        <v>Single</v>
      </c>
      <c r="AU1941" t="str">
        <f>IF(ifood_data[[#This Row],[education_Basic]]=1,"High School",(IF(ifood_data[[#This Row],[education_Graduation]]=1,"Undergraduate Degree",(IF(SUM(AM1941,AL1941,AI1941)&gt;0,"Master's Degree or Higher","Other")))))</f>
        <v>Undergraduate Degree</v>
      </c>
      <c r="AV1941" t="str">
        <f>IF(ifood_data[[#All],[Income]]&gt;75000,"75K+",(IF(ifood_data[[#All],[Income]]&gt;50000,"50K-75K",(IF(ifood_data[[#All],[Income]]&gt;35000,"35K-50K","&lt;35K")))))</f>
        <v>&lt;35K</v>
      </c>
      <c r="AW1941" t="str">
        <f>IF(ifood_data[[#All],[Age]]&gt;60,"60+",(IF(ifood_data[[#All],[Age]]&gt;50,"50-60",(IF(ifood_data[[#All],[Age]]&gt;40,"40-50",(IF(ifood_data[[#All],[Age]]&gt;30,"30-40","&lt;30")))))))</f>
        <v>30-40</v>
      </c>
      <c r="AX1941">
        <f t="shared" si="120"/>
        <v>17</v>
      </c>
      <c r="AY1941">
        <f t="shared" si="121"/>
        <v>6</v>
      </c>
      <c r="AZ1941">
        <f t="shared" si="122"/>
        <v>3</v>
      </c>
      <c r="BA1941">
        <f t="shared" si="123"/>
        <v>2</v>
      </c>
      <c r="BB1941">
        <f>SUM(ifood_data[[#This Row],[Recency Score]:[Monetary Score]])</f>
        <v>11</v>
      </c>
      <c r="BC1941">
        <f>(_xlfn.PERCENTRANK.INC(ifood_data[[#All],[RFM]],ifood_data[[#This Row],[RFM]],1))*10</f>
        <v>2</v>
      </c>
      <c r="BD1941" t="str">
        <f>VLOOKUP(ifood_data[[#This Row],[RFM Score]],'RFM Analysis'!$A$3:$B$14,2,FALSE)</f>
        <v>At Risk</v>
      </c>
      <c r="BE1941">
        <f>'Regression Models'!$B$101+'Regression Models'!$B$102*ifood_data[[#This Row],[Income]]+'Regression Models'!$B$103*ifood_data[[#This Row],[Age]]+'Regression Models'!$B$104*ifood_data[[#This Row],[Family]]</f>
        <v>-160.06149320750808</v>
      </c>
      <c r="BF1941" t="str">
        <f>IF(ifood_data[[#This Row],[AcceptedCmpOverall]]=1,"Campaign Respondent","Non-respondent")</f>
        <v>Non-respondent</v>
      </c>
    </row>
    <row r="1942" spans="1:58" x14ac:dyDescent="0.35">
      <c r="A1942">
        <v>1377</v>
      </c>
      <c r="B1942">
        <v>19107</v>
      </c>
      <c r="C1942">
        <v>1</v>
      </c>
      <c r="D1942">
        <v>0</v>
      </c>
      <c r="E1942">
        <v>49</v>
      </c>
      <c r="F1942">
        <v>2</v>
      </c>
      <c r="G1942">
        <v>4</v>
      </c>
      <c r="H1942">
        <v>9</v>
      </c>
      <c r="I1942">
        <v>10</v>
      </c>
      <c r="J1942">
        <v>5</v>
      </c>
      <c r="K1942">
        <v>16</v>
      </c>
      <c r="L1942">
        <v>2</v>
      </c>
      <c r="M1942">
        <v>1</v>
      </c>
      <c r="N1942">
        <v>0</v>
      </c>
      <c r="O1942">
        <v>3</v>
      </c>
      <c r="P1942">
        <v>7</v>
      </c>
      <c r="Q1942">
        <v>0</v>
      </c>
      <c r="R1942">
        <v>0</v>
      </c>
      <c r="S1942">
        <v>0</v>
      </c>
      <c r="T1942">
        <v>0</v>
      </c>
      <c r="U1942">
        <v>0</v>
      </c>
      <c r="V1942">
        <f>IF(SUM(ifood_data[[#This Row],[AcceptedCmp1]:[AcceptedCmp5]])&gt;0,1,0)</f>
        <v>0</v>
      </c>
      <c r="W1942">
        <v>0</v>
      </c>
      <c r="X1942">
        <v>3</v>
      </c>
      <c r="Y1942">
        <v>11</v>
      </c>
      <c r="Z1942">
        <v>0</v>
      </c>
      <c r="AA1942">
        <v>40</v>
      </c>
      <c r="AB1942">
        <v>2470</v>
      </c>
      <c r="AC1942" s="28">
        <f>ifood_data[[#This Row],[Customer_Days]]/365</f>
        <v>6.7671232876712333</v>
      </c>
      <c r="AD1942">
        <v>0</v>
      </c>
      <c r="AE1942">
        <v>1</v>
      </c>
      <c r="AF1942">
        <v>0</v>
      </c>
      <c r="AG1942">
        <v>0</v>
      </c>
      <c r="AH1942">
        <v>0</v>
      </c>
      <c r="AI1942">
        <v>0</v>
      </c>
      <c r="AJ1942">
        <v>0</v>
      </c>
      <c r="AK1942">
        <v>1</v>
      </c>
      <c r="AL1942">
        <v>0</v>
      </c>
      <c r="AM1942">
        <v>0</v>
      </c>
      <c r="AN1942">
        <v>30</v>
      </c>
      <c r="AO1942">
        <v>14</v>
      </c>
      <c r="AP1942">
        <f>ifood_data[[#This Row],[MntTotal]]-ifood_data[[#This Row],[MntRegularProds]]</f>
        <v>16</v>
      </c>
      <c r="AQ1942">
        <v>0</v>
      </c>
      <c r="AR1942">
        <f>IF(SUM(ifood_data[[#This Row],[Kidhome]:[Teenhome]])&gt;0,1,0)</f>
        <v>1</v>
      </c>
      <c r="AS1942" t="str">
        <f>IF(SUM(ifood_data[[#This Row],[Kidhome]:[Teenhome]])&gt;0,"Has Family","No Family")</f>
        <v>Has Family</v>
      </c>
      <c r="AT1942" t="str">
        <f>IF(ifood_data[[#This Row],[marital_Married]]=1,"Married", (IF(ifood_data[[#This Row],[marital_Single]]=1,"Single",(IF(ifood_data[[#This Row],[marital_Divorced]]=1,"Divorced",(IF(ifood_data[[#This Row],[marital_Together]]=1,"Living Together",(IF(ifood_data[[#This Row],[marital_Widow]]=1,"Widow","Other")))))))))</f>
        <v>Married</v>
      </c>
      <c r="AU1942" t="str">
        <f>IF(ifood_data[[#This Row],[education_Basic]]=1,"High School",(IF(ifood_data[[#This Row],[education_Graduation]]=1,"Undergraduate Degree",(IF(SUM(AM1942,AL1942,AI1942)&gt;0,"Master's Degree or Higher","Other")))))</f>
        <v>Undergraduate Degree</v>
      </c>
      <c r="AV1942" t="str">
        <f>IF(ifood_data[[#All],[Income]]&gt;75000,"75K+",(IF(ifood_data[[#All],[Income]]&gt;50000,"50K-75K",(IF(ifood_data[[#All],[Income]]&gt;35000,"35K-50K","&lt;35K")))))</f>
        <v>&lt;35K</v>
      </c>
      <c r="AW1942" t="str">
        <f>IF(ifood_data[[#All],[Age]]&gt;60,"60+",(IF(ifood_data[[#All],[Age]]&gt;50,"50-60",(IF(ifood_data[[#All],[Age]]&gt;40,"40-50",(IF(ifood_data[[#All],[Age]]&gt;30,"30-40","&lt;30")))))))</f>
        <v>30-40</v>
      </c>
      <c r="AX1942">
        <f t="shared" si="120"/>
        <v>13</v>
      </c>
      <c r="AY1942">
        <f t="shared" si="121"/>
        <v>6</v>
      </c>
      <c r="AZ1942">
        <f t="shared" si="122"/>
        <v>1</v>
      </c>
      <c r="BA1942">
        <f t="shared" si="123"/>
        <v>1</v>
      </c>
      <c r="BB1942">
        <f>SUM(ifood_data[[#This Row],[Recency Score]:[Monetary Score]])</f>
        <v>8</v>
      </c>
      <c r="BC1942">
        <f>(_xlfn.PERCENTRANK.INC(ifood_data[[#All],[RFM]],ifood_data[[#This Row],[RFM]],1))*10</f>
        <v>1</v>
      </c>
      <c r="BD1942" t="str">
        <f>VLOOKUP(ifood_data[[#This Row],[RFM Score]],'RFM Analysis'!$A$3:$B$14,2,FALSE)</f>
        <v>At Risk</v>
      </c>
      <c r="BE1942">
        <f>'Regression Models'!$B$101+'Regression Models'!$B$102*ifood_data[[#This Row],[Income]]+'Regression Models'!$B$103*ifood_data[[#This Row],[Age]]+'Regression Models'!$B$104*ifood_data[[#This Row],[Family]]</f>
        <v>-161.31825757777628</v>
      </c>
      <c r="BF1942" t="str">
        <f>IF(ifood_data[[#This Row],[AcceptedCmpOverall]]=1,"Campaign Respondent","Non-respondent")</f>
        <v>Non-respondent</v>
      </c>
    </row>
    <row r="1943" spans="1:58" x14ac:dyDescent="0.35">
      <c r="A1943">
        <v>1270</v>
      </c>
      <c r="B1943">
        <v>18227</v>
      </c>
      <c r="C1943">
        <v>1</v>
      </c>
      <c r="D1943">
        <v>0</v>
      </c>
      <c r="E1943">
        <v>21</v>
      </c>
      <c r="F1943">
        <v>1</v>
      </c>
      <c r="G1943">
        <v>2</v>
      </c>
      <c r="H1943">
        <v>7</v>
      </c>
      <c r="I1943">
        <v>4</v>
      </c>
      <c r="J1943">
        <v>3</v>
      </c>
      <c r="K1943">
        <v>11</v>
      </c>
      <c r="L1943">
        <v>1</v>
      </c>
      <c r="M1943">
        <v>0</v>
      </c>
      <c r="N1943">
        <v>1</v>
      </c>
      <c r="O1943">
        <v>2</v>
      </c>
      <c r="P1943">
        <v>8</v>
      </c>
      <c r="Q1943">
        <v>0</v>
      </c>
      <c r="R1943">
        <v>0</v>
      </c>
      <c r="S1943">
        <v>0</v>
      </c>
      <c r="T1943">
        <v>0</v>
      </c>
      <c r="U1943">
        <v>0</v>
      </c>
      <c r="V1943">
        <f>IF(SUM(ifood_data[[#This Row],[AcceptedCmp1]:[AcceptedCmp5]])&gt;0,1,0)</f>
        <v>0</v>
      </c>
      <c r="W1943">
        <v>0</v>
      </c>
      <c r="X1943">
        <v>3</v>
      </c>
      <c r="Y1943">
        <v>11</v>
      </c>
      <c r="Z1943">
        <v>0</v>
      </c>
      <c r="AA1943">
        <v>33</v>
      </c>
      <c r="AB1943">
        <v>2757</v>
      </c>
      <c r="AC1943" s="28">
        <f>ifood_data[[#This Row],[Customer_Days]]/365</f>
        <v>7.5534246575342463</v>
      </c>
      <c r="AD1943">
        <v>0</v>
      </c>
      <c r="AE1943">
        <v>0</v>
      </c>
      <c r="AF1943">
        <v>0</v>
      </c>
      <c r="AG1943">
        <v>1</v>
      </c>
      <c r="AH1943">
        <v>0</v>
      </c>
      <c r="AI1943">
        <v>0</v>
      </c>
      <c r="AJ1943">
        <v>0</v>
      </c>
      <c r="AK1943">
        <v>1</v>
      </c>
      <c r="AL1943">
        <v>0</v>
      </c>
      <c r="AM1943">
        <v>0</v>
      </c>
      <c r="AN1943">
        <v>17</v>
      </c>
      <c r="AO1943">
        <v>6</v>
      </c>
      <c r="AP1943">
        <f>ifood_data[[#This Row],[MntTotal]]-ifood_data[[#This Row],[MntRegularProds]]</f>
        <v>11</v>
      </c>
      <c r="AQ1943">
        <v>0</v>
      </c>
      <c r="AR1943">
        <f>IF(SUM(ifood_data[[#This Row],[Kidhome]:[Teenhome]])&gt;0,1,0)</f>
        <v>1</v>
      </c>
      <c r="AS1943" t="str">
        <f>IF(SUM(ifood_data[[#This Row],[Kidhome]:[Teenhome]])&gt;0,"Has Family","No Family")</f>
        <v>Has Family</v>
      </c>
      <c r="AT1943" t="str">
        <f>IF(ifood_data[[#This Row],[marital_Married]]=1,"Married", (IF(ifood_data[[#This Row],[marital_Single]]=1,"Single",(IF(ifood_data[[#This Row],[marital_Divorced]]=1,"Divorced",(IF(ifood_data[[#This Row],[marital_Together]]=1,"Living Together",(IF(ifood_data[[#This Row],[marital_Widow]]=1,"Widow","Other")))))))))</f>
        <v>Living Together</v>
      </c>
      <c r="AU1943" t="str">
        <f>IF(ifood_data[[#This Row],[education_Basic]]=1,"High School",(IF(ifood_data[[#This Row],[education_Graduation]]=1,"Undergraduate Degree",(IF(SUM(AM1943,AL1943,AI1943)&gt;0,"Master's Degree or Higher","Other")))))</f>
        <v>Undergraduate Degree</v>
      </c>
      <c r="AV1943" t="str">
        <f>IF(ifood_data[[#All],[Income]]&gt;75000,"75K+",(IF(ifood_data[[#All],[Income]]&gt;50000,"50K-75K",(IF(ifood_data[[#All],[Income]]&gt;35000,"35K-50K","&lt;35K")))))</f>
        <v>&lt;35K</v>
      </c>
      <c r="AW1943" t="str">
        <f>IF(ifood_data[[#All],[Age]]&gt;60,"60+",(IF(ifood_data[[#All],[Age]]&gt;50,"50-60",(IF(ifood_data[[#All],[Age]]&gt;40,"40-50",(IF(ifood_data[[#All],[Age]]&gt;30,"30-40","&lt;30")))))))</f>
        <v>30-40</v>
      </c>
      <c r="AX1943">
        <f t="shared" si="120"/>
        <v>12</v>
      </c>
      <c r="AY1943">
        <f t="shared" si="121"/>
        <v>8</v>
      </c>
      <c r="AZ1943">
        <f t="shared" si="122"/>
        <v>1</v>
      </c>
      <c r="BA1943">
        <f t="shared" si="123"/>
        <v>0</v>
      </c>
      <c r="BB1943">
        <f>SUM(ifood_data[[#This Row],[Recency Score]:[Monetary Score]])</f>
        <v>9</v>
      </c>
      <c r="BC1943">
        <f>(_xlfn.PERCENTRANK.INC(ifood_data[[#All],[RFM]],ifood_data[[#This Row],[RFM]],1))*10</f>
        <v>1</v>
      </c>
      <c r="BD1943" t="str">
        <f>VLOOKUP(ifood_data[[#This Row],[RFM Score]],'RFM Analysis'!$A$3:$B$14,2,FALSE)</f>
        <v>At Risk</v>
      </c>
      <c r="BE1943">
        <f>'Regression Models'!$B$101+'Regression Models'!$B$102*ifood_data[[#This Row],[Income]]+'Regression Models'!$B$103*ifood_data[[#This Row],[Age]]+'Regression Models'!$B$104*ifood_data[[#This Row],[Family]]</f>
        <v>-166.40529999214738</v>
      </c>
      <c r="BF1943" t="str">
        <f>IF(ifood_data[[#This Row],[AcceptedCmpOverall]]=1,"Campaign Respondent","Non-respondent")</f>
        <v>Non-respondent</v>
      </c>
    </row>
    <row r="1944" spans="1:58" x14ac:dyDescent="0.35">
      <c r="A1944">
        <v>1938</v>
      </c>
      <c r="B1944">
        <v>19346</v>
      </c>
      <c r="C1944">
        <v>1</v>
      </c>
      <c r="D1944">
        <v>0</v>
      </c>
      <c r="E1944">
        <v>26</v>
      </c>
      <c r="F1944">
        <v>2</v>
      </c>
      <c r="G1944">
        <v>0</v>
      </c>
      <c r="H1944">
        <v>9</v>
      </c>
      <c r="I1944">
        <v>3</v>
      </c>
      <c r="J1944">
        <v>6</v>
      </c>
      <c r="K1944">
        <v>2</v>
      </c>
      <c r="L1944">
        <v>1</v>
      </c>
      <c r="M1944">
        <v>1</v>
      </c>
      <c r="N1944">
        <v>0</v>
      </c>
      <c r="O1944">
        <v>3</v>
      </c>
      <c r="P1944">
        <v>8</v>
      </c>
      <c r="Q1944">
        <v>0</v>
      </c>
      <c r="R1944">
        <v>0</v>
      </c>
      <c r="S1944">
        <v>0</v>
      </c>
      <c r="T1944">
        <v>0</v>
      </c>
      <c r="U1944">
        <v>0</v>
      </c>
      <c r="V1944">
        <f>IF(SUM(ifood_data[[#This Row],[AcceptedCmp1]:[AcceptedCmp5]])&gt;0,1,0)</f>
        <v>0</v>
      </c>
      <c r="W1944">
        <v>0</v>
      </c>
      <c r="X1944">
        <v>3</v>
      </c>
      <c r="Y1944">
        <v>11</v>
      </c>
      <c r="Z1944">
        <v>0</v>
      </c>
      <c r="AA1944">
        <v>46</v>
      </c>
      <c r="AB1944">
        <v>2309</v>
      </c>
      <c r="AC1944" s="28">
        <f>ifood_data[[#This Row],[Customer_Days]]/365</f>
        <v>6.3260273972602743</v>
      </c>
      <c r="AD1944">
        <v>1</v>
      </c>
      <c r="AE1944">
        <v>0</v>
      </c>
      <c r="AF1944">
        <v>0</v>
      </c>
      <c r="AG1944">
        <v>0</v>
      </c>
      <c r="AH1944">
        <v>0</v>
      </c>
      <c r="AI1944">
        <v>0</v>
      </c>
      <c r="AJ1944">
        <v>0</v>
      </c>
      <c r="AK1944">
        <v>1</v>
      </c>
      <c r="AL1944">
        <v>0</v>
      </c>
      <c r="AM1944">
        <v>0</v>
      </c>
      <c r="AN1944">
        <v>20</v>
      </c>
      <c r="AO1944">
        <v>18</v>
      </c>
      <c r="AP1944">
        <f>ifood_data[[#This Row],[MntTotal]]-ifood_data[[#This Row],[MntRegularProds]]</f>
        <v>2</v>
      </c>
      <c r="AQ1944">
        <v>0</v>
      </c>
      <c r="AR1944">
        <f>IF(SUM(ifood_data[[#This Row],[Kidhome]:[Teenhome]])&gt;0,1,0)</f>
        <v>1</v>
      </c>
      <c r="AS1944" t="str">
        <f>IF(SUM(ifood_data[[#This Row],[Kidhome]:[Teenhome]])&gt;0,"Has Family","No Family")</f>
        <v>Has Family</v>
      </c>
      <c r="AT1944" t="str">
        <f>IF(ifood_data[[#This Row],[marital_Married]]=1,"Married", (IF(ifood_data[[#This Row],[marital_Single]]=1,"Single",(IF(ifood_data[[#This Row],[marital_Divorced]]=1,"Divorced",(IF(ifood_data[[#This Row],[marital_Together]]=1,"Living Together",(IF(ifood_data[[#This Row],[marital_Widow]]=1,"Widow","Other")))))))))</f>
        <v>Divorced</v>
      </c>
      <c r="AU1944" t="str">
        <f>IF(ifood_data[[#This Row],[education_Basic]]=1,"High School",(IF(ifood_data[[#This Row],[education_Graduation]]=1,"Undergraduate Degree",(IF(SUM(AM1944,AL1944,AI1944)&gt;0,"Master's Degree or Higher","Other")))))</f>
        <v>Undergraduate Degree</v>
      </c>
      <c r="AV1944" t="str">
        <f>IF(ifood_data[[#All],[Income]]&gt;75000,"75K+",(IF(ifood_data[[#All],[Income]]&gt;50000,"50K-75K",(IF(ifood_data[[#All],[Income]]&gt;35000,"35K-50K","&lt;35K")))))</f>
        <v>&lt;35K</v>
      </c>
      <c r="AW1944" t="str">
        <f>IF(ifood_data[[#All],[Age]]&gt;60,"60+",(IF(ifood_data[[#All],[Age]]&gt;50,"50-60",(IF(ifood_data[[#All],[Age]]&gt;40,"40-50",(IF(ifood_data[[#All],[Age]]&gt;30,"30-40","&lt;30")))))))</f>
        <v>40-50</v>
      </c>
      <c r="AX1944">
        <f t="shared" si="120"/>
        <v>13</v>
      </c>
      <c r="AY1944">
        <f t="shared" si="121"/>
        <v>8</v>
      </c>
      <c r="AZ1944">
        <f t="shared" si="122"/>
        <v>1</v>
      </c>
      <c r="BA1944">
        <f t="shared" si="123"/>
        <v>0</v>
      </c>
      <c r="BB1944">
        <f>SUM(ifood_data[[#This Row],[Recency Score]:[Monetary Score]])</f>
        <v>9</v>
      </c>
      <c r="BC1944">
        <f>(_xlfn.PERCENTRANK.INC(ifood_data[[#All],[RFM]],ifood_data[[#This Row],[RFM]],1))*10</f>
        <v>1</v>
      </c>
      <c r="BD1944" t="str">
        <f>VLOOKUP(ifood_data[[#This Row],[RFM Score]],'RFM Analysis'!$A$3:$B$14,2,FALSE)</f>
        <v>At Risk</v>
      </c>
      <c r="BE1944">
        <f>'Regression Models'!$B$101+'Regression Models'!$B$102*ifood_data[[#This Row],[Income]]+'Regression Models'!$B$103*ifood_data[[#This Row],[Age]]+'Regression Models'!$B$104*ifood_data[[#This Row],[Family]]</f>
        <v>-167.46397646475006</v>
      </c>
      <c r="BF1944" t="str">
        <f>IF(ifood_data[[#This Row],[AcceptedCmpOverall]]=1,"Campaign Respondent","Non-respondent")</f>
        <v>Non-respondent</v>
      </c>
    </row>
    <row r="1945" spans="1:58" x14ac:dyDescent="0.35">
      <c r="A1945">
        <v>1192</v>
      </c>
      <c r="B1945">
        <v>19656</v>
      </c>
      <c r="C1945">
        <v>1</v>
      </c>
      <c r="D1945">
        <v>0</v>
      </c>
      <c r="E1945">
        <v>94</v>
      </c>
      <c r="F1945">
        <v>25</v>
      </c>
      <c r="G1945">
        <v>4</v>
      </c>
      <c r="H1945">
        <v>9</v>
      </c>
      <c r="I1945">
        <v>6</v>
      </c>
      <c r="J1945">
        <v>8</v>
      </c>
      <c r="K1945">
        <v>32</v>
      </c>
      <c r="L1945">
        <v>3</v>
      </c>
      <c r="M1945">
        <v>2</v>
      </c>
      <c r="N1945">
        <v>1</v>
      </c>
      <c r="O1945">
        <v>3</v>
      </c>
      <c r="P1945">
        <v>7</v>
      </c>
      <c r="Q1945">
        <v>0</v>
      </c>
      <c r="R1945">
        <v>0</v>
      </c>
      <c r="S1945">
        <v>0</v>
      </c>
      <c r="T1945">
        <v>0</v>
      </c>
      <c r="U1945">
        <v>0</v>
      </c>
      <c r="V1945">
        <f>IF(SUM(ifood_data[[#This Row],[AcceptedCmp1]:[AcceptedCmp5]])&gt;0,1,0)</f>
        <v>0</v>
      </c>
      <c r="W1945">
        <v>0</v>
      </c>
      <c r="X1945">
        <v>3</v>
      </c>
      <c r="Y1945">
        <v>11</v>
      </c>
      <c r="Z1945">
        <v>0</v>
      </c>
      <c r="AA1945">
        <v>50</v>
      </c>
      <c r="AB1945">
        <v>2665</v>
      </c>
      <c r="AC1945" s="28">
        <f>ifood_data[[#This Row],[Customer_Days]]/365</f>
        <v>7.3013698630136989</v>
      </c>
      <c r="AD1945">
        <v>0</v>
      </c>
      <c r="AE1945">
        <v>0</v>
      </c>
      <c r="AF1945">
        <v>0</v>
      </c>
      <c r="AG1945">
        <v>1</v>
      </c>
      <c r="AH1945">
        <v>0</v>
      </c>
      <c r="AI1945">
        <v>0</v>
      </c>
      <c r="AJ1945">
        <v>0</v>
      </c>
      <c r="AK1945">
        <v>1</v>
      </c>
      <c r="AL1945">
        <v>0</v>
      </c>
      <c r="AM1945">
        <v>0</v>
      </c>
      <c r="AN1945">
        <v>52</v>
      </c>
      <c r="AO1945">
        <v>20</v>
      </c>
      <c r="AP1945">
        <f>ifood_data[[#This Row],[MntTotal]]-ifood_data[[#This Row],[MntRegularProds]]</f>
        <v>32</v>
      </c>
      <c r="AQ1945">
        <v>0</v>
      </c>
      <c r="AR1945">
        <f>IF(SUM(ifood_data[[#This Row],[Kidhome]:[Teenhome]])&gt;0,1,0)</f>
        <v>1</v>
      </c>
      <c r="AS1945" t="str">
        <f>IF(SUM(ifood_data[[#This Row],[Kidhome]:[Teenhome]])&gt;0,"Has Family","No Family")</f>
        <v>Has Family</v>
      </c>
      <c r="AT1945" t="str">
        <f>IF(ifood_data[[#This Row],[marital_Married]]=1,"Married", (IF(ifood_data[[#This Row],[marital_Single]]=1,"Single",(IF(ifood_data[[#This Row],[marital_Divorced]]=1,"Divorced",(IF(ifood_data[[#This Row],[marital_Together]]=1,"Living Together",(IF(ifood_data[[#This Row],[marital_Widow]]=1,"Widow","Other")))))))))</f>
        <v>Living Together</v>
      </c>
      <c r="AU1945" t="str">
        <f>IF(ifood_data[[#This Row],[education_Basic]]=1,"High School",(IF(ifood_data[[#This Row],[education_Graduation]]=1,"Undergraduate Degree",(IF(SUM(AM1945,AL1945,AI1945)&gt;0,"Master's Degree or Higher","Other")))))</f>
        <v>Undergraduate Degree</v>
      </c>
      <c r="AV1945" t="str">
        <f>IF(ifood_data[[#All],[Income]]&gt;75000,"75K+",(IF(ifood_data[[#All],[Income]]&gt;50000,"50K-75K",(IF(ifood_data[[#All],[Income]]&gt;35000,"35K-50K","&lt;35K")))))</f>
        <v>&lt;35K</v>
      </c>
      <c r="AW1945" t="str">
        <f>IF(ifood_data[[#All],[Age]]&gt;60,"60+",(IF(ifood_data[[#All],[Age]]&gt;50,"50-60",(IF(ifood_data[[#All],[Age]]&gt;40,"40-50",(IF(ifood_data[[#All],[Age]]&gt;30,"30-40","&lt;30")))))))</f>
        <v>40-50</v>
      </c>
      <c r="AX1945">
        <f t="shared" si="120"/>
        <v>16</v>
      </c>
      <c r="AY1945">
        <f t="shared" si="121"/>
        <v>0.99999999999999978</v>
      </c>
      <c r="AZ1945">
        <f t="shared" si="122"/>
        <v>3</v>
      </c>
      <c r="BA1945">
        <f t="shared" si="123"/>
        <v>2</v>
      </c>
      <c r="BB1945">
        <f>SUM(ifood_data[[#This Row],[Recency Score]:[Monetary Score]])</f>
        <v>6</v>
      </c>
      <c r="BC1945">
        <f>(_xlfn.PERCENTRANK.INC(ifood_data[[#All],[RFM]],ifood_data[[#This Row],[RFM]],1))*10</f>
        <v>0</v>
      </c>
      <c r="BD1945" t="str">
        <f>VLOOKUP(ifood_data[[#This Row],[RFM Score]],'RFM Analysis'!$A$3:$B$14,2,FALSE)</f>
        <v>Lost</v>
      </c>
      <c r="BE1945">
        <f>'Regression Models'!$B$101+'Regression Models'!$B$102*ifood_data[[#This Row],[Income]]+'Regression Models'!$B$103*ifood_data[[#This Row],[Age]]+'Regression Models'!$B$104*ifood_data[[#This Row],[Family]]</f>
        <v>-168.48921465571857</v>
      </c>
      <c r="BF1945" t="str">
        <f>IF(ifood_data[[#This Row],[AcceptedCmpOverall]]=1,"Campaign Respondent","Non-respondent")</f>
        <v>Non-respondent</v>
      </c>
    </row>
    <row r="1946" spans="1:58" x14ac:dyDescent="0.35">
      <c r="A1946">
        <v>399</v>
      </c>
      <c r="B1946">
        <v>18492</v>
      </c>
      <c r="C1946">
        <v>1</v>
      </c>
      <c r="D1946">
        <v>0</v>
      </c>
      <c r="E1946">
        <v>75</v>
      </c>
      <c r="F1946">
        <v>2</v>
      </c>
      <c r="G1946">
        <v>2</v>
      </c>
      <c r="H1946">
        <v>2</v>
      </c>
      <c r="I1946">
        <v>2</v>
      </c>
      <c r="J1946">
        <v>1</v>
      </c>
      <c r="K1946">
        <v>1</v>
      </c>
      <c r="L1946">
        <v>1</v>
      </c>
      <c r="M1946">
        <v>1</v>
      </c>
      <c r="N1946">
        <v>0</v>
      </c>
      <c r="O1946">
        <v>2</v>
      </c>
      <c r="P1946">
        <v>8</v>
      </c>
      <c r="Q1946">
        <v>0</v>
      </c>
      <c r="R1946">
        <v>0</v>
      </c>
      <c r="S1946">
        <v>0</v>
      </c>
      <c r="T1946">
        <v>0</v>
      </c>
      <c r="U1946">
        <v>0</v>
      </c>
      <c r="V1946">
        <f>IF(SUM(ifood_data[[#This Row],[AcceptedCmp1]:[AcceptedCmp5]])&gt;0,1,0)</f>
        <v>0</v>
      </c>
      <c r="W1946">
        <v>0</v>
      </c>
      <c r="X1946">
        <v>3</v>
      </c>
      <c r="Y1946">
        <v>11</v>
      </c>
      <c r="Z1946">
        <v>0</v>
      </c>
      <c r="AA1946">
        <v>38</v>
      </c>
      <c r="AB1946">
        <v>2183</v>
      </c>
      <c r="AC1946" s="28">
        <f>ifood_data[[#This Row],[Customer_Days]]/365</f>
        <v>5.9808219178082194</v>
      </c>
      <c r="AD1946">
        <v>0</v>
      </c>
      <c r="AE1946">
        <v>0</v>
      </c>
      <c r="AF1946">
        <v>0</v>
      </c>
      <c r="AG1946">
        <v>1</v>
      </c>
      <c r="AH1946">
        <v>0</v>
      </c>
      <c r="AI1946">
        <v>0</v>
      </c>
      <c r="AJ1946">
        <v>0</v>
      </c>
      <c r="AK1946">
        <v>0</v>
      </c>
      <c r="AL1946">
        <v>1</v>
      </c>
      <c r="AM1946">
        <v>0</v>
      </c>
      <c r="AN1946">
        <v>9</v>
      </c>
      <c r="AO1946">
        <v>8</v>
      </c>
      <c r="AP1946">
        <f>ifood_data[[#This Row],[MntTotal]]-ifood_data[[#This Row],[MntRegularProds]]</f>
        <v>1</v>
      </c>
      <c r="AQ1946">
        <v>0</v>
      </c>
      <c r="AR1946">
        <f>IF(SUM(ifood_data[[#This Row],[Kidhome]:[Teenhome]])&gt;0,1,0)</f>
        <v>1</v>
      </c>
      <c r="AS1946" t="str">
        <f>IF(SUM(ifood_data[[#This Row],[Kidhome]:[Teenhome]])&gt;0,"Has Family","No Family")</f>
        <v>Has Family</v>
      </c>
      <c r="AT1946" t="str">
        <f>IF(ifood_data[[#This Row],[marital_Married]]=1,"Married", (IF(ifood_data[[#This Row],[marital_Single]]=1,"Single",(IF(ifood_data[[#This Row],[marital_Divorced]]=1,"Divorced",(IF(ifood_data[[#This Row],[marital_Together]]=1,"Living Together",(IF(ifood_data[[#This Row],[marital_Widow]]=1,"Widow","Other")))))))))</f>
        <v>Living Together</v>
      </c>
      <c r="AU1946" t="str">
        <f>IF(ifood_data[[#This Row],[education_Basic]]=1,"High School",(IF(ifood_data[[#This Row],[education_Graduation]]=1,"Undergraduate Degree",(IF(SUM(AM1946,AL1946,AI1946)&gt;0,"Master's Degree or Higher","Other")))))</f>
        <v>Master's Degree or Higher</v>
      </c>
      <c r="AV1946" t="str">
        <f>IF(ifood_data[[#All],[Income]]&gt;75000,"75K+",(IF(ifood_data[[#All],[Income]]&gt;50000,"50K-75K",(IF(ifood_data[[#All],[Income]]&gt;35000,"35K-50K","&lt;35K")))))</f>
        <v>&lt;35K</v>
      </c>
      <c r="AW1946" t="str">
        <f>IF(ifood_data[[#All],[Age]]&gt;60,"60+",(IF(ifood_data[[#All],[Age]]&gt;50,"50-60",(IF(ifood_data[[#All],[Age]]&gt;40,"40-50",(IF(ifood_data[[#All],[Age]]&gt;30,"30-40","&lt;30")))))))</f>
        <v>30-40</v>
      </c>
      <c r="AX1946">
        <f t="shared" si="120"/>
        <v>12</v>
      </c>
      <c r="AY1946">
        <f t="shared" si="121"/>
        <v>3.0000000000000004</v>
      </c>
      <c r="AZ1946">
        <f t="shared" si="122"/>
        <v>1</v>
      </c>
      <c r="BA1946">
        <f t="shared" si="123"/>
        <v>0</v>
      </c>
      <c r="BB1946">
        <f>SUM(ifood_data[[#This Row],[Recency Score]:[Monetary Score]])</f>
        <v>4</v>
      </c>
      <c r="BC1946">
        <f>(_xlfn.PERCENTRANK.INC(ifood_data[[#All],[RFM]],ifood_data[[#This Row],[RFM]],1))*10</f>
        <v>0</v>
      </c>
      <c r="BD1946" t="str">
        <f>VLOOKUP(ifood_data[[#This Row],[RFM Score]],'RFM Analysis'!$A$3:$B$14,2,FALSE)</f>
        <v>Lost</v>
      </c>
      <c r="BE1946">
        <f>'Regression Models'!$B$101+'Regression Models'!$B$102*ifood_data[[#This Row],[Income]]+'Regression Models'!$B$103*ifood_data[[#This Row],[Age]]+'Regression Models'!$B$104*ifood_data[[#This Row],[Family]]</f>
        <v>-170.18447182848553</v>
      </c>
      <c r="BF1946" t="str">
        <f>IF(ifood_data[[#This Row],[AcceptedCmpOverall]]=1,"Campaign Respondent","Non-respondent")</f>
        <v>Non-respondent</v>
      </c>
    </row>
    <row r="1947" spans="1:58" x14ac:dyDescent="0.35">
      <c r="A1947">
        <v>1556</v>
      </c>
      <c r="B1947">
        <v>18169</v>
      </c>
      <c r="C1947">
        <v>1</v>
      </c>
      <c r="D1947">
        <v>0</v>
      </c>
      <c r="E1947">
        <v>40</v>
      </c>
      <c r="F1947">
        <v>9</v>
      </c>
      <c r="G1947">
        <v>0</v>
      </c>
      <c r="H1947">
        <v>5</v>
      </c>
      <c r="I1947">
        <v>0</v>
      </c>
      <c r="J1947">
        <v>0</v>
      </c>
      <c r="K1947">
        <v>7</v>
      </c>
      <c r="L1947">
        <v>1</v>
      </c>
      <c r="M1947">
        <v>1</v>
      </c>
      <c r="N1947">
        <v>0</v>
      </c>
      <c r="O1947">
        <v>2</v>
      </c>
      <c r="P1947">
        <v>8</v>
      </c>
      <c r="Q1947">
        <v>0</v>
      </c>
      <c r="R1947">
        <v>0</v>
      </c>
      <c r="S1947">
        <v>0</v>
      </c>
      <c r="T1947">
        <v>0</v>
      </c>
      <c r="U1947">
        <v>0</v>
      </c>
      <c r="V1947">
        <f>IF(SUM(ifood_data[[#This Row],[AcceptedCmp1]:[AcceptedCmp5]])&gt;0,1,0)</f>
        <v>0</v>
      </c>
      <c r="W1947">
        <v>0</v>
      </c>
      <c r="X1947">
        <v>3</v>
      </c>
      <c r="Y1947">
        <v>11</v>
      </c>
      <c r="Z1947">
        <v>0</v>
      </c>
      <c r="AA1947">
        <v>35</v>
      </c>
      <c r="AB1947">
        <v>2654</v>
      </c>
      <c r="AC1947" s="28">
        <f>ifood_data[[#This Row],[Customer_Days]]/365</f>
        <v>7.2712328767123289</v>
      </c>
      <c r="AD1947">
        <v>0</v>
      </c>
      <c r="AE1947">
        <v>1</v>
      </c>
      <c r="AF1947">
        <v>0</v>
      </c>
      <c r="AG1947">
        <v>0</v>
      </c>
      <c r="AH1947">
        <v>0</v>
      </c>
      <c r="AI1947">
        <v>0</v>
      </c>
      <c r="AJ1947">
        <v>0</v>
      </c>
      <c r="AK1947">
        <v>0</v>
      </c>
      <c r="AL1947">
        <v>0</v>
      </c>
      <c r="AM1947">
        <v>1</v>
      </c>
      <c r="AN1947">
        <v>14</v>
      </c>
      <c r="AO1947">
        <v>7</v>
      </c>
      <c r="AP1947">
        <f>ifood_data[[#This Row],[MntTotal]]-ifood_data[[#This Row],[MntRegularProds]]</f>
        <v>7</v>
      </c>
      <c r="AQ1947">
        <v>0</v>
      </c>
      <c r="AR1947">
        <f>IF(SUM(ifood_data[[#This Row],[Kidhome]:[Teenhome]])&gt;0,1,0)</f>
        <v>1</v>
      </c>
      <c r="AS1947" t="str">
        <f>IF(SUM(ifood_data[[#This Row],[Kidhome]:[Teenhome]])&gt;0,"Has Family","No Family")</f>
        <v>Has Family</v>
      </c>
      <c r="AT1947" t="str">
        <f>IF(ifood_data[[#This Row],[marital_Married]]=1,"Married", (IF(ifood_data[[#This Row],[marital_Single]]=1,"Single",(IF(ifood_data[[#This Row],[marital_Divorced]]=1,"Divorced",(IF(ifood_data[[#This Row],[marital_Together]]=1,"Living Together",(IF(ifood_data[[#This Row],[marital_Widow]]=1,"Widow","Other")))))))))</f>
        <v>Married</v>
      </c>
      <c r="AU1947" t="str">
        <f>IF(ifood_data[[#This Row],[education_Basic]]=1,"High School",(IF(ifood_data[[#This Row],[education_Graduation]]=1,"Undergraduate Degree",(IF(SUM(AM1947,AL1947,AI1947)&gt;0,"Master's Degree or Higher","Other")))))</f>
        <v>Master's Degree or Higher</v>
      </c>
      <c r="AV1947" t="str">
        <f>IF(ifood_data[[#All],[Income]]&gt;75000,"75K+",(IF(ifood_data[[#All],[Income]]&gt;50000,"50K-75K",(IF(ifood_data[[#All],[Income]]&gt;35000,"35K-50K","&lt;35K")))))</f>
        <v>&lt;35K</v>
      </c>
      <c r="AW1947" t="str">
        <f>IF(ifood_data[[#All],[Age]]&gt;60,"60+",(IF(ifood_data[[#All],[Age]]&gt;50,"50-60",(IF(ifood_data[[#All],[Age]]&gt;40,"40-50",(IF(ifood_data[[#All],[Age]]&gt;30,"30-40","&lt;30")))))))</f>
        <v>30-40</v>
      </c>
      <c r="AX1947">
        <f t="shared" si="120"/>
        <v>12</v>
      </c>
      <c r="AY1947">
        <f t="shared" si="121"/>
        <v>6</v>
      </c>
      <c r="AZ1947">
        <f t="shared" si="122"/>
        <v>1</v>
      </c>
      <c r="BA1947">
        <f t="shared" si="123"/>
        <v>0</v>
      </c>
      <c r="BB1947">
        <f>SUM(ifood_data[[#This Row],[Recency Score]:[Monetary Score]])</f>
        <v>7</v>
      </c>
      <c r="BC1947">
        <f>(_xlfn.PERCENTRANK.INC(ifood_data[[#All],[RFM]],ifood_data[[#This Row],[RFM]],1))*10</f>
        <v>1</v>
      </c>
      <c r="BD1947" t="str">
        <f>VLOOKUP(ifood_data[[#This Row],[RFM Score]],'RFM Analysis'!$A$3:$B$14,2,FALSE)</f>
        <v>At Risk</v>
      </c>
      <c r="BE1947">
        <f>'Regression Models'!$B$101+'Regression Models'!$B$102*ifood_data[[#This Row],[Income]]+'Regression Models'!$B$103*ifood_data[[#This Row],[Age]]+'Regression Models'!$B$104*ifood_data[[#This Row],[Family]]</f>
        <v>-171.26072670228206</v>
      </c>
      <c r="BF1947" t="str">
        <f>IF(ifood_data[[#This Row],[AcceptedCmpOverall]]=1,"Campaign Respondent","Non-respondent")</f>
        <v>Non-respondent</v>
      </c>
    </row>
    <row r="1948" spans="1:58" x14ac:dyDescent="0.35">
      <c r="A1948">
        <v>522</v>
      </c>
      <c r="B1948">
        <v>19514</v>
      </c>
      <c r="C1948">
        <v>1</v>
      </c>
      <c r="D1948">
        <v>1</v>
      </c>
      <c r="E1948">
        <v>47</v>
      </c>
      <c r="F1948">
        <v>14</v>
      </c>
      <c r="G1948">
        <v>3</v>
      </c>
      <c r="H1948">
        <v>21</v>
      </c>
      <c r="I1948">
        <v>2</v>
      </c>
      <c r="J1948">
        <v>1</v>
      </c>
      <c r="K1948">
        <v>28</v>
      </c>
      <c r="L1948">
        <v>4</v>
      </c>
      <c r="M1948">
        <v>3</v>
      </c>
      <c r="N1948">
        <v>1</v>
      </c>
      <c r="O1948">
        <v>2</v>
      </c>
      <c r="P1948">
        <v>8</v>
      </c>
      <c r="Q1948">
        <v>0</v>
      </c>
      <c r="R1948">
        <v>0</v>
      </c>
      <c r="S1948">
        <v>1</v>
      </c>
      <c r="T1948">
        <v>0</v>
      </c>
      <c r="U1948">
        <v>0</v>
      </c>
      <c r="V1948">
        <f>IF(SUM(ifood_data[[#This Row],[AcceptedCmp1]:[AcceptedCmp5]])&gt;0,1,0)</f>
        <v>1</v>
      </c>
      <c r="W1948">
        <v>0</v>
      </c>
      <c r="X1948">
        <v>3</v>
      </c>
      <c r="Y1948">
        <v>11</v>
      </c>
      <c r="Z1948">
        <v>1</v>
      </c>
      <c r="AA1948">
        <v>52</v>
      </c>
      <c r="AB1948">
        <v>2313</v>
      </c>
      <c r="AC1948" s="28">
        <f>ifood_data[[#This Row],[Customer_Days]]/365</f>
        <v>6.3369863013698629</v>
      </c>
      <c r="AD1948">
        <v>0</v>
      </c>
      <c r="AE1948">
        <v>1</v>
      </c>
      <c r="AF1948">
        <v>0</v>
      </c>
      <c r="AG1948">
        <v>0</v>
      </c>
      <c r="AH1948">
        <v>0</v>
      </c>
      <c r="AI1948">
        <v>0</v>
      </c>
      <c r="AJ1948">
        <v>0</v>
      </c>
      <c r="AK1948">
        <v>1</v>
      </c>
      <c r="AL1948">
        <v>0</v>
      </c>
      <c r="AM1948">
        <v>0</v>
      </c>
      <c r="AN1948">
        <v>41</v>
      </c>
      <c r="AO1948">
        <v>13</v>
      </c>
      <c r="AP1948">
        <f>ifood_data[[#This Row],[MntTotal]]-ifood_data[[#This Row],[MntRegularProds]]</f>
        <v>28</v>
      </c>
      <c r="AQ1948">
        <v>1</v>
      </c>
      <c r="AR1948">
        <f>IF(SUM(ifood_data[[#This Row],[Kidhome]:[Teenhome]])&gt;0,1,0)</f>
        <v>1</v>
      </c>
      <c r="AS1948" t="str">
        <f>IF(SUM(ifood_data[[#This Row],[Kidhome]:[Teenhome]])&gt;0,"Has Family","No Family")</f>
        <v>Has Family</v>
      </c>
      <c r="AT1948" t="str">
        <f>IF(ifood_data[[#This Row],[marital_Married]]=1,"Married", (IF(ifood_data[[#This Row],[marital_Single]]=1,"Single",(IF(ifood_data[[#This Row],[marital_Divorced]]=1,"Divorced",(IF(ifood_data[[#This Row],[marital_Together]]=1,"Living Together",(IF(ifood_data[[#This Row],[marital_Widow]]=1,"Widow","Other")))))))))</f>
        <v>Married</v>
      </c>
      <c r="AU1948" t="str">
        <f>IF(ifood_data[[#This Row],[education_Basic]]=1,"High School",(IF(ifood_data[[#This Row],[education_Graduation]]=1,"Undergraduate Degree",(IF(SUM(AM1948,AL1948,AI1948)&gt;0,"Master's Degree or Higher","Other")))))</f>
        <v>Undergraduate Degree</v>
      </c>
      <c r="AV1948" t="str">
        <f>IF(ifood_data[[#All],[Income]]&gt;75000,"75K+",(IF(ifood_data[[#All],[Income]]&gt;50000,"50K-75K",(IF(ifood_data[[#All],[Income]]&gt;35000,"35K-50K","&lt;35K")))))</f>
        <v>&lt;35K</v>
      </c>
      <c r="AW1948" t="str">
        <f>IF(ifood_data[[#All],[Age]]&gt;60,"60+",(IF(ifood_data[[#All],[Age]]&gt;50,"50-60",(IF(ifood_data[[#All],[Age]]&gt;40,"40-50",(IF(ifood_data[[#All],[Age]]&gt;30,"30-40","&lt;30")))))))</f>
        <v>50-60</v>
      </c>
      <c r="AX1948">
        <f t="shared" si="120"/>
        <v>18</v>
      </c>
      <c r="AY1948">
        <f t="shared" si="121"/>
        <v>6</v>
      </c>
      <c r="AZ1948">
        <f t="shared" si="122"/>
        <v>4</v>
      </c>
      <c r="BA1948">
        <f t="shared" si="123"/>
        <v>1</v>
      </c>
      <c r="BB1948">
        <f>SUM(ifood_data[[#This Row],[Recency Score]:[Monetary Score]])</f>
        <v>11</v>
      </c>
      <c r="BC1948">
        <f>(_xlfn.PERCENTRANK.INC(ifood_data[[#All],[RFM]],ifood_data[[#This Row],[RFM]],1))*10</f>
        <v>2</v>
      </c>
      <c r="BD1948" t="str">
        <f>VLOOKUP(ifood_data[[#This Row],[RFM Score]],'RFM Analysis'!$A$3:$B$14,2,FALSE)</f>
        <v>At Risk</v>
      </c>
      <c r="BE1948">
        <f>'Regression Models'!$B$101+'Regression Models'!$B$102*ifood_data[[#This Row],[Income]]+'Regression Models'!$B$103*ifood_data[[#This Row],[Age]]+'Regression Models'!$B$104*ifood_data[[#This Row],[Family]]</f>
        <v>-175.05729788994074</v>
      </c>
      <c r="BF1948" t="str">
        <f>IF(ifood_data[[#This Row],[AcceptedCmpOverall]]=1,"Campaign Respondent","Non-respondent")</f>
        <v>Campaign Respondent</v>
      </c>
    </row>
    <row r="1949" spans="1:58" x14ac:dyDescent="0.35">
      <c r="A1949">
        <v>952</v>
      </c>
      <c r="B1949">
        <v>19514</v>
      </c>
      <c r="C1949">
        <v>1</v>
      </c>
      <c r="D1949">
        <v>1</v>
      </c>
      <c r="E1949">
        <v>47</v>
      </c>
      <c r="F1949">
        <v>14</v>
      </c>
      <c r="G1949">
        <v>3</v>
      </c>
      <c r="H1949">
        <v>21</v>
      </c>
      <c r="I1949">
        <v>2</v>
      </c>
      <c r="J1949">
        <v>1</v>
      </c>
      <c r="K1949">
        <v>28</v>
      </c>
      <c r="L1949">
        <v>4</v>
      </c>
      <c r="M1949">
        <v>3</v>
      </c>
      <c r="N1949">
        <v>1</v>
      </c>
      <c r="O1949">
        <v>2</v>
      </c>
      <c r="P1949">
        <v>8</v>
      </c>
      <c r="Q1949">
        <v>0</v>
      </c>
      <c r="R1949">
        <v>0</v>
      </c>
      <c r="S1949">
        <v>1</v>
      </c>
      <c r="T1949">
        <v>0</v>
      </c>
      <c r="U1949">
        <v>0</v>
      </c>
      <c r="V1949">
        <f>IF(SUM(ifood_data[[#This Row],[AcceptedCmp1]:[AcceptedCmp5]])&gt;0,1,0)</f>
        <v>1</v>
      </c>
      <c r="W1949">
        <v>0</v>
      </c>
      <c r="X1949">
        <v>3</v>
      </c>
      <c r="Y1949">
        <v>11</v>
      </c>
      <c r="Z1949">
        <v>0</v>
      </c>
      <c r="AA1949">
        <v>52</v>
      </c>
      <c r="AB1949">
        <v>2313</v>
      </c>
      <c r="AC1949" s="28">
        <f>ifood_data[[#This Row],[Customer_Days]]/365</f>
        <v>6.3369863013698629</v>
      </c>
      <c r="AD1949">
        <v>0</v>
      </c>
      <c r="AE1949">
        <v>1</v>
      </c>
      <c r="AF1949">
        <v>0</v>
      </c>
      <c r="AG1949">
        <v>0</v>
      </c>
      <c r="AH1949">
        <v>0</v>
      </c>
      <c r="AI1949">
        <v>0</v>
      </c>
      <c r="AJ1949">
        <v>0</v>
      </c>
      <c r="AK1949">
        <v>1</v>
      </c>
      <c r="AL1949">
        <v>0</v>
      </c>
      <c r="AM1949">
        <v>0</v>
      </c>
      <c r="AN1949">
        <v>41</v>
      </c>
      <c r="AO1949">
        <v>13</v>
      </c>
      <c r="AP1949">
        <f>ifood_data[[#This Row],[MntTotal]]-ifood_data[[#This Row],[MntRegularProds]]</f>
        <v>28</v>
      </c>
      <c r="AQ1949">
        <v>1</v>
      </c>
      <c r="AR1949">
        <f>IF(SUM(ifood_data[[#This Row],[Kidhome]:[Teenhome]])&gt;0,1,0)</f>
        <v>1</v>
      </c>
      <c r="AS1949" t="str">
        <f>IF(SUM(ifood_data[[#This Row],[Kidhome]:[Teenhome]])&gt;0,"Has Family","No Family")</f>
        <v>Has Family</v>
      </c>
      <c r="AT1949" t="str">
        <f>IF(ifood_data[[#This Row],[marital_Married]]=1,"Married", (IF(ifood_data[[#This Row],[marital_Single]]=1,"Single",(IF(ifood_data[[#This Row],[marital_Divorced]]=1,"Divorced",(IF(ifood_data[[#This Row],[marital_Together]]=1,"Living Together",(IF(ifood_data[[#This Row],[marital_Widow]]=1,"Widow","Other")))))))))</f>
        <v>Married</v>
      </c>
      <c r="AU1949" t="str">
        <f>IF(ifood_data[[#This Row],[education_Basic]]=1,"High School",(IF(ifood_data[[#This Row],[education_Graduation]]=1,"Undergraduate Degree",(IF(SUM(AM1949,AL1949,AI1949)&gt;0,"Master's Degree or Higher","Other")))))</f>
        <v>Undergraduate Degree</v>
      </c>
      <c r="AV1949" t="str">
        <f>IF(ifood_data[[#All],[Income]]&gt;75000,"75K+",(IF(ifood_data[[#All],[Income]]&gt;50000,"50K-75K",(IF(ifood_data[[#All],[Income]]&gt;35000,"35K-50K","&lt;35K")))))</f>
        <v>&lt;35K</v>
      </c>
      <c r="AW1949" t="str">
        <f>IF(ifood_data[[#All],[Age]]&gt;60,"60+",(IF(ifood_data[[#All],[Age]]&gt;50,"50-60",(IF(ifood_data[[#All],[Age]]&gt;40,"40-50",(IF(ifood_data[[#All],[Age]]&gt;30,"30-40","&lt;30")))))))</f>
        <v>50-60</v>
      </c>
      <c r="AX1949">
        <f t="shared" si="120"/>
        <v>18</v>
      </c>
      <c r="AY1949">
        <f t="shared" si="121"/>
        <v>6</v>
      </c>
      <c r="AZ1949">
        <f t="shared" si="122"/>
        <v>4</v>
      </c>
      <c r="BA1949">
        <f t="shared" si="123"/>
        <v>1</v>
      </c>
      <c r="BB1949">
        <f>SUM(ifood_data[[#This Row],[Recency Score]:[Monetary Score]])</f>
        <v>11</v>
      </c>
      <c r="BC1949">
        <f>(_xlfn.PERCENTRANK.INC(ifood_data[[#All],[RFM]],ifood_data[[#This Row],[RFM]],1))*10</f>
        <v>2</v>
      </c>
      <c r="BD1949" t="str">
        <f>VLOOKUP(ifood_data[[#This Row],[RFM Score]],'RFM Analysis'!$A$3:$B$14,2,FALSE)</f>
        <v>At Risk</v>
      </c>
      <c r="BE1949">
        <f>'Regression Models'!$B$101+'Regression Models'!$B$102*ifood_data[[#This Row],[Income]]+'Regression Models'!$B$103*ifood_data[[#This Row],[Age]]+'Regression Models'!$B$104*ifood_data[[#This Row],[Family]]</f>
        <v>-175.05729788994074</v>
      </c>
      <c r="BF1949" t="str">
        <f>IF(ifood_data[[#This Row],[AcceptedCmpOverall]]=1,"Campaign Respondent","Non-respondent")</f>
        <v>Campaign Respondent</v>
      </c>
    </row>
    <row r="1950" spans="1:58" x14ac:dyDescent="0.35">
      <c r="A1950">
        <v>584</v>
      </c>
      <c r="B1950">
        <v>18978</v>
      </c>
      <c r="C1950">
        <v>1</v>
      </c>
      <c r="D1950">
        <v>0</v>
      </c>
      <c r="E1950">
        <v>41</v>
      </c>
      <c r="F1950">
        <v>2</v>
      </c>
      <c r="G1950">
        <v>8</v>
      </c>
      <c r="H1950">
        <v>1</v>
      </c>
      <c r="I1950">
        <v>4</v>
      </c>
      <c r="J1950">
        <v>7</v>
      </c>
      <c r="K1950">
        <v>15</v>
      </c>
      <c r="L1950">
        <v>1</v>
      </c>
      <c r="M1950">
        <v>1</v>
      </c>
      <c r="N1950">
        <v>0</v>
      </c>
      <c r="O1950">
        <v>3</v>
      </c>
      <c r="P1950">
        <v>8</v>
      </c>
      <c r="Q1950">
        <v>0</v>
      </c>
      <c r="R1950">
        <v>0</v>
      </c>
      <c r="S1950">
        <v>0</v>
      </c>
      <c r="T1950">
        <v>0</v>
      </c>
      <c r="U1950">
        <v>0</v>
      </c>
      <c r="V1950">
        <f>IF(SUM(ifood_data[[#This Row],[AcceptedCmp1]:[AcceptedCmp5]])&gt;0,1,0)</f>
        <v>0</v>
      </c>
      <c r="W1950">
        <v>0</v>
      </c>
      <c r="X1950">
        <v>3</v>
      </c>
      <c r="Y1950">
        <v>11</v>
      </c>
      <c r="Z1950">
        <v>0</v>
      </c>
      <c r="AA1950">
        <v>47</v>
      </c>
      <c r="AB1950">
        <v>2724</v>
      </c>
      <c r="AC1950" s="28">
        <f>ifood_data[[#This Row],[Customer_Days]]/365</f>
        <v>7.463013698630137</v>
      </c>
      <c r="AD1950">
        <v>0</v>
      </c>
      <c r="AE1950">
        <v>1</v>
      </c>
      <c r="AF1950">
        <v>0</v>
      </c>
      <c r="AG1950">
        <v>0</v>
      </c>
      <c r="AH1950">
        <v>0</v>
      </c>
      <c r="AI1950">
        <v>0</v>
      </c>
      <c r="AJ1950">
        <v>1</v>
      </c>
      <c r="AK1950">
        <v>0</v>
      </c>
      <c r="AL1950">
        <v>0</v>
      </c>
      <c r="AM1950">
        <v>0</v>
      </c>
      <c r="AN1950">
        <v>22</v>
      </c>
      <c r="AO1950">
        <v>7</v>
      </c>
      <c r="AP1950">
        <f>ifood_data[[#This Row],[MntTotal]]-ifood_data[[#This Row],[MntRegularProds]]</f>
        <v>15</v>
      </c>
      <c r="AQ1950">
        <v>0</v>
      </c>
      <c r="AR1950">
        <f>IF(SUM(ifood_data[[#This Row],[Kidhome]:[Teenhome]])&gt;0,1,0)</f>
        <v>1</v>
      </c>
      <c r="AS1950" t="str">
        <f>IF(SUM(ifood_data[[#This Row],[Kidhome]:[Teenhome]])&gt;0,"Has Family","No Family")</f>
        <v>Has Family</v>
      </c>
      <c r="AT1950" t="str">
        <f>IF(ifood_data[[#This Row],[marital_Married]]=1,"Married", (IF(ifood_data[[#This Row],[marital_Single]]=1,"Single",(IF(ifood_data[[#This Row],[marital_Divorced]]=1,"Divorced",(IF(ifood_data[[#This Row],[marital_Together]]=1,"Living Together",(IF(ifood_data[[#This Row],[marital_Widow]]=1,"Widow","Other")))))))))</f>
        <v>Married</v>
      </c>
      <c r="AU1950" t="str">
        <f>IF(ifood_data[[#This Row],[education_Basic]]=1,"High School",(IF(ifood_data[[#This Row],[education_Graduation]]=1,"Undergraduate Degree",(IF(SUM(AM1950,AL1950,AI1950)&gt;0,"Master's Degree or Higher","Other")))))</f>
        <v>High School</v>
      </c>
      <c r="AV1950" t="str">
        <f>IF(ifood_data[[#All],[Income]]&gt;75000,"75K+",(IF(ifood_data[[#All],[Income]]&gt;50000,"50K-75K",(IF(ifood_data[[#All],[Income]]&gt;35000,"35K-50K","&lt;35K")))))</f>
        <v>&lt;35K</v>
      </c>
      <c r="AW1950" t="str">
        <f>IF(ifood_data[[#All],[Age]]&gt;60,"60+",(IF(ifood_data[[#All],[Age]]&gt;50,"50-60",(IF(ifood_data[[#All],[Age]]&gt;40,"40-50",(IF(ifood_data[[#All],[Age]]&gt;30,"30-40","&lt;30")))))))</f>
        <v>40-50</v>
      </c>
      <c r="AX1950">
        <f t="shared" si="120"/>
        <v>13</v>
      </c>
      <c r="AY1950">
        <f t="shared" si="121"/>
        <v>6</v>
      </c>
      <c r="AZ1950">
        <f t="shared" si="122"/>
        <v>1</v>
      </c>
      <c r="BA1950">
        <f t="shared" si="123"/>
        <v>0</v>
      </c>
      <c r="BB1950">
        <f>SUM(ifood_data[[#This Row],[Recency Score]:[Monetary Score]])</f>
        <v>7</v>
      </c>
      <c r="BC1950">
        <f>(_xlfn.PERCENTRANK.INC(ifood_data[[#All],[RFM]],ifood_data[[#This Row],[RFM]],1))*10</f>
        <v>1</v>
      </c>
      <c r="BD1950" t="str">
        <f>VLOOKUP(ifood_data[[#This Row],[RFM Score]],'RFM Analysis'!$A$3:$B$14,2,FALSE)</f>
        <v>At Risk</v>
      </c>
      <c r="BE1950">
        <f>'Regression Models'!$B$101+'Regression Models'!$B$102*ifood_data[[#This Row],[Income]]+'Regression Models'!$B$103*ifood_data[[#This Row],[Age]]+'Regression Models'!$B$104*ifood_data[[#This Row],[Family]]</f>
        <v>-176.80348222059916</v>
      </c>
      <c r="BF1950" t="str">
        <f>IF(ifood_data[[#This Row],[AcceptedCmpOverall]]=1,"Campaign Respondent","Non-respondent")</f>
        <v>Non-respondent</v>
      </c>
    </row>
    <row r="1951" spans="1:58" x14ac:dyDescent="0.35">
      <c r="A1951">
        <v>1279</v>
      </c>
      <c r="B1951">
        <v>17256</v>
      </c>
      <c r="C1951">
        <v>1</v>
      </c>
      <c r="D1951">
        <v>0</v>
      </c>
      <c r="E1951">
        <v>10</v>
      </c>
      <c r="F1951">
        <v>6</v>
      </c>
      <c r="G1951">
        <v>4</v>
      </c>
      <c r="H1951">
        <v>14</v>
      </c>
      <c r="I1951">
        <v>8</v>
      </c>
      <c r="J1951">
        <v>8</v>
      </c>
      <c r="K1951">
        <v>22</v>
      </c>
      <c r="L1951">
        <v>2</v>
      </c>
      <c r="M1951">
        <v>2</v>
      </c>
      <c r="N1951">
        <v>1</v>
      </c>
      <c r="O1951">
        <v>2</v>
      </c>
      <c r="P1951">
        <v>8</v>
      </c>
      <c r="Q1951">
        <v>0</v>
      </c>
      <c r="R1951">
        <v>0</v>
      </c>
      <c r="S1951">
        <v>1</v>
      </c>
      <c r="T1951">
        <v>0</v>
      </c>
      <c r="U1951">
        <v>0</v>
      </c>
      <c r="V1951">
        <f>IF(SUM(ifood_data[[#This Row],[AcceptedCmp1]:[AcceptedCmp5]])&gt;0,1,0)</f>
        <v>1</v>
      </c>
      <c r="W1951">
        <v>0</v>
      </c>
      <c r="X1951">
        <v>3</v>
      </c>
      <c r="Y1951">
        <v>11</v>
      </c>
      <c r="Z1951">
        <v>0</v>
      </c>
      <c r="AA1951">
        <v>28</v>
      </c>
      <c r="AB1951">
        <v>2377</v>
      </c>
      <c r="AC1951" s="28">
        <f>ifood_data[[#This Row],[Customer_Days]]/365</f>
        <v>6.5123287671232877</v>
      </c>
      <c r="AD1951">
        <v>0</v>
      </c>
      <c r="AE1951">
        <v>1</v>
      </c>
      <c r="AF1951">
        <v>0</v>
      </c>
      <c r="AG1951">
        <v>0</v>
      </c>
      <c r="AH1951">
        <v>0</v>
      </c>
      <c r="AI1951">
        <v>0</v>
      </c>
      <c r="AJ1951">
        <v>1</v>
      </c>
      <c r="AK1951">
        <v>0</v>
      </c>
      <c r="AL1951">
        <v>0</v>
      </c>
      <c r="AM1951">
        <v>0</v>
      </c>
      <c r="AN1951">
        <v>40</v>
      </c>
      <c r="AO1951">
        <v>18</v>
      </c>
      <c r="AP1951">
        <f>ifood_data[[#This Row],[MntTotal]]-ifood_data[[#This Row],[MntRegularProds]]</f>
        <v>22</v>
      </c>
      <c r="AQ1951">
        <v>1</v>
      </c>
      <c r="AR1951">
        <f>IF(SUM(ifood_data[[#This Row],[Kidhome]:[Teenhome]])&gt;0,1,0)</f>
        <v>1</v>
      </c>
      <c r="AS1951" t="str">
        <f>IF(SUM(ifood_data[[#This Row],[Kidhome]:[Teenhome]])&gt;0,"Has Family","No Family")</f>
        <v>Has Family</v>
      </c>
      <c r="AT1951" t="str">
        <f>IF(ifood_data[[#This Row],[marital_Married]]=1,"Married", (IF(ifood_data[[#This Row],[marital_Single]]=1,"Single",(IF(ifood_data[[#This Row],[marital_Divorced]]=1,"Divorced",(IF(ifood_data[[#This Row],[marital_Together]]=1,"Living Together",(IF(ifood_data[[#This Row],[marital_Widow]]=1,"Widow","Other")))))))))</f>
        <v>Married</v>
      </c>
      <c r="AU1951" t="str">
        <f>IF(ifood_data[[#This Row],[education_Basic]]=1,"High School",(IF(ifood_data[[#This Row],[education_Graduation]]=1,"Undergraduate Degree",(IF(SUM(AM1951,AL1951,AI1951)&gt;0,"Master's Degree or Higher","Other")))))</f>
        <v>High School</v>
      </c>
      <c r="AV1951" t="str">
        <f>IF(ifood_data[[#All],[Income]]&gt;75000,"75K+",(IF(ifood_data[[#All],[Income]]&gt;50000,"50K-75K",(IF(ifood_data[[#All],[Income]]&gt;35000,"35K-50K","&lt;35K")))))</f>
        <v>&lt;35K</v>
      </c>
      <c r="AW1951" t="str">
        <f>IF(ifood_data[[#All],[Age]]&gt;60,"60+",(IF(ifood_data[[#All],[Age]]&gt;50,"50-60",(IF(ifood_data[[#All],[Age]]&gt;40,"40-50",(IF(ifood_data[[#All],[Age]]&gt;30,"30-40","&lt;30")))))))</f>
        <v>&lt;30</v>
      </c>
      <c r="AX1951">
        <f t="shared" si="120"/>
        <v>15</v>
      </c>
      <c r="AY1951">
        <f t="shared" si="121"/>
        <v>9</v>
      </c>
      <c r="AZ1951">
        <f t="shared" si="122"/>
        <v>2</v>
      </c>
      <c r="BA1951">
        <f t="shared" si="123"/>
        <v>1</v>
      </c>
      <c r="BB1951">
        <f>SUM(ifood_data[[#This Row],[Recency Score]:[Monetary Score]])</f>
        <v>12</v>
      </c>
      <c r="BC1951">
        <f>(_xlfn.PERCENTRANK.INC(ifood_data[[#All],[RFM]],ifood_data[[#This Row],[RFM]],1))*10</f>
        <v>3</v>
      </c>
      <c r="BD1951" t="str">
        <f>VLOOKUP(ifood_data[[#This Row],[RFM Score]],'RFM Analysis'!$A$3:$B$14,2,FALSE)</f>
        <v>At Risk</v>
      </c>
      <c r="BE1951">
        <f>'Regression Models'!$B$101+'Regression Models'!$B$102*ifood_data[[#This Row],[Income]]+'Regression Models'!$B$103*ifood_data[[#This Row],[Age]]+'Regression Models'!$B$104*ifood_data[[#This Row],[Family]]</f>
        <v>-177.0205984654018</v>
      </c>
      <c r="BF1951" t="str">
        <f>IF(ifood_data[[#This Row],[AcceptedCmpOverall]]=1,"Campaign Respondent","Non-respondent")</f>
        <v>Campaign Respondent</v>
      </c>
    </row>
    <row r="1952" spans="1:58" x14ac:dyDescent="0.35">
      <c r="A1952">
        <v>697</v>
      </c>
      <c r="B1952">
        <v>17487</v>
      </c>
      <c r="C1952">
        <v>1</v>
      </c>
      <c r="D1952">
        <v>0</v>
      </c>
      <c r="E1952">
        <v>37</v>
      </c>
      <c r="F1952">
        <v>0</v>
      </c>
      <c r="G1952">
        <v>0</v>
      </c>
      <c r="H1952">
        <v>1</v>
      </c>
      <c r="I1952">
        <v>7</v>
      </c>
      <c r="J1952">
        <v>4</v>
      </c>
      <c r="K1952">
        <v>6</v>
      </c>
      <c r="L1952">
        <v>1</v>
      </c>
      <c r="M1952">
        <v>1</v>
      </c>
      <c r="N1952">
        <v>0</v>
      </c>
      <c r="O1952">
        <v>2</v>
      </c>
      <c r="P1952">
        <v>7</v>
      </c>
      <c r="Q1952">
        <v>0</v>
      </c>
      <c r="R1952">
        <v>0</v>
      </c>
      <c r="S1952">
        <v>0</v>
      </c>
      <c r="T1952">
        <v>0</v>
      </c>
      <c r="U1952">
        <v>0</v>
      </c>
      <c r="V1952">
        <f>IF(SUM(ifood_data[[#This Row],[AcceptedCmp1]:[AcceptedCmp5]])&gt;0,1,0)</f>
        <v>0</v>
      </c>
      <c r="W1952">
        <v>0</v>
      </c>
      <c r="X1952">
        <v>3</v>
      </c>
      <c r="Y1952">
        <v>11</v>
      </c>
      <c r="Z1952">
        <v>0</v>
      </c>
      <c r="AA1952">
        <v>31</v>
      </c>
      <c r="AB1952">
        <v>2627</v>
      </c>
      <c r="AC1952" s="28">
        <f>ifood_data[[#This Row],[Customer_Days]]/365</f>
        <v>7.1972602739726028</v>
      </c>
      <c r="AD1952">
        <v>0</v>
      </c>
      <c r="AE1952">
        <v>1</v>
      </c>
      <c r="AF1952">
        <v>0</v>
      </c>
      <c r="AG1952">
        <v>0</v>
      </c>
      <c r="AH1952">
        <v>0</v>
      </c>
      <c r="AI1952">
        <v>0</v>
      </c>
      <c r="AJ1952">
        <v>1</v>
      </c>
      <c r="AK1952">
        <v>0</v>
      </c>
      <c r="AL1952">
        <v>0</v>
      </c>
      <c r="AM1952">
        <v>0</v>
      </c>
      <c r="AN1952">
        <v>12</v>
      </c>
      <c r="AO1952">
        <v>6</v>
      </c>
      <c r="AP1952">
        <f>ifood_data[[#This Row],[MntTotal]]-ifood_data[[#This Row],[MntRegularProds]]</f>
        <v>6</v>
      </c>
      <c r="AQ1952">
        <v>0</v>
      </c>
      <c r="AR1952">
        <f>IF(SUM(ifood_data[[#This Row],[Kidhome]:[Teenhome]])&gt;0,1,0)</f>
        <v>1</v>
      </c>
      <c r="AS1952" t="str">
        <f>IF(SUM(ifood_data[[#This Row],[Kidhome]:[Teenhome]])&gt;0,"Has Family","No Family")</f>
        <v>Has Family</v>
      </c>
      <c r="AT1952" t="str">
        <f>IF(ifood_data[[#This Row],[marital_Married]]=1,"Married", (IF(ifood_data[[#This Row],[marital_Single]]=1,"Single",(IF(ifood_data[[#This Row],[marital_Divorced]]=1,"Divorced",(IF(ifood_data[[#This Row],[marital_Together]]=1,"Living Together",(IF(ifood_data[[#This Row],[marital_Widow]]=1,"Widow","Other")))))))))</f>
        <v>Married</v>
      </c>
      <c r="AU1952" t="str">
        <f>IF(ifood_data[[#This Row],[education_Basic]]=1,"High School",(IF(ifood_data[[#This Row],[education_Graduation]]=1,"Undergraduate Degree",(IF(SUM(AM1952,AL1952,AI1952)&gt;0,"Master's Degree or Higher","Other")))))</f>
        <v>High School</v>
      </c>
      <c r="AV1952" t="str">
        <f>IF(ifood_data[[#All],[Income]]&gt;75000,"75K+",(IF(ifood_data[[#All],[Income]]&gt;50000,"50K-75K",(IF(ifood_data[[#All],[Income]]&gt;35000,"35K-50K","&lt;35K")))))</f>
        <v>&lt;35K</v>
      </c>
      <c r="AW1952" t="str">
        <f>IF(ifood_data[[#All],[Age]]&gt;60,"60+",(IF(ifood_data[[#All],[Age]]&gt;50,"50-60",(IF(ifood_data[[#All],[Age]]&gt;40,"40-50",(IF(ifood_data[[#All],[Age]]&gt;30,"30-40","&lt;30")))))))</f>
        <v>30-40</v>
      </c>
      <c r="AX1952">
        <f t="shared" si="120"/>
        <v>11</v>
      </c>
      <c r="AY1952">
        <f t="shared" si="121"/>
        <v>7</v>
      </c>
      <c r="AZ1952">
        <f t="shared" si="122"/>
        <v>0</v>
      </c>
      <c r="BA1952">
        <f t="shared" si="123"/>
        <v>0</v>
      </c>
      <c r="BB1952">
        <f>SUM(ifood_data[[#This Row],[Recency Score]:[Monetary Score]])</f>
        <v>7</v>
      </c>
      <c r="BC1952">
        <f>(_xlfn.PERCENTRANK.INC(ifood_data[[#All],[RFM]],ifood_data[[#This Row],[RFM]],1))*10</f>
        <v>1</v>
      </c>
      <c r="BD1952" t="str">
        <f>VLOOKUP(ifood_data[[#This Row],[RFM Score]],'RFM Analysis'!$A$3:$B$14,2,FALSE)</f>
        <v>At Risk</v>
      </c>
      <c r="BE1952">
        <f>'Regression Models'!$B$101+'Regression Models'!$B$102*ifood_data[[#This Row],[Income]]+'Regression Models'!$B$103*ifood_data[[#This Row],[Age]]+'Regression Models'!$B$104*ifood_data[[#This Row],[Family]]</f>
        <v>-177.82011026084399</v>
      </c>
      <c r="BF1952" t="str">
        <f>IF(ifood_data[[#This Row],[AcceptedCmpOverall]]=1,"Campaign Respondent","Non-respondent")</f>
        <v>Non-respondent</v>
      </c>
    </row>
    <row r="1953" spans="1:58" x14ac:dyDescent="0.35">
      <c r="A1953">
        <v>757</v>
      </c>
      <c r="B1953">
        <v>19329</v>
      </c>
      <c r="C1953">
        <v>1</v>
      </c>
      <c r="D1953">
        <v>0</v>
      </c>
      <c r="E1953">
        <v>39</v>
      </c>
      <c r="F1953">
        <v>24</v>
      </c>
      <c r="G1953">
        <v>1</v>
      </c>
      <c r="H1953">
        <v>16</v>
      </c>
      <c r="I1953">
        <v>12</v>
      </c>
      <c r="J1953">
        <v>2</v>
      </c>
      <c r="K1953">
        <v>5</v>
      </c>
      <c r="L1953">
        <v>3</v>
      </c>
      <c r="M1953">
        <v>4</v>
      </c>
      <c r="N1953">
        <v>0</v>
      </c>
      <c r="O1953">
        <v>3</v>
      </c>
      <c r="P1953">
        <v>8</v>
      </c>
      <c r="Q1953">
        <v>0</v>
      </c>
      <c r="R1953">
        <v>0</v>
      </c>
      <c r="S1953">
        <v>0</v>
      </c>
      <c r="T1953">
        <v>0</v>
      </c>
      <c r="U1953">
        <v>0</v>
      </c>
      <c r="V1953">
        <f>IF(SUM(ifood_data[[#This Row],[AcceptedCmp1]:[AcceptedCmp5]])&gt;0,1,0)</f>
        <v>0</v>
      </c>
      <c r="W1953">
        <v>0</v>
      </c>
      <c r="X1953">
        <v>3</v>
      </c>
      <c r="Y1953">
        <v>11</v>
      </c>
      <c r="Z1953">
        <v>0</v>
      </c>
      <c r="AA1953">
        <v>52</v>
      </c>
      <c r="AB1953">
        <v>2356</v>
      </c>
      <c r="AC1953" s="28">
        <f>ifood_data[[#This Row],[Customer_Days]]/365</f>
        <v>6.4547945205479449</v>
      </c>
      <c r="AD1953">
        <v>0</v>
      </c>
      <c r="AE1953">
        <v>1</v>
      </c>
      <c r="AF1953">
        <v>0</v>
      </c>
      <c r="AG1953">
        <v>0</v>
      </c>
      <c r="AH1953">
        <v>0</v>
      </c>
      <c r="AI1953">
        <v>0</v>
      </c>
      <c r="AJ1953">
        <v>0</v>
      </c>
      <c r="AK1953">
        <v>1</v>
      </c>
      <c r="AL1953">
        <v>0</v>
      </c>
      <c r="AM1953">
        <v>0</v>
      </c>
      <c r="AN1953">
        <v>55</v>
      </c>
      <c r="AO1953">
        <v>50</v>
      </c>
      <c r="AP1953">
        <f>ifood_data[[#This Row],[MntTotal]]-ifood_data[[#This Row],[MntRegularProds]]</f>
        <v>5</v>
      </c>
      <c r="AQ1953">
        <v>0</v>
      </c>
      <c r="AR1953">
        <f>IF(SUM(ifood_data[[#This Row],[Kidhome]:[Teenhome]])&gt;0,1,0)</f>
        <v>1</v>
      </c>
      <c r="AS1953" t="str">
        <f>IF(SUM(ifood_data[[#This Row],[Kidhome]:[Teenhome]])&gt;0,"Has Family","No Family")</f>
        <v>Has Family</v>
      </c>
      <c r="AT1953" t="str">
        <f>IF(ifood_data[[#This Row],[marital_Married]]=1,"Married", (IF(ifood_data[[#This Row],[marital_Single]]=1,"Single",(IF(ifood_data[[#This Row],[marital_Divorced]]=1,"Divorced",(IF(ifood_data[[#This Row],[marital_Together]]=1,"Living Together",(IF(ifood_data[[#This Row],[marital_Widow]]=1,"Widow","Other")))))))))</f>
        <v>Married</v>
      </c>
      <c r="AU1953" t="str">
        <f>IF(ifood_data[[#This Row],[education_Basic]]=1,"High School",(IF(ifood_data[[#This Row],[education_Graduation]]=1,"Undergraduate Degree",(IF(SUM(AM1953,AL1953,AI1953)&gt;0,"Master's Degree or Higher","Other")))))</f>
        <v>Undergraduate Degree</v>
      </c>
      <c r="AV1953" t="str">
        <f>IF(ifood_data[[#All],[Income]]&gt;75000,"75K+",(IF(ifood_data[[#All],[Income]]&gt;50000,"50K-75K",(IF(ifood_data[[#All],[Income]]&gt;35000,"35K-50K","&lt;35K")))))</f>
        <v>&lt;35K</v>
      </c>
      <c r="AW1953" t="str">
        <f>IF(ifood_data[[#All],[Age]]&gt;60,"60+",(IF(ifood_data[[#All],[Age]]&gt;50,"50-60",(IF(ifood_data[[#All],[Age]]&gt;40,"40-50",(IF(ifood_data[[#All],[Age]]&gt;30,"30-40","&lt;30")))))))</f>
        <v>50-60</v>
      </c>
      <c r="AX1953">
        <f t="shared" si="120"/>
        <v>18</v>
      </c>
      <c r="AY1953">
        <f t="shared" si="121"/>
        <v>7</v>
      </c>
      <c r="AZ1953">
        <f t="shared" si="122"/>
        <v>4</v>
      </c>
      <c r="BA1953">
        <f t="shared" si="123"/>
        <v>2</v>
      </c>
      <c r="BB1953">
        <f>SUM(ifood_data[[#This Row],[Recency Score]:[Monetary Score]])</f>
        <v>13</v>
      </c>
      <c r="BC1953">
        <f>(_xlfn.PERCENTRANK.INC(ifood_data[[#All],[RFM]],ifood_data[[#This Row],[RFM]],1))*10</f>
        <v>3</v>
      </c>
      <c r="BD1953" t="str">
        <f>VLOOKUP(ifood_data[[#This Row],[RFM Score]],'RFM Analysis'!$A$3:$B$14,2,FALSE)</f>
        <v>At Risk</v>
      </c>
      <c r="BE1953">
        <f>'Regression Models'!$B$101+'Regression Models'!$B$102*ifood_data[[#This Row],[Income]]+'Regression Models'!$B$103*ifood_data[[#This Row],[Age]]+'Regression Models'!$B$104*ifood_data[[#This Row],[Family]]</f>
        <v>-178.82921999656202</v>
      </c>
      <c r="BF1953" t="str">
        <f>IF(ifood_data[[#This Row],[AcceptedCmpOverall]]=1,"Campaign Respondent","Non-respondent")</f>
        <v>Non-respondent</v>
      </c>
    </row>
    <row r="1954" spans="1:58" x14ac:dyDescent="0.35">
      <c r="A1954">
        <v>1495</v>
      </c>
      <c r="B1954">
        <v>18793</v>
      </c>
      <c r="C1954">
        <v>1</v>
      </c>
      <c r="D1954">
        <v>0</v>
      </c>
      <c r="E1954">
        <v>14</v>
      </c>
      <c r="F1954">
        <v>4</v>
      </c>
      <c r="G1954">
        <v>16</v>
      </c>
      <c r="H1954">
        <v>20</v>
      </c>
      <c r="I1954">
        <v>0</v>
      </c>
      <c r="J1954">
        <v>17</v>
      </c>
      <c r="K1954">
        <v>20</v>
      </c>
      <c r="L1954">
        <v>3</v>
      </c>
      <c r="M1954">
        <v>2</v>
      </c>
      <c r="N1954">
        <v>0</v>
      </c>
      <c r="O1954">
        <v>4</v>
      </c>
      <c r="P1954">
        <v>8</v>
      </c>
      <c r="Q1954">
        <v>0</v>
      </c>
      <c r="R1954">
        <v>0</v>
      </c>
      <c r="S1954">
        <v>0</v>
      </c>
      <c r="T1954">
        <v>0</v>
      </c>
      <c r="U1954">
        <v>0</v>
      </c>
      <c r="V1954">
        <f>IF(SUM(ifood_data[[#This Row],[AcceptedCmp1]:[AcceptedCmp5]])&gt;0,1,0)</f>
        <v>0</v>
      </c>
      <c r="W1954">
        <v>0</v>
      </c>
      <c r="X1954">
        <v>3</v>
      </c>
      <c r="Y1954">
        <v>11</v>
      </c>
      <c r="Z1954">
        <v>0</v>
      </c>
      <c r="AA1954">
        <v>49</v>
      </c>
      <c r="AB1954">
        <v>2692</v>
      </c>
      <c r="AC1954" s="28">
        <f>ifood_data[[#This Row],[Customer_Days]]/365</f>
        <v>7.375342465753425</v>
      </c>
      <c r="AD1954">
        <v>0</v>
      </c>
      <c r="AE1954">
        <v>1</v>
      </c>
      <c r="AF1954">
        <v>0</v>
      </c>
      <c r="AG1954">
        <v>0</v>
      </c>
      <c r="AH1954">
        <v>0</v>
      </c>
      <c r="AI1954">
        <v>0</v>
      </c>
      <c r="AJ1954">
        <v>0</v>
      </c>
      <c r="AK1954">
        <v>1</v>
      </c>
      <c r="AL1954">
        <v>0</v>
      </c>
      <c r="AM1954">
        <v>0</v>
      </c>
      <c r="AN1954">
        <v>57</v>
      </c>
      <c r="AO1954">
        <v>37</v>
      </c>
      <c r="AP1954">
        <f>ifood_data[[#This Row],[MntTotal]]-ifood_data[[#This Row],[MntRegularProds]]</f>
        <v>20</v>
      </c>
      <c r="AQ1954">
        <v>0</v>
      </c>
      <c r="AR1954">
        <f>IF(SUM(ifood_data[[#This Row],[Kidhome]:[Teenhome]])&gt;0,1,0)</f>
        <v>1</v>
      </c>
      <c r="AS1954" t="str">
        <f>IF(SUM(ifood_data[[#This Row],[Kidhome]:[Teenhome]])&gt;0,"Has Family","No Family")</f>
        <v>Has Family</v>
      </c>
      <c r="AT1954" t="str">
        <f>IF(ifood_data[[#This Row],[marital_Married]]=1,"Married", (IF(ifood_data[[#This Row],[marital_Single]]=1,"Single",(IF(ifood_data[[#This Row],[marital_Divorced]]=1,"Divorced",(IF(ifood_data[[#This Row],[marital_Together]]=1,"Living Together",(IF(ifood_data[[#This Row],[marital_Widow]]=1,"Widow","Other")))))))))</f>
        <v>Married</v>
      </c>
      <c r="AU1954" t="str">
        <f>IF(ifood_data[[#This Row],[education_Basic]]=1,"High School",(IF(ifood_data[[#This Row],[education_Graduation]]=1,"Undergraduate Degree",(IF(SUM(AM1954,AL1954,AI1954)&gt;0,"Master's Degree or Higher","Other")))))</f>
        <v>Undergraduate Degree</v>
      </c>
      <c r="AV1954" t="str">
        <f>IF(ifood_data[[#All],[Income]]&gt;75000,"75K+",(IF(ifood_data[[#All],[Income]]&gt;50000,"50K-75K",(IF(ifood_data[[#All],[Income]]&gt;35000,"35K-50K","&lt;35K")))))</f>
        <v>&lt;35K</v>
      </c>
      <c r="AW1954" t="str">
        <f>IF(ifood_data[[#All],[Age]]&gt;60,"60+",(IF(ifood_data[[#All],[Age]]&gt;50,"50-60",(IF(ifood_data[[#All],[Age]]&gt;40,"40-50",(IF(ifood_data[[#All],[Age]]&gt;30,"30-40","&lt;30")))))))</f>
        <v>40-50</v>
      </c>
      <c r="AX1954">
        <f t="shared" si="120"/>
        <v>17</v>
      </c>
      <c r="AY1954">
        <f t="shared" si="121"/>
        <v>9</v>
      </c>
      <c r="AZ1954">
        <f t="shared" si="122"/>
        <v>3</v>
      </c>
      <c r="BA1954">
        <f t="shared" si="123"/>
        <v>2</v>
      </c>
      <c r="BB1954">
        <f>SUM(ifood_data[[#This Row],[Recency Score]:[Monetary Score]])</f>
        <v>14</v>
      </c>
      <c r="BC1954">
        <f>(_xlfn.PERCENTRANK.INC(ifood_data[[#All],[RFM]],ifood_data[[#This Row],[RFM]],1))*10</f>
        <v>4</v>
      </c>
      <c r="BD1954" t="str">
        <f>VLOOKUP(ifood_data[[#This Row],[RFM Score]],'RFM Analysis'!$A$3:$B$14,2,FALSE)</f>
        <v>At Risk</v>
      </c>
      <c r="BE1954">
        <f>'Regression Models'!$B$101+'Regression Models'!$B$102*ifood_data[[#This Row],[Income]]+'Regression Models'!$B$103*ifood_data[[#This Row],[Age]]+'Regression Models'!$B$104*ifood_data[[#This Row],[Family]]</f>
        <v>-184.24828248500899</v>
      </c>
      <c r="BF1954" t="str">
        <f>IF(ifood_data[[#This Row],[AcceptedCmpOverall]]=1,"Campaign Respondent","Non-respondent")</f>
        <v>Non-respondent</v>
      </c>
    </row>
    <row r="1955" spans="1:58" x14ac:dyDescent="0.35">
      <c r="A1955">
        <v>1418</v>
      </c>
      <c r="B1955">
        <v>19740</v>
      </c>
      <c r="C1955">
        <v>0</v>
      </c>
      <c r="D1955">
        <v>1</v>
      </c>
      <c r="E1955">
        <v>65</v>
      </c>
      <c r="F1955">
        <v>7</v>
      </c>
      <c r="G1955">
        <v>11</v>
      </c>
      <c r="H1955">
        <v>3</v>
      </c>
      <c r="I1955">
        <v>10</v>
      </c>
      <c r="J1955">
        <v>4</v>
      </c>
      <c r="K1955">
        <v>20</v>
      </c>
      <c r="L1955">
        <v>2</v>
      </c>
      <c r="M1955">
        <v>1</v>
      </c>
      <c r="N1955">
        <v>1</v>
      </c>
      <c r="O1955">
        <v>3</v>
      </c>
      <c r="P1955">
        <v>5</v>
      </c>
      <c r="Q1955">
        <v>0</v>
      </c>
      <c r="R1955">
        <v>0</v>
      </c>
      <c r="S1955">
        <v>0</v>
      </c>
      <c r="T1955">
        <v>0</v>
      </c>
      <c r="U1955">
        <v>0</v>
      </c>
      <c r="V1955">
        <f>IF(SUM(ifood_data[[#This Row],[AcceptedCmp1]:[AcceptedCmp5]])&gt;0,1,0)</f>
        <v>0</v>
      </c>
      <c r="W1955">
        <v>0</v>
      </c>
      <c r="X1955">
        <v>3</v>
      </c>
      <c r="Y1955">
        <v>11</v>
      </c>
      <c r="Z1955">
        <v>0</v>
      </c>
      <c r="AA1955">
        <v>60</v>
      </c>
      <c r="AB1955">
        <v>2621</v>
      </c>
      <c r="AC1955" s="28">
        <f>ifood_data[[#This Row],[Customer_Days]]/365</f>
        <v>7.1808219178082195</v>
      </c>
      <c r="AD1955">
        <v>0</v>
      </c>
      <c r="AE1955">
        <v>0</v>
      </c>
      <c r="AF1955">
        <v>0</v>
      </c>
      <c r="AG1955">
        <v>1</v>
      </c>
      <c r="AH1955">
        <v>0</v>
      </c>
      <c r="AI1955">
        <v>0</v>
      </c>
      <c r="AJ1955">
        <v>0</v>
      </c>
      <c r="AK1955">
        <v>1</v>
      </c>
      <c r="AL1955">
        <v>0</v>
      </c>
      <c r="AM1955">
        <v>0</v>
      </c>
      <c r="AN1955">
        <v>35</v>
      </c>
      <c r="AO1955">
        <v>15</v>
      </c>
      <c r="AP1955">
        <f>ifood_data[[#This Row],[MntTotal]]-ifood_data[[#This Row],[MntRegularProds]]</f>
        <v>20</v>
      </c>
      <c r="AQ1955">
        <v>0</v>
      </c>
      <c r="AR1955">
        <f>IF(SUM(ifood_data[[#This Row],[Kidhome]:[Teenhome]])&gt;0,1,0)</f>
        <v>1</v>
      </c>
      <c r="AS1955" t="str">
        <f>IF(SUM(ifood_data[[#This Row],[Kidhome]:[Teenhome]])&gt;0,"Has Family","No Family")</f>
        <v>Has Family</v>
      </c>
      <c r="AT1955" t="str">
        <f>IF(ifood_data[[#This Row],[marital_Married]]=1,"Married", (IF(ifood_data[[#This Row],[marital_Single]]=1,"Single",(IF(ifood_data[[#This Row],[marital_Divorced]]=1,"Divorced",(IF(ifood_data[[#This Row],[marital_Together]]=1,"Living Together",(IF(ifood_data[[#This Row],[marital_Widow]]=1,"Widow","Other")))))))))</f>
        <v>Living Together</v>
      </c>
      <c r="AU1955" t="str">
        <f>IF(ifood_data[[#This Row],[education_Basic]]=1,"High School",(IF(ifood_data[[#This Row],[education_Graduation]]=1,"Undergraduate Degree",(IF(SUM(AM1955,AL1955,AI1955)&gt;0,"Master's Degree or Higher","Other")))))</f>
        <v>Undergraduate Degree</v>
      </c>
      <c r="AV1955" t="str">
        <f>IF(ifood_data[[#All],[Income]]&gt;75000,"75K+",(IF(ifood_data[[#All],[Income]]&gt;50000,"50K-75K",(IF(ifood_data[[#All],[Income]]&gt;35000,"35K-50K","&lt;35K")))))</f>
        <v>&lt;35K</v>
      </c>
      <c r="AW1955" t="str">
        <f>IF(ifood_data[[#All],[Age]]&gt;60,"60+",(IF(ifood_data[[#All],[Age]]&gt;50,"50-60",(IF(ifood_data[[#All],[Age]]&gt;40,"40-50",(IF(ifood_data[[#All],[Age]]&gt;30,"30-40","&lt;30")))))))</f>
        <v>50-60</v>
      </c>
      <c r="AX1955">
        <f t="shared" si="120"/>
        <v>12</v>
      </c>
      <c r="AY1955">
        <f t="shared" si="121"/>
        <v>4</v>
      </c>
      <c r="AZ1955">
        <f t="shared" si="122"/>
        <v>1</v>
      </c>
      <c r="BA1955">
        <f t="shared" si="123"/>
        <v>1</v>
      </c>
      <c r="BB1955">
        <f>SUM(ifood_data[[#This Row],[Recency Score]:[Monetary Score]])</f>
        <v>6</v>
      </c>
      <c r="BC1955">
        <f>(_xlfn.PERCENTRANK.INC(ifood_data[[#All],[RFM]],ifood_data[[#This Row],[RFM]],1))*10</f>
        <v>0</v>
      </c>
      <c r="BD1955" t="str">
        <f>VLOOKUP(ifood_data[[#This Row],[RFM Score]],'RFM Analysis'!$A$3:$B$14,2,FALSE)</f>
        <v>Lost</v>
      </c>
      <c r="BE1955">
        <f>'Regression Models'!$B$101+'Regression Models'!$B$102*ifood_data[[#This Row],[Income]]+'Regression Models'!$B$103*ifood_data[[#This Row],[Age]]+'Regression Models'!$B$104*ifood_data[[#This Row],[Family]]</f>
        <v>-185.14094892057375</v>
      </c>
      <c r="BF1955" t="str">
        <f>IF(ifood_data[[#This Row],[AcceptedCmpOverall]]=1,"Campaign Respondent","Non-respondent")</f>
        <v>Non-respondent</v>
      </c>
    </row>
    <row r="1956" spans="1:58" x14ac:dyDescent="0.35">
      <c r="A1956">
        <v>1245</v>
      </c>
      <c r="B1956">
        <v>18393</v>
      </c>
      <c r="C1956">
        <v>1</v>
      </c>
      <c r="D1956">
        <v>0</v>
      </c>
      <c r="E1956">
        <v>2</v>
      </c>
      <c r="F1956">
        <v>7</v>
      </c>
      <c r="G1956">
        <v>10</v>
      </c>
      <c r="H1956">
        <v>13</v>
      </c>
      <c r="I1956">
        <v>16</v>
      </c>
      <c r="J1956">
        <v>0</v>
      </c>
      <c r="K1956">
        <v>4</v>
      </c>
      <c r="L1956">
        <v>2</v>
      </c>
      <c r="M1956">
        <v>3</v>
      </c>
      <c r="N1956">
        <v>0</v>
      </c>
      <c r="O1956">
        <v>3</v>
      </c>
      <c r="P1956">
        <v>8</v>
      </c>
      <c r="Q1956">
        <v>0</v>
      </c>
      <c r="R1956">
        <v>0</v>
      </c>
      <c r="S1956">
        <v>0</v>
      </c>
      <c r="T1956">
        <v>0</v>
      </c>
      <c r="U1956">
        <v>0</v>
      </c>
      <c r="V1956">
        <f>IF(SUM(ifood_data[[#This Row],[AcceptedCmp1]:[AcceptedCmp5]])&gt;0,1,0)</f>
        <v>0</v>
      </c>
      <c r="W1956">
        <v>0</v>
      </c>
      <c r="X1956">
        <v>3</v>
      </c>
      <c r="Y1956">
        <v>11</v>
      </c>
      <c r="Z1956">
        <v>0</v>
      </c>
      <c r="AA1956">
        <v>46</v>
      </c>
      <c r="AB1956">
        <v>2251</v>
      </c>
      <c r="AC1956" s="28">
        <f>ifood_data[[#This Row],[Customer_Days]]/365</f>
        <v>6.1671232876712327</v>
      </c>
      <c r="AD1956">
        <v>0</v>
      </c>
      <c r="AE1956">
        <v>1</v>
      </c>
      <c r="AF1956">
        <v>0</v>
      </c>
      <c r="AG1956">
        <v>0</v>
      </c>
      <c r="AH1956">
        <v>0</v>
      </c>
      <c r="AI1956">
        <v>0</v>
      </c>
      <c r="AJ1956">
        <v>1</v>
      </c>
      <c r="AK1956">
        <v>0</v>
      </c>
      <c r="AL1956">
        <v>0</v>
      </c>
      <c r="AM1956">
        <v>0</v>
      </c>
      <c r="AN1956">
        <v>46</v>
      </c>
      <c r="AO1956">
        <v>42</v>
      </c>
      <c r="AP1956">
        <f>ifood_data[[#This Row],[MntTotal]]-ifood_data[[#This Row],[MntRegularProds]]</f>
        <v>4</v>
      </c>
      <c r="AQ1956">
        <v>0</v>
      </c>
      <c r="AR1956">
        <f>IF(SUM(ifood_data[[#This Row],[Kidhome]:[Teenhome]])&gt;0,1,0)</f>
        <v>1</v>
      </c>
      <c r="AS1956" t="str">
        <f>IF(SUM(ifood_data[[#This Row],[Kidhome]:[Teenhome]])&gt;0,"Has Family","No Family")</f>
        <v>Has Family</v>
      </c>
      <c r="AT1956" t="str">
        <f>IF(ifood_data[[#This Row],[marital_Married]]=1,"Married", (IF(ifood_data[[#This Row],[marital_Single]]=1,"Single",(IF(ifood_data[[#This Row],[marital_Divorced]]=1,"Divorced",(IF(ifood_data[[#This Row],[marital_Together]]=1,"Living Together",(IF(ifood_data[[#This Row],[marital_Widow]]=1,"Widow","Other")))))))))</f>
        <v>Married</v>
      </c>
      <c r="AU1956" t="str">
        <f>IF(ifood_data[[#This Row],[education_Basic]]=1,"High School",(IF(ifood_data[[#This Row],[education_Graduation]]=1,"Undergraduate Degree",(IF(SUM(AM1956,AL1956,AI1956)&gt;0,"Master's Degree or Higher","Other")))))</f>
        <v>High School</v>
      </c>
      <c r="AV1956" t="str">
        <f>IF(ifood_data[[#All],[Income]]&gt;75000,"75K+",(IF(ifood_data[[#All],[Income]]&gt;50000,"50K-75K",(IF(ifood_data[[#All],[Income]]&gt;35000,"35K-50K","&lt;35K")))))</f>
        <v>&lt;35K</v>
      </c>
      <c r="AW1956" t="str">
        <f>IF(ifood_data[[#All],[Age]]&gt;60,"60+",(IF(ifood_data[[#All],[Age]]&gt;50,"50-60",(IF(ifood_data[[#All],[Age]]&gt;40,"40-50",(IF(ifood_data[[#All],[Age]]&gt;30,"30-40","&lt;30")))))))</f>
        <v>40-50</v>
      </c>
      <c r="AX1956">
        <f t="shared" si="120"/>
        <v>16</v>
      </c>
      <c r="AY1956">
        <f t="shared" si="121"/>
        <v>10</v>
      </c>
      <c r="AZ1956">
        <f t="shared" si="122"/>
        <v>3</v>
      </c>
      <c r="BA1956">
        <f t="shared" si="123"/>
        <v>2</v>
      </c>
      <c r="BB1956">
        <f>SUM(ifood_data[[#This Row],[Recency Score]:[Monetary Score]])</f>
        <v>15</v>
      </c>
      <c r="BC1956">
        <f>(_xlfn.PERCENTRANK.INC(ifood_data[[#All],[RFM]],ifood_data[[#This Row],[RFM]],1))*10</f>
        <v>4</v>
      </c>
      <c r="BD1956" t="str">
        <f>VLOOKUP(ifood_data[[#This Row],[RFM Score]],'RFM Analysis'!$A$3:$B$14,2,FALSE)</f>
        <v>At Risk</v>
      </c>
      <c r="BE1956">
        <f>'Regression Models'!$B$101+'Regression Models'!$B$102*ifood_data[[#This Row],[Income]]+'Regression Models'!$B$103*ifood_data[[#This Row],[Age]]+'Regression Models'!$B$104*ifood_data[[#This Row],[Family]]</f>
        <v>-186.89447250588572</v>
      </c>
      <c r="BF1956" t="str">
        <f>IF(ifood_data[[#This Row],[AcceptedCmpOverall]]=1,"Campaign Respondent","Non-respondent")</f>
        <v>Non-respondent</v>
      </c>
    </row>
    <row r="1957" spans="1:58" x14ac:dyDescent="0.35">
      <c r="A1957">
        <v>929</v>
      </c>
      <c r="B1957">
        <v>4861</v>
      </c>
      <c r="C1957">
        <v>0</v>
      </c>
      <c r="D1957">
        <v>0</v>
      </c>
      <c r="E1957">
        <v>20</v>
      </c>
      <c r="F1957">
        <v>2</v>
      </c>
      <c r="G1957">
        <v>1</v>
      </c>
      <c r="H1957">
        <v>1</v>
      </c>
      <c r="I1957">
        <v>1</v>
      </c>
      <c r="J1957">
        <v>0</v>
      </c>
      <c r="K1957">
        <v>1</v>
      </c>
      <c r="L1957">
        <v>0</v>
      </c>
      <c r="M1957">
        <v>0</v>
      </c>
      <c r="N1957">
        <v>0</v>
      </c>
      <c r="O1957">
        <v>0</v>
      </c>
      <c r="P1957">
        <v>14</v>
      </c>
      <c r="Q1957">
        <v>0</v>
      </c>
      <c r="R1957">
        <v>0</v>
      </c>
      <c r="S1957">
        <v>0</v>
      </c>
      <c r="T1957">
        <v>0</v>
      </c>
      <c r="U1957">
        <v>0</v>
      </c>
      <c r="V1957">
        <f>IF(SUM(ifood_data[[#This Row],[AcceptedCmp1]:[AcceptedCmp5]])&gt;0,1,0)</f>
        <v>0</v>
      </c>
      <c r="W1957">
        <v>0</v>
      </c>
      <c r="X1957">
        <v>3</v>
      </c>
      <c r="Y1957">
        <v>11</v>
      </c>
      <c r="Z1957">
        <v>0</v>
      </c>
      <c r="AA1957">
        <v>55</v>
      </c>
      <c r="AB1957">
        <v>2166</v>
      </c>
      <c r="AC1957" s="28">
        <f>ifood_data[[#This Row],[Customer_Days]]/365</f>
        <v>5.934246575342466</v>
      </c>
      <c r="AD1957">
        <v>1</v>
      </c>
      <c r="AE1957">
        <v>0</v>
      </c>
      <c r="AF1957">
        <v>0</v>
      </c>
      <c r="AG1957">
        <v>0</v>
      </c>
      <c r="AH1957">
        <v>0</v>
      </c>
      <c r="AI1957">
        <v>0</v>
      </c>
      <c r="AJ1957">
        <v>0</v>
      </c>
      <c r="AK1957">
        <v>1</v>
      </c>
      <c r="AL1957">
        <v>0</v>
      </c>
      <c r="AM1957">
        <v>0</v>
      </c>
      <c r="AN1957">
        <v>5</v>
      </c>
      <c r="AO1957">
        <v>4</v>
      </c>
      <c r="AP1957">
        <f>ifood_data[[#This Row],[MntTotal]]-ifood_data[[#This Row],[MntRegularProds]]</f>
        <v>1</v>
      </c>
      <c r="AQ1957">
        <v>0</v>
      </c>
      <c r="AR1957">
        <f>IF(SUM(ifood_data[[#This Row],[Kidhome]:[Teenhome]])&gt;0,1,0)</f>
        <v>0</v>
      </c>
      <c r="AS1957" t="str">
        <f>IF(SUM(ifood_data[[#This Row],[Kidhome]:[Teenhome]])&gt;0,"Has Family","No Family")</f>
        <v>No Family</v>
      </c>
      <c r="AT1957" t="str">
        <f>IF(ifood_data[[#This Row],[marital_Married]]=1,"Married", (IF(ifood_data[[#This Row],[marital_Single]]=1,"Single",(IF(ifood_data[[#This Row],[marital_Divorced]]=1,"Divorced",(IF(ifood_data[[#This Row],[marital_Together]]=1,"Living Together",(IF(ifood_data[[#This Row],[marital_Widow]]=1,"Widow","Other")))))))))</f>
        <v>Divorced</v>
      </c>
      <c r="AU1957" t="str">
        <f>IF(ifood_data[[#This Row],[education_Basic]]=1,"High School",(IF(ifood_data[[#This Row],[education_Graduation]]=1,"Undergraduate Degree",(IF(SUM(AM1957,AL1957,AI1957)&gt;0,"Master's Degree or Higher","Other")))))</f>
        <v>Undergraduate Degree</v>
      </c>
      <c r="AV1957" t="str">
        <f>IF(ifood_data[[#All],[Income]]&gt;75000,"75K+",(IF(ifood_data[[#All],[Income]]&gt;50000,"50K-75K",(IF(ifood_data[[#All],[Income]]&gt;35000,"35K-50K","&lt;35K")))))</f>
        <v>&lt;35K</v>
      </c>
      <c r="AW1957" t="str">
        <f>IF(ifood_data[[#All],[Age]]&gt;60,"60+",(IF(ifood_data[[#All],[Age]]&gt;50,"50-60",(IF(ifood_data[[#All],[Age]]&gt;40,"40-50",(IF(ifood_data[[#All],[Age]]&gt;30,"30-40","&lt;30")))))))</f>
        <v>50-60</v>
      </c>
      <c r="AX1957">
        <f t="shared" si="120"/>
        <v>14</v>
      </c>
      <c r="AY1957">
        <f t="shared" si="121"/>
        <v>8</v>
      </c>
      <c r="AZ1957">
        <f t="shared" si="122"/>
        <v>2</v>
      </c>
      <c r="BA1957">
        <f t="shared" si="123"/>
        <v>0</v>
      </c>
      <c r="BB1957">
        <f>SUM(ifood_data[[#This Row],[Recency Score]:[Monetary Score]])</f>
        <v>10</v>
      </c>
      <c r="BC1957">
        <f>(_xlfn.PERCENTRANK.INC(ifood_data[[#All],[RFM]],ifood_data[[#This Row],[RFM]],1))*10</f>
        <v>2</v>
      </c>
      <c r="BD1957" t="str">
        <f>VLOOKUP(ifood_data[[#This Row],[RFM Score]],'RFM Analysis'!$A$3:$B$14,2,FALSE)</f>
        <v>At Risk</v>
      </c>
      <c r="BE1957">
        <f>'Regression Models'!$B$101+'Regression Models'!$B$102*ifood_data[[#This Row],[Income]]+'Regression Models'!$B$103*ifood_data[[#This Row],[Age]]+'Regression Models'!$B$104*ifood_data[[#This Row],[Family]]</f>
        <v>-189.70960366615861</v>
      </c>
      <c r="BF1957" t="str">
        <f>IF(ifood_data[[#This Row],[AcceptedCmpOverall]]=1,"Campaign Respondent","Non-respondent")</f>
        <v>Non-respondent</v>
      </c>
    </row>
    <row r="1958" spans="1:58" x14ac:dyDescent="0.35">
      <c r="A1958">
        <v>1583</v>
      </c>
      <c r="B1958">
        <v>17688</v>
      </c>
      <c r="C1958">
        <v>1</v>
      </c>
      <c r="D1958">
        <v>0</v>
      </c>
      <c r="E1958">
        <v>82</v>
      </c>
      <c r="F1958">
        <v>2</v>
      </c>
      <c r="G1958">
        <v>2</v>
      </c>
      <c r="H1958">
        <v>1</v>
      </c>
      <c r="I1958">
        <v>3</v>
      </c>
      <c r="J1958">
        <v>1</v>
      </c>
      <c r="K1958">
        <v>2</v>
      </c>
      <c r="L1958">
        <v>1</v>
      </c>
      <c r="M1958">
        <v>1</v>
      </c>
      <c r="N1958">
        <v>0</v>
      </c>
      <c r="O1958">
        <v>2</v>
      </c>
      <c r="P1958">
        <v>8</v>
      </c>
      <c r="Q1958">
        <v>0</v>
      </c>
      <c r="R1958">
        <v>0</v>
      </c>
      <c r="S1958">
        <v>0</v>
      </c>
      <c r="T1958">
        <v>0</v>
      </c>
      <c r="U1958">
        <v>0</v>
      </c>
      <c r="V1958">
        <f>IF(SUM(ifood_data[[#This Row],[AcceptedCmp1]:[AcceptedCmp5]])&gt;0,1,0)</f>
        <v>0</v>
      </c>
      <c r="W1958">
        <v>1</v>
      </c>
      <c r="X1958">
        <v>3</v>
      </c>
      <c r="Y1958">
        <v>11</v>
      </c>
      <c r="Z1958">
        <v>0</v>
      </c>
      <c r="AA1958">
        <v>41</v>
      </c>
      <c r="AB1958">
        <v>2691</v>
      </c>
      <c r="AC1958" s="28">
        <f>ifood_data[[#This Row],[Customer_Days]]/365</f>
        <v>7.3726027397260276</v>
      </c>
      <c r="AD1958">
        <v>0</v>
      </c>
      <c r="AE1958">
        <v>1</v>
      </c>
      <c r="AF1958">
        <v>0</v>
      </c>
      <c r="AG1958">
        <v>0</v>
      </c>
      <c r="AH1958">
        <v>0</v>
      </c>
      <c r="AI1958">
        <v>0</v>
      </c>
      <c r="AJ1958">
        <v>0</v>
      </c>
      <c r="AK1958">
        <v>1</v>
      </c>
      <c r="AL1958">
        <v>0</v>
      </c>
      <c r="AM1958">
        <v>0</v>
      </c>
      <c r="AN1958">
        <v>9</v>
      </c>
      <c r="AO1958">
        <v>7</v>
      </c>
      <c r="AP1958">
        <f>ifood_data[[#This Row],[MntTotal]]-ifood_data[[#This Row],[MntRegularProds]]</f>
        <v>2</v>
      </c>
      <c r="AQ1958">
        <v>0</v>
      </c>
      <c r="AR1958">
        <f>IF(SUM(ifood_data[[#This Row],[Kidhome]:[Teenhome]])&gt;0,1,0)</f>
        <v>1</v>
      </c>
      <c r="AS1958" t="str">
        <f>IF(SUM(ifood_data[[#This Row],[Kidhome]:[Teenhome]])&gt;0,"Has Family","No Family")</f>
        <v>Has Family</v>
      </c>
      <c r="AT1958" t="str">
        <f>IF(ifood_data[[#This Row],[marital_Married]]=1,"Married", (IF(ifood_data[[#This Row],[marital_Single]]=1,"Single",(IF(ifood_data[[#This Row],[marital_Divorced]]=1,"Divorced",(IF(ifood_data[[#This Row],[marital_Together]]=1,"Living Together",(IF(ifood_data[[#This Row],[marital_Widow]]=1,"Widow","Other")))))))))</f>
        <v>Married</v>
      </c>
      <c r="AU1958" t="str">
        <f>IF(ifood_data[[#This Row],[education_Basic]]=1,"High School",(IF(ifood_data[[#This Row],[education_Graduation]]=1,"Undergraduate Degree",(IF(SUM(AM1958,AL1958,AI1958)&gt;0,"Master's Degree or Higher","Other")))))</f>
        <v>Undergraduate Degree</v>
      </c>
      <c r="AV1958" t="str">
        <f>IF(ifood_data[[#All],[Income]]&gt;75000,"75K+",(IF(ifood_data[[#All],[Income]]&gt;50000,"50K-75K",(IF(ifood_data[[#All],[Income]]&gt;35000,"35K-50K","&lt;35K")))))</f>
        <v>&lt;35K</v>
      </c>
      <c r="AW1958" t="str">
        <f>IF(ifood_data[[#All],[Age]]&gt;60,"60+",(IF(ifood_data[[#All],[Age]]&gt;50,"50-60",(IF(ifood_data[[#All],[Age]]&gt;40,"40-50",(IF(ifood_data[[#All],[Age]]&gt;30,"30-40","&lt;30")))))))</f>
        <v>40-50</v>
      </c>
      <c r="AX1958">
        <f t="shared" si="120"/>
        <v>12</v>
      </c>
      <c r="AY1958">
        <f t="shared" si="121"/>
        <v>1.9999999999999996</v>
      </c>
      <c r="AZ1958">
        <f t="shared" si="122"/>
        <v>1</v>
      </c>
      <c r="BA1958">
        <f t="shared" si="123"/>
        <v>0</v>
      </c>
      <c r="BB1958">
        <f>SUM(ifood_data[[#This Row],[Recency Score]:[Monetary Score]])</f>
        <v>2.9999999999999996</v>
      </c>
      <c r="BC1958">
        <f>(_xlfn.PERCENTRANK.INC(ifood_data[[#All],[RFM]],ifood_data[[#This Row],[RFM]],1))*10</f>
        <v>0</v>
      </c>
      <c r="BD1958" t="str">
        <f>VLOOKUP(ifood_data[[#This Row],[RFM Score]],'RFM Analysis'!$A$3:$B$14,2,FALSE)</f>
        <v>Lost</v>
      </c>
      <c r="BE1958">
        <f>'Regression Models'!$B$101+'Regression Models'!$B$102*ifood_data[[#This Row],[Income]]+'Regression Models'!$B$103*ifood_data[[#This Row],[Age]]+'Regression Models'!$B$104*ifood_data[[#This Row],[Family]]</f>
        <v>-192.08635865286308</v>
      </c>
      <c r="BF1958" t="str">
        <f>IF(ifood_data[[#This Row],[AcceptedCmpOverall]]=1,"Campaign Respondent","Non-respondent")</f>
        <v>Non-respondent</v>
      </c>
    </row>
    <row r="1959" spans="1:58" x14ac:dyDescent="0.35">
      <c r="A1959">
        <v>1853</v>
      </c>
      <c r="B1959">
        <v>17649</v>
      </c>
      <c r="C1959">
        <v>1</v>
      </c>
      <c r="D1959">
        <v>0</v>
      </c>
      <c r="E1959">
        <v>70</v>
      </c>
      <c r="F1959">
        <v>15</v>
      </c>
      <c r="G1959">
        <v>1</v>
      </c>
      <c r="H1959">
        <v>23</v>
      </c>
      <c r="I1959">
        <v>0</v>
      </c>
      <c r="J1959">
        <v>5</v>
      </c>
      <c r="K1959">
        <v>1</v>
      </c>
      <c r="L1959">
        <v>3</v>
      </c>
      <c r="M1959">
        <v>3</v>
      </c>
      <c r="N1959">
        <v>0</v>
      </c>
      <c r="O1959">
        <v>3</v>
      </c>
      <c r="P1959">
        <v>8</v>
      </c>
      <c r="Q1959">
        <v>0</v>
      </c>
      <c r="R1959">
        <v>0</v>
      </c>
      <c r="S1959">
        <v>0</v>
      </c>
      <c r="T1959">
        <v>0</v>
      </c>
      <c r="U1959">
        <v>0</v>
      </c>
      <c r="V1959">
        <f>IF(SUM(ifood_data[[#This Row],[AcceptedCmp1]:[AcceptedCmp5]])&gt;0,1,0)</f>
        <v>0</v>
      </c>
      <c r="W1959">
        <v>0</v>
      </c>
      <c r="X1959">
        <v>3</v>
      </c>
      <c r="Y1959">
        <v>11</v>
      </c>
      <c r="Z1959">
        <v>0</v>
      </c>
      <c r="AA1959">
        <v>44</v>
      </c>
      <c r="AB1959">
        <v>2388</v>
      </c>
      <c r="AC1959" s="28">
        <f>ifood_data[[#This Row],[Customer_Days]]/365</f>
        <v>6.5424657534246577</v>
      </c>
      <c r="AD1959">
        <v>0</v>
      </c>
      <c r="AE1959">
        <v>1</v>
      </c>
      <c r="AF1959">
        <v>0</v>
      </c>
      <c r="AG1959">
        <v>0</v>
      </c>
      <c r="AH1959">
        <v>0</v>
      </c>
      <c r="AI1959">
        <v>0</v>
      </c>
      <c r="AJ1959">
        <v>0</v>
      </c>
      <c r="AK1959">
        <v>1</v>
      </c>
      <c r="AL1959">
        <v>0</v>
      </c>
      <c r="AM1959">
        <v>0</v>
      </c>
      <c r="AN1959">
        <v>44</v>
      </c>
      <c r="AO1959">
        <v>43</v>
      </c>
      <c r="AP1959">
        <f>ifood_data[[#This Row],[MntTotal]]-ifood_data[[#This Row],[MntRegularProds]]</f>
        <v>1</v>
      </c>
      <c r="AQ1959">
        <v>0</v>
      </c>
      <c r="AR1959">
        <f>IF(SUM(ifood_data[[#This Row],[Kidhome]:[Teenhome]])&gt;0,1,0)</f>
        <v>1</v>
      </c>
      <c r="AS1959" t="str">
        <f>IF(SUM(ifood_data[[#This Row],[Kidhome]:[Teenhome]])&gt;0,"Has Family","No Family")</f>
        <v>Has Family</v>
      </c>
      <c r="AT1959" t="str">
        <f>IF(ifood_data[[#This Row],[marital_Married]]=1,"Married", (IF(ifood_data[[#This Row],[marital_Single]]=1,"Single",(IF(ifood_data[[#This Row],[marital_Divorced]]=1,"Divorced",(IF(ifood_data[[#This Row],[marital_Together]]=1,"Living Together",(IF(ifood_data[[#This Row],[marital_Widow]]=1,"Widow","Other")))))))))</f>
        <v>Married</v>
      </c>
      <c r="AU1959" t="str">
        <f>IF(ifood_data[[#This Row],[education_Basic]]=1,"High School",(IF(ifood_data[[#This Row],[education_Graduation]]=1,"Undergraduate Degree",(IF(SUM(AM1959,AL1959,AI1959)&gt;0,"Master's Degree or Higher","Other")))))</f>
        <v>Undergraduate Degree</v>
      </c>
      <c r="AV1959" t="str">
        <f>IF(ifood_data[[#All],[Income]]&gt;75000,"75K+",(IF(ifood_data[[#All],[Income]]&gt;50000,"50K-75K",(IF(ifood_data[[#All],[Income]]&gt;35000,"35K-50K","&lt;35K")))))</f>
        <v>&lt;35K</v>
      </c>
      <c r="AW1959" t="str">
        <f>IF(ifood_data[[#All],[Age]]&gt;60,"60+",(IF(ifood_data[[#All],[Age]]&gt;50,"50-60",(IF(ifood_data[[#All],[Age]]&gt;40,"40-50",(IF(ifood_data[[#All],[Age]]&gt;30,"30-40","&lt;30")))))))</f>
        <v>40-50</v>
      </c>
      <c r="AX1959">
        <f t="shared" si="120"/>
        <v>17</v>
      </c>
      <c r="AY1959">
        <f t="shared" si="121"/>
        <v>3.0000000000000004</v>
      </c>
      <c r="AZ1959">
        <f t="shared" si="122"/>
        <v>3</v>
      </c>
      <c r="BA1959">
        <f t="shared" si="123"/>
        <v>2</v>
      </c>
      <c r="BB1959">
        <f>SUM(ifood_data[[#This Row],[Recency Score]:[Monetary Score]])</f>
        <v>8</v>
      </c>
      <c r="BC1959">
        <f>(_xlfn.PERCENTRANK.INC(ifood_data[[#All],[RFM]],ifood_data[[#This Row],[RFM]],1))*10</f>
        <v>1</v>
      </c>
      <c r="BD1959" t="str">
        <f>VLOOKUP(ifood_data[[#This Row],[RFM Score]],'RFM Analysis'!$A$3:$B$14,2,FALSE)</f>
        <v>At Risk</v>
      </c>
      <c r="BE1959">
        <f>'Regression Models'!$B$101+'Regression Models'!$B$102*ifood_data[[#This Row],[Income]]+'Regression Models'!$B$103*ifood_data[[#This Row],[Age]]+'Regression Models'!$B$104*ifood_data[[#This Row],[Family]]</f>
        <v>-198.39083784715794</v>
      </c>
      <c r="BF1959" t="str">
        <f>IF(ifood_data[[#This Row],[AcceptedCmpOverall]]=1,"Campaign Respondent","Non-respondent")</f>
        <v>Non-respondent</v>
      </c>
    </row>
    <row r="1960" spans="1:58" x14ac:dyDescent="0.35">
      <c r="A1960">
        <v>243</v>
      </c>
      <c r="B1960">
        <v>18701</v>
      </c>
      <c r="C1960">
        <v>1</v>
      </c>
      <c r="D1960">
        <v>1</v>
      </c>
      <c r="E1960">
        <v>95</v>
      </c>
      <c r="F1960">
        <v>12</v>
      </c>
      <c r="G1960">
        <v>4</v>
      </c>
      <c r="H1960">
        <v>2</v>
      </c>
      <c r="I1960">
        <v>10</v>
      </c>
      <c r="J1960">
        <v>6</v>
      </c>
      <c r="K1960">
        <v>10</v>
      </c>
      <c r="L1960">
        <v>4</v>
      </c>
      <c r="M1960">
        <v>2</v>
      </c>
      <c r="N1960">
        <v>0</v>
      </c>
      <c r="O1960">
        <v>4</v>
      </c>
      <c r="P1960">
        <v>5</v>
      </c>
      <c r="Q1960">
        <v>0</v>
      </c>
      <c r="R1960">
        <v>0</v>
      </c>
      <c r="S1960">
        <v>0</v>
      </c>
      <c r="T1960">
        <v>0</v>
      </c>
      <c r="U1960">
        <v>0</v>
      </c>
      <c r="V1960">
        <f>IF(SUM(ifood_data[[#This Row],[AcceptedCmp1]:[AcceptedCmp5]])&gt;0,1,0)</f>
        <v>0</v>
      </c>
      <c r="W1960">
        <v>0</v>
      </c>
      <c r="X1960">
        <v>3</v>
      </c>
      <c r="Y1960">
        <v>11</v>
      </c>
      <c r="Z1960">
        <v>0</v>
      </c>
      <c r="AA1960">
        <v>56</v>
      </c>
      <c r="AB1960">
        <v>2549</v>
      </c>
      <c r="AC1960" s="28">
        <f>ifood_data[[#This Row],[Customer_Days]]/365</f>
        <v>6.9835616438356167</v>
      </c>
      <c r="AD1960">
        <v>0</v>
      </c>
      <c r="AE1960">
        <v>0</v>
      </c>
      <c r="AF1960">
        <v>1</v>
      </c>
      <c r="AG1960">
        <v>0</v>
      </c>
      <c r="AH1960">
        <v>0</v>
      </c>
      <c r="AI1960">
        <v>0</v>
      </c>
      <c r="AJ1960">
        <v>0</v>
      </c>
      <c r="AK1960">
        <v>1</v>
      </c>
      <c r="AL1960">
        <v>0</v>
      </c>
      <c r="AM1960">
        <v>0</v>
      </c>
      <c r="AN1960">
        <v>34</v>
      </c>
      <c r="AO1960">
        <v>24</v>
      </c>
      <c r="AP1960">
        <f>ifood_data[[#This Row],[MntTotal]]-ifood_data[[#This Row],[MntRegularProds]]</f>
        <v>10</v>
      </c>
      <c r="AQ1960">
        <v>0</v>
      </c>
      <c r="AR1960">
        <f>IF(SUM(ifood_data[[#This Row],[Kidhome]:[Teenhome]])&gt;0,1,0)</f>
        <v>1</v>
      </c>
      <c r="AS1960" t="str">
        <f>IF(SUM(ifood_data[[#This Row],[Kidhome]:[Teenhome]])&gt;0,"Has Family","No Family")</f>
        <v>Has Family</v>
      </c>
      <c r="AT1960" t="str">
        <f>IF(ifood_data[[#This Row],[marital_Married]]=1,"Married", (IF(ifood_data[[#This Row],[marital_Single]]=1,"Single",(IF(ifood_data[[#This Row],[marital_Divorced]]=1,"Divorced",(IF(ifood_data[[#This Row],[marital_Together]]=1,"Living Together",(IF(ifood_data[[#This Row],[marital_Widow]]=1,"Widow","Other")))))))))</f>
        <v>Single</v>
      </c>
      <c r="AU1960" t="str">
        <f>IF(ifood_data[[#This Row],[education_Basic]]=1,"High School",(IF(ifood_data[[#This Row],[education_Graduation]]=1,"Undergraduate Degree",(IF(SUM(AM1960,AL1960,AI1960)&gt;0,"Master's Degree or Higher","Other")))))</f>
        <v>Undergraduate Degree</v>
      </c>
      <c r="AV1960" t="str">
        <f>IF(ifood_data[[#All],[Income]]&gt;75000,"75K+",(IF(ifood_data[[#All],[Income]]&gt;50000,"50K-75K",(IF(ifood_data[[#All],[Income]]&gt;35000,"35K-50K","&lt;35K")))))</f>
        <v>&lt;35K</v>
      </c>
      <c r="AW1960" t="str">
        <f>IF(ifood_data[[#All],[Age]]&gt;60,"60+",(IF(ifood_data[[#All],[Age]]&gt;50,"50-60",(IF(ifood_data[[#All],[Age]]&gt;40,"40-50",(IF(ifood_data[[#All],[Age]]&gt;30,"30-40","&lt;30")))))))</f>
        <v>50-60</v>
      </c>
      <c r="AX1960">
        <f t="shared" si="120"/>
        <v>15</v>
      </c>
      <c r="AY1960">
        <f t="shared" si="121"/>
        <v>0.99999999999999978</v>
      </c>
      <c r="AZ1960">
        <f t="shared" si="122"/>
        <v>2</v>
      </c>
      <c r="BA1960">
        <f t="shared" si="123"/>
        <v>1</v>
      </c>
      <c r="BB1960">
        <f>SUM(ifood_data[[#This Row],[Recency Score]:[Monetary Score]])</f>
        <v>4</v>
      </c>
      <c r="BC1960">
        <f>(_xlfn.PERCENTRANK.INC(ifood_data[[#All],[RFM]],ifood_data[[#This Row],[RFM]],1))*10</f>
        <v>0</v>
      </c>
      <c r="BD1960" t="str">
        <f>VLOOKUP(ifood_data[[#This Row],[RFM Score]],'RFM Analysis'!$A$3:$B$14,2,FALSE)</f>
        <v>Lost</v>
      </c>
      <c r="BE1960">
        <f>'Regression Models'!$B$101+'Regression Models'!$B$102*ifood_data[[#This Row],[Income]]+'Regression Models'!$B$103*ifood_data[[#This Row],[Age]]+'Regression Models'!$B$104*ifood_data[[#This Row],[Family]]</f>
        <v>-198.97912270650761</v>
      </c>
      <c r="BF1960" t="str">
        <f>IF(ifood_data[[#This Row],[AcceptedCmpOverall]]=1,"Campaign Respondent","Non-respondent")</f>
        <v>Non-respondent</v>
      </c>
    </row>
    <row r="1961" spans="1:58" x14ac:dyDescent="0.35">
      <c r="A1961">
        <v>968</v>
      </c>
      <c r="B1961">
        <v>17345</v>
      </c>
      <c r="C1961">
        <v>1</v>
      </c>
      <c r="D1961">
        <v>0</v>
      </c>
      <c r="E1961">
        <v>79</v>
      </c>
      <c r="F1961">
        <v>4</v>
      </c>
      <c r="G1961">
        <v>9</v>
      </c>
      <c r="H1961">
        <v>16</v>
      </c>
      <c r="I1961">
        <v>17</v>
      </c>
      <c r="J1961">
        <v>0</v>
      </c>
      <c r="K1961">
        <v>12</v>
      </c>
      <c r="L1961">
        <v>2</v>
      </c>
      <c r="M1961">
        <v>2</v>
      </c>
      <c r="N1961">
        <v>1</v>
      </c>
      <c r="O1961">
        <v>2</v>
      </c>
      <c r="P1961">
        <v>8</v>
      </c>
      <c r="Q1961">
        <v>0</v>
      </c>
      <c r="R1961">
        <v>0</v>
      </c>
      <c r="S1961">
        <v>0</v>
      </c>
      <c r="T1961">
        <v>0</v>
      </c>
      <c r="U1961">
        <v>0</v>
      </c>
      <c r="V1961">
        <f>IF(SUM(ifood_data[[#This Row],[AcceptedCmp1]:[AcceptedCmp5]])&gt;0,1,0)</f>
        <v>0</v>
      </c>
      <c r="W1961">
        <v>0</v>
      </c>
      <c r="X1961">
        <v>3</v>
      </c>
      <c r="Y1961">
        <v>11</v>
      </c>
      <c r="Z1961">
        <v>0</v>
      </c>
      <c r="AA1961">
        <v>42</v>
      </c>
      <c r="AB1961">
        <v>2762</v>
      </c>
      <c r="AC1961" s="28">
        <f>ifood_data[[#This Row],[Customer_Days]]/365</f>
        <v>7.5671232876712331</v>
      </c>
      <c r="AD1961">
        <v>0</v>
      </c>
      <c r="AE1961">
        <v>1</v>
      </c>
      <c r="AF1961">
        <v>0</v>
      </c>
      <c r="AG1961">
        <v>0</v>
      </c>
      <c r="AH1961">
        <v>0</v>
      </c>
      <c r="AI1961">
        <v>0</v>
      </c>
      <c r="AJ1961">
        <v>0</v>
      </c>
      <c r="AK1961">
        <v>1</v>
      </c>
      <c r="AL1961">
        <v>0</v>
      </c>
      <c r="AM1961">
        <v>0</v>
      </c>
      <c r="AN1961">
        <v>46</v>
      </c>
      <c r="AO1961">
        <v>34</v>
      </c>
      <c r="AP1961">
        <f>ifood_data[[#This Row],[MntTotal]]-ifood_data[[#This Row],[MntRegularProds]]</f>
        <v>12</v>
      </c>
      <c r="AQ1961">
        <v>0</v>
      </c>
      <c r="AR1961">
        <f>IF(SUM(ifood_data[[#This Row],[Kidhome]:[Teenhome]])&gt;0,1,0)</f>
        <v>1</v>
      </c>
      <c r="AS1961" t="str">
        <f>IF(SUM(ifood_data[[#This Row],[Kidhome]:[Teenhome]])&gt;0,"Has Family","No Family")</f>
        <v>Has Family</v>
      </c>
      <c r="AT1961" t="str">
        <f>IF(ifood_data[[#This Row],[marital_Married]]=1,"Married", (IF(ifood_data[[#This Row],[marital_Single]]=1,"Single",(IF(ifood_data[[#This Row],[marital_Divorced]]=1,"Divorced",(IF(ifood_data[[#This Row],[marital_Together]]=1,"Living Together",(IF(ifood_data[[#This Row],[marital_Widow]]=1,"Widow","Other")))))))))</f>
        <v>Married</v>
      </c>
      <c r="AU1961" t="str">
        <f>IF(ifood_data[[#This Row],[education_Basic]]=1,"High School",(IF(ifood_data[[#This Row],[education_Graduation]]=1,"Undergraduate Degree",(IF(SUM(AM1961,AL1961,AI1961)&gt;0,"Master's Degree or Higher","Other")))))</f>
        <v>Undergraduate Degree</v>
      </c>
      <c r="AV1961" t="str">
        <f>IF(ifood_data[[#All],[Income]]&gt;75000,"75K+",(IF(ifood_data[[#All],[Income]]&gt;50000,"50K-75K",(IF(ifood_data[[#All],[Income]]&gt;35000,"35K-50K","&lt;35K")))))</f>
        <v>&lt;35K</v>
      </c>
      <c r="AW1961" t="str">
        <f>IF(ifood_data[[#All],[Age]]&gt;60,"60+",(IF(ifood_data[[#All],[Age]]&gt;50,"50-60",(IF(ifood_data[[#All],[Age]]&gt;40,"40-50",(IF(ifood_data[[#All],[Age]]&gt;30,"30-40","&lt;30")))))))</f>
        <v>40-50</v>
      </c>
      <c r="AX1961">
        <f t="shared" si="120"/>
        <v>15</v>
      </c>
      <c r="AY1961">
        <f t="shared" si="121"/>
        <v>3.0000000000000004</v>
      </c>
      <c r="AZ1961">
        <f t="shared" si="122"/>
        <v>2</v>
      </c>
      <c r="BA1961">
        <f t="shared" si="123"/>
        <v>2</v>
      </c>
      <c r="BB1961">
        <f>SUM(ifood_data[[#This Row],[Recency Score]:[Monetary Score]])</f>
        <v>7</v>
      </c>
      <c r="BC1961">
        <f>(_xlfn.PERCENTRANK.INC(ifood_data[[#All],[RFM]],ifood_data[[#This Row],[RFM]],1))*10</f>
        <v>1</v>
      </c>
      <c r="BD1961" t="str">
        <f>VLOOKUP(ifood_data[[#This Row],[RFM Score]],'RFM Analysis'!$A$3:$B$14,2,FALSE)</f>
        <v>At Risk</v>
      </c>
      <c r="BE1961">
        <f>'Regression Models'!$B$101+'Regression Models'!$B$102*ifood_data[[#This Row],[Income]]+'Regression Models'!$B$103*ifood_data[[#This Row],[Age]]+'Regression Models'!$B$104*ifood_data[[#This Row],[Family]]</f>
        <v>-200.91614520511465</v>
      </c>
      <c r="BF1961" t="str">
        <f>IF(ifood_data[[#This Row],[AcceptedCmpOverall]]=1,"Campaign Respondent","Non-respondent")</f>
        <v>Non-respondent</v>
      </c>
    </row>
    <row r="1962" spans="1:58" x14ac:dyDescent="0.35">
      <c r="A1962">
        <v>1993</v>
      </c>
      <c r="B1962">
        <v>16185</v>
      </c>
      <c r="C1962">
        <v>1</v>
      </c>
      <c r="D1962">
        <v>0</v>
      </c>
      <c r="E1962">
        <v>71</v>
      </c>
      <c r="F1962">
        <v>5</v>
      </c>
      <c r="G1962">
        <v>11</v>
      </c>
      <c r="H1962">
        <v>16</v>
      </c>
      <c r="I1962">
        <v>21</v>
      </c>
      <c r="J1962">
        <v>8</v>
      </c>
      <c r="K1962">
        <v>45</v>
      </c>
      <c r="L1962">
        <v>2</v>
      </c>
      <c r="M1962">
        <v>2</v>
      </c>
      <c r="N1962">
        <v>2</v>
      </c>
      <c r="O1962">
        <v>2</v>
      </c>
      <c r="P1962">
        <v>8</v>
      </c>
      <c r="Q1962">
        <v>0</v>
      </c>
      <c r="R1962">
        <v>0</v>
      </c>
      <c r="S1962">
        <v>0</v>
      </c>
      <c r="T1962">
        <v>0</v>
      </c>
      <c r="U1962">
        <v>0</v>
      </c>
      <c r="V1962">
        <f>IF(SUM(ifood_data[[#This Row],[AcceptedCmp1]:[AcceptedCmp5]])&gt;0,1,0)</f>
        <v>0</v>
      </c>
      <c r="W1962">
        <v>0</v>
      </c>
      <c r="X1962">
        <v>3</v>
      </c>
      <c r="Y1962">
        <v>11</v>
      </c>
      <c r="Z1962">
        <v>0</v>
      </c>
      <c r="AA1962">
        <v>30</v>
      </c>
      <c r="AB1962">
        <v>2487</v>
      </c>
      <c r="AC1962" s="28">
        <f>ifood_data[[#This Row],[Customer_Days]]/365</f>
        <v>6.8136986301369866</v>
      </c>
      <c r="AD1962">
        <v>0</v>
      </c>
      <c r="AE1962">
        <v>0</v>
      </c>
      <c r="AF1962">
        <v>1</v>
      </c>
      <c r="AG1962">
        <v>0</v>
      </c>
      <c r="AH1962">
        <v>0</v>
      </c>
      <c r="AI1962">
        <v>0</v>
      </c>
      <c r="AJ1962">
        <v>1</v>
      </c>
      <c r="AK1962">
        <v>0</v>
      </c>
      <c r="AL1962">
        <v>0</v>
      </c>
      <c r="AM1962">
        <v>0</v>
      </c>
      <c r="AN1962">
        <v>61</v>
      </c>
      <c r="AO1962">
        <v>16</v>
      </c>
      <c r="AP1962">
        <f>ifood_data[[#This Row],[MntTotal]]-ifood_data[[#This Row],[MntRegularProds]]</f>
        <v>45</v>
      </c>
      <c r="AQ1962">
        <v>0</v>
      </c>
      <c r="AR1962">
        <f>IF(SUM(ifood_data[[#This Row],[Kidhome]:[Teenhome]])&gt;0,1,0)</f>
        <v>1</v>
      </c>
      <c r="AS1962" t="str">
        <f>IF(SUM(ifood_data[[#This Row],[Kidhome]:[Teenhome]])&gt;0,"Has Family","No Family")</f>
        <v>Has Family</v>
      </c>
      <c r="AT1962" t="str">
        <f>IF(ifood_data[[#This Row],[marital_Married]]=1,"Married", (IF(ifood_data[[#This Row],[marital_Single]]=1,"Single",(IF(ifood_data[[#This Row],[marital_Divorced]]=1,"Divorced",(IF(ifood_data[[#This Row],[marital_Together]]=1,"Living Together",(IF(ifood_data[[#This Row],[marital_Widow]]=1,"Widow","Other")))))))))</f>
        <v>Single</v>
      </c>
      <c r="AU1962" t="str">
        <f>IF(ifood_data[[#This Row],[education_Basic]]=1,"High School",(IF(ifood_data[[#This Row],[education_Graduation]]=1,"Undergraduate Degree",(IF(SUM(AM1962,AL1962,AI1962)&gt;0,"Master's Degree or Higher","Other")))))</f>
        <v>High School</v>
      </c>
      <c r="AV1962" t="str">
        <f>IF(ifood_data[[#All],[Income]]&gt;75000,"75K+",(IF(ifood_data[[#All],[Income]]&gt;50000,"50K-75K",(IF(ifood_data[[#All],[Income]]&gt;35000,"35K-50K","&lt;35K")))))</f>
        <v>&lt;35K</v>
      </c>
      <c r="AW1962" t="str">
        <f>IF(ifood_data[[#All],[Age]]&gt;60,"60+",(IF(ifood_data[[#All],[Age]]&gt;50,"50-60",(IF(ifood_data[[#All],[Age]]&gt;40,"40-50",(IF(ifood_data[[#All],[Age]]&gt;30,"30-40","&lt;30")))))))</f>
        <v>&lt;30</v>
      </c>
      <c r="AX1962">
        <f t="shared" si="120"/>
        <v>16</v>
      </c>
      <c r="AY1962">
        <f t="shared" si="121"/>
        <v>3.0000000000000004</v>
      </c>
      <c r="AZ1962">
        <f t="shared" si="122"/>
        <v>3</v>
      </c>
      <c r="BA1962">
        <f t="shared" si="123"/>
        <v>2</v>
      </c>
      <c r="BB1962">
        <f>SUM(ifood_data[[#This Row],[Recency Score]:[Monetary Score]])</f>
        <v>8</v>
      </c>
      <c r="BC1962">
        <f>(_xlfn.PERCENTRANK.INC(ifood_data[[#All],[RFM]],ifood_data[[#This Row],[RFM]],1))*10</f>
        <v>1</v>
      </c>
      <c r="BD1962" t="str">
        <f>VLOOKUP(ifood_data[[#This Row],[RFM Score]],'RFM Analysis'!$A$3:$B$14,2,FALSE)</f>
        <v>At Risk</v>
      </c>
      <c r="BE1962">
        <f>'Regression Models'!$B$101+'Regression Models'!$B$102*ifood_data[[#This Row],[Income]]+'Regression Models'!$B$103*ifood_data[[#This Row],[Age]]+'Regression Models'!$B$104*ifood_data[[#This Row],[Family]]</f>
        <v>-202.52984730530602</v>
      </c>
      <c r="BF1962" t="str">
        <f>IF(ifood_data[[#This Row],[AcceptedCmpOverall]]=1,"Campaign Respondent","Non-respondent")</f>
        <v>Non-respondent</v>
      </c>
    </row>
    <row r="1963" spans="1:58" x14ac:dyDescent="0.35">
      <c r="A1963">
        <v>568</v>
      </c>
      <c r="B1963">
        <v>17459</v>
      </c>
      <c r="C1963">
        <v>1</v>
      </c>
      <c r="D1963">
        <v>0</v>
      </c>
      <c r="E1963">
        <v>12</v>
      </c>
      <c r="F1963">
        <v>6</v>
      </c>
      <c r="G1963">
        <v>4</v>
      </c>
      <c r="H1963">
        <v>16</v>
      </c>
      <c r="I1963">
        <v>3</v>
      </c>
      <c r="J1963">
        <v>10</v>
      </c>
      <c r="K1963">
        <v>30</v>
      </c>
      <c r="L1963">
        <v>3</v>
      </c>
      <c r="M1963">
        <v>3</v>
      </c>
      <c r="N1963">
        <v>1</v>
      </c>
      <c r="O1963">
        <v>2</v>
      </c>
      <c r="P1963">
        <v>7</v>
      </c>
      <c r="Q1963">
        <v>0</v>
      </c>
      <c r="R1963">
        <v>0</v>
      </c>
      <c r="S1963">
        <v>0</v>
      </c>
      <c r="T1963">
        <v>0</v>
      </c>
      <c r="U1963">
        <v>0</v>
      </c>
      <c r="V1963">
        <f>IF(SUM(ifood_data[[#This Row],[AcceptedCmp1]:[AcceptedCmp5]])&gt;0,1,0)</f>
        <v>0</v>
      </c>
      <c r="W1963">
        <v>0</v>
      </c>
      <c r="X1963">
        <v>3</v>
      </c>
      <c r="Y1963">
        <v>11</v>
      </c>
      <c r="Z1963">
        <v>1</v>
      </c>
      <c r="AA1963">
        <v>45</v>
      </c>
      <c r="AB1963">
        <v>2442</v>
      </c>
      <c r="AC1963" s="28">
        <f>ifood_data[[#This Row],[Customer_Days]]/365</f>
        <v>6.6904109589041099</v>
      </c>
      <c r="AD1963">
        <v>0</v>
      </c>
      <c r="AE1963">
        <v>0</v>
      </c>
      <c r="AF1963">
        <v>0</v>
      </c>
      <c r="AG1963">
        <v>1</v>
      </c>
      <c r="AH1963">
        <v>0</v>
      </c>
      <c r="AI1963">
        <v>0</v>
      </c>
      <c r="AJ1963">
        <v>0</v>
      </c>
      <c r="AK1963">
        <v>0</v>
      </c>
      <c r="AL1963">
        <v>1</v>
      </c>
      <c r="AM1963">
        <v>0</v>
      </c>
      <c r="AN1963">
        <v>39</v>
      </c>
      <c r="AO1963">
        <v>9</v>
      </c>
      <c r="AP1963">
        <f>ifood_data[[#This Row],[MntTotal]]-ifood_data[[#This Row],[MntRegularProds]]</f>
        <v>30</v>
      </c>
      <c r="AQ1963">
        <v>0</v>
      </c>
      <c r="AR1963">
        <f>IF(SUM(ifood_data[[#This Row],[Kidhome]:[Teenhome]])&gt;0,1,0)</f>
        <v>1</v>
      </c>
      <c r="AS1963" t="str">
        <f>IF(SUM(ifood_data[[#This Row],[Kidhome]:[Teenhome]])&gt;0,"Has Family","No Family")</f>
        <v>Has Family</v>
      </c>
      <c r="AT1963" t="str">
        <f>IF(ifood_data[[#This Row],[marital_Married]]=1,"Married", (IF(ifood_data[[#This Row],[marital_Single]]=1,"Single",(IF(ifood_data[[#This Row],[marital_Divorced]]=1,"Divorced",(IF(ifood_data[[#This Row],[marital_Together]]=1,"Living Together",(IF(ifood_data[[#This Row],[marital_Widow]]=1,"Widow","Other")))))))))</f>
        <v>Living Together</v>
      </c>
      <c r="AU1963" t="str">
        <f>IF(ifood_data[[#This Row],[education_Basic]]=1,"High School",(IF(ifood_data[[#This Row],[education_Graduation]]=1,"Undergraduate Degree",(IF(SUM(AM1963,AL1963,AI1963)&gt;0,"Master's Degree or Higher","Other")))))</f>
        <v>Master's Degree or Higher</v>
      </c>
      <c r="AV1963" t="str">
        <f>IF(ifood_data[[#All],[Income]]&gt;75000,"75K+",(IF(ifood_data[[#All],[Income]]&gt;50000,"50K-75K",(IF(ifood_data[[#All],[Income]]&gt;35000,"35K-50K","&lt;35K")))))</f>
        <v>&lt;35K</v>
      </c>
      <c r="AW1963" t="str">
        <f>IF(ifood_data[[#All],[Age]]&gt;60,"60+",(IF(ifood_data[[#All],[Age]]&gt;50,"50-60",(IF(ifood_data[[#All],[Age]]&gt;40,"40-50",(IF(ifood_data[[#All],[Age]]&gt;30,"30-40","&lt;30")))))))</f>
        <v>40-50</v>
      </c>
      <c r="AX1963">
        <f t="shared" si="120"/>
        <v>16</v>
      </c>
      <c r="AY1963">
        <f t="shared" si="121"/>
        <v>9</v>
      </c>
      <c r="AZ1963">
        <f t="shared" si="122"/>
        <v>3</v>
      </c>
      <c r="BA1963">
        <f t="shared" si="123"/>
        <v>1</v>
      </c>
      <c r="BB1963">
        <f>SUM(ifood_data[[#This Row],[Recency Score]:[Monetary Score]])</f>
        <v>13</v>
      </c>
      <c r="BC1963">
        <f>(_xlfn.PERCENTRANK.INC(ifood_data[[#All],[RFM]],ifood_data[[#This Row],[RFM]],1))*10</f>
        <v>3</v>
      </c>
      <c r="BD1963" t="str">
        <f>VLOOKUP(ifood_data[[#This Row],[RFM Score]],'RFM Analysis'!$A$3:$B$14,2,FALSE)</f>
        <v>At Risk</v>
      </c>
      <c r="BE1963">
        <f>'Regression Models'!$B$101+'Regression Models'!$B$102*ifood_data[[#This Row],[Income]]+'Regression Models'!$B$103*ifood_data[[#This Row],[Age]]+'Regression Models'!$B$104*ifood_data[[#This Row],[Family]]</f>
        <v>-204.101142873393</v>
      </c>
      <c r="BF1963" t="str">
        <f>IF(ifood_data[[#This Row],[AcceptedCmpOverall]]=1,"Campaign Respondent","Non-respondent")</f>
        <v>Non-respondent</v>
      </c>
    </row>
    <row r="1964" spans="1:58" x14ac:dyDescent="0.35">
      <c r="A1964">
        <v>168</v>
      </c>
      <c r="B1964">
        <v>16248</v>
      </c>
      <c r="C1964">
        <v>1</v>
      </c>
      <c r="D1964">
        <v>0</v>
      </c>
      <c r="E1964">
        <v>77</v>
      </c>
      <c r="F1964">
        <v>12</v>
      </c>
      <c r="G1964">
        <v>11</v>
      </c>
      <c r="H1964">
        <v>10</v>
      </c>
      <c r="I1964">
        <v>3</v>
      </c>
      <c r="J1964">
        <v>12</v>
      </c>
      <c r="K1964">
        <v>9</v>
      </c>
      <c r="L1964">
        <v>3</v>
      </c>
      <c r="M1964">
        <v>2</v>
      </c>
      <c r="N1964">
        <v>1</v>
      </c>
      <c r="O1964">
        <v>3</v>
      </c>
      <c r="P1964">
        <v>6</v>
      </c>
      <c r="Q1964">
        <v>0</v>
      </c>
      <c r="R1964">
        <v>0</v>
      </c>
      <c r="S1964">
        <v>0</v>
      </c>
      <c r="T1964">
        <v>0</v>
      </c>
      <c r="U1964">
        <v>0</v>
      </c>
      <c r="V1964">
        <f>IF(SUM(ifood_data[[#This Row],[AcceptedCmp1]:[AcceptedCmp5]])&gt;0,1,0)</f>
        <v>0</v>
      </c>
      <c r="W1964">
        <v>0</v>
      </c>
      <c r="X1964">
        <v>3</v>
      </c>
      <c r="Y1964">
        <v>11</v>
      </c>
      <c r="Z1964">
        <v>0</v>
      </c>
      <c r="AA1964">
        <v>32</v>
      </c>
      <c r="AB1964">
        <v>2209</v>
      </c>
      <c r="AC1964" s="28">
        <f>ifood_data[[#This Row],[Customer_Days]]/365</f>
        <v>6.0520547945205481</v>
      </c>
      <c r="AD1964">
        <v>0</v>
      </c>
      <c r="AE1964">
        <v>1</v>
      </c>
      <c r="AF1964">
        <v>0</v>
      </c>
      <c r="AG1964">
        <v>0</v>
      </c>
      <c r="AH1964">
        <v>0</v>
      </c>
      <c r="AI1964">
        <v>1</v>
      </c>
      <c r="AJ1964">
        <v>0</v>
      </c>
      <c r="AK1964">
        <v>0</v>
      </c>
      <c r="AL1964">
        <v>0</v>
      </c>
      <c r="AM1964">
        <v>0</v>
      </c>
      <c r="AN1964">
        <v>48</v>
      </c>
      <c r="AO1964">
        <v>39</v>
      </c>
      <c r="AP1964">
        <f>ifood_data[[#This Row],[MntTotal]]-ifood_data[[#This Row],[MntRegularProds]]</f>
        <v>9</v>
      </c>
      <c r="AQ1964">
        <v>0</v>
      </c>
      <c r="AR1964">
        <f>IF(SUM(ifood_data[[#This Row],[Kidhome]:[Teenhome]])&gt;0,1,0)</f>
        <v>1</v>
      </c>
      <c r="AS1964" t="str">
        <f>IF(SUM(ifood_data[[#This Row],[Kidhome]:[Teenhome]])&gt;0,"Has Family","No Family")</f>
        <v>Has Family</v>
      </c>
      <c r="AT1964" t="str">
        <f>IF(ifood_data[[#This Row],[marital_Married]]=1,"Married", (IF(ifood_data[[#This Row],[marital_Single]]=1,"Single",(IF(ifood_data[[#This Row],[marital_Divorced]]=1,"Divorced",(IF(ifood_data[[#This Row],[marital_Together]]=1,"Living Together",(IF(ifood_data[[#This Row],[marital_Widow]]=1,"Widow","Other")))))))))</f>
        <v>Married</v>
      </c>
      <c r="AU1964" t="str">
        <f>IF(ifood_data[[#This Row],[education_Basic]]=1,"High School",(IF(ifood_data[[#This Row],[education_Graduation]]=1,"Undergraduate Degree",(IF(SUM(AM1964,AL1964,AI1964)&gt;0,"Master's Degree or Higher","Other")))))</f>
        <v>Master's Degree or Higher</v>
      </c>
      <c r="AV1964" t="str">
        <f>IF(ifood_data[[#All],[Income]]&gt;75000,"75K+",(IF(ifood_data[[#All],[Income]]&gt;50000,"50K-75K",(IF(ifood_data[[#All],[Income]]&gt;35000,"35K-50K","&lt;35K")))))</f>
        <v>&lt;35K</v>
      </c>
      <c r="AW1964" t="str">
        <f>IF(ifood_data[[#All],[Age]]&gt;60,"60+",(IF(ifood_data[[#All],[Age]]&gt;50,"50-60",(IF(ifood_data[[#All],[Age]]&gt;40,"40-50",(IF(ifood_data[[#All],[Age]]&gt;30,"30-40","&lt;30")))))))</f>
        <v>30-40</v>
      </c>
      <c r="AX1964">
        <f t="shared" si="120"/>
        <v>15</v>
      </c>
      <c r="AY1964">
        <f t="shared" si="121"/>
        <v>3.0000000000000004</v>
      </c>
      <c r="AZ1964">
        <f t="shared" si="122"/>
        <v>2</v>
      </c>
      <c r="BA1964">
        <f t="shared" si="123"/>
        <v>2</v>
      </c>
      <c r="BB1964">
        <f>SUM(ifood_data[[#This Row],[Recency Score]:[Monetary Score]])</f>
        <v>7</v>
      </c>
      <c r="BC1964">
        <f>(_xlfn.PERCENTRANK.INC(ifood_data[[#All],[RFM]],ifood_data[[#This Row],[RFM]],1))*10</f>
        <v>1</v>
      </c>
      <c r="BD1964" t="str">
        <f>VLOOKUP(ifood_data[[#This Row],[RFM Score]],'RFM Analysis'!$A$3:$B$14,2,FALSE)</f>
        <v>At Risk</v>
      </c>
      <c r="BE1964">
        <f>'Regression Models'!$B$101+'Regression Models'!$B$102*ifood_data[[#This Row],[Income]]+'Regression Models'!$B$103*ifood_data[[#This Row],[Age]]+'Regression Models'!$B$104*ifood_data[[#This Row],[Family]]</f>
        <v>-204.91823307002898</v>
      </c>
      <c r="BF1964" t="str">
        <f>IF(ifood_data[[#This Row],[AcceptedCmpOverall]]=1,"Campaign Respondent","Non-respondent")</f>
        <v>Non-respondent</v>
      </c>
    </row>
    <row r="1965" spans="1:58" x14ac:dyDescent="0.35">
      <c r="A1965">
        <v>833</v>
      </c>
      <c r="B1965">
        <v>17117</v>
      </c>
      <c r="C1965">
        <v>1</v>
      </c>
      <c r="D1965">
        <v>0</v>
      </c>
      <c r="E1965">
        <v>96</v>
      </c>
      <c r="F1965">
        <v>12</v>
      </c>
      <c r="G1965">
        <v>23</v>
      </c>
      <c r="H1965">
        <v>38</v>
      </c>
      <c r="I1965">
        <v>30</v>
      </c>
      <c r="J1965">
        <v>18</v>
      </c>
      <c r="K1965">
        <v>7</v>
      </c>
      <c r="L1965">
        <v>4</v>
      </c>
      <c r="M1965">
        <v>3</v>
      </c>
      <c r="N1965">
        <v>1</v>
      </c>
      <c r="O1965">
        <v>3</v>
      </c>
      <c r="P1965">
        <v>9</v>
      </c>
      <c r="Q1965">
        <v>0</v>
      </c>
      <c r="R1965">
        <v>0</v>
      </c>
      <c r="S1965">
        <v>0</v>
      </c>
      <c r="T1965">
        <v>0</v>
      </c>
      <c r="U1965">
        <v>0</v>
      </c>
      <c r="V1965">
        <f>IF(SUM(ifood_data[[#This Row],[AcceptedCmp1]:[AcceptedCmp5]])&gt;0,1,0)</f>
        <v>0</v>
      </c>
      <c r="W1965">
        <v>0</v>
      </c>
      <c r="X1965">
        <v>3</v>
      </c>
      <c r="Y1965">
        <v>11</v>
      </c>
      <c r="Z1965">
        <v>0</v>
      </c>
      <c r="AA1965">
        <v>42</v>
      </c>
      <c r="AB1965">
        <v>2687</v>
      </c>
      <c r="AC1965" s="28">
        <f>ifood_data[[#This Row],[Customer_Days]]/365</f>
        <v>7.3616438356164382</v>
      </c>
      <c r="AD1965">
        <v>0</v>
      </c>
      <c r="AE1965">
        <v>0</v>
      </c>
      <c r="AF1965">
        <v>0</v>
      </c>
      <c r="AG1965">
        <v>1</v>
      </c>
      <c r="AH1965">
        <v>0</v>
      </c>
      <c r="AI1965">
        <v>1</v>
      </c>
      <c r="AJ1965">
        <v>0</v>
      </c>
      <c r="AK1965">
        <v>0</v>
      </c>
      <c r="AL1965">
        <v>0</v>
      </c>
      <c r="AM1965">
        <v>0</v>
      </c>
      <c r="AN1965">
        <v>121</v>
      </c>
      <c r="AO1965">
        <v>114</v>
      </c>
      <c r="AP1965">
        <f>ifood_data[[#This Row],[MntTotal]]-ifood_data[[#This Row],[MntRegularProds]]</f>
        <v>7</v>
      </c>
      <c r="AQ1965">
        <v>0</v>
      </c>
      <c r="AR1965">
        <f>IF(SUM(ifood_data[[#This Row],[Kidhome]:[Teenhome]])&gt;0,1,0)</f>
        <v>1</v>
      </c>
      <c r="AS1965" t="str">
        <f>IF(SUM(ifood_data[[#This Row],[Kidhome]:[Teenhome]])&gt;0,"Has Family","No Family")</f>
        <v>Has Family</v>
      </c>
      <c r="AT1965" t="str">
        <f>IF(ifood_data[[#This Row],[marital_Married]]=1,"Married", (IF(ifood_data[[#This Row],[marital_Single]]=1,"Single",(IF(ifood_data[[#This Row],[marital_Divorced]]=1,"Divorced",(IF(ifood_data[[#This Row],[marital_Together]]=1,"Living Together",(IF(ifood_data[[#This Row],[marital_Widow]]=1,"Widow","Other")))))))))</f>
        <v>Living Together</v>
      </c>
      <c r="AU1965" t="str">
        <f>IF(ifood_data[[#This Row],[education_Basic]]=1,"High School",(IF(ifood_data[[#This Row],[education_Graduation]]=1,"Undergraduate Degree",(IF(SUM(AM1965,AL1965,AI1965)&gt;0,"Master's Degree or Higher","Other")))))</f>
        <v>Master's Degree or Higher</v>
      </c>
      <c r="AV1965" t="str">
        <f>IF(ifood_data[[#All],[Income]]&gt;75000,"75K+",(IF(ifood_data[[#All],[Income]]&gt;50000,"50K-75K",(IF(ifood_data[[#All],[Income]]&gt;35000,"35K-50K","&lt;35K")))))</f>
        <v>&lt;35K</v>
      </c>
      <c r="AW1965" t="str">
        <f>IF(ifood_data[[#All],[Age]]&gt;60,"60+",(IF(ifood_data[[#All],[Age]]&gt;50,"50-60",(IF(ifood_data[[#All],[Age]]&gt;40,"40-50",(IF(ifood_data[[#All],[Age]]&gt;30,"30-40","&lt;30")))))))</f>
        <v>40-50</v>
      </c>
      <c r="AX1965">
        <f t="shared" si="120"/>
        <v>20</v>
      </c>
      <c r="AY1965">
        <f t="shared" si="121"/>
        <v>0.99999999999999978</v>
      </c>
      <c r="AZ1965">
        <f t="shared" si="122"/>
        <v>4</v>
      </c>
      <c r="BA1965">
        <f t="shared" si="123"/>
        <v>3</v>
      </c>
      <c r="BB1965">
        <f>SUM(ifood_data[[#This Row],[Recency Score]:[Monetary Score]])</f>
        <v>8</v>
      </c>
      <c r="BC1965">
        <f>(_xlfn.PERCENTRANK.INC(ifood_data[[#All],[RFM]],ifood_data[[#This Row],[RFM]],1))*10</f>
        <v>1</v>
      </c>
      <c r="BD1965" t="str">
        <f>VLOOKUP(ifood_data[[#This Row],[RFM Score]],'RFM Analysis'!$A$3:$B$14,2,FALSE)</f>
        <v>At Risk</v>
      </c>
      <c r="BE1965">
        <f>'Regression Models'!$B$101+'Regression Models'!$B$102*ifood_data[[#This Row],[Income]]+'Regression Models'!$B$103*ifood_data[[#This Row],[Age]]+'Regression Models'!$B$104*ifood_data[[#This Row],[Family]]</f>
        <v>-205.56478434192357</v>
      </c>
      <c r="BF1965" t="str">
        <f>IF(ifood_data[[#This Row],[AcceptedCmpOverall]]=1,"Campaign Respondent","Non-respondent")</f>
        <v>Non-respondent</v>
      </c>
    </row>
    <row r="1966" spans="1:58" x14ac:dyDescent="0.35">
      <c r="A1966">
        <v>785</v>
      </c>
      <c r="B1966">
        <v>16529</v>
      </c>
      <c r="C1966">
        <v>1</v>
      </c>
      <c r="D1966">
        <v>0</v>
      </c>
      <c r="E1966">
        <v>23</v>
      </c>
      <c r="F1966">
        <v>3</v>
      </c>
      <c r="G1966">
        <v>0</v>
      </c>
      <c r="H1966">
        <v>5</v>
      </c>
      <c r="I1966">
        <v>13</v>
      </c>
      <c r="J1966">
        <v>0</v>
      </c>
      <c r="K1966">
        <v>1</v>
      </c>
      <c r="L1966">
        <v>1</v>
      </c>
      <c r="M1966">
        <v>1</v>
      </c>
      <c r="N1966">
        <v>0</v>
      </c>
      <c r="O1966">
        <v>3</v>
      </c>
      <c r="P1966">
        <v>6</v>
      </c>
      <c r="Q1966">
        <v>0</v>
      </c>
      <c r="R1966">
        <v>0</v>
      </c>
      <c r="S1966">
        <v>0</v>
      </c>
      <c r="T1966">
        <v>0</v>
      </c>
      <c r="U1966">
        <v>0</v>
      </c>
      <c r="V1966">
        <f>IF(SUM(ifood_data[[#This Row],[AcceptedCmp1]:[AcceptedCmp5]])&gt;0,1,0)</f>
        <v>0</v>
      </c>
      <c r="W1966">
        <v>0</v>
      </c>
      <c r="X1966">
        <v>3</v>
      </c>
      <c r="Y1966">
        <v>11</v>
      </c>
      <c r="Z1966">
        <v>0</v>
      </c>
      <c r="AA1966">
        <v>36</v>
      </c>
      <c r="AB1966">
        <v>2279</v>
      </c>
      <c r="AC1966" s="28">
        <f>ifood_data[[#This Row],[Customer_Days]]/365</f>
        <v>6.2438356164383562</v>
      </c>
      <c r="AD1966">
        <v>0</v>
      </c>
      <c r="AE1966">
        <v>0</v>
      </c>
      <c r="AF1966">
        <v>0</v>
      </c>
      <c r="AG1966">
        <v>1</v>
      </c>
      <c r="AH1966">
        <v>0</v>
      </c>
      <c r="AI1966">
        <v>0</v>
      </c>
      <c r="AJ1966">
        <v>0</v>
      </c>
      <c r="AK1966">
        <v>1</v>
      </c>
      <c r="AL1966">
        <v>0</v>
      </c>
      <c r="AM1966">
        <v>0</v>
      </c>
      <c r="AN1966">
        <v>21</v>
      </c>
      <c r="AO1966">
        <v>20</v>
      </c>
      <c r="AP1966">
        <f>ifood_data[[#This Row],[MntTotal]]-ifood_data[[#This Row],[MntRegularProds]]</f>
        <v>1</v>
      </c>
      <c r="AQ1966">
        <v>0</v>
      </c>
      <c r="AR1966">
        <f>IF(SUM(ifood_data[[#This Row],[Kidhome]:[Teenhome]])&gt;0,1,0)</f>
        <v>1</v>
      </c>
      <c r="AS1966" t="str">
        <f>IF(SUM(ifood_data[[#This Row],[Kidhome]:[Teenhome]])&gt;0,"Has Family","No Family")</f>
        <v>Has Family</v>
      </c>
      <c r="AT1966" t="str">
        <f>IF(ifood_data[[#This Row],[marital_Married]]=1,"Married", (IF(ifood_data[[#This Row],[marital_Single]]=1,"Single",(IF(ifood_data[[#This Row],[marital_Divorced]]=1,"Divorced",(IF(ifood_data[[#This Row],[marital_Together]]=1,"Living Together",(IF(ifood_data[[#This Row],[marital_Widow]]=1,"Widow","Other")))))))))</f>
        <v>Living Together</v>
      </c>
      <c r="AU1966" t="str">
        <f>IF(ifood_data[[#This Row],[education_Basic]]=1,"High School",(IF(ifood_data[[#This Row],[education_Graduation]]=1,"Undergraduate Degree",(IF(SUM(AM1966,AL1966,AI1966)&gt;0,"Master's Degree or Higher","Other")))))</f>
        <v>Undergraduate Degree</v>
      </c>
      <c r="AV1966" t="str">
        <f>IF(ifood_data[[#All],[Income]]&gt;75000,"75K+",(IF(ifood_data[[#All],[Income]]&gt;50000,"50K-75K",(IF(ifood_data[[#All],[Income]]&gt;35000,"35K-50K","&lt;35K")))))</f>
        <v>&lt;35K</v>
      </c>
      <c r="AW1966" t="str">
        <f>IF(ifood_data[[#All],[Age]]&gt;60,"60+",(IF(ifood_data[[#All],[Age]]&gt;50,"50-60",(IF(ifood_data[[#All],[Age]]&gt;40,"40-50",(IF(ifood_data[[#All],[Age]]&gt;30,"30-40","&lt;30")))))))</f>
        <v>30-40</v>
      </c>
      <c r="AX1966">
        <f t="shared" si="120"/>
        <v>11</v>
      </c>
      <c r="AY1966">
        <f t="shared" si="121"/>
        <v>8</v>
      </c>
      <c r="AZ1966">
        <f t="shared" si="122"/>
        <v>0</v>
      </c>
      <c r="BA1966">
        <f t="shared" si="123"/>
        <v>0</v>
      </c>
      <c r="BB1966">
        <f>SUM(ifood_data[[#This Row],[Recency Score]:[Monetary Score]])</f>
        <v>8</v>
      </c>
      <c r="BC1966">
        <f>(_xlfn.PERCENTRANK.INC(ifood_data[[#All],[RFM]],ifood_data[[#This Row],[RFM]],1))*10</f>
        <v>1</v>
      </c>
      <c r="BD1966" t="str">
        <f>VLOOKUP(ifood_data[[#This Row],[RFM Score]],'RFM Analysis'!$A$3:$B$14,2,FALSE)</f>
        <v>At Risk</v>
      </c>
      <c r="BE1966">
        <f>'Regression Models'!$B$101+'Regression Models'!$B$102*ifood_data[[#This Row],[Income]]+'Regression Models'!$B$103*ifood_data[[#This Row],[Age]]+'Regression Models'!$B$104*ifood_data[[#This Row],[Family]]</f>
        <v>-206.53474553717047</v>
      </c>
      <c r="BF1966" t="str">
        <f>IF(ifood_data[[#This Row],[AcceptedCmpOverall]]=1,"Campaign Respondent","Non-respondent")</f>
        <v>Non-respondent</v>
      </c>
    </row>
    <row r="1967" spans="1:58" x14ac:dyDescent="0.35">
      <c r="A1967">
        <v>1950</v>
      </c>
      <c r="B1967">
        <v>17148</v>
      </c>
      <c r="C1967">
        <v>1</v>
      </c>
      <c r="D1967">
        <v>0</v>
      </c>
      <c r="E1967">
        <v>80</v>
      </c>
      <c r="F1967">
        <v>9</v>
      </c>
      <c r="G1967">
        <v>9</v>
      </c>
      <c r="H1967">
        <v>11</v>
      </c>
      <c r="I1967">
        <v>13</v>
      </c>
      <c r="J1967">
        <v>10</v>
      </c>
      <c r="K1967">
        <v>16</v>
      </c>
      <c r="L1967">
        <v>4</v>
      </c>
      <c r="M1967">
        <v>3</v>
      </c>
      <c r="N1967">
        <v>1</v>
      </c>
      <c r="O1967">
        <v>3</v>
      </c>
      <c r="P1967">
        <v>8</v>
      </c>
      <c r="Q1967">
        <v>0</v>
      </c>
      <c r="R1967">
        <v>0</v>
      </c>
      <c r="S1967">
        <v>0</v>
      </c>
      <c r="T1967">
        <v>0</v>
      </c>
      <c r="U1967">
        <v>0</v>
      </c>
      <c r="V1967">
        <f>IF(SUM(ifood_data[[#This Row],[AcceptedCmp1]:[AcceptedCmp5]])&gt;0,1,0)</f>
        <v>0</v>
      </c>
      <c r="W1967">
        <v>0</v>
      </c>
      <c r="X1967">
        <v>3</v>
      </c>
      <c r="Y1967">
        <v>11</v>
      </c>
      <c r="Z1967">
        <v>0</v>
      </c>
      <c r="AA1967">
        <v>44</v>
      </c>
      <c r="AB1967">
        <v>2311</v>
      </c>
      <c r="AC1967" s="28">
        <f>ifood_data[[#This Row],[Customer_Days]]/365</f>
        <v>6.3315068493150681</v>
      </c>
      <c r="AD1967">
        <v>0</v>
      </c>
      <c r="AE1967">
        <v>1</v>
      </c>
      <c r="AF1967">
        <v>0</v>
      </c>
      <c r="AG1967">
        <v>0</v>
      </c>
      <c r="AH1967">
        <v>0</v>
      </c>
      <c r="AI1967">
        <v>0</v>
      </c>
      <c r="AJ1967">
        <v>0</v>
      </c>
      <c r="AK1967">
        <v>1</v>
      </c>
      <c r="AL1967">
        <v>0</v>
      </c>
      <c r="AM1967">
        <v>0</v>
      </c>
      <c r="AN1967">
        <v>52</v>
      </c>
      <c r="AO1967">
        <v>36</v>
      </c>
      <c r="AP1967">
        <f>ifood_data[[#This Row],[MntTotal]]-ifood_data[[#This Row],[MntRegularProds]]</f>
        <v>16</v>
      </c>
      <c r="AQ1967">
        <v>0</v>
      </c>
      <c r="AR1967">
        <f>IF(SUM(ifood_data[[#This Row],[Kidhome]:[Teenhome]])&gt;0,1,0)</f>
        <v>1</v>
      </c>
      <c r="AS1967" t="str">
        <f>IF(SUM(ifood_data[[#This Row],[Kidhome]:[Teenhome]])&gt;0,"Has Family","No Family")</f>
        <v>Has Family</v>
      </c>
      <c r="AT1967" t="str">
        <f>IF(ifood_data[[#This Row],[marital_Married]]=1,"Married", (IF(ifood_data[[#This Row],[marital_Single]]=1,"Single",(IF(ifood_data[[#This Row],[marital_Divorced]]=1,"Divorced",(IF(ifood_data[[#This Row],[marital_Together]]=1,"Living Together",(IF(ifood_data[[#This Row],[marital_Widow]]=1,"Widow","Other")))))))))</f>
        <v>Married</v>
      </c>
      <c r="AU1967" t="str">
        <f>IF(ifood_data[[#This Row],[education_Basic]]=1,"High School",(IF(ifood_data[[#This Row],[education_Graduation]]=1,"Undergraduate Degree",(IF(SUM(AM1967,AL1967,AI1967)&gt;0,"Master's Degree or Higher","Other")))))</f>
        <v>Undergraduate Degree</v>
      </c>
      <c r="AV1967" t="str">
        <f>IF(ifood_data[[#All],[Income]]&gt;75000,"75K+",(IF(ifood_data[[#All],[Income]]&gt;50000,"50K-75K",(IF(ifood_data[[#All],[Income]]&gt;35000,"35K-50K","&lt;35K")))))</f>
        <v>&lt;35K</v>
      </c>
      <c r="AW1967" t="str">
        <f>IF(ifood_data[[#All],[Age]]&gt;60,"60+",(IF(ifood_data[[#All],[Age]]&gt;50,"50-60",(IF(ifood_data[[#All],[Age]]&gt;40,"40-50",(IF(ifood_data[[#All],[Age]]&gt;30,"30-40","&lt;30")))))))</f>
        <v>40-50</v>
      </c>
      <c r="AX1967">
        <f t="shared" si="120"/>
        <v>19</v>
      </c>
      <c r="AY1967">
        <f t="shared" si="121"/>
        <v>1.9999999999999996</v>
      </c>
      <c r="AZ1967">
        <f t="shared" si="122"/>
        <v>4</v>
      </c>
      <c r="BA1967">
        <f t="shared" si="123"/>
        <v>2</v>
      </c>
      <c r="BB1967">
        <f>SUM(ifood_data[[#This Row],[Recency Score]:[Monetary Score]])</f>
        <v>8</v>
      </c>
      <c r="BC1967">
        <f>(_xlfn.PERCENTRANK.INC(ifood_data[[#All],[RFM]],ifood_data[[#This Row],[RFM]],1))*10</f>
        <v>1</v>
      </c>
      <c r="BD1967" t="str">
        <f>VLOOKUP(ifood_data[[#This Row],[RFM Score]],'RFM Analysis'!$A$3:$B$14,2,FALSE)</f>
        <v>At Risk</v>
      </c>
      <c r="BE1967">
        <f>'Regression Models'!$B$101+'Regression Models'!$B$102*ifood_data[[#This Row],[Income]]+'Regression Models'!$B$103*ifood_data[[#This Row],[Age]]+'Regression Models'!$B$104*ifood_data[[#This Row],[Family]]</f>
        <v>-208.60561068725124</v>
      </c>
      <c r="BF1967" t="str">
        <f>IF(ifood_data[[#This Row],[AcceptedCmpOverall]]=1,"Campaign Respondent","Non-respondent")</f>
        <v>Non-respondent</v>
      </c>
    </row>
    <row r="1968" spans="1:58" x14ac:dyDescent="0.35">
      <c r="A1968">
        <v>1052</v>
      </c>
      <c r="B1968">
        <v>16269</v>
      </c>
      <c r="C1968">
        <v>1</v>
      </c>
      <c r="D1968">
        <v>0</v>
      </c>
      <c r="E1968">
        <v>75</v>
      </c>
      <c r="F1968">
        <v>19</v>
      </c>
      <c r="G1968">
        <v>3</v>
      </c>
      <c r="H1968">
        <v>18</v>
      </c>
      <c r="I1968">
        <v>3</v>
      </c>
      <c r="J1968">
        <v>1</v>
      </c>
      <c r="K1968">
        <v>0</v>
      </c>
      <c r="L1968">
        <v>3</v>
      </c>
      <c r="M1968">
        <v>3</v>
      </c>
      <c r="N1968">
        <v>0</v>
      </c>
      <c r="O1968">
        <v>3</v>
      </c>
      <c r="P1968">
        <v>8</v>
      </c>
      <c r="Q1968">
        <v>0</v>
      </c>
      <c r="R1968">
        <v>0</v>
      </c>
      <c r="S1968">
        <v>0</v>
      </c>
      <c r="T1968">
        <v>0</v>
      </c>
      <c r="U1968">
        <v>0</v>
      </c>
      <c r="V1968">
        <f>IF(SUM(ifood_data[[#This Row],[AcceptedCmp1]:[AcceptedCmp5]])&gt;0,1,0)</f>
        <v>0</v>
      </c>
      <c r="W1968">
        <v>0</v>
      </c>
      <c r="X1968">
        <v>3</v>
      </c>
      <c r="Y1968">
        <v>11</v>
      </c>
      <c r="Z1968">
        <v>0</v>
      </c>
      <c r="AA1968">
        <v>36</v>
      </c>
      <c r="AB1968">
        <v>2462</v>
      </c>
      <c r="AC1968" s="28">
        <f>ifood_data[[#This Row],[Customer_Days]]/365</f>
        <v>6.7452054794520544</v>
      </c>
      <c r="AD1968">
        <v>0</v>
      </c>
      <c r="AE1968">
        <v>0</v>
      </c>
      <c r="AF1968">
        <v>1</v>
      </c>
      <c r="AG1968">
        <v>0</v>
      </c>
      <c r="AH1968">
        <v>0</v>
      </c>
      <c r="AI1968">
        <v>0</v>
      </c>
      <c r="AJ1968">
        <v>0</v>
      </c>
      <c r="AK1968">
        <v>0</v>
      </c>
      <c r="AL1968">
        <v>0</v>
      </c>
      <c r="AM1968">
        <v>1</v>
      </c>
      <c r="AN1968">
        <v>44</v>
      </c>
      <c r="AO1968">
        <v>44</v>
      </c>
      <c r="AP1968">
        <f>ifood_data[[#This Row],[MntTotal]]-ifood_data[[#This Row],[MntRegularProds]]</f>
        <v>0</v>
      </c>
      <c r="AQ1968">
        <v>0</v>
      </c>
      <c r="AR1968">
        <f>IF(SUM(ifood_data[[#This Row],[Kidhome]:[Teenhome]])&gt;0,1,0)</f>
        <v>1</v>
      </c>
      <c r="AS1968" t="str">
        <f>IF(SUM(ifood_data[[#This Row],[Kidhome]:[Teenhome]])&gt;0,"Has Family","No Family")</f>
        <v>Has Family</v>
      </c>
      <c r="AT1968" t="str">
        <f>IF(ifood_data[[#This Row],[marital_Married]]=1,"Married", (IF(ifood_data[[#This Row],[marital_Single]]=1,"Single",(IF(ifood_data[[#This Row],[marital_Divorced]]=1,"Divorced",(IF(ifood_data[[#This Row],[marital_Together]]=1,"Living Together",(IF(ifood_data[[#This Row],[marital_Widow]]=1,"Widow","Other")))))))))</f>
        <v>Single</v>
      </c>
      <c r="AU1968" t="str">
        <f>IF(ifood_data[[#This Row],[education_Basic]]=1,"High School",(IF(ifood_data[[#This Row],[education_Graduation]]=1,"Undergraduate Degree",(IF(SUM(AM1968,AL1968,AI1968)&gt;0,"Master's Degree or Higher","Other")))))</f>
        <v>Master's Degree or Higher</v>
      </c>
      <c r="AV1968" t="str">
        <f>IF(ifood_data[[#All],[Income]]&gt;75000,"75K+",(IF(ifood_data[[#All],[Income]]&gt;50000,"50K-75K",(IF(ifood_data[[#All],[Income]]&gt;35000,"35K-50K","&lt;35K")))))</f>
        <v>&lt;35K</v>
      </c>
      <c r="AW1968" t="str">
        <f>IF(ifood_data[[#All],[Age]]&gt;60,"60+",(IF(ifood_data[[#All],[Age]]&gt;50,"50-60",(IF(ifood_data[[#All],[Age]]&gt;40,"40-50",(IF(ifood_data[[#All],[Age]]&gt;30,"30-40","&lt;30")))))))</f>
        <v>30-40</v>
      </c>
      <c r="AX1968">
        <f t="shared" si="120"/>
        <v>17</v>
      </c>
      <c r="AY1968">
        <f t="shared" si="121"/>
        <v>3.0000000000000004</v>
      </c>
      <c r="AZ1968">
        <f t="shared" si="122"/>
        <v>3</v>
      </c>
      <c r="BA1968">
        <f t="shared" si="123"/>
        <v>2</v>
      </c>
      <c r="BB1968">
        <f>SUM(ifood_data[[#This Row],[Recency Score]:[Monetary Score]])</f>
        <v>8</v>
      </c>
      <c r="BC1968">
        <f>(_xlfn.PERCENTRANK.INC(ifood_data[[#All],[RFM]],ifood_data[[#This Row],[RFM]],1))*10</f>
        <v>1</v>
      </c>
      <c r="BD1968" t="str">
        <f>VLOOKUP(ifood_data[[#This Row],[RFM Score]],'RFM Analysis'!$A$3:$B$14,2,FALSE)</f>
        <v>At Risk</v>
      </c>
      <c r="BE1968">
        <f>'Regression Models'!$B$101+'Regression Models'!$B$102*ifood_data[[#This Row],[Income]]+'Regression Models'!$B$103*ifood_data[[#This Row],[Age]]+'Regression Models'!$B$104*ifood_data[[#This Row],[Family]]</f>
        <v>-211.83582525458417</v>
      </c>
      <c r="BF1968" t="str">
        <f>IF(ifood_data[[#This Row],[AcceptedCmpOverall]]=1,"Campaign Respondent","Non-respondent")</f>
        <v>Non-respondent</v>
      </c>
    </row>
    <row r="1969" spans="1:58" x14ac:dyDescent="0.35">
      <c r="A1969">
        <v>904</v>
      </c>
      <c r="B1969">
        <v>16927</v>
      </c>
      <c r="C1969">
        <v>1</v>
      </c>
      <c r="D1969">
        <v>1</v>
      </c>
      <c r="E1969">
        <v>50</v>
      </c>
      <c r="F1969">
        <v>20</v>
      </c>
      <c r="G1969">
        <v>2</v>
      </c>
      <c r="H1969">
        <v>23</v>
      </c>
      <c r="I1969">
        <v>3</v>
      </c>
      <c r="J1969">
        <v>1</v>
      </c>
      <c r="K1969">
        <v>4</v>
      </c>
      <c r="L1969">
        <v>5</v>
      </c>
      <c r="M1969">
        <v>3</v>
      </c>
      <c r="N1969">
        <v>0</v>
      </c>
      <c r="O1969">
        <v>4</v>
      </c>
      <c r="P1969">
        <v>8</v>
      </c>
      <c r="Q1969">
        <v>0</v>
      </c>
      <c r="R1969">
        <v>0</v>
      </c>
      <c r="S1969">
        <v>0</v>
      </c>
      <c r="T1969">
        <v>0</v>
      </c>
      <c r="U1969">
        <v>0</v>
      </c>
      <c r="V1969">
        <f>IF(SUM(ifood_data[[#This Row],[AcceptedCmp1]:[AcceptedCmp5]])&gt;0,1,0)</f>
        <v>0</v>
      </c>
      <c r="W1969">
        <v>0</v>
      </c>
      <c r="X1969">
        <v>3</v>
      </c>
      <c r="Y1969">
        <v>11</v>
      </c>
      <c r="Z1969">
        <v>0</v>
      </c>
      <c r="AA1969">
        <v>44</v>
      </c>
      <c r="AB1969">
        <v>2663</v>
      </c>
      <c r="AC1969" s="28">
        <f>ifood_data[[#This Row],[Customer_Days]]/365</f>
        <v>7.2958904109589042</v>
      </c>
      <c r="AD1969">
        <v>0</v>
      </c>
      <c r="AE1969">
        <v>1</v>
      </c>
      <c r="AF1969">
        <v>0</v>
      </c>
      <c r="AG1969">
        <v>0</v>
      </c>
      <c r="AH1969">
        <v>0</v>
      </c>
      <c r="AI1969">
        <v>0</v>
      </c>
      <c r="AJ1969">
        <v>0</v>
      </c>
      <c r="AK1969">
        <v>0</v>
      </c>
      <c r="AL1969">
        <v>0</v>
      </c>
      <c r="AM1969">
        <v>1</v>
      </c>
      <c r="AN1969">
        <v>49</v>
      </c>
      <c r="AO1969">
        <v>45</v>
      </c>
      <c r="AP1969">
        <f>ifood_data[[#This Row],[MntTotal]]-ifood_data[[#This Row],[MntRegularProds]]</f>
        <v>4</v>
      </c>
      <c r="AQ1969">
        <v>0</v>
      </c>
      <c r="AR1969">
        <f>IF(SUM(ifood_data[[#This Row],[Kidhome]:[Teenhome]])&gt;0,1,0)</f>
        <v>1</v>
      </c>
      <c r="AS1969" t="str">
        <f>IF(SUM(ifood_data[[#This Row],[Kidhome]:[Teenhome]])&gt;0,"Has Family","No Family")</f>
        <v>Has Family</v>
      </c>
      <c r="AT1969" t="str">
        <f>IF(ifood_data[[#This Row],[marital_Married]]=1,"Married", (IF(ifood_data[[#This Row],[marital_Single]]=1,"Single",(IF(ifood_data[[#This Row],[marital_Divorced]]=1,"Divorced",(IF(ifood_data[[#This Row],[marital_Together]]=1,"Living Together",(IF(ifood_data[[#This Row],[marital_Widow]]=1,"Widow","Other")))))))))</f>
        <v>Married</v>
      </c>
      <c r="AU1969" t="str">
        <f>IF(ifood_data[[#This Row],[education_Basic]]=1,"High School",(IF(ifood_data[[#This Row],[education_Graduation]]=1,"Undergraduate Degree",(IF(SUM(AM1969,AL1969,AI1969)&gt;0,"Master's Degree or Higher","Other")))))</f>
        <v>Master's Degree or Higher</v>
      </c>
      <c r="AV1969" t="str">
        <f>IF(ifood_data[[#All],[Income]]&gt;75000,"75K+",(IF(ifood_data[[#All],[Income]]&gt;50000,"50K-75K",(IF(ifood_data[[#All],[Income]]&gt;35000,"35K-50K","&lt;35K")))))</f>
        <v>&lt;35K</v>
      </c>
      <c r="AW1969" t="str">
        <f>IF(ifood_data[[#All],[Age]]&gt;60,"60+",(IF(ifood_data[[#All],[Age]]&gt;50,"50-60",(IF(ifood_data[[#All],[Age]]&gt;40,"40-50",(IF(ifood_data[[#All],[Age]]&gt;30,"30-40","&lt;30")))))))</f>
        <v>40-50</v>
      </c>
      <c r="AX1969">
        <f t="shared" si="120"/>
        <v>20</v>
      </c>
      <c r="AY1969">
        <f t="shared" si="121"/>
        <v>5</v>
      </c>
      <c r="AZ1969">
        <f t="shared" si="122"/>
        <v>4</v>
      </c>
      <c r="BA1969">
        <f t="shared" si="123"/>
        <v>2</v>
      </c>
      <c r="BB1969">
        <f>SUM(ifood_data[[#This Row],[Recency Score]:[Monetary Score]])</f>
        <v>11</v>
      </c>
      <c r="BC1969">
        <f>(_xlfn.PERCENTRANK.INC(ifood_data[[#All],[RFM]],ifood_data[[#This Row],[RFM]],1))*10</f>
        <v>2</v>
      </c>
      <c r="BD1969" t="str">
        <f>VLOOKUP(ifood_data[[#This Row],[RFM Score]],'RFM Analysis'!$A$3:$B$14,2,FALSE)</f>
        <v>At Risk</v>
      </c>
      <c r="BE1969">
        <f>'Regression Models'!$B$101+'Regression Models'!$B$102*ifood_data[[#This Row],[Income]]+'Regression Models'!$B$103*ifood_data[[#This Row],[Age]]+'Regression Models'!$B$104*ifood_data[[#This Row],[Family]]</f>
        <v>-213.1115284470529</v>
      </c>
      <c r="BF1969" t="str">
        <f>IF(ifood_data[[#This Row],[AcceptedCmpOverall]]=1,"Campaign Respondent","Non-respondent")</f>
        <v>Non-respondent</v>
      </c>
    </row>
    <row r="1970" spans="1:58" x14ac:dyDescent="0.35">
      <c r="A1970">
        <v>1588</v>
      </c>
      <c r="B1970">
        <v>16653</v>
      </c>
      <c r="C1970">
        <v>1</v>
      </c>
      <c r="D1970">
        <v>0</v>
      </c>
      <c r="E1970">
        <v>10</v>
      </c>
      <c r="F1970">
        <v>5</v>
      </c>
      <c r="G1970">
        <v>7</v>
      </c>
      <c r="H1970">
        <v>31</v>
      </c>
      <c r="I1970">
        <v>15</v>
      </c>
      <c r="J1970">
        <v>4</v>
      </c>
      <c r="K1970">
        <v>7</v>
      </c>
      <c r="L1970">
        <v>3</v>
      </c>
      <c r="M1970">
        <v>2</v>
      </c>
      <c r="N1970">
        <v>1</v>
      </c>
      <c r="O1970">
        <v>3</v>
      </c>
      <c r="P1970">
        <v>6</v>
      </c>
      <c r="Q1970">
        <v>0</v>
      </c>
      <c r="R1970">
        <v>0</v>
      </c>
      <c r="S1970">
        <v>0</v>
      </c>
      <c r="T1970">
        <v>0</v>
      </c>
      <c r="U1970">
        <v>0</v>
      </c>
      <c r="V1970">
        <f>IF(SUM(ifood_data[[#This Row],[AcceptedCmp1]:[AcceptedCmp5]])&gt;0,1,0)</f>
        <v>0</v>
      </c>
      <c r="W1970">
        <v>0</v>
      </c>
      <c r="X1970">
        <v>3</v>
      </c>
      <c r="Y1970">
        <v>11</v>
      </c>
      <c r="Z1970">
        <v>1</v>
      </c>
      <c r="AA1970">
        <v>41</v>
      </c>
      <c r="AB1970">
        <v>2231</v>
      </c>
      <c r="AC1970" s="28">
        <f>ifood_data[[#This Row],[Customer_Days]]/365</f>
        <v>6.1123287671232873</v>
      </c>
      <c r="AD1970">
        <v>0</v>
      </c>
      <c r="AE1970">
        <v>0</v>
      </c>
      <c r="AF1970">
        <v>1</v>
      </c>
      <c r="AG1970">
        <v>0</v>
      </c>
      <c r="AH1970">
        <v>0</v>
      </c>
      <c r="AI1970">
        <v>0</v>
      </c>
      <c r="AJ1970">
        <v>0</v>
      </c>
      <c r="AK1970">
        <v>0</v>
      </c>
      <c r="AL1970">
        <v>1</v>
      </c>
      <c r="AM1970">
        <v>0</v>
      </c>
      <c r="AN1970">
        <v>62</v>
      </c>
      <c r="AO1970">
        <v>55</v>
      </c>
      <c r="AP1970">
        <f>ifood_data[[#This Row],[MntTotal]]-ifood_data[[#This Row],[MntRegularProds]]</f>
        <v>7</v>
      </c>
      <c r="AQ1970">
        <v>0</v>
      </c>
      <c r="AR1970">
        <f>IF(SUM(ifood_data[[#This Row],[Kidhome]:[Teenhome]])&gt;0,1,0)</f>
        <v>1</v>
      </c>
      <c r="AS1970" t="str">
        <f>IF(SUM(ifood_data[[#This Row],[Kidhome]:[Teenhome]])&gt;0,"Has Family","No Family")</f>
        <v>Has Family</v>
      </c>
      <c r="AT1970" t="str">
        <f>IF(ifood_data[[#This Row],[marital_Married]]=1,"Married", (IF(ifood_data[[#This Row],[marital_Single]]=1,"Single",(IF(ifood_data[[#This Row],[marital_Divorced]]=1,"Divorced",(IF(ifood_data[[#This Row],[marital_Together]]=1,"Living Together",(IF(ifood_data[[#This Row],[marital_Widow]]=1,"Widow","Other")))))))))</f>
        <v>Single</v>
      </c>
      <c r="AU1970" t="str">
        <f>IF(ifood_data[[#This Row],[education_Basic]]=1,"High School",(IF(ifood_data[[#This Row],[education_Graduation]]=1,"Undergraduate Degree",(IF(SUM(AM1970,AL1970,AI1970)&gt;0,"Master's Degree or Higher","Other")))))</f>
        <v>Master's Degree or Higher</v>
      </c>
      <c r="AV1970" t="str">
        <f>IF(ifood_data[[#All],[Income]]&gt;75000,"75K+",(IF(ifood_data[[#All],[Income]]&gt;50000,"50K-75K",(IF(ifood_data[[#All],[Income]]&gt;35000,"35K-50K","&lt;35K")))))</f>
        <v>&lt;35K</v>
      </c>
      <c r="AW1970" t="str">
        <f>IF(ifood_data[[#All],[Age]]&gt;60,"60+",(IF(ifood_data[[#All],[Age]]&gt;50,"50-60",(IF(ifood_data[[#All],[Age]]&gt;40,"40-50",(IF(ifood_data[[#All],[Age]]&gt;30,"30-40","&lt;30")))))))</f>
        <v>40-50</v>
      </c>
      <c r="AX1970">
        <f t="shared" si="120"/>
        <v>15</v>
      </c>
      <c r="AY1970">
        <f t="shared" si="121"/>
        <v>9</v>
      </c>
      <c r="AZ1970">
        <f t="shared" si="122"/>
        <v>2</v>
      </c>
      <c r="BA1970">
        <f t="shared" si="123"/>
        <v>2</v>
      </c>
      <c r="BB1970">
        <f>SUM(ifood_data[[#This Row],[Recency Score]:[Monetary Score]])</f>
        <v>13</v>
      </c>
      <c r="BC1970">
        <f>(_xlfn.PERCENTRANK.INC(ifood_data[[#All],[RFM]],ifood_data[[#This Row],[RFM]],1))*10</f>
        <v>3</v>
      </c>
      <c r="BD1970" t="str">
        <f>VLOOKUP(ifood_data[[#This Row],[RFM Score]],'RFM Analysis'!$A$3:$B$14,2,FALSE)</f>
        <v>At Risk</v>
      </c>
      <c r="BE1970">
        <f>'Regression Models'!$B$101+'Regression Models'!$B$102*ifood_data[[#This Row],[Income]]+'Regression Models'!$B$103*ifood_data[[#This Row],[Age]]+'Regression Models'!$B$104*ifood_data[[#This Row],[Family]]</f>
        <v>-213.18873368179837</v>
      </c>
      <c r="BF1970" t="str">
        <f>IF(ifood_data[[#This Row],[AcceptedCmpOverall]]=1,"Campaign Respondent","Non-respondent")</f>
        <v>Non-respondent</v>
      </c>
    </row>
    <row r="1971" spans="1:58" x14ac:dyDescent="0.35">
      <c r="A1971">
        <v>705</v>
      </c>
      <c r="B1971">
        <v>17003</v>
      </c>
      <c r="C1971">
        <v>1</v>
      </c>
      <c r="D1971">
        <v>0</v>
      </c>
      <c r="E1971">
        <v>37</v>
      </c>
      <c r="F1971">
        <v>2</v>
      </c>
      <c r="G1971">
        <v>5</v>
      </c>
      <c r="H1971">
        <v>12</v>
      </c>
      <c r="I1971">
        <v>4</v>
      </c>
      <c r="J1971">
        <v>8</v>
      </c>
      <c r="K1971">
        <v>7</v>
      </c>
      <c r="L1971">
        <v>3</v>
      </c>
      <c r="M1971">
        <v>2</v>
      </c>
      <c r="N1971">
        <v>0</v>
      </c>
      <c r="O1971">
        <v>4</v>
      </c>
      <c r="P1971">
        <v>5</v>
      </c>
      <c r="Q1971">
        <v>0</v>
      </c>
      <c r="R1971">
        <v>0</v>
      </c>
      <c r="S1971">
        <v>0</v>
      </c>
      <c r="T1971">
        <v>0</v>
      </c>
      <c r="U1971">
        <v>0</v>
      </c>
      <c r="V1971">
        <f>IF(SUM(ifood_data[[#This Row],[AcceptedCmp1]:[AcceptedCmp5]])&gt;0,1,0)</f>
        <v>0</v>
      </c>
      <c r="W1971">
        <v>0</v>
      </c>
      <c r="X1971">
        <v>3</v>
      </c>
      <c r="Y1971">
        <v>11</v>
      </c>
      <c r="Z1971">
        <v>0</v>
      </c>
      <c r="AA1971">
        <v>45</v>
      </c>
      <c r="AB1971">
        <v>2361</v>
      </c>
      <c r="AC1971" s="28">
        <f>ifood_data[[#This Row],[Customer_Days]]/365</f>
        <v>6.4684931506849317</v>
      </c>
      <c r="AD1971">
        <v>0</v>
      </c>
      <c r="AE1971">
        <v>1</v>
      </c>
      <c r="AF1971">
        <v>0</v>
      </c>
      <c r="AG1971">
        <v>0</v>
      </c>
      <c r="AH1971">
        <v>0</v>
      </c>
      <c r="AI1971">
        <v>1</v>
      </c>
      <c r="AJ1971">
        <v>0</v>
      </c>
      <c r="AK1971">
        <v>0</v>
      </c>
      <c r="AL1971">
        <v>0</v>
      </c>
      <c r="AM1971">
        <v>0</v>
      </c>
      <c r="AN1971">
        <v>31</v>
      </c>
      <c r="AO1971">
        <v>24</v>
      </c>
      <c r="AP1971">
        <f>ifood_data[[#This Row],[MntTotal]]-ifood_data[[#This Row],[MntRegularProds]]</f>
        <v>7</v>
      </c>
      <c r="AQ1971">
        <v>0</v>
      </c>
      <c r="AR1971">
        <f>IF(SUM(ifood_data[[#This Row],[Kidhome]:[Teenhome]])&gt;0,1,0)</f>
        <v>1</v>
      </c>
      <c r="AS1971" t="str">
        <f>IF(SUM(ifood_data[[#This Row],[Kidhome]:[Teenhome]])&gt;0,"Has Family","No Family")</f>
        <v>Has Family</v>
      </c>
      <c r="AT1971" t="str">
        <f>IF(ifood_data[[#This Row],[marital_Married]]=1,"Married", (IF(ifood_data[[#This Row],[marital_Single]]=1,"Single",(IF(ifood_data[[#This Row],[marital_Divorced]]=1,"Divorced",(IF(ifood_data[[#This Row],[marital_Together]]=1,"Living Together",(IF(ifood_data[[#This Row],[marital_Widow]]=1,"Widow","Other")))))))))</f>
        <v>Married</v>
      </c>
      <c r="AU1971" t="str">
        <f>IF(ifood_data[[#This Row],[education_Basic]]=1,"High School",(IF(ifood_data[[#This Row],[education_Graduation]]=1,"Undergraduate Degree",(IF(SUM(AM1971,AL1971,AI1971)&gt;0,"Master's Degree or Higher","Other")))))</f>
        <v>Master's Degree or Higher</v>
      </c>
      <c r="AV1971" t="str">
        <f>IF(ifood_data[[#All],[Income]]&gt;75000,"75K+",(IF(ifood_data[[#All],[Income]]&gt;50000,"50K-75K",(IF(ifood_data[[#All],[Income]]&gt;35000,"35K-50K","&lt;35K")))))</f>
        <v>&lt;35K</v>
      </c>
      <c r="AW1971" t="str">
        <f>IF(ifood_data[[#All],[Age]]&gt;60,"60+",(IF(ifood_data[[#All],[Age]]&gt;50,"50-60",(IF(ifood_data[[#All],[Age]]&gt;40,"40-50",(IF(ifood_data[[#All],[Age]]&gt;30,"30-40","&lt;30")))))))</f>
        <v>40-50</v>
      </c>
      <c r="AX1971">
        <f t="shared" si="120"/>
        <v>14</v>
      </c>
      <c r="AY1971">
        <f t="shared" si="121"/>
        <v>7</v>
      </c>
      <c r="AZ1971">
        <f t="shared" si="122"/>
        <v>2</v>
      </c>
      <c r="BA1971">
        <f t="shared" si="123"/>
        <v>1</v>
      </c>
      <c r="BB1971">
        <f>SUM(ifood_data[[#This Row],[Recency Score]:[Monetary Score]])</f>
        <v>10</v>
      </c>
      <c r="BC1971">
        <f>(_xlfn.PERCENTRANK.INC(ifood_data[[#All],[RFM]],ifood_data[[#This Row],[RFM]],1))*10</f>
        <v>2</v>
      </c>
      <c r="BD1971" t="str">
        <f>VLOOKUP(ifood_data[[#This Row],[RFM Score]],'RFM Analysis'!$A$3:$B$14,2,FALSE)</f>
        <v>At Risk</v>
      </c>
      <c r="BE1971">
        <f>'Regression Models'!$B$101+'Regression Models'!$B$102*ifood_data[[#This Row],[Income]]+'Regression Models'!$B$103*ifood_data[[#This Row],[Age]]+'Regression Models'!$B$104*ifood_data[[#This Row],[Family]]</f>
        <v>-213.39842114701091</v>
      </c>
      <c r="BF1971" t="str">
        <f>IF(ifood_data[[#This Row],[AcceptedCmpOverall]]=1,"Campaign Respondent","Non-respondent")</f>
        <v>Non-respondent</v>
      </c>
    </row>
    <row r="1972" spans="1:58" x14ac:dyDescent="0.35">
      <c r="A1972">
        <v>921</v>
      </c>
      <c r="B1972">
        <v>15716</v>
      </c>
      <c r="C1972">
        <v>1</v>
      </c>
      <c r="D1972">
        <v>0</v>
      </c>
      <c r="E1972">
        <v>8</v>
      </c>
      <c r="F1972">
        <v>16</v>
      </c>
      <c r="G1972">
        <v>5</v>
      </c>
      <c r="H1972">
        <v>30</v>
      </c>
      <c r="I1972">
        <v>8</v>
      </c>
      <c r="J1972">
        <v>7</v>
      </c>
      <c r="K1972">
        <v>26</v>
      </c>
      <c r="L1972">
        <v>3</v>
      </c>
      <c r="M1972">
        <v>3</v>
      </c>
      <c r="N1972">
        <v>0</v>
      </c>
      <c r="O1972">
        <v>4</v>
      </c>
      <c r="P1972">
        <v>8</v>
      </c>
      <c r="Q1972">
        <v>0</v>
      </c>
      <c r="R1972">
        <v>0</v>
      </c>
      <c r="S1972">
        <v>0</v>
      </c>
      <c r="T1972">
        <v>0</v>
      </c>
      <c r="U1972">
        <v>0</v>
      </c>
      <c r="V1972">
        <f>IF(SUM(ifood_data[[#This Row],[AcceptedCmp1]:[AcceptedCmp5]])&gt;0,1,0)</f>
        <v>0</v>
      </c>
      <c r="W1972">
        <v>1</v>
      </c>
      <c r="X1972">
        <v>3</v>
      </c>
      <c r="Y1972">
        <v>11</v>
      </c>
      <c r="Z1972">
        <v>0</v>
      </c>
      <c r="AA1972">
        <v>32</v>
      </c>
      <c r="AB1972">
        <v>2753</v>
      </c>
      <c r="AC1972" s="28">
        <f>ifood_data[[#This Row],[Customer_Days]]/365</f>
        <v>7.5424657534246577</v>
      </c>
      <c r="AD1972">
        <v>0</v>
      </c>
      <c r="AE1972">
        <v>1</v>
      </c>
      <c r="AF1972">
        <v>0</v>
      </c>
      <c r="AG1972">
        <v>0</v>
      </c>
      <c r="AH1972">
        <v>0</v>
      </c>
      <c r="AI1972">
        <v>1</v>
      </c>
      <c r="AJ1972">
        <v>0</v>
      </c>
      <c r="AK1972">
        <v>0</v>
      </c>
      <c r="AL1972">
        <v>0</v>
      </c>
      <c r="AM1972">
        <v>0</v>
      </c>
      <c r="AN1972">
        <v>66</v>
      </c>
      <c r="AO1972">
        <v>40</v>
      </c>
      <c r="AP1972">
        <f>ifood_data[[#This Row],[MntTotal]]-ifood_data[[#This Row],[MntRegularProds]]</f>
        <v>26</v>
      </c>
      <c r="AQ1972">
        <v>0</v>
      </c>
      <c r="AR1972">
        <f>IF(SUM(ifood_data[[#This Row],[Kidhome]:[Teenhome]])&gt;0,1,0)</f>
        <v>1</v>
      </c>
      <c r="AS1972" t="str">
        <f>IF(SUM(ifood_data[[#This Row],[Kidhome]:[Teenhome]])&gt;0,"Has Family","No Family")</f>
        <v>Has Family</v>
      </c>
      <c r="AT1972" t="str">
        <f>IF(ifood_data[[#This Row],[marital_Married]]=1,"Married", (IF(ifood_data[[#This Row],[marital_Single]]=1,"Single",(IF(ifood_data[[#This Row],[marital_Divorced]]=1,"Divorced",(IF(ifood_data[[#This Row],[marital_Together]]=1,"Living Together",(IF(ifood_data[[#This Row],[marital_Widow]]=1,"Widow","Other")))))))))</f>
        <v>Married</v>
      </c>
      <c r="AU1972" t="str">
        <f>IF(ifood_data[[#This Row],[education_Basic]]=1,"High School",(IF(ifood_data[[#This Row],[education_Graduation]]=1,"Undergraduate Degree",(IF(SUM(AM1972,AL1972,AI1972)&gt;0,"Master's Degree or Higher","Other")))))</f>
        <v>Master's Degree or Higher</v>
      </c>
      <c r="AV1972" t="str">
        <f>IF(ifood_data[[#All],[Income]]&gt;75000,"75K+",(IF(ifood_data[[#All],[Income]]&gt;50000,"50K-75K",(IF(ifood_data[[#All],[Income]]&gt;35000,"35K-50K","&lt;35K")))))</f>
        <v>&lt;35K</v>
      </c>
      <c r="AW1972" t="str">
        <f>IF(ifood_data[[#All],[Age]]&gt;60,"60+",(IF(ifood_data[[#All],[Age]]&gt;50,"50-60",(IF(ifood_data[[#All],[Age]]&gt;40,"40-50",(IF(ifood_data[[#All],[Age]]&gt;30,"30-40","&lt;30")))))))</f>
        <v>30-40</v>
      </c>
      <c r="AX1972">
        <f t="shared" si="120"/>
        <v>18</v>
      </c>
      <c r="AY1972">
        <f t="shared" si="121"/>
        <v>10</v>
      </c>
      <c r="AZ1972">
        <f t="shared" si="122"/>
        <v>4</v>
      </c>
      <c r="BA1972">
        <f t="shared" si="123"/>
        <v>2</v>
      </c>
      <c r="BB1972">
        <f>SUM(ifood_data[[#This Row],[Recency Score]:[Monetary Score]])</f>
        <v>16</v>
      </c>
      <c r="BC1972">
        <f>(_xlfn.PERCENTRANK.INC(ifood_data[[#All],[RFM]],ifood_data[[#This Row],[RFM]],1))*10</f>
        <v>5</v>
      </c>
      <c r="BD1972" t="str">
        <f>VLOOKUP(ifood_data[[#This Row],[RFM Score]],'RFM Analysis'!$A$3:$B$14,2,FALSE)</f>
        <v>Promising</v>
      </c>
      <c r="BE1972">
        <f>'Regression Models'!$B$101+'Regression Models'!$B$102*ifood_data[[#This Row],[Income]]+'Regression Models'!$B$103*ifood_data[[#This Row],[Age]]+'Regression Models'!$B$104*ifood_data[[#This Row],[Family]]</f>
        <v>-215.76505772258315</v>
      </c>
      <c r="BF1972" t="str">
        <f>IF(ifood_data[[#This Row],[AcceptedCmpOverall]]=1,"Campaign Respondent","Non-respondent")</f>
        <v>Non-respondent</v>
      </c>
    </row>
    <row r="1973" spans="1:58" x14ac:dyDescent="0.35">
      <c r="A1973">
        <v>1361</v>
      </c>
      <c r="B1973">
        <v>16531</v>
      </c>
      <c r="C1973">
        <v>1</v>
      </c>
      <c r="D1973">
        <v>0</v>
      </c>
      <c r="E1973">
        <v>43</v>
      </c>
      <c r="F1973">
        <v>2</v>
      </c>
      <c r="G1973">
        <v>13</v>
      </c>
      <c r="H1973">
        <v>6</v>
      </c>
      <c r="I1973">
        <v>7</v>
      </c>
      <c r="J1973">
        <v>5</v>
      </c>
      <c r="K1973">
        <v>11</v>
      </c>
      <c r="L1973">
        <v>3</v>
      </c>
      <c r="M1973">
        <v>3</v>
      </c>
      <c r="N1973">
        <v>0</v>
      </c>
      <c r="O1973">
        <v>3</v>
      </c>
      <c r="P1973">
        <v>7</v>
      </c>
      <c r="Q1973">
        <v>0</v>
      </c>
      <c r="R1973">
        <v>0</v>
      </c>
      <c r="S1973">
        <v>0</v>
      </c>
      <c r="T1973">
        <v>0</v>
      </c>
      <c r="U1973">
        <v>0</v>
      </c>
      <c r="V1973">
        <f>IF(SUM(ifood_data[[#This Row],[AcceptedCmp1]:[AcceptedCmp5]])&gt;0,1,0)</f>
        <v>0</v>
      </c>
      <c r="W1973">
        <v>0</v>
      </c>
      <c r="X1973">
        <v>3</v>
      </c>
      <c r="Y1973">
        <v>11</v>
      </c>
      <c r="Z1973">
        <v>0</v>
      </c>
      <c r="AA1973">
        <v>42</v>
      </c>
      <c r="AB1973">
        <v>2170</v>
      </c>
      <c r="AC1973" s="28">
        <f>ifood_data[[#This Row],[Customer_Days]]/365</f>
        <v>5.9452054794520546</v>
      </c>
      <c r="AD1973">
        <v>0</v>
      </c>
      <c r="AE1973">
        <v>0</v>
      </c>
      <c r="AF1973">
        <v>0</v>
      </c>
      <c r="AG1973">
        <v>1</v>
      </c>
      <c r="AH1973">
        <v>0</v>
      </c>
      <c r="AI1973">
        <v>0</v>
      </c>
      <c r="AJ1973">
        <v>0</v>
      </c>
      <c r="AK1973">
        <v>1</v>
      </c>
      <c r="AL1973">
        <v>0</v>
      </c>
      <c r="AM1973">
        <v>0</v>
      </c>
      <c r="AN1973">
        <v>33</v>
      </c>
      <c r="AO1973">
        <v>22</v>
      </c>
      <c r="AP1973">
        <f>ifood_data[[#This Row],[MntTotal]]-ifood_data[[#This Row],[MntRegularProds]]</f>
        <v>11</v>
      </c>
      <c r="AQ1973">
        <v>0</v>
      </c>
      <c r="AR1973">
        <f>IF(SUM(ifood_data[[#This Row],[Kidhome]:[Teenhome]])&gt;0,1,0)</f>
        <v>1</v>
      </c>
      <c r="AS1973" t="str">
        <f>IF(SUM(ifood_data[[#This Row],[Kidhome]:[Teenhome]])&gt;0,"Has Family","No Family")</f>
        <v>Has Family</v>
      </c>
      <c r="AT1973" t="str">
        <f>IF(ifood_data[[#This Row],[marital_Married]]=1,"Married", (IF(ifood_data[[#This Row],[marital_Single]]=1,"Single",(IF(ifood_data[[#This Row],[marital_Divorced]]=1,"Divorced",(IF(ifood_data[[#This Row],[marital_Together]]=1,"Living Together",(IF(ifood_data[[#This Row],[marital_Widow]]=1,"Widow","Other")))))))))</f>
        <v>Living Together</v>
      </c>
      <c r="AU1973" t="str">
        <f>IF(ifood_data[[#This Row],[education_Basic]]=1,"High School",(IF(ifood_data[[#This Row],[education_Graduation]]=1,"Undergraduate Degree",(IF(SUM(AM1973,AL1973,AI1973)&gt;0,"Master's Degree or Higher","Other")))))</f>
        <v>Undergraduate Degree</v>
      </c>
      <c r="AV1973" t="str">
        <f>IF(ifood_data[[#All],[Income]]&gt;75000,"75K+",(IF(ifood_data[[#All],[Income]]&gt;50000,"50K-75K",(IF(ifood_data[[#All],[Income]]&gt;35000,"35K-50K","&lt;35K")))))</f>
        <v>&lt;35K</v>
      </c>
      <c r="AW1973" t="str">
        <f>IF(ifood_data[[#All],[Age]]&gt;60,"60+",(IF(ifood_data[[#All],[Age]]&gt;50,"50-60",(IF(ifood_data[[#All],[Age]]&gt;40,"40-50",(IF(ifood_data[[#All],[Age]]&gt;30,"30-40","&lt;30")))))))</f>
        <v>40-50</v>
      </c>
      <c r="AX1973">
        <f t="shared" si="120"/>
        <v>16</v>
      </c>
      <c r="AY1973">
        <f t="shared" si="121"/>
        <v>6</v>
      </c>
      <c r="AZ1973">
        <f t="shared" si="122"/>
        <v>3</v>
      </c>
      <c r="BA1973">
        <f t="shared" si="123"/>
        <v>1</v>
      </c>
      <c r="BB1973">
        <f>SUM(ifood_data[[#This Row],[Recency Score]:[Monetary Score]])</f>
        <v>10</v>
      </c>
      <c r="BC1973">
        <f>(_xlfn.PERCENTRANK.INC(ifood_data[[#All],[RFM]],ifood_data[[#This Row],[RFM]],1))*10</f>
        <v>2</v>
      </c>
      <c r="BD1973" t="str">
        <f>VLOOKUP(ifood_data[[#This Row],[RFM Score]],'RFM Analysis'!$A$3:$B$14,2,FALSE)</f>
        <v>At Risk</v>
      </c>
      <c r="BE1973">
        <f>'Regression Models'!$B$101+'Regression Models'!$B$102*ifood_data[[#This Row],[Income]]+'Regression Models'!$B$103*ifood_data[[#This Row],[Age]]+'Regression Models'!$B$104*ifood_data[[#This Row],[Family]]</f>
        <v>-217.51260247424833</v>
      </c>
      <c r="BF1973" t="str">
        <f>IF(ifood_data[[#This Row],[AcceptedCmpOverall]]=1,"Campaign Respondent","Non-respondent")</f>
        <v>Non-respondent</v>
      </c>
    </row>
    <row r="1974" spans="1:58" x14ac:dyDescent="0.35">
      <c r="A1974">
        <v>1960</v>
      </c>
      <c r="B1974">
        <v>15253</v>
      </c>
      <c r="C1974">
        <v>1</v>
      </c>
      <c r="D1974">
        <v>0</v>
      </c>
      <c r="E1974">
        <v>13</v>
      </c>
      <c r="F1974">
        <v>1</v>
      </c>
      <c r="G1974">
        <v>3</v>
      </c>
      <c r="H1974">
        <v>3</v>
      </c>
      <c r="I1974">
        <v>8</v>
      </c>
      <c r="J1974">
        <v>1</v>
      </c>
      <c r="K1974">
        <v>13</v>
      </c>
      <c r="L1974">
        <v>2</v>
      </c>
      <c r="M1974">
        <v>1</v>
      </c>
      <c r="N1974">
        <v>0</v>
      </c>
      <c r="O1974">
        <v>3</v>
      </c>
      <c r="P1974">
        <v>7</v>
      </c>
      <c r="Q1974">
        <v>0</v>
      </c>
      <c r="R1974">
        <v>0</v>
      </c>
      <c r="S1974">
        <v>0</v>
      </c>
      <c r="T1974">
        <v>0</v>
      </c>
      <c r="U1974">
        <v>0</v>
      </c>
      <c r="V1974">
        <f>IF(SUM(ifood_data[[#This Row],[AcceptedCmp1]:[AcceptedCmp5]])&gt;0,1,0)</f>
        <v>0</v>
      </c>
      <c r="W1974">
        <v>0</v>
      </c>
      <c r="X1974">
        <v>3</v>
      </c>
      <c r="Y1974">
        <v>11</v>
      </c>
      <c r="Z1974">
        <v>0</v>
      </c>
      <c r="AA1974">
        <v>28</v>
      </c>
      <c r="AB1974">
        <v>2403</v>
      </c>
      <c r="AC1974" s="28">
        <f>ifood_data[[#This Row],[Customer_Days]]/365</f>
        <v>6.5835616438356164</v>
      </c>
      <c r="AD1974">
        <v>0</v>
      </c>
      <c r="AE1974">
        <v>0</v>
      </c>
      <c r="AF1974">
        <v>1</v>
      </c>
      <c r="AG1974">
        <v>0</v>
      </c>
      <c r="AH1974">
        <v>0</v>
      </c>
      <c r="AI1974">
        <v>0</v>
      </c>
      <c r="AJ1974">
        <v>1</v>
      </c>
      <c r="AK1974">
        <v>0</v>
      </c>
      <c r="AL1974">
        <v>0</v>
      </c>
      <c r="AM1974">
        <v>0</v>
      </c>
      <c r="AN1974">
        <v>16</v>
      </c>
      <c r="AO1974">
        <v>3</v>
      </c>
      <c r="AP1974">
        <f>ifood_data[[#This Row],[MntTotal]]-ifood_data[[#This Row],[MntRegularProds]]</f>
        <v>13</v>
      </c>
      <c r="AQ1974">
        <v>0</v>
      </c>
      <c r="AR1974">
        <f>IF(SUM(ifood_data[[#This Row],[Kidhome]:[Teenhome]])&gt;0,1,0)</f>
        <v>1</v>
      </c>
      <c r="AS1974" t="str">
        <f>IF(SUM(ifood_data[[#This Row],[Kidhome]:[Teenhome]])&gt;0,"Has Family","No Family")</f>
        <v>Has Family</v>
      </c>
      <c r="AT1974" t="str">
        <f>IF(ifood_data[[#This Row],[marital_Married]]=1,"Married", (IF(ifood_data[[#This Row],[marital_Single]]=1,"Single",(IF(ifood_data[[#This Row],[marital_Divorced]]=1,"Divorced",(IF(ifood_data[[#This Row],[marital_Together]]=1,"Living Together",(IF(ifood_data[[#This Row],[marital_Widow]]=1,"Widow","Other")))))))))</f>
        <v>Single</v>
      </c>
      <c r="AU1974" t="str">
        <f>IF(ifood_data[[#This Row],[education_Basic]]=1,"High School",(IF(ifood_data[[#This Row],[education_Graduation]]=1,"Undergraduate Degree",(IF(SUM(AM1974,AL1974,AI1974)&gt;0,"Master's Degree or Higher","Other")))))</f>
        <v>High School</v>
      </c>
      <c r="AV1974" t="str">
        <f>IF(ifood_data[[#All],[Income]]&gt;75000,"75K+",(IF(ifood_data[[#All],[Income]]&gt;50000,"50K-75K",(IF(ifood_data[[#All],[Income]]&gt;35000,"35K-50K","&lt;35K")))))</f>
        <v>&lt;35K</v>
      </c>
      <c r="AW1974" t="str">
        <f>IF(ifood_data[[#All],[Age]]&gt;60,"60+",(IF(ifood_data[[#All],[Age]]&gt;50,"50-60",(IF(ifood_data[[#All],[Age]]&gt;40,"40-50",(IF(ifood_data[[#All],[Age]]&gt;30,"30-40","&lt;30")))))))</f>
        <v>&lt;30</v>
      </c>
      <c r="AX1974">
        <f t="shared" si="120"/>
        <v>13</v>
      </c>
      <c r="AY1974">
        <f t="shared" si="121"/>
        <v>9</v>
      </c>
      <c r="AZ1974">
        <f t="shared" si="122"/>
        <v>1</v>
      </c>
      <c r="BA1974">
        <f t="shared" si="123"/>
        <v>0</v>
      </c>
      <c r="BB1974">
        <f>SUM(ifood_data[[#This Row],[Recency Score]:[Monetary Score]])</f>
        <v>10</v>
      </c>
      <c r="BC1974">
        <f>(_xlfn.PERCENTRANK.INC(ifood_data[[#All],[RFM]],ifood_data[[#This Row],[RFM]],1))*10</f>
        <v>2</v>
      </c>
      <c r="BD1974" t="str">
        <f>VLOOKUP(ifood_data[[#This Row],[RFM Score]],'RFM Analysis'!$A$3:$B$14,2,FALSE)</f>
        <v>At Risk</v>
      </c>
      <c r="BE1974">
        <f>'Regression Models'!$B$101+'Regression Models'!$B$102*ifood_data[[#This Row],[Income]]+'Regression Models'!$B$103*ifood_data[[#This Row],[Age]]+'Regression Models'!$B$104*ifood_data[[#This Row],[Family]]</f>
        <v>-217.85930105763123</v>
      </c>
      <c r="BF1974" t="str">
        <f>IF(ifood_data[[#This Row],[AcceptedCmpOverall]]=1,"Campaign Respondent","Non-respondent")</f>
        <v>Non-respondent</v>
      </c>
    </row>
    <row r="1975" spans="1:58" x14ac:dyDescent="0.35">
      <c r="A1975">
        <v>1932</v>
      </c>
      <c r="B1975">
        <v>16005</v>
      </c>
      <c r="C1975">
        <v>1</v>
      </c>
      <c r="D1975">
        <v>0</v>
      </c>
      <c r="E1975">
        <v>69</v>
      </c>
      <c r="F1975">
        <v>1</v>
      </c>
      <c r="G1975">
        <v>3</v>
      </c>
      <c r="H1975">
        <v>2</v>
      </c>
      <c r="I1975">
        <v>20</v>
      </c>
      <c r="J1975">
        <v>30</v>
      </c>
      <c r="K1975">
        <v>47</v>
      </c>
      <c r="L1975">
        <v>3</v>
      </c>
      <c r="M1975">
        <v>2</v>
      </c>
      <c r="N1975">
        <v>1</v>
      </c>
      <c r="O1975">
        <v>2</v>
      </c>
      <c r="P1975">
        <v>8</v>
      </c>
      <c r="Q1975">
        <v>0</v>
      </c>
      <c r="R1975">
        <v>0</v>
      </c>
      <c r="S1975">
        <v>0</v>
      </c>
      <c r="T1975">
        <v>0</v>
      </c>
      <c r="U1975">
        <v>0</v>
      </c>
      <c r="V1975">
        <f>IF(SUM(ifood_data[[#This Row],[AcceptedCmp1]:[AcceptedCmp5]])&gt;0,1,0)</f>
        <v>0</v>
      </c>
      <c r="W1975">
        <v>0</v>
      </c>
      <c r="X1975">
        <v>3</v>
      </c>
      <c r="Y1975">
        <v>11</v>
      </c>
      <c r="Z1975">
        <v>0</v>
      </c>
      <c r="AA1975">
        <v>40</v>
      </c>
      <c r="AB1975">
        <v>2843</v>
      </c>
      <c r="AC1975" s="28">
        <f>ifood_data[[#This Row],[Customer_Days]]/365</f>
        <v>7.7890410958904113</v>
      </c>
      <c r="AD1975">
        <v>0</v>
      </c>
      <c r="AE1975">
        <v>1</v>
      </c>
      <c r="AF1975">
        <v>0</v>
      </c>
      <c r="AG1975">
        <v>0</v>
      </c>
      <c r="AH1975">
        <v>0</v>
      </c>
      <c r="AI1975">
        <v>0</v>
      </c>
      <c r="AJ1975">
        <v>1</v>
      </c>
      <c r="AK1975">
        <v>0</v>
      </c>
      <c r="AL1975">
        <v>0</v>
      </c>
      <c r="AM1975">
        <v>0</v>
      </c>
      <c r="AN1975">
        <v>56</v>
      </c>
      <c r="AO1975">
        <v>9</v>
      </c>
      <c r="AP1975">
        <f>ifood_data[[#This Row],[MntTotal]]-ifood_data[[#This Row],[MntRegularProds]]</f>
        <v>47</v>
      </c>
      <c r="AQ1975">
        <v>0</v>
      </c>
      <c r="AR1975">
        <f>IF(SUM(ifood_data[[#This Row],[Kidhome]:[Teenhome]])&gt;0,1,0)</f>
        <v>1</v>
      </c>
      <c r="AS1975" t="str">
        <f>IF(SUM(ifood_data[[#This Row],[Kidhome]:[Teenhome]])&gt;0,"Has Family","No Family")</f>
        <v>Has Family</v>
      </c>
      <c r="AT1975" t="str">
        <f>IF(ifood_data[[#This Row],[marital_Married]]=1,"Married", (IF(ifood_data[[#This Row],[marital_Single]]=1,"Single",(IF(ifood_data[[#This Row],[marital_Divorced]]=1,"Divorced",(IF(ifood_data[[#This Row],[marital_Together]]=1,"Living Together",(IF(ifood_data[[#This Row],[marital_Widow]]=1,"Widow","Other")))))))))</f>
        <v>Married</v>
      </c>
      <c r="AU1975" t="str">
        <f>IF(ifood_data[[#This Row],[education_Basic]]=1,"High School",(IF(ifood_data[[#This Row],[education_Graduation]]=1,"Undergraduate Degree",(IF(SUM(AM1975,AL1975,AI1975)&gt;0,"Master's Degree or Higher","Other")))))</f>
        <v>High School</v>
      </c>
      <c r="AV1975" t="str">
        <f>IF(ifood_data[[#All],[Income]]&gt;75000,"75K+",(IF(ifood_data[[#All],[Income]]&gt;50000,"50K-75K",(IF(ifood_data[[#All],[Income]]&gt;35000,"35K-50K","&lt;35K")))))</f>
        <v>&lt;35K</v>
      </c>
      <c r="AW1975" t="str">
        <f>IF(ifood_data[[#All],[Age]]&gt;60,"60+",(IF(ifood_data[[#All],[Age]]&gt;50,"50-60",(IF(ifood_data[[#All],[Age]]&gt;40,"40-50",(IF(ifood_data[[#All],[Age]]&gt;30,"30-40","&lt;30")))))))</f>
        <v>30-40</v>
      </c>
      <c r="AX1975">
        <f t="shared" si="120"/>
        <v>16</v>
      </c>
      <c r="AY1975">
        <f t="shared" si="121"/>
        <v>4</v>
      </c>
      <c r="AZ1975">
        <f t="shared" si="122"/>
        <v>3</v>
      </c>
      <c r="BA1975">
        <f t="shared" si="123"/>
        <v>2</v>
      </c>
      <c r="BB1975">
        <f>SUM(ifood_data[[#This Row],[Recency Score]:[Monetary Score]])</f>
        <v>9</v>
      </c>
      <c r="BC1975">
        <f>(_xlfn.PERCENTRANK.INC(ifood_data[[#All],[RFM]],ifood_data[[#This Row],[RFM]],1))*10</f>
        <v>1</v>
      </c>
      <c r="BD1975" t="str">
        <f>VLOOKUP(ifood_data[[#This Row],[RFM Score]],'RFM Analysis'!$A$3:$B$14,2,FALSE)</f>
        <v>At Risk</v>
      </c>
      <c r="BE1975">
        <f>'Regression Models'!$B$101+'Regression Models'!$B$102*ifood_data[[#This Row],[Income]]+'Regression Models'!$B$103*ifood_data[[#This Row],[Age]]+'Regression Models'!$B$104*ifood_data[[#This Row],[Family]]</f>
        <v>-224.5642163601506</v>
      </c>
      <c r="BF1975" t="str">
        <f>IF(ifood_data[[#This Row],[AcceptedCmpOverall]]=1,"Campaign Respondent","Non-respondent")</f>
        <v>Non-respondent</v>
      </c>
    </row>
    <row r="1976" spans="1:58" x14ac:dyDescent="0.35">
      <c r="A1976">
        <v>1612</v>
      </c>
      <c r="B1976">
        <v>16014</v>
      </c>
      <c r="C1976">
        <v>1</v>
      </c>
      <c r="D1976">
        <v>1</v>
      </c>
      <c r="E1976">
        <v>42</v>
      </c>
      <c r="F1976">
        <v>3</v>
      </c>
      <c r="G1976">
        <v>9</v>
      </c>
      <c r="H1976">
        <v>4</v>
      </c>
      <c r="I1976">
        <v>7</v>
      </c>
      <c r="J1976">
        <v>8</v>
      </c>
      <c r="K1976">
        <v>7</v>
      </c>
      <c r="L1976">
        <v>4</v>
      </c>
      <c r="M1976">
        <v>1</v>
      </c>
      <c r="N1976">
        <v>1</v>
      </c>
      <c r="O1976">
        <v>4</v>
      </c>
      <c r="P1976">
        <v>3</v>
      </c>
      <c r="Q1976">
        <v>0</v>
      </c>
      <c r="R1976">
        <v>0</v>
      </c>
      <c r="S1976">
        <v>0</v>
      </c>
      <c r="T1976">
        <v>0</v>
      </c>
      <c r="U1976">
        <v>0</v>
      </c>
      <c r="V1976">
        <f>IF(SUM(ifood_data[[#This Row],[AcceptedCmp1]:[AcceptedCmp5]])&gt;0,1,0)</f>
        <v>0</v>
      </c>
      <c r="W1976">
        <v>0</v>
      </c>
      <c r="X1976">
        <v>3</v>
      </c>
      <c r="Y1976">
        <v>11</v>
      </c>
      <c r="Z1976">
        <v>0</v>
      </c>
      <c r="AA1976">
        <v>41</v>
      </c>
      <c r="AB1976">
        <v>2628</v>
      </c>
      <c r="AC1976" s="28">
        <f>ifood_data[[#This Row],[Customer_Days]]/365</f>
        <v>7.2</v>
      </c>
      <c r="AD1976">
        <v>0</v>
      </c>
      <c r="AE1976">
        <v>0</v>
      </c>
      <c r="AF1976">
        <v>1</v>
      </c>
      <c r="AG1976">
        <v>0</v>
      </c>
      <c r="AH1976">
        <v>0</v>
      </c>
      <c r="AI1976">
        <v>0</v>
      </c>
      <c r="AJ1976">
        <v>1</v>
      </c>
      <c r="AK1976">
        <v>0</v>
      </c>
      <c r="AL1976">
        <v>0</v>
      </c>
      <c r="AM1976">
        <v>0</v>
      </c>
      <c r="AN1976">
        <v>31</v>
      </c>
      <c r="AO1976">
        <v>24</v>
      </c>
      <c r="AP1976">
        <f>ifood_data[[#This Row],[MntTotal]]-ifood_data[[#This Row],[MntRegularProds]]</f>
        <v>7</v>
      </c>
      <c r="AQ1976">
        <v>0</v>
      </c>
      <c r="AR1976">
        <f>IF(SUM(ifood_data[[#This Row],[Kidhome]:[Teenhome]])&gt;0,1,0)</f>
        <v>1</v>
      </c>
      <c r="AS1976" t="str">
        <f>IF(SUM(ifood_data[[#This Row],[Kidhome]:[Teenhome]])&gt;0,"Has Family","No Family")</f>
        <v>Has Family</v>
      </c>
      <c r="AT1976" t="str">
        <f>IF(ifood_data[[#This Row],[marital_Married]]=1,"Married", (IF(ifood_data[[#This Row],[marital_Single]]=1,"Single",(IF(ifood_data[[#This Row],[marital_Divorced]]=1,"Divorced",(IF(ifood_data[[#This Row],[marital_Together]]=1,"Living Together",(IF(ifood_data[[#This Row],[marital_Widow]]=1,"Widow","Other")))))))))</f>
        <v>Single</v>
      </c>
      <c r="AU1976" t="str">
        <f>IF(ifood_data[[#This Row],[education_Basic]]=1,"High School",(IF(ifood_data[[#This Row],[education_Graduation]]=1,"Undergraduate Degree",(IF(SUM(AM1976,AL1976,AI1976)&gt;0,"Master's Degree or Higher","Other")))))</f>
        <v>High School</v>
      </c>
      <c r="AV1976" t="str">
        <f>IF(ifood_data[[#All],[Income]]&gt;75000,"75K+",(IF(ifood_data[[#All],[Income]]&gt;50000,"50K-75K",(IF(ifood_data[[#All],[Income]]&gt;35000,"35K-50K","&lt;35K")))))</f>
        <v>&lt;35K</v>
      </c>
      <c r="AW1976" t="str">
        <f>IF(ifood_data[[#All],[Age]]&gt;60,"60+",(IF(ifood_data[[#All],[Age]]&gt;50,"50-60",(IF(ifood_data[[#All],[Age]]&gt;40,"40-50",(IF(ifood_data[[#All],[Age]]&gt;30,"30-40","&lt;30")))))))</f>
        <v>40-50</v>
      </c>
      <c r="AX1976">
        <f t="shared" si="120"/>
        <v>13</v>
      </c>
      <c r="AY1976">
        <f t="shared" si="121"/>
        <v>6</v>
      </c>
      <c r="AZ1976">
        <f t="shared" si="122"/>
        <v>1</v>
      </c>
      <c r="BA1976">
        <f t="shared" si="123"/>
        <v>1</v>
      </c>
      <c r="BB1976">
        <f>SUM(ifood_data[[#This Row],[Recency Score]:[Monetary Score]])</f>
        <v>8</v>
      </c>
      <c r="BC1976">
        <f>(_xlfn.PERCENTRANK.INC(ifood_data[[#All],[RFM]],ifood_data[[#This Row],[RFM]],1))*10</f>
        <v>1</v>
      </c>
      <c r="BD1976" t="str">
        <f>VLOOKUP(ifood_data[[#This Row],[RFM Score]],'RFM Analysis'!$A$3:$B$14,2,FALSE)</f>
        <v>At Risk</v>
      </c>
      <c r="BE1976">
        <f>'Regression Models'!$B$101+'Regression Models'!$B$102*ifood_data[[#This Row],[Income]]+'Regression Models'!$B$103*ifood_data[[#This Row],[Age]]+'Regression Models'!$B$104*ifood_data[[#This Row],[Family]]</f>
        <v>-226.2171565257498</v>
      </c>
      <c r="BF1976" t="str">
        <f>IF(ifood_data[[#This Row],[AcceptedCmpOverall]]=1,"Campaign Respondent","Non-respondent")</f>
        <v>Non-respondent</v>
      </c>
    </row>
    <row r="1977" spans="1:58" x14ac:dyDescent="0.35">
      <c r="A1977">
        <v>276</v>
      </c>
      <c r="B1977">
        <v>16626</v>
      </c>
      <c r="C1977">
        <v>2</v>
      </c>
      <c r="D1977">
        <v>0</v>
      </c>
      <c r="E1977">
        <v>76</v>
      </c>
      <c r="F1977">
        <v>8</v>
      </c>
      <c r="G1977">
        <v>3</v>
      </c>
      <c r="H1977">
        <v>22</v>
      </c>
      <c r="I1977">
        <v>21</v>
      </c>
      <c r="J1977">
        <v>1</v>
      </c>
      <c r="K1977">
        <v>13</v>
      </c>
      <c r="L1977">
        <v>3</v>
      </c>
      <c r="M1977">
        <v>3</v>
      </c>
      <c r="N1977">
        <v>0</v>
      </c>
      <c r="O1977">
        <v>3</v>
      </c>
      <c r="P1977">
        <v>9</v>
      </c>
      <c r="Q1977">
        <v>0</v>
      </c>
      <c r="R1977">
        <v>0</v>
      </c>
      <c r="S1977">
        <v>0</v>
      </c>
      <c r="T1977">
        <v>0</v>
      </c>
      <c r="U1977">
        <v>0</v>
      </c>
      <c r="V1977">
        <f>IF(SUM(ifood_data[[#This Row],[AcceptedCmp1]:[AcceptedCmp5]])&gt;0,1,0)</f>
        <v>0</v>
      </c>
      <c r="W1977">
        <v>0</v>
      </c>
      <c r="X1977">
        <v>3</v>
      </c>
      <c r="Y1977">
        <v>11</v>
      </c>
      <c r="Z1977">
        <v>0</v>
      </c>
      <c r="AA1977">
        <v>49</v>
      </c>
      <c r="AB1977">
        <v>2324</v>
      </c>
      <c r="AC1977" s="28">
        <f>ifood_data[[#This Row],[Customer_Days]]/365</f>
        <v>6.3671232876712329</v>
      </c>
      <c r="AD1977">
        <v>0</v>
      </c>
      <c r="AE1977">
        <v>0</v>
      </c>
      <c r="AF1977">
        <v>0</v>
      </c>
      <c r="AG1977">
        <v>1</v>
      </c>
      <c r="AH1977">
        <v>0</v>
      </c>
      <c r="AI1977">
        <v>0</v>
      </c>
      <c r="AJ1977">
        <v>0</v>
      </c>
      <c r="AK1977">
        <v>1</v>
      </c>
      <c r="AL1977">
        <v>0</v>
      </c>
      <c r="AM1977">
        <v>0</v>
      </c>
      <c r="AN1977">
        <v>55</v>
      </c>
      <c r="AO1977">
        <v>42</v>
      </c>
      <c r="AP1977">
        <f>ifood_data[[#This Row],[MntTotal]]-ifood_data[[#This Row],[MntRegularProds]]</f>
        <v>13</v>
      </c>
      <c r="AQ1977">
        <v>0</v>
      </c>
      <c r="AR1977">
        <f>IF(SUM(ifood_data[[#This Row],[Kidhome]:[Teenhome]])&gt;0,1,0)</f>
        <v>1</v>
      </c>
      <c r="AS1977" t="str">
        <f>IF(SUM(ifood_data[[#This Row],[Kidhome]:[Teenhome]])&gt;0,"Has Family","No Family")</f>
        <v>Has Family</v>
      </c>
      <c r="AT1977" t="str">
        <f>IF(ifood_data[[#This Row],[marital_Married]]=1,"Married", (IF(ifood_data[[#This Row],[marital_Single]]=1,"Single",(IF(ifood_data[[#This Row],[marital_Divorced]]=1,"Divorced",(IF(ifood_data[[#This Row],[marital_Together]]=1,"Living Together",(IF(ifood_data[[#This Row],[marital_Widow]]=1,"Widow","Other")))))))))</f>
        <v>Living Together</v>
      </c>
      <c r="AU1977" t="str">
        <f>IF(ifood_data[[#This Row],[education_Basic]]=1,"High School",(IF(ifood_data[[#This Row],[education_Graduation]]=1,"Undergraduate Degree",(IF(SUM(AM1977,AL1977,AI1977)&gt;0,"Master's Degree or Higher","Other")))))</f>
        <v>Undergraduate Degree</v>
      </c>
      <c r="AV1977" t="str">
        <f>IF(ifood_data[[#All],[Income]]&gt;75000,"75K+",(IF(ifood_data[[#All],[Income]]&gt;50000,"50K-75K",(IF(ifood_data[[#All],[Income]]&gt;35000,"35K-50K","&lt;35K")))))</f>
        <v>&lt;35K</v>
      </c>
      <c r="AW1977" t="str">
        <f>IF(ifood_data[[#All],[Age]]&gt;60,"60+",(IF(ifood_data[[#All],[Age]]&gt;50,"50-60",(IF(ifood_data[[#All],[Age]]&gt;40,"40-50",(IF(ifood_data[[#All],[Age]]&gt;30,"30-40","&lt;30")))))))</f>
        <v>40-50</v>
      </c>
      <c r="AX1977">
        <f t="shared" si="120"/>
        <v>18</v>
      </c>
      <c r="AY1977">
        <f t="shared" si="121"/>
        <v>3.0000000000000004</v>
      </c>
      <c r="AZ1977">
        <f t="shared" si="122"/>
        <v>4</v>
      </c>
      <c r="BA1977">
        <f t="shared" si="123"/>
        <v>2</v>
      </c>
      <c r="BB1977">
        <f>SUM(ifood_data[[#This Row],[Recency Score]:[Monetary Score]])</f>
        <v>9</v>
      </c>
      <c r="BC1977">
        <f>(_xlfn.PERCENTRANK.INC(ifood_data[[#All],[RFM]],ifood_data[[#This Row],[RFM]],1))*10</f>
        <v>1</v>
      </c>
      <c r="BD1977" t="str">
        <f>VLOOKUP(ifood_data[[#This Row],[RFM Score]],'RFM Analysis'!$A$3:$B$14,2,FALSE)</f>
        <v>At Risk</v>
      </c>
      <c r="BE1977">
        <f>'Regression Models'!$B$101+'Regression Models'!$B$102*ifood_data[[#This Row],[Income]]+'Regression Models'!$B$103*ifood_data[[#This Row],[Age]]+'Regression Models'!$B$104*ifood_data[[#This Row],[Family]]</f>
        <v>-228.4307430528379</v>
      </c>
      <c r="BF1977" t="str">
        <f>IF(ifood_data[[#This Row],[AcceptedCmpOverall]]=1,"Campaign Respondent","Non-respondent")</f>
        <v>Non-respondent</v>
      </c>
    </row>
    <row r="1978" spans="1:58" x14ac:dyDescent="0.35">
      <c r="A1978">
        <v>1542</v>
      </c>
      <c r="B1978">
        <v>15862</v>
      </c>
      <c r="C1978">
        <v>1</v>
      </c>
      <c r="D1978">
        <v>0</v>
      </c>
      <c r="E1978">
        <v>26</v>
      </c>
      <c r="F1978">
        <v>1</v>
      </c>
      <c r="G1978">
        <v>1</v>
      </c>
      <c r="H1978">
        <v>4</v>
      </c>
      <c r="I1978">
        <v>11</v>
      </c>
      <c r="J1978">
        <v>9</v>
      </c>
      <c r="K1978">
        <v>10</v>
      </c>
      <c r="L1978">
        <v>1</v>
      </c>
      <c r="M1978">
        <v>1</v>
      </c>
      <c r="N1978">
        <v>0</v>
      </c>
      <c r="O1978">
        <v>3</v>
      </c>
      <c r="P1978">
        <v>8</v>
      </c>
      <c r="Q1978">
        <v>0</v>
      </c>
      <c r="R1978">
        <v>0</v>
      </c>
      <c r="S1978">
        <v>0</v>
      </c>
      <c r="T1978">
        <v>0</v>
      </c>
      <c r="U1978">
        <v>0</v>
      </c>
      <c r="V1978">
        <f>IF(SUM(ifood_data[[#This Row],[AcceptedCmp1]:[AcceptedCmp5]])&gt;0,1,0)</f>
        <v>0</v>
      </c>
      <c r="W1978">
        <v>0</v>
      </c>
      <c r="X1978">
        <v>3</v>
      </c>
      <c r="Y1978">
        <v>11</v>
      </c>
      <c r="Z1978">
        <v>0</v>
      </c>
      <c r="AA1978">
        <v>41</v>
      </c>
      <c r="AB1978">
        <v>2526</v>
      </c>
      <c r="AC1978" s="28">
        <f>ifood_data[[#This Row],[Customer_Days]]/365</f>
        <v>6.9205479452054792</v>
      </c>
      <c r="AD1978">
        <v>0</v>
      </c>
      <c r="AE1978">
        <v>0</v>
      </c>
      <c r="AF1978">
        <v>1</v>
      </c>
      <c r="AG1978">
        <v>0</v>
      </c>
      <c r="AH1978">
        <v>0</v>
      </c>
      <c r="AI1978">
        <v>0</v>
      </c>
      <c r="AJ1978">
        <v>1</v>
      </c>
      <c r="AK1978">
        <v>0</v>
      </c>
      <c r="AL1978">
        <v>0</v>
      </c>
      <c r="AM1978">
        <v>0</v>
      </c>
      <c r="AN1978">
        <v>26</v>
      </c>
      <c r="AO1978">
        <v>16</v>
      </c>
      <c r="AP1978">
        <f>ifood_data[[#This Row],[MntTotal]]-ifood_data[[#This Row],[MntRegularProds]]</f>
        <v>10</v>
      </c>
      <c r="AQ1978">
        <v>0</v>
      </c>
      <c r="AR1978">
        <f>IF(SUM(ifood_data[[#This Row],[Kidhome]:[Teenhome]])&gt;0,1,0)</f>
        <v>1</v>
      </c>
      <c r="AS1978" t="str">
        <f>IF(SUM(ifood_data[[#This Row],[Kidhome]:[Teenhome]])&gt;0,"Has Family","No Family")</f>
        <v>Has Family</v>
      </c>
      <c r="AT1978" t="str">
        <f>IF(ifood_data[[#This Row],[marital_Married]]=1,"Married", (IF(ifood_data[[#This Row],[marital_Single]]=1,"Single",(IF(ifood_data[[#This Row],[marital_Divorced]]=1,"Divorced",(IF(ifood_data[[#This Row],[marital_Together]]=1,"Living Together",(IF(ifood_data[[#This Row],[marital_Widow]]=1,"Widow","Other")))))))))</f>
        <v>Single</v>
      </c>
      <c r="AU1978" t="str">
        <f>IF(ifood_data[[#This Row],[education_Basic]]=1,"High School",(IF(ifood_data[[#This Row],[education_Graduation]]=1,"Undergraduate Degree",(IF(SUM(AM1978,AL1978,AI1978)&gt;0,"Master's Degree or Higher","Other")))))</f>
        <v>High School</v>
      </c>
      <c r="AV1978" t="str">
        <f>IF(ifood_data[[#All],[Income]]&gt;75000,"75K+",(IF(ifood_data[[#All],[Income]]&gt;50000,"50K-75K",(IF(ifood_data[[#All],[Income]]&gt;35000,"35K-50K","&lt;35K")))))</f>
        <v>&lt;35K</v>
      </c>
      <c r="AW1978" t="str">
        <f>IF(ifood_data[[#All],[Age]]&gt;60,"60+",(IF(ifood_data[[#All],[Age]]&gt;50,"50-60",(IF(ifood_data[[#All],[Age]]&gt;40,"40-50",(IF(ifood_data[[#All],[Age]]&gt;30,"30-40","&lt;30")))))))</f>
        <v>40-50</v>
      </c>
      <c r="AX1978">
        <f t="shared" si="120"/>
        <v>13</v>
      </c>
      <c r="AY1978">
        <f t="shared" si="121"/>
        <v>8</v>
      </c>
      <c r="AZ1978">
        <f t="shared" si="122"/>
        <v>1</v>
      </c>
      <c r="BA1978">
        <f t="shared" si="123"/>
        <v>0</v>
      </c>
      <c r="BB1978">
        <f>SUM(ifood_data[[#This Row],[Recency Score]:[Monetary Score]])</f>
        <v>9</v>
      </c>
      <c r="BC1978">
        <f>(_xlfn.PERCENTRANK.INC(ifood_data[[#All],[RFM]],ifood_data[[#This Row],[RFM]],1))*10</f>
        <v>1</v>
      </c>
      <c r="BD1978" t="str">
        <f>VLOOKUP(ifood_data[[#This Row],[RFM Score]],'RFM Analysis'!$A$3:$B$14,2,FALSE)</f>
        <v>At Risk</v>
      </c>
      <c r="BE1978">
        <f>'Regression Models'!$B$101+'Regression Models'!$B$102*ifood_data[[#This Row],[Income]]+'Regression Models'!$B$103*ifood_data[[#This Row],[Age]]+'Regression Models'!$B$104*ifood_data[[#This Row],[Family]]</f>
        <v>-229.3162492836224</v>
      </c>
      <c r="BF1978" t="str">
        <f>IF(ifood_data[[#This Row],[AcceptedCmpOverall]]=1,"Campaign Respondent","Non-respondent")</f>
        <v>Non-respondent</v>
      </c>
    </row>
    <row r="1979" spans="1:58" x14ac:dyDescent="0.35">
      <c r="A1979">
        <v>375</v>
      </c>
      <c r="B1979">
        <v>15345</v>
      </c>
      <c r="C1979">
        <v>1</v>
      </c>
      <c r="D1979">
        <v>0</v>
      </c>
      <c r="E1979">
        <v>51</v>
      </c>
      <c r="F1979">
        <v>5</v>
      </c>
      <c r="G1979">
        <v>2</v>
      </c>
      <c r="H1979">
        <v>16</v>
      </c>
      <c r="I1979">
        <v>3</v>
      </c>
      <c r="J1979">
        <v>2</v>
      </c>
      <c r="K1979">
        <v>19</v>
      </c>
      <c r="L1979">
        <v>2</v>
      </c>
      <c r="M1979">
        <v>1</v>
      </c>
      <c r="N1979">
        <v>1</v>
      </c>
      <c r="O1979">
        <v>2</v>
      </c>
      <c r="P1979">
        <v>8</v>
      </c>
      <c r="Q1979">
        <v>0</v>
      </c>
      <c r="R1979">
        <v>0</v>
      </c>
      <c r="S1979">
        <v>0</v>
      </c>
      <c r="T1979">
        <v>0</v>
      </c>
      <c r="U1979">
        <v>0</v>
      </c>
      <c r="V1979">
        <f>IF(SUM(ifood_data[[#This Row],[AcceptedCmp1]:[AcceptedCmp5]])&gt;0,1,0)</f>
        <v>0</v>
      </c>
      <c r="W1979">
        <v>0</v>
      </c>
      <c r="X1979">
        <v>3</v>
      </c>
      <c r="Y1979">
        <v>11</v>
      </c>
      <c r="Z1979">
        <v>1</v>
      </c>
      <c r="AA1979">
        <v>36</v>
      </c>
      <c r="AB1979">
        <v>2826</v>
      </c>
      <c r="AC1979" s="28">
        <f>ifood_data[[#This Row],[Customer_Days]]/365</f>
        <v>7.7424657534246579</v>
      </c>
      <c r="AD1979">
        <v>0</v>
      </c>
      <c r="AE1979">
        <v>0</v>
      </c>
      <c r="AF1979">
        <v>0</v>
      </c>
      <c r="AG1979">
        <v>1</v>
      </c>
      <c r="AH1979">
        <v>0</v>
      </c>
      <c r="AI1979">
        <v>0</v>
      </c>
      <c r="AJ1979">
        <v>0</v>
      </c>
      <c r="AK1979">
        <v>1</v>
      </c>
      <c r="AL1979">
        <v>0</v>
      </c>
      <c r="AM1979">
        <v>0</v>
      </c>
      <c r="AN1979">
        <v>28</v>
      </c>
      <c r="AO1979">
        <v>9</v>
      </c>
      <c r="AP1979">
        <f>ifood_data[[#This Row],[MntTotal]]-ifood_data[[#This Row],[MntRegularProds]]</f>
        <v>19</v>
      </c>
      <c r="AQ1979">
        <v>0</v>
      </c>
      <c r="AR1979">
        <f>IF(SUM(ifood_data[[#This Row],[Kidhome]:[Teenhome]])&gt;0,1,0)</f>
        <v>1</v>
      </c>
      <c r="AS1979" t="str">
        <f>IF(SUM(ifood_data[[#This Row],[Kidhome]:[Teenhome]])&gt;0,"Has Family","No Family")</f>
        <v>Has Family</v>
      </c>
      <c r="AT1979" t="str">
        <f>IF(ifood_data[[#This Row],[marital_Married]]=1,"Married", (IF(ifood_data[[#This Row],[marital_Single]]=1,"Single",(IF(ifood_data[[#This Row],[marital_Divorced]]=1,"Divorced",(IF(ifood_data[[#This Row],[marital_Together]]=1,"Living Together",(IF(ifood_data[[#This Row],[marital_Widow]]=1,"Widow","Other")))))))))</f>
        <v>Living Together</v>
      </c>
      <c r="AU1979" t="str">
        <f>IF(ifood_data[[#This Row],[education_Basic]]=1,"High School",(IF(ifood_data[[#This Row],[education_Graduation]]=1,"Undergraduate Degree",(IF(SUM(AM1979,AL1979,AI1979)&gt;0,"Master's Degree or Higher","Other")))))</f>
        <v>Undergraduate Degree</v>
      </c>
      <c r="AV1979" t="str">
        <f>IF(ifood_data[[#All],[Income]]&gt;75000,"75K+",(IF(ifood_data[[#All],[Income]]&gt;50000,"50K-75K",(IF(ifood_data[[#All],[Income]]&gt;35000,"35K-50K","&lt;35K")))))</f>
        <v>&lt;35K</v>
      </c>
      <c r="AW1979" t="str">
        <f>IF(ifood_data[[#All],[Age]]&gt;60,"60+",(IF(ifood_data[[#All],[Age]]&gt;50,"50-60",(IF(ifood_data[[#All],[Age]]&gt;40,"40-50",(IF(ifood_data[[#All],[Age]]&gt;30,"30-40","&lt;30")))))))</f>
        <v>30-40</v>
      </c>
      <c r="AX1979">
        <f t="shared" si="120"/>
        <v>14</v>
      </c>
      <c r="AY1979">
        <f t="shared" si="121"/>
        <v>5</v>
      </c>
      <c r="AZ1979">
        <f t="shared" si="122"/>
        <v>2</v>
      </c>
      <c r="BA1979">
        <f t="shared" si="123"/>
        <v>0</v>
      </c>
      <c r="BB1979">
        <f>SUM(ifood_data[[#This Row],[Recency Score]:[Monetary Score]])</f>
        <v>7</v>
      </c>
      <c r="BC1979">
        <f>(_xlfn.PERCENTRANK.INC(ifood_data[[#All],[RFM]],ifood_data[[#This Row],[RFM]],1))*10</f>
        <v>1</v>
      </c>
      <c r="BD1979" t="str">
        <f>VLOOKUP(ifood_data[[#This Row],[RFM Score]],'RFM Analysis'!$A$3:$B$14,2,FALSE)</f>
        <v>At Risk</v>
      </c>
      <c r="BE1979">
        <f>'Regression Models'!$B$101+'Regression Models'!$B$102*ifood_data[[#This Row],[Income]]+'Regression Models'!$B$103*ifood_data[[#This Row],[Age]]+'Regression Models'!$B$104*ifood_data[[#This Row],[Family]]</f>
        <v>-230.67504701954675</v>
      </c>
      <c r="BF1979" t="str">
        <f>IF(ifood_data[[#This Row],[AcceptedCmpOverall]]=1,"Campaign Respondent","Non-respondent")</f>
        <v>Non-respondent</v>
      </c>
    </row>
    <row r="1980" spans="1:58" x14ac:dyDescent="0.35">
      <c r="A1980">
        <v>971</v>
      </c>
      <c r="B1980">
        <v>15038</v>
      </c>
      <c r="C1980">
        <v>1</v>
      </c>
      <c r="D1980">
        <v>0</v>
      </c>
      <c r="E1980">
        <v>93</v>
      </c>
      <c r="F1980">
        <v>4</v>
      </c>
      <c r="G1980">
        <v>8</v>
      </c>
      <c r="H1980">
        <v>11</v>
      </c>
      <c r="I1980">
        <v>19</v>
      </c>
      <c r="J1980">
        <v>12</v>
      </c>
      <c r="K1980">
        <v>26</v>
      </c>
      <c r="L1980">
        <v>2</v>
      </c>
      <c r="M1980">
        <v>2</v>
      </c>
      <c r="N1980">
        <v>1</v>
      </c>
      <c r="O1980">
        <v>2</v>
      </c>
      <c r="P1980">
        <v>9</v>
      </c>
      <c r="Q1980">
        <v>0</v>
      </c>
      <c r="R1980">
        <v>0</v>
      </c>
      <c r="S1980">
        <v>0</v>
      </c>
      <c r="T1980">
        <v>0</v>
      </c>
      <c r="U1980">
        <v>0</v>
      </c>
      <c r="V1980">
        <f>IF(SUM(ifood_data[[#This Row],[AcceptedCmp1]:[AcceptedCmp5]])&gt;0,1,0)</f>
        <v>0</v>
      </c>
      <c r="W1980">
        <v>0</v>
      </c>
      <c r="X1980">
        <v>3</v>
      </c>
      <c r="Y1980">
        <v>11</v>
      </c>
      <c r="Z1980">
        <v>0</v>
      </c>
      <c r="AA1980">
        <v>33</v>
      </c>
      <c r="AB1980">
        <v>2675</v>
      </c>
      <c r="AC1980" s="28">
        <f>ifood_data[[#This Row],[Customer_Days]]/365</f>
        <v>7.3287671232876717</v>
      </c>
      <c r="AD1980">
        <v>0</v>
      </c>
      <c r="AE1980">
        <v>0</v>
      </c>
      <c r="AF1980">
        <v>1</v>
      </c>
      <c r="AG1980">
        <v>0</v>
      </c>
      <c r="AH1980">
        <v>0</v>
      </c>
      <c r="AI1980">
        <v>0</v>
      </c>
      <c r="AJ1980">
        <v>1</v>
      </c>
      <c r="AK1980">
        <v>0</v>
      </c>
      <c r="AL1980">
        <v>0</v>
      </c>
      <c r="AM1980">
        <v>0</v>
      </c>
      <c r="AN1980">
        <v>54</v>
      </c>
      <c r="AO1980">
        <v>28</v>
      </c>
      <c r="AP1980">
        <f>ifood_data[[#This Row],[MntTotal]]-ifood_data[[#This Row],[MntRegularProds]]</f>
        <v>26</v>
      </c>
      <c r="AQ1980">
        <v>0</v>
      </c>
      <c r="AR1980">
        <f>IF(SUM(ifood_data[[#This Row],[Kidhome]:[Teenhome]])&gt;0,1,0)</f>
        <v>1</v>
      </c>
      <c r="AS1980" t="str">
        <f>IF(SUM(ifood_data[[#This Row],[Kidhome]:[Teenhome]])&gt;0,"Has Family","No Family")</f>
        <v>Has Family</v>
      </c>
      <c r="AT1980" t="str">
        <f>IF(ifood_data[[#This Row],[marital_Married]]=1,"Married", (IF(ifood_data[[#This Row],[marital_Single]]=1,"Single",(IF(ifood_data[[#This Row],[marital_Divorced]]=1,"Divorced",(IF(ifood_data[[#This Row],[marital_Together]]=1,"Living Together",(IF(ifood_data[[#This Row],[marital_Widow]]=1,"Widow","Other")))))))))</f>
        <v>Single</v>
      </c>
      <c r="AU1980" t="str">
        <f>IF(ifood_data[[#This Row],[education_Basic]]=1,"High School",(IF(ifood_data[[#This Row],[education_Graduation]]=1,"Undergraduate Degree",(IF(SUM(AM1980,AL1980,AI1980)&gt;0,"Master's Degree or Higher","Other")))))</f>
        <v>High School</v>
      </c>
      <c r="AV1980" t="str">
        <f>IF(ifood_data[[#All],[Income]]&gt;75000,"75K+",(IF(ifood_data[[#All],[Income]]&gt;50000,"50K-75K",(IF(ifood_data[[#All],[Income]]&gt;35000,"35K-50K","&lt;35K")))))</f>
        <v>&lt;35K</v>
      </c>
      <c r="AW1980" t="str">
        <f>IF(ifood_data[[#All],[Age]]&gt;60,"60+",(IF(ifood_data[[#All],[Age]]&gt;50,"50-60",(IF(ifood_data[[#All],[Age]]&gt;40,"40-50",(IF(ifood_data[[#All],[Age]]&gt;30,"30-40","&lt;30")))))))</f>
        <v>30-40</v>
      </c>
      <c r="AX1980">
        <f t="shared" si="120"/>
        <v>16</v>
      </c>
      <c r="AY1980">
        <f t="shared" si="121"/>
        <v>0.99999999999999978</v>
      </c>
      <c r="AZ1980">
        <f t="shared" si="122"/>
        <v>3</v>
      </c>
      <c r="BA1980">
        <f t="shared" si="123"/>
        <v>2</v>
      </c>
      <c r="BB1980">
        <f>SUM(ifood_data[[#This Row],[Recency Score]:[Monetary Score]])</f>
        <v>6</v>
      </c>
      <c r="BC1980">
        <f>(_xlfn.PERCENTRANK.INC(ifood_data[[#All],[RFM]],ifood_data[[#This Row],[RFM]],1))*10</f>
        <v>0</v>
      </c>
      <c r="BD1980" t="str">
        <f>VLOOKUP(ifood_data[[#This Row],[RFM Score]],'RFM Analysis'!$A$3:$B$14,2,FALSE)</f>
        <v>Lost</v>
      </c>
      <c r="BE1980">
        <f>'Regression Models'!$B$101+'Regression Models'!$B$102*ifood_data[[#This Row],[Income]]+'Regression Models'!$B$103*ifood_data[[#This Row],[Age]]+'Regression Models'!$B$104*ifood_data[[#This Row],[Family]]</f>
        <v>-231.42508160304089</v>
      </c>
      <c r="BF1980" t="str">
        <f>IF(ifood_data[[#This Row],[AcceptedCmpOverall]]=1,"Campaign Respondent","Non-respondent")</f>
        <v>Non-respondent</v>
      </c>
    </row>
    <row r="1981" spans="1:58" x14ac:dyDescent="0.35">
      <c r="A1981">
        <v>744</v>
      </c>
      <c r="B1981">
        <v>17144</v>
      </c>
      <c r="C1981">
        <v>1</v>
      </c>
      <c r="D1981">
        <v>1</v>
      </c>
      <c r="E1981">
        <v>96</v>
      </c>
      <c r="F1981">
        <v>18</v>
      </c>
      <c r="G1981">
        <v>2</v>
      </c>
      <c r="H1981">
        <v>19</v>
      </c>
      <c r="I1981">
        <v>0</v>
      </c>
      <c r="J1981">
        <v>2</v>
      </c>
      <c r="K1981">
        <v>6</v>
      </c>
      <c r="L1981">
        <v>5</v>
      </c>
      <c r="M1981">
        <v>3</v>
      </c>
      <c r="N1981">
        <v>0</v>
      </c>
      <c r="O1981">
        <v>4</v>
      </c>
      <c r="P1981">
        <v>7</v>
      </c>
      <c r="Q1981">
        <v>0</v>
      </c>
      <c r="R1981">
        <v>0</v>
      </c>
      <c r="S1981">
        <v>0</v>
      </c>
      <c r="T1981">
        <v>0</v>
      </c>
      <c r="U1981">
        <v>0</v>
      </c>
      <c r="V1981">
        <f>IF(SUM(ifood_data[[#This Row],[AcceptedCmp1]:[AcceptedCmp5]])&gt;0,1,0)</f>
        <v>0</v>
      </c>
      <c r="W1981">
        <v>0</v>
      </c>
      <c r="X1981">
        <v>3</v>
      </c>
      <c r="Y1981">
        <v>11</v>
      </c>
      <c r="Z1981">
        <v>0</v>
      </c>
      <c r="AA1981">
        <v>60</v>
      </c>
      <c r="AB1981">
        <v>2293</v>
      </c>
      <c r="AC1981" s="28">
        <f>ifood_data[[#This Row],[Customer_Days]]/365</f>
        <v>6.2821917808219174</v>
      </c>
      <c r="AD1981">
        <v>0</v>
      </c>
      <c r="AE1981">
        <v>0</v>
      </c>
      <c r="AF1981">
        <v>0</v>
      </c>
      <c r="AG1981">
        <v>1</v>
      </c>
      <c r="AH1981">
        <v>0</v>
      </c>
      <c r="AI1981">
        <v>0</v>
      </c>
      <c r="AJ1981">
        <v>0</v>
      </c>
      <c r="AK1981">
        <v>0</v>
      </c>
      <c r="AL1981">
        <v>1</v>
      </c>
      <c r="AM1981">
        <v>0</v>
      </c>
      <c r="AN1981">
        <v>41</v>
      </c>
      <c r="AO1981">
        <v>35</v>
      </c>
      <c r="AP1981">
        <f>ifood_data[[#This Row],[MntTotal]]-ifood_data[[#This Row],[MntRegularProds]]</f>
        <v>6</v>
      </c>
      <c r="AQ1981">
        <v>0</v>
      </c>
      <c r="AR1981">
        <f>IF(SUM(ifood_data[[#This Row],[Kidhome]:[Teenhome]])&gt;0,1,0)</f>
        <v>1</v>
      </c>
      <c r="AS1981" t="str">
        <f>IF(SUM(ifood_data[[#This Row],[Kidhome]:[Teenhome]])&gt;0,"Has Family","No Family")</f>
        <v>Has Family</v>
      </c>
      <c r="AT1981" t="str">
        <f>IF(ifood_data[[#This Row],[marital_Married]]=1,"Married", (IF(ifood_data[[#This Row],[marital_Single]]=1,"Single",(IF(ifood_data[[#This Row],[marital_Divorced]]=1,"Divorced",(IF(ifood_data[[#This Row],[marital_Together]]=1,"Living Together",(IF(ifood_data[[#This Row],[marital_Widow]]=1,"Widow","Other")))))))))</f>
        <v>Living Together</v>
      </c>
      <c r="AU1981" t="str">
        <f>IF(ifood_data[[#This Row],[education_Basic]]=1,"High School",(IF(ifood_data[[#This Row],[education_Graduation]]=1,"Undergraduate Degree",(IF(SUM(AM1981,AL1981,AI1981)&gt;0,"Master's Degree or Higher","Other")))))</f>
        <v>Master's Degree or Higher</v>
      </c>
      <c r="AV1981" t="str">
        <f>IF(ifood_data[[#All],[Income]]&gt;75000,"75K+",(IF(ifood_data[[#All],[Income]]&gt;50000,"50K-75K",(IF(ifood_data[[#All],[Income]]&gt;35000,"35K-50K","&lt;35K")))))</f>
        <v>&lt;35K</v>
      </c>
      <c r="AW1981" t="str">
        <f>IF(ifood_data[[#All],[Age]]&gt;60,"60+",(IF(ifood_data[[#All],[Age]]&gt;50,"50-60",(IF(ifood_data[[#All],[Age]]&gt;40,"40-50",(IF(ifood_data[[#All],[Age]]&gt;30,"30-40","&lt;30")))))))</f>
        <v>50-60</v>
      </c>
      <c r="AX1981">
        <f t="shared" si="120"/>
        <v>19</v>
      </c>
      <c r="AY1981">
        <f t="shared" si="121"/>
        <v>0.99999999999999978</v>
      </c>
      <c r="AZ1981">
        <f t="shared" si="122"/>
        <v>4</v>
      </c>
      <c r="BA1981">
        <f t="shared" si="123"/>
        <v>1</v>
      </c>
      <c r="BB1981">
        <f>SUM(ifood_data[[#This Row],[Recency Score]:[Monetary Score]])</f>
        <v>6</v>
      </c>
      <c r="BC1981">
        <f>(_xlfn.PERCENTRANK.INC(ifood_data[[#All],[RFM]],ifood_data[[#This Row],[RFM]],1))*10</f>
        <v>0</v>
      </c>
      <c r="BD1981" t="str">
        <f>VLOOKUP(ifood_data[[#This Row],[RFM Score]],'RFM Analysis'!$A$3:$B$14,2,FALSE)</f>
        <v>Lost</v>
      </c>
      <c r="BE1981">
        <f>'Regression Models'!$B$101+'Regression Models'!$B$102*ifood_data[[#This Row],[Income]]+'Regression Models'!$B$103*ifood_data[[#This Row],[Age]]+'Regression Models'!$B$104*ifood_data[[#This Row],[Family]]</f>
        <v>-238.07019102213525</v>
      </c>
      <c r="BF1981" t="str">
        <f>IF(ifood_data[[#This Row],[AcceptedCmpOverall]]=1,"Campaign Respondent","Non-respondent")</f>
        <v>Non-respondent</v>
      </c>
    </row>
    <row r="1982" spans="1:58" x14ac:dyDescent="0.35">
      <c r="A1982">
        <v>245</v>
      </c>
      <c r="B1982">
        <v>15287</v>
      </c>
      <c r="C1982">
        <v>1</v>
      </c>
      <c r="D1982">
        <v>0</v>
      </c>
      <c r="E1982">
        <v>60</v>
      </c>
      <c r="F1982">
        <v>1</v>
      </c>
      <c r="G1982">
        <v>2</v>
      </c>
      <c r="H1982">
        <v>8</v>
      </c>
      <c r="I1982">
        <v>4</v>
      </c>
      <c r="J1982">
        <v>3</v>
      </c>
      <c r="K1982">
        <v>13</v>
      </c>
      <c r="L1982">
        <v>2</v>
      </c>
      <c r="M1982">
        <v>1</v>
      </c>
      <c r="N1982">
        <v>1</v>
      </c>
      <c r="O1982">
        <v>2</v>
      </c>
      <c r="P1982">
        <v>7</v>
      </c>
      <c r="Q1982">
        <v>0</v>
      </c>
      <c r="R1982">
        <v>0</v>
      </c>
      <c r="S1982">
        <v>1</v>
      </c>
      <c r="T1982">
        <v>0</v>
      </c>
      <c r="U1982">
        <v>0</v>
      </c>
      <c r="V1982">
        <f>IF(SUM(ifood_data[[#This Row],[AcceptedCmp1]:[AcceptedCmp5]])&gt;0,1,0)</f>
        <v>1</v>
      </c>
      <c r="W1982">
        <v>0</v>
      </c>
      <c r="X1982">
        <v>3</v>
      </c>
      <c r="Y1982">
        <v>11</v>
      </c>
      <c r="Z1982">
        <v>1</v>
      </c>
      <c r="AA1982">
        <v>41</v>
      </c>
      <c r="AB1982">
        <v>2786</v>
      </c>
      <c r="AC1982" s="28">
        <f>ifood_data[[#This Row],[Customer_Days]]/365</f>
        <v>7.6328767123287671</v>
      </c>
      <c r="AD1982">
        <v>1</v>
      </c>
      <c r="AE1982">
        <v>0</v>
      </c>
      <c r="AF1982">
        <v>0</v>
      </c>
      <c r="AG1982">
        <v>0</v>
      </c>
      <c r="AH1982">
        <v>0</v>
      </c>
      <c r="AI1982">
        <v>0</v>
      </c>
      <c r="AJ1982">
        <v>0</v>
      </c>
      <c r="AK1982">
        <v>1</v>
      </c>
      <c r="AL1982">
        <v>0</v>
      </c>
      <c r="AM1982">
        <v>0</v>
      </c>
      <c r="AN1982">
        <v>18</v>
      </c>
      <c r="AO1982">
        <v>5</v>
      </c>
      <c r="AP1982">
        <f>ifood_data[[#This Row],[MntTotal]]-ifood_data[[#This Row],[MntRegularProds]]</f>
        <v>13</v>
      </c>
      <c r="AQ1982">
        <v>1</v>
      </c>
      <c r="AR1982">
        <f>IF(SUM(ifood_data[[#This Row],[Kidhome]:[Teenhome]])&gt;0,1,0)</f>
        <v>1</v>
      </c>
      <c r="AS1982" t="str">
        <f>IF(SUM(ifood_data[[#This Row],[Kidhome]:[Teenhome]])&gt;0,"Has Family","No Family")</f>
        <v>Has Family</v>
      </c>
      <c r="AT1982" t="str">
        <f>IF(ifood_data[[#This Row],[marital_Married]]=1,"Married", (IF(ifood_data[[#This Row],[marital_Single]]=1,"Single",(IF(ifood_data[[#This Row],[marital_Divorced]]=1,"Divorced",(IF(ifood_data[[#This Row],[marital_Together]]=1,"Living Together",(IF(ifood_data[[#This Row],[marital_Widow]]=1,"Widow","Other")))))))))</f>
        <v>Divorced</v>
      </c>
      <c r="AU1982" t="str">
        <f>IF(ifood_data[[#This Row],[education_Basic]]=1,"High School",(IF(ifood_data[[#This Row],[education_Graduation]]=1,"Undergraduate Degree",(IF(SUM(AM1982,AL1982,AI1982)&gt;0,"Master's Degree or Higher","Other")))))</f>
        <v>Undergraduate Degree</v>
      </c>
      <c r="AV1982" t="str">
        <f>IF(ifood_data[[#All],[Income]]&gt;75000,"75K+",(IF(ifood_data[[#All],[Income]]&gt;50000,"50K-75K",(IF(ifood_data[[#All],[Income]]&gt;35000,"35K-50K","&lt;35K")))))</f>
        <v>&lt;35K</v>
      </c>
      <c r="AW1982" t="str">
        <f>IF(ifood_data[[#All],[Age]]&gt;60,"60+",(IF(ifood_data[[#All],[Age]]&gt;50,"50-60",(IF(ifood_data[[#All],[Age]]&gt;40,"40-50",(IF(ifood_data[[#All],[Age]]&gt;30,"30-40","&lt;30")))))))</f>
        <v>40-50</v>
      </c>
      <c r="AX1982">
        <f t="shared" si="120"/>
        <v>13</v>
      </c>
      <c r="AY1982">
        <f t="shared" si="121"/>
        <v>4</v>
      </c>
      <c r="AZ1982">
        <f t="shared" si="122"/>
        <v>1</v>
      </c>
      <c r="BA1982">
        <f t="shared" si="123"/>
        <v>0</v>
      </c>
      <c r="BB1982">
        <f>SUM(ifood_data[[#This Row],[Recency Score]:[Monetary Score]])</f>
        <v>5</v>
      </c>
      <c r="BC1982">
        <f>(_xlfn.PERCENTRANK.INC(ifood_data[[#All],[RFM]],ifood_data[[#This Row],[RFM]],1))*10</f>
        <v>0</v>
      </c>
      <c r="BD1982" t="str">
        <f>VLOOKUP(ifood_data[[#This Row],[RFM Score]],'RFM Analysis'!$A$3:$B$14,2,FALSE)</f>
        <v>Lost</v>
      </c>
      <c r="BE1982">
        <f>'Regression Models'!$B$101+'Regression Models'!$B$102*ifood_data[[#This Row],[Income]]+'Regression Models'!$B$103*ifood_data[[#This Row],[Age]]+'Regression Models'!$B$104*ifood_data[[#This Row],[Family]]</f>
        <v>-241.03979096636428</v>
      </c>
      <c r="BF1982" t="str">
        <f>IF(ifood_data[[#This Row],[AcceptedCmpOverall]]=1,"Campaign Respondent","Non-respondent")</f>
        <v>Campaign Respondent</v>
      </c>
    </row>
    <row r="1983" spans="1:58" x14ac:dyDescent="0.35">
      <c r="A1983">
        <v>1907</v>
      </c>
      <c r="B1983">
        <v>14796</v>
      </c>
      <c r="C1983">
        <v>1</v>
      </c>
      <c r="D1983">
        <v>0</v>
      </c>
      <c r="E1983">
        <v>1</v>
      </c>
      <c r="F1983">
        <v>13</v>
      </c>
      <c r="G1983">
        <v>3</v>
      </c>
      <c r="H1983">
        <v>8</v>
      </c>
      <c r="I1983">
        <v>7</v>
      </c>
      <c r="J1983">
        <v>4</v>
      </c>
      <c r="K1983">
        <v>16</v>
      </c>
      <c r="L1983">
        <v>2</v>
      </c>
      <c r="M1983">
        <v>1</v>
      </c>
      <c r="N1983">
        <v>0</v>
      </c>
      <c r="O1983">
        <v>3</v>
      </c>
      <c r="P1983">
        <v>9</v>
      </c>
      <c r="Q1983">
        <v>0</v>
      </c>
      <c r="R1983">
        <v>0</v>
      </c>
      <c r="S1983">
        <v>0</v>
      </c>
      <c r="T1983">
        <v>0</v>
      </c>
      <c r="U1983">
        <v>0</v>
      </c>
      <c r="V1983">
        <f>IF(SUM(ifood_data[[#This Row],[AcceptedCmp1]:[AcceptedCmp5]])&gt;0,1,0)</f>
        <v>0</v>
      </c>
      <c r="W1983">
        <v>0</v>
      </c>
      <c r="X1983">
        <v>3</v>
      </c>
      <c r="Y1983">
        <v>11</v>
      </c>
      <c r="Z1983">
        <v>1</v>
      </c>
      <c r="AA1983">
        <v>36</v>
      </c>
      <c r="AB1983">
        <v>2809</v>
      </c>
      <c r="AC1983" s="28">
        <f>ifood_data[[#This Row],[Customer_Days]]/365</f>
        <v>7.6958904109589037</v>
      </c>
      <c r="AD1983">
        <v>0</v>
      </c>
      <c r="AE1983">
        <v>1</v>
      </c>
      <c r="AF1983">
        <v>0</v>
      </c>
      <c r="AG1983">
        <v>0</v>
      </c>
      <c r="AH1983">
        <v>0</v>
      </c>
      <c r="AI1983">
        <v>1</v>
      </c>
      <c r="AJ1983">
        <v>0</v>
      </c>
      <c r="AK1983">
        <v>0</v>
      </c>
      <c r="AL1983">
        <v>0</v>
      </c>
      <c r="AM1983">
        <v>0</v>
      </c>
      <c r="AN1983">
        <v>35</v>
      </c>
      <c r="AO1983">
        <v>19</v>
      </c>
      <c r="AP1983">
        <f>ifood_data[[#This Row],[MntTotal]]-ifood_data[[#This Row],[MntRegularProds]]</f>
        <v>16</v>
      </c>
      <c r="AQ1983">
        <v>0</v>
      </c>
      <c r="AR1983">
        <f>IF(SUM(ifood_data[[#This Row],[Kidhome]:[Teenhome]])&gt;0,1,0)</f>
        <v>1</v>
      </c>
      <c r="AS1983" t="str">
        <f>IF(SUM(ifood_data[[#This Row],[Kidhome]:[Teenhome]])&gt;0,"Has Family","No Family")</f>
        <v>Has Family</v>
      </c>
      <c r="AT1983" t="str">
        <f>IF(ifood_data[[#This Row],[marital_Married]]=1,"Married", (IF(ifood_data[[#This Row],[marital_Single]]=1,"Single",(IF(ifood_data[[#This Row],[marital_Divorced]]=1,"Divorced",(IF(ifood_data[[#This Row],[marital_Together]]=1,"Living Together",(IF(ifood_data[[#This Row],[marital_Widow]]=1,"Widow","Other")))))))))</f>
        <v>Married</v>
      </c>
      <c r="AU1983" t="str">
        <f>IF(ifood_data[[#This Row],[education_Basic]]=1,"High School",(IF(ifood_data[[#This Row],[education_Graduation]]=1,"Undergraduate Degree",(IF(SUM(AM1983,AL1983,AI1983)&gt;0,"Master's Degree or Higher","Other")))))</f>
        <v>Master's Degree or Higher</v>
      </c>
      <c r="AV1983" t="str">
        <f>IF(ifood_data[[#All],[Income]]&gt;75000,"75K+",(IF(ifood_data[[#All],[Income]]&gt;50000,"50K-75K",(IF(ifood_data[[#All],[Income]]&gt;35000,"35K-50K","&lt;35K")))))</f>
        <v>&lt;35K</v>
      </c>
      <c r="AW1983" t="str">
        <f>IF(ifood_data[[#All],[Age]]&gt;60,"60+",(IF(ifood_data[[#All],[Age]]&gt;50,"50-60",(IF(ifood_data[[#All],[Age]]&gt;40,"40-50",(IF(ifood_data[[#All],[Age]]&gt;30,"30-40","&lt;30")))))))</f>
        <v>30-40</v>
      </c>
      <c r="AX1983">
        <f t="shared" si="120"/>
        <v>15</v>
      </c>
      <c r="AY1983">
        <f t="shared" si="121"/>
        <v>10</v>
      </c>
      <c r="AZ1983">
        <f t="shared" si="122"/>
        <v>2</v>
      </c>
      <c r="BA1983">
        <f t="shared" si="123"/>
        <v>1</v>
      </c>
      <c r="BB1983">
        <f>SUM(ifood_data[[#This Row],[Recency Score]:[Monetary Score]])</f>
        <v>13</v>
      </c>
      <c r="BC1983">
        <f>(_xlfn.PERCENTRANK.INC(ifood_data[[#All],[RFM]],ifood_data[[#This Row],[RFM]],1))*10</f>
        <v>3</v>
      </c>
      <c r="BD1983" t="str">
        <f>VLOOKUP(ifood_data[[#This Row],[RFM Score]],'RFM Analysis'!$A$3:$B$14,2,FALSE)</f>
        <v>At Risk</v>
      </c>
      <c r="BE1983">
        <f>'Regression Models'!$B$101+'Regression Models'!$B$102*ifood_data[[#This Row],[Income]]+'Regression Models'!$B$103*ifood_data[[#This Row],[Age]]+'Regression Models'!$B$104*ifood_data[[#This Row],[Family]]</f>
        <v>-241.86848073054722</v>
      </c>
      <c r="BF1983" t="str">
        <f>IF(ifood_data[[#This Row],[AcceptedCmpOverall]]=1,"Campaign Respondent","Non-respondent")</f>
        <v>Non-respondent</v>
      </c>
    </row>
    <row r="1984" spans="1:58" x14ac:dyDescent="0.35">
      <c r="A1984">
        <v>1007</v>
      </c>
      <c r="B1984">
        <v>16860</v>
      </c>
      <c r="C1984">
        <v>1</v>
      </c>
      <c r="D1984">
        <v>1</v>
      </c>
      <c r="E1984">
        <v>19</v>
      </c>
      <c r="F1984">
        <v>10</v>
      </c>
      <c r="G1984">
        <v>4</v>
      </c>
      <c r="H1984">
        <v>4</v>
      </c>
      <c r="I1984">
        <v>3</v>
      </c>
      <c r="J1984">
        <v>3</v>
      </c>
      <c r="K1984">
        <v>14</v>
      </c>
      <c r="L1984">
        <v>3</v>
      </c>
      <c r="M1984">
        <v>1</v>
      </c>
      <c r="N1984">
        <v>1</v>
      </c>
      <c r="O1984">
        <v>3</v>
      </c>
      <c r="P1984">
        <v>7</v>
      </c>
      <c r="Q1984">
        <v>0</v>
      </c>
      <c r="R1984">
        <v>0</v>
      </c>
      <c r="S1984">
        <v>0</v>
      </c>
      <c r="T1984">
        <v>0</v>
      </c>
      <c r="U1984">
        <v>0</v>
      </c>
      <c r="V1984">
        <f>IF(SUM(ifood_data[[#This Row],[AcceptedCmp1]:[AcceptedCmp5]])&gt;0,1,0)</f>
        <v>0</v>
      </c>
      <c r="W1984">
        <v>0</v>
      </c>
      <c r="X1984">
        <v>3</v>
      </c>
      <c r="Y1984">
        <v>11</v>
      </c>
      <c r="Z1984">
        <v>0</v>
      </c>
      <c r="AA1984">
        <v>59</v>
      </c>
      <c r="AB1984">
        <v>2814</v>
      </c>
      <c r="AC1984" s="28">
        <f>ifood_data[[#This Row],[Customer_Days]]/365</f>
        <v>7.7095890410958905</v>
      </c>
      <c r="AD1984">
        <v>0</v>
      </c>
      <c r="AE1984">
        <v>1</v>
      </c>
      <c r="AF1984">
        <v>0</v>
      </c>
      <c r="AG1984">
        <v>0</v>
      </c>
      <c r="AH1984">
        <v>0</v>
      </c>
      <c r="AI1984">
        <v>0</v>
      </c>
      <c r="AJ1984">
        <v>0</v>
      </c>
      <c r="AK1984">
        <v>1</v>
      </c>
      <c r="AL1984">
        <v>0</v>
      </c>
      <c r="AM1984">
        <v>0</v>
      </c>
      <c r="AN1984">
        <v>24</v>
      </c>
      <c r="AO1984">
        <v>10</v>
      </c>
      <c r="AP1984">
        <f>ifood_data[[#This Row],[MntTotal]]-ifood_data[[#This Row],[MntRegularProds]]</f>
        <v>14</v>
      </c>
      <c r="AQ1984">
        <v>0</v>
      </c>
      <c r="AR1984">
        <f>IF(SUM(ifood_data[[#This Row],[Kidhome]:[Teenhome]])&gt;0,1,0)</f>
        <v>1</v>
      </c>
      <c r="AS1984" t="str">
        <f>IF(SUM(ifood_data[[#This Row],[Kidhome]:[Teenhome]])&gt;0,"Has Family","No Family")</f>
        <v>Has Family</v>
      </c>
      <c r="AT1984" t="str">
        <f>IF(ifood_data[[#This Row],[marital_Married]]=1,"Married", (IF(ifood_data[[#This Row],[marital_Single]]=1,"Single",(IF(ifood_data[[#This Row],[marital_Divorced]]=1,"Divorced",(IF(ifood_data[[#This Row],[marital_Together]]=1,"Living Together",(IF(ifood_data[[#This Row],[marital_Widow]]=1,"Widow","Other")))))))))</f>
        <v>Married</v>
      </c>
      <c r="AU1984" t="str">
        <f>IF(ifood_data[[#This Row],[education_Basic]]=1,"High School",(IF(ifood_data[[#This Row],[education_Graduation]]=1,"Undergraduate Degree",(IF(SUM(AM1984,AL1984,AI1984)&gt;0,"Master's Degree or Higher","Other")))))</f>
        <v>Undergraduate Degree</v>
      </c>
      <c r="AV1984" t="str">
        <f>IF(ifood_data[[#All],[Income]]&gt;75000,"75K+",(IF(ifood_data[[#All],[Income]]&gt;50000,"50K-75K",(IF(ifood_data[[#All],[Income]]&gt;35000,"35K-50K","&lt;35K")))))</f>
        <v>&lt;35K</v>
      </c>
      <c r="AW1984" t="str">
        <f>IF(ifood_data[[#All],[Age]]&gt;60,"60+",(IF(ifood_data[[#All],[Age]]&gt;50,"50-60",(IF(ifood_data[[#All],[Age]]&gt;40,"40-50",(IF(ifood_data[[#All],[Age]]&gt;30,"30-40","&lt;30")))))))</f>
        <v>50-60</v>
      </c>
      <c r="AX1984">
        <f t="shared" si="120"/>
        <v>15</v>
      </c>
      <c r="AY1984">
        <f t="shared" si="121"/>
        <v>9</v>
      </c>
      <c r="AZ1984">
        <f t="shared" si="122"/>
        <v>2</v>
      </c>
      <c r="BA1984">
        <f t="shared" si="123"/>
        <v>0</v>
      </c>
      <c r="BB1984">
        <f>SUM(ifood_data[[#This Row],[Recency Score]:[Monetary Score]])</f>
        <v>11</v>
      </c>
      <c r="BC1984">
        <f>(_xlfn.PERCENTRANK.INC(ifood_data[[#All],[RFM]],ifood_data[[#This Row],[RFM]],1))*10</f>
        <v>2</v>
      </c>
      <c r="BD1984" t="str">
        <f>VLOOKUP(ifood_data[[#This Row],[RFM Score]],'RFM Analysis'!$A$3:$B$14,2,FALSE)</f>
        <v>At Risk</v>
      </c>
      <c r="BE1984">
        <f>'Regression Models'!$B$101+'Regression Models'!$B$102*ifood_data[[#This Row],[Income]]+'Regression Models'!$B$103*ifood_data[[#This Row],[Age]]+'Regression Models'!$B$104*ifood_data[[#This Row],[Family]]</f>
        <v>-242.02416209610828</v>
      </c>
      <c r="BF1984" t="str">
        <f>IF(ifood_data[[#This Row],[AcceptedCmpOverall]]=1,"Campaign Respondent","Non-respondent")</f>
        <v>Non-respondent</v>
      </c>
    </row>
    <row r="1985" spans="1:58" x14ac:dyDescent="0.35">
      <c r="A1985">
        <v>1173</v>
      </c>
      <c r="B1985">
        <v>1730</v>
      </c>
      <c r="C1985">
        <v>0</v>
      </c>
      <c r="D1985">
        <v>0</v>
      </c>
      <c r="E1985">
        <v>65</v>
      </c>
      <c r="F1985">
        <v>1</v>
      </c>
      <c r="G1985">
        <v>1</v>
      </c>
      <c r="H1985">
        <v>3</v>
      </c>
      <c r="I1985">
        <v>1</v>
      </c>
      <c r="J1985">
        <v>1</v>
      </c>
      <c r="K1985">
        <v>1</v>
      </c>
      <c r="L1985">
        <v>15</v>
      </c>
      <c r="M1985">
        <v>0</v>
      </c>
      <c r="N1985">
        <v>0</v>
      </c>
      <c r="O1985">
        <v>0</v>
      </c>
      <c r="P1985">
        <v>20</v>
      </c>
      <c r="Q1985">
        <v>0</v>
      </c>
      <c r="R1985">
        <v>0</v>
      </c>
      <c r="S1985">
        <v>0</v>
      </c>
      <c r="T1985">
        <v>0</v>
      </c>
      <c r="U1985">
        <v>0</v>
      </c>
      <c r="V1985">
        <f>IF(SUM(ifood_data[[#This Row],[AcceptedCmp1]:[AcceptedCmp5]])&gt;0,1,0)</f>
        <v>0</v>
      </c>
      <c r="W1985">
        <v>0</v>
      </c>
      <c r="X1985">
        <v>3</v>
      </c>
      <c r="Y1985">
        <v>11</v>
      </c>
      <c r="Z1985">
        <v>0</v>
      </c>
      <c r="AA1985">
        <v>49</v>
      </c>
      <c r="AB1985">
        <v>2201</v>
      </c>
      <c r="AC1985" s="28">
        <f>ifood_data[[#This Row],[Customer_Days]]/365</f>
        <v>6.0301369863013701</v>
      </c>
      <c r="AD1985">
        <v>1</v>
      </c>
      <c r="AE1985">
        <v>0</v>
      </c>
      <c r="AF1985">
        <v>0</v>
      </c>
      <c r="AG1985">
        <v>0</v>
      </c>
      <c r="AH1985">
        <v>0</v>
      </c>
      <c r="AI1985">
        <v>0</v>
      </c>
      <c r="AJ1985">
        <v>0</v>
      </c>
      <c r="AK1985">
        <v>1</v>
      </c>
      <c r="AL1985">
        <v>0</v>
      </c>
      <c r="AM1985">
        <v>0</v>
      </c>
      <c r="AN1985">
        <v>7</v>
      </c>
      <c r="AO1985">
        <v>6</v>
      </c>
      <c r="AP1985">
        <f>ifood_data[[#This Row],[MntTotal]]-ifood_data[[#This Row],[MntRegularProds]]</f>
        <v>1</v>
      </c>
      <c r="AQ1985">
        <v>0</v>
      </c>
      <c r="AR1985">
        <f>IF(SUM(ifood_data[[#This Row],[Kidhome]:[Teenhome]])&gt;0,1,0)</f>
        <v>0</v>
      </c>
      <c r="AS1985" t="str">
        <f>IF(SUM(ifood_data[[#This Row],[Kidhome]:[Teenhome]])&gt;0,"Has Family","No Family")</f>
        <v>No Family</v>
      </c>
      <c r="AT1985" t="str">
        <f>IF(ifood_data[[#This Row],[marital_Married]]=1,"Married", (IF(ifood_data[[#This Row],[marital_Single]]=1,"Single",(IF(ifood_data[[#This Row],[marital_Divorced]]=1,"Divorced",(IF(ifood_data[[#This Row],[marital_Together]]=1,"Living Together",(IF(ifood_data[[#This Row],[marital_Widow]]=1,"Widow","Other")))))))))</f>
        <v>Divorced</v>
      </c>
      <c r="AU1985" t="str">
        <f>IF(ifood_data[[#This Row],[education_Basic]]=1,"High School",(IF(ifood_data[[#This Row],[education_Graduation]]=1,"Undergraduate Degree",(IF(SUM(AM1985,AL1985,AI1985)&gt;0,"Master's Degree or Higher","Other")))))</f>
        <v>Undergraduate Degree</v>
      </c>
      <c r="AV1985" t="str">
        <f>IF(ifood_data[[#All],[Income]]&gt;75000,"75K+",(IF(ifood_data[[#All],[Income]]&gt;50000,"50K-75K",(IF(ifood_data[[#All],[Income]]&gt;35000,"35K-50K","&lt;35K")))))</f>
        <v>&lt;35K</v>
      </c>
      <c r="AW1985" t="str">
        <f>IF(ifood_data[[#All],[Age]]&gt;60,"60+",(IF(ifood_data[[#All],[Age]]&gt;50,"50-60",(IF(ifood_data[[#All],[Age]]&gt;40,"40-50",(IF(ifood_data[[#All],[Age]]&gt;30,"30-40","&lt;30")))))))</f>
        <v>40-50</v>
      </c>
      <c r="AX1985">
        <f t="shared" si="120"/>
        <v>35</v>
      </c>
      <c r="AY1985">
        <f t="shared" si="121"/>
        <v>4</v>
      </c>
      <c r="AZ1985">
        <f t="shared" si="122"/>
        <v>9</v>
      </c>
      <c r="BA1985">
        <f t="shared" si="123"/>
        <v>0</v>
      </c>
      <c r="BB1985">
        <f>SUM(ifood_data[[#This Row],[Recency Score]:[Monetary Score]])</f>
        <v>13</v>
      </c>
      <c r="BC1985">
        <f>(_xlfn.PERCENTRANK.INC(ifood_data[[#All],[RFM]],ifood_data[[#This Row],[RFM]],1))*10</f>
        <v>3</v>
      </c>
      <c r="BD1985" t="str">
        <f>VLOOKUP(ifood_data[[#This Row],[RFM Score]],'RFM Analysis'!$A$3:$B$14,2,FALSE)</f>
        <v>At Risk</v>
      </c>
      <c r="BE1985">
        <f>'Regression Models'!$B$101+'Regression Models'!$B$102*ifood_data[[#This Row],[Income]]+'Regression Models'!$B$103*ifood_data[[#This Row],[Age]]+'Regression Models'!$B$104*ifood_data[[#This Row],[Family]]</f>
        <v>-242.52820225134036</v>
      </c>
      <c r="BF1985" t="str">
        <f>IF(ifood_data[[#This Row],[AcceptedCmpOverall]]=1,"Campaign Respondent","Non-respondent")</f>
        <v>Non-respondent</v>
      </c>
    </row>
    <row r="1986" spans="1:58" x14ac:dyDescent="0.35">
      <c r="A1986">
        <v>804</v>
      </c>
      <c r="B1986">
        <v>15072</v>
      </c>
      <c r="C1986">
        <v>2</v>
      </c>
      <c r="D1986">
        <v>0</v>
      </c>
      <c r="E1986">
        <v>96</v>
      </c>
      <c r="F1986">
        <v>8</v>
      </c>
      <c r="G1986">
        <v>2</v>
      </c>
      <c r="H1986">
        <v>15</v>
      </c>
      <c r="I1986">
        <v>0</v>
      </c>
      <c r="J1986">
        <v>10</v>
      </c>
      <c r="K1986">
        <v>18</v>
      </c>
      <c r="L1986">
        <v>4</v>
      </c>
      <c r="M1986">
        <v>3</v>
      </c>
      <c r="N1986">
        <v>1</v>
      </c>
      <c r="O1986">
        <v>3</v>
      </c>
      <c r="P1986">
        <v>5</v>
      </c>
      <c r="Q1986">
        <v>0</v>
      </c>
      <c r="R1986">
        <v>0</v>
      </c>
      <c r="S1986">
        <v>0</v>
      </c>
      <c r="T1986">
        <v>0</v>
      </c>
      <c r="U1986">
        <v>0</v>
      </c>
      <c r="V1986">
        <f>IF(SUM(ifood_data[[#This Row],[AcceptedCmp1]:[AcceptedCmp5]])&gt;0,1,0)</f>
        <v>0</v>
      </c>
      <c r="W1986">
        <v>0</v>
      </c>
      <c r="X1986">
        <v>3</v>
      </c>
      <c r="Y1986">
        <v>11</v>
      </c>
      <c r="Z1986">
        <v>0</v>
      </c>
      <c r="AA1986">
        <v>40</v>
      </c>
      <c r="AB1986">
        <v>2574</v>
      </c>
      <c r="AC1986" s="28">
        <f>ifood_data[[#This Row],[Customer_Days]]/365</f>
        <v>7.0520547945205481</v>
      </c>
      <c r="AD1986">
        <v>0</v>
      </c>
      <c r="AE1986">
        <v>1</v>
      </c>
      <c r="AF1986">
        <v>0</v>
      </c>
      <c r="AG1986">
        <v>0</v>
      </c>
      <c r="AH1986">
        <v>0</v>
      </c>
      <c r="AI1986">
        <v>0</v>
      </c>
      <c r="AJ1986">
        <v>0</v>
      </c>
      <c r="AK1986">
        <v>1</v>
      </c>
      <c r="AL1986">
        <v>0</v>
      </c>
      <c r="AM1986">
        <v>0</v>
      </c>
      <c r="AN1986">
        <v>35</v>
      </c>
      <c r="AO1986">
        <v>17</v>
      </c>
      <c r="AP1986">
        <f>ifood_data[[#This Row],[MntTotal]]-ifood_data[[#This Row],[MntRegularProds]]</f>
        <v>18</v>
      </c>
      <c r="AQ1986">
        <v>0</v>
      </c>
      <c r="AR1986">
        <f>IF(SUM(ifood_data[[#This Row],[Kidhome]:[Teenhome]])&gt;0,1,0)</f>
        <v>1</v>
      </c>
      <c r="AS1986" t="str">
        <f>IF(SUM(ifood_data[[#This Row],[Kidhome]:[Teenhome]])&gt;0,"Has Family","No Family")</f>
        <v>Has Family</v>
      </c>
      <c r="AT1986" t="str">
        <f>IF(ifood_data[[#This Row],[marital_Married]]=1,"Married", (IF(ifood_data[[#This Row],[marital_Single]]=1,"Single",(IF(ifood_data[[#This Row],[marital_Divorced]]=1,"Divorced",(IF(ifood_data[[#This Row],[marital_Together]]=1,"Living Together",(IF(ifood_data[[#This Row],[marital_Widow]]=1,"Widow","Other")))))))))</f>
        <v>Married</v>
      </c>
      <c r="AU1986" t="str">
        <f>IF(ifood_data[[#This Row],[education_Basic]]=1,"High School",(IF(ifood_data[[#This Row],[education_Graduation]]=1,"Undergraduate Degree",(IF(SUM(AM1986,AL1986,AI1986)&gt;0,"Master's Degree or Higher","Other")))))</f>
        <v>Undergraduate Degree</v>
      </c>
      <c r="AV1986" t="str">
        <f>IF(ifood_data[[#All],[Income]]&gt;75000,"75K+",(IF(ifood_data[[#All],[Income]]&gt;50000,"50K-75K",(IF(ifood_data[[#All],[Income]]&gt;35000,"35K-50K","&lt;35K")))))</f>
        <v>&lt;35K</v>
      </c>
      <c r="AW1986" t="str">
        <f>IF(ifood_data[[#All],[Age]]&gt;60,"60+",(IF(ifood_data[[#All],[Age]]&gt;50,"50-60",(IF(ifood_data[[#All],[Age]]&gt;40,"40-50",(IF(ifood_data[[#All],[Age]]&gt;30,"30-40","&lt;30")))))))</f>
        <v>30-40</v>
      </c>
      <c r="AX1986">
        <f t="shared" ref="AX1986:AX2022" si="124">SUM(L1986:P1986)</f>
        <v>16</v>
      </c>
      <c r="AY1986">
        <f t="shared" ref="AY1986:AY2022" si="125">(1-_xlfn.PERCENTRANK.INC($E$2:$E$2022,E1986,1))*10</f>
        <v>0.99999999999999978</v>
      </c>
      <c r="AZ1986">
        <f t="shared" ref="AZ1986:AZ2022" si="126">_xlfn.PERCENTRANK.INC($AX$2:$AX$2022,AX1986,1)*10</f>
        <v>3</v>
      </c>
      <c r="BA1986">
        <f t="shared" ref="BA1986:BA2022" si="127">_xlfn.PERCENTRANK.INC($AN$2:$AN$2022,AN1986,1)*10</f>
        <v>1</v>
      </c>
      <c r="BB1986">
        <f>SUM(ifood_data[[#This Row],[Recency Score]:[Monetary Score]])</f>
        <v>5</v>
      </c>
      <c r="BC1986">
        <f>(_xlfn.PERCENTRANK.INC(ifood_data[[#All],[RFM]],ifood_data[[#This Row],[RFM]],1))*10</f>
        <v>0</v>
      </c>
      <c r="BD1986" t="str">
        <f>VLOOKUP(ifood_data[[#This Row],[RFM Score]],'RFM Analysis'!$A$3:$B$14,2,FALSE)</f>
        <v>Lost</v>
      </c>
      <c r="BE1986">
        <f>'Regression Models'!$B$101+'Regression Models'!$B$102*ifood_data[[#This Row],[Income]]+'Regression Models'!$B$103*ifood_data[[#This Row],[Age]]+'Regression Models'!$B$104*ifood_data[[#This Row],[Family]]</f>
        <v>-243.58693703840825</v>
      </c>
      <c r="BF1986" t="str">
        <f>IF(ifood_data[[#This Row],[AcceptedCmpOverall]]=1,"Campaign Respondent","Non-respondent")</f>
        <v>Non-respondent</v>
      </c>
    </row>
    <row r="1987" spans="1:58" x14ac:dyDescent="0.35">
      <c r="A1987">
        <v>377</v>
      </c>
      <c r="B1987">
        <v>14515</v>
      </c>
      <c r="C1987">
        <v>1</v>
      </c>
      <c r="D1987">
        <v>0</v>
      </c>
      <c r="E1987">
        <v>71</v>
      </c>
      <c r="F1987">
        <v>6</v>
      </c>
      <c r="G1987">
        <v>4</v>
      </c>
      <c r="H1987">
        <v>9</v>
      </c>
      <c r="I1987">
        <v>6</v>
      </c>
      <c r="J1987">
        <v>36</v>
      </c>
      <c r="K1987">
        <v>35</v>
      </c>
      <c r="L1987">
        <v>4</v>
      </c>
      <c r="M1987">
        <v>2</v>
      </c>
      <c r="N1987">
        <v>2</v>
      </c>
      <c r="O1987">
        <v>3</v>
      </c>
      <c r="P1987">
        <v>7</v>
      </c>
      <c r="Q1987">
        <v>0</v>
      </c>
      <c r="R1987">
        <v>0</v>
      </c>
      <c r="S1987">
        <v>0</v>
      </c>
      <c r="T1987">
        <v>0</v>
      </c>
      <c r="U1987">
        <v>0</v>
      </c>
      <c r="V1987">
        <f>IF(SUM(ifood_data[[#This Row],[AcceptedCmp1]:[AcceptedCmp5]])&gt;0,1,0)</f>
        <v>0</v>
      </c>
      <c r="W1987">
        <v>0</v>
      </c>
      <c r="X1987">
        <v>3</v>
      </c>
      <c r="Y1987">
        <v>11</v>
      </c>
      <c r="Z1987">
        <v>1</v>
      </c>
      <c r="AA1987">
        <v>40</v>
      </c>
      <c r="AB1987">
        <v>2756</v>
      </c>
      <c r="AC1987" s="28">
        <f>ifood_data[[#This Row],[Customer_Days]]/365</f>
        <v>7.5506849315068489</v>
      </c>
      <c r="AD1987">
        <v>0</v>
      </c>
      <c r="AE1987">
        <v>0</v>
      </c>
      <c r="AF1987">
        <v>0</v>
      </c>
      <c r="AG1987">
        <v>1</v>
      </c>
      <c r="AH1987">
        <v>0</v>
      </c>
      <c r="AI1987">
        <v>1</v>
      </c>
      <c r="AJ1987">
        <v>0</v>
      </c>
      <c r="AK1987">
        <v>0</v>
      </c>
      <c r="AL1987">
        <v>0</v>
      </c>
      <c r="AM1987">
        <v>0</v>
      </c>
      <c r="AN1987">
        <v>61</v>
      </c>
      <c r="AO1987">
        <v>26</v>
      </c>
      <c r="AP1987">
        <f>ifood_data[[#This Row],[MntTotal]]-ifood_data[[#This Row],[MntRegularProds]]</f>
        <v>35</v>
      </c>
      <c r="AQ1987">
        <v>0</v>
      </c>
      <c r="AR1987">
        <f>IF(SUM(ifood_data[[#This Row],[Kidhome]:[Teenhome]])&gt;0,1,0)</f>
        <v>1</v>
      </c>
      <c r="AS1987" t="str">
        <f>IF(SUM(ifood_data[[#This Row],[Kidhome]:[Teenhome]])&gt;0,"Has Family","No Family")</f>
        <v>Has Family</v>
      </c>
      <c r="AT1987" t="str">
        <f>IF(ifood_data[[#This Row],[marital_Married]]=1,"Married", (IF(ifood_data[[#This Row],[marital_Single]]=1,"Single",(IF(ifood_data[[#This Row],[marital_Divorced]]=1,"Divorced",(IF(ifood_data[[#This Row],[marital_Together]]=1,"Living Together",(IF(ifood_data[[#This Row],[marital_Widow]]=1,"Widow","Other")))))))))</f>
        <v>Living Together</v>
      </c>
      <c r="AU1987" t="str">
        <f>IF(ifood_data[[#This Row],[education_Basic]]=1,"High School",(IF(ifood_data[[#This Row],[education_Graduation]]=1,"Undergraduate Degree",(IF(SUM(AM1987,AL1987,AI1987)&gt;0,"Master's Degree or Higher","Other")))))</f>
        <v>Master's Degree or Higher</v>
      </c>
      <c r="AV1987" t="str">
        <f>IF(ifood_data[[#All],[Income]]&gt;75000,"75K+",(IF(ifood_data[[#All],[Income]]&gt;50000,"50K-75K",(IF(ifood_data[[#All],[Income]]&gt;35000,"35K-50K","&lt;35K")))))</f>
        <v>&lt;35K</v>
      </c>
      <c r="AW1987" t="str">
        <f>IF(ifood_data[[#All],[Age]]&gt;60,"60+",(IF(ifood_data[[#All],[Age]]&gt;50,"50-60",(IF(ifood_data[[#All],[Age]]&gt;40,"40-50",(IF(ifood_data[[#All],[Age]]&gt;30,"30-40","&lt;30")))))))</f>
        <v>30-40</v>
      </c>
      <c r="AX1987">
        <f t="shared" si="124"/>
        <v>18</v>
      </c>
      <c r="AY1987">
        <f t="shared" si="125"/>
        <v>3.0000000000000004</v>
      </c>
      <c r="AZ1987">
        <f t="shared" si="126"/>
        <v>4</v>
      </c>
      <c r="BA1987">
        <f t="shared" si="127"/>
        <v>2</v>
      </c>
      <c r="BB1987">
        <f>SUM(ifood_data[[#This Row],[Recency Score]:[Monetary Score]])</f>
        <v>9</v>
      </c>
      <c r="BC1987">
        <f>(_xlfn.PERCENTRANK.INC(ifood_data[[#All],[RFM]],ifood_data[[#This Row],[RFM]],1))*10</f>
        <v>1</v>
      </c>
      <c r="BD1987" t="str">
        <f>VLOOKUP(ifood_data[[#This Row],[RFM Score]],'RFM Analysis'!$A$3:$B$14,2,FALSE)</f>
        <v>At Risk</v>
      </c>
      <c r="BE1987">
        <f>'Regression Models'!$B$101+'Regression Models'!$B$102*ifood_data[[#This Row],[Income]]+'Regression Models'!$B$103*ifood_data[[#This Row],[Age]]+'Regression Models'!$B$104*ifood_data[[#This Row],[Family]]</f>
        <v>-254.94348089455994</v>
      </c>
      <c r="BF1987" t="str">
        <f>IF(ifood_data[[#This Row],[AcceptedCmpOverall]]=1,"Campaign Respondent","Non-respondent")</f>
        <v>Non-respondent</v>
      </c>
    </row>
    <row r="1988" spans="1:58" x14ac:dyDescent="0.35">
      <c r="A1988">
        <v>307</v>
      </c>
      <c r="B1988">
        <v>14849</v>
      </c>
      <c r="C1988">
        <v>1</v>
      </c>
      <c r="D1988">
        <v>0</v>
      </c>
      <c r="E1988">
        <v>39</v>
      </c>
      <c r="F1988">
        <v>21</v>
      </c>
      <c r="G1988">
        <v>2</v>
      </c>
      <c r="H1988">
        <v>28</v>
      </c>
      <c r="I1988">
        <v>3</v>
      </c>
      <c r="J1988">
        <v>2</v>
      </c>
      <c r="K1988">
        <v>9</v>
      </c>
      <c r="L1988">
        <v>3</v>
      </c>
      <c r="M1988">
        <v>2</v>
      </c>
      <c r="N1988">
        <v>0</v>
      </c>
      <c r="O1988">
        <v>4</v>
      </c>
      <c r="P1988">
        <v>8</v>
      </c>
      <c r="Q1988">
        <v>0</v>
      </c>
      <c r="R1988">
        <v>0</v>
      </c>
      <c r="S1988">
        <v>0</v>
      </c>
      <c r="T1988">
        <v>0</v>
      </c>
      <c r="U1988">
        <v>0</v>
      </c>
      <c r="V1988">
        <f>IF(SUM(ifood_data[[#This Row],[AcceptedCmp1]:[AcceptedCmp5]])&gt;0,1,0)</f>
        <v>0</v>
      </c>
      <c r="W1988">
        <v>0</v>
      </c>
      <c r="X1988">
        <v>3</v>
      </c>
      <c r="Y1988">
        <v>11</v>
      </c>
      <c r="Z1988">
        <v>0</v>
      </c>
      <c r="AA1988">
        <v>44</v>
      </c>
      <c r="AB1988">
        <v>2521</v>
      </c>
      <c r="AC1988" s="28">
        <f>ifood_data[[#This Row],[Customer_Days]]/365</f>
        <v>6.9068493150684933</v>
      </c>
      <c r="AD1988">
        <v>1</v>
      </c>
      <c r="AE1988">
        <v>0</v>
      </c>
      <c r="AF1988">
        <v>0</v>
      </c>
      <c r="AG1988">
        <v>0</v>
      </c>
      <c r="AH1988">
        <v>0</v>
      </c>
      <c r="AI1988">
        <v>0</v>
      </c>
      <c r="AJ1988">
        <v>0</v>
      </c>
      <c r="AK1988">
        <v>0</v>
      </c>
      <c r="AL1988">
        <v>0</v>
      </c>
      <c r="AM1988">
        <v>1</v>
      </c>
      <c r="AN1988">
        <v>56</v>
      </c>
      <c r="AO1988">
        <v>47</v>
      </c>
      <c r="AP1988">
        <f>ifood_data[[#This Row],[MntTotal]]-ifood_data[[#This Row],[MntRegularProds]]</f>
        <v>9</v>
      </c>
      <c r="AQ1988">
        <v>0</v>
      </c>
      <c r="AR1988">
        <f>IF(SUM(ifood_data[[#This Row],[Kidhome]:[Teenhome]])&gt;0,1,0)</f>
        <v>1</v>
      </c>
      <c r="AS1988" t="str">
        <f>IF(SUM(ifood_data[[#This Row],[Kidhome]:[Teenhome]])&gt;0,"Has Family","No Family")</f>
        <v>Has Family</v>
      </c>
      <c r="AT1988" t="str">
        <f>IF(ifood_data[[#This Row],[marital_Married]]=1,"Married", (IF(ifood_data[[#This Row],[marital_Single]]=1,"Single",(IF(ifood_data[[#This Row],[marital_Divorced]]=1,"Divorced",(IF(ifood_data[[#This Row],[marital_Together]]=1,"Living Together",(IF(ifood_data[[#This Row],[marital_Widow]]=1,"Widow","Other")))))))))</f>
        <v>Divorced</v>
      </c>
      <c r="AU1988" t="str">
        <f>IF(ifood_data[[#This Row],[education_Basic]]=1,"High School",(IF(ifood_data[[#This Row],[education_Graduation]]=1,"Undergraduate Degree",(IF(SUM(AM1988,AL1988,AI1988)&gt;0,"Master's Degree or Higher","Other")))))</f>
        <v>Master's Degree or Higher</v>
      </c>
      <c r="AV1988" t="str">
        <f>IF(ifood_data[[#All],[Income]]&gt;75000,"75K+",(IF(ifood_data[[#All],[Income]]&gt;50000,"50K-75K",(IF(ifood_data[[#All],[Income]]&gt;35000,"35K-50K","&lt;35K")))))</f>
        <v>&lt;35K</v>
      </c>
      <c r="AW1988" t="str">
        <f>IF(ifood_data[[#All],[Age]]&gt;60,"60+",(IF(ifood_data[[#All],[Age]]&gt;50,"50-60",(IF(ifood_data[[#All],[Age]]&gt;40,"40-50",(IF(ifood_data[[#All],[Age]]&gt;30,"30-40","&lt;30")))))))</f>
        <v>40-50</v>
      </c>
      <c r="AX1988">
        <f t="shared" si="124"/>
        <v>17</v>
      </c>
      <c r="AY1988">
        <f t="shared" si="125"/>
        <v>7</v>
      </c>
      <c r="AZ1988">
        <f t="shared" si="126"/>
        <v>3</v>
      </c>
      <c r="BA1988">
        <f t="shared" si="127"/>
        <v>2</v>
      </c>
      <c r="BB1988">
        <f>SUM(ifood_data[[#This Row],[Recency Score]:[Monetary Score]])</f>
        <v>12</v>
      </c>
      <c r="BC1988">
        <f>(_xlfn.PERCENTRANK.INC(ifood_data[[#All],[RFM]],ifood_data[[#This Row],[RFM]],1))*10</f>
        <v>3</v>
      </c>
      <c r="BD1988" t="str">
        <f>VLOOKUP(ifood_data[[#This Row],[RFM Score]],'RFM Analysis'!$A$3:$B$14,2,FALSE)</f>
        <v>At Risk</v>
      </c>
      <c r="BE1988">
        <f>'Regression Models'!$B$101+'Regression Models'!$B$102*ifood_data[[#This Row],[Income]]+'Regression Models'!$B$103*ifood_data[[#This Row],[Age]]+'Regression Models'!$B$104*ifood_data[[#This Row],[Family]]</f>
        <v>-255.47938865007481</v>
      </c>
      <c r="BF1988" t="str">
        <f>IF(ifood_data[[#This Row],[AcceptedCmpOverall]]=1,"Campaign Respondent","Non-respondent")</f>
        <v>Non-respondent</v>
      </c>
    </row>
    <row r="1989" spans="1:58" x14ac:dyDescent="0.35">
      <c r="A1989">
        <v>1471</v>
      </c>
      <c r="B1989">
        <v>13724</v>
      </c>
      <c r="C1989">
        <v>1</v>
      </c>
      <c r="D1989">
        <v>0</v>
      </c>
      <c r="E1989">
        <v>43</v>
      </c>
      <c r="F1989">
        <v>2</v>
      </c>
      <c r="G1989">
        <v>7</v>
      </c>
      <c r="H1989">
        <v>5</v>
      </c>
      <c r="I1989">
        <v>2</v>
      </c>
      <c r="J1989">
        <v>15</v>
      </c>
      <c r="K1989">
        <v>27</v>
      </c>
      <c r="L1989">
        <v>1</v>
      </c>
      <c r="M1989">
        <v>2</v>
      </c>
      <c r="N1989">
        <v>0</v>
      </c>
      <c r="O1989">
        <v>2</v>
      </c>
      <c r="P1989">
        <v>9</v>
      </c>
      <c r="Q1989">
        <v>0</v>
      </c>
      <c r="R1989">
        <v>0</v>
      </c>
      <c r="S1989">
        <v>1</v>
      </c>
      <c r="T1989">
        <v>0</v>
      </c>
      <c r="U1989">
        <v>0</v>
      </c>
      <c r="V1989">
        <f>IF(SUM(ifood_data[[#This Row],[AcceptedCmp1]:[AcceptedCmp5]])&gt;0,1,0)</f>
        <v>1</v>
      </c>
      <c r="W1989">
        <v>0</v>
      </c>
      <c r="X1989">
        <v>3</v>
      </c>
      <c r="Y1989">
        <v>11</v>
      </c>
      <c r="Z1989">
        <v>0</v>
      </c>
      <c r="AA1989">
        <v>32</v>
      </c>
      <c r="AB1989">
        <v>2826</v>
      </c>
      <c r="AC1989" s="28">
        <f>ifood_data[[#This Row],[Customer_Days]]/365</f>
        <v>7.7424657534246579</v>
      </c>
      <c r="AD1989">
        <v>0</v>
      </c>
      <c r="AE1989">
        <v>0</v>
      </c>
      <c r="AF1989">
        <v>0</v>
      </c>
      <c r="AG1989">
        <v>1</v>
      </c>
      <c r="AH1989">
        <v>0</v>
      </c>
      <c r="AI1989">
        <v>0</v>
      </c>
      <c r="AJ1989">
        <v>1</v>
      </c>
      <c r="AK1989">
        <v>0</v>
      </c>
      <c r="AL1989">
        <v>0</v>
      </c>
      <c r="AM1989">
        <v>0</v>
      </c>
      <c r="AN1989">
        <v>31</v>
      </c>
      <c r="AO1989">
        <v>4</v>
      </c>
      <c r="AP1989">
        <f>ifood_data[[#This Row],[MntTotal]]-ifood_data[[#This Row],[MntRegularProds]]</f>
        <v>27</v>
      </c>
      <c r="AQ1989">
        <v>1</v>
      </c>
      <c r="AR1989">
        <f>IF(SUM(ifood_data[[#This Row],[Kidhome]:[Teenhome]])&gt;0,1,0)</f>
        <v>1</v>
      </c>
      <c r="AS1989" t="str">
        <f>IF(SUM(ifood_data[[#This Row],[Kidhome]:[Teenhome]])&gt;0,"Has Family","No Family")</f>
        <v>Has Family</v>
      </c>
      <c r="AT1989" t="str">
        <f>IF(ifood_data[[#This Row],[marital_Married]]=1,"Married", (IF(ifood_data[[#This Row],[marital_Single]]=1,"Single",(IF(ifood_data[[#This Row],[marital_Divorced]]=1,"Divorced",(IF(ifood_data[[#This Row],[marital_Together]]=1,"Living Together",(IF(ifood_data[[#This Row],[marital_Widow]]=1,"Widow","Other")))))))))</f>
        <v>Living Together</v>
      </c>
      <c r="AU1989" t="str">
        <f>IF(ifood_data[[#This Row],[education_Basic]]=1,"High School",(IF(ifood_data[[#This Row],[education_Graduation]]=1,"Undergraduate Degree",(IF(SUM(AM1989,AL1989,AI1989)&gt;0,"Master's Degree or Higher","Other")))))</f>
        <v>High School</v>
      </c>
      <c r="AV1989" t="str">
        <f>IF(ifood_data[[#All],[Income]]&gt;75000,"75K+",(IF(ifood_data[[#All],[Income]]&gt;50000,"50K-75K",(IF(ifood_data[[#All],[Income]]&gt;35000,"35K-50K","&lt;35K")))))</f>
        <v>&lt;35K</v>
      </c>
      <c r="AW1989" t="str">
        <f>IF(ifood_data[[#All],[Age]]&gt;60,"60+",(IF(ifood_data[[#All],[Age]]&gt;50,"50-60",(IF(ifood_data[[#All],[Age]]&gt;40,"40-50",(IF(ifood_data[[#All],[Age]]&gt;30,"30-40","&lt;30")))))))</f>
        <v>30-40</v>
      </c>
      <c r="AX1989">
        <f t="shared" si="124"/>
        <v>14</v>
      </c>
      <c r="AY1989">
        <f t="shared" si="125"/>
        <v>6</v>
      </c>
      <c r="AZ1989">
        <f t="shared" si="126"/>
        <v>2</v>
      </c>
      <c r="BA1989">
        <f t="shared" si="127"/>
        <v>1</v>
      </c>
      <c r="BB1989">
        <f>SUM(ifood_data[[#This Row],[Recency Score]:[Monetary Score]])</f>
        <v>9</v>
      </c>
      <c r="BC1989">
        <f>(_xlfn.PERCENTRANK.INC(ifood_data[[#All],[RFM]],ifood_data[[#This Row],[RFM]],1))*10</f>
        <v>1</v>
      </c>
      <c r="BD1989" t="str">
        <f>VLOOKUP(ifood_data[[#This Row],[RFM Score]],'RFM Analysis'!$A$3:$B$14,2,FALSE)</f>
        <v>At Risk</v>
      </c>
      <c r="BE1989">
        <f>'Regression Models'!$B$101+'Regression Models'!$B$102*ifood_data[[#This Row],[Income]]+'Regression Models'!$B$103*ifood_data[[#This Row],[Age]]+'Regression Models'!$B$104*ifood_data[[#This Row],[Family]]</f>
        <v>-256.3794838652297</v>
      </c>
      <c r="BF1989" t="str">
        <f>IF(ifood_data[[#This Row],[AcceptedCmpOverall]]=1,"Campaign Respondent","Non-respondent")</f>
        <v>Campaign Respondent</v>
      </c>
    </row>
    <row r="1990" spans="1:58" x14ac:dyDescent="0.35">
      <c r="A1990">
        <v>1618</v>
      </c>
      <c r="B1990">
        <v>13533</v>
      </c>
      <c r="C1990">
        <v>1</v>
      </c>
      <c r="D1990">
        <v>0</v>
      </c>
      <c r="E1990">
        <v>45</v>
      </c>
      <c r="F1990">
        <v>12</v>
      </c>
      <c r="G1990">
        <v>3</v>
      </c>
      <c r="H1990">
        <v>8</v>
      </c>
      <c r="I1990">
        <v>8</v>
      </c>
      <c r="J1990">
        <v>0</v>
      </c>
      <c r="K1990">
        <v>17</v>
      </c>
      <c r="L1990">
        <v>2</v>
      </c>
      <c r="M1990">
        <v>2</v>
      </c>
      <c r="N1990">
        <v>0</v>
      </c>
      <c r="O1990">
        <v>3</v>
      </c>
      <c r="P1990">
        <v>7</v>
      </c>
      <c r="Q1990">
        <v>0</v>
      </c>
      <c r="R1990">
        <v>0</v>
      </c>
      <c r="S1990">
        <v>0</v>
      </c>
      <c r="T1990">
        <v>0</v>
      </c>
      <c r="U1990">
        <v>0</v>
      </c>
      <c r="V1990">
        <f>IF(SUM(ifood_data[[#This Row],[AcceptedCmp1]:[AcceptedCmp5]])&gt;0,1,0)</f>
        <v>0</v>
      </c>
      <c r="W1990">
        <v>0</v>
      </c>
      <c r="X1990">
        <v>3</v>
      </c>
      <c r="Y1990">
        <v>11</v>
      </c>
      <c r="Z1990">
        <v>0</v>
      </c>
      <c r="AA1990">
        <v>41</v>
      </c>
      <c r="AB1990">
        <v>2635</v>
      </c>
      <c r="AC1990" s="28">
        <f>ifood_data[[#This Row],[Customer_Days]]/365</f>
        <v>7.2191780821917808</v>
      </c>
      <c r="AD1990">
        <v>1</v>
      </c>
      <c r="AE1990">
        <v>0</v>
      </c>
      <c r="AF1990">
        <v>0</v>
      </c>
      <c r="AG1990">
        <v>0</v>
      </c>
      <c r="AH1990">
        <v>0</v>
      </c>
      <c r="AI1990">
        <v>1</v>
      </c>
      <c r="AJ1990">
        <v>0</v>
      </c>
      <c r="AK1990">
        <v>0</v>
      </c>
      <c r="AL1990">
        <v>0</v>
      </c>
      <c r="AM1990">
        <v>0</v>
      </c>
      <c r="AN1990">
        <v>31</v>
      </c>
      <c r="AO1990">
        <v>14</v>
      </c>
      <c r="AP1990">
        <f>ifood_data[[#This Row],[MntTotal]]-ifood_data[[#This Row],[MntRegularProds]]</f>
        <v>17</v>
      </c>
      <c r="AQ1990">
        <v>0</v>
      </c>
      <c r="AR1990">
        <f>IF(SUM(ifood_data[[#This Row],[Kidhome]:[Teenhome]])&gt;0,1,0)</f>
        <v>1</v>
      </c>
      <c r="AS1990" t="str">
        <f>IF(SUM(ifood_data[[#This Row],[Kidhome]:[Teenhome]])&gt;0,"Has Family","No Family")</f>
        <v>Has Family</v>
      </c>
      <c r="AT1990" t="str">
        <f>IF(ifood_data[[#This Row],[marital_Married]]=1,"Married", (IF(ifood_data[[#This Row],[marital_Single]]=1,"Single",(IF(ifood_data[[#This Row],[marital_Divorced]]=1,"Divorced",(IF(ifood_data[[#This Row],[marital_Together]]=1,"Living Together",(IF(ifood_data[[#This Row],[marital_Widow]]=1,"Widow","Other")))))))))</f>
        <v>Divorced</v>
      </c>
      <c r="AU1990" t="str">
        <f>IF(ifood_data[[#This Row],[education_Basic]]=1,"High School",(IF(ifood_data[[#This Row],[education_Graduation]]=1,"Undergraduate Degree",(IF(SUM(AM1990,AL1990,AI1990)&gt;0,"Master's Degree or Higher","Other")))))</f>
        <v>Master's Degree or Higher</v>
      </c>
      <c r="AV1990" t="str">
        <f>IF(ifood_data[[#All],[Income]]&gt;75000,"75K+",(IF(ifood_data[[#All],[Income]]&gt;50000,"50K-75K",(IF(ifood_data[[#All],[Income]]&gt;35000,"35K-50K","&lt;35K")))))</f>
        <v>&lt;35K</v>
      </c>
      <c r="AW1990" t="str">
        <f>IF(ifood_data[[#All],[Age]]&gt;60,"60+",(IF(ifood_data[[#All],[Age]]&gt;50,"50-60",(IF(ifood_data[[#All],[Age]]&gt;40,"40-50",(IF(ifood_data[[#All],[Age]]&gt;30,"30-40","&lt;30")))))))</f>
        <v>40-50</v>
      </c>
      <c r="AX1990">
        <f t="shared" si="124"/>
        <v>14</v>
      </c>
      <c r="AY1990">
        <f t="shared" si="125"/>
        <v>6</v>
      </c>
      <c r="AZ1990">
        <f t="shared" si="126"/>
        <v>2</v>
      </c>
      <c r="BA1990">
        <f t="shared" si="127"/>
        <v>1</v>
      </c>
      <c r="BB1990">
        <f>SUM(ifood_data[[#This Row],[Recency Score]:[Monetary Score]])</f>
        <v>9</v>
      </c>
      <c r="BC1990">
        <f>(_xlfn.PERCENTRANK.INC(ifood_data[[#All],[RFM]],ifood_data[[#This Row],[RFM]],1))*10</f>
        <v>1</v>
      </c>
      <c r="BD1990" t="str">
        <f>VLOOKUP(ifood_data[[#This Row],[RFM Score]],'RFM Analysis'!$A$3:$B$14,2,FALSE)</f>
        <v>At Risk</v>
      </c>
      <c r="BE1990">
        <f>'Regression Models'!$B$101+'Regression Models'!$B$102*ifood_data[[#This Row],[Income]]+'Regression Models'!$B$103*ifood_data[[#This Row],[Age]]+'Regression Models'!$B$104*ifood_data[[#This Row],[Family]]</f>
        <v>-276.80169029076285</v>
      </c>
      <c r="BF1990" t="str">
        <f>IF(ifood_data[[#This Row],[AcceptedCmpOverall]]=1,"Campaign Respondent","Non-respondent")</f>
        <v>Non-respondent</v>
      </c>
    </row>
    <row r="1991" spans="1:58" x14ac:dyDescent="0.35">
      <c r="A1991">
        <v>1999</v>
      </c>
      <c r="B1991">
        <v>14918</v>
      </c>
      <c r="C1991">
        <v>0</v>
      </c>
      <c r="D1991">
        <v>1</v>
      </c>
      <c r="E1991">
        <v>52</v>
      </c>
      <c r="F1991">
        <v>3</v>
      </c>
      <c r="G1991">
        <v>3</v>
      </c>
      <c r="H1991">
        <v>3</v>
      </c>
      <c r="I1991">
        <v>15</v>
      </c>
      <c r="J1991">
        <v>4</v>
      </c>
      <c r="K1991">
        <v>15</v>
      </c>
      <c r="L1991">
        <v>1</v>
      </c>
      <c r="M1991">
        <v>1</v>
      </c>
      <c r="N1991">
        <v>0</v>
      </c>
      <c r="O1991">
        <v>3</v>
      </c>
      <c r="P1991">
        <v>6</v>
      </c>
      <c r="Q1991">
        <v>0</v>
      </c>
      <c r="R1991">
        <v>0</v>
      </c>
      <c r="S1991">
        <v>0</v>
      </c>
      <c r="T1991">
        <v>0</v>
      </c>
      <c r="U1991">
        <v>0</v>
      </c>
      <c r="V1991">
        <f>IF(SUM(ifood_data[[#This Row],[AcceptedCmp1]:[AcceptedCmp5]])&gt;0,1,0)</f>
        <v>0</v>
      </c>
      <c r="W1991">
        <v>0</v>
      </c>
      <c r="X1991">
        <v>3</v>
      </c>
      <c r="Y1991">
        <v>11</v>
      </c>
      <c r="Z1991">
        <v>0</v>
      </c>
      <c r="AA1991">
        <v>57</v>
      </c>
      <c r="AB1991">
        <v>2728</v>
      </c>
      <c r="AC1991" s="28">
        <f>ifood_data[[#This Row],[Customer_Days]]/365</f>
        <v>7.4739726027397264</v>
      </c>
      <c r="AD1991">
        <v>0</v>
      </c>
      <c r="AE1991">
        <v>0</v>
      </c>
      <c r="AF1991">
        <v>0</v>
      </c>
      <c r="AG1991">
        <v>1</v>
      </c>
      <c r="AH1991">
        <v>0</v>
      </c>
      <c r="AI1991">
        <v>0</v>
      </c>
      <c r="AJ1991">
        <v>1</v>
      </c>
      <c r="AK1991">
        <v>0</v>
      </c>
      <c r="AL1991">
        <v>0</v>
      </c>
      <c r="AM1991">
        <v>0</v>
      </c>
      <c r="AN1991">
        <v>28</v>
      </c>
      <c r="AO1991">
        <v>13</v>
      </c>
      <c r="AP1991">
        <f>ifood_data[[#This Row],[MntTotal]]-ifood_data[[#This Row],[MntRegularProds]]</f>
        <v>15</v>
      </c>
      <c r="AQ1991">
        <v>0</v>
      </c>
      <c r="AR1991">
        <f>IF(SUM(ifood_data[[#This Row],[Kidhome]:[Teenhome]])&gt;0,1,0)</f>
        <v>1</v>
      </c>
      <c r="AS1991" t="str">
        <f>IF(SUM(ifood_data[[#This Row],[Kidhome]:[Teenhome]])&gt;0,"Has Family","No Family")</f>
        <v>Has Family</v>
      </c>
      <c r="AT1991" t="str">
        <f>IF(ifood_data[[#This Row],[marital_Married]]=1,"Married", (IF(ifood_data[[#This Row],[marital_Single]]=1,"Single",(IF(ifood_data[[#This Row],[marital_Divorced]]=1,"Divorced",(IF(ifood_data[[#This Row],[marital_Together]]=1,"Living Together",(IF(ifood_data[[#This Row],[marital_Widow]]=1,"Widow","Other")))))))))</f>
        <v>Living Together</v>
      </c>
      <c r="AU1991" t="str">
        <f>IF(ifood_data[[#This Row],[education_Basic]]=1,"High School",(IF(ifood_data[[#This Row],[education_Graduation]]=1,"Undergraduate Degree",(IF(SUM(AM1991,AL1991,AI1991)&gt;0,"Master's Degree or Higher","Other")))))</f>
        <v>High School</v>
      </c>
      <c r="AV1991" t="str">
        <f>IF(ifood_data[[#All],[Income]]&gt;75000,"75K+",(IF(ifood_data[[#All],[Income]]&gt;50000,"50K-75K",(IF(ifood_data[[#All],[Income]]&gt;35000,"35K-50K","&lt;35K")))))</f>
        <v>&lt;35K</v>
      </c>
      <c r="AW1991" t="str">
        <f>IF(ifood_data[[#All],[Age]]&gt;60,"60+",(IF(ifood_data[[#All],[Age]]&gt;50,"50-60",(IF(ifood_data[[#All],[Age]]&gt;40,"40-50",(IF(ifood_data[[#All],[Age]]&gt;30,"30-40","&lt;30")))))))</f>
        <v>50-60</v>
      </c>
      <c r="AX1991">
        <f t="shared" si="124"/>
        <v>11</v>
      </c>
      <c r="AY1991">
        <f t="shared" si="125"/>
        <v>5</v>
      </c>
      <c r="AZ1991">
        <f t="shared" si="126"/>
        <v>0</v>
      </c>
      <c r="BA1991">
        <f t="shared" si="127"/>
        <v>0</v>
      </c>
      <c r="BB1991">
        <f>SUM(ifood_data[[#This Row],[Recency Score]:[Monetary Score]])</f>
        <v>5</v>
      </c>
      <c r="BC1991">
        <f>(_xlfn.PERCENTRANK.INC(ifood_data[[#All],[RFM]],ifood_data[[#This Row],[RFM]],1))*10</f>
        <v>0</v>
      </c>
      <c r="BD1991" t="str">
        <f>VLOOKUP(ifood_data[[#This Row],[RFM Score]],'RFM Analysis'!$A$3:$B$14,2,FALSE)</f>
        <v>Lost</v>
      </c>
      <c r="BE1991">
        <f>'Regression Models'!$B$101+'Regression Models'!$B$102*ifood_data[[#This Row],[Income]]+'Regression Models'!$B$103*ifood_data[[#This Row],[Age]]+'Regression Models'!$B$104*ifood_data[[#This Row],[Family]]</f>
        <v>-277.94627167377132</v>
      </c>
      <c r="BF1991" t="str">
        <f>IF(ifood_data[[#This Row],[AcceptedCmpOverall]]=1,"Campaign Respondent","Non-respondent")</f>
        <v>Non-respondent</v>
      </c>
    </row>
    <row r="1992" spans="1:58" x14ac:dyDescent="0.35">
      <c r="A1992">
        <v>595</v>
      </c>
      <c r="B1992">
        <v>13624</v>
      </c>
      <c r="C1992">
        <v>1</v>
      </c>
      <c r="D1992">
        <v>0</v>
      </c>
      <c r="E1992">
        <v>93</v>
      </c>
      <c r="F1992">
        <v>10</v>
      </c>
      <c r="G1992">
        <v>2</v>
      </c>
      <c r="H1992">
        <v>15</v>
      </c>
      <c r="I1992">
        <v>2</v>
      </c>
      <c r="J1992">
        <v>1</v>
      </c>
      <c r="K1992">
        <v>6</v>
      </c>
      <c r="L1992">
        <v>2</v>
      </c>
      <c r="M1992">
        <v>2</v>
      </c>
      <c r="N1992">
        <v>0</v>
      </c>
      <c r="O1992">
        <v>3</v>
      </c>
      <c r="P1992">
        <v>6</v>
      </c>
      <c r="Q1992">
        <v>0</v>
      </c>
      <c r="R1992">
        <v>0</v>
      </c>
      <c r="S1992">
        <v>0</v>
      </c>
      <c r="T1992">
        <v>0</v>
      </c>
      <c r="U1992">
        <v>0</v>
      </c>
      <c r="V1992">
        <f>IF(SUM(ifood_data[[#This Row],[AcceptedCmp1]:[AcceptedCmp5]])&gt;0,1,0)</f>
        <v>0</v>
      </c>
      <c r="W1992">
        <v>0</v>
      </c>
      <c r="X1992">
        <v>3</v>
      </c>
      <c r="Y1992">
        <v>11</v>
      </c>
      <c r="Z1992">
        <v>0</v>
      </c>
      <c r="AA1992">
        <v>44</v>
      </c>
      <c r="AB1992">
        <v>2684</v>
      </c>
      <c r="AC1992" s="28">
        <f>ifood_data[[#This Row],[Customer_Days]]/365</f>
        <v>7.353424657534247</v>
      </c>
      <c r="AD1992">
        <v>0</v>
      </c>
      <c r="AE1992">
        <v>1</v>
      </c>
      <c r="AF1992">
        <v>0</v>
      </c>
      <c r="AG1992">
        <v>0</v>
      </c>
      <c r="AH1992">
        <v>0</v>
      </c>
      <c r="AI1992">
        <v>0</v>
      </c>
      <c r="AJ1992">
        <v>0</v>
      </c>
      <c r="AK1992">
        <v>1</v>
      </c>
      <c r="AL1992">
        <v>0</v>
      </c>
      <c r="AM1992">
        <v>0</v>
      </c>
      <c r="AN1992">
        <v>30</v>
      </c>
      <c r="AO1992">
        <v>24</v>
      </c>
      <c r="AP1992">
        <f>ifood_data[[#This Row],[MntTotal]]-ifood_data[[#This Row],[MntRegularProds]]</f>
        <v>6</v>
      </c>
      <c r="AQ1992">
        <v>0</v>
      </c>
      <c r="AR1992">
        <f>IF(SUM(ifood_data[[#This Row],[Kidhome]:[Teenhome]])&gt;0,1,0)</f>
        <v>1</v>
      </c>
      <c r="AS1992" t="str">
        <f>IF(SUM(ifood_data[[#This Row],[Kidhome]:[Teenhome]])&gt;0,"Has Family","No Family")</f>
        <v>Has Family</v>
      </c>
      <c r="AT1992" t="str">
        <f>IF(ifood_data[[#This Row],[marital_Married]]=1,"Married", (IF(ifood_data[[#This Row],[marital_Single]]=1,"Single",(IF(ifood_data[[#This Row],[marital_Divorced]]=1,"Divorced",(IF(ifood_data[[#This Row],[marital_Together]]=1,"Living Together",(IF(ifood_data[[#This Row],[marital_Widow]]=1,"Widow","Other")))))))))</f>
        <v>Married</v>
      </c>
      <c r="AU1992" t="str">
        <f>IF(ifood_data[[#This Row],[education_Basic]]=1,"High School",(IF(ifood_data[[#This Row],[education_Graduation]]=1,"Undergraduate Degree",(IF(SUM(AM1992,AL1992,AI1992)&gt;0,"Master's Degree or Higher","Other")))))</f>
        <v>Undergraduate Degree</v>
      </c>
      <c r="AV1992" t="str">
        <f>IF(ifood_data[[#All],[Income]]&gt;75000,"75K+",(IF(ifood_data[[#All],[Income]]&gt;50000,"50K-75K",(IF(ifood_data[[#All],[Income]]&gt;35000,"35K-50K","&lt;35K")))))</f>
        <v>&lt;35K</v>
      </c>
      <c r="AW1992" t="str">
        <f>IF(ifood_data[[#All],[Age]]&gt;60,"60+",(IF(ifood_data[[#All],[Age]]&gt;50,"50-60",(IF(ifood_data[[#All],[Age]]&gt;40,"40-50",(IF(ifood_data[[#All],[Age]]&gt;30,"30-40","&lt;30")))))))</f>
        <v>40-50</v>
      </c>
      <c r="AX1992">
        <f t="shared" si="124"/>
        <v>13</v>
      </c>
      <c r="AY1992">
        <f t="shared" si="125"/>
        <v>0.99999999999999978</v>
      </c>
      <c r="AZ1992">
        <f t="shared" si="126"/>
        <v>1</v>
      </c>
      <c r="BA1992">
        <f t="shared" si="127"/>
        <v>1</v>
      </c>
      <c r="BB1992">
        <f>SUM(ifood_data[[#This Row],[Recency Score]:[Monetary Score]])</f>
        <v>3</v>
      </c>
      <c r="BC1992">
        <f>(_xlfn.PERCENTRANK.INC(ifood_data[[#All],[RFM]],ifood_data[[#This Row],[RFM]],1))*10</f>
        <v>0</v>
      </c>
      <c r="BD1992" t="str">
        <f>VLOOKUP(ifood_data[[#This Row],[RFM Score]],'RFM Analysis'!$A$3:$B$14,2,FALSE)</f>
        <v>Lost</v>
      </c>
      <c r="BE1992">
        <f>'Regression Models'!$B$101+'Regression Models'!$B$102*ifood_data[[#This Row],[Income]]+'Regression Models'!$B$103*ifood_data[[#This Row],[Age]]+'Regression Models'!$B$104*ifood_data[[#This Row],[Family]]</f>
        <v>-280.45562962635086</v>
      </c>
      <c r="BF1992" t="str">
        <f>IF(ifood_data[[#This Row],[AcceptedCmpOverall]]=1,"Campaign Respondent","Non-respondent")</f>
        <v>Non-respondent</v>
      </c>
    </row>
    <row r="1993" spans="1:58" x14ac:dyDescent="0.35">
      <c r="A1993">
        <v>1117</v>
      </c>
      <c r="B1993">
        <v>15056</v>
      </c>
      <c r="C1993">
        <v>1</v>
      </c>
      <c r="D1993">
        <v>1</v>
      </c>
      <c r="E1993">
        <v>76</v>
      </c>
      <c r="F1993">
        <v>6</v>
      </c>
      <c r="G1993">
        <v>12</v>
      </c>
      <c r="H1993">
        <v>3</v>
      </c>
      <c r="I1993">
        <v>21</v>
      </c>
      <c r="J1993">
        <v>6</v>
      </c>
      <c r="K1993">
        <v>40</v>
      </c>
      <c r="L1993">
        <v>5</v>
      </c>
      <c r="M1993">
        <v>2</v>
      </c>
      <c r="N1993">
        <v>2</v>
      </c>
      <c r="O1993">
        <v>3</v>
      </c>
      <c r="P1993">
        <v>5</v>
      </c>
      <c r="Q1993">
        <v>0</v>
      </c>
      <c r="R1993">
        <v>0</v>
      </c>
      <c r="S1993">
        <v>0</v>
      </c>
      <c r="T1993">
        <v>0</v>
      </c>
      <c r="U1993">
        <v>0</v>
      </c>
      <c r="V1993">
        <f>IF(SUM(ifood_data[[#This Row],[AcceptedCmp1]:[AcceptedCmp5]])&gt;0,1,0)</f>
        <v>0</v>
      </c>
      <c r="W1993">
        <v>0</v>
      </c>
      <c r="X1993">
        <v>3</v>
      </c>
      <c r="Y1993">
        <v>11</v>
      </c>
      <c r="Z1993">
        <v>0</v>
      </c>
      <c r="AA1993">
        <v>62</v>
      </c>
      <c r="AB1993">
        <v>2581</v>
      </c>
      <c r="AC1993" s="28">
        <f>ifood_data[[#This Row],[Customer_Days]]/365</f>
        <v>7.0712328767123287</v>
      </c>
      <c r="AD1993">
        <v>0</v>
      </c>
      <c r="AE1993">
        <v>0</v>
      </c>
      <c r="AF1993">
        <v>1</v>
      </c>
      <c r="AG1993">
        <v>0</v>
      </c>
      <c r="AH1993">
        <v>0</v>
      </c>
      <c r="AI1993">
        <v>0</v>
      </c>
      <c r="AJ1993">
        <v>1</v>
      </c>
      <c r="AK1993">
        <v>0</v>
      </c>
      <c r="AL1993">
        <v>0</v>
      </c>
      <c r="AM1993">
        <v>0</v>
      </c>
      <c r="AN1993">
        <v>48</v>
      </c>
      <c r="AO1993">
        <v>8</v>
      </c>
      <c r="AP1993">
        <f>ifood_data[[#This Row],[MntTotal]]-ifood_data[[#This Row],[MntRegularProds]]</f>
        <v>40</v>
      </c>
      <c r="AQ1993">
        <v>0</v>
      </c>
      <c r="AR1993">
        <f>IF(SUM(ifood_data[[#This Row],[Kidhome]:[Teenhome]])&gt;0,1,0)</f>
        <v>1</v>
      </c>
      <c r="AS1993" t="str">
        <f>IF(SUM(ifood_data[[#This Row],[Kidhome]:[Teenhome]])&gt;0,"Has Family","No Family")</f>
        <v>Has Family</v>
      </c>
      <c r="AT1993" t="str">
        <f>IF(ifood_data[[#This Row],[marital_Married]]=1,"Married", (IF(ifood_data[[#This Row],[marital_Single]]=1,"Single",(IF(ifood_data[[#This Row],[marital_Divorced]]=1,"Divorced",(IF(ifood_data[[#This Row],[marital_Together]]=1,"Living Together",(IF(ifood_data[[#This Row],[marital_Widow]]=1,"Widow","Other")))))))))</f>
        <v>Single</v>
      </c>
      <c r="AU1993" t="str">
        <f>IF(ifood_data[[#This Row],[education_Basic]]=1,"High School",(IF(ifood_data[[#This Row],[education_Graduation]]=1,"Undergraduate Degree",(IF(SUM(AM1993,AL1993,AI1993)&gt;0,"Master's Degree or Higher","Other")))))</f>
        <v>High School</v>
      </c>
      <c r="AV1993" t="str">
        <f>IF(ifood_data[[#All],[Income]]&gt;75000,"75K+",(IF(ifood_data[[#All],[Income]]&gt;50000,"50K-75K",(IF(ifood_data[[#All],[Income]]&gt;35000,"35K-50K","&lt;35K")))))</f>
        <v>&lt;35K</v>
      </c>
      <c r="AW1993" t="str">
        <f>IF(ifood_data[[#All],[Age]]&gt;60,"60+",(IF(ifood_data[[#All],[Age]]&gt;50,"50-60",(IF(ifood_data[[#All],[Age]]&gt;40,"40-50",(IF(ifood_data[[#All],[Age]]&gt;30,"30-40","&lt;30")))))))</f>
        <v>60+</v>
      </c>
      <c r="AX1993">
        <f t="shared" si="124"/>
        <v>17</v>
      </c>
      <c r="AY1993">
        <f t="shared" si="125"/>
        <v>3.0000000000000004</v>
      </c>
      <c r="AZ1993">
        <f t="shared" si="126"/>
        <v>3</v>
      </c>
      <c r="BA1993">
        <f t="shared" si="127"/>
        <v>2</v>
      </c>
      <c r="BB1993">
        <f>SUM(ifood_data[[#This Row],[Recency Score]:[Monetary Score]])</f>
        <v>8</v>
      </c>
      <c r="BC1993">
        <f>(_xlfn.PERCENTRANK.INC(ifood_data[[#All],[RFM]],ifood_data[[#This Row],[RFM]],1))*10</f>
        <v>1</v>
      </c>
      <c r="BD1993" t="str">
        <f>VLOOKUP(ifood_data[[#This Row],[RFM Score]],'RFM Analysis'!$A$3:$B$14,2,FALSE)</f>
        <v>At Risk</v>
      </c>
      <c r="BE1993">
        <f>'Regression Models'!$B$101+'Regression Models'!$B$102*ifood_data[[#This Row],[Income]]+'Regression Models'!$B$103*ifood_data[[#This Row],[Age]]+'Regression Models'!$B$104*ifood_data[[#This Row],[Family]]</f>
        <v>-284.31481706438467</v>
      </c>
      <c r="BF1993" t="str">
        <f>IF(ifood_data[[#This Row],[AcceptedCmpOverall]]=1,"Campaign Respondent","Non-respondent")</f>
        <v>Non-respondent</v>
      </c>
    </row>
    <row r="1994" spans="1:58" x14ac:dyDescent="0.35">
      <c r="A1994">
        <v>463</v>
      </c>
      <c r="B1994">
        <v>14045</v>
      </c>
      <c r="C1994">
        <v>1</v>
      </c>
      <c r="D1994">
        <v>0</v>
      </c>
      <c r="E1994">
        <v>24</v>
      </c>
      <c r="F1994">
        <v>11</v>
      </c>
      <c r="G1994">
        <v>0</v>
      </c>
      <c r="H1994">
        <v>5</v>
      </c>
      <c r="I1994">
        <v>2</v>
      </c>
      <c r="J1994">
        <v>1</v>
      </c>
      <c r="K1994">
        <v>1</v>
      </c>
      <c r="L1994">
        <v>1</v>
      </c>
      <c r="M1994">
        <v>1</v>
      </c>
      <c r="N1994">
        <v>0</v>
      </c>
      <c r="O1994">
        <v>3</v>
      </c>
      <c r="P1994">
        <v>7</v>
      </c>
      <c r="Q1994">
        <v>0</v>
      </c>
      <c r="R1994">
        <v>0</v>
      </c>
      <c r="S1994">
        <v>0</v>
      </c>
      <c r="T1994">
        <v>0</v>
      </c>
      <c r="U1994">
        <v>0</v>
      </c>
      <c r="V1994">
        <f>IF(SUM(ifood_data[[#This Row],[AcceptedCmp1]:[AcceptedCmp5]])&gt;0,1,0)</f>
        <v>0</v>
      </c>
      <c r="W1994">
        <v>0</v>
      </c>
      <c r="X1994">
        <v>3</v>
      </c>
      <c r="Y1994">
        <v>11</v>
      </c>
      <c r="Z1994">
        <v>0</v>
      </c>
      <c r="AA1994">
        <v>51</v>
      </c>
      <c r="AB1994">
        <v>2313</v>
      </c>
      <c r="AC1994" s="28">
        <f>ifood_data[[#This Row],[Customer_Days]]/365</f>
        <v>6.3369863013698629</v>
      </c>
      <c r="AD1994">
        <v>0</v>
      </c>
      <c r="AE1994">
        <v>1</v>
      </c>
      <c r="AF1994">
        <v>0</v>
      </c>
      <c r="AG1994">
        <v>0</v>
      </c>
      <c r="AH1994">
        <v>0</v>
      </c>
      <c r="AI1994">
        <v>0</v>
      </c>
      <c r="AJ1994">
        <v>0</v>
      </c>
      <c r="AK1994">
        <v>1</v>
      </c>
      <c r="AL1994">
        <v>0</v>
      </c>
      <c r="AM1994">
        <v>0</v>
      </c>
      <c r="AN1994">
        <v>19</v>
      </c>
      <c r="AO1994">
        <v>18</v>
      </c>
      <c r="AP1994">
        <f>ifood_data[[#This Row],[MntTotal]]-ifood_data[[#This Row],[MntRegularProds]]</f>
        <v>1</v>
      </c>
      <c r="AQ1994">
        <v>0</v>
      </c>
      <c r="AR1994">
        <f>IF(SUM(ifood_data[[#This Row],[Kidhome]:[Teenhome]])&gt;0,1,0)</f>
        <v>1</v>
      </c>
      <c r="AS1994" t="str">
        <f>IF(SUM(ifood_data[[#This Row],[Kidhome]:[Teenhome]])&gt;0,"Has Family","No Family")</f>
        <v>Has Family</v>
      </c>
      <c r="AT1994" t="str">
        <f>IF(ifood_data[[#This Row],[marital_Married]]=1,"Married", (IF(ifood_data[[#This Row],[marital_Single]]=1,"Single",(IF(ifood_data[[#This Row],[marital_Divorced]]=1,"Divorced",(IF(ifood_data[[#This Row],[marital_Together]]=1,"Living Together",(IF(ifood_data[[#This Row],[marital_Widow]]=1,"Widow","Other")))))))))</f>
        <v>Married</v>
      </c>
      <c r="AU1994" t="str">
        <f>IF(ifood_data[[#This Row],[education_Basic]]=1,"High School",(IF(ifood_data[[#This Row],[education_Graduation]]=1,"Undergraduate Degree",(IF(SUM(AM1994,AL1994,AI1994)&gt;0,"Master's Degree or Higher","Other")))))</f>
        <v>Undergraduate Degree</v>
      </c>
      <c r="AV1994" t="str">
        <f>IF(ifood_data[[#All],[Income]]&gt;75000,"75K+",(IF(ifood_data[[#All],[Income]]&gt;50000,"50K-75K",(IF(ifood_data[[#All],[Income]]&gt;35000,"35K-50K","&lt;35K")))))</f>
        <v>&lt;35K</v>
      </c>
      <c r="AW1994" t="str">
        <f>IF(ifood_data[[#All],[Age]]&gt;60,"60+",(IF(ifood_data[[#All],[Age]]&gt;50,"50-60",(IF(ifood_data[[#All],[Age]]&gt;40,"40-50",(IF(ifood_data[[#All],[Age]]&gt;30,"30-40","&lt;30")))))))</f>
        <v>50-60</v>
      </c>
      <c r="AX1994">
        <f t="shared" si="124"/>
        <v>12</v>
      </c>
      <c r="AY1994">
        <f t="shared" si="125"/>
        <v>8</v>
      </c>
      <c r="AZ1994">
        <f t="shared" si="126"/>
        <v>1</v>
      </c>
      <c r="BA1994">
        <f t="shared" si="127"/>
        <v>0</v>
      </c>
      <c r="BB1994">
        <f>SUM(ifood_data[[#This Row],[Recency Score]:[Monetary Score]])</f>
        <v>9</v>
      </c>
      <c r="BC1994">
        <f>(_xlfn.PERCENTRANK.INC(ifood_data[[#All],[RFM]],ifood_data[[#This Row],[RFM]],1))*10</f>
        <v>1</v>
      </c>
      <c r="BD1994" t="str">
        <f>VLOOKUP(ifood_data[[#This Row],[RFM Score]],'RFM Analysis'!$A$3:$B$14,2,FALSE)</f>
        <v>At Risk</v>
      </c>
      <c r="BE1994">
        <f>'Regression Models'!$B$101+'Regression Models'!$B$102*ifood_data[[#This Row],[Income]]+'Regression Models'!$B$103*ifood_data[[#This Row],[Age]]+'Regression Models'!$B$104*ifood_data[[#This Row],[Family]]</f>
        <v>-284.7270317900294</v>
      </c>
      <c r="BF1994" t="str">
        <f>IF(ifood_data[[#This Row],[AcceptedCmpOverall]]=1,"Campaign Respondent","Non-respondent")</f>
        <v>Non-respondent</v>
      </c>
    </row>
    <row r="1995" spans="1:58" x14ac:dyDescent="0.35">
      <c r="A1995">
        <v>551</v>
      </c>
      <c r="B1995">
        <v>13260</v>
      </c>
      <c r="C1995">
        <v>1</v>
      </c>
      <c r="D1995">
        <v>1</v>
      </c>
      <c r="E1995">
        <v>48</v>
      </c>
      <c r="F1995">
        <v>9</v>
      </c>
      <c r="G1995">
        <v>4</v>
      </c>
      <c r="H1995">
        <v>17</v>
      </c>
      <c r="I1995">
        <v>10</v>
      </c>
      <c r="J1995">
        <v>2</v>
      </c>
      <c r="K1995">
        <v>7</v>
      </c>
      <c r="L1995">
        <v>4</v>
      </c>
      <c r="M1995">
        <v>3</v>
      </c>
      <c r="N1995">
        <v>0</v>
      </c>
      <c r="O1995">
        <v>3</v>
      </c>
      <c r="P1995">
        <v>8</v>
      </c>
      <c r="Q1995">
        <v>0</v>
      </c>
      <c r="R1995">
        <v>0</v>
      </c>
      <c r="S1995">
        <v>0</v>
      </c>
      <c r="T1995">
        <v>0</v>
      </c>
      <c r="U1995">
        <v>0</v>
      </c>
      <c r="V1995">
        <f>IF(SUM(ifood_data[[#This Row],[AcceptedCmp1]:[AcceptedCmp5]])&gt;0,1,0)</f>
        <v>0</v>
      </c>
      <c r="W1995">
        <v>0</v>
      </c>
      <c r="X1995">
        <v>3</v>
      </c>
      <c r="Y1995">
        <v>11</v>
      </c>
      <c r="Z1995">
        <v>0</v>
      </c>
      <c r="AA1995">
        <v>50</v>
      </c>
      <c r="AB1995">
        <v>2469</v>
      </c>
      <c r="AC1995" s="28">
        <f>ifood_data[[#This Row],[Customer_Days]]/365</f>
        <v>6.7643835616438359</v>
      </c>
      <c r="AD1995">
        <v>0</v>
      </c>
      <c r="AE1995">
        <v>1</v>
      </c>
      <c r="AF1995">
        <v>0</v>
      </c>
      <c r="AG1995">
        <v>0</v>
      </c>
      <c r="AH1995">
        <v>0</v>
      </c>
      <c r="AI1995">
        <v>0</v>
      </c>
      <c r="AJ1995">
        <v>0</v>
      </c>
      <c r="AK1995">
        <v>1</v>
      </c>
      <c r="AL1995">
        <v>0</v>
      </c>
      <c r="AM1995">
        <v>0</v>
      </c>
      <c r="AN1995">
        <v>42</v>
      </c>
      <c r="AO1995">
        <v>35</v>
      </c>
      <c r="AP1995">
        <f>ifood_data[[#This Row],[MntTotal]]-ifood_data[[#This Row],[MntRegularProds]]</f>
        <v>7</v>
      </c>
      <c r="AQ1995">
        <v>0</v>
      </c>
      <c r="AR1995">
        <f>IF(SUM(ifood_data[[#This Row],[Kidhome]:[Teenhome]])&gt;0,1,0)</f>
        <v>1</v>
      </c>
      <c r="AS1995" t="str">
        <f>IF(SUM(ifood_data[[#This Row],[Kidhome]:[Teenhome]])&gt;0,"Has Family","No Family")</f>
        <v>Has Family</v>
      </c>
      <c r="AT1995" t="str">
        <f>IF(ifood_data[[#This Row],[marital_Married]]=1,"Married", (IF(ifood_data[[#This Row],[marital_Single]]=1,"Single",(IF(ifood_data[[#This Row],[marital_Divorced]]=1,"Divorced",(IF(ifood_data[[#This Row],[marital_Together]]=1,"Living Together",(IF(ifood_data[[#This Row],[marital_Widow]]=1,"Widow","Other")))))))))</f>
        <v>Married</v>
      </c>
      <c r="AU1995" t="str">
        <f>IF(ifood_data[[#This Row],[education_Basic]]=1,"High School",(IF(ifood_data[[#This Row],[education_Graduation]]=1,"Undergraduate Degree",(IF(SUM(AM1995,AL1995,AI1995)&gt;0,"Master's Degree or Higher","Other")))))</f>
        <v>Undergraduate Degree</v>
      </c>
      <c r="AV1995" t="str">
        <f>IF(ifood_data[[#All],[Income]]&gt;75000,"75K+",(IF(ifood_data[[#All],[Income]]&gt;50000,"50K-75K",(IF(ifood_data[[#All],[Income]]&gt;35000,"35K-50K","&lt;35K")))))</f>
        <v>&lt;35K</v>
      </c>
      <c r="AW1995" t="str">
        <f>IF(ifood_data[[#All],[Age]]&gt;60,"60+",(IF(ifood_data[[#All],[Age]]&gt;50,"50-60",(IF(ifood_data[[#All],[Age]]&gt;40,"40-50",(IF(ifood_data[[#All],[Age]]&gt;30,"30-40","&lt;30")))))))</f>
        <v>40-50</v>
      </c>
      <c r="AX1995">
        <f t="shared" si="124"/>
        <v>18</v>
      </c>
      <c r="AY1995">
        <f t="shared" si="125"/>
        <v>6</v>
      </c>
      <c r="AZ1995">
        <f t="shared" si="126"/>
        <v>4</v>
      </c>
      <c r="BA1995">
        <f t="shared" si="127"/>
        <v>1</v>
      </c>
      <c r="BB1995">
        <f>SUM(ifood_data[[#This Row],[Recency Score]:[Monetary Score]])</f>
        <v>11</v>
      </c>
      <c r="BC1995">
        <f>(_xlfn.PERCENTRANK.INC(ifood_data[[#All],[RFM]],ifood_data[[#This Row],[RFM]],1))*10</f>
        <v>2</v>
      </c>
      <c r="BD1995" t="str">
        <f>VLOOKUP(ifood_data[[#This Row],[RFM Score]],'RFM Analysis'!$A$3:$B$14,2,FALSE)</f>
        <v>At Risk</v>
      </c>
      <c r="BE1995">
        <f>'Regression Models'!$B$101+'Regression Models'!$B$102*ifood_data[[#This Row],[Income]]+'Regression Models'!$B$103*ifood_data[[#This Row],[Age]]+'Regression Models'!$B$104*ifood_data[[#This Row],[Family]]</f>
        <v>-298.89577570409574</v>
      </c>
      <c r="BF1995" t="str">
        <f>IF(ifood_data[[#This Row],[AcceptedCmpOverall]]=1,"Campaign Respondent","Non-respondent")</f>
        <v>Non-respondent</v>
      </c>
    </row>
    <row r="1996" spans="1:58" x14ac:dyDescent="0.35">
      <c r="A1996">
        <v>293</v>
      </c>
      <c r="B1996">
        <v>12571</v>
      </c>
      <c r="C1996">
        <v>1</v>
      </c>
      <c r="D1996">
        <v>0</v>
      </c>
      <c r="E1996">
        <v>86</v>
      </c>
      <c r="F1996">
        <v>3</v>
      </c>
      <c r="G1996">
        <v>5</v>
      </c>
      <c r="H1996">
        <v>14</v>
      </c>
      <c r="I1996">
        <v>2</v>
      </c>
      <c r="J1996">
        <v>12</v>
      </c>
      <c r="K1996">
        <v>17</v>
      </c>
      <c r="L1996">
        <v>4</v>
      </c>
      <c r="M1996">
        <v>3</v>
      </c>
      <c r="N1996">
        <v>1</v>
      </c>
      <c r="O1996">
        <v>3</v>
      </c>
      <c r="P1996">
        <v>6</v>
      </c>
      <c r="Q1996">
        <v>0</v>
      </c>
      <c r="R1996">
        <v>0</v>
      </c>
      <c r="S1996">
        <v>0</v>
      </c>
      <c r="T1996">
        <v>0</v>
      </c>
      <c r="U1996">
        <v>0</v>
      </c>
      <c r="V1996">
        <f>IF(SUM(ifood_data[[#This Row],[AcceptedCmp1]:[AcceptedCmp5]])&gt;0,1,0)</f>
        <v>0</v>
      </c>
      <c r="W1996">
        <v>0</v>
      </c>
      <c r="X1996">
        <v>3</v>
      </c>
      <c r="Y1996">
        <v>11</v>
      </c>
      <c r="Z1996">
        <v>0</v>
      </c>
      <c r="AA1996">
        <v>44</v>
      </c>
      <c r="AB1996">
        <v>2321</v>
      </c>
      <c r="AC1996" s="28">
        <f>ifood_data[[#This Row],[Customer_Days]]/365</f>
        <v>6.3589041095890408</v>
      </c>
      <c r="AD1996">
        <v>1</v>
      </c>
      <c r="AE1996">
        <v>0</v>
      </c>
      <c r="AF1996">
        <v>0</v>
      </c>
      <c r="AG1996">
        <v>0</v>
      </c>
      <c r="AH1996">
        <v>0</v>
      </c>
      <c r="AI1996">
        <v>0</v>
      </c>
      <c r="AJ1996">
        <v>0</v>
      </c>
      <c r="AK1996">
        <v>1</v>
      </c>
      <c r="AL1996">
        <v>0</v>
      </c>
      <c r="AM1996">
        <v>0</v>
      </c>
      <c r="AN1996">
        <v>36</v>
      </c>
      <c r="AO1996">
        <v>19</v>
      </c>
      <c r="AP1996">
        <f>ifood_data[[#This Row],[MntTotal]]-ifood_data[[#This Row],[MntRegularProds]]</f>
        <v>17</v>
      </c>
      <c r="AQ1996">
        <v>0</v>
      </c>
      <c r="AR1996">
        <f>IF(SUM(ifood_data[[#This Row],[Kidhome]:[Teenhome]])&gt;0,1,0)</f>
        <v>1</v>
      </c>
      <c r="AS1996" t="str">
        <f>IF(SUM(ifood_data[[#This Row],[Kidhome]:[Teenhome]])&gt;0,"Has Family","No Family")</f>
        <v>Has Family</v>
      </c>
      <c r="AT1996" t="str">
        <f>IF(ifood_data[[#This Row],[marital_Married]]=1,"Married", (IF(ifood_data[[#This Row],[marital_Single]]=1,"Single",(IF(ifood_data[[#This Row],[marital_Divorced]]=1,"Divorced",(IF(ifood_data[[#This Row],[marital_Together]]=1,"Living Together",(IF(ifood_data[[#This Row],[marital_Widow]]=1,"Widow","Other")))))))))</f>
        <v>Divorced</v>
      </c>
      <c r="AU1996" t="str">
        <f>IF(ifood_data[[#This Row],[education_Basic]]=1,"High School",(IF(ifood_data[[#This Row],[education_Graduation]]=1,"Undergraduate Degree",(IF(SUM(AM1996,AL1996,AI1996)&gt;0,"Master's Degree or Higher","Other")))))</f>
        <v>Undergraduate Degree</v>
      </c>
      <c r="AV1996" t="str">
        <f>IF(ifood_data[[#All],[Income]]&gt;75000,"75K+",(IF(ifood_data[[#All],[Income]]&gt;50000,"50K-75K",(IF(ifood_data[[#All],[Income]]&gt;35000,"35K-50K","&lt;35K")))))</f>
        <v>&lt;35K</v>
      </c>
      <c r="AW1996" t="str">
        <f>IF(ifood_data[[#All],[Age]]&gt;60,"60+",(IF(ifood_data[[#All],[Age]]&gt;50,"50-60",(IF(ifood_data[[#All],[Age]]&gt;40,"40-50",(IF(ifood_data[[#All],[Age]]&gt;30,"30-40","&lt;30")))))))</f>
        <v>40-50</v>
      </c>
      <c r="AX1996">
        <f t="shared" si="124"/>
        <v>17</v>
      </c>
      <c r="AY1996">
        <f t="shared" si="125"/>
        <v>1.9999999999999996</v>
      </c>
      <c r="AZ1996">
        <f t="shared" si="126"/>
        <v>3</v>
      </c>
      <c r="BA1996">
        <f t="shared" si="127"/>
        <v>1</v>
      </c>
      <c r="BB1996">
        <f>SUM(ifood_data[[#This Row],[Recency Score]:[Monetary Score]])</f>
        <v>6</v>
      </c>
      <c r="BC1996">
        <f>(_xlfn.PERCENTRANK.INC(ifood_data[[#All],[RFM]],ifood_data[[#This Row],[RFM]],1))*10</f>
        <v>0</v>
      </c>
      <c r="BD1996" t="str">
        <f>VLOOKUP(ifood_data[[#This Row],[RFM Score]],'RFM Analysis'!$A$3:$B$14,2,FALSE)</f>
        <v>Lost</v>
      </c>
      <c r="BE1996">
        <f>'Regression Models'!$B$101+'Regression Models'!$B$102*ifood_data[[#This Row],[Income]]+'Regression Models'!$B$103*ifood_data[[#This Row],[Age]]+'Regression Models'!$B$104*ifood_data[[#This Row],[Family]]</f>
        <v>-301.92500248187639</v>
      </c>
      <c r="BF1996" t="str">
        <f>IF(ifood_data[[#This Row],[AcceptedCmpOverall]]=1,"Campaign Respondent","Non-respondent")</f>
        <v>Non-respondent</v>
      </c>
    </row>
    <row r="1997" spans="1:58" x14ac:dyDescent="0.35">
      <c r="A1997">
        <v>1818</v>
      </c>
      <c r="B1997">
        <v>13672</v>
      </c>
      <c r="C1997">
        <v>1</v>
      </c>
      <c r="D1997">
        <v>1</v>
      </c>
      <c r="E1997">
        <v>86</v>
      </c>
      <c r="F1997">
        <v>6</v>
      </c>
      <c r="G1997">
        <v>2</v>
      </c>
      <c r="H1997">
        <v>9</v>
      </c>
      <c r="I1997">
        <v>2</v>
      </c>
      <c r="J1997">
        <v>1</v>
      </c>
      <c r="K1997">
        <v>5</v>
      </c>
      <c r="L1997">
        <v>2</v>
      </c>
      <c r="M1997">
        <v>1</v>
      </c>
      <c r="N1997">
        <v>0</v>
      </c>
      <c r="O1997">
        <v>3</v>
      </c>
      <c r="P1997">
        <v>8</v>
      </c>
      <c r="Q1997">
        <v>0</v>
      </c>
      <c r="R1997">
        <v>0</v>
      </c>
      <c r="S1997">
        <v>0</v>
      </c>
      <c r="T1997">
        <v>0</v>
      </c>
      <c r="U1997">
        <v>0</v>
      </c>
      <c r="V1997">
        <f>IF(SUM(ifood_data[[#This Row],[AcceptedCmp1]:[AcceptedCmp5]])&gt;0,1,0)</f>
        <v>0</v>
      </c>
      <c r="W1997">
        <v>0</v>
      </c>
      <c r="X1997">
        <v>3</v>
      </c>
      <c r="Y1997">
        <v>11</v>
      </c>
      <c r="Z1997">
        <v>0</v>
      </c>
      <c r="AA1997">
        <v>60</v>
      </c>
      <c r="AB1997">
        <v>2597</v>
      </c>
      <c r="AC1997" s="28">
        <f>ifood_data[[#This Row],[Customer_Days]]/365</f>
        <v>7.1150684931506847</v>
      </c>
      <c r="AD1997">
        <v>0</v>
      </c>
      <c r="AE1997">
        <v>0</v>
      </c>
      <c r="AF1997">
        <v>0</v>
      </c>
      <c r="AG1997">
        <v>1</v>
      </c>
      <c r="AH1997">
        <v>0</v>
      </c>
      <c r="AI1997">
        <v>0</v>
      </c>
      <c r="AJ1997">
        <v>0</v>
      </c>
      <c r="AK1997">
        <v>1</v>
      </c>
      <c r="AL1997">
        <v>0</v>
      </c>
      <c r="AM1997">
        <v>0</v>
      </c>
      <c r="AN1997">
        <v>20</v>
      </c>
      <c r="AO1997">
        <v>15</v>
      </c>
      <c r="AP1997">
        <f>ifood_data[[#This Row],[MntTotal]]-ifood_data[[#This Row],[MntRegularProds]]</f>
        <v>5</v>
      </c>
      <c r="AQ1997">
        <v>0</v>
      </c>
      <c r="AR1997">
        <f>IF(SUM(ifood_data[[#This Row],[Kidhome]:[Teenhome]])&gt;0,1,0)</f>
        <v>1</v>
      </c>
      <c r="AS1997" t="str">
        <f>IF(SUM(ifood_data[[#This Row],[Kidhome]:[Teenhome]])&gt;0,"Has Family","No Family")</f>
        <v>Has Family</v>
      </c>
      <c r="AT1997" t="str">
        <f>IF(ifood_data[[#This Row],[marital_Married]]=1,"Married", (IF(ifood_data[[#This Row],[marital_Single]]=1,"Single",(IF(ifood_data[[#This Row],[marital_Divorced]]=1,"Divorced",(IF(ifood_data[[#This Row],[marital_Together]]=1,"Living Together",(IF(ifood_data[[#This Row],[marital_Widow]]=1,"Widow","Other")))))))))</f>
        <v>Living Together</v>
      </c>
      <c r="AU1997" t="str">
        <f>IF(ifood_data[[#This Row],[education_Basic]]=1,"High School",(IF(ifood_data[[#This Row],[education_Graduation]]=1,"Undergraduate Degree",(IF(SUM(AM1997,AL1997,AI1997)&gt;0,"Master's Degree or Higher","Other")))))</f>
        <v>Undergraduate Degree</v>
      </c>
      <c r="AV1997" t="str">
        <f>IF(ifood_data[[#All],[Income]]&gt;75000,"75K+",(IF(ifood_data[[#All],[Income]]&gt;50000,"50K-75K",(IF(ifood_data[[#All],[Income]]&gt;35000,"35K-50K","&lt;35K")))))</f>
        <v>&lt;35K</v>
      </c>
      <c r="AW1997" t="str">
        <f>IF(ifood_data[[#All],[Age]]&gt;60,"60+",(IF(ifood_data[[#All],[Age]]&gt;50,"50-60",(IF(ifood_data[[#All],[Age]]&gt;40,"40-50",(IF(ifood_data[[#All],[Age]]&gt;30,"30-40","&lt;30")))))))</f>
        <v>50-60</v>
      </c>
      <c r="AX1997">
        <f t="shared" si="124"/>
        <v>14</v>
      </c>
      <c r="AY1997">
        <f t="shared" si="125"/>
        <v>1.9999999999999996</v>
      </c>
      <c r="AZ1997">
        <f t="shared" si="126"/>
        <v>2</v>
      </c>
      <c r="BA1997">
        <f t="shared" si="127"/>
        <v>0</v>
      </c>
      <c r="BB1997">
        <f>SUM(ifood_data[[#This Row],[Recency Score]:[Monetary Score]])</f>
        <v>3.9999999999999996</v>
      </c>
      <c r="BC1997">
        <f>(_xlfn.PERCENTRANK.INC(ifood_data[[#All],[RFM]],ifood_data[[#This Row],[RFM]],1))*10</f>
        <v>0</v>
      </c>
      <c r="BD1997" t="str">
        <f>VLOOKUP(ifood_data[[#This Row],[RFM Score]],'RFM Analysis'!$A$3:$B$14,2,FALSE)</f>
        <v>Lost</v>
      </c>
      <c r="BE1997">
        <f>'Regression Models'!$B$101+'Regression Models'!$B$102*ifood_data[[#This Row],[Income]]+'Regression Models'!$B$103*ifood_data[[#This Row],[Age]]+'Regression Models'!$B$104*ifood_data[[#This Row],[Family]]</f>
        <v>-308.85999401775217</v>
      </c>
      <c r="BF1997" t="str">
        <f>IF(ifood_data[[#This Row],[AcceptedCmpOverall]]=1,"Campaign Respondent","Non-respondent")</f>
        <v>Non-respondent</v>
      </c>
    </row>
    <row r="1998" spans="1:58" x14ac:dyDescent="0.35">
      <c r="A1998">
        <v>2015</v>
      </c>
      <c r="B1998">
        <v>11012</v>
      </c>
      <c r="C1998">
        <v>1</v>
      </c>
      <c r="D1998">
        <v>0</v>
      </c>
      <c r="E1998">
        <v>82</v>
      </c>
      <c r="F1998">
        <v>24</v>
      </c>
      <c r="G1998">
        <v>3</v>
      </c>
      <c r="H1998">
        <v>26</v>
      </c>
      <c r="I1998">
        <v>7</v>
      </c>
      <c r="J1998">
        <v>1</v>
      </c>
      <c r="K1998">
        <v>23</v>
      </c>
      <c r="L1998">
        <v>3</v>
      </c>
      <c r="M1998">
        <v>3</v>
      </c>
      <c r="N1998">
        <v>1</v>
      </c>
      <c r="O1998">
        <v>2</v>
      </c>
      <c r="P1998">
        <v>9</v>
      </c>
      <c r="Q1998">
        <v>0</v>
      </c>
      <c r="R1998">
        <v>0</v>
      </c>
      <c r="S1998">
        <v>1</v>
      </c>
      <c r="T1998">
        <v>0</v>
      </c>
      <c r="U1998">
        <v>0</v>
      </c>
      <c r="V1998">
        <f>IF(SUM(ifood_data[[#This Row],[AcceptedCmp1]:[AcceptedCmp5]])&gt;0,1,0)</f>
        <v>1</v>
      </c>
      <c r="W1998">
        <v>0</v>
      </c>
      <c r="X1998">
        <v>3</v>
      </c>
      <c r="Y1998">
        <v>11</v>
      </c>
      <c r="Z1998">
        <v>0</v>
      </c>
      <c r="AA1998">
        <v>36</v>
      </c>
      <c r="AB1998">
        <v>2629</v>
      </c>
      <c r="AC1998" s="28">
        <f>ifood_data[[#This Row],[Customer_Days]]/365</f>
        <v>7.2027397260273975</v>
      </c>
      <c r="AD1998">
        <v>0</v>
      </c>
      <c r="AE1998">
        <v>0</v>
      </c>
      <c r="AF1998">
        <v>1</v>
      </c>
      <c r="AG1998">
        <v>0</v>
      </c>
      <c r="AH1998">
        <v>0</v>
      </c>
      <c r="AI1998">
        <v>0</v>
      </c>
      <c r="AJ1998">
        <v>0</v>
      </c>
      <c r="AK1998">
        <v>1</v>
      </c>
      <c r="AL1998">
        <v>0</v>
      </c>
      <c r="AM1998">
        <v>0</v>
      </c>
      <c r="AN1998">
        <v>61</v>
      </c>
      <c r="AO1998">
        <v>38</v>
      </c>
      <c r="AP1998">
        <f>ifood_data[[#This Row],[MntTotal]]-ifood_data[[#This Row],[MntRegularProds]]</f>
        <v>23</v>
      </c>
      <c r="AQ1998">
        <v>1</v>
      </c>
      <c r="AR1998">
        <f>IF(SUM(ifood_data[[#This Row],[Kidhome]:[Teenhome]])&gt;0,1,0)</f>
        <v>1</v>
      </c>
      <c r="AS1998" t="str">
        <f>IF(SUM(ifood_data[[#This Row],[Kidhome]:[Teenhome]])&gt;0,"Has Family","No Family")</f>
        <v>Has Family</v>
      </c>
      <c r="AT1998" t="str">
        <f>IF(ifood_data[[#This Row],[marital_Married]]=1,"Married", (IF(ifood_data[[#This Row],[marital_Single]]=1,"Single",(IF(ifood_data[[#This Row],[marital_Divorced]]=1,"Divorced",(IF(ifood_data[[#This Row],[marital_Together]]=1,"Living Together",(IF(ifood_data[[#This Row],[marital_Widow]]=1,"Widow","Other")))))))))</f>
        <v>Single</v>
      </c>
      <c r="AU1998" t="str">
        <f>IF(ifood_data[[#This Row],[education_Basic]]=1,"High School",(IF(ifood_data[[#This Row],[education_Graduation]]=1,"Undergraduate Degree",(IF(SUM(AM1998,AL1998,AI1998)&gt;0,"Master's Degree or Higher","Other")))))</f>
        <v>Undergraduate Degree</v>
      </c>
      <c r="AV1998" t="str">
        <f>IF(ifood_data[[#All],[Income]]&gt;75000,"75K+",(IF(ifood_data[[#All],[Income]]&gt;50000,"50K-75K",(IF(ifood_data[[#All],[Income]]&gt;35000,"35K-50K","&lt;35K")))))</f>
        <v>&lt;35K</v>
      </c>
      <c r="AW1998" t="str">
        <f>IF(ifood_data[[#All],[Age]]&gt;60,"60+",(IF(ifood_data[[#All],[Age]]&gt;50,"50-60",(IF(ifood_data[[#All],[Age]]&gt;40,"40-50",(IF(ifood_data[[#All],[Age]]&gt;30,"30-40","&lt;30")))))))</f>
        <v>30-40</v>
      </c>
      <c r="AX1998">
        <f t="shared" si="124"/>
        <v>18</v>
      </c>
      <c r="AY1998">
        <f t="shared" si="125"/>
        <v>1.9999999999999996</v>
      </c>
      <c r="AZ1998">
        <f t="shared" si="126"/>
        <v>4</v>
      </c>
      <c r="BA1998">
        <f t="shared" si="127"/>
        <v>2</v>
      </c>
      <c r="BB1998">
        <f>SUM(ifood_data[[#This Row],[Recency Score]:[Monetary Score]])</f>
        <v>8</v>
      </c>
      <c r="BC1998">
        <f>(_xlfn.PERCENTRANK.INC(ifood_data[[#All],[RFM]],ifood_data[[#This Row],[RFM]],1))*10</f>
        <v>1</v>
      </c>
      <c r="BD1998" t="str">
        <f>VLOOKUP(ifood_data[[#This Row],[RFM Score]],'RFM Analysis'!$A$3:$B$14,2,FALSE)</f>
        <v>At Risk</v>
      </c>
      <c r="BE1998">
        <f>'Regression Models'!$B$101+'Regression Models'!$B$102*ifood_data[[#This Row],[Income]]+'Regression Models'!$B$103*ifood_data[[#This Row],[Age]]+'Regression Models'!$B$104*ifood_data[[#This Row],[Family]]</f>
        <v>-319.01957938706056</v>
      </c>
      <c r="BF1998" t="str">
        <f>IF(ifood_data[[#This Row],[AcceptedCmpOverall]]=1,"Campaign Respondent","Non-respondent")</f>
        <v>Campaign Respondent</v>
      </c>
    </row>
    <row r="1999" spans="1:58" x14ac:dyDescent="0.35">
      <c r="A1999">
        <v>405</v>
      </c>
      <c r="B1999">
        <v>10404</v>
      </c>
      <c r="C1999">
        <v>1</v>
      </c>
      <c r="D1999">
        <v>0</v>
      </c>
      <c r="E1999">
        <v>52</v>
      </c>
      <c r="F1999">
        <v>2</v>
      </c>
      <c r="G1999">
        <v>2</v>
      </c>
      <c r="H1999">
        <v>11</v>
      </c>
      <c r="I1999">
        <v>10</v>
      </c>
      <c r="J1999">
        <v>6</v>
      </c>
      <c r="K1999">
        <v>12</v>
      </c>
      <c r="L1999">
        <v>2</v>
      </c>
      <c r="M1999">
        <v>1</v>
      </c>
      <c r="N1999">
        <v>0</v>
      </c>
      <c r="O1999">
        <v>4</v>
      </c>
      <c r="P1999">
        <v>5</v>
      </c>
      <c r="Q1999">
        <v>0</v>
      </c>
      <c r="R1999">
        <v>0</v>
      </c>
      <c r="S1999">
        <v>0</v>
      </c>
      <c r="T1999">
        <v>0</v>
      </c>
      <c r="U1999">
        <v>0</v>
      </c>
      <c r="V1999">
        <f>IF(SUM(ifood_data[[#This Row],[AcceptedCmp1]:[AcceptedCmp5]])&gt;0,1,0)</f>
        <v>0</v>
      </c>
      <c r="W1999">
        <v>0</v>
      </c>
      <c r="X1999">
        <v>3</v>
      </c>
      <c r="Y1999">
        <v>11</v>
      </c>
      <c r="Z1999">
        <v>0</v>
      </c>
      <c r="AA1999">
        <v>31</v>
      </c>
      <c r="AB1999">
        <v>2215</v>
      </c>
      <c r="AC1999" s="28">
        <f>ifood_data[[#This Row],[Customer_Days]]/365</f>
        <v>6.0684931506849313</v>
      </c>
      <c r="AD1999">
        <v>0</v>
      </c>
      <c r="AE1999">
        <v>0</v>
      </c>
      <c r="AF1999">
        <v>0</v>
      </c>
      <c r="AG1999">
        <v>1</v>
      </c>
      <c r="AH1999">
        <v>0</v>
      </c>
      <c r="AI1999">
        <v>1</v>
      </c>
      <c r="AJ1999">
        <v>0</v>
      </c>
      <c r="AK1999">
        <v>0</v>
      </c>
      <c r="AL1999">
        <v>0</v>
      </c>
      <c r="AM1999">
        <v>0</v>
      </c>
      <c r="AN1999">
        <v>31</v>
      </c>
      <c r="AO1999">
        <v>19</v>
      </c>
      <c r="AP1999">
        <f>ifood_data[[#This Row],[MntTotal]]-ifood_data[[#This Row],[MntRegularProds]]</f>
        <v>12</v>
      </c>
      <c r="AQ1999">
        <v>0</v>
      </c>
      <c r="AR1999">
        <f>IF(SUM(ifood_data[[#This Row],[Kidhome]:[Teenhome]])&gt;0,1,0)</f>
        <v>1</v>
      </c>
      <c r="AS1999" t="str">
        <f>IF(SUM(ifood_data[[#This Row],[Kidhome]:[Teenhome]])&gt;0,"Has Family","No Family")</f>
        <v>Has Family</v>
      </c>
      <c r="AT1999" t="str">
        <f>IF(ifood_data[[#This Row],[marital_Married]]=1,"Married", (IF(ifood_data[[#This Row],[marital_Single]]=1,"Single",(IF(ifood_data[[#This Row],[marital_Divorced]]=1,"Divorced",(IF(ifood_data[[#This Row],[marital_Together]]=1,"Living Together",(IF(ifood_data[[#This Row],[marital_Widow]]=1,"Widow","Other")))))))))</f>
        <v>Living Together</v>
      </c>
      <c r="AU1999" t="str">
        <f>IF(ifood_data[[#This Row],[education_Basic]]=1,"High School",(IF(ifood_data[[#This Row],[education_Graduation]]=1,"Undergraduate Degree",(IF(SUM(AM1999,AL1999,AI1999)&gt;0,"Master's Degree or Higher","Other")))))</f>
        <v>Master's Degree or Higher</v>
      </c>
      <c r="AV1999" t="str">
        <f>IF(ifood_data[[#All],[Income]]&gt;75000,"75K+",(IF(ifood_data[[#All],[Income]]&gt;50000,"50K-75K",(IF(ifood_data[[#All],[Income]]&gt;35000,"35K-50K","&lt;35K")))))</f>
        <v>&lt;35K</v>
      </c>
      <c r="AW1999" t="str">
        <f>IF(ifood_data[[#All],[Age]]&gt;60,"60+",(IF(ifood_data[[#All],[Age]]&gt;50,"50-60",(IF(ifood_data[[#All],[Age]]&gt;40,"40-50",(IF(ifood_data[[#All],[Age]]&gt;30,"30-40","&lt;30")))))))</f>
        <v>30-40</v>
      </c>
      <c r="AX1999">
        <f t="shared" si="124"/>
        <v>12</v>
      </c>
      <c r="AY1999">
        <f t="shared" si="125"/>
        <v>5</v>
      </c>
      <c r="AZ1999">
        <f t="shared" si="126"/>
        <v>1</v>
      </c>
      <c r="BA1999">
        <f t="shared" si="127"/>
        <v>1</v>
      </c>
      <c r="BB1999">
        <f>SUM(ifood_data[[#This Row],[Recency Score]:[Monetary Score]])</f>
        <v>7</v>
      </c>
      <c r="BC1999">
        <f>(_xlfn.PERCENTRANK.INC(ifood_data[[#All],[RFM]],ifood_data[[#This Row],[RFM]],1))*10</f>
        <v>1</v>
      </c>
      <c r="BD1999" t="str">
        <f>VLOOKUP(ifood_data[[#This Row],[RFM Score]],'RFM Analysis'!$A$3:$B$14,2,FALSE)</f>
        <v>At Risk</v>
      </c>
      <c r="BE1999">
        <f>'Regression Models'!$B$101+'Regression Models'!$B$102*ifood_data[[#This Row],[Income]]+'Regression Models'!$B$103*ifood_data[[#This Row],[Age]]+'Regression Models'!$B$104*ifood_data[[#This Row],[Family]]</f>
        <v>-322.23375502407976</v>
      </c>
      <c r="BF1999" t="str">
        <f>IF(ifood_data[[#This Row],[AcceptedCmpOverall]]=1,"Campaign Respondent","Non-respondent")</f>
        <v>Non-respondent</v>
      </c>
    </row>
    <row r="2000" spans="1:58" x14ac:dyDescent="0.35">
      <c r="A2000">
        <v>1425</v>
      </c>
      <c r="B2000">
        <v>9255</v>
      </c>
      <c r="C2000">
        <v>1</v>
      </c>
      <c r="D2000">
        <v>0</v>
      </c>
      <c r="E2000">
        <v>91</v>
      </c>
      <c r="F2000">
        <v>9</v>
      </c>
      <c r="G2000">
        <v>0</v>
      </c>
      <c r="H2000">
        <v>7</v>
      </c>
      <c r="I2000">
        <v>2</v>
      </c>
      <c r="J2000">
        <v>0</v>
      </c>
      <c r="K2000">
        <v>4</v>
      </c>
      <c r="L2000">
        <v>1</v>
      </c>
      <c r="M2000">
        <v>1</v>
      </c>
      <c r="N2000">
        <v>1</v>
      </c>
      <c r="O2000">
        <v>2</v>
      </c>
      <c r="P2000">
        <v>8</v>
      </c>
      <c r="Q2000">
        <v>0</v>
      </c>
      <c r="R2000">
        <v>0</v>
      </c>
      <c r="S2000">
        <v>0</v>
      </c>
      <c r="T2000">
        <v>0</v>
      </c>
      <c r="U2000">
        <v>0</v>
      </c>
      <c r="V2000">
        <f>IF(SUM(ifood_data[[#This Row],[AcceptedCmp1]:[AcceptedCmp5]])&gt;0,1,0)</f>
        <v>0</v>
      </c>
      <c r="W2000">
        <v>0</v>
      </c>
      <c r="X2000">
        <v>3</v>
      </c>
      <c r="Y2000">
        <v>11</v>
      </c>
      <c r="Z2000">
        <v>0</v>
      </c>
      <c r="AA2000">
        <v>31</v>
      </c>
      <c r="AB2000">
        <v>2350</v>
      </c>
      <c r="AC2000" s="28">
        <f>ifood_data[[#This Row],[Customer_Days]]/365</f>
        <v>6.4383561643835616</v>
      </c>
      <c r="AD2000">
        <v>0</v>
      </c>
      <c r="AE2000">
        <v>0</v>
      </c>
      <c r="AF2000">
        <v>1</v>
      </c>
      <c r="AG2000">
        <v>0</v>
      </c>
      <c r="AH2000">
        <v>0</v>
      </c>
      <c r="AI2000">
        <v>0</v>
      </c>
      <c r="AJ2000">
        <v>0</v>
      </c>
      <c r="AK2000">
        <v>1</v>
      </c>
      <c r="AL2000">
        <v>0</v>
      </c>
      <c r="AM2000">
        <v>0</v>
      </c>
      <c r="AN2000">
        <v>18</v>
      </c>
      <c r="AO2000">
        <v>14</v>
      </c>
      <c r="AP2000">
        <f>ifood_data[[#This Row],[MntTotal]]-ifood_data[[#This Row],[MntRegularProds]]</f>
        <v>4</v>
      </c>
      <c r="AQ2000">
        <v>0</v>
      </c>
      <c r="AR2000">
        <f>IF(SUM(ifood_data[[#This Row],[Kidhome]:[Teenhome]])&gt;0,1,0)</f>
        <v>1</v>
      </c>
      <c r="AS2000" t="str">
        <f>IF(SUM(ifood_data[[#This Row],[Kidhome]:[Teenhome]])&gt;0,"Has Family","No Family")</f>
        <v>Has Family</v>
      </c>
      <c r="AT2000" t="str">
        <f>IF(ifood_data[[#This Row],[marital_Married]]=1,"Married", (IF(ifood_data[[#This Row],[marital_Single]]=1,"Single",(IF(ifood_data[[#This Row],[marital_Divorced]]=1,"Divorced",(IF(ifood_data[[#This Row],[marital_Together]]=1,"Living Together",(IF(ifood_data[[#This Row],[marital_Widow]]=1,"Widow","Other")))))))))</f>
        <v>Single</v>
      </c>
      <c r="AU2000" t="str">
        <f>IF(ifood_data[[#This Row],[education_Basic]]=1,"High School",(IF(ifood_data[[#This Row],[education_Graduation]]=1,"Undergraduate Degree",(IF(SUM(AM2000,AL2000,AI2000)&gt;0,"Master's Degree or Higher","Other")))))</f>
        <v>Undergraduate Degree</v>
      </c>
      <c r="AV2000" t="str">
        <f>IF(ifood_data[[#All],[Income]]&gt;75000,"75K+",(IF(ifood_data[[#All],[Income]]&gt;50000,"50K-75K",(IF(ifood_data[[#All],[Income]]&gt;35000,"35K-50K","&lt;35K")))))</f>
        <v>&lt;35K</v>
      </c>
      <c r="AW2000" t="str">
        <f>IF(ifood_data[[#All],[Age]]&gt;60,"60+",(IF(ifood_data[[#All],[Age]]&gt;50,"50-60",(IF(ifood_data[[#All],[Age]]&gt;40,"40-50",(IF(ifood_data[[#All],[Age]]&gt;30,"30-40","&lt;30")))))))</f>
        <v>30-40</v>
      </c>
      <c r="AX2000">
        <f t="shared" si="124"/>
        <v>13</v>
      </c>
      <c r="AY2000">
        <f t="shared" si="125"/>
        <v>0.99999999999999978</v>
      </c>
      <c r="AZ2000">
        <f t="shared" si="126"/>
        <v>1</v>
      </c>
      <c r="BA2000">
        <f t="shared" si="127"/>
        <v>0</v>
      </c>
      <c r="BB2000">
        <f>SUM(ifood_data[[#This Row],[Recency Score]:[Monetary Score]])</f>
        <v>1.9999999999999998</v>
      </c>
      <c r="BC2000">
        <f>(_xlfn.PERCENTRANK.INC(ifood_data[[#All],[RFM]],ifood_data[[#This Row],[RFM]],1))*10</f>
        <v>0</v>
      </c>
      <c r="BD2000" t="str">
        <f>VLOOKUP(ifood_data[[#This Row],[RFM Score]],'RFM Analysis'!$A$3:$B$14,2,FALSE)</f>
        <v>Lost</v>
      </c>
      <c r="BE2000">
        <f>'Regression Models'!$B$101+'Regression Models'!$B$102*ifood_data[[#This Row],[Income]]+'Regression Models'!$B$103*ifood_data[[#This Row],[Age]]+'Regression Models'!$B$104*ifood_data[[#This Row],[Family]]</f>
        <v>-345.66044962141956</v>
      </c>
      <c r="BF2000" t="str">
        <f>IF(ifood_data[[#This Row],[AcceptedCmpOverall]]=1,"Campaign Respondent","Non-respondent")</f>
        <v>Non-respondent</v>
      </c>
    </row>
    <row r="2001" spans="1:58" x14ac:dyDescent="0.35">
      <c r="A2001">
        <v>1149</v>
      </c>
      <c r="B2001">
        <v>8940</v>
      </c>
      <c r="C2001">
        <v>1</v>
      </c>
      <c r="D2001">
        <v>0</v>
      </c>
      <c r="E2001">
        <v>25</v>
      </c>
      <c r="F2001">
        <v>1</v>
      </c>
      <c r="G2001">
        <v>45</v>
      </c>
      <c r="H2001">
        <v>3</v>
      </c>
      <c r="I2001">
        <v>4</v>
      </c>
      <c r="J2001">
        <v>6</v>
      </c>
      <c r="K2001">
        <v>42</v>
      </c>
      <c r="L2001">
        <v>3</v>
      </c>
      <c r="M2001">
        <v>3</v>
      </c>
      <c r="N2001">
        <v>1</v>
      </c>
      <c r="O2001">
        <v>3</v>
      </c>
      <c r="P2001">
        <v>8</v>
      </c>
      <c r="Q2001">
        <v>0</v>
      </c>
      <c r="R2001">
        <v>0</v>
      </c>
      <c r="S2001">
        <v>0</v>
      </c>
      <c r="T2001">
        <v>0</v>
      </c>
      <c r="U2001">
        <v>0</v>
      </c>
      <c r="V2001">
        <f>IF(SUM(ifood_data[[#This Row],[AcceptedCmp1]:[AcceptedCmp5]])&gt;0,1,0)</f>
        <v>0</v>
      </c>
      <c r="W2001">
        <v>0</v>
      </c>
      <c r="X2001">
        <v>3</v>
      </c>
      <c r="Y2001">
        <v>11</v>
      </c>
      <c r="Z2001">
        <v>0</v>
      </c>
      <c r="AA2001">
        <v>34</v>
      </c>
      <c r="AB2001">
        <v>2835</v>
      </c>
      <c r="AC2001" s="28">
        <f>ifood_data[[#This Row],[Customer_Days]]/365</f>
        <v>7.7671232876712333</v>
      </c>
      <c r="AD2001">
        <v>0</v>
      </c>
      <c r="AE2001">
        <v>0</v>
      </c>
      <c r="AF2001">
        <v>1</v>
      </c>
      <c r="AG2001">
        <v>0</v>
      </c>
      <c r="AH2001">
        <v>0</v>
      </c>
      <c r="AI2001">
        <v>0</v>
      </c>
      <c r="AJ2001">
        <v>1</v>
      </c>
      <c r="AK2001">
        <v>0</v>
      </c>
      <c r="AL2001">
        <v>0</v>
      </c>
      <c r="AM2001">
        <v>0</v>
      </c>
      <c r="AN2001">
        <v>59</v>
      </c>
      <c r="AO2001">
        <v>17</v>
      </c>
      <c r="AP2001">
        <f>ifood_data[[#This Row],[MntTotal]]-ifood_data[[#This Row],[MntRegularProds]]</f>
        <v>42</v>
      </c>
      <c r="AQ2001">
        <v>0</v>
      </c>
      <c r="AR2001">
        <f>IF(SUM(ifood_data[[#This Row],[Kidhome]:[Teenhome]])&gt;0,1,0)</f>
        <v>1</v>
      </c>
      <c r="AS2001" t="str">
        <f>IF(SUM(ifood_data[[#This Row],[Kidhome]:[Teenhome]])&gt;0,"Has Family","No Family")</f>
        <v>Has Family</v>
      </c>
      <c r="AT2001" t="str">
        <f>IF(ifood_data[[#This Row],[marital_Married]]=1,"Married", (IF(ifood_data[[#This Row],[marital_Single]]=1,"Single",(IF(ifood_data[[#This Row],[marital_Divorced]]=1,"Divorced",(IF(ifood_data[[#This Row],[marital_Together]]=1,"Living Together",(IF(ifood_data[[#This Row],[marital_Widow]]=1,"Widow","Other")))))))))</f>
        <v>Single</v>
      </c>
      <c r="AU2001" t="str">
        <f>IF(ifood_data[[#This Row],[education_Basic]]=1,"High School",(IF(ifood_data[[#This Row],[education_Graduation]]=1,"Undergraduate Degree",(IF(SUM(AM2001,AL2001,AI2001)&gt;0,"Master's Degree or Higher","Other")))))</f>
        <v>High School</v>
      </c>
      <c r="AV2001" t="str">
        <f>IF(ifood_data[[#All],[Income]]&gt;75000,"75K+",(IF(ifood_data[[#All],[Income]]&gt;50000,"50K-75K",(IF(ifood_data[[#All],[Income]]&gt;35000,"35K-50K","&lt;35K")))))</f>
        <v>&lt;35K</v>
      </c>
      <c r="AW2001" t="str">
        <f>IF(ifood_data[[#All],[Age]]&gt;60,"60+",(IF(ifood_data[[#All],[Age]]&gt;50,"50-60",(IF(ifood_data[[#All],[Age]]&gt;40,"40-50",(IF(ifood_data[[#All],[Age]]&gt;30,"30-40","&lt;30")))))))</f>
        <v>30-40</v>
      </c>
      <c r="AX2001">
        <f t="shared" si="124"/>
        <v>18</v>
      </c>
      <c r="AY2001">
        <f t="shared" si="125"/>
        <v>8</v>
      </c>
      <c r="AZ2001">
        <f t="shared" si="126"/>
        <v>4</v>
      </c>
      <c r="BA2001">
        <f t="shared" si="127"/>
        <v>2</v>
      </c>
      <c r="BB2001">
        <f>SUM(ifood_data[[#This Row],[Recency Score]:[Monetary Score]])</f>
        <v>14</v>
      </c>
      <c r="BC2001">
        <f>(_xlfn.PERCENTRANK.INC(ifood_data[[#All],[RFM]],ifood_data[[#This Row],[RFM]],1))*10</f>
        <v>4</v>
      </c>
      <c r="BD2001" t="str">
        <f>VLOOKUP(ifood_data[[#This Row],[RFM Score]],'RFM Analysis'!$A$3:$B$14,2,FALSE)</f>
        <v>At Risk</v>
      </c>
      <c r="BE2001">
        <f>'Regression Models'!$B$101+'Regression Models'!$B$102*ifood_data[[#This Row],[Income]]+'Regression Models'!$B$103*ifood_data[[#This Row],[Age]]+'Regression Models'!$B$104*ifood_data[[#This Row],[Family]]</f>
        <v>-357.5922288234305</v>
      </c>
      <c r="BF2001" t="str">
        <f>IF(ifood_data[[#This Row],[AcceptedCmpOverall]]=1,"Campaign Respondent","Non-respondent")</f>
        <v>Non-respondent</v>
      </c>
    </row>
    <row r="2002" spans="1:58" x14ac:dyDescent="0.35">
      <c r="A2002">
        <v>363</v>
      </c>
      <c r="B2002">
        <v>10245</v>
      </c>
      <c r="C2002">
        <v>1</v>
      </c>
      <c r="D2002">
        <v>0</v>
      </c>
      <c r="E2002">
        <v>32</v>
      </c>
      <c r="F2002">
        <v>4</v>
      </c>
      <c r="G2002">
        <v>7</v>
      </c>
      <c r="H2002">
        <v>7</v>
      </c>
      <c r="I2002">
        <v>6</v>
      </c>
      <c r="J2002">
        <v>4</v>
      </c>
      <c r="K2002">
        <v>13</v>
      </c>
      <c r="L2002">
        <v>3</v>
      </c>
      <c r="M2002">
        <v>1</v>
      </c>
      <c r="N2002">
        <v>2</v>
      </c>
      <c r="O2002">
        <v>2</v>
      </c>
      <c r="P2002">
        <v>5</v>
      </c>
      <c r="Q2002">
        <v>0</v>
      </c>
      <c r="R2002">
        <v>0</v>
      </c>
      <c r="S2002">
        <v>0</v>
      </c>
      <c r="T2002">
        <v>0</v>
      </c>
      <c r="U2002">
        <v>0</v>
      </c>
      <c r="V2002">
        <f>IF(SUM(ifood_data[[#This Row],[AcceptedCmp1]:[AcceptedCmp5]])&gt;0,1,0)</f>
        <v>0</v>
      </c>
      <c r="W2002">
        <v>0</v>
      </c>
      <c r="X2002">
        <v>3</v>
      </c>
      <c r="Y2002">
        <v>11</v>
      </c>
      <c r="Z2002">
        <v>0</v>
      </c>
      <c r="AA2002">
        <v>49</v>
      </c>
      <c r="AB2002">
        <v>2569</v>
      </c>
      <c r="AC2002" s="28">
        <f>ifood_data[[#This Row],[Customer_Days]]/365</f>
        <v>7.0383561643835613</v>
      </c>
      <c r="AD2002">
        <v>0</v>
      </c>
      <c r="AE2002">
        <v>0</v>
      </c>
      <c r="AF2002">
        <v>1</v>
      </c>
      <c r="AG2002">
        <v>0</v>
      </c>
      <c r="AH2002">
        <v>0</v>
      </c>
      <c r="AI2002">
        <v>0</v>
      </c>
      <c r="AJ2002">
        <v>0</v>
      </c>
      <c r="AK2002">
        <v>1</v>
      </c>
      <c r="AL2002">
        <v>0</v>
      </c>
      <c r="AM2002">
        <v>0</v>
      </c>
      <c r="AN2002">
        <v>28</v>
      </c>
      <c r="AO2002">
        <v>15</v>
      </c>
      <c r="AP2002">
        <f>ifood_data[[#This Row],[MntTotal]]-ifood_data[[#This Row],[MntRegularProds]]</f>
        <v>13</v>
      </c>
      <c r="AQ2002">
        <v>0</v>
      </c>
      <c r="AR2002">
        <f>IF(SUM(ifood_data[[#This Row],[Kidhome]:[Teenhome]])&gt;0,1,0)</f>
        <v>1</v>
      </c>
      <c r="AS2002" t="str">
        <f>IF(SUM(ifood_data[[#This Row],[Kidhome]:[Teenhome]])&gt;0,"Has Family","No Family")</f>
        <v>Has Family</v>
      </c>
      <c r="AT2002" t="str">
        <f>IF(ifood_data[[#This Row],[marital_Married]]=1,"Married", (IF(ifood_data[[#This Row],[marital_Single]]=1,"Single",(IF(ifood_data[[#This Row],[marital_Divorced]]=1,"Divorced",(IF(ifood_data[[#This Row],[marital_Together]]=1,"Living Together",(IF(ifood_data[[#This Row],[marital_Widow]]=1,"Widow","Other")))))))))</f>
        <v>Single</v>
      </c>
      <c r="AU2002" t="str">
        <f>IF(ifood_data[[#This Row],[education_Basic]]=1,"High School",(IF(ifood_data[[#This Row],[education_Graduation]]=1,"Undergraduate Degree",(IF(SUM(AM2002,AL2002,AI2002)&gt;0,"Master's Degree or Higher","Other")))))</f>
        <v>Undergraduate Degree</v>
      </c>
      <c r="AV2002" t="str">
        <f>IF(ifood_data[[#All],[Income]]&gt;75000,"75K+",(IF(ifood_data[[#All],[Income]]&gt;50000,"50K-75K",(IF(ifood_data[[#All],[Income]]&gt;35000,"35K-50K","&lt;35K")))))</f>
        <v>&lt;35K</v>
      </c>
      <c r="AW2002" t="str">
        <f>IF(ifood_data[[#All],[Age]]&gt;60,"60+",(IF(ifood_data[[#All],[Age]]&gt;50,"50-60",(IF(ifood_data[[#All],[Age]]&gt;40,"40-50",(IF(ifood_data[[#All],[Age]]&gt;30,"30-40","&lt;30")))))))</f>
        <v>40-50</v>
      </c>
      <c r="AX2002">
        <f t="shared" si="124"/>
        <v>13</v>
      </c>
      <c r="AY2002">
        <f t="shared" si="125"/>
        <v>7</v>
      </c>
      <c r="AZ2002">
        <f t="shared" si="126"/>
        <v>1</v>
      </c>
      <c r="BA2002">
        <f t="shared" si="127"/>
        <v>0</v>
      </c>
      <c r="BB2002">
        <f>SUM(ifood_data[[#This Row],[Recency Score]:[Monetary Score]])</f>
        <v>8</v>
      </c>
      <c r="BC2002">
        <f>(_xlfn.PERCENTRANK.INC(ifood_data[[#All],[RFM]],ifood_data[[#This Row],[RFM]],1))*10</f>
        <v>1</v>
      </c>
      <c r="BD2002" t="str">
        <f>VLOOKUP(ifood_data[[#This Row],[RFM Score]],'RFM Analysis'!$A$3:$B$14,2,FALSE)</f>
        <v>At Risk</v>
      </c>
      <c r="BE2002">
        <f>'Regression Models'!$B$101+'Regression Models'!$B$102*ifood_data[[#This Row],[Income]]+'Regression Models'!$B$103*ifood_data[[#This Row],[Age]]+'Regression Models'!$B$104*ifood_data[[#This Row],[Family]]</f>
        <v>-358.53147257905658</v>
      </c>
      <c r="BF2002" t="str">
        <f>IF(ifood_data[[#This Row],[AcceptedCmpOverall]]=1,"Campaign Respondent","Non-respondent")</f>
        <v>Non-respondent</v>
      </c>
    </row>
    <row r="2003" spans="1:58" x14ac:dyDescent="0.35">
      <c r="A2003">
        <v>125</v>
      </c>
      <c r="B2003">
        <v>9548</v>
      </c>
      <c r="C2003">
        <v>1</v>
      </c>
      <c r="D2003">
        <v>0</v>
      </c>
      <c r="E2003">
        <v>31</v>
      </c>
      <c r="F2003">
        <v>0</v>
      </c>
      <c r="G2003">
        <v>1</v>
      </c>
      <c r="H2003">
        <v>3</v>
      </c>
      <c r="I2003">
        <v>10</v>
      </c>
      <c r="J2003">
        <v>6</v>
      </c>
      <c r="K2003">
        <v>9</v>
      </c>
      <c r="L2003">
        <v>2</v>
      </c>
      <c r="M2003">
        <v>1</v>
      </c>
      <c r="N2003">
        <v>0</v>
      </c>
      <c r="O2003">
        <v>3</v>
      </c>
      <c r="P2003">
        <v>8</v>
      </c>
      <c r="Q2003">
        <v>0</v>
      </c>
      <c r="R2003">
        <v>0</v>
      </c>
      <c r="S2003">
        <v>0</v>
      </c>
      <c r="T2003">
        <v>0</v>
      </c>
      <c r="U2003">
        <v>0</v>
      </c>
      <c r="V2003">
        <f>IF(SUM(ifood_data[[#This Row],[AcceptedCmp1]:[AcceptedCmp5]])&gt;0,1,0)</f>
        <v>0</v>
      </c>
      <c r="W2003">
        <v>0</v>
      </c>
      <c r="X2003">
        <v>3</v>
      </c>
      <c r="Y2003">
        <v>11</v>
      </c>
      <c r="Z2003">
        <v>0</v>
      </c>
      <c r="AA2003">
        <v>44</v>
      </c>
      <c r="AB2003">
        <v>2849</v>
      </c>
      <c r="AC2003" s="28">
        <f>ifood_data[[#This Row],[Customer_Days]]/365</f>
        <v>7.8054794520547945</v>
      </c>
      <c r="AD2003">
        <v>1</v>
      </c>
      <c r="AE2003">
        <v>0</v>
      </c>
      <c r="AF2003">
        <v>0</v>
      </c>
      <c r="AG2003">
        <v>0</v>
      </c>
      <c r="AH2003">
        <v>0</v>
      </c>
      <c r="AI2003">
        <v>0</v>
      </c>
      <c r="AJ2003">
        <v>1</v>
      </c>
      <c r="AK2003">
        <v>0</v>
      </c>
      <c r="AL2003">
        <v>0</v>
      </c>
      <c r="AM2003">
        <v>0</v>
      </c>
      <c r="AN2003">
        <v>20</v>
      </c>
      <c r="AO2003">
        <v>11</v>
      </c>
      <c r="AP2003">
        <f>ifood_data[[#This Row],[MntTotal]]-ifood_data[[#This Row],[MntRegularProds]]</f>
        <v>9</v>
      </c>
      <c r="AQ2003">
        <v>0</v>
      </c>
      <c r="AR2003">
        <f>IF(SUM(ifood_data[[#This Row],[Kidhome]:[Teenhome]])&gt;0,1,0)</f>
        <v>1</v>
      </c>
      <c r="AS2003" t="str">
        <f>IF(SUM(ifood_data[[#This Row],[Kidhome]:[Teenhome]])&gt;0,"Has Family","No Family")</f>
        <v>Has Family</v>
      </c>
      <c r="AT2003" t="str">
        <f>IF(ifood_data[[#This Row],[marital_Married]]=1,"Married", (IF(ifood_data[[#This Row],[marital_Single]]=1,"Single",(IF(ifood_data[[#This Row],[marital_Divorced]]=1,"Divorced",(IF(ifood_data[[#This Row],[marital_Together]]=1,"Living Together",(IF(ifood_data[[#This Row],[marital_Widow]]=1,"Widow","Other")))))))))</f>
        <v>Divorced</v>
      </c>
      <c r="AU2003" t="str">
        <f>IF(ifood_data[[#This Row],[education_Basic]]=1,"High School",(IF(ifood_data[[#This Row],[education_Graduation]]=1,"Undergraduate Degree",(IF(SUM(AM2003,AL2003,AI2003)&gt;0,"Master's Degree or Higher","Other")))))</f>
        <v>High School</v>
      </c>
      <c r="AV2003" t="str">
        <f>IF(ifood_data[[#All],[Income]]&gt;75000,"75K+",(IF(ifood_data[[#All],[Income]]&gt;50000,"50K-75K",(IF(ifood_data[[#All],[Income]]&gt;35000,"35K-50K","&lt;35K")))))</f>
        <v>&lt;35K</v>
      </c>
      <c r="AW2003" t="str">
        <f>IF(ifood_data[[#All],[Age]]&gt;60,"60+",(IF(ifood_data[[#All],[Age]]&gt;50,"50-60",(IF(ifood_data[[#All],[Age]]&gt;40,"40-50",(IF(ifood_data[[#All],[Age]]&gt;30,"30-40","&lt;30")))))))</f>
        <v>40-50</v>
      </c>
      <c r="AX2003">
        <f t="shared" si="124"/>
        <v>14</v>
      </c>
      <c r="AY2003">
        <f t="shared" si="125"/>
        <v>7</v>
      </c>
      <c r="AZ2003">
        <f t="shared" si="126"/>
        <v>2</v>
      </c>
      <c r="BA2003">
        <f t="shared" si="127"/>
        <v>0</v>
      </c>
      <c r="BB2003">
        <f>SUM(ifood_data[[#This Row],[Recency Score]:[Monetary Score]])</f>
        <v>9</v>
      </c>
      <c r="BC2003">
        <f>(_xlfn.PERCENTRANK.INC(ifood_data[[#All],[RFM]],ifood_data[[#This Row],[RFM]],1))*10</f>
        <v>1</v>
      </c>
      <c r="BD2003" t="str">
        <f>VLOOKUP(ifood_data[[#This Row],[RFM Score]],'RFM Analysis'!$A$3:$B$14,2,FALSE)</f>
        <v>At Risk</v>
      </c>
      <c r="BE2003">
        <f>'Regression Models'!$B$101+'Regression Models'!$B$102*ifood_data[[#This Row],[Income]]+'Regression Models'!$B$103*ifood_data[[#This Row],[Age]]+'Regression Models'!$B$104*ifood_data[[#This Row],[Family]]</f>
        <v>-363.56024858088273</v>
      </c>
      <c r="BF2003" t="str">
        <f>IF(ifood_data[[#This Row],[AcceptedCmpOverall]]=1,"Campaign Respondent","Non-respondent")</f>
        <v>Non-respondent</v>
      </c>
    </row>
    <row r="2004" spans="1:58" x14ac:dyDescent="0.35">
      <c r="A2004">
        <v>1567</v>
      </c>
      <c r="B2004">
        <v>9722</v>
      </c>
      <c r="C2004">
        <v>1</v>
      </c>
      <c r="D2004">
        <v>0</v>
      </c>
      <c r="E2004">
        <v>7</v>
      </c>
      <c r="F2004">
        <v>6</v>
      </c>
      <c r="G2004">
        <v>17</v>
      </c>
      <c r="H2004">
        <v>16</v>
      </c>
      <c r="I2004">
        <v>6</v>
      </c>
      <c r="J2004">
        <v>16</v>
      </c>
      <c r="K2004">
        <v>42</v>
      </c>
      <c r="L2004">
        <v>4</v>
      </c>
      <c r="M2004">
        <v>3</v>
      </c>
      <c r="N2004">
        <v>1</v>
      </c>
      <c r="O2004">
        <v>3</v>
      </c>
      <c r="P2004">
        <v>8</v>
      </c>
      <c r="Q2004">
        <v>0</v>
      </c>
      <c r="R2004">
        <v>0</v>
      </c>
      <c r="S2004">
        <v>0</v>
      </c>
      <c r="T2004">
        <v>0</v>
      </c>
      <c r="U2004">
        <v>0</v>
      </c>
      <c r="V2004">
        <f>IF(SUM(ifood_data[[#This Row],[AcceptedCmp1]:[AcceptedCmp5]])&gt;0,1,0)</f>
        <v>0</v>
      </c>
      <c r="W2004">
        <v>0</v>
      </c>
      <c r="X2004">
        <v>3</v>
      </c>
      <c r="Y2004">
        <v>11</v>
      </c>
      <c r="Z2004">
        <v>1</v>
      </c>
      <c r="AA2004">
        <v>47</v>
      </c>
      <c r="AB2004">
        <v>2794</v>
      </c>
      <c r="AC2004" s="28">
        <f>ifood_data[[#This Row],[Customer_Days]]/365</f>
        <v>7.6547945205479451</v>
      </c>
      <c r="AD2004">
        <v>0</v>
      </c>
      <c r="AE2004">
        <v>0</v>
      </c>
      <c r="AF2004">
        <v>0</v>
      </c>
      <c r="AG2004">
        <v>1</v>
      </c>
      <c r="AH2004">
        <v>0</v>
      </c>
      <c r="AI2004">
        <v>0</v>
      </c>
      <c r="AJ2004">
        <v>1</v>
      </c>
      <c r="AK2004">
        <v>0</v>
      </c>
      <c r="AL2004">
        <v>0</v>
      </c>
      <c r="AM2004">
        <v>0</v>
      </c>
      <c r="AN2004">
        <v>61</v>
      </c>
      <c r="AO2004">
        <v>19</v>
      </c>
      <c r="AP2004">
        <f>ifood_data[[#This Row],[MntTotal]]-ifood_data[[#This Row],[MntRegularProds]]</f>
        <v>42</v>
      </c>
      <c r="AQ2004">
        <v>0</v>
      </c>
      <c r="AR2004">
        <f>IF(SUM(ifood_data[[#This Row],[Kidhome]:[Teenhome]])&gt;0,1,0)</f>
        <v>1</v>
      </c>
      <c r="AS2004" t="str">
        <f>IF(SUM(ifood_data[[#This Row],[Kidhome]:[Teenhome]])&gt;0,"Has Family","No Family")</f>
        <v>Has Family</v>
      </c>
      <c r="AT2004" t="str">
        <f>IF(ifood_data[[#This Row],[marital_Married]]=1,"Married", (IF(ifood_data[[#This Row],[marital_Single]]=1,"Single",(IF(ifood_data[[#This Row],[marital_Divorced]]=1,"Divorced",(IF(ifood_data[[#This Row],[marital_Together]]=1,"Living Together",(IF(ifood_data[[#This Row],[marital_Widow]]=1,"Widow","Other")))))))))</f>
        <v>Living Together</v>
      </c>
      <c r="AU2004" t="str">
        <f>IF(ifood_data[[#This Row],[education_Basic]]=1,"High School",(IF(ifood_data[[#This Row],[education_Graduation]]=1,"Undergraduate Degree",(IF(SUM(AM2004,AL2004,AI2004)&gt;0,"Master's Degree or Higher","Other")))))</f>
        <v>High School</v>
      </c>
      <c r="AV2004" t="str">
        <f>IF(ifood_data[[#All],[Income]]&gt;75000,"75K+",(IF(ifood_data[[#All],[Income]]&gt;50000,"50K-75K",(IF(ifood_data[[#All],[Income]]&gt;35000,"35K-50K","&lt;35K")))))</f>
        <v>&lt;35K</v>
      </c>
      <c r="AW2004" t="str">
        <f>IF(ifood_data[[#All],[Age]]&gt;60,"60+",(IF(ifood_data[[#All],[Age]]&gt;50,"50-60",(IF(ifood_data[[#All],[Age]]&gt;40,"40-50",(IF(ifood_data[[#All],[Age]]&gt;30,"30-40","&lt;30")))))))</f>
        <v>40-50</v>
      </c>
      <c r="AX2004">
        <f t="shared" si="124"/>
        <v>19</v>
      </c>
      <c r="AY2004">
        <f t="shared" si="125"/>
        <v>10</v>
      </c>
      <c r="AZ2004">
        <f t="shared" si="126"/>
        <v>4</v>
      </c>
      <c r="BA2004">
        <f t="shared" si="127"/>
        <v>2</v>
      </c>
      <c r="BB2004">
        <f>SUM(ifood_data[[#This Row],[Recency Score]:[Monetary Score]])</f>
        <v>16</v>
      </c>
      <c r="BC2004">
        <f>(_xlfn.PERCENTRANK.INC(ifood_data[[#All],[RFM]],ifood_data[[#This Row],[RFM]],1))*10</f>
        <v>5</v>
      </c>
      <c r="BD2004" t="str">
        <f>VLOOKUP(ifood_data[[#This Row],[RFM Score]],'RFM Analysis'!$A$3:$B$14,2,FALSE)</f>
        <v>Promising</v>
      </c>
      <c r="BE2004">
        <f>'Regression Models'!$B$101+'Regression Models'!$B$102*ifood_data[[#This Row],[Income]]+'Regression Models'!$B$103*ifood_data[[#This Row],[Age]]+'Regression Models'!$B$104*ifood_data[[#This Row],[Family]]</f>
        <v>-365.52192016052715</v>
      </c>
      <c r="BF2004" t="str">
        <f>IF(ifood_data[[#This Row],[AcceptedCmpOverall]]=1,"Campaign Respondent","Non-respondent")</f>
        <v>Non-respondent</v>
      </c>
    </row>
    <row r="2005" spans="1:58" x14ac:dyDescent="0.35">
      <c r="A2005">
        <v>1174</v>
      </c>
      <c r="B2005">
        <v>7500</v>
      </c>
      <c r="C2005">
        <v>1</v>
      </c>
      <c r="D2005">
        <v>0</v>
      </c>
      <c r="E2005">
        <v>63</v>
      </c>
      <c r="F2005">
        <v>10</v>
      </c>
      <c r="G2005">
        <v>17</v>
      </c>
      <c r="H2005">
        <v>18</v>
      </c>
      <c r="I2005">
        <v>8</v>
      </c>
      <c r="J2005">
        <v>26</v>
      </c>
      <c r="K2005">
        <v>40</v>
      </c>
      <c r="L2005">
        <v>4</v>
      </c>
      <c r="M2005">
        <v>3</v>
      </c>
      <c r="N2005">
        <v>2</v>
      </c>
      <c r="O2005">
        <v>2</v>
      </c>
      <c r="P2005">
        <v>9</v>
      </c>
      <c r="Q2005">
        <v>0</v>
      </c>
      <c r="R2005">
        <v>0</v>
      </c>
      <c r="S2005">
        <v>0</v>
      </c>
      <c r="T2005">
        <v>0</v>
      </c>
      <c r="U2005">
        <v>0</v>
      </c>
      <c r="V2005">
        <f>IF(SUM(ifood_data[[#This Row],[AcceptedCmp1]:[AcceptedCmp5]])&gt;0,1,0)</f>
        <v>0</v>
      </c>
      <c r="W2005">
        <v>0</v>
      </c>
      <c r="X2005">
        <v>3</v>
      </c>
      <c r="Y2005">
        <v>11</v>
      </c>
      <c r="Z2005">
        <v>0</v>
      </c>
      <c r="AA2005">
        <v>28</v>
      </c>
      <c r="AB2005">
        <v>2732</v>
      </c>
      <c r="AC2005" s="28">
        <f>ifood_data[[#This Row],[Customer_Days]]/365</f>
        <v>7.484931506849315</v>
      </c>
      <c r="AD2005">
        <v>0</v>
      </c>
      <c r="AE2005">
        <v>0</v>
      </c>
      <c r="AF2005">
        <v>1</v>
      </c>
      <c r="AG2005">
        <v>0</v>
      </c>
      <c r="AH2005">
        <v>0</v>
      </c>
      <c r="AI2005">
        <v>0</v>
      </c>
      <c r="AJ2005">
        <v>1</v>
      </c>
      <c r="AK2005">
        <v>0</v>
      </c>
      <c r="AL2005">
        <v>0</v>
      </c>
      <c r="AM2005">
        <v>0</v>
      </c>
      <c r="AN2005">
        <v>79</v>
      </c>
      <c r="AO2005">
        <v>39</v>
      </c>
      <c r="AP2005">
        <f>ifood_data[[#This Row],[MntTotal]]-ifood_data[[#This Row],[MntRegularProds]]</f>
        <v>40</v>
      </c>
      <c r="AQ2005">
        <v>0</v>
      </c>
      <c r="AR2005">
        <f>IF(SUM(ifood_data[[#This Row],[Kidhome]:[Teenhome]])&gt;0,1,0)</f>
        <v>1</v>
      </c>
      <c r="AS2005" t="str">
        <f>IF(SUM(ifood_data[[#This Row],[Kidhome]:[Teenhome]])&gt;0,"Has Family","No Family")</f>
        <v>Has Family</v>
      </c>
      <c r="AT2005" t="str">
        <f>IF(ifood_data[[#This Row],[marital_Married]]=1,"Married", (IF(ifood_data[[#This Row],[marital_Single]]=1,"Single",(IF(ifood_data[[#This Row],[marital_Divorced]]=1,"Divorced",(IF(ifood_data[[#This Row],[marital_Together]]=1,"Living Together",(IF(ifood_data[[#This Row],[marital_Widow]]=1,"Widow","Other")))))))))</f>
        <v>Single</v>
      </c>
      <c r="AU2005" t="str">
        <f>IF(ifood_data[[#This Row],[education_Basic]]=1,"High School",(IF(ifood_data[[#This Row],[education_Graduation]]=1,"Undergraduate Degree",(IF(SUM(AM2005,AL2005,AI2005)&gt;0,"Master's Degree or Higher","Other")))))</f>
        <v>High School</v>
      </c>
      <c r="AV2005" t="str">
        <f>IF(ifood_data[[#All],[Income]]&gt;75000,"75K+",(IF(ifood_data[[#All],[Income]]&gt;50000,"50K-75K",(IF(ifood_data[[#All],[Income]]&gt;35000,"35K-50K","&lt;35K")))))</f>
        <v>&lt;35K</v>
      </c>
      <c r="AW2005" t="str">
        <f>IF(ifood_data[[#All],[Age]]&gt;60,"60+",(IF(ifood_data[[#All],[Age]]&gt;50,"50-60",(IF(ifood_data[[#All],[Age]]&gt;40,"40-50",(IF(ifood_data[[#All],[Age]]&gt;30,"30-40","&lt;30")))))))</f>
        <v>&lt;30</v>
      </c>
      <c r="AX2005">
        <f t="shared" si="124"/>
        <v>20</v>
      </c>
      <c r="AY2005">
        <f t="shared" si="125"/>
        <v>4</v>
      </c>
      <c r="AZ2005">
        <f t="shared" si="126"/>
        <v>4</v>
      </c>
      <c r="BA2005">
        <f t="shared" si="127"/>
        <v>3</v>
      </c>
      <c r="BB2005">
        <f>SUM(ifood_data[[#This Row],[Recency Score]:[Monetary Score]])</f>
        <v>11</v>
      </c>
      <c r="BC2005">
        <f>(_xlfn.PERCENTRANK.INC(ifood_data[[#All],[RFM]],ifood_data[[#This Row],[RFM]],1))*10</f>
        <v>2</v>
      </c>
      <c r="BD2005" t="str">
        <f>VLOOKUP(ifood_data[[#This Row],[RFM Score]],'RFM Analysis'!$A$3:$B$14,2,FALSE)</f>
        <v>At Risk</v>
      </c>
      <c r="BE2005">
        <f>'Regression Models'!$B$101+'Regression Models'!$B$102*ifood_data[[#This Row],[Income]]+'Regression Models'!$B$103*ifood_data[[#This Row],[Age]]+'Regression Models'!$B$104*ifood_data[[#This Row],[Family]]</f>
        <v>-375.93342047727924</v>
      </c>
      <c r="BF2005" t="str">
        <f>IF(ifood_data[[#This Row],[AcceptedCmpOverall]]=1,"Campaign Respondent","Non-respondent")</f>
        <v>Non-respondent</v>
      </c>
    </row>
    <row r="2006" spans="1:58" x14ac:dyDescent="0.35">
      <c r="A2006">
        <v>416</v>
      </c>
      <c r="B2006">
        <v>7500</v>
      </c>
      <c r="C2006">
        <v>1</v>
      </c>
      <c r="D2006">
        <v>0</v>
      </c>
      <c r="E2006">
        <v>96</v>
      </c>
      <c r="F2006">
        <v>1</v>
      </c>
      <c r="G2006">
        <v>11</v>
      </c>
      <c r="H2006">
        <v>5</v>
      </c>
      <c r="I2006">
        <v>4</v>
      </c>
      <c r="J2006">
        <v>6</v>
      </c>
      <c r="K2006">
        <v>9</v>
      </c>
      <c r="L2006">
        <v>2</v>
      </c>
      <c r="M2006">
        <v>2</v>
      </c>
      <c r="N2006">
        <v>0</v>
      </c>
      <c r="O2006">
        <v>3</v>
      </c>
      <c r="P2006">
        <v>8</v>
      </c>
      <c r="Q2006">
        <v>0</v>
      </c>
      <c r="R2006">
        <v>0</v>
      </c>
      <c r="S2006">
        <v>0</v>
      </c>
      <c r="T2006">
        <v>0</v>
      </c>
      <c r="U2006">
        <v>0</v>
      </c>
      <c r="V2006">
        <f>IF(SUM(ifood_data[[#This Row],[AcceptedCmp1]:[AcceptedCmp5]])&gt;0,1,0)</f>
        <v>0</v>
      </c>
      <c r="W2006">
        <v>0</v>
      </c>
      <c r="X2006">
        <v>3</v>
      </c>
      <c r="Y2006">
        <v>11</v>
      </c>
      <c r="Z2006">
        <v>0</v>
      </c>
      <c r="AA2006">
        <v>34</v>
      </c>
      <c r="AB2006">
        <v>2666</v>
      </c>
      <c r="AC2006" s="28">
        <f>ifood_data[[#This Row],[Customer_Days]]/365</f>
        <v>7.3041095890410963</v>
      </c>
      <c r="AD2006">
        <v>0</v>
      </c>
      <c r="AE2006">
        <v>1</v>
      </c>
      <c r="AF2006">
        <v>0</v>
      </c>
      <c r="AG2006">
        <v>0</v>
      </c>
      <c r="AH2006">
        <v>0</v>
      </c>
      <c r="AI2006">
        <v>1</v>
      </c>
      <c r="AJ2006">
        <v>0</v>
      </c>
      <c r="AK2006">
        <v>0</v>
      </c>
      <c r="AL2006">
        <v>0</v>
      </c>
      <c r="AM2006">
        <v>0</v>
      </c>
      <c r="AN2006">
        <v>27</v>
      </c>
      <c r="AO2006">
        <v>18</v>
      </c>
      <c r="AP2006">
        <f>ifood_data[[#This Row],[MntTotal]]-ifood_data[[#This Row],[MntRegularProds]]</f>
        <v>9</v>
      </c>
      <c r="AQ2006">
        <v>0</v>
      </c>
      <c r="AR2006">
        <f>IF(SUM(ifood_data[[#This Row],[Kidhome]:[Teenhome]])&gt;0,1,0)</f>
        <v>1</v>
      </c>
      <c r="AS2006" t="str">
        <f>IF(SUM(ifood_data[[#This Row],[Kidhome]:[Teenhome]])&gt;0,"Has Family","No Family")</f>
        <v>Has Family</v>
      </c>
      <c r="AT2006" t="str">
        <f>IF(ifood_data[[#This Row],[marital_Married]]=1,"Married", (IF(ifood_data[[#This Row],[marital_Single]]=1,"Single",(IF(ifood_data[[#This Row],[marital_Divorced]]=1,"Divorced",(IF(ifood_data[[#This Row],[marital_Together]]=1,"Living Together",(IF(ifood_data[[#This Row],[marital_Widow]]=1,"Widow","Other")))))))))</f>
        <v>Married</v>
      </c>
      <c r="AU2006" t="str">
        <f>IF(ifood_data[[#This Row],[education_Basic]]=1,"High School",(IF(ifood_data[[#This Row],[education_Graduation]]=1,"Undergraduate Degree",(IF(SUM(AM2006,AL2006,AI2006)&gt;0,"Master's Degree or Higher","Other")))))</f>
        <v>Master's Degree or Higher</v>
      </c>
      <c r="AV2006" t="str">
        <f>IF(ifood_data[[#All],[Income]]&gt;75000,"75K+",(IF(ifood_data[[#All],[Income]]&gt;50000,"50K-75K",(IF(ifood_data[[#All],[Income]]&gt;35000,"35K-50K","&lt;35K")))))</f>
        <v>&lt;35K</v>
      </c>
      <c r="AW2006" t="str">
        <f>IF(ifood_data[[#All],[Age]]&gt;60,"60+",(IF(ifood_data[[#All],[Age]]&gt;50,"50-60",(IF(ifood_data[[#All],[Age]]&gt;40,"40-50",(IF(ifood_data[[#All],[Age]]&gt;30,"30-40","&lt;30")))))))</f>
        <v>30-40</v>
      </c>
      <c r="AX2006">
        <f t="shared" si="124"/>
        <v>15</v>
      </c>
      <c r="AY2006">
        <f t="shared" si="125"/>
        <v>0.99999999999999978</v>
      </c>
      <c r="AZ2006">
        <f t="shared" si="126"/>
        <v>2</v>
      </c>
      <c r="BA2006">
        <f t="shared" si="127"/>
        <v>0</v>
      </c>
      <c r="BB2006">
        <f>SUM(ifood_data[[#This Row],[Recency Score]:[Monetary Score]])</f>
        <v>3</v>
      </c>
      <c r="BC2006">
        <f>(_xlfn.PERCENTRANK.INC(ifood_data[[#All],[RFM]],ifood_data[[#This Row],[RFM]],1))*10</f>
        <v>0</v>
      </c>
      <c r="BD2006" t="str">
        <f>VLOOKUP(ifood_data[[#This Row],[RFM Score]],'RFM Analysis'!$A$3:$B$14,2,FALSE)</f>
        <v>Lost</v>
      </c>
      <c r="BE2006">
        <f>'Regression Models'!$B$101+'Regression Models'!$B$102*ifood_data[[#This Row],[Income]]+'Regression Models'!$B$103*ifood_data[[#This Row],[Age]]+'Regression Models'!$B$104*ifood_data[[#This Row],[Family]]</f>
        <v>-386.95205495064488</v>
      </c>
      <c r="BF2006" t="str">
        <f>IF(ifood_data[[#This Row],[AcceptedCmpOverall]]=1,"Campaign Respondent","Non-respondent")</f>
        <v>Non-respondent</v>
      </c>
    </row>
    <row r="2007" spans="1:58" x14ac:dyDescent="0.35">
      <c r="A2007">
        <v>1850</v>
      </c>
      <c r="B2007">
        <v>7500</v>
      </c>
      <c r="C2007">
        <v>1</v>
      </c>
      <c r="D2007">
        <v>0</v>
      </c>
      <c r="E2007">
        <v>98</v>
      </c>
      <c r="F2007">
        <v>5</v>
      </c>
      <c r="G2007">
        <v>17</v>
      </c>
      <c r="H2007">
        <v>17</v>
      </c>
      <c r="I2007">
        <v>13</v>
      </c>
      <c r="J2007">
        <v>14</v>
      </c>
      <c r="K2007">
        <v>34</v>
      </c>
      <c r="L2007">
        <v>4</v>
      </c>
      <c r="M2007">
        <v>2</v>
      </c>
      <c r="N2007">
        <v>1</v>
      </c>
      <c r="O2007">
        <v>3</v>
      </c>
      <c r="P2007">
        <v>9</v>
      </c>
      <c r="Q2007">
        <v>0</v>
      </c>
      <c r="R2007">
        <v>0</v>
      </c>
      <c r="S2007">
        <v>0</v>
      </c>
      <c r="T2007">
        <v>0</v>
      </c>
      <c r="U2007">
        <v>0</v>
      </c>
      <c r="V2007">
        <f>IF(SUM(ifood_data[[#This Row],[AcceptedCmp1]:[AcceptedCmp5]])&gt;0,1,0)</f>
        <v>0</v>
      </c>
      <c r="W2007">
        <v>0</v>
      </c>
      <c r="X2007">
        <v>3</v>
      </c>
      <c r="Y2007">
        <v>11</v>
      </c>
      <c r="Z2007">
        <v>0</v>
      </c>
      <c r="AA2007">
        <v>35</v>
      </c>
      <c r="AB2007">
        <v>2856</v>
      </c>
      <c r="AC2007" s="28">
        <f>ifood_data[[#This Row],[Customer_Days]]/365</f>
        <v>7.8246575342465752</v>
      </c>
      <c r="AD2007">
        <v>0</v>
      </c>
      <c r="AE2007">
        <v>0</v>
      </c>
      <c r="AF2007">
        <v>0</v>
      </c>
      <c r="AG2007">
        <v>1</v>
      </c>
      <c r="AH2007">
        <v>0</v>
      </c>
      <c r="AI2007">
        <v>1</v>
      </c>
      <c r="AJ2007">
        <v>0</v>
      </c>
      <c r="AK2007">
        <v>0</v>
      </c>
      <c r="AL2007">
        <v>0</v>
      </c>
      <c r="AM2007">
        <v>0</v>
      </c>
      <c r="AN2007">
        <v>66</v>
      </c>
      <c r="AO2007">
        <v>32</v>
      </c>
      <c r="AP2007">
        <f>ifood_data[[#This Row],[MntTotal]]-ifood_data[[#This Row],[MntRegularProds]]</f>
        <v>34</v>
      </c>
      <c r="AQ2007">
        <v>0</v>
      </c>
      <c r="AR2007">
        <f>IF(SUM(ifood_data[[#This Row],[Kidhome]:[Teenhome]])&gt;0,1,0)</f>
        <v>1</v>
      </c>
      <c r="AS2007" t="str">
        <f>IF(SUM(ifood_data[[#This Row],[Kidhome]:[Teenhome]])&gt;0,"Has Family","No Family")</f>
        <v>Has Family</v>
      </c>
      <c r="AT2007" t="str">
        <f>IF(ifood_data[[#This Row],[marital_Married]]=1,"Married", (IF(ifood_data[[#This Row],[marital_Single]]=1,"Single",(IF(ifood_data[[#This Row],[marital_Divorced]]=1,"Divorced",(IF(ifood_data[[#This Row],[marital_Together]]=1,"Living Together",(IF(ifood_data[[#This Row],[marital_Widow]]=1,"Widow","Other")))))))))</f>
        <v>Living Together</v>
      </c>
      <c r="AU2007" t="str">
        <f>IF(ifood_data[[#This Row],[education_Basic]]=1,"High School",(IF(ifood_data[[#This Row],[education_Graduation]]=1,"Undergraduate Degree",(IF(SUM(AM2007,AL2007,AI2007)&gt;0,"Master's Degree or Higher","Other")))))</f>
        <v>Master's Degree or Higher</v>
      </c>
      <c r="AV2007" t="str">
        <f>IF(ifood_data[[#All],[Income]]&gt;75000,"75K+",(IF(ifood_data[[#All],[Income]]&gt;50000,"50K-75K",(IF(ifood_data[[#All],[Income]]&gt;35000,"35K-50K","&lt;35K")))))</f>
        <v>&lt;35K</v>
      </c>
      <c r="AW2007" t="str">
        <f>IF(ifood_data[[#All],[Age]]&gt;60,"60+",(IF(ifood_data[[#All],[Age]]&gt;50,"50-60",(IF(ifood_data[[#All],[Age]]&gt;40,"40-50",(IF(ifood_data[[#All],[Age]]&gt;30,"30-40","&lt;30")))))))</f>
        <v>30-40</v>
      </c>
      <c r="AX2007">
        <f t="shared" si="124"/>
        <v>19</v>
      </c>
      <c r="AY2007">
        <f t="shared" si="125"/>
        <v>0.99999999999999978</v>
      </c>
      <c r="AZ2007">
        <f t="shared" si="126"/>
        <v>4</v>
      </c>
      <c r="BA2007">
        <f t="shared" si="127"/>
        <v>2</v>
      </c>
      <c r="BB2007">
        <f>SUM(ifood_data[[#This Row],[Recency Score]:[Monetary Score]])</f>
        <v>7</v>
      </c>
      <c r="BC2007">
        <f>(_xlfn.PERCENTRANK.INC(ifood_data[[#All],[RFM]],ifood_data[[#This Row],[RFM]],1))*10</f>
        <v>1</v>
      </c>
      <c r="BD2007" t="str">
        <f>VLOOKUP(ifood_data[[#This Row],[RFM Score]],'RFM Analysis'!$A$3:$B$14,2,FALSE)</f>
        <v>At Risk</v>
      </c>
      <c r="BE2007">
        <f>'Regression Models'!$B$101+'Regression Models'!$B$102*ifood_data[[#This Row],[Income]]+'Regression Models'!$B$103*ifood_data[[#This Row],[Age]]+'Regression Models'!$B$104*ifood_data[[#This Row],[Family]]</f>
        <v>-388.78849402953915</v>
      </c>
      <c r="BF2007" t="str">
        <f>IF(ifood_data[[#This Row],[AcceptedCmpOverall]]=1,"Campaign Respondent","Non-respondent")</f>
        <v>Non-respondent</v>
      </c>
    </row>
    <row r="2008" spans="1:58" x14ac:dyDescent="0.35">
      <c r="A2008">
        <v>2009</v>
      </c>
      <c r="B2008">
        <v>7500</v>
      </c>
      <c r="C2008">
        <v>1</v>
      </c>
      <c r="D2008">
        <v>0</v>
      </c>
      <c r="E2008">
        <v>7</v>
      </c>
      <c r="F2008">
        <v>2</v>
      </c>
      <c r="G2008">
        <v>8</v>
      </c>
      <c r="H2008">
        <v>11</v>
      </c>
      <c r="I2008">
        <v>3</v>
      </c>
      <c r="J2008">
        <v>8</v>
      </c>
      <c r="K2008">
        <v>21</v>
      </c>
      <c r="L2008">
        <v>4</v>
      </c>
      <c r="M2008">
        <v>3</v>
      </c>
      <c r="N2008">
        <v>2</v>
      </c>
      <c r="O2008">
        <v>2</v>
      </c>
      <c r="P2008">
        <v>7</v>
      </c>
      <c r="Q2008">
        <v>0</v>
      </c>
      <c r="R2008">
        <v>0</v>
      </c>
      <c r="S2008">
        <v>0</v>
      </c>
      <c r="T2008">
        <v>0</v>
      </c>
      <c r="U2008">
        <v>0</v>
      </c>
      <c r="V2008">
        <f>IF(SUM(ifood_data[[#This Row],[AcceptedCmp1]:[AcceptedCmp5]])&gt;0,1,0)</f>
        <v>0</v>
      </c>
      <c r="W2008">
        <v>0</v>
      </c>
      <c r="X2008">
        <v>3</v>
      </c>
      <c r="Y2008">
        <v>11</v>
      </c>
      <c r="Z2008">
        <v>0</v>
      </c>
      <c r="AA2008">
        <v>41</v>
      </c>
      <c r="AB2008">
        <v>2577</v>
      </c>
      <c r="AC2008" s="28">
        <f>ifood_data[[#This Row],[Customer_Days]]/365</f>
        <v>7.0602739726027401</v>
      </c>
      <c r="AD2008">
        <v>0</v>
      </c>
      <c r="AE2008">
        <v>0</v>
      </c>
      <c r="AF2008">
        <v>0</v>
      </c>
      <c r="AG2008">
        <v>1</v>
      </c>
      <c r="AH2008">
        <v>0</v>
      </c>
      <c r="AI2008">
        <v>1</v>
      </c>
      <c r="AJ2008">
        <v>0</v>
      </c>
      <c r="AK2008">
        <v>0</v>
      </c>
      <c r="AL2008">
        <v>0</v>
      </c>
      <c r="AM2008">
        <v>0</v>
      </c>
      <c r="AN2008">
        <v>32</v>
      </c>
      <c r="AO2008">
        <v>11</v>
      </c>
      <c r="AP2008">
        <f>ifood_data[[#This Row],[MntTotal]]-ifood_data[[#This Row],[MntRegularProds]]</f>
        <v>21</v>
      </c>
      <c r="AQ2008">
        <v>0</v>
      </c>
      <c r="AR2008">
        <f>IF(SUM(ifood_data[[#This Row],[Kidhome]:[Teenhome]])&gt;0,1,0)</f>
        <v>1</v>
      </c>
      <c r="AS2008" t="str">
        <f>IF(SUM(ifood_data[[#This Row],[Kidhome]:[Teenhome]])&gt;0,"Has Family","No Family")</f>
        <v>Has Family</v>
      </c>
      <c r="AT2008" t="str">
        <f>IF(ifood_data[[#This Row],[marital_Married]]=1,"Married", (IF(ifood_data[[#This Row],[marital_Single]]=1,"Single",(IF(ifood_data[[#This Row],[marital_Divorced]]=1,"Divorced",(IF(ifood_data[[#This Row],[marital_Together]]=1,"Living Together",(IF(ifood_data[[#This Row],[marital_Widow]]=1,"Widow","Other")))))))))</f>
        <v>Living Together</v>
      </c>
      <c r="AU2008" t="str">
        <f>IF(ifood_data[[#This Row],[education_Basic]]=1,"High School",(IF(ifood_data[[#This Row],[education_Graduation]]=1,"Undergraduate Degree",(IF(SUM(AM2008,AL2008,AI2008)&gt;0,"Master's Degree or Higher","Other")))))</f>
        <v>Master's Degree or Higher</v>
      </c>
      <c r="AV2008" t="str">
        <f>IF(ifood_data[[#All],[Income]]&gt;75000,"75K+",(IF(ifood_data[[#All],[Income]]&gt;50000,"50K-75K",(IF(ifood_data[[#All],[Income]]&gt;35000,"35K-50K","&lt;35K")))))</f>
        <v>&lt;35K</v>
      </c>
      <c r="AW2008" t="str">
        <f>IF(ifood_data[[#All],[Age]]&gt;60,"60+",(IF(ifood_data[[#All],[Age]]&gt;50,"50-60",(IF(ifood_data[[#All],[Age]]&gt;40,"40-50",(IF(ifood_data[[#All],[Age]]&gt;30,"30-40","&lt;30")))))))</f>
        <v>40-50</v>
      </c>
      <c r="AX2008">
        <f t="shared" si="124"/>
        <v>18</v>
      </c>
      <c r="AY2008">
        <f t="shared" si="125"/>
        <v>10</v>
      </c>
      <c r="AZ2008">
        <f t="shared" si="126"/>
        <v>4</v>
      </c>
      <c r="BA2008">
        <f t="shared" si="127"/>
        <v>1</v>
      </c>
      <c r="BB2008">
        <f>SUM(ifood_data[[#This Row],[Recency Score]:[Monetary Score]])</f>
        <v>15</v>
      </c>
      <c r="BC2008">
        <f>(_xlfn.PERCENTRANK.INC(ifood_data[[#All],[RFM]],ifood_data[[#This Row],[RFM]],1))*10</f>
        <v>4</v>
      </c>
      <c r="BD2008" t="str">
        <f>VLOOKUP(ifood_data[[#This Row],[RFM Score]],'RFM Analysis'!$A$3:$B$14,2,FALSE)</f>
        <v>At Risk</v>
      </c>
      <c r="BE2008">
        <f>'Regression Models'!$B$101+'Regression Models'!$B$102*ifood_data[[#This Row],[Income]]+'Regression Models'!$B$103*ifood_data[[#This Row],[Age]]+'Regression Models'!$B$104*ifood_data[[#This Row],[Family]]</f>
        <v>-399.80712850290479</v>
      </c>
      <c r="BF2008" t="str">
        <f>IF(ifood_data[[#This Row],[AcceptedCmpOverall]]=1,"Campaign Respondent","Non-respondent")</f>
        <v>Non-respondent</v>
      </c>
    </row>
    <row r="2009" spans="1:58" x14ac:dyDescent="0.35">
      <c r="A2009">
        <v>1088</v>
      </c>
      <c r="B2009">
        <v>7500</v>
      </c>
      <c r="C2009">
        <v>0</v>
      </c>
      <c r="D2009">
        <v>1</v>
      </c>
      <c r="E2009">
        <v>61</v>
      </c>
      <c r="F2009">
        <v>5</v>
      </c>
      <c r="G2009">
        <v>2</v>
      </c>
      <c r="H2009">
        <v>3</v>
      </c>
      <c r="I2009">
        <v>3</v>
      </c>
      <c r="J2009">
        <v>0</v>
      </c>
      <c r="K2009">
        <v>5</v>
      </c>
      <c r="L2009">
        <v>1</v>
      </c>
      <c r="M2009">
        <v>1</v>
      </c>
      <c r="N2009">
        <v>0</v>
      </c>
      <c r="O2009">
        <v>2</v>
      </c>
      <c r="P2009">
        <v>8</v>
      </c>
      <c r="Q2009">
        <v>0</v>
      </c>
      <c r="R2009">
        <v>0</v>
      </c>
      <c r="S2009">
        <v>0</v>
      </c>
      <c r="T2009">
        <v>0</v>
      </c>
      <c r="U2009">
        <v>0</v>
      </c>
      <c r="V2009">
        <f>IF(SUM(ifood_data[[#This Row],[AcceptedCmp1]:[AcceptedCmp5]])&gt;0,1,0)</f>
        <v>0</v>
      </c>
      <c r="W2009">
        <v>0</v>
      </c>
      <c r="X2009">
        <v>3</v>
      </c>
      <c r="Y2009">
        <v>11</v>
      </c>
      <c r="Z2009">
        <v>0</v>
      </c>
      <c r="AA2009">
        <v>41</v>
      </c>
      <c r="AB2009">
        <v>2828</v>
      </c>
      <c r="AC2009" s="28">
        <f>ifood_data[[#This Row],[Customer_Days]]/365</f>
        <v>7.7479452054794518</v>
      </c>
      <c r="AD2009">
        <v>0</v>
      </c>
      <c r="AE2009">
        <v>1</v>
      </c>
      <c r="AF2009">
        <v>0</v>
      </c>
      <c r="AG2009">
        <v>0</v>
      </c>
      <c r="AH2009">
        <v>0</v>
      </c>
      <c r="AI2009">
        <v>0</v>
      </c>
      <c r="AJ2009">
        <v>0</v>
      </c>
      <c r="AK2009">
        <v>1</v>
      </c>
      <c r="AL2009">
        <v>0</v>
      </c>
      <c r="AM2009">
        <v>0</v>
      </c>
      <c r="AN2009">
        <v>13</v>
      </c>
      <c r="AO2009">
        <v>8</v>
      </c>
      <c r="AP2009">
        <f>ifood_data[[#This Row],[MntTotal]]-ifood_data[[#This Row],[MntRegularProds]]</f>
        <v>5</v>
      </c>
      <c r="AQ2009">
        <v>0</v>
      </c>
      <c r="AR2009">
        <f>IF(SUM(ifood_data[[#This Row],[Kidhome]:[Teenhome]])&gt;0,1,0)</f>
        <v>1</v>
      </c>
      <c r="AS2009" t="str">
        <f>IF(SUM(ifood_data[[#This Row],[Kidhome]:[Teenhome]])&gt;0,"Has Family","No Family")</f>
        <v>Has Family</v>
      </c>
      <c r="AT2009" t="str">
        <f>IF(ifood_data[[#This Row],[marital_Married]]=1,"Married", (IF(ifood_data[[#This Row],[marital_Single]]=1,"Single",(IF(ifood_data[[#This Row],[marital_Divorced]]=1,"Divorced",(IF(ifood_data[[#This Row],[marital_Together]]=1,"Living Together",(IF(ifood_data[[#This Row],[marital_Widow]]=1,"Widow","Other")))))))))</f>
        <v>Married</v>
      </c>
      <c r="AU2009" t="str">
        <f>IF(ifood_data[[#This Row],[education_Basic]]=1,"High School",(IF(ifood_data[[#This Row],[education_Graduation]]=1,"Undergraduate Degree",(IF(SUM(AM2009,AL2009,AI2009)&gt;0,"Master's Degree or Higher","Other")))))</f>
        <v>Undergraduate Degree</v>
      </c>
      <c r="AV2009" t="str">
        <f>IF(ifood_data[[#All],[Income]]&gt;75000,"75K+",(IF(ifood_data[[#All],[Income]]&gt;50000,"50K-75K",(IF(ifood_data[[#All],[Income]]&gt;35000,"35K-50K","&lt;35K")))))</f>
        <v>&lt;35K</v>
      </c>
      <c r="AW2009" t="str">
        <f>IF(ifood_data[[#All],[Age]]&gt;60,"60+",(IF(ifood_data[[#All],[Age]]&gt;50,"50-60",(IF(ifood_data[[#All],[Age]]&gt;40,"40-50",(IF(ifood_data[[#All],[Age]]&gt;30,"30-40","&lt;30")))))))</f>
        <v>40-50</v>
      </c>
      <c r="AX2009">
        <f t="shared" si="124"/>
        <v>12</v>
      </c>
      <c r="AY2009">
        <f t="shared" si="125"/>
        <v>4</v>
      </c>
      <c r="AZ2009">
        <f t="shared" si="126"/>
        <v>1</v>
      </c>
      <c r="BA2009">
        <f t="shared" si="127"/>
        <v>0</v>
      </c>
      <c r="BB2009">
        <f>SUM(ifood_data[[#This Row],[Recency Score]:[Monetary Score]])</f>
        <v>5</v>
      </c>
      <c r="BC2009">
        <f>(_xlfn.PERCENTRANK.INC(ifood_data[[#All],[RFM]],ifood_data[[#This Row],[RFM]],1))*10</f>
        <v>0</v>
      </c>
      <c r="BD2009" t="str">
        <f>VLOOKUP(ifood_data[[#This Row],[RFM Score]],'RFM Analysis'!$A$3:$B$14,2,FALSE)</f>
        <v>Lost</v>
      </c>
      <c r="BE2009">
        <f>'Regression Models'!$B$101+'Regression Models'!$B$102*ifood_data[[#This Row],[Income]]+'Regression Models'!$B$103*ifood_data[[#This Row],[Age]]+'Regression Models'!$B$104*ifood_data[[#This Row],[Family]]</f>
        <v>-399.80712850290479</v>
      </c>
      <c r="BF2009" t="str">
        <f>IF(ifood_data[[#This Row],[AcceptedCmpOverall]]=1,"Campaign Respondent","Non-respondent")</f>
        <v>Non-respondent</v>
      </c>
    </row>
    <row r="2010" spans="1:58" x14ac:dyDescent="0.35">
      <c r="A2010">
        <v>1223</v>
      </c>
      <c r="B2010">
        <v>7500</v>
      </c>
      <c r="C2010">
        <v>1</v>
      </c>
      <c r="D2010">
        <v>1</v>
      </c>
      <c r="E2010">
        <v>5</v>
      </c>
      <c r="F2010">
        <v>6</v>
      </c>
      <c r="G2010">
        <v>5</v>
      </c>
      <c r="H2010">
        <v>4</v>
      </c>
      <c r="I2010">
        <v>13</v>
      </c>
      <c r="J2010">
        <v>4</v>
      </c>
      <c r="K2010">
        <v>25</v>
      </c>
      <c r="L2010">
        <v>4</v>
      </c>
      <c r="M2010">
        <v>2</v>
      </c>
      <c r="N2010">
        <v>1</v>
      </c>
      <c r="O2010">
        <v>3</v>
      </c>
      <c r="P2010">
        <v>6</v>
      </c>
      <c r="Q2010">
        <v>0</v>
      </c>
      <c r="R2010">
        <v>0</v>
      </c>
      <c r="S2010">
        <v>0</v>
      </c>
      <c r="T2010">
        <v>0</v>
      </c>
      <c r="U2010">
        <v>0</v>
      </c>
      <c r="V2010">
        <f>IF(SUM(ifood_data[[#This Row],[AcceptedCmp1]:[AcceptedCmp5]])&gt;0,1,0)</f>
        <v>0</v>
      </c>
      <c r="W2010">
        <v>0</v>
      </c>
      <c r="X2010">
        <v>3</v>
      </c>
      <c r="Y2010">
        <v>11</v>
      </c>
      <c r="Z2010">
        <v>0</v>
      </c>
      <c r="AA2010">
        <v>42</v>
      </c>
      <c r="AB2010">
        <v>2708</v>
      </c>
      <c r="AC2010" s="28">
        <f>ifood_data[[#This Row],[Customer_Days]]/365</f>
        <v>7.419178082191781</v>
      </c>
      <c r="AD2010">
        <v>0</v>
      </c>
      <c r="AE2010">
        <v>0</v>
      </c>
      <c r="AF2010">
        <v>1</v>
      </c>
      <c r="AG2010">
        <v>0</v>
      </c>
      <c r="AH2010">
        <v>0</v>
      </c>
      <c r="AI2010">
        <v>0</v>
      </c>
      <c r="AJ2010">
        <v>0</v>
      </c>
      <c r="AK2010">
        <v>1</v>
      </c>
      <c r="AL2010">
        <v>0</v>
      </c>
      <c r="AM2010">
        <v>0</v>
      </c>
      <c r="AN2010">
        <v>32</v>
      </c>
      <c r="AO2010">
        <v>7</v>
      </c>
      <c r="AP2010">
        <f>ifood_data[[#This Row],[MntTotal]]-ifood_data[[#This Row],[MntRegularProds]]</f>
        <v>25</v>
      </c>
      <c r="AQ2010">
        <v>0</v>
      </c>
      <c r="AR2010">
        <f>IF(SUM(ifood_data[[#This Row],[Kidhome]:[Teenhome]])&gt;0,1,0)</f>
        <v>1</v>
      </c>
      <c r="AS2010" t="str">
        <f>IF(SUM(ifood_data[[#This Row],[Kidhome]:[Teenhome]])&gt;0,"Has Family","No Family")</f>
        <v>Has Family</v>
      </c>
      <c r="AT2010" t="str">
        <f>IF(ifood_data[[#This Row],[marital_Married]]=1,"Married", (IF(ifood_data[[#This Row],[marital_Single]]=1,"Single",(IF(ifood_data[[#This Row],[marital_Divorced]]=1,"Divorced",(IF(ifood_data[[#This Row],[marital_Together]]=1,"Living Together",(IF(ifood_data[[#This Row],[marital_Widow]]=1,"Widow","Other")))))))))</f>
        <v>Single</v>
      </c>
      <c r="AU2010" t="str">
        <f>IF(ifood_data[[#This Row],[education_Basic]]=1,"High School",(IF(ifood_data[[#This Row],[education_Graduation]]=1,"Undergraduate Degree",(IF(SUM(AM2010,AL2010,AI2010)&gt;0,"Master's Degree or Higher","Other")))))</f>
        <v>Undergraduate Degree</v>
      </c>
      <c r="AV2010" t="str">
        <f>IF(ifood_data[[#All],[Income]]&gt;75000,"75K+",(IF(ifood_data[[#All],[Income]]&gt;50000,"50K-75K",(IF(ifood_data[[#All],[Income]]&gt;35000,"35K-50K","&lt;35K")))))</f>
        <v>&lt;35K</v>
      </c>
      <c r="AW2010" t="str">
        <f>IF(ifood_data[[#All],[Age]]&gt;60,"60+",(IF(ifood_data[[#All],[Age]]&gt;50,"50-60",(IF(ifood_data[[#All],[Age]]&gt;40,"40-50",(IF(ifood_data[[#All],[Age]]&gt;30,"30-40","&lt;30")))))))</f>
        <v>40-50</v>
      </c>
      <c r="AX2010">
        <f t="shared" si="124"/>
        <v>16</v>
      </c>
      <c r="AY2010">
        <f t="shared" si="125"/>
        <v>10</v>
      </c>
      <c r="AZ2010">
        <f t="shared" si="126"/>
        <v>3</v>
      </c>
      <c r="BA2010">
        <f t="shared" si="127"/>
        <v>1</v>
      </c>
      <c r="BB2010">
        <f>SUM(ifood_data[[#This Row],[Recency Score]:[Monetary Score]])</f>
        <v>14</v>
      </c>
      <c r="BC2010">
        <f>(_xlfn.PERCENTRANK.INC(ifood_data[[#All],[RFM]],ifood_data[[#This Row],[RFM]],1))*10</f>
        <v>4</v>
      </c>
      <c r="BD2010" t="str">
        <f>VLOOKUP(ifood_data[[#This Row],[RFM Score]],'RFM Analysis'!$A$3:$B$14,2,FALSE)</f>
        <v>At Risk</v>
      </c>
      <c r="BE2010">
        <f>'Regression Models'!$B$101+'Regression Models'!$B$102*ifood_data[[#This Row],[Income]]+'Regression Models'!$B$103*ifood_data[[#This Row],[Age]]+'Regression Models'!$B$104*ifood_data[[#This Row],[Family]]</f>
        <v>-401.64356758179906</v>
      </c>
      <c r="BF2010" t="str">
        <f>IF(ifood_data[[#This Row],[AcceptedCmpOverall]]=1,"Campaign Respondent","Non-respondent")</f>
        <v>Non-respondent</v>
      </c>
    </row>
    <row r="2011" spans="1:58" x14ac:dyDescent="0.35">
      <c r="A2011">
        <v>685</v>
      </c>
      <c r="B2011">
        <v>7500</v>
      </c>
      <c r="C2011">
        <v>1</v>
      </c>
      <c r="D2011">
        <v>0</v>
      </c>
      <c r="E2011">
        <v>19</v>
      </c>
      <c r="F2011">
        <v>7</v>
      </c>
      <c r="G2011">
        <v>0</v>
      </c>
      <c r="H2011">
        <v>12</v>
      </c>
      <c r="I2011">
        <v>13</v>
      </c>
      <c r="J2011">
        <v>7</v>
      </c>
      <c r="K2011">
        <v>32</v>
      </c>
      <c r="L2011">
        <v>5</v>
      </c>
      <c r="M2011">
        <v>4</v>
      </c>
      <c r="N2011">
        <v>1</v>
      </c>
      <c r="O2011">
        <v>2</v>
      </c>
      <c r="P2011">
        <v>9</v>
      </c>
      <c r="Q2011">
        <v>0</v>
      </c>
      <c r="R2011">
        <v>0</v>
      </c>
      <c r="S2011">
        <v>1</v>
      </c>
      <c r="T2011">
        <v>0</v>
      </c>
      <c r="U2011">
        <v>0</v>
      </c>
      <c r="V2011">
        <f>IF(SUM(ifood_data[[#This Row],[AcceptedCmp1]:[AcceptedCmp5]])&gt;0,1,0)</f>
        <v>1</v>
      </c>
      <c r="W2011">
        <v>0</v>
      </c>
      <c r="X2011">
        <v>3</v>
      </c>
      <c r="Y2011">
        <v>11</v>
      </c>
      <c r="Z2011">
        <v>1</v>
      </c>
      <c r="AA2011">
        <v>44</v>
      </c>
      <c r="AB2011">
        <v>2856</v>
      </c>
      <c r="AC2011" s="28">
        <f>ifood_data[[#This Row],[Customer_Days]]/365</f>
        <v>7.8246575342465752</v>
      </c>
      <c r="AD2011">
        <v>0</v>
      </c>
      <c r="AE2011">
        <v>1</v>
      </c>
      <c r="AF2011">
        <v>0</v>
      </c>
      <c r="AG2011">
        <v>0</v>
      </c>
      <c r="AH2011">
        <v>0</v>
      </c>
      <c r="AI2011">
        <v>0</v>
      </c>
      <c r="AJ2011">
        <v>0</v>
      </c>
      <c r="AK2011">
        <v>1</v>
      </c>
      <c r="AL2011">
        <v>0</v>
      </c>
      <c r="AM2011">
        <v>0</v>
      </c>
      <c r="AN2011">
        <v>39</v>
      </c>
      <c r="AO2011">
        <v>7</v>
      </c>
      <c r="AP2011">
        <f>ifood_data[[#This Row],[MntTotal]]-ifood_data[[#This Row],[MntRegularProds]]</f>
        <v>32</v>
      </c>
      <c r="AQ2011">
        <v>1</v>
      </c>
      <c r="AR2011">
        <f>IF(SUM(ifood_data[[#This Row],[Kidhome]:[Teenhome]])&gt;0,1,0)</f>
        <v>1</v>
      </c>
      <c r="AS2011" t="str">
        <f>IF(SUM(ifood_data[[#This Row],[Kidhome]:[Teenhome]])&gt;0,"Has Family","No Family")</f>
        <v>Has Family</v>
      </c>
      <c r="AT2011" t="str">
        <f>IF(ifood_data[[#This Row],[marital_Married]]=1,"Married", (IF(ifood_data[[#This Row],[marital_Single]]=1,"Single",(IF(ifood_data[[#This Row],[marital_Divorced]]=1,"Divorced",(IF(ifood_data[[#This Row],[marital_Together]]=1,"Living Together",(IF(ifood_data[[#This Row],[marital_Widow]]=1,"Widow","Other")))))))))</f>
        <v>Married</v>
      </c>
      <c r="AU2011" t="str">
        <f>IF(ifood_data[[#This Row],[education_Basic]]=1,"High School",(IF(ifood_data[[#This Row],[education_Graduation]]=1,"Undergraduate Degree",(IF(SUM(AM2011,AL2011,AI2011)&gt;0,"Master's Degree or Higher","Other")))))</f>
        <v>Undergraduate Degree</v>
      </c>
      <c r="AV2011" t="str">
        <f>IF(ifood_data[[#All],[Income]]&gt;75000,"75K+",(IF(ifood_data[[#All],[Income]]&gt;50000,"50K-75K",(IF(ifood_data[[#All],[Income]]&gt;35000,"35K-50K","&lt;35K")))))</f>
        <v>&lt;35K</v>
      </c>
      <c r="AW2011" t="str">
        <f>IF(ifood_data[[#All],[Age]]&gt;60,"60+",(IF(ifood_data[[#All],[Age]]&gt;50,"50-60",(IF(ifood_data[[#All],[Age]]&gt;40,"40-50",(IF(ifood_data[[#All],[Age]]&gt;30,"30-40","&lt;30")))))))</f>
        <v>40-50</v>
      </c>
      <c r="AX2011">
        <f t="shared" si="124"/>
        <v>21</v>
      </c>
      <c r="AY2011">
        <f t="shared" si="125"/>
        <v>9</v>
      </c>
      <c r="AZ2011">
        <f t="shared" si="126"/>
        <v>5</v>
      </c>
      <c r="BA2011">
        <f t="shared" si="127"/>
        <v>1</v>
      </c>
      <c r="BB2011">
        <f>SUM(ifood_data[[#This Row],[Recency Score]:[Monetary Score]])</f>
        <v>15</v>
      </c>
      <c r="BC2011">
        <f>(_xlfn.PERCENTRANK.INC(ifood_data[[#All],[RFM]],ifood_data[[#This Row],[RFM]],1))*10</f>
        <v>4</v>
      </c>
      <c r="BD2011" t="str">
        <f>VLOOKUP(ifood_data[[#This Row],[RFM Score]],'RFM Analysis'!$A$3:$B$14,2,FALSE)</f>
        <v>At Risk</v>
      </c>
      <c r="BE2011">
        <f>'Regression Models'!$B$101+'Regression Models'!$B$102*ifood_data[[#This Row],[Income]]+'Regression Models'!$B$103*ifood_data[[#This Row],[Age]]+'Regression Models'!$B$104*ifood_data[[#This Row],[Family]]</f>
        <v>-405.31644573958761</v>
      </c>
      <c r="BF2011" t="str">
        <f>IF(ifood_data[[#This Row],[AcceptedCmpOverall]]=1,"Campaign Respondent","Non-respondent")</f>
        <v>Campaign Respondent</v>
      </c>
    </row>
    <row r="2012" spans="1:58" x14ac:dyDescent="0.35">
      <c r="A2012">
        <v>42</v>
      </c>
      <c r="B2012">
        <v>7500</v>
      </c>
      <c r="C2012">
        <v>1</v>
      </c>
      <c r="D2012">
        <v>0</v>
      </c>
      <c r="E2012">
        <v>19</v>
      </c>
      <c r="F2012">
        <v>3</v>
      </c>
      <c r="G2012">
        <v>1</v>
      </c>
      <c r="H2012">
        <v>10</v>
      </c>
      <c r="I2012">
        <v>3</v>
      </c>
      <c r="J2012">
        <v>2</v>
      </c>
      <c r="K2012">
        <v>12</v>
      </c>
      <c r="L2012">
        <v>3</v>
      </c>
      <c r="M2012">
        <v>2</v>
      </c>
      <c r="N2012">
        <v>0</v>
      </c>
      <c r="O2012">
        <v>3</v>
      </c>
      <c r="P2012">
        <v>5</v>
      </c>
      <c r="Q2012">
        <v>0</v>
      </c>
      <c r="R2012">
        <v>0</v>
      </c>
      <c r="S2012">
        <v>0</v>
      </c>
      <c r="T2012">
        <v>0</v>
      </c>
      <c r="U2012">
        <v>0</v>
      </c>
      <c r="V2012">
        <f>IF(SUM(ifood_data[[#This Row],[AcceptedCmp1]:[AcceptedCmp5]])&gt;0,1,0)</f>
        <v>0</v>
      </c>
      <c r="W2012">
        <v>0</v>
      </c>
      <c r="X2012">
        <v>3</v>
      </c>
      <c r="Y2012">
        <v>11</v>
      </c>
      <c r="Z2012">
        <v>0</v>
      </c>
      <c r="AA2012">
        <v>45</v>
      </c>
      <c r="AB2012">
        <v>2429</v>
      </c>
      <c r="AC2012" s="28">
        <f>ifood_data[[#This Row],[Customer_Days]]/365</f>
        <v>6.6547945205479451</v>
      </c>
      <c r="AD2012">
        <v>0</v>
      </c>
      <c r="AE2012">
        <v>1</v>
      </c>
      <c r="AF2012">
        <v>0</v>
      </c>
      <c r="AG2012">
        <v>0</v>
      </c>
      <c r="AH2012">
        <v>0</v>
      </c>
      <c r="AI2012">
        <v>0</v>
      </c>
      <c r="AJ2012">
        <v>0</v>
      </c>
      <c r="AK2012">
        <v>0</v>
      </c>
      <c r="AL2012">
        <v>1</v>
      </c>
      <c r="AM2012">
        <v>0</v>
      </c>
      <c r="AN2012">
        <v>19</v>
      </c>
      <c r="AO2012">
        <v>7</v>
      </c>
      <c r="AP2012">
        <f>ifood_data[[#This Row],[MntTotal]]-ifood_data[[#This Row],[MntRegularProds]]</f>
        <v>12</v>
      </c>
      <c r="AQ2012">
        <v>0</v>
      </c>
      <c r="AR2012">
        <f>IF(SUM(ifood_data[[#This Row],[Kidhome]:[Teenhome]])&gt;0,1,0)</f>
        <v>1</v>
      </c>
      <c r="AS2012" t="str">
        <f>IF(SUM(ifood_data[[#This Row],[Kidhome]:[Teenhome]])&gt;0,"Has Family","No Family")</f>
        <v>Has Family</v>
      </c>
      <c r="AT2012" t="str">
        <f>IF(ifood_data[[#This Row],[marital_Married]]=1,"Married", (IF(ifood_data[[#This Row],[marital_Single]]=1,"Single",(IF(ifood_data[[#This Row],[marital_Divorced]]=1,"Divorced",(IF(ifood_data[[#This Row],[marital_Together]]=1,"Living Together",(IF(ifood_data[[#This Row],[marital_Widow]]=1,"Widow","Other")))))))))</f>
        <v>Married</v>
      </c>
      <c r="AU2012" t="str">
        <f>IF(ifood_data[[#This Row],[education_Basic]]=1,"High School",(IF(ifood_data[[#This Row],[education_Graduation]]=1,"Undergraduate Degree",(IF(SUM(AM2012,AL2012,AI2012)&gt;0,"Master's Degree or Higher","Other")))))</f>
        <v>Master's Degree or Higher</v>
      </c>
      <c r="AV2012" t="str">
        <f>IF(ifood_data[[#All],[Income]]&gt;75000,"75K+",(IF(ifood_data[[#All],[Income]]&gt;50000,"50K-75K",(IF(ifood_data[[#All],[Income]]&gt;35000,"35K-50K","&lt;35K")))))</f>
        <v>&lt;35K</v>
      </c>
      <c r="AW2012" t="str">
        <f>IF(ifood_data[[#All],[Age]]&gt;60,"60+",(IF(ifood_data[[#All],[Age]]&gt;50,"50-60",(IF(ifood_data[[#All],[Age]]&gt;40,"40-50",(IF(ifood_data[[#All],[Age]]&gt;30,"30-40","&lt;30")))))))</f>
        <v>40-50</v>
      </c>
      <c r="AX2012">
        <f t="shared" si="124"/>
        <v>13</v>
      </c>
      <c r="AY2012">
        <f t="shared" si="125"/>
        <v>9</v>
      </c>
      <c r="AZ2012">
        <f t="shared" si="126"/>
        <v>1</v>
      </c>
      <c r="BA2012">
        <f t="shared" si="127"/>
        <v>0</v>
      </c>
      <c r="BB2012">
        <f>SUM(ifood_data[[#This Row],[Recency Score]:[Monetary Score]])</f>
        <v>10</v>
      </c>
      <c r="BC2012">
        <f>(_xlfn.PERCENTRANK.INC(ifood_data[[#All],[RFM]],ifood_data[[#This Row],[RFM]],1))*10</f>
        <v>2</v>
      </c>
      <c r="BD2012" t="str">
        <f>VLOOKUP(ifood_data[[#This Row],[RFM Score]],'RFM Analysis'!$A$3:$B$14,2,FALSE)</f>
        <v>At Risk</v>
      </c>
      <c r="BE2012">
        <f>'Regression Models'!$B$101+'Regression Models'!$B$102*ifood_data[[#This Row],[Income]]+'Regression Models'!$B$103*ifood_data[[#This Row],[Age]]+'Regression Models'!$B$104*ifood_data[[#This Row],[Family]]</f>
        <v>-407.15288481848188</v>
      </c>
      <c r="BF2012" t="str">
        <f>IF(ifood_data[[#This Row],[AcceptedCmpOverall]]=1,"Campaign Respondent","Non-respondent")</f>
        <v>Non-respondent</v>
      </c>
    </row>
    <row r="2013" spans="1:58" x14ac:dyDescent="0.35">
      <c r="A2013">
        <v>224</v>
      </c>
      <c r="B2013">
        <v>7500</v>
      </c>
      <c r="C2013">
        <v>1</v>
      </c>
      <c r="D2013">
        <v>0</v>
      </c>
      <c r="E2013">
        <v>54</v>
      </c>
      <c r="F2013">
        <v>5</v>
      </c>
      <c r="G2013">
        <v>3</v>
      </c>
      <c r="H2013">
        <v>10</v>
      </c>
      <c r="I2013">
        <v>12</v>
      </c>
      <c r="J2013">
        <v>7</v>
      </c>
      <c r="K2013">
        <v>20</v>
      </c>
      <c r="L2013">
        <v>4</v>
      </c>
      <c r="M2013">
        <v>3</v>
      </c>
      <c r="N2013">
        <v>1</v>
      </c>
      <c r="O2013">
        <v>3</v>
      </c>
      <c r="P2013">
        <v>7</v>
      </c>
      <c r="Q2013">
        <v>0</v>
      </c>
      <c r="R2013">
        <v>0</v>
      </c>
      <c r="S2013">
        <v>0</v>
      </c>
      <c r="T2013">
        <v>0</v>
      </c>
      <c r="U2013">
        <v>0</v>
      </c>
      <c r="V2013">
        <f>IF(SUM(ifood_data[[#This Row],[AcceptedCmp1]:[AcceptedCmp5]])&gt;0,1,0)</f>
        <v>0</v>
      </c>
      <c r="W2013">
        <v>0</v>
      </c>
      <c r="X2013">
        <v>3</v>
      </c>
      <c r="Y2013">
        <v>11</v>
      </c>
      <c r="Z2013">
        <v>0</v>
      </c>
      <c r="AA2013">
        <v>47</v>
      </c>
      <c r="AB2013">
        <v>2344</v>
      </c>
      <c r="AC2013" s="28">
        <f>ifood_data[[#This Row],[Customer_Days]]/365</f>
        <v>6.4219178082191783</v>
      </c>
      <c r="AD2013">
        <v>0</v>
      </c>
      <c r="AE2013">
        <v>0</v>
      </c>
      <c r="AF2013">
        <v>1</v>
      </c>
      <c r="AG2013">
        <v>0</v>
      </c>
      <c r="AH2013">
        <v>0</v>
      </c>
      <c r="AI2013">
        <v>0</v>
      </c>
      <c r="AJ2013">
        <v>0</v>
      </c>
      <c r="AK2013">
        <v>1</v>
      </c>
      <c r="AL2013">
        <v>0</v>
      </c>
      <c r="AM2013">
        <v>0</v>
      </c>
      <c r="AN2013">
        <v>37</v>
      </c>
      <c r="AO2013">
        <v>17</v>
      </c>
      <c r="AP2013">
        <f>ifood_data[[#This Row],[MntTotal]]-ifood_data[[#This Row],[MntRegularProds]]</f>
        <v>20</v>
      </c>
      <c r="AQ2013">
        <v>0</v>
      </c>
      <c r="AR2013">
        <f>IF(SUM(ifood_data[[#This Row],[Kidhome]:[Teenhome]])&gt;0,1,0)</f>
        <v>1</v>
      </c>
      <c r="AS2013" t="str">
        <f>IF(SUM(ifood_data[[#This Row],[Kidhome]:[Teenhome]])&gt;0,"Has Family","No Family")</f>
        <v>Has Family</v>
      </c>
      <c r="AT2013" t="str">
        <f>IF(ifood_data[[#This Row],[marital_Married]]=1,"Married", (IF(ifood_data[[#This Row],[marital_Single]]=1,"Single",(IF(ifood_data[[#This Row],[marital_Divorced]]=1,"Divorced",(IF(ifood_data[[#This Row],[marital_Together]]=1,"Living Together",(IF(ifood_data[[#This Row],[marital_Widow]]=1,"Widow","Other")))))))))</f>
        <v>Single</v>
      </c>
      <c r="AU2013" t="str">
        <f>IF(ifood_data[[#This Row],[education_Basic]]=1,"High School",(IF(ifood_data[[#This Row],[education_Graduation]]=1,"Undergraduate Degree",(IF(SUM(AM2013,AL2013,AI2013)&gt;0,"Master's Degree or Higher","Other")))))</f>
        <v>Undergraduate Degree</v>
      </c>
      <c r="AV2013" t="str">
        <f>IF(ifood_data[[#All],[Income]]&gt;75000,"75K+",(IF(ifood_data[[#All],[Income]]&gt;50000,"50K-75K",(IF(ifood_data[[#All],[Income]]&gt;35000,"35K-50K","&lt;35K")))))</f>
        <v>&lt;35K</v>
      </c>
      <c r="AW2013" t="str">
        <f>IF(ifood_data[[#All],[Age]]&gt;60,"60+",(IF(ifood_data[[#All],[Age]]&gt;50,"50-60",(IF(ifood_data[[#All],[Age]]&gt;40,"40-50",(IF(ifood_data[[#All],[Age]]&gt;30,"30-40","&lt;30")))))))</f>
        <v>40-50</v>
      </c>
      <c r="AX2013">
        <f t="shared" si="124"/>
        <v>18</v>
      </c>
      <c r="AY2013">
        <f t="shared" si="125"/>
        <v>5</v>
      </c>
      <c r="AZ2013">
        <f t="shared" si="126"/>
        <v>4</v>
      </c>
      <c r="BA2013">
        <f t="shared" si="127"/>
        <v>1</v>
      </c>
      <c r="BB2013">
        <f>SUM(ifood_data[[#This Row],[Recency Score]:[Monetary Score]])</f>
        <v>10</v>
      </c>
      <c r="BC2013">
        <f>(_xlfn.PERCENTRANK.INC(ifood_data[[#All],[RFM]],ifood_data[[#This Row],[RFM]],1))*10</f>
        <v>2</v>
      </c>
      <c r="BD2013" t="str">
        <f>VLOOKUP(ifood_data[[#This Row],[RFM Score]],'RFM Analysis'!$A$3:$B$14,2,FALSE)</f>
        <v>At Risk</v>
      </c>
      <c r="BE2013">
        <f>'Regression Models'!$B$101+'Regression Models'!$B$102*ifood_data[[#This Row],[Income]]+'Regression Models'!$B$103*ifood_data[[#This Row],[Age]]+'Regression Models'!$B$104*ifood_data[[#This Row],[Family]]</f>
        <v>-410.82576297627048</v>
      </c>
      <c r="BF2013" t="str">
        <f>IF(ifood_data[[#This Row],[AcceptedCmpOverall]]=1,"Campaign Respondent","Non-respondent")</f>
        <v>Non-respondent</v>
      </c>
    </row>
    <row r="2014" spans="1:58" x14ac:dyDescent="0.35">
      <c r="A2014">
        <v>1988</v>
      </c>
      <c r="B2014">
        <v>8820</v>
      </c>
      <c r="C2014">
        <v>1</v>
      </c>
      <c r="D2014">
        <v>1</v>
      </c>
      <c r="E2014">
        <v>52</v>
      </c>
      <c r="F2014">
        <v>12</v>
      </c>
      <c r="G2014">
        <v>0</v>
      </c>
      <c r="H2014">
        <v>13</v>
      </c>
      <c r="I2014">
        <v>4</v>
      </c>
      <c r="J2014">
        <v>2</v>
      </c>
      <c r="K2014">
        <v>4</v>
      </c>
      <c r="L2014">
        <v>4</v>
      </c>
      <c r="M2014">
        <v>3</v>
      </c>
      <c r="N2014">
        <v>0</v>
      </c>
      <c r="O2014">
        <v>3</v>
      </c>
      <c r="P2014">
        <v>8</v>
      </c>
      <c r="Q2014">
        <v>0</v>
      </c>
      <c r="R2014">
        <v>0</v>
      </c>
      <c r="S2014">
        <v>0</v>
      </c>
      <c r="T2014">
        <v>0</v>
      </c>
      <c r="U2014">
        <v>0</v>
      </c>
      <c r="V2014">
        <f>IF(SUM(ifood_data[[#This Row],[AcceptedCmp1]:[AcceptedCmp5]])&gt;0,1,0)</f>
        <v>0</v>
      </c>
      <c r="W2014">
        <v>0</v>
      </c>
      <c r="X2014">
        <v>3</v>
      </c>
      <c r="Y2014">
        <v>11</v>
      </c>
      <c r="Z2014">
        <v>0</v>
      </c>
      <c r="AA2014">
        <v>68</v>
      </c>
      <c r="AB2014">
        <v>2623</v>
      </c>
      <c r="AC2014" s="28">
        <f>ifood_data[[#This Row],[Customer_Days]]/365</f>
        <v>7.1863013698630134</v>
      </c>
      <c r="AD2014">
        <v>0</v>
      </c>
      <c r="AE2014">
        <v>0</v>
      </c>
      <c r="AF2014">
        <v>1</v>
      </c>
      <c r="AG2014">
        <v>0</v>
      </c>
      <c r="AH2014">
        <v>0</v>
      </c>
      <c r="AI2014">
        <v>0</v>
      </c>
      <c r="AJ2014">
        <v>0</v>
      </c>
      <c r="AK2014">
        <v>0</v>
      </c>
      <c r="AL2014">
        <v>1</v>
      </c>
      <c r="AM2014">
        <v>0</v>
      </c>
      <c r="AN2014">
        <v>31</v>
      </c>
      <c r="AO2014">
        <v>27</v>
      </c>
      <c r="AP2014">
        <f>ifood_data[[#This Row],[MntTotal]]-ifood_data[[#This Row],[MntRegularProds]]</f>
        <v>4</v>
      </c>
      <c r="AQ2014">
        <v>0</v>
      </c>
      <c r="AR2014">
        <f>IF(SUM(ifood_data[[#This Row],[Kidhome]:[Teenhome]])&gt;0,1,0)</f>
        <v>1</v>
      </c>
      <c r="AS2014" t="str">
        <f>IF(SUM(ifood_data[[#This Row],[Kidhome]:[Teenhome]])&gt;0,"Has Family","No Family")</f>
        <v>Has Family</v>
      </c>
      <c r="AT2014" t="str">
        <f>IF(ifood_data[[#This Row],[marital_Married]]=1,"Married", (IF(ifood_data[[#This Row],[marital_Single]]=1,"Single",(IF(ifood_data[[#This Row],[marital_Divorced]]=1,"Divorced",(IF(ifood_data[[#This Row],[marital_Together]]=1,"Living Together",(IF(ifood_data[[#This Row],[marital_Widow]]=1,"Widow","Other")))))))))</f>
        <v>Single</v>
      </c>
      <c r="AU2014" t="str">
        <f>IF(ifood_data[[#This Row],[education_Basic]]=1,"High School",(IF(ifood_data[[#This Row],[education_Graduation]]=1,"Undergraduate Degree",(IF(SUM(AM2014,AL2014,AI2014)&gt;0,"Master's Degree or Higher","Other")))))</f>
        <v>Master's Degree or Higher</v>
      </c>
      <c r="AV2014" t="str">
        <f>IF(ifood_data[[#All],[Income]]&gt;75000,"75K+",(IF(ifood_data[[#All],[Income]]&gt;50000,"50K-75K",(IF(ifood_data[[#All],[Income]]&gt;35000,"35K-50K","&lt;35K")))))</f>
        <v>&lt;35K</v>
      </c>
      <c r="AW2014" t="str">
        <f>IF(ifood_data[[#All],[Age]]&gt;60,"60+",(IF(ifood_data[[#All],[Age]]&gt;50,"50-60",(IF(ifood_data[[#All],[Age]]&gt;40,"40-50",(IF(ifood_data[[#All],[Age]]&gt;30,"30-40","&lt;30")))))))</f>
        <v>60+</v>
      </c>
      <c r="AX2014">
        <f t="shared" si="124"/>
        <v>18</v>
      </c>
      <c r="AY2014">
        <f t="shared" si="125"/>
        <v>5</v>
      </c>
      <c r="AZ2014">
        <f t="shared" si="126"/>
        <v>4</v>
      </c>
      <c r="BA2014">
        <f t="shared" si="127"/>
        <v>1</v>
      </c>
      <c r="BB2014">
        <f>SUM(ifood_data[[#This Row],[Recency Score]:[Monetary Score]])</f>
        <v>10</v>
      </c>
      <c r="BC2014">
        <f>(_xlfn.PERCENTRANK.INC(ifood_data[[#All],[RFM]],ifood_data[[#This Row],[RFM]],1))*10</f>
        <v>2</v>
      </c>
      <c r="BD2014" t="str">
        <f>VLOOKUP(ifood_data[[#This Row],[RFM Score]],'RFM Analysis'!$A$3:$B$14,2,FALSE)</f>
        <v>At Risk</v>
      </c>
      <c r="BE2014">
        <f>'Regression Models'!$B$101+'Regression Models'!$B$102*ifood_data[[#This Row],[Income]]+'Regression Models'!$B$103*ifood_data[[#This Row],[Age]]+'Regression Models'!$B$104*ifood_data[[#This Row],[Family]]</f>
        <v>-422.47780968310371</v>
      </c>
      <c r="BF2014" t="str">
        <f>IF(ifood_data[[#This Row],[AcceptedCmpOverall]]=1,"Campaign Respondent","Non-respondent")</f>
        <v>Non-respondent</v>
      </c>
    </row>
    <row r="2015" spans="1:58" x14ac:dyDescent="0.35">
      <c r="A2015">
        <v>1650</v>
      </c>
      <c r="B2015">
        <v>7144</v>
      </c>
      <c r="C2015">
        <v>0</v>
      </c>
      <c r="D2015">
        <v>2</v>
      </c>
      <c r="E2015">
        <v>92</v>
      </c>
      <c r="F2015">
        <v>81</v>
      </c>
      <c r="G2015">
        <v>4</v>
      </c>
      <c r="H2015">
        <v>33</v>
      </c>
      <c r="I2015">
        <v>5</v>
      </c>
      <c r="J2015">
        <v>2</v>
      </c>
      <c r="K2015">
        <v>291</v>
      </c>
      <c r="L2015">
        <v>0</v>
      </c>
      <c r="M2015">
        <v>23</v>
      </c>
      <c r="N2015">
        <v>1</v>
      </c>
      <c r="O2015">
        <v>1</v>
      </c>
      <c r="P2015">
        <v>0</v>
      </c>
      <c r="Q2015">
        <v>0</v>
      </c>
      <c r="R2015">
        <v>0</v>
      </c>
      <c r="S2015">
        <v>0</v>
      </c>
      <c r="T2015">
        <v>0</v>
      </c>
      <c r="U2015">
        <v>0</v>
      </c>
      <c r="V2015">
        <f>IF(SUM(ifood_data[[#This Row],[AcceptedCmp1]:[AcceptedCmp5]])&gt;0,1,0)</f>
        <v>0</v>
      </c>
      <c r="W2015">
        <v>0</v>
      </c>
      <c r="X2015">
        <v>3</v>
      </c>
      <c r="Y2015">
        <v>11</v>
      </c>
      <c r="Z2015">
        <v>0</v>
      </c>
      <c r="AA2015">
        <v>54</v>
      </c>
      <c r="AB2015">
        <v>2363</v>
      </c>
      <c r="AC2015" s="28">
        <f>ifood_data[[#This Row],[Customer_Days]]/365</f>
        <v>6.4739726027397264</v>
      </c>
      <c r="AD2015">
        <v>0</v>
      </c>
      <c r="AE2015">
        <v>0</v>
      </c>
      <c r="AF2015">
        <v>1</v>
      </c>
      <c r="AG2015">
        <v>0</v>
      </c>
      <c r="AH2015">
        <v>0</v>
      </c>
      <c r="AI2015">
        <v>0</v>
      </c>
      <c r="AJ2015">
        <v>0</v>
      </c>
      <c r="AK2015">
        <v>0</v>
      </c>
      <c r="AL2015">
        <v>0</v>
      </c>
      <c r="AM2015">
        <v>1</v>
      </c>
      <c r="AN2015">
        <v>125</v>
      </c>
      <c r="AO2015">
        <v>-166</v>
      </c>
      <c r="AP2015">
        <f>ifood_data[[#This Row],[MntTotal]]-ifood_data[[#This Row],[MntRegularProds]]</f>
        <v>291</v>
      </c>
      <c r="AQ2015">
        <v>0</v>
      </c>
      <c r="AR2015">
        <f>IF(SUM(ifood_data[[#This Row],[Kidhome]:[Teenhome]])&gt;0,1,0)</f>
        <v>1</v>
      </c>
      <c r="AS2015" t="str">
        <f>IF(SUM(ifood_data[[#This Row],[Kidhome]:[Teenhome]])&gt;0,"Has Family","No Family")</f>
        <v>Has Family</v>
      </c>
      <c r="AT2015" t="str">
        <f>IF(ifood_data[[#This Row],[marital_Married]]=1,"Married", (IF(ifood_data[[#This Row],[marital_Single]]=1,"Single",(IF(ifood_data[[#This Row],[marital_Divorced]]=1,"Divorced",(IF(ifood_data[[#This Row],[marital_Together]]=1,"Living Together",(IF(ifood_data[[#This Row],[marital_Widow]]=1,"Widow","Other")))))))))</f>
        <v>Single</v>
      </c>
      <c r="AU2015" t="str">
        <f>IF(ifood_data[[#This Row],[education_Basic]]=1,"High School",(IF(ifood_data[[#This Row],[education_Graduation]]=1,"Undergraduate Degree",(IF(SUM(AM2015,AL2015,AI2015)&gt;0,"Master's Degree or Higher","Other")))))</f>
        <v>Master's Degree or Higher</v>
      </c>
      <c r="AV2015" t="str">
        <f>IF(ifood_data[[#All],[Income]]&gt;75000,"75K+",(IF(ifood_data[[#All],[Income]]&gt;50000,"50K-75K",(IF(ifood_data[[#All],[Income]]&gt;35000,"35K-50K","&lt;35K")))))</f>
        <v>&lt;35K</v>
      </c>
      <c r="AW2015" t="str">
        <f>IF(ifood_data[[#All],[Age]]&gt;60,"60+",(IF(ifood_data[[#All],[Age]]&gt;50,"50-60",(IF(ifood_data[[#All],[Age]]&gt;40,"40-50",(IF(ifood_data[[#All],[Age]]&gt;30,"30-40","&lt;30")))))))</f>
        <v>50-60</v>
      </c>
      <c r="AX2015">
        <f t="shared" si="124"/>
        <v>25</v>
      </c>
      <c r="AY2015">
        <f t="shared" si="125"/>
        <v>0.99999999999999978</v>
      </c>
      <c r="AZ2015">
        <f t="shared" si="126"/>
        <v>7</v>
      </c>
      <c r="BA2015">
        <f t="shared" si="127"/>
        <v>3</v>
      </c>
      <c r="BB2015">
        <f>SUM(ifood_data[[#This Row],[Recency Score]:[Monetary Score]])</f>
        <v>11</v>
      </c>
      <c r="BC2015">
        <f>(_xlfn.PERCENTRANK.INC(ifood_data[[#All],[RFM]],ifood_data[[#This Row],[RFM]],1))*10</f>
        <v>2</v>
      </c>
      <c r="BD2015" t="str">
        <f>VLOOKUP(ifood_data[[#This Row],[RFM Score]],'RFM Analysis'!$A$3:$B$14,2,FALSE)</f>
        <v>At Risk</v>
      </c>
      <c r="BE2015">
        <f>'Regression Models'!$B$101+'Regression Models'!$B$102*ifood_data[[#This Row],[Income]]+'Regression Models'!$B$103*ifood_data[[#This Row],[Age]]+'Regression Models'!$B$104*ifood_data[[#This Row],[Family]]</f>
        <v>-430.93923798775836</v>
      </c>
      <c r="BF2015" t="str">
        <f>IF(ifood_data[[#This Row],[AcceptedCmpOverall]]=1,"Campaign Respondent","Non-respondent")</f>
        <v>Non-respondent</v>
      </c>
    </row>
    <row r="2016" spans="1:58" x14ac:dyDescent="0.35">
      <c r="A2016">
        <v>2005</v>
      </c>
      <c r="B2016">
        <v>5305</v>
      </c>
      <c r="C2016">
        <v>0</v>
      </c>
      <c r="D2016">
        <v>1</v>
      </c>
      <c r="E2016">
        <v>12</v>
      </c>
      <c r="F2016">
        <v>12</v>
      </c>
      <c r="G2016">
        <v>4</v>
      </c>
      <c r="H2016">
        <v>7</v>
      </c>
      <c r="I2016">
        <v>1</v>
      </c>
      <c r="J2016">
        <v>3</v>
      </c>
      <c r="K2016">
        <v>5</v>
      </c>
      <c r="L2016">
        <v>0</v>
      </c>
      <c r="M2016">
        <v>1</v>
      </c>
      <c r="N2016">
        <v>0</v>
      </c>
      <c r="O2016">
        <v>0</v>
      </c>
      <c r="P2016">
        <v>13</v>
      </c>
      <c r="Q2016">
        <v>0</v>
      </c>
      <c r="R2016">
        <v>0</v>
      </c>
      <c r="S2016">
        <v>0</v>
      </c>
      <c r="T2016">
        <v>0</v>
      </c>
      <c r="U2016">
        <v>0</v>
      </c>
      <c r="V2016">
        <f>IF(SUM(ifood_data[[#This Row],[AcceptedCmp1]:[AcceptedCmp5]])&gt;0,1,0)</f>
        <v>0</v>
      </c>
      <c r="W2016">
        <v>0</v>
      </c>
      <c r="X2016">
        <v>3</v>
      </c>
      <c r="Y2016">
        <v>11</v>
      </c>
      <c r="Z2016">
        <v>0</v>
      </c>
      <c r="AA2016">
        <v>44</v>
      </c>
      <c r="AB2016">
        <v>2493</v>
      </c>
      <c r="AC2016" s="28">
        <f>ifood_data[[#This Row],[Customer_Days]]/365</f>
        <v>6.8301369863013699</v>
      </c>
      <c r="AD2016">
        <v>0</v>
      </c>
      <c r="AE2016">
        <v>1</v>
      </c>
      <c r="AF2016">
        <v>0</v>
      </c>
      <c r="AG2016">
        <v>0</v>
      </c>
      <c r="AH2016">
        <v>0</v>
      </c>
      <c r="AI2016">
        <v>0</v>
      </c>
      <c r="AJ2016">
        <v>0</v>
      </c>
      <c r="AK2016">
        <v>1</v>
      </c>
      <c r="AL2016">
        <v>0</v>
      </c>
      <c r="AM2016">
        <v>0</v>
      </c>
      <c r="AN2016">
        <v>27</v>
      </c>
      <c r="AO2016">
        <v>22</v>
      </c>
      <c r="AP2016">
        <f>ifood_data[[#This Row],[MntTotal]]-ifood_data[[#This Row],[MntRegularProds]]</f>
        <v>5</v>
      </c>
      <c r="AQ2016">
        <v>0</v>
      </c>
      <c r="AR2016">
        <f>IF(SUM(ifood_data[[#This Row],[Kidhome]:[Teenhome]])&gt;0,1,0)</f>
        <v>1</v>
      </c>
      <c r="AS2016" t="str">
        <f>IF(SUM(ifood_data[[#This Row],[Kidhome]:[Teenhome]])&gt;0,"Has Family","No Family")</f>
        <v>Has Family</v>
      </c>
      <c r="AT2016" t="str">
        <f>IF(ifood_data[[#This Row],[marital_Married]]=1,"Married", (IF(ifood_data[[#This Row],[marital_Single]]=1,"Single",(IF(ifood_data[[#This Row],[marital_Divorced]]=1,"Divorced",(IF(ifood_data[[#This Row],[marital_Together]]=1,"Living Together",(IF(ifood_data[[#This Row],[marital_Widow]]=1,"Widow","Other")))))))))</f>
        <v>Married</v>
      </c>
      <c r="AU2016" t="str">
        <f>IF(ifood_data[[#This Row],[education_Basic]]=1,"High School",(IF(ifood_data[[#This Row],[education_Graduation]]=1,"Undergraduate Degree",(IF(SUM(AM2016,AL2016,AI2016)&gt;0,"Master's Degree or Higher","Other")))))</f>
        <v>Undergraduate Degree</v>
      </c>
      <c r="AV2016" t="str">
        <f>IF(ifood_data[[#All],[Income]]&gt;75000,"75K+",(IF(ifood_data[[#All],[Income]]&gt;50000,"50K-75K",(IF(ifood_data[[#All],[Income]]&gt;35000,"35K-50K","&lt;35K")))))</f>
        <v>&lt;35K</v>
      </c>
      <c r="AW2016" t="str">
        <f>IF(ifood_data[[#All],[Age]]&gt;60,"60+",(IF(ifood_data[[#All],[Age]]&gt;50,"50-60",(IF(ifood_data[[#All],[Age]]&gt;40,"40-50",(IF(ifood_data[[#All],[Age]]&gt;30,"30-40","&lt;30")))))))</f>
        <v>40-50</v>
      </c>
      <c r="AX2016">
        <f t="shared" si="124"/>
        <v>14</v>
      </c>
      <c r="AY2016">
        <f t="shared" si="125"/>
        <v>9</v>
      </c>
      <c r="AZ2016">
        <f t="shared" si="126"/>
        <v>2</v>
      </c>
      <c r="BA2016">
        <f t="shared" si="127"/>
        <v>0</v>
      </c>
      <c r="BB2016">
        <f>SUM(ifood_data[[#This Row],[Recency Score]:[Monetary Score]])</f>
        <v>11</v>
      </c>
      <c r="BC2016">
        <f>(_xlfn.PERCENTRANK.INC(ifood_data[[#All],[RFM]],ifood_data[[#This Row],[RFM]],1))*10</f>
        <v>2</v>
      </c>
      <c r="BD2016" t="str">
        <f>VLOOKUP(ifood_data[[#This Row],[RFM Score]],'RFM Analysis'!$A$3:$B$14,2,FALSE)</f>
        <v>At Risk</v>
      </c>
      <c r="BE2016">
        <f>'Regression Models'!$B$101+'Regression Models'!$B$102*ifood_data[[#This Row],[Income]]+'Regression Models'!$B$103*ifood_data[[#This Row],[Age]]+'Regression Models'!$B$104*ifood_data[[#This Row],[Family]]</f>
        <v>-450.06979181544568</v>
      </c>
      <c r="BF2016" t="str">
        <f>IF(ifood_data[[#This Row],[AcceptedCmpOverall]]=1,"Campaign Respondent","Non-respondent")</f>
        <v>Non-respondent</v>
      </c>
    </row>
    <row r="2017" spans="1:58" x14ac:dyDescent="0.35">
      <c r="A2017">
        <v>732</v>
      </c>
      <c r="B2017">
        <v>6835</v>
      </c>
      <c r="C2017">
        <v>0</v>
      </c>
      <c r="D2017">
        <v>1</v>
      </c>
      <c r="E2017">
        <v>76</v>
      </c>
      <c r="F2017">
        <v>107</v>
      </c>
      <c r="G2017">
        <v>2</v>
      </c>
      <c r="H2017">
        <v>12</v>
      </c>
      <c r="I2017">
        <v>2</v>
      </c>
      <c r="J2017">
        <v>2</v>
      </c>
      <c r="K2017">
        <v>12</v>
      </c>
      <c r="L2017">
        <v>0</v>
      </c>
      <c r="M2017">
        <v>0</v>
      </c>
      <c r="N2017">
        <v>0</v>
      </c>
      <c r="O2017">
        <v>1</v>
      </c>
      <c r="P2017">
        <v>20</v>
      </c>
      <c r="Q2017">
        <v>0</v>
      </c>
      <c r="R2017">
        <v>0</v>
      </c>
      <c r="S2017">
        <v>0</v>
      </c>
      <c r="T2017">
        <v>0</v>
      </c>
      <c r="U2017">
        <v>0</v>
      </c>
      <c r="V2017">
        <f>IF(SUM(ifood_data[[#This Row],[AcceptedCmp1]:[AcceptedCmp5]])&gt;0,1,0)</f>
        <v>0</v>
      </c>
      <c r="W2017">
        <v>0</v>
      </c>
      <c r="X2017">
        <v>3</v>
      </c>
      <c r="Y2017">
        <v>11</v>
      </c>
      <c r="Z2017">
        <v>0</v>
      </c>
      <c r="AA2017">
        <v>63</v>
      </c>
      <c r="AB2017">
        <v>2727</v>
      </c>
      <c r="AC2017" s="28">
        <f>ifood_data[[#This Row],[Customer_Days]]/365</f>
        <v>7.4712328767123291</v>
      </c>
      <c r="AD2017">
        <v>0</v>
      </c>
      <c r="AE2017">
        <v>0</v>
      </c>
      <c r="AF2017">
        <v>0</v>
      </c>
      <c r="AG2017">
        <v>1</v>
      </c>
      <c r="AH2017">
        <v>0</v>
      </c>
      <c r="AI2017">
        <v>0</v>
      </c>
      <c r="AJ2017">
        <v>0</v>
      </c>
      <c r="AK2017">
        <v>0</v>
      </c>
      <c r="AL2017">
        <v>0</v>
      </c>
      <c r="AM2017">
        <v>1</v>
      </c>
      <c r="AN2017">
        <v>125</v>
      </c>
      <c r="AO2017">
        <v>113</v>
      </c>
      <c r="AP2017">
        <f>ifood_data[[#This Row],[MntTotal]]-ifood_data[[#This Row],[MntRegularProds]]</f>
        <v>12</v>
      </c>
      <c r="AQ2017">
        <v>0</v>
      </c>
      <c r="AR2017">
        <f>IF(SUM(ifood_data[[#This Row],[Kidhome]:[Teenhome]])&gt;0,1,0)</f>
        <v>1</v>
      </c>
      <c r="AS2017" t="str">
        <f>IF(SUM(ifood_data[[#This Row],[Kidhome]:[Teenhome]])&gt;0,"Has Family","No Family")</f>
        <v>Has Family</v>
      </c>
      <c r="AT2017" t="str">
        <f>IF(ifood_data[[#This Row],[marital_Married]]=1,"Married", (IF(ifood_data[[#This Row],[marital_Single]]=1,"Single",(IF(ifood_data[[#This Row],[marital_Divorced]]=1,"Divorced",(IF(ifood_data[[#This Row],[marital_Together]]=1,"Living Together",(IF(ifood_data[[#This Row],[marital_Widow]]=1,"Widow","Other")))))))))</f>
        <v>Living Together</v>
      </c>
      <c r="AU2017" t="str">
        <f>IF(ifood_data[[#This Row],[education_Basic]]=1,"High School",(IF(ifood_data[[#This Row],[education_Graduation]]=1,"Undergraduate Degree",(IF(SUM(AM2017,AL2017,AI2017)&gt;0,"Master's Degree or Higher","Other")))))</f>
        <v>Master's Degree or Higher</v>
      </c>
      <c r="AV2017" t="str">
        <f>IF(ifood_data[[#All],[Income]]&gt;75000,"75K+",(IF(ifood_data[[#All],[Income]]&gt;50000,"50K-75K",(IF(ifood_data[[#All],[Income]]&gt;35000,"35K-50K","&lt;35K")))))</f>
        <v>&lt;35K</v>
      </c>
      <c r="AW2017" t="str">
        <f>IF(ifood_data[[#All],[Age]]&gt;60,"60+",(IF(ifood_data[[#All],[Age]]&gt;50,"50-60",(IF(ifood_data[[#All],[Age]]&gt;40,"40-50",(IF(ifood_data[[#All],[Age]]&gt;30,"30-40","&lt;30")))))))</f>
        <v>60+</v>
      </c>
      <c r="AX2017">
        <f t="shared" si="124"/>
        <v>21</v>
      </c>
      <c r="AY2017">
        <f t="shared" si="125"/>
        <v>3.0000000000000004</v>
      </c>
      <c r="AZ2017">
        <f t="shared" si="126"/>
        <v>5</v>
      </c>
      <c r="BA2017">
        <f t="shared" si="127"/>
        <v>3</v>
      </c>
      <c r="BB2017">
        <f>SUM(ifood_data[[#This Row],[Recency Score]:[Monetary Score]])</f>
        <v>11</v>
      </c>
      <c r="BC2017">
        <f>(_xlfn.PERCENTRANK.INC(ifood_data[[#All],[RFM]],ifood_data[[#This Row],[RFM]],1))*10</f>
        <v>2</v>
      </c>
      <c r="BD2017" t="str">
        <f>VLOOKUP(ifood_data[[#This Row],[RFM Score]],'RFM Analysis'!$A$3:$B$14,2,FALSE)</f>
        <v>At Risk</v>
      </c>
      <c r="BE2017">
        <f>'Regression Models'!$B$101+'Regression Models'!$B$102*ifood_data[[#This Row],[Income]]+'Regression Models'!$B$103*ifood_data[[#This Row],[Age]]+'Regression Models'!$B$104*ifood_data[[#This Row],[Family]]</f>
        <v>-453.76731905427164</v>
      </c>
      <c r="BF2017" t="str">
        <f>IF(ifood_data[[#This Row],[AcceptedCmpOverall]]=1,"Campaign Respondent","Non-respondent")</f>
        <v>Non-respondent</v>
      </c>
    </row>
    <row r="2018" spans="1:58" x14ac:dyDescent="0.35">
      <c r="A2018">
        <v>1801</v>
      </c>
      <c r="B2018">
        <v>4428</v>
      </c>
      <c r="C2018">
        <v>0</v>
      </c>
      <c r="D2018">
        <v>1</v>
      </c>
      <c r="E2018">
        <v>0</v>
      </c>
      <c r="F2018">
        <v>16</v>
      </c>
      <c r="G2018">
        <v>4</v>
      </c>
      <c r="H2018">
        <v>12</v>
      </c>
      <c r="I2018">
        <v>2</v>
      </c>
      <c r="J2018">
        <v>4</v>
      </c>
      <c r="K2018">
        <v>321</v>
      </c>
      <c r="L2018">
        <v>0</v>
      </c>
      <c r="M2018">
        <v>25</v>
      </c>
      <c r="N2018">
        <v>0</v>
      </c>
      <c r="O2018">
        <v>0</v>
      </c>
      <c r="P2018">
        <v>1</v>
      </c>
      <c r="Q2018">
        <v>0</v>
      </c>
      <c r="R2018">
        <v>0</v>
      </c>
      <c r="S2018">
        <v>0</v>
      </c>
      <c r="T2018">
        <v>0</v>
      </c>
      <c r="U2018">
        <v>0</v>
      </c>
      <c r="V2018">
        <f>IF(SUM(ifood_data[[#This Row],[AcceptedCmp1]:[AcceptedCmp5]])&gt;0,1,0)</f>
        <v>0</v>
      </c>
      <c r="W2018">
        <v>0</v>
      </c>
      <c r="X2018">
        <v>3</v>
      </c>
      <c r="Y2018">
        <v>11</v>
      </c>
      <c r="Z2018">
        <v>0</v>
      </c>
      <c r="AA2018">
        <v>51</v>
      </c>
      <c r="AB2018">
        <v>2426</v>
      </c>
      <c r="AC2018" s="28">
        <f>ifood_data[[#This Row],[Customer_Days]]/365</f>
        <v>6.646575342465753</v>
      </c>
      <c r="AD2018">
        <v>0</v>
      </c>
      <c r="AE2018">
        <v>1</v>
      </c>
      <c r="AF2018">
        <v>0</v>
      </c>
      <c r="AG2018">
        <v>0</v>
      </c>
      <c r="AH2018">
        <v>0</v>
      </c>
      <c r="AI2018">
        <v>0</v>
      </c>
      <c r="AJ2018">
        <v>0</v>
      </c>
      <c r="AK2018">
        <v>1</v>
      </c>
      <c r="AL2018">
        <v>0</v>
      </c>
      <c r="AM2018">
        <v>0</v>
      </c>
      <c r="AN2018">
        <v>38</v>
      </c>
      <c r="AO2018">
        <v>-283</v>
      </c>
      <c r="AP2018">
        <f>ifood_data[[#This Row],[MntTotal]]-ifood_data[[#This Row],[MntRegularProds]]</f>
        <v>321</v>
      </c>
      <c r="AQ2018">
        <v>0</v>
      </c>
      <c r="AR2018">
        <f>IF(SUM(ifood_data[[#This Row],[Kidhome]:[Teenhome]])&gt;0,1,0)</f>
        <v>1</v>
      </c>
      <c r="AS2018" t="str">
        <f>IF(SUM(ifood_data[[#This Row],[Kidhome]:[Teenhome]])&gt;0,"Has Family","No Family")</f>
        <v>Has Family</v>
      </c>
      <c r="AT2018" t="str">
        <f>IF(ifood_data[[#This Row],[marital_Married]]=1,"Married", (IF(ifood_data[[#This Row],[marital_Single]]=1,"Single",(IF(ifood_data[[#This Row],[marital_Divorced]]=1,"Divorced",(IF(ifood_data[[#This Row],[marital_Together]]=1,"Living Together",(IF(ifood_data[[#This Row],[marital_Widow]]=1,"Widow","Other")))))))))</f>
        <v>Married</v>
      </c>
      <c r="AU2018" t="str">
        <f>IF(ifood_data[[#This Row],[education_Basic]]=1,"High School",(IF(ifood_data[[#This Row],[education_Graduation]]=1,"Undergraduate Degree",(IF(SUM(AM2018,AL2018,AI2018)&gt;0,"Master's Degree or Higher","Other")))))</f>
        <v>Undergraduate Degree</v>
      </c>
      <c r="AV2018" t="str">
        <f>IF(ifood_data[[#All],[Income]]&gt;75000,"75K+",(IF(ifood_data[[#All],[Income]]&gt;50000,"50K-75K",(IF(ifood_data[[#All],[Income]]&gt;35000,"35K-50K","&lt;35K")))))</f>
        <v>&lt;35K</v>
      </c>
      <c r="AW2018" t="str">
        <f>IF(ifood_data[[#All],[Age]]&gt;60,"60+",(IF(ifood_data[[#All],[Age]]&gt;50,"50-60",(IF(ifood_data[[#All],[Age]]&gt;40,"40-50",(IF(ifood_data[[#All],[Age]]&gt;30,"30-40","&lt;30")))))))</f>
        <v>50-60</v>
      </c>
      <c r="AX2018">
        <f t="shared" si="124"/>
        <v>26</v>
      </c>
      <c r="AY2018">
        <f t="shared" si="125"/>
        <v>10</v>
      </c>
      <c r="AZ2018">
        <f t="shared" si="126"/>
        <v>7</v>
      </c>
      <c r="BA2018">
        <f t="shared" si="127"/>
        <v>1</v>
      </c>
      <c r="BB2018">
        <f>SUM(ifood_data[[#This Row],[Recency Score]:[Monetary Score]])</f>
        <v>18</v>
      </c>
      <c r="BC2018">
        <f>(_xlfn.PERCENTRANK.INC(ifood_data[[#All],[RFM]],ifood_data[[#This Row],[RFM]],1))*10</f>
        <v>6</v>
      </c>
      <c r="BD2018" t="str">
        <f>VLOOKUP(ifood_data[[#This Row],[RFM Score]],'RFM Analysis'!$A$3:$B$14,2,FALSE)</f>
        <v>Promising</v>
      </c>
      <c r="BE2018">
        <f>'Regression Models'!$B$101+'Regression Models'!$B$102*ifood_data[[#This Row],[Income]]+'Regression Models'!$B$103*ifood_data[[#This Row],[Age]]+'Regression Models'!$B$104*ifood_data[[#This Row],[Family]]</f>
        <v>-480.80581502990492</v>
      </c>
      <c r="BF2018" t="str">
        <f>IF(ifood_data[[#This Row],[AcceptedCmpOverall]]=1,"Campaign Respondent","Non-respondent")</f>
        <v>Non-respondent</v>
      </c>
    </row>
    <row r="2019" spans="1:58" x14ac:dyDescent="0.35">
      <c r="A2019">
        <v>10</v>
      </c>
      <c r="B2019">
        <v>5648</v>
      </c>
      <c r="C2019">
        <v>1</v>
      </c>
      <c r="D2019">
        <v>1</v>
      </c>
      <c r="E2019">
        <v>68</v>
      </c>
      <c r="F2019">
        <v>28</v>
      </c>
      <c r="G2019">
        <v>0</v>
      </c>
      <c r="H2019">
        <v>6</v>
      </c>
      <c r="I2019">
        <v>1</v>
      </c>
      <c r="J2019">
        <v>1</v>
      </c>
      <c r="K2019">
        <v>13</v>
      </c>
      <c r="L2019">
        <v>1</v>
      </c>
      <c r="M2019">
        <v>1</v>
      </c>
      <c r="N2019">
        <v>0</v>
      </c>
      <c r="O2019">
        <v>0</v>
      </c>
      <c r="P2019">
        <v>20</v>
      </c>
      <c r="Q2019">
        <v>0</v>
      </c>
      <c r="R2019">
        <v>0</v>
      </c>
      <c r="S2019">
        <v>1</v>
      </c>
      <c r="T2019">
        <v>0</v>
      </c>
      <c r="U2019">
        <v>0</v>
      </c>
      <c r="V2019">
        <f>IF(SUM(ifood_data[[#This Row],[AcceptedCmp1]:[AcceptedCmp5]])&gt;0,1,0)</f>
        <v>1</v>
      </c>
      <c r="W2019">
        <v>0</v>
      </c>
      <c r="X2019">
        <v>3</v>
      </c>
      <c r="Y2019">
        <v>11</v>
      </c>
      <c r="Z2019">
        <v>0</v>
      </c>
      <c r="AA2019">
        <v>70</v>
      </c>
      <c r="AB2019">
        <v>2267</v>
      </c>
      <c r="AC2019" s="28">
        <f>ifood_data[[#This Row],[Customer_Days]]/365</f>
        <v>6.2109589041095887</v>
      </c>
      <c r="AD2019">
        <v>0</v>
      </c>
      <c r="AE2019">
        <v>0</v>
      </c>
      <c r="AF2019">
        <v>0</v>
      </c>
      <c r="AG2019">
        <v>1</v>
      </c>
      <c r="AH2019">
        <v>0</v>
      </c>
      <c r="AI2019">
        <v>0</v>
      </c>
      <c r="AJ2019">
        <v>0</v>
      </c>
      <c r="AK2019">
        <v>0</v>
      </c>
      <c r="AL2019">
        <v>0</v>
      </c>
      <c r="AM2019">
        <v>1</v>
      </c>
      <c r="AN2019">
        <v>36</v>
      </c>
      <c r="AO2019">
        <v>23</v>
      </c>
      <c r="AP2019">
        <f>ifood_data[[#This Row],[MntTotal]]-ifood_data[[#This Row],[MntRegularProds]]</f>
        <v>13</v>
      </c>
      <c r="AQ2019">
        <v>1</v>
      </c>
      <c r="AR2019">
        <f>IF(SUM(ifood_data[[#This Row],[Kidhome]:[Teenhome]])&gt;0,1,0)</f>
        <v>1</v>
      </c>
      <c r="AS2019" t="str">
        <f>IF(SUM(ifood_data[[#This Row],[Kidhome]:[Teenhome]])&gt;0,"Has Family","No Family")</f>
        <v>Has Family</v>
      </c>
      <c r="AT2019" t="str">
        <f>IF(ifood_data[[#This Row],[marital_Married]]=1,"Married", (IF(ifood_data[[#This Row],[marital_Single]]=1,"Single",(IF(ifood_data[[#This Row],[marital_Divorced]]=1,"Divorced",(IF(ifood_data[[#This Row],[marital_Together]]=1,"Living Together",(IF(ifood_data[[#This Row],[marital_Widow]]=1,"Widow","Other")))))))))</f>
        <v>Living Together</v>
      </c>
      <c r="AU2019" t="str">
        <f>IF(ifood_data[[#This Row],[education_Basic]]=1,"High School",(IF(ifood_data[[#This Row],[education_Graduation]]=1,"Undergraduate Degree",(IF(SUM(AM2019,AL2019,AI2019)&gt;0,"Master's Degree or Higher","Other")))))</f>
        <v>Master's Degree or Higher</v>
      </c>
      <c r="AV2019" t="str">
        <f>IF(ifood_data[[#All],[Income]]&gt;75000,"75K+",(IF(ifood_data[[#All],[Income]]&gt;50000,"50K-75K",(IF(ifood_data[[#All],[Income]]&gt;35000,"35K-50K","&lt;35K")))))</f>
        <v>&lt;35K</v>
      </c>
      <c r="AW2019" t="str">
        <f>IF(ifood_data[[#All],[Age]]&gt;60,"60+",(IF(ifood_data[[#All],[Age]]&gt;50,"50-60",(IF(ifood_data[[#All],[Age]]&gt;40,"40-50",(IF(ifood_data[[#All],[Age]]&gt;30,"30-40","&lt;30")))))))</f>
        <v>60+</v>
      </c>
      <c r="AX2019">
        <f t="shared" si="124"/>
        <v>22</v>
      </c>
      <c r="AY2019">
        <f t="shared" si="125"/>
        <v>4</v>
      </c>
      <c r="AZ2019">
        <f t="shared" si="126"/>
        <v>5</v>
      </c>
      <c r="BA2019">
        <f t="shared" si="127"/>
        <v>1</v>
      </c>
      <c r="BB2019">
        <f>SUM(ifood_data[[#This Row],[Recency Score]:[Monetary Score]])</f>
        <v>10</v>
      </c>
      <c r="BC2019">
        <f>(_xlfn.PERCENTRANK.INC(ifood_data[[#All],[RFM]],ifood_data[[#This Row],[RFM]],1))*10</f>
        <v>2</v>
      </c>
      <c r="BD2019" t="str">
        <f>VLOOKUP(ifood_data[[#This Row],[RFM Score]],'RFM Analysis'!$A$3:$B$14,2,FALSE)</f>
        <v>At Risk</v>
      </c>
      <c r="BE2019">
        <f>'Regression Models'!$B$101+'Regression Models'!$B$102*ifood_data[[#This Row],[Income]]+'Regression Models'!$B$103*ifood_data[[#This Row],[Age]]+'Regression Models'!$B$104*ifood_data[[#This Row],[Family]]</f>
        <v>-490.82386039333949</v>
      </c>
      <c r="BF2019" t="str">
        <f>IF(ifood_data[[#This Row],[AcceptedCmpOverall]]=1,"Campaign Respondent","Non-respondent")</f>
        <v>Campaign Respondent</v>
      </c>
    </row>
    <row r="2020" spans="1:58" x14ac:dyDescent="0.35">
      <c r="A2020">
        <v>1413</v>
      </c>
      <c r="B2020">
        <v>3502</v>
      </c>
      <c r="C2020">
        <v>1</v>
      </c>
      <c r="D2020">
        <v>0</v>
      </c>
      <c r="E2020">
        <v>56</v>
      </c>
      <c r="F2020">
        <v>2</v>
      </c>
      <c r="G2020">
        <v>1</v>
      </c>
      <c r="H2020">
        <v>1</v>
      </c>
      <c r="I2020">
        <v>0</v>
      </c>
      <c r="J2020">
        <v>0</v>
      </c>
      <c r="K2020">
        <v>1</v>
      </c>
      <c r="L2020">
        <v>0</v>
      </c>
      <c r="M2020">
        <v>0</v>
      </c>
      <c r="N2020">
        <v>0</v>
      </c>
      <c r="O2020">
        <v>0</v>
      </c>
      <c r="P2020">
        <v>14</v>
      </c>
      <c r="Q2020">
        <v>0</v>
      </c>
      <c r="R2020">
        <v>0</v>
      </c>
      <c r="S2020">
        <v>0</v>
      </c>
      <c r="T2020">
        <v>0</v>
      </c>
      <c r="U2020">
        <v>0</v>
      </c>
      <c r="V2020">
        <f>IF(SUM(ifood_data[[#This Row],[AcceptedCmp1]:[AcceptedCmp5]])&gt;0,1,0)</f>
        <v>0</v>
      </c>
      <c r="W2020">
        <v>0</v>
      </c>
      <c r="X2020">
        <v>3</v>
      </c>
      <c r="Y2020">
        <v>11</v>
      </c>
      <c r="Z2020">
        <v>0</v>
      </c>
      <c r="AA2020">
        <v>47</v>
      </c>
      <c r="AB2020">
        <v>2601</v>
      </c>
      <c r="AC2020" s="28">
        <f>ifood_data[[#This Row],[Customer_Days]]/365</f>
        <v>7.1260273972602741</v>
      </c>
      <c r="AD2020">
        <v>0</v>
      </c>
      <c r="AE2020">
        <v>0</v>
      </c>
      <c r="AF2020">
        <v>1</v>
      </c>
      <c r="AG2020">
        <v>0</v>
      </c>
      <c r="AH2020">
        <v>0</v>
      </c>
      <c r="AI2020">
        <v>0</v>
      </c>
      <c r="AJ2020">
        <v>0</v>
      </c>
      <c r="AK2020">
        <v>1</v>
      </c>
      <c r="AL2020">
        <v>0</v>
      </c>
      <c r="AM2020">
        <v>0</v>
      </c>
      <c r="AN2020">
        <v>4</v>
      </c>
      <c r="AO2020">
        <v>3</v>
      </c>
      <c r="AP2020">
        <f>ifood_data[[#This Row],[MntTotal]]-ifood_data[[#This Row],[MntRegularProds]]</f>
        <v>1</v>
      </c>
      <c r="AQ2020">
        <v>0</v>
      </c>
      <c r="AR2020">
        <f>IF(SUM(ifood_data[[#This Row],[Kidhome]:[Teenhome]])&gt;0,1,0)</f>
        <v>1</v>
      </c>
      <c r="AS2020" t="str">
        <f>IF(SUM(ifood_data[[#This Row],[Kidhome]:[Teenhome]])&gt;0,"Has Family","No Family")</f>
        <v>Has Family</v>
      </c>
      <c r="AT2020" t="str">
        <f>IF(ifood_data[[#This Row],[marital_Married]]=1,"Married", (IF(ifood_data[[#This Row],[marital_Single]]=1,"Single",(IF(ifood_data[[#This Row],[marital_Divorced]]=1,"Divorced",(IF(ifood_data[[#This Row],[marital_Together]]=1,"Living Together",(IF(ifood_data[[#This Row],[marital_Widow]]=1,"Widow","Other")))))))))</f>
        <v>Single</v>
      </c>
      <c r="AU2020" t="str">
        <f>IF(ifood_data[[#This Row],[education_Basic]]=1,"High School",(IF(ifood_data[[#This Row],[education_Graduation]]=1,"Undergraduate Degree",(IF(SUM(AM2020,AL2020,AI2020)&gt;0,"Master's Degree or Higher","Other")))))</f>
        <v>Undergraduate Degree</v>
      </c>
      <c r="AV2020" t="str">
        <f>IF(ifood_data[[#All],[Income]]&gt;75000,"75K+",(IF(ifood_data[[#All],[Income]]&gt;50000,"50K-75K",(IF(ifood_data[[#All],[Income]]&gt;35000,"35K-50K","&lt;35K")))))</f>
        <v>&lt;35K</v>
      </c>
      <c r="AW2020" t="str">
        <f>IF(ifood_data[[#All],[Age]]&gt;60,"60+",(IF(ifood_data[[#All],[Age]]&gt;50,"50-60",(IF(ifood_data[[#All],[Age]]&gt;40,"40-50",(IF(ifood_data[[#All],[Age]]&gt;30,"30-40","&lt;30")))))))</f>
        <v>40-50</v>
      </c>
      <c r="AX2020">
        <f t="shared" si="124"/>
        <v>14</v>
      </c>
      <c r="AY2020">
        <f t="shared" si="125"/>
        <v>5</v>
      </c>
      <c r="AZ2020">
        <f t="shared" si="126"/>
        <v>2</v>
      </c>
      <c r="BA2020">
        <f t="shared" si="127"/>
        <v>0</v>
      </c>
      <c r="BB2020">
        <f>SUM(ifood_data[[#This Row],[Recency Score]:[Monetary Score]])</f>
        <v>7</v>
      </c>
      <c r="BC2020">
        <f>(_xlfn.PERCENTRANK.INC(ifood_data[[#All],[RFM]],ifood_data[[#This Row],[RFM]],1))*10</f>
        <v>1</v>
      </c>
      <c r="BD2020" t="str">
        <f>VLOOKUP(ifood_data[[#This Row],[RFM Score]],'RFM Analysis'!$A$3:$B$14,2,FALSE)</f>
        <v>At Risk</v>
      </c>
      <c r="BE2020">
        <f>'Regression Models'!$B$101+'Regression Models'!$B$102*ifood_data[[#This Row],[Income]]+'Regression Models'!$B$103*ifood_data[[#This Row],[Age]]+'Regression Models'!$B$104*ifood_data[[#This Row],[Family]]</f>
        <v>-492.34005801557817</v>
      </c>
      <c r="BF2020" t="str">
        <f>IF(ifood_data[[#This Row],[AcceptedCmpOverall]]=1,"Campaign Respondent","Non-respondent")</f>
        <v>Non-respondent</v>
      </c>
    </row>
    <row r="2021" spans="1:58" x14ac:dyDescent="0.35">
      <c r="A2021">
        <v>1687</v>
      </c>
      <c r="B2021">
        <v>4023</v>
      </c>
      <c r="C2021">
        <v>1</v>
      </c>
      <c r="D2021">
        <v>1</v>
      </c>
      <c r="E2021">
        <v>29</v>
      </c>
      <c r="F2021">
        <v>5</v>
      </c>
      <c r="G2021">
        <v>0</v>
      </c>
      <c r="H2021">
        <v>1</v>
      </c>
      <c r="I2021">
        <v>1</v>
      </c>
      <c r="J2021">
        <v>1</v>
      </c>
      <c r="K2021">
        <v>1</v>
      </c>
      <c r="L2021">
        <v>15</v>
      </c>
      <c r="M2021">
        <v>0</v>
      </c>
      <c r="N2021">
        <v>0</v>
      </c>
      <c r="O2021">
        <v>0</v>
      </c>
      <c r="P2021">
        <v>19</v>
      </c>
      <c r="Q2021">
        <v>0</v>
      </c>
      <c r="R2021">
        <v>0</v>
      </c>
      <c r="S2021">
        <v>0</v>
      </c>
      <c r="T2021">
        <v>0</v>
      </c>
      <c r="U2021">
        <v>0</v>
      </c>
      <c r="V2021">
        <f>IF(SUM(ifood_data[[#This Row],[AcceptedCmp1]:[AcceptedCmp5]])&gt;0,1,0)</f>
        <v>0</v>
      </c>
      <c r="W2021">
        <v>0</v>
      </c>
      <c r="X2021">
        <v>3</v>
      </c>
      <c r="Y2021">
        <v>11</v>
      </c>
      <c r="Z2021">
        <v>0</v>
      </c>
      <c r="AA2021">
        <v>57</v>
      </c>
      <c r="AB2021">
        <v>2165</v>
      </c>
      <c r="AC2021" s="28">
        <f>ifood_data[[#This Row],[Customer_Days]]/365</f>
        <v>5.9315068493150687</v>
      </c>
      <c r="AD2021">
        <v>0</v>
      </c>
      <c r="AE2021">
        <v>1</v>
      </c>
      <c r="AF2021">
        <v>0</v>
      </c>
      <c r="AG2021">
        <v>0</v>
      </c>
      <c r="AH2021">
        <v>0</v>
      </c>
      <c r="AI2021">
        <v>0</v>
      </c>
      <c r="AJ2021">
        <v>0</v>
      </c>
      <c r="AK2021">
        <v>0</v>
      </c>
      <c r="AL2021">
        <v>0</v>
      </c>
      <c r="AM2021">
        <v>1</v>
      </c>
      <c r="AN2021">
        <v>8</v>
      </c>
      <c r="AO2021">
        <v>7</v>
      </c>
      <c r="AP2021">
        <f>ifood_data[[#This Row],[MntTotal]]-ifood_data[[#This Row],[MntRegularProds]]</f>
        <v>1</v>
      </c>
      <c r="AQ2021">
        <v>0</v>
      </c>
      <c r="AR2021">
        <f>IF(SUM(ifood_data[[#This Row],[Kidhome]:[Teenhome]])&gt;0,1,0)</f>
        <v>1</v>
      </c>
      <c r="AS2021" t="str">
        <f>IF(SUM(ifood_data[[#This Row],[Kidhome]:[Teenhome]])&gt;0,"Has Family","No Family")</f>
        <v>Has Family</v>
      </c>
      <c r="AT2021" t="str">
        <f>IF(ifood_data[[#This Row],[marital_Married]]=1,"Married", (IF(ifood_data[[#This Row],[marital_Single]]=1,"Single",(IF(ifood_data[[#This Row],[marital_Divorced]]=1,"Divorced",(IF(ifood_data[[#This Row],[marital_Together]]=1,"Living Together",(IF(ifood_data[[#This Row],[marital_Widow]]=1,"Widow","Other")))))))))</f>
        <v>Married</v>
      </c>
      <c r="AU2021" t="str">
        <f>IF(ifood_data[[#This Row],[education_Basic]]=1,"High School",(IF(ifood_data[[#This Row],[education_Graduation]]=1,"Undergraduate Degree",(IF(SUM(AM2021,AL2021,AI2021)&gt;0,"Master's Degree or Higher","Other")))))</f>
        <v>Master's Degree or Higher</v>
      </c>
      <c r="AV2021" t="str">
        <f>IF(ifood_data[[#All],[Income]]&gt;75000,"75K+",(IF(ifood_data[[#All],[Income]]&gt;50000,"50K-75K",(IF(ifood_data[[#All],[Income]]&gt;35000,"35K-50K","&lt;35K")))))</f>
        <v>&lt;35K</v>
      </c>
      <c r="AW2021" t="str">
        <f>IF(ifood_data[[#All],[Age]]&gt;60,"60+",(IF(ifood_data[[#All],[Age]]&gt;50,"50-60",(IF(ifood_data[[#All],[Age]]&gt;40,"40-50",(IF(ifood_data[[#All],[Age]]&gt;30,"30-40","&lt;30")))))))</f>
        <v>50-60</v>
      </c>
      <c r="AX2021">
        <f t="shared" si="124"/>
        <v>34</v>
      </c>
      <c r="AY2021">
        <f t="shared" si="125"/>
        <v>8</v>
      </c>
      <c r="AZ2021">
        <f t="shared" si="126"/>
        <v>9</v>
      </c>
      <c r="BA2021">
        <f t="shared" si="127"/>
        <v>0</v>
      </c>
      <c r="BB2021">
        <f>SUM(ifood_data[[#This Row],[Recency Score]:[Monetary Score]])</f>
        <v>17</v>
      </c>
      <c r="BC2021">
        <f>(_xlfn.PERCENTRANK.INC(ifood_data[[#All],[RFM]],ifood_data[[#This Row],[RFM]],1))*10</f>
        <v>6</v>
      </c>
      <c r="BD2021" t="str">
        <f>VLOOKUP(ifood_data[[#This Row],[RFM Score]],'RFM Analysis'!$A$3:$B$14,2,FALSE)</f>
        <v>Promising</v>
      </c>
      <c r="BE2021">
        <f>'Regression Models'!$B$101+'Regression Models'!$B$102*ifood_data[[#This Row],[Income]]+'Regression Models'!$B$103*ifood_data[[#This Row],[Age]]+'Regression Models'!$B$104*ifood_data[[#This Row],[Family]]</f>
        <v>-500.08190060154959</v>
      </c>
      <c r="BF2021" t="str">
        <f>IF(ifood_data[[#This Row],[AcceptedCmpOverall]]=1,"Campaign Respondent","Non-respondent")</f>
        <v>Non-respondent</v>
      </c>
    </row>
    <row r="2022" spans="1:58" x14ac:dyDescent="0.35">
      <c r="A2022">
        <v>21</v>
      </c>
      <c r="B2022">
        <v>2447</v>
      </c>
      <c r="C2022">
        <v>1</v>
      </c>
      <c r="D2022">
        <v>0</v>
      </c>
      <c r="E2022">
        <v>42</v>
      </c>
      <c r="F2022">
        <v>1</v>
      </c>
      <c r="G2022">
        <v>1</v>
      </c>
      <c r="H2022">
        <v>1725</v>
      </c>
      <c r="I2022">
        <v>1</v>
      </c>
      <c r="J2022">
        <v>1</v>
      </c>
      <c r="K2022">
        <v>1</v>
      </c>
      <c r="L2022">
        <v>15</v>
      </c>
      <c r="M2022">
        <v>0</v>
      </c>
      <c r="N2022">
        <v>28</v>
      </c>
      <c r="O2022">
        <v>0</v>
      </c>
      <c r="P2022">
        <v>1</v>
      </c>
      <c r="Q2022">
        <v>0</v>
      </c>
      <c r="R2022">
        <v>0</v>
      </c>
      <c r="S2022">
        <v>0</v>
      </c>
      <c r="T2022">
        <v>0</v>
      </c>
      <c r="U2022">
        <v>0</v>
      </c>
      <c r="V2022">
        <f>IF(SUM(ifood_data[[#This Row],[AcceptedCmp1]:[AcceptedCmp5]])&gt;0,1,0)</f>
        <v>0</v>
      </c>
      <c r="W2022">
        <v>0</v>
      </c>
      <c r="X2022">
        <v>3</v>
      </c>
      <c r="Y2022">
        <v>11</v>
      </c>
      <c r="Z2022">
        <v>0</v>
      </c>
      <c r="AA2022">
        <v>41</v>
      </c>
      <c r="AB2022">
        <v>2698</v>
      </c>
      <c r="AC2022" s="28">
        <f>ifood_data[[#This Row],[Customer_Days]]/365</f>
        <v>7.3917808219178083</v>
      </c>
      <c r="AD2022">
        <v>0</v>
      </c>
      <c r="AE2022">
        <v>1</v>
      </c>
      <c r="AF2022">
        <v>0</v>
      </c>
      <c r="AG2022">
        <v>0</v>
      </c>
      <c r="AH2022">
        <v>0</v>
      </c>
      <c r="AI2022">
        <v>0</v>
      </c>
      <c r="AJ2022">
        <v>0</v>
      </c>
      <c r="AK2022">
        <v>1</v>
      </c>
      <c r="AL2022">
        <v>0</v>
      </c>
      <c r="AM2022">
        <v>0</v>
      </c>
      <c r="AN2022">
        <v>1729</v>
      </c>
      <c r="AO2022">
        <v>1728</v>
      </c>
      <c r="AP2022">
        <f>ifood_data[[#This Row],[MntTotal]]-ifood_data[[#This Row],[MntRegularProds]]</f>
        <v>1</v>
      </c>
      <c r="AQ2022">
        <v>0</v>
      </c>
      <c r="AR2022">
        <f>IF(SUM(ifood_data[[#This Row],[Kidhome]:[Teenhome]])&gt;0,1,0)</f>
        <v>1</v>
      </c>
      <c r="AS2022" t="str">
        <f>IF(SUM(ifood_data[[#This Row],[Kidhome]:[Teenhome]])&gt;0,"Has Family","No Family")</f>
        <v>Has Family</v>
      </c>
      <c r="AT2022" t="str">
        <f>IF(ifood_data[[#This Row],[marital_Married]]=1,"Married", (IF(ifood_data[[#This Row],[marital_Single]]=1,"Single",(IF(ifood_data[[#This Row],[marital_Divorced]]=1,"Divorced",(IF(ifood_data[[#This Row],[marital_Together]]=1,"Living Together",(IF(ifood_data[[#This Row],[marital_Widow]]=1,"Widow","Other")))))))))</f>
        <v>Married</v>
      </c>
      <c r="AU2022" t="str">
        <f>IF(ifood_data[[#This Row],[education_Basic]]=1,"High School",(IF(ifood_data[[#This Row],[education_Graduation]]=1,"Undergraduate Degree",(IF(SUM(AM2022,AL2022,AI2022)&gt;0,"Master's Degree or Higher","Other")))))</f>
        <v>Undergraduate Degree</v>
      </c>
      <c r="AV2022" t="str">
        <f>IF(ifood_data[[#All],[Income]]&gt;75000,"75K+",(IF(ifood_data[[#All],[Income]]&gt;50000,"50K-75K",(IF(ifood_data[[#All],[Income]]&gt;35000,"35K-50K","&lt;35K")))))</f>
        <v>&lt;35K</v>
      </c>
      <c r="AW2022" t="str">
        <f>IF(ifood_data[[#All],[Age]]&gt;60,"60+",(IF(ifood_data[[#All],[Age]]&gt;50,"50-60",(IF(ifood_data[[#All],[Age]]&gt;40,"40-50",(IF(ifood_data[[#All],[Age]]&gt;30,"30-40","&lt;30")))))))</f>
        <v>40-50</v>
      </c>
      <c r="AX2022">
        <f t="shared" si="124"/>
        <v>44</v>
      </c>
      <c r="AY2022">
        <f t="shared" si="125"/>
        <v>6</v>
      </c>
      <c r="AZ2022">
        <f t="shared" si="126"/>
        <v>9</v>
      </c>
      <c r="BA2022">
        <f t="shared" si="127"/>
        <v>9</v>
      </c>
      <c r="BB2022">
        <f>SUM(ifood_data[[#This Row],[Recency Score]:[Monetary Score]])</f>
        <v>24</v>
      </c>
      <c r="BC2022">
        <f>(_xlfn.PERCENTRANK.INC(ifood_data[[#All],[RFM]],ifood_data[[#This Row],[RFM]],1))*10</f>
        <v>9</v>
      </c>
      <c r="BD2022" t="str">
        <f>VLOOKUP(ifood_data[[#This Row],[RFM Score]],'RFM Analysis'!$A$3:$B$14,2,FALSE)</f>
        <v>Top Customer</v>
      </c>
      <c r="BE2022">
        <f>'Regression Models'!$B$101+'Regression Models'!$B$102*ifood_data[[#This Row],[Income]]+'Regression Models'!$B$103*ifood_data[[#This Row],[Age]]+'Regression Models'!$B$104*ifood_data[[#This Row],[Family]]</f>
        <v>-502.83157393402587</v>
      </c>
      <c r="BF2022" t="str">
        <f>IF(ifood_data[[#This Row],[AcceptedCmpOverall]]=1,"Campaign Respondent","Non-respondent")</f>
        <v>Non-respondent</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138B5-8D8C-415D-8750-09A16D1BF329}">
  <dimension ref="A1:X2024"/>
  <sheetViews>
    <sheetView topLeftCell="B432" workbookViewId="0">
      <selection activeCell="H3" sqref="H3"/>
    </sheetView>
  </sheetViews>
  <sheetFormatPr defaultRowHeight="14.5" x14ac:dyDescent="0.35"/>
  <cols>
    <col min="1" max="1" width="10.6328125" customWidth="1"/>
    <col min="2" max="2" width="9" customWidth="1"/>
    <col min="4" max="4" width="16.54296875" customWidth="1"/>
    <col min="5" max="10" width="17.1796875" customWidth="1"/>
    <col min="11" max="11" width="21.453125" customWidth="1"/>
  </cols>
  <sheetData>
    <row r="1" spans="1:24" ht="15.5" x14ac:dyDescent="0.35">
      <c r="A1" s="12" t="s">
        <v>217</v>
      </c>
      <c r="G1" t="s">
        <v>228</v>
      </c>
      <c r="L1" s="12" t="s">
        <v>218</v>
      </c>
    </row>
    <row r="3" spans="1:24" x14ac:dyDescent="0.35">
      <c r="A3" t="s">
        <v>36</v>
      </c>
      <c r="B3" t="s">
        <v>0</v>
      </c>
      <c r="C3" t="s">
        <v>24</v>
      </c>
      <c r="D3" t="s">
        <v>65</v>
      </c>
      <c r="E3" t="s">
        <v>178</v>
      </c>
      <c r="G3" t="s">
        <v>36</v>
      </c>
      <c r="H3" t="s">
        <v>0</v>
      </c>
      <c r="I3" t="s">
        <v>65</v>
      </c>
      <c r="J3" t="s">
        <v>24</v>
      </c>
      <c r="L3" s="52" t="s">
        <v>36</v>
      </c>
      <c r="M3" s="53" t="s">
        <v>3</v>
      </c>
      <c r="N3" s="53" t="s">
        <v>4</v>
      </c>
      <c r="O3" s="53" t="s">
        <v>5</v>
      </c>
      <c r="P3" s="53" t="s">
        <v>6</v>
      </c>
      <c r="Q3" s="53" t="s">
        <v>7</v>
      </c>
      <c r="R3" s="53" t="s">
        <v>8</v>
      </c>
      <c r="S3" s="53" t="s">
        <v>9</v>
      </c>
      <c r="T3" s="53" t="s">
        <v>10</v>
      </c>
      <c r="U3" s="53" t="s">
        <v>11</v>
      </c>
      <c r="V3" s="53" t="s">
        <v>12</v>
      </c>
      <c r="W3" s="53" t="s">
        <v>13</v>
      </c>
      <c r="X3" s="53" t="s">
        <v>14</v>
      </c>
    </row>
    <row r="4" spans="1:24" x14ac:dyDescent="0.35">
      <c r="A4">
        <v>2491</v>
      </c>
      <c r="B4">
        <v>87679</v>
      </c>
      <c r="C4">
        <v>32</v>
      </c>
      <c r="D4">
        <v>0</v>
      </c>
      <c r="E4" s="28">
        <v>6.838356164383562</v>
      </c>
      <c r="F4" s="28"/>
      <c r="G4" s="28">
        <v>2491</v>
      </c>
      <c r="H4" s="28">
        <v>87679</v>
      </c>
      <c r="I4" s="28">
        <v>0</v>
      </c>
      <c r="J4" s="28">
        <v>32</v>
      </c>
      <c r="L4" s="38">
        <v>2491</v>
      </c>
      <c r="M4" s="2">
        <v>62</v>
      </c>
      <c r="N4" s="2">
        <v>1259</v>
      </c>
      <c r="O4" s="2">
        <v>172</v>
      </c>
      <c r="P4" s="2">
        <v>815</v>
      </c>
      <c r="Q4" s="2">
        <v>97</v>
      </c>
      <c r="R4" s="2">
        <v>148</v>
      </c>
      <c r="S4" s="2">
        <v>33</v>
      </c>
      <c r="T4" s="2">
        <v>1</v>
      </c>
      <c r="U4" s="2">
        <v>7</v>
      </c>
      <c r="V4" s="2">
        <v>11</v>
      </c>
      <c r="W4" s="2">
        <v>10</v>
      </c>
      <c r="X4" s="2">
        <v>4</v>
      </c>
    </row>
    <row r="5" spans="1:24" x14ac:dyDescent="0.35">
      <c r="A5">
        <v>2429</v>
      </c>
      <c r="B5">
        <v>90638</v>
      </c>
      <c r="C5">
        <v>29</v>
      </c>
      <c r="D5">
        <v>0</v>
      </c>
      <c r="E5" s="28">
        <v>6.2876712328767121</v>
      </c>
      <c r="F5" s="28"/>
      <c r="G5" s="28">
        <v>2304</v>
      </c>
      <c r="H5" s="28">
        <v>93790</v>
      </c>
      <c r="I5" s="28">
        <v>0</v>
      </c>
      <c r="J5" s="28">
        <v>50</v>
      </c>
      <c r="L5" s="37">
        <v>2429</v>
      </c>
      <c r="M5" s="3">
        <v>29</v>
      </c>
      <c r="N5" s="3">
        <v>1156</v>
      </c>
      <c r="O5" s="3">
        <v>120</v>
      </c>
      <c r="P5" s="3">
        <v>915</v>
      </c>
      <c r="Q5" s="3">
        <v>94</v>
      </c>
      <c r="R5" s="3">
        <v>144</v>
      </c>
      <c r="S5" s="3">
        <v>96</v>
      </c>
      <c r="T5" s="3">
        <v>1</v>
      </c>
      <c r="U5" s="3">
        <v>3</v>
      </c>
      <c r="V5" s="3">
        <v>4</v>
      </c>
      <c r="W5" s="3">
        <v>10</v>
      </c>
      <c r="X5" s="3">
        <v>1</v>
      </c>
    </row>
    <row r="6" spans="1:24" x14ac:dyDescent="0.35">
      <c r="A6">
        <v>2429</v>
      </c>
      <c r="B6">
        <v>90638</v>
      </c>
      <c r="C6">
        <v>29</v>
      </c>
      <c r="D6">
        <v>0</v>
      </c>
      <c r="E6" s="28">
        <v>6.2876712328767121</v>
      </c>
      <c r="F6" s="28"/>
      <c r="G6" s="28">
        <v>2244</v>
      </c>
      <c r="H6" s="28">
        <v>90226</v>
      </c>
      <c r="I6" s="28">
        <v>0</v>
      </c>
      <c r="J6" s="28">
        <v>64</v>
      </c>
      <c r="L6" s="38">
        <v>2429</v>
      </c>
      <c r="M6" s="2">
        <v>29</v>
      </c>
      <c r="N6" s="2">
        <v>1156</v>
      </c>
      <c r="O6" s="2">
        <v>120</v>
      </c>
      <c r="P6" s="2">
        <v>915</v>
      </c>
      <c r="Q6" s="2">
        <v>94</v>
      </c>
      <c r="R6" s="2">
        <v>144</v>
      </c>
      <c r="S6" s="2">
        <v>96</v>
      </c>
      <c r="T6" s="2">
        <v>1</v>
      </c>
      <c r="U6" s="2">
        <v>3</v>
      </c>
      <c r="V6" s="2">
        <v>4</v>
      </c>
      <c r="W6" s="2">
        <v>10</v>
      </c>
      <c r="X6" s="2">
        <v>1</v>
      </c>
    </row>
    <row r="7" spans="1:24" x14ac:dyDescent="0.35">
      <c r="A7">
        <v>2304</v>
      </c>
      <c r="B7">
        <v>93790</v>
      </c>
      <c r="C7">
        <v>50</v>
      </c>
      <c r="D7">
        <v>0</v>
      </c>
      <c r="E7" s="28">
        <v>6.2904109589041095</v>
      </c>
      <c r="F7" s="28"/>
      <c r="G7" s="28">
        <v>2188</v>
      </c>
      <c r="H7" s="28">
        <v>80360</v>
      </c>
      <c r="I7" s="28">
        <v>0</v>
      </c>
      <c r="J7" s="28">
        <v>71</v>
      </c>
      <c r="L7" s="37">
        <v>2304</v>
      </c>
      <c r="M7" s="3">
        <v>16</v>
      </c>
      <c r="N7" s="3">
        <v>1302</v>
      </c>
      <c r="O7" s="3">
        <v>68</v>
      </c>
      <c r="P7" s="3">
        <v>731</v>
      </c>
      <c r="Q7" s="3">
        <v>89</v>
      </c>
      <c r="R7" s="3">
        <v>114</v>
      </c>
      <c r="S7" s="3">
        <v>45</v>
      </c>
      <c r="T7" s="3">
        <v>0</v>
      </c>
      <c r="U7" s="3">
        <v>6</v>
      </c>
      <c r="V7" s="3">
        <v>7</v>
      </c>
      <c r="W7" s="3">
        <v>12</v>
      </c>
      <c r="X7" s="3">
        <v>2</v>
      </c>
    </row>
    <row r="8" spans="1:24" x14ac:dyDescent="0.35">
      <c r="A8">
        <v>2304</v>
      </c>
      <c r="B8">
        <v>75759</v>
      </c>
      <c r="C8">
        <v>51</v>
      </c>
      <c r="D8">
        <v>0</v>
      </c>
      <c r="E8" s="28">
        <v>6.5917808219178085</v>
      </c>
      <c r="F8" s="28"/>
      <c r="G8" s="28">
        <v>2169</v>
      </c>
      <c r="H8" s="28">
        <v>91712</v>
      </c>
      <c r="I8" s="28">
        <v>0</v>
      </c>
      <c r="J8" s="28">
        <v>73</v>
      </c>
      <c r="L8" s="38">
        <v>2304</v>
      </c>
      <c r="M8" s="2">
        <v>46</v>
      </c>
      <c r="N8" s="2">
        <v>1394</v>
      </c>
      <c r="O8" s="2">
        <v>22</v>
      </c>
      <c r="P8" s="2">
        <v>708</v>
      </c>
      <c r="Q8" s="2">
        <v>89</v>
      </c>
      <c r="R8" s="2">
        <v>91</v>
      </c>
      <c r="S8" s="2">
        <v>182</v>
      </c>
      <c r="T8" s="2">
        <v>1</v>
      </c>
      <c r="U8" s="2">
        <v>9</v>
      </c>
      <c r="V8" s="2">
        <v>7</v>
      </c>
      <c r="W8" s="2">
        <v>9</v>
      </c>
      <c r="X8" s="2">
        <v>5</v>
      </c>
    </row>
    <row r="9" spans="1:24" x14ac:dyDescent="0.35">
      <c r="A9">
        <v>2262</v>
      </c>
      <c r="B9">
        <v>69098</v>
      </c>
      <c r="C9">
        <v>71</v>
      </c>
      <c r="D9">
        <v>0</v>
      </c>
      <c r="E9" s="28">
        <v>7.279452054794521</v>
      </c>
      <c r="F9" s="28"/>
      <c r="G9" s="28">
        <v>2092</v>
      </c>
      <c r="H9" s="28">
        <v>72335</v>
      </c>
      <c r="I9" s="28">
        <v>0</v>
      </c>
      <c r="J9" s="28">
        <v>44</v>
      </c>
      <c r="L9" s="37">
        <v>2262</v>
      </c>
      <c r="M9" s="3">
        <v>82</v>
      </c>
      <c r="N9" s="3">
        <v>1315</v>
      </c>
      <c r="O9" s="3">
        <v>22</v>
      </c>
      <c r="P9" s="3">
        <v>780</v>
      </c>
      <c r="Q9" s="3">
        <v>145</v>
      </c>
      <c r="R9" s="3">
        <v>0</v>
      </c>
      <c r="S9" s="3">
        <v>178</v>
      </c>
      <c r="T9" s="3">
        <v>1</v>
      </c>
      <c r="U9" s="3">
        <v>7</v>
      </c>
      <c r="V9" s="3">
        <v>8</v>
      </c>
      <c r="W9" s="3">
        <v>9</v>
      </c>
      <c r="X9" s="3">
        <v>5</v>
      </c>
    </row>
    <row r="10" spans="1:24" x14ac:dyDescent="0.35">
      <c r="A10">
        <v>2244</v>
      </c>
      <c r="B10">
        <v>90226</v>
      </c>
      <c r="C10">
        <v>64</v>
      </c>
      <c r="D10">
        <v>0</v>
      </c>
      <c r="E10" s="28">
        <v>7.6712328767123283</v>
      </c>
      <c r="F10" s="28"/>
      <c r="G10" s="28">
        <v>2074</v>
      </c>
      <c r="H10" s="28">
        <v>86857</v>
      </c>
      <c r="I10" s="28">
        <v>0</v>
      </c>
      <c r="J10" s="28">
        <v>48</v>
      </c>
      <c r="L10" s="38">
        <v>2244</v>
      </c>
      <c r="M10" s="2">
        <v>26</v>
      </c>
      <c r="N10" s="2">
        <v>1083</v>
      </c>
      <c r="O10" s="2">
        <v>108</v>
      </c>
      <c r="P10" s="2">
        <v>649</v>
      </c>
      <c r="Q10" s="2">
        <v>253</v>
      </c>
      <c r="R10" s="2">
        <v>151</v>
      </c>
      <c r="S10" s="2">
        <v>108</v>
      </c>
      <c r="T10" s="2">
        <v>1</v>
      </c>
      <c r="U10" s="2">
        <v>4</v>
      </c>
      <c r="V10" s="2">
        <v>7</v>
      </c>
      <c r="W10" s="2">
        <v>12</v>
      </c>
      <c r="X10" s="2">
        <v>2</v>
      </c>
    </row>
    <row r="11" spans="1:24" x14ac:dyDescent="0.35">
      <c r="A11">
        <v>2188</v>
      </c>
      <c r="B11">
        <v>80360</v>
      </c>
      <c r="C11">
        <v>71</v>
      </c>
      <c r="D11">
        <v>0</v>
      </c>
      <c r="E11" s="28">
        <v>7.2383561643835614</v>
      </c>
      <c r="F11" s="28"/>
      <c r="G11" s="28">
        <v>2068</v>
      </c>
      <c r="H11" s="28">
        <v>94642</v>
      </c>
      <c r="I11" s="28">
        <v>0</v>
      </c>
      <c r="J11" s="28">
        <v>69</v>
      </c>
      <c r="L11" s="37">
        <v>2188</v>
      </c>
      <c r="M11" s="3">
        <v>56</v>
      </c>
      <c r="N11" s="3">
        <v>1493</v>
      </c>
      <c r="O11" s="3">
        <v>86</v>
      </c>
      <c r="P11" s="3">
        <v>454</v>
      </c>
      <c r="Q11" s="3">
        <v>112</v>
      </c>
      <c r="R11" s="3">
        <v>43</v>
      </c>
      <c r="S11" s="3">
        <v>43</v>
      </c>
      <c r="T11" s="3">
        <v>2</v>
      </c>
      <c r="U11" s="3">
        <v>4</v>
      </c>
      <c r="V11" s="3">
        <v>4</v>
      </c>
      <c r="W11" s="3">
        <v>5</v>
      </c>
      <c r="X11" s="3">
        <v>2</v>
      </c>
    </row>
    <row r="12" spans="1:24" x14ac:dyDescent="0.35">
      <c r="A12">
        <v>2169</v>
      </c>
      <c r="B12">
        <v>91712</v>
      </c>
      <c r="C12">
        <v>73</v>
      </c>
      <c r="D12">
        <v>0</v>
      </c>
      <c r="E12" s="28">
        <v>6.6136986301369864</v>
      </c>
      <c r="F12" s="28"/>
      <c r="G12" s="28">
        <v>2068</v>
      </c>
      <c r="H12" s="28">
        <v>73455</v>
      </c>
      <c r="I12" s="28">
        <v>0</v>
      </c>
      <c r="J12" s="28">
        <v>52</v>
      </c>
      <c r="L12" s="38">
        <v>2169</v>
      </c>
      <c r="M12" s="2">
        <v>47</v>
      </c>
      <c r="N12" s="2">
        <v>1276</v>
      </c>
      <c r="O12" s="2">
        <v>24</v>
      </c>
      <c r="P12" s="2">
        <v>746</v>
      </c>
      <c r="Q12" s="2">
        <v>94</v>
      </c>
      <c r="R12" s="2">
        <v>29</v>
      </c>
      <c r="S12" s="2">
        <v>48</v>
      </c>
      <c r="T12" s="2">
        <v>0</v>
      </c>
      <c r="U12" s="2">
        <v>9</v>
      </c>
      <c r="V12" s="2">
        <v>7</v>
      </c>
      <c r="W12" s="2">
        <v>11</v>
      </c>
      <c r="X12" s="2">
        <v>3</v>
      </c>
    </row>
    <row r="13" spans="1:24" x14ac:dyDescent="0.35">
      <c r="A13">
        <v>2158</v>
      </c>
      <c r="B13">
        <v>75825</v>
      </c>
      <c r="C13">
        <v>44</v>
      </c>
      <c r="D13">
        <v>0</v>
      </c>
      <c r="E13" s="28">
        <v>7.6273972602739724</v>
      </c>
      <c r="F13" s="28"/>
      <c r="G13" s="28">
        <v>2066</v>
      </c>
      <c r="H13" s="28">
        <v>92163</v>
      </c>
      <c r="I13" s="28">
        <v>0</v>
      </c>
      <c r="J13" s="28">
        <v>45</v>
      </c>
      <c r="L13" s="37">
        <v>2158</v>
      </c>
      <c r="M13" s="3">
        <v>40</v>
      </c>
      <c r="N13" s="3">
        <v>1032</v>
      </c>
      <c r="O13" s="3">
        <v>105</v>
      </c>
      <c r="P13" s="3">
        <v>779</v>
      </c>
      <c r="Q13" s="3">
        <v>137</v>
      </c>
      <c r="R13" s="3">
        <v>105</v>
      </c>
      <c r="S13" s="3">
        <v>51</v>
      </c>
      <c r="T13" s="3">
        <v>0</v>
      </c>
      <c r="U13" s="3">
        <v>5</v>
      </c>
      <c r="V13" s="3">
        <v>8</v>
      </c>
      <c r="W13" s="3">
        <v>9</v>
      </c>
      <c r="X13" s="3">
        <v>4</v>
      </c>
    </row>
    <row r="14" spans="1:24" x14ac:dyDescent="0.35">
      <c r="A14">
        <v>2157</v>
      </c>
      <c r="B14">
        <v>82657</v>
      </c>
      <c r="C14">
        <v>74</v>
      </c>
      <c r="D14">
        <v>0</v>
      </c>
      <c r="E14" s="28">
        <v>6.6684931506849319</v>
      </c>
      <c r="F14" s="28"/>
      <c r="G14" s="28">
        <v>2062</v>
      </c>
      <c r="H14" s="28">
        <v>81169</v>
      </c>
      <c r="I14" s="28">
        <v>0</v>
      </c>
      <c r="J14" s="28">
        <v>45</v>
      </c>
      <c r="L14" s="38">
        <v>2157</v>
      </c>
      <c r="M14" s="2">
        <v>71</v>
      </c>
      <c r="N14" s="2">
        <v>966</v>
      </c>
      <c r="O14" s="2">
        <v>168</v>
      </c>
      <c r="P14" s="2">
        <v>672</v>
      </c>
      <c r="Q14" s="2">
        <v>246</v>
      </c>
      <c r="R14" s="2">
        <v>105</v>
      </c>
      <c r="S14" s="2">
        <v>126</v>
      </c>
      <c r="T14" s="2">
        <v>1</v>
      </c>
      <c r="U14" s="2">
        <v>7</v>
      </c>
      <c r="V14" s="2">
        <v>5</v>
      </c>
      <c r="W14" s="2">
        <v>10</v>
      </c>
      <c r="X14" s="2">
        <v>4</v>
      </c>
    </row>
    <row r="15" spans="1:24" x14ac:dyDescent="0.35">
      <c r="A15">
        <v>2153</v>
      </c>
      <c r="B15">
        <v>76653</v>
      </c>
      <c r="C15">
        <v>51</v>
      </c>
      <c r="D15">
        <v>0</v>
      </c>
      <c r="E15" s="28">
        <v>6.7835616438356166</v>
      </c>
      <c r="F15" s="28"/>
      <c r="G15" s="28">
        <v>2056</v>
      </c>
      <c r="H15" s="28">
        <v>83512</v>
      </c>
      <c r="I15" s="28">
        <v>0</v>
      </c>
      <c r="J15" s="28">
        <v>34</v>
      </c>
      <c r="L15" s="37">
        <v>2153</v>
      </c>
      <c r="M15" s="3">
        <v>91</v>
      </c>
      <c r="N15" s="3">
        <v>736</v>
      </c>
      <c r="O15" s="3">
        <v>63</v>
      </c>
      <c r="P15" s="3">
        <v>946</v>
      </c>
      <c r="Q15" s="3">
        <v>219</v>
      </c>
      <c r="R15" s="3">
        <v>189</v>
      </c>
      <c r="S15" s="3">
        <v>126</v>
      </c>
      <c r="T15" s="3">
        <v>1</v>
      </c>
      <c r="U15" s="3">
        <v>4</v>
      </c>
      <c r="V15" s="3">
        <v>7</v>
      </c>
      <c r="W15" s="3">
        <v>11</v>
      </c>
      <c r="X15" s="3">
        <v>2</v>
      </c>
    </row>
    <row r="16" spans="1:24" x14ac:dyDescent="0.35">
      <c r="A16">
        <v>2136</v>
      </c>
      <c r="B16">
        <v>83151</v>
      </c>
      <c r="C16">
        <v>48</v>
      </c>
      <c r="D16">
        <v>0</v>
      </c>
      <c r="E16" s="28">
        <v>7.2958904109589042</v>
      </c>
      <c r="F16" s="28"/>
      <c r="G16" s="28">
        <v>2051</v>
      </c>
      <c r="H16" s="28">
        <v>80141</v>
      </c>
      <c r="I16" s="28">
        <v>0</v>
      </c>
      <c r="J16" s="28">
        <v>34</v>
      </c>
      <c r="L16" s="38">
        <v>2136</v>
      </c>
      <c r="M16" s="2">
        <v>80</v>
      </c>
      <c r="N16" s="2">
        <v>968</v>
      </c>
      <c r="O16" s="2">
        <v>147</v>
      </c>
      <c r="P16" s="2">
        <v>842</v>
      </c>
      <c r="Q16" s="2">
        <v>137</v>
      </c>
      <c r="R16" s="2">
        <v>42</v>
      </c>
      <c r="S16" s="2">
        <v>210</v>
      </c>
      <c r="T16" s="2">
        <v>1</v>
      </c>
      <c r="U16" s="2">
        <v>5</v>
      </c>
      <c r="V16" s="2">
        <v>7</v>
      </c>
      <c r="W16" s="2">
        <v>10</v>
      </c>
      <c r="X16" s="2">
        <v>2</v>
      </c>
    </row>
    <row r="17" spans="1:24" x14ac:dyDescent="0.35">
      <c r="A17">
        <v>2130</v>
      </c>
      <c r="B17">
        <v>94384</v>
      </c>
      <c r="C17">
        <v>67</v>
      </c>
      <c r="D17">
        <v>0</v>
      </c>
      <c r="E17" s="28">
        <v>7.2356164383561641</v>
      </c>
      <c r="F17" s="28"/>
      <c r="G17" s="28">
        <v>2036</v>
      </c>
      <c r="H17" s="28">
        <v>77568</v>
      </c>
      <c r="I17" s="28">
        <v>1</v>
      </c>
      <c r="J17" s="28">
        <v>41</v>
      </c>
      <c r="L17" s="37">
        <v>2130</v>
      </c>
      <c r="M17" s="3">
        <v>62</v>
      </c>
      <c r="N17" s="3">
        <v>1111</v>
      </c>
      <c r="O17" s="3">
        <v>24</v>
      </c>
      <c r="P17" s="3">
        <v>790</v>
      </c>
      <c r="Q17" s="3">
        <v>160</v>
      </c>
      <c r="R17" s="3">
        <v>45</v>
      </c>
      <c r="S17" s="3">
        <v>172</v>
      </c>
      <c r="T17" s="3">
        <v>0</v>
      </c>
      <c r="U17" s="3">
        <v>5</v>
      </c>
      <c r="V17" s="3">
        <v>8</v>
      </c>
      <c r="W17" s="3">
        <v>5</v>
      </c>
      <c r="X17" s="3">
        <v>2</v>
      </c>
    </row>
    <row r="18" spans="1:24" x14ac:dyDescent="0.35">
      <c r="A18">
        <v>2105</v>
      </c>
      <c r="B18">
        <v>77632</v>
      </c>
      <c r="C18">
        <v>73</v>
      </c>
      <c r="D18">
        <v>0</v>
      </c>
      <c r="E18" s="28">
        <v>7.2191780821917808</v>
      </c>
      <c r="F18" s="28"/>
      <c r="G18" s="28">
        <v>2012</v>
      </c>
      <c r="H18" s="28">
        <v>92491</v>
      </c>
      <c r="I18" s="28">
        <v>0</v>
      </c>
      <c r="J18" s="28">
        <v>37</v>
      </c>
      <c r="L18" s="38">
        <v>2105</v>
      </c>
      <c r="M18" s="2">
        <v>73</v>
      </c>
      <c r="N18" s="2">
        <v>1200</v>
      </c>
      <c r="O18" s="2">
        <v>105</v>
      </c>
      <c r="P18" s="2">
        <v>758</v>
      </c>
      <c r="Q18" s="2">
        <v>0</v>
      </c>
      <c r="R18" s="2">
        <v>42</v>
      </c>
      <c r="S18" s="2">
        <v>147</v>
      </c>
      <c r="T18" s="2">
        <v>1</v>
      </c>
      <c r="U18" s="2">
        <v>4</v>
      </c>
      <c r="V18" s="2">
        <v>2</v>
      </c>
      <c r="W18" s="2">
        <v>6</v>
      </c>
      <c r="X18" s="2">
        <v>2</v>
      </c>
    </row>
    <row r="19" spans="1:24" x14ac:dyDescent="0.35">
      <c r="A19">
        <v>2098</v>
      </c>
      <c r="B19">
        <v>93027</v>
      </c>
      <c r="C19">
        <v>79</v>
      </c>
      <c r="D19">
        <v>0</v>
      </c>
      <c r="E19" s="28">
        <v>7.1260273972602741</v>
      </c>
      <c r="F19" s="28"/>
      <c r="G19" s="28">
        <v>1988</v>
      </c>
      <c r="H19" s="28">
        <v>74918</v>
      </c>
      <c r="I19" s="28">
        <v>0</v>
      </c>
      <c r="J19" s="28">
        <v>51</v>
      </c>
      <c r="L19" s="37">
        <v>2098</v>
      </c>
      <c r="M19" s="3">
        <v>77</v>
      </c>
      <c r="N19" s="3">
        <v>1285</v>
      </c>
      <c r="O19" s="3">
        <v>42</v>
      </c>
      <c r="P19" s="3">
        <v>716</v>
      </c>
      <c r="Q19" s="3">
        <v>55</v>
      </c>
      <c r="R19" s="3">
        <v>0</v>
      </c>
      <c r="S19" s="3">
        <v>21</v>
      </c>
      <c r="T19" s="3">
        <v>0</v>
      </c>
      <c r="U19" s="3">
        <v>7</v>
      </c>
      <c r="V19" s="3">
        <v>10</v>
      </c>
      <c r="W19" s="3">
        <v>5</v>
      </c>
      <c r="X19" s="3">
        <v>2</v>
      </c>
    </row>
    <row r="20" spans="1:24" x14ac:dyDescent="0.35">
      <c r="A20">
        <v>2092</v>
      </c>
      <c r="B20">
        <v>78618</v>
      </c>
      <c r="C20">
        <v>63</v>
      </c>
      <c r="D20">
        <v>0</v>
      </c>
      <c r="E20" s="28">
        <v>7.6657534246575345</v>
      </c>
      <c r="F20" s="28"/>
      <c r="G20" s="28">
        <v>1987</v>
      </c>
      <c r="H20" s="28">
        <v>82332</v>
      </c>
      <c r="I20" s="28">
        <v>0</v>
      </c>
      <c r="J20" s="28">
        <v>59</v>
      </c>
      <c r="L20" s="38">
        <v>2092</v>
      </c>
      <c r="M20" s="2">
        <v>87</v>
      </c>
      <c r="N20" s="2">
        <v>736</v>
      </c>
      <c r="O20" s="2">
        <v>163</v>
      </c>
      <c r="P20" s="2">
        <v>818</v>
      </c>
      <c r="Q20" s="2">
        <v>212</v>
      </c>
      <c r="R20" s="2">
        <v>163</v>
      </c>
      <c r="S20" s="2">
        <v>61</v>
      </c>
      <c r="T20" s="2">
        <v>1</v>
      </c>
      <c r="U20" s="2">
        <v>4</v>
      </c>
      <c r="V20" s="2">
        <v>7</v>
      </c>
      <c r="W20" s="2">
        <v>10</v>
      </c>
      <c r="X20" s="2">
        <v>2</v>
      </c>
    </row>
    <row r="21" spans="1:24" x14ac:dyDescent="0.35">
      <c r="A21">
        <v>2092</v>
      </c>
      <c r="B21">
        <v>72335</v>
      </c>
      <c r="C21">
        <v>44</v>
      </c>
      <c r="D21">
        <v>0</v>
      </c>
      <c r="E21" s="28">
        <v>7.7917808219178086</v>
      </c>
      <c r="F21" s="28"/>
      <c r="G21" s="28">
        <v>1974</v>
      </c>
      <c r="H21" s="28">
        <v>72903</v>
      </c>
      <c r="I21" s="28">
        <v>0</v>
      </c>
      <c r="J21" s="28">
        <v>35</v>
      </c>
      <c r="L21" s="37">
        <v>2092</v>
      </c>
      <c r="M21" s="3">
        <v>2</v>
      </c>
      <c r="N21" s="3">
        <v>1285</v>
      </c>
      <c r="O21" s="3">
        <v>105</v>
      </c>
      <c r="P21" s="3">
        <v>653</v>
      </c>
      <c r="Q21" s="3">
        <v>28</v>
      </c>
      <c r="R21" s="3">
        <v>21</v>
      </c>
      <c r="S21" s="3">
        <v>0</v>
      </c>
      <c r="T21" s="3">
        <v>1</v>
      </c>
      <c r="U21" s="3">
        <v>10</v>
      </c>
      <c r="V21" s="3">
        <v>4</v>
      </c>
      <c r="W21" s="3">
        <v>8</v>
      </c>
      <c r="X21" s="3">
        <v>8</v>
      </c>
    </row>
    <row r="22" spans="1:24" x14ac:dyDescent="0.35">
      <c r="A22">
        <v>2074</v>
      </c>
      <c r="B22">
        <v>86857</v>
      </c>
      <c r="C22">
        <v>48</v>
      </c>
      <c r="D22">
        <v>0</v>
      </c>
      <c r="E22" s="28">
        <v>7.7095890410958905</v>
      </c>
      <c r="F22" s="28"/>
      <c r="G22" s="28">
        <v>1970</v>
      </c>
      <c r="H22" s="28">
        <v>98777</v>
      </c>
      <c r="I22" s="28">
        <v>0</v>
      </c>
      <c r="J22" s="28">
        <v>60</v>
      </c>
      <c r="L22" s="38">
        <v>2074</v>
      </c>
      <c r="M22" s="2">
        <v>96</v>
      </c>
      <c r="N22" s="2">
        <v>899</v>
      </c>
      <c r="O22" s="2">
        <v>102</v>
      </c>
      <c r="P22" s="2">
        <v>838</v>
      </c>
      <c r="Q22" s="2">
        <v>133</v>
      </c>
      <c r="R22" s="2">
        <v>102</v>
      </c>
      <c r="S22" s="2">
        <v>40</v>
      </c>
      <c r="T22" s="2">
        <v>1</v>
      </c>
      <c r="U22" s="2">
        <v>5</v>
      </c>
      <c r="V22" s="2">
        <v>6</v>
      </c>
      <c r="W22" s="2">
        <v>10</v>
      </c>
      <c r="X22" s="2">
        <v>2</v>
      </c>
    </row>
    <row r="23" spans="1:24" x14ac:dyDescent="0.35">
      <c r="A23">
        <v>2074</v>
      </c>
      <c r="B23">
        <v>82326</v>
      </c>
      <c r="C23">
        <v>43</v>
      </c>
      <c r="D23">
        <v>0</v>
      </c>
      <c r="E23" s="28">
        <v>6.2191780821917808</v>
      </c>
      <c r="F23" s="28"/>
      <c r="G23" s="28">
        <v>1954</v>
      </c>
      <c r="H23" s="28">
        <v>75345</v>
      </c>
      <c r="I23" s="28">
        <v>0</v>
      </c>
      <c r="J23" s="28">
        <v>50</v>
      </c>
      <c r="L23" s="37">
        <v>2074</v>
      </c>
      <c r="M23" s="3">
        <v>30</v>
      </c>
      <c r="N23" s="3">
        <v>938</v>
      </c>
      <c r="O23" s="3">
        <v>142</v>
      </c>
      <c r="P23" s="3">
        <v>754</v>
      </c>
      <c r="Q23" s="3">
        <v>159</v>
      </c>
      <c r="R23" s="3">
        <v>81</v>
      </c>
      <c r="S23" s="3">
        <v>183</v>
      </c>
      <c r="T23" s="3">
        <v>1</v>
      </c>
      <c r="U23" s="3">
        <v>5</v>
      </c>
      <c r="V23" s="3">
        <v>10</v>
      </c>
      <c r="W23" s="3">
        <v>6</v>
      </c>
      <c r="X23" s="3">
        <v>2</v>
      </c>
    </row>
    <row r="24" spans="1:24" x14ac:dyDescent="0.35">
      <c r="A24">
        <v>2068</v>
      </c>
      <c r="B24">
        <v>94642</v>
      </c>
      <c r="C24">
        <v>69</v>
      </c>
      <c r="D24">
        <v>0</v>
      </c>
      <c r="E24" s="28">
        <v>6.2904109589041095</v>
      </c>
      <c r="F24" s="28"/>
      <c r="G24" s="28">
        <v>1954</v>
      </c>
      <c r="H24" s="28">
        <v>67546</v>
      </c>
      <c r="I24" s="28">
        <v>0</v>
      </c>
      <c r="J24" s="28">
        <v>32</v>
      </c>
      <c r="L24" s="38">
        <v>2068</v>
      </c>
      <c r="M24" s="2">
        <v>35</v>
      </c>
      <c r="N24" s="2">
        <v>879</v>
      </c>
      <c r="O24" s="2">
        <v>143</v>
      </c>
      <c r="P24" s="2">
        <v>797</v>
      </c>
      <c r="Q24" s="2">
        <v>106</v>
      </c>
      <c r="R24" s="2">
        <v>143</v>
      </c>
      <c r="S24" s="2">
        <v>143</v>
      </c>
      <c r="T24" s="2">
        <v>0</v>
      </c>
      <c r="U24" s="2">
        <v>5</v>
      </c>
      <c r="V24" s="2">
        <v>7</v>
      </c>
      <c r="W24" s="2">
        <v>9</v>
      </c>
      <c r="X24" s="2">
        <v>1</v>
      </c>
    </row>
    <row r="25" spans="1:24" x14ac:dyDescent="0.35">
      <c r="A25">
        <v>2068</v>
      </c>
      <c r="B25">
        <v>73455</v>
      </c>
      <c r="C25">
        <v>52</v>
      </c>
      <c r="D25">
        <v>0</v>
      </c>
      <c r="E25" s="28">
        <v>6.5835616438356164</v>
      </c>
      <c r="F25" s="28"/>
      <c r="G25" s="28">
        <v>1949</v>
      </c>
      <c r="H25" s="28">
        <v>91700</v>
      </c>
      <c r="I25" s="28">
        <v>0</v>
      </c>
      <c r="J25" s="28">
        <v>49</v>
      </c>
      <c r="L25" s="37">
        <v>2068</v>
      </c>
      <c r="M25" s="3">
        <v>98</v>
      </c>
      <c r="N25" s="3">
        <v>901</v>
      </c>
      <c r="O25" s="3">
        <v>61</v>
      </c>
      <c r="P25" s="3">
        <v>757</v>
      </c>
      <c r="Q25" s="3">
        <v>186</v>
      </c>
      <c r="R25" s="3">
        <v>163</v>
      </c>
      <c r="S25" s="3">
        <v>20</v>
      </c>
      <c r="T25" s="3">
        <v>1</v>
      </c>
      <c r="U25" s="3">
        <v>6</v>
      </c>
      <c r="V25" s="3">
        <v>5</v>
      </c>
      <c r="W25" s="3">
        <v>10</v>
      </c>
      <c r="X25" s="3">
        <v>3</v>
      </c>
    </row>
    <row r="26" spans="1:24" x14ac:dyDescent="0.35">
      <c r="A26">
        <v>2066</v>
      </c>
      <c r="B26">
        <v>92163</v>
      </c>
      <c r="C26">
        <v>45</v>
      </c>
      <c r="D26">
        <v>0</v>
      </c>
      <c r="E26" s="28">
        <v>7.4602739726027396</v>
      </c>
      <c r="F26" s="28"/>
      <c r="G26" s="28">
        <v>1924</v>
      </c>
      <c r="H26" s="28">
        <v>87771</v>
      </c>
      <c r="I26" s="28">
        <v>1</v>
      </c>
      <c r="J26" s="28">
        <v>61</v>
      </c>
      <c r="L26" s="38">
        <v>2066</v>
      </c>
      <c r="M26" s="2">
        <v>25</v>
      </c>
      <c r="N26" s="2">
        <v>817</v>
      </c>
      <c r="O26" s="2">
        <v>183</v>
      </c>
      <c r="P26" s="2">
        <v>797</v>
      </c>
      <c r="Q26" s="2">
        <v>106</v>
      </c>
      <c r="R26" s="2">
        <v>163</v>
      </c>
      <c r="S26" s="2">
        <v>20</v>
      </c>
      <c r="T26" s="2">
        <v>0</v>
      </c>
      <c r="U26" s="2">
        <v>5</v>
      </c>
      <c r="V26" s="2">
        <v>11</v>
      </c>
      <c r="W26" s="2">
        <v>5</v>
      </c>
      <c r="X26" s="2">
        <v>2</v>
      </c>
    </row>
    <row r="27" spans="1:24" x14ac:dyDescent="0.35">
      <c r="A27">
        <v>2062</v>
      </c>
      <c r="B27">
        <v>81169</v>
      </c>
      <c r="C27">
        <v>45</v>
      </c>
      <c r="D27">
        <v>0</v>
      </c>
      <c r="E27" s="28">
        <v>7.1232876712328768</v>
      </c>
      <c r="F27" s="28"/>
      <c r="G27" s="28">
        <v>1900</v>
      </c>
      <c r="H27" s="28">
        <v>80695</v>
      </c>
      <c r="I27" s="28">
        <v>0</v>
      </c>
      <c r="J27" s="28">
        <v>57</v>
      </c>
      <c r="L27" s="37">
        <v>2062</v>
      </c>
      <c r="M27" s="3">
        <v>47</v>
      </c>
      <c r="N27" s="3">
        <v>1288</v>
      </c>
      <c r="O27" s="3">
        <v>20</v>
      </c>
      <c r="P27" s="3">
        <v>613</v>
      </c>
      <c r="Q27" s="3">
        <v>80</v>
      </c>
      <c r="R27" s="3">
        <v>61</v>
      </c>
      <c r="S27" s="3">
        <v>27</v>
      </c>
      <c r="T27" s="3">
        <v>1</v>
      </c>
      <c r="U27" s="3">
        <v>5</v>
      </c>
      <c r="V27" s="3">
        <v>7</v>
      </c>
      <c r="W27" s="3">
        <v>9</v>
      </c>
      <c r="X27" s="3">
        <v>2</v>
      </c>
    </row>
    <row r="28" spans="1:24" x14ac:dyDescent="0.35">
      <c r="A28">
        <v>2057</v>
      </c>
      <c r="B28">
        <v>92859</v>
      </c>
      <c r="C28">
        <v>28</v>
      </c>
      <c r="D28">
        <v>0</v>
      </c>
      <c r="E28" s="28">
        <v>7.6082191780821917</v>
      </c>
      <c r="F28" s="28"/>
      <c r="G28" s="28">
        <v>1889</v>
      </c>
      <c r="H28" s="28">
        <v>78687</v>
      </c>
      <c r="I28" s="28">
        <v>0</v>
      </c>
      <c r="J28" s="28">
        <v>37</v>
      </c>
      <c r="L28" s="38">
        <v>2057</v>
      </c>
      <c r="M28" s="2">
        <v>46</v>
      </c>
      <c r="N28" s="2">
        <v>962</v>
      </c>
      <c r="O28" s="2">
        <v>61</v>
      </c>
      <c r="P28" s="2">
        <v>921</v>
      </c>
      <c r="Q28" s="2">
        <v>52</v>
      </c>
      <c r="R28" s="2">
        <v>61</v>
      </c>
      <c r="S28" s="2">
        <v>20</v>
      </c>
      <c r="T28" s="2">
        <v>1</v>
      </c>
      <c r="U28" s="2">
        <v>5</v>
      </c>
      <c r="V28" s="2">
        <v>4</v>
      </c>
      <c r="W28" s="2">
        <v>12</v>
      </c>
      <c r="X28" s="2">
        <v>2</v>
      </c>
    </row>
    <row r="29" spans="1:24" x14ac:dyDescent="0.35">
      <c r="A29">
        <v>2056</v>
      </c>
      <c r="B29">
        <v>83512</v>
      </c>
      <c r="C29">
        <v>34</v>
      </c>
      <c r="D29">
        <v>0</v>
      </c>
      <c r="E29" s="28">
        <v>5.9479452054794519</v>
      </c>
      <c r="F29" s="28"/>
      <c r="G29" s="28">
        <v>1889</v>
      </c>
      <c r="H29" s="28">
        <v>82072</v>
      </c>
      <c r="I29" s="28">
        <v>0</v>
      </c>
      <c r="J29" s="28">
        <v>50</v>
      </c>
      <c r="L29" s="37">
        <v>2056</v>
      </c>
      <c r="M29" s="3">
        <v>31</v>
      </c>
      <c r="N29" s="3">
        <v>1060</v>
      </c>
      <c r="O29" s="3">
        <v>61</v>
      </c>
      <c r="P29" s="3">
        <v>835</v>
      </c>
      <c r="Q29" s="3">
        <v>80</v>
      </c>
      <c r="R29" s="3">
        <v>20</v>
      </c>
      <c r="S29" s="3">
        <v>101</v>
      </c>
      <c r="T29" s="3">
        <v>1</v>
      </c>
      <c r="U29" s="3">
        <v>4</v>
      </c>
      <c r="V29" s="3">
        <v>7</v>
      </c>
      <c r="W29" s="3">
        <v>10</v>
      </c>
      <c r="X29" s="3">
        <v>1</v>
      </c>
    </row>
    <row r="30" spans="1:24" x14ac:dyDescent="0.35">
      <c r="A30">
        <v>2051</v>
      </c>
      <c r="B30">
        <v>80141</v>
      </c>
      <c r="C30">
        <v>34</v>
      </c>
      <c r="D30">
        <v>0</v>
      </c>
      <c r="E30" s="28">
        <v>7.3780821917808215</v>
      </c>
      <c r="F30" s="28"/>
      <c r="G30" s="28">
        <v>1886</v>
      </c>
      <c r="H30" s="28">
        <v>74116</v>
      </c>
      <c r="I30" s="28">
        <v>0</v>
      </c>
      <c r="J30" s="28">
        <v>38</v>
      </c>
      <c r="L30" s="38">
        <v>2051</v>
      </c>
      <c r="M30" s="2">
        <v>20</v>
      </c>
      <c r="N30" s="2">
        <v>1184</v>
      </c>
      <c r="O30" s="2">
        <v>102</v>
      </c>
      <c r="P30" s="2">
        <v>673</v>
      </c>
      <c r="Q30" s="2">
        <v>52</v>
      </c>
      <c r="R30" s="2">
        <v>40</v>
      </c>
      <c r="S30" s="2">
        <v>40</v>
      </c>
      <c r="T30" s="2">
        <v>1</v>
      </c>
      <c r="U30" s="2">
        <v>7</v>
      </c>
      <c r="V30" s="2">
        <v>4</v>
      </c>
      <c r="W30" s="2">
        <v>10</v>
      </c>
      <c r="X30" s="2">
        <v>6</v>
      </c>
    </row>
    <row r="31" spans="1:24" x14ac:dyDescent="0.35">
      <c r="A31">
        <v>2036</v>
      </c>
      <c r="B31">
        <v>77568</v>
      </c>
      <c r="C31">
        <v>41</v>
      </c>
      <c r="D31">
        <v>1</v>
      </c>
      <c r="E31" s="28">
        <v>7.7589041095890412</v>
      </c>
      <c r="F31" s="28"/>
      <c r="G31" s="28">
        <v>1884</v>
      </c>
      <c r="H31" s="28">
        <v>75702</v>
      </c>
      <c r="I31" s="28">
        <v>1</v>
      </c>
      <c r="J31" s="28">
        <v>46</v>
      </c>
      <c r="L31" s="37">
        <v>2036</v>
      </c>
      <c r="M31" s="3">
        <v>30</v>
      </c>
      <c r="N31" s="3">
        <v>1230</v>
      </c>
      <c r="O31" s="3">
        <v>0</v>
      </c>
      <c r="P31" s="3">
        <v>396</v>
      </c>
      <c r="Q31" s="3">
        <v>232</v>
      </c>
      <c r="R31" s="3">
        <v>178</v>
      </c>
      <c r="S31" s="3">
        <v>158</v>
      </c>
      <c r="T31" s="3">
        <v>1</v>
      </c>
      <c r="U31" s="3">
        <v>10</v>
      </c>
      <c r="V31" s="3">
        <v>2</v>
      </c>
      <c r="W31" s="3">
        <v>8</v>
      </c>
      <c r="X31" s="3">
        <v>5</v>
      </c>
    </row>
    <row r="32" spans="1:24" x14ac:dyDescent="0.35">
      <c r="A32">
        <v>2012</v>
      </c>
      <c r="B32">
        <v>92491</v>
      </c>
      <c r="C32">
        <v>37</v>
      </c>
      <c r="D32">
        <v>0</v>
      </c>
      <c r="E32" s="28">
        <v>7.0767123287671234</v>
      </c>
      <c r="F32" s="28"/>
      <c r="G32" s="28">
        <v>1881</v>
      </c>
      <c r="H32" s="28">
        <v>95169</v>
      </c>
      <c r="I32" s="28">
        <v>0</v>
      </c>
      <c r="J32" s="28">
        <v>33</v>
      </c>
      <c r="L32" s="38">
        <v>2012</v>
      </c>
      <c r="M32" s="2">
        <v>71</v>
      </c>
      <c r="N32" s="2">
        <v>979</v>
      </c>
      <c r="O32" s="2">
        <v>44</v>
      </c>
      <c r="P32" s="2">
        <v>935</v>
      </c>
      <c r="Q32" s="2">
        <v>29</v>
      </c>
      <c r="R32" s="2">
        <v>25</v>
      </c>
      <c r="S32" s="2">
        <v>22</v>
      </c>
      <c r="T32" s="2">
        <v>1</v>
      </c>
      <c r="U32" s="2">
        <v>7</v>
      </c>
      <c r="V32" s="2">
        <v>5</v>
      </c>
      <c r="W32" s="2">
        <v>12</v>
      </c>
      <c r="X32" s="2">
        <v>3</v>
      </c>
    </row>
    <row r="33" spans="1:24" x14ac:dyDescent="0.35">
      <c r="A33">
        <v>1998</v>
      </c>
      <c r="B33">
        <v>88347</v>
      </c>
      <c r="C33">
        <v>59</v>
      </c>
      <c r="D33">
        <v>0</v>
      </c>
      <c r="E33" s="28">
        <v>6.904109589041096</v>
      </c>
      <c r="F33" s="28"/>
      <c r="G33" s="28">
        <v>1880</v>
      </c>
      <c r="H33" s="28">
        <v>90273</v>
      </c>
      <c r="I33" s="28">
        <v>0</v>
      </c>
      <c r="J33" s="28">
        <v>29</v>
      </c>
      <c r="L33" s="37">
        <v>1998</v>
      </c>
      <c r="M33" s="3">
        <v>32</v>
      </c>
      <c r="N33" s="3">
        <v>1050</v>
      </c>
      <c r="O33" s="3">
        <v>178</v>
      </c>
      <c r="P33" s="3">
        <v>555</v>
      </c>
      <c r="Q33" s="3">
        <v>77</v>
      </c>
      <c r="R33" s="3">
        <v>138</v>
      </c>
      <c r="S33" s="3">
        <v>118</v>
      </c>
      <c r="T33" s="3">
        <v>1</v>
      </c>
      <c r="U33" s="3">
        <v>4</v>
      </c>
      <c r="V33" s="3">
        <v>7</v>
      </c>
      <c r="W33" s="3">
        <v>9</v>
      </c>
      <c r="X33" s="3">
        <v>1</v>
      </c>
    </row>
    <row r="34" spans="1:24" x14ac:dyDescent="0.35">
      <c r="A34">
        <v>1995</v>
      </c>
      <c r="B34">
        <v>89572</v>
      </c>
      <c r="C34">
        <v>54</v>
      </c>
      <c r="D34">
        <v>0</v>
      </c>
      <c r="E34" s="28">
        <v>7.7013698630136984</v>
      </c>
      <c r="F34" s="28"/>
      <c r="G34" s="28">
        <v>1872</v>
      </c>
      <c r="H34" s="28">
        <v>75251</v>
      </c>
      <c r="I34" s="28">
        <v>0</v>
      </c>
      <c r="J34" s="28">
        <v>48</v>
      </c>
      <c r="L34" s="38">
        <v>1995</v>
      </c>
      <c r="M34" s="2">
        <v>44</v>
      </c>
      <c r="N34" s="2">
        <v>606</v>
      </c>
      <c r="O34" s="2">
        <v>24</v>
      </c>
      <c r="P34" s="2">
        <v>974</v>
      </c>
      <c r="Q34" s="2">
        <v>197</v>
      </c>
      <c r="R34" s="2">
        <v>194</v>
      </c>
      <c r="S34" s="2">
        <v>64</v>
      </c>
      <c r="T34" s="2">
        <v>1</v>
      </c>
      <c r="U34" s="2">
        <v>7</v>
      </c>
      <c r="V34" s="2">
        <v>7</v>
      </c>
      <c r="W34" s="2">
        <v>9</v>
      </c>
      <c r="X34" s="2">
        <v>4</v>
      </c>
    </row>
    <row r="35" spans="1:24" x14ac:dyDescent="0.35">
      <c r="A35">
        <v>1988</v>
      </c>
      <c r="B35">
        <v>74918</v>
      </c>
      <c r="C35">
        <v>51</v>
      </c>
      <c r="D35">
        <v>0</v>
      </c>
      <c r="E35" s="28">
        <v>7.2136986301369861</v>
      </c>
      <c r="F35" s="28"/>
      <c r="G35" s="28">
        <v>1869</v>
      </c>
      <c r="H35" s="28">
        <v>89120</v>
      </c>
      <c r="I35" s="28">
        <v>0</v>
      </c>
      <c r="J35" s="28">
        <v>61</v>
      </c>
      <c r="L35" s="37">
        <v>1988</v>
      </c>
      <c r="M35" s="3">
        <v>78</v>
      </c>
      <c r="N35" s="3">
        <v>972</v>
      </c>
      <c r="O35" s="3">
        <v>59</v>
      </c>
      <c r="P35" s="3">
        <v>913</v>
      </c>
      <c r="Q35" s="3">
        <v>25</v>
      </c>
      <c r="R35" s="3">
        <v>19</v>
      </c>
      <c r="S35" s="3">
        <v>59</v>
      </c>
      <c r="T35" s="3">
        <v>1</v>
      </c>
      <c r="U35" s="3">
        <v>5</v>
      </c>
      <c r="V35" s="3">
        <v>9</v>
      </c>
      <c r="W35" s="3">
        <v>6</v>
      </c>
      <c r="X35" s="3">
        <v>3</v>
      </c>
    </row>
    <row r="36" spans="1:24" x14ac:dyDescent="0.35">
      <c r="A36">
        <v>1987</v>
      </c>
      <c r="B36">
        <v>82332</v>
      </c>
      <c r="C36">
        <v>59</v>
      </c>
      <c r="D36">
        <v>0</v>
      </c>
      <c r="E36" s="28">
        <v>7.6958904109589037</v>
      </c>
      <c r="F36" s="28"/>
      <c r="G36" s="28">
        <v>1868</v>
      </c>
      <c r="H36" s="28">
        <v>81929</v>
      </c>
      <c r="I36" s="28">
        <v>1</v>
      </c>
      <c r="J36" s="28">
        <v>44</v>
      </c>
      <c r="L36" s="38">
        <v>1987</v>
      </c>
      <c r="M36" s="2">
        <v>89</v>
      </c>
      <c r="N36" s="2">
        <v>830</v>
      </c>
      <c r="O36" s="2">
        <v>59</v>
      </c>
      <c r="P36" s="2">
        <v>968</v>
      </c>
      <c r="Q36" s="2">
        <v>51</v>
      </c>
      <c r="R36" s="2">
        <v>79</v>
      </c>
      <c r="S36" s="2">
        <v>19</v>
      </c>
      <c r="T36" s="2">
        <v>1</v>
      </c>
      <c r="U36" s="2">
        <v>5</v>
      </c>
      <c r="V36" s="2">
        <v>3</v>
      </c>
      <c r="W36" s="2">
        <v>12</v>
      </c>
      <c r="X36" s="2">
        <v>2</v>
      </c>
    </row>
    <row r="37" spans="1:24" x14ac:dyDescent="0.35">
      <c r="A37">
        <v>1974</v>
      </c>
      <c r="B37">
        <v>72903</v>
      </c>
      <c r="C37">
        <v>35</v>
      </c>
      <c r="D37">
        <v>0</v>
      </c>
      <c r="E37" s="28">
        <v>6.580821917808219</v>
      </c>
      <c r="F37" s="28"/>
      <c r="G37" s="28">
        <v>1808</v>
      </c>
      <c r="H37" s="28">
        <v>70971</v>
      </c>
      <c r="I37" s="28">
        <v>1</v>
      </c>
      <c r="J37" s="28">
        <v>60</v>
      </c>
      <c r="L37" s="37">
        <v>1974</v>
      </c>
      <c r="M37" s="3">
        <v>74</v>
      </c>
      <c r="N37" s="3">
        <v>1067</v>
      </c>
      <c r="O37" s="3">
        <v>138</v>
      </c>
      <c r="P37" s="3">
        <v>750</v>
      </c>
      <c r="Q37" s="3">
        <v>0</v>
      </c>
      <c r="R37" s="3">
        <v>19</v>
      </c>
      <c r="S37" s="3">
        <v>39</v>
      </c>
      <c r="T37" s="3">
        <v>1</v>
      </c>
      <c r="U37" s="3">
        <v>7</v>
      </c>
      <c r="V37" s="3">
        <v>5</v>
      </c>
      <c r="W37" s="3">
        <v>8</v>
      </c>
      <c r="X37" s="3">
        <v>4</v>
      </c>
    </row>
    <row r="38" spans="1:24" x14ac:dyDescent="0.35">
      <c r="A38">
        <v>1970</v>
      </c>
      <c r="B38">
        <v>98777</v>
      </c>
      <c r="C38">
        <v>60</v>
      </c>
      <c r="D38">
        <v>0</v>
      </c>
      <c r="E38" s="28">
        <v>6.2767123287671236</v>
      </c>
      <c r="F38" s="28"/>
      <c r="G38" s="28">
        <v>1799</v>
      </c>
      <c r="H38" s="28">
        <v>78642</v>
      </c>
      <c r="I38" s="28">
        <v>1</v>
      </c>
      <c r="J38" s="28">
        <v>49</v>
      </c>
      <c r="L38" s="38">
        <v>1970</v>
      </c>
      <c r="M38" s="2">
        <v>23</v>
      </c>
      <c r="N38" s="2">
        <v>1000</v>
      </c>
      <c r="O38" s="2">
        <v>19</v>
      </c>
      <c r="P38" s="2">
        <v>711</v>
      </c>
      <c r="Q38" s="2">
        <v>125</v>
      </c>
      <c r="R38" s="2">
        <v>115</v>
      </c>
      <c r="S38" s="2">
        <v>38</v>
      </c>
      <c r="T38" s="2">
        <v>0</v>
      </c>
      <c r="U38" s="2">
        <v>4</v>
      </c>
      <c r="V38" s="2">
        <v>6</v>
      </c>
      <c r="W38" s="2">
        <v>9</v>
      </c>
      <c r="X38" s="2">
        <v>1</v>
      </c>
    </row>
    <row r="39" spans="1:24" x14ac:dyDescent="0.35">
      <c r="A39">
        <v>1966</v>
      </c>
      <c r="B39">
        <v>95529</v>
      </c>
      <c r="C39">
        <v>26</v>
      </c>
      <c r="D39">
        <v>0</v>
      </c>
      <c r="E39" s="28">
        <v>7.484931506849315</v>
      </c>
      <c r="F39" s="28"/>
      <c r="G39" s="28">
        <v>1795</v>
      </c>
      <c r="H39" s="28">
        <v>70643</v>
      </c>
      <c r="I39" s="28">
        <v>0</v>
      </c>
      <c r="J39" s="28">
        <v>36</v>
      </c>
      <c r="L39" s="37">
        <v>1966</v>
      </c>
      <c r="M39" s="3">
        <v>29</v>
      </c>
      <c r="N39" s="3">
        <v>770</v>
      </c>
      <c r="O39" s="3">
        <v>29</v>
      </c>
      <c r="P39" s="3">
        <v>890</v>
      </c>
      <c r="Q39" s="3">
        <v>250</v>
      </c>
      <c r="R39" s="3">
        <v>27</v>
      </c>
      <c r="S39" s="3">
        <v>24</v>
      </c>
      <c r="T39" s="3">
        <v>1</v>
      </c>
      <c r="U39" s="3">
        <v>7</v>
      </c>
      <c r="V39" s="3">
        <v>3</v>
      </c>
      <c r="W39" s="3">
        <v>7</v>
      </c>
      <c r="X39" s="3">
        <v>3</v>
      </c>
    </row>
    <row r="40" spans="1:24" x14ac:dyDescent="0.35">
      <c r="A40">
        <v>1959</v>
      </c>
      <c r="B40">
        <v>68743</v>
      </c>
      <c r="C40">
        <v>53</v>
      </c>
      <c r="D40">
        <v>0</v>
      </c>
      <c r="E40" s="28">
        <v>7.7452054794520544</v>
      </c>
      <c r="F40" s="28"/>
      <c r="G40" s="28">
        <v>1794</v>
      </c>
      <c r="H40" s="28">
        <v>67536</v>
      </c>
      <c r="I40" s="28">
        <v>1</v>
      </c>
      <c r="J40" s="28">
        <v>50</v>
      </c>
      <c r="L40" s="38">
        <v>1959</v>
      </c>
      <c r="M40" s="2">
        <v>81</v>
      </c>
      <c r="N40" s="2">
        <v>1132</v>
      </c>
      <c r="O40" s="2">
        <v>134</v>
      </c>
      <c r="P40" s="2">
        <v>384</v>
      </c>
      <c r="Q40" s="2">
        <v>175</v>
      </c>
      <c r="R40" s="2">
        <v>134</v>
      </c>
      <c r="S40" s="2">
        <v>115</v>
      </c>
      <c r="T40" s="2">
        <v>1</v>
      </c>
      <c r="U40" s="2">
        <v>11</v>
      </c>
      <c r="V40" s="2">
        <v>5</v>
      </c>
      <c r="W40" s="2">
        <v>13</v>
      </c>
      <c r="X40" s="2">
        <v>7</v>
      </c>
    </row>
    <row r="41" spans="1:24" x14ac:dyDescent="0.35">
      <c r="A41">
        <v>1958</v>
      </c>
      <c r="B41">
        <v>78952</v>
      </c>
      <c r="C41">
        <v>62</v>
      </c>
      <c r="D41">
        <v>1</v>
      </c>
      <c r="E41" s="28">
        <v>7.6767123287671231</v>
      </c>
      <c r="F41" s="28"/>
      <c r="G41" s="28">
        <v>1790</v>
      </c>
      <c r="H41" s="28">
        <v>81380</v>
      </c>
      <c r="I41" s="28">
        <v>0</v>
      </c>
      <c r="J41" s="28">
        <v>53</v>
      </c>
      <c r="L41" s="37">
        <v>1958</v>
      </c>
      <c r="M41" s="3">
        <v>11</v>
      </c>
      <c r="N41" s="3">
        <v>1170</v>
      </c>
      <c r="O41" s="3">
        <v>19</v>
      </c>
      <c r="P41" s="3">
        <v>594</v>
      </c>
      <c r="Q41" s="3">
        <v>99</v>
      </c>
      <c r="R41" s="3">
        <v>76</v>
      </c>
      <c r="S41" s="3">
        <v>134</v>
      </c>
      <c r="T41" s="3">
        <v>2</v>
      </c>
      <c r="U41" s="3">
        <v>2</v>
      </c>
      <c r="V41" s="3">
        <v>5</v>
      </c>
      <c r="W41" s="3">
        <v>12</v>
      </c>
      <c r="X41" s="3">
        <v>6</v>
      </c>
    </row>
    <row r="42" spans="1:24" x14ac:dyDescent="0.35">
      <c r="A42">
        <v>1954</v>
      </c>
      <c r="B42">
        <v>75345</v>
      </c>
      <c r="C42">
        <v>50</v>
      </c>
      <c r="D42">
        <v>0</v>
      </c>
      <c r="E42" s="28">
        <v>7.3178082191780822</v>
      </c>
      <c r="F42" s="28"/>
      <c r="G42" s="28">
        <v>1780</v>
      </c>
      <c r="H42" s="28">
        <v>92344</v>
      </c>
      <c r="I42" s="28">
        <v>0</v>
      </c>
      <c r="J42" s="28">
        <v>72</v>
      </c>
      <c r="L42" s="38">
        <v>1954</v>
      </c>
      <c r="M42" s="2">
        <v>16</v>
      </c>
      <c r="N42" s="2">
        <v>918</v>
      </c>
      <c r="O42" s="2">
        <v>57</v>
      </c>
      <c r="P42" s="2">
        <v>842</v>
      </c>
      <c r="Q42" s="2">
        <v>99</v>
      </c>
      <c r="R42" s="2">
        <v>38</v>
      </c>
      <c r="S42" s="2">
        <v>133</v>
      </c>
      <c r="T42" s="2">
        <v>1</v>
      </c>
      <c r="U42" s="2">
        <v>5</v>
      </c>
      <c r="V42" s="2">
        <v>8</v>
      </c>
      <c r="W42" s="2">
        <v>6</v>
      </c>
      <c r="X42" s="2">
        <v>3</v>
      </c>
    </row>
    <row r="43" spans="1:24" x14ac:dyDescent="0.35">
      <c r="A43">
        <v>1954</v>
      </c>
      <c r="B43">
        <v>67546</v>
      </c>
      <c r="C43">
        <v>32</v>
      </c>
      <c r="D43">
        <v>0</v>
      </c>
      <c r="E43" s="28">
        <v>7.7424657534246579</v>
      </c>
      <c r="F43" s="28"/>
      <c r="G43" s="28">
        <v>1775</v>
      </c>
      <c r="H43" s="28">
        <v>61839</v>
      </c>
      <c r="I43" s="28">
        <v>0</v>
      </c>
      <c r="J43" s="28">
        <v>56</v>
      </c>
      <c r="L43" s="37">
        <v>1954</v>
      </c>
      <c r="M43" s="3">
        <v>90</v>
      </c>
      <c r="N43" s="3">
        <v>864</v>
      </c>
      <c r="O43" s="3">
        <v>134</v>
      </c>
      <c r="P43" s="3">
        <v>768</v>
      </c>
      <c r="Q43" s="3">
        <v>150</v>
      </c>
      <c r="R43" s="3">
        <v>38</v>
      </c>
      <c r="S43" s="3">
        <v>172</v>
      </c>
      <c r="T43" s="3">
        <v>1</v>
      </c>
      <c r="U43" s="3">
        <v>4</v>
      </c>
      <c r="V43" s="3">
        <v>10</v>
      </c>
      <c r="W43" s="3">
        <v>5</v>
      </c>
      <c r="X43" s="3">
        <v>3</v>
      </c>
    </row>
    <row r="44" spans="1:24" x14ac:dyDescent="0.35">
      <c r="A44">
        <v>1949</v>
      </c>
      <c r="B44">
        <v>91700</v>
      </c>
      <c r="C44">
        <v>49</v>
      </c>
      <c r="D44">
        <v>0</v>
      </c>
      <c r="E44" s="28">
        <v>7.3616438356164382</v>
      </c>
      <c r="F44" s="28"/>
      <c r="G44" s="28">
        <v>1767</v>
      </c>
      <c r="H44" s="28">
        <v>82384</v>
      </c>
      <c r="I44" s="28">
        <v>0</v>
      </c>
      <c r="J44" s="28">
        <v>65</v>
      </c>
      <c r="L44" s="38">
        <v>1949</v>
      </c>
      <c r="M44" s="2">
        <v>58</v>
      </c>
      <c r="N44" s="2">
        <v>576</v>
      </c>
      <c r="O44" s="2">
        <v>172</v>
      </c>
      <c r="P44" s="2">
        <v>961</v>
      </c>
      <c r="Q44" s="2">
        <v>125</v>
      </c>
      <c r="R44" s="2">
        <v>115</v>
      </c>
      <c r="S44" s="2">
        <v>19</v>
      </c>
      <c r="T44" s="2">
        <v>1</v>
      </c>
      <c r="U44" s="2">
        <v>8</v>
      </c>
      <c r="V44" s="2">
        <v>6</v>
      </c>
      <c r="W44" s="2">
        <v>5</v>
      </c>
      <c r="X44" s="2">
        <v>3</v>
      </c>
    </row>
    <row r="45" spans="1:24" x14ac:dyDescent="0.35">
      <c r="A45">
        <v>1931</v>
      </c>
      <c r="B45">
        <v>72309</v>
      </c>
      <c r="C45">
        <v>44</v>
      </c>
      <c r="D45">
        <v>0</v>
      </c>
      <c r="E45" s="28">
        <v>7.2164383561643834</v>
      </c>
      <c r="F45" s="28"/>
      <c r="G45" s="28">
        <v>1760</v>
      </c>
      <c r="H45" s="28">
        <v>63159</v>
      </c>
      <c r="I45" s="28">
        <v>0</v>
      </c>
      <c r="J45" s="28">
        <v>46</v>
      </c>
      <c r="L45" s="37">
        <v>1931</v>
      </c>
      <c r="M45" s="3">
        <v>64</v>
      </c>
      <c r="N45" s="3">
        <v>960</v>
      </c>
      <c r="O45" s="3">
        <v>0</v>
      </c>
      <c r="P45" s="3">
        <v>883</v>
      </c>
      <c r="Q45" s="3">
        <v>50</v>
      </c>
      <c r="R45" s="3">
        <v>38</v>
      </c>
      <c r="S45" s="3">
        <v>0</v>
      </c>
      <c r="T45" s="3">
        <v>1</v>
      </c>
      <c r="U45" s="3">
        <v>5</v>
      </c>
      <c r="V45" s="3">
        <v>6</v>
      </c>
      <c r="W45" s="3">
        <v>8</v>
      </c>
      <c r="X45" s="3">
        <v>3</v>
      </c>
    </row>
    <row r="46" spans="1:24" x14ac:dyDescent="0.35">
      <c r="A46">
        <v>1924</v>
      </c>
      <c r="B46">
        <v>87771</v>
      </c>
      <c r="C46">
        <v>61</v>
      </c>
      <c r="D46">
        <v>1</v>
      </c>
      <c r="E46" s="28">
        <v>7.0191780821917806</v>
      </c>
      <c r="F46" s="28"/>
      <c r="G46" s="28">
        <v>1738</v>
      </c>
      <c r="H46" s="28">
        <v>85683</v>
      </c>
      <c r="I46" s="28">
        <v>0</v>
      </c>
      <c r="J46" s="28">
        <v>66</v>
      </c>
      <c r="L46" s="38">
        <v>1924</v>
      </c>
      <c r="M46" s="2">
        <v>61</v>
      </c>
      <c r="N46" s="2">
        <v>1492</v>
      </c>
      <c r="O46" s="2">
        <v>38</v>
      </c>
      <c r="P46" s="2">
        <v>287</v>
      </c>
      <c r="Q46" s="2">
        <v>50</v>
      </c>
      <c r="R46" s="2">
        <v>57</v>
      </c>
      <c r="S46" s="2">
        <v>33</v>
      </c>
      <c r="T46" s="2">
        <v>1</v>
      </c>
      <c r="U46" s="2">
        <v>5</v>
      </c>
      <c r="V46" s="2">
        <v>10</v>
      </c>
      <c r="W46" s="2">
        <v>4</v>
      </c>
      <c r="X46" s="2">
        <v>6</v>
      </c>
    </row>
    <row r="47" spans="1:24" x14ac:dyDescent="0.35">
      <c r="A47">
        <v>1920</v>
      </c>
      <c r="B47">
        <v>85844</v>
      </c>
      <c r="C47">
        <v>47</v>
      </c>
      <c r="D47">
        <v>0</v>
      </c>
      <c r="E47" s="28">
        <v>6</v>
      </c>
      <c r="F47" s="28"/>
      <c r="G47" s="28">
        <v>1729</v>
      </c>
      <c r="H47" s="28">
        <v>2447</v>
      </c>
      <c r="I47" s="28">
        <v>1</v>
      </c>
      <c r="J47" s="28">
        <v>41</v>
      </c>
      <c r="L47" s="37">
        <v>1920</v>
      </c>
      <c r="M47" s="3">
        <v>62</v>
      </c>
      <c r="N47" s="3">
        <v>938</v>
      </c>
      <c r="O47" s="3">
        <v>19</v>
      </c>
      <c r="P47" s="3">
        <v>843</v>
      </c>
      <c r="Q47" s="3">
        <v>25</v>
      </c>
      <c r="R47" s="3">
        <v>95</v>
      </c>
      <c r="S47" s="3">
        <v>38</v>
      </c>
      <c r="T47" s="3">
        <v>1</v>
      </c>
      <c r="U47" s="3">
        <v>6</v>
      </c>
      <c r="V47" s="3">
        <v>6</v>
      </c>
      <c r="W47" s="3">
        <v>7</v>
      </c>
      <c r="X47" s="3">
        <v>2</v>
      </c>
    </row>
    <row r="48" spans="1:24" x14ac:dyDescent="0.35">
      <c r="A48">
        <v>1920</v>
      </c>
      <c r="B48">
        <v>96876</v>
      </c>
      <c r="C48">
        <v>43</v>
      </c>
      <c r="D48">
        <v>0</v>
      </c>
      <c r="E48" s="28">
        <v>6.8109589041095893</v>
      </c>
      <c r="F48" s="28"/>
      <c r="G48" s="28">
        <v>1728</v>
      </c>
      <c r="H48" s="28">
        <v>90687</v>
      </c>
      <c r="I48" s="28">
        <v>0</v>
      </c>
      <c r="J48" s="28">
        <v>37</v>
      </c>
      <c r="L48" s="38">
        <v>1920</v>
      </c>
      <c r="M48" s="2">
        <v>79</v>
      </c>
      <c r="N48" s="2">
        <v>908</v>
      </c>
      <c r="O48" s="2">
        <v>43</v>
      </c>
      <c r="P48" s="2">
        <v>735</v>
      </c>
      <c r="Q48" s="2">
        <v>40</v>
      </c>
      <c r="R48" s="2">
        <v>194</v>
      </c>
      <c r="S48" s="2">
        <v>21</v>
      </c>
      <c r="T48" s="2">
        <v>1</v>
      </c>
      <c r="U48" s="2">
        <v>7</v>
      </c>
      <c r="V48" s="2">
        <v>7</v>
      </c>
      <c r="W48" s="2">
        <v>9</v>
      </c>
      <c r="X48" s="2">
        <v>2</v>
      </c>
    </row>
    <row r="49" spans="1:24" x14ac:dyDescent="0.35">
      <c r="A49">
        <v>1919</v>
      </c>
      <c r="B49">
        <v>84169</v>
      </c>
      <c r="C49">
        <v>38</v>
      </c>
      <c r="D49">
        <v>0</v>
      </c>
      <c r="E49" s="28">
        <v>6.8082191780821919</v>
      </c>
      <c r="F49" s="28"/>
      <c r="G49" s="28">
        <v>1728</v>
      </c>
      <c r="H49" s="28">
        <v>83033</v>
      </c>
      <c r="I49" s="28">
        <v>1</v>
      </c>
      <c r="J49" s="28">
        <v>34</v>
      </c>
      <c r="L49" s="37">
        <v>1919</v>
      </c>
      <c r="M49" s="3">
        <v>9</v>
      </c>
      <c r="N49" s="3">
        <v>1478</v>
      </c>
      <c r="O49" s="3">
        <v>19</v>
      </c>
      <c r="P49" s="3">
        <v>403</v>
      </c>
      <c r="Q49" s="3">
        <v>0</v>
      </c>
      <c r="R49" s="3">
        <v>19</v>
      </c>
      <c r="S49" s="3">
        <v>0</v>
      </c>
      <c r="T49" s="3">
        <v>1</v>
      </c>
      <c r="U49" s="3">
        <v>7</v>
      </c>
      <c r="V49" s="3">
        <v>6</v>
      </c>
      <c r="W49" s="3">
        <v>6</v>
      </c>
      <c r="X49" s="3">
        <v>3</v>
      </c>
    </row>
    <row r="50" spans="1:24" x14ac:dyDescent="0.35">
      <c r="A50">
        <v>1916</v>
      </c>
      <c r="B50">
        <v>88420</v>
      </c>
      <c r="C50">
        <v>31</v>
      </c>
      <c r="D50">
        <v>0</v>
      </c>
      <c r="E50" s="28">
        <v>6.0739726027397261</v>
      </c>
      <c r="F50" s="28"/>
      <c r="G50" s="28">
        <v>1726</v>
      </c>
      <c r="H50" s="28">
        <v>75261</v>
      </c>
      <c r="I50" s="28">
        <v>0</v>
      </c>
      <c r="J50" s="28">
        <v>65</v>
      </c>
      <c r="L50" s="38">
        <v>1916</v>
      </c>
      <c r="M50" s="2">
        <v>87</v>
      </c>
      <c r="N50" s="2">
        <v>957</v>
      </c>
      <c r="O50" s="2">
        <v>153</v>
      </c>
      <c r="P50" s="2">
        <v>612</v>
      </c>
      <c r="Q50" s="2">
        <v>99</v>
      </c>
      <c r="R50" s="2">
        <v>95</v>
      </c>
      <c r="S50" s="2">
        <v>153</v>
      </c>
      <c r="T50" s="2">
        <v>1</v>
      </c>
      <c r="U50" s="2">
        <v>4</v>
      </c>
      <c r="V50" s="2">
        <v>7</v>
      </c>
      <c r="W50" s="2">
        <v>8</v>
      </c>
      <c r="X50" s="2">
        <v>1</v>
      </c>
    </row>
    <row r="51" spans="1:24" x14ac:dyDescent="0.35">
      <c r="A51">
        <v>1914</v>
      </c>
      <c r="B51">
        <v>79174</v>
      </c>
      <c r="C51">
        <v>45</v>
      </c>
      <c r="D51">
        <v>0</v>
      </c>
      <c r="E51" s="28">
        <v>7.3780821917808215</v>
      </c>
      <c r="F51" s="28"/>
      <c r="G51" s="28">
        <v>1716</v>
      </c>
      <c r="H51" s="28">
        <v>82497</v>
      </c>
      <c r="I51" s="28">
        <v>0</v>
      </c>
      <c r="J51" s="28">
        <v>40</v>
      </c>
      <c r="L51" s="37">
        <v>1914</v>
      </c>
      <c r="M51" s="3">
        <v>2</v>
      </c>
      <c r="N51" s="3">
        <v>1074</v>
      </c>
      <c r="O51" s="3">
        <v>37</v>
      </c>
      <c r="P51" s="3">
        <v>518</v>
      </c>
      <c r="Q51" s="3">
        <v>193</v>
      </c>
      <c r="R51" s="3">
        <v>92</v>
      </c>
      <c r="S51" s="3">
        <v>129</v>
      </c>
      <c r="T51" s="3">
        <v>1</v>
      </c>
      <c r="U51" s="3">
        <v>5</v>
      </c>
      <c r="V51" s="3">
        <v>6</v>
      </c>
      <c r="W51" s="3">
        <v>7</v>
      </c>
      <c r="X51" s="3">
        <v>2</v>
      </c>
    </row>
    <row r="52" spans="1:24" x14ac:dyDescent="0.35">
      <c r="A52">
        <v>1903</v>
      </c>
      <c r="B52">
        <v>72968</v>
      </c>
      <c r="C52">
        <v>57</v>
      </c>
      <c r="D52">
        <v>0</v>
      </c>
      <c r="E52" s="28">
        <v>6.4493150684931511</v>
      </c>
      <c r="F52" s="28"/>
      <c r="G52" s="28">
        <v>1713</v>
      </c>
      <c r="H52" s="28">
        <v>80952</v>
      </c>
      <c r="I52" s="28">
        <v>0</v>
      </c>
      <c r="J52" s="28">
        <v>51</v>
      </c>
      <c r="L52" s="38">
        <v>1903</v>
      </c>
      <c r="M52" s="2">
        <v>8</v>
      </c>
      <c r="N52" s="2">
        <v>1092</v>
      </c>
      <c r="O52" s="2">
        <v>37</v>
      </c>
      <c r="P52" s="2">
        <v>592</v>
      </c>
      <c r="Q52" s="2">
        <v>145</v>
      </c>
      <c r="R52" s="2">
        <v>37</v>
      </c>
      <c r="S52" s="2">
        <v>55</v>
      </c>
      <c r="T52" s="2">
        <v>1</v>
      </c>
      <c r="U52" s="2">
        <v>5</v>
      </c>
      <c r="V52" s="2">
        <v>5</v>
      </c>
      <c r="W52" s="2">
        <v>8</v>
      </c>
      <c r="X52" s="2">
        <v>3</v>
      </c>
    </row>
    <row r="53" spans="1:24" x14ac:dyDescent="0.35">
      <c r="A53">
        <v>1902</v>
      </c>
      <c r="B53">
        <v>80184</v>
      </c>
      <c r="C53">
        <v>76</v>
      </c>
      <c r="D53">
        <v>0</v>
      </c>
      <c r="E53" s="28">
        <v>6.2438356164383562</v>
      </c>
      <c r="F53" s="28"/>
      <c r="G53" s="28">
        <v>1713</v>
      </c>
      <c r="H53" s="28">
        <v>78579</v>
      </c>
      <c r="I53" s="28">
        <v>0</v>
      </c>
      <c r="J53" s="28">
        <v>50</v>
      </c>
      <c r="L53" s="37">
        <v>1902</v>
      </c>
      <c r="M53" s="3">
        <v>19</v>
      </c>
      <c r="N53" s="3">
        <v>1035</v>
      </c>
      <c r="O53" s="3">
        <v>134</v>
      </c>
      <c r="P53" s="3">
        <v>670</v>
      </c>
      <c r="Q53" s="3">
        <v>25</v>
      </c>
      <c r="R53" s="3">
        <v>38</v>
      </c>
      <c r="S53" s="3">
        <v>0</v>
      </c>
      <c r="T53" s="3">
        <v>1</v>
      </c>
      <c r="U53" s="3">
        <v>6</v>
      </c>
      <c r="V53" s="3">
        <v>3</v>
      </c>
      <c r="W53" s="3">
        <v>10</v>
      </c>
      <c r="X53" s="3">
        <v>3</v>
      </c>
    </row>
    <row r="54" spans="1:24" x14ac:dyDescent="0.35">
      <c r="A54">
        <v>1900</v>
      </c>
      <c r="B54">
        <v>80695</v>
      </c>
      <c r="C54">
        <v>57</v>
      </c>
      <c r="D54">
        <v>0</v>
      </c>
      <c r="E54" s="28">
        <v>6.4136986301369863</v>
      </c>
      <c r="F54" s="28"/>
      <c r="G54" s="28">
        <v>1707</v>
      </c>
      <c r="H54" s="28">
        <v>79607</v>
      </c>
      <c r="I54" s="28">
        <v>0</v>
      </c>
      <c r="J54" s="28">
        <v>36</v>
      </c>
      <c r="L54" s="38">
        <v>1900</v>
      </c>
      <c r="M54" s="2">
        <v>85</v>
      </c>
      <c r="N54" s="2">
        <v>557</v>
      </c>
      <c r="O54" s="2">
        <v>129</v>
      </c>
      <c r="P54" s="2">
        <v>984</v>
      </c>
      <c r="Q54" s="2">
        <v>193</v>
      </c>
      <c r="R54" s="2">
        <v>37</v>
      </c>
      <c r="S54" s="2">
        <v>18</v>
      </c>
      <c r="T54" s="2">
        <v>1</v>
      </c>
      <c r="U54" s="2">
        <v>5</v>
      </c>
      <c r="V54" s="2">
        <v>8</v>
      </c>
      <c r="W54" s="2">
        <v>5</v>
      </c>
      <c r="X54" s="2">
        <v>2</v>
      </c>
    </row>
    <row r="55" spans="1:24" x14ac:dyDescent="0.35">
      <c r="A55">
        <v>1892</v>
      </c>
      <c r="B55">
        <v>82576</v>
      </c>
      <c r="C55">
        <v>61</v>
      </c>
      <c r="D55">
        <v>0</v>
      </c>
      <c r="E55" s="28">
        <v>7.8246575342465752</v>
      </c>
      <c r="F55" s="28"/>
      <c r="G55" s="28">
        <v>1699</v>
      </c>
      <c r="H55" s="28">
        <v>72025</v>
      </c>
      <c r="I55" s="28">
        <v>0</v>
      </c>
      <c r="J55" s="28">
        <v>58</v>
      </c>
      <c r="L55" s="37">
        <v>1892</v>
      </c>
      <c r="M55" s="3">
        <v>66</v>
      </c>
      <c r="N55" s="3">
        <v>1206</v>
      </c>
      <c r="O55" s="3">
        <v>55</v>
      </c>
      <c r="P55" s="3">
        <v>445</v>
      </c>
      <c r="Q55" s="3">
        <v>168</v>
      </c>
      <c r="R55" s="3">
        <v>18</v>
      </c>
      <c r="S55" s="3">
        <v>18</v>
      </c>
      <c r="T55" s="3">
        <v>1</v>
      </c>
      <c r="U55" s="3">
        <v>2</v>
      </c>
      <c r="V55" s="3">
        <v>4</v>
      </c>
      <c r="W55" s="3">
        <v>12</v>
      </c>
      <c r="X55" s="3">
        <v>1</v>
      </c>
    </row>
    <row r="56" spans="1:24" x14ac:dyDescent="0.35">
      <c r="A56">
        <v>1889</v>
      </c>
      <c r="B56">
        <v>78687</v>
      </c>
      <c r="C56">
        <v>37</v>
      </c>
      <c r="D56">
        <v>0</v>
      </c>
      <c r="E56" s="28">
        <v>7.8027397260273972</v>
      </c>
      <c r="F56" s="28"/>
      <c r="G56" s="28">
        <v>1698</v>
      </c>
      <c r="H56" s="28">
        <v>72190</v>
      </c>
      <c r="I56" s="28">
        <v>0</v>
      </c>
      <c r="J56" s="28">
        <v>55</v>
      </c>
      <c r="L56" s="38">
        <v>1889</v>
      </c>
      <c r="M56" s="2">
        <v>13</v>
      </c>
      <c r="N56" s="2">
        <v>817</v>
      </c>
      <c r="O56" s="2">
        <v>185</v>
      </c>
      <c r="P56" s="2">
        <v>687</v>
      </c>
      <c r="Q56" s="2">
        <v>145</v>
      </c>
      <c r="R56" s="2">
        <v>55</v>
      </c>
      <c r="S56" s="2">
        <v>241</v>
      </c>
      <c r="T56" s="2">
        <v>1</v>
      </c>
      <c r="U56" s="2">
        <v>4</v>
      </c>
      <c r="V56" s="2">
        <v>6</v>
      </c>
      <c r="W56" s="2">
        <v>8</v>
      </c>
      <c r="X56" s="2">
        <v>2</v>
      </c>
    </row>
    <row r="57" spans="1:24" x14ac:dyDescent="0.35">
      <c r="A57">
        <v>1889</v>
      </c>
      <c r="B57">
        <v>82072</v>
      </c>
      <c r="C57">
        <v>50</v>
      </c>
      <c r="D57">
        <v>0</v>
      </c>
      <c r="E57" s="28">
        <v>6.9068493150684933</v>
      </c>
      <c r="F57" s="28"/>
      <c r="G57" s="28">
        <v>1694</v>
      </c>
      <c r="H57" s="28">
        <v>92955</v>
      </c>
      <c r="I57" s="28">
        <v>0</v>
      </c>
      <c r="J57" s="28">
        <v>47</v>
      </c>
      <c r="L57" s="37">
        <v>1889</v>
      </c>
      <c r="M57" s="3">
        <v>67</v>
      </c>
      <c r="N57" s="3">
        <v>889</v>
      </c>
      <c r="O57" s="3">
        <v>55</v>
      </c>
      <c r="P57" s="3">
        <v>685</v>
      </c>
      <c r="Q57" s="3">
        <v>168</v>
      </c>
      <c r="R57" s="3">
        <v>92</v>
      </c>
      <c r="S57" s="3">
        <v>129</v>
      </c>
      <c r="T57" s="3">
        <v>1</v>
      </c>
      <c r="U57" s="3">
        <v>3</v>
      </c>
      <c r="V57" s="3">
        <v>2</v>
      </c>
      <c r="W57" s="3">
        <v>13</v>
      </c>
      <c r="X57" s="3">
        <v>1</v>
      </c>
    </row>
    <row r="58" spans="1:24" x14ac:dyDescent="0.35">
      <c r="A58">
        <v>1886</v>
      </c>
      <c r="B58">
        <v>74116</v>
      </c>
      <c r="C58">
        <v>38</v>
      </c>
      <c r="D58">
        <v>0</v>
      </c>
      <c r="E58" s="28">
        <v>6.4109589041095889</v>
      </c>
      <c r="F58" s="28"/>
      <c r="G58" s="28">
        <v>1685</v>
      </c>
      <c r="H58" s="28">
        <v>74485</v>
      </c>
      <c r="I58" s="28">
        <v>0</v>
      </c>
      <c r="J58" s="28">
        <v>73</v>
      </c>
      <c r="L58" s="38">
        <v>1886</v>
      </c>
      <c r="M58" s="2">
        <v>53</v>
      </c>
      <c r="N58" s="2">
        <v>871</v>
      </c>
      <c r="O58" s="2">
        <v>111</v>
      </c>
      <c r="P58" s="2">
        <v>704</v>
      </c>
      <c r="Q58" s="2">
        <v>145</v>
      </c>
      <c r="R58" s="2">
        <v>55</v>
      </c>
      <c r="S58" s="2">
        <v>166</v>
      </c>
      <c r="T58" s="2">
        <v>1</v>
      </c>
      <c r="U58" s="2">
        <v>4</v>
      </c>
      <c r="V58" s="2">
        <v>4</v>
      </c>
      <c r="W58" s="2">
        <v>10</v>
      </c>
      <c r="X58" s="2">
        <v>2</v>
      </c>
    </row>
    <row r="59" spans="1:24" x14ac:dyDescent="0.35">
      <c r="A59">
        <v>1884</v>
      </c>
      <c r="B59">
        <v>75702</v>
      </c>
      <c r="C59">
        <v>46</v>
      </c>
      <c r="D59">
        <v>1</v>
      </c>
      <c r="E59" s="28">
        <v>7.6219178082191785</v>
      </c>
      <c r="F59" s="28"/>
      <c r="G59" s="28">
        <v>1682</v>
      </c>
      <c r="H59" s="28">
        <v>77870</v>
      </c>
      <c r="I59" s="28">
        <v>1</v>
      </c>
      <c r="J59" s="28">
        <v>53</v>
      </c>
      <c r="L59" s="37">
        <v>1884</v>
      </c>
      <c r="M59" s="3">
        <v>87</v>
      </c>
      <c r="N59" s="3">
        <v>1073</v>
      </c>
      <c r="O59" s="3">
        <v>0</v>
      </c>
      <c r="P59" s="3">
        <v>629</v>
      </c>
      <c r="Q59" s="3">
        <v>145</v>
      </c>
      <c r="R59" s="3">
        <v>37</v>
      </c>
      <c r="S59" s="3">
        <v>37</v>
      </c>
      <c r="T59" s="3">
        <v>1</v>
      </c>
      <c r="U59" s="3">
        <v>10</v>
      </c>
      <c r="V59" s="3">
        <v>5</v>
      </c>
      <c r="W59" s="3">
        <v>13</v>
      </c>
      <c r="X59" s="3">
        <v>6</v>
      </c>
    </row>
    <row r="60" spans="1:24" x14ac:dyDescent="0.35">
      <c r="A60">
        <v>1881</v>
      </c>
      <c r="B60">
        <v>95169</v>
      </c>
      <c r="C60">
        <v>33</v>
      </c>
      <c r="D60">
        <v>0</v>
      </c>
      <c r="E60" s="28">
        <v>6.6356164383561644</v>
      </c>
      <c r="F60" s="28"/>
      <c r="G60" s="28">
        <v>1681</v>
      </c>
      <c r="H60" s="28">
        <v>90300</v>
      </c>
      <c r="I60" s="28">
        <v>0</v>
      </c>
      <c r="J60" s="28">
        <v>41</v>
      </c>
      <c r="L60" s="38">
        <v>1881</v>
      </c>
      <c r="M60" s="2">
        <v>1</v>
      </c>
      <c r="N60" s="2">
        <v>1285</v>
      </c>
      <c r="O60" s="2">
        <v>21</v>
      </c>
      <c r="P60" s="2">
        <v>449</v>
      </c>
      <c r="Q60" s="2">
        <v>106</v>
      </c>
      <c r="R60" s="2">
        <v>20</v>
      </c>
      <c r="S60" s="2">
        <v>20</v>
      </c>
      <c r="T60" s="2">
        <v>1</v>
      </c>
      <c r="U60" s="2">
        <v>4</v>
      </c>
      <c r="V60" s="2">
        <v>3</v>
      </c>
      <c r="W60" s="2">
        <v>4</v>
      </c>
      <c r="X60" s="2">
        <v>1</v>
      </c>
    </row>
    <row r="61" spans="1:24" x14ac:dyDescent="0.35">
      <c r="A61">
        <v>1880</v>
      </c>
      <c r="B61">
        <v>90273</v>
      </c>
      <c r="C61">
        <v>29</v>
      </c>
      <c r="D61">
        <v>0</v>
      </c>
      <c r="E61" s="28">
        <v>6.4547945205479449</v>
      </c>
      <c r="F61" s="28"/>
      <c r="G61" s="28">
        <v>1678</v>
      </c>
      <c r="H61" s="28">
        <v>74214</v>
      </c>
      <c r="I61" s="28">
        <v>0</v>
      </c>
      <c r="J61" s="28">
        <v>30</v>
      </c>
      <c r="L61" s="37">
        <v>1880</v>
      </c>
      <c r="M61" s="3">
        <v>32</v>
      </c>
      <c r="N61" s="3">
        <v>704</v>
      </c>
      <c r="O61" s="3">
        <v>129</v>
      </c>
      <c r="P61" s="3">
        <v>853</v>
      </c>
      <c r="Q61" s="3">
        <v>120</v>
      </c>
      <c r="R61" s="3">
        <v>74</v>
      </c>
      <c r="S61" s="3">
        <v>111</v>
      </c>
      <c r="T61" s="3">
        <v>1</v>
      </c>
      <c r="U61" s="3">
        <v>5</v>
      </c>
      <c r="V61" s="3">
        <v>6</v>
      </c>
      <c r="W61" s="3">
        <v>7</v>
      </c>
      <c r="X61" s="3">
        <v>2</v>
      </c>
    </row>
    <row r="62" spans="1:24" x14ac:dyDescent="0.35">
      <c r="A62">
        <v>1879</v>
      </c>
      <c r="B62">
        <v>81205</v>
      </c>
      <c r="C62">
        <v>50</v>
      </c>
      <c r="D62">
        <v>0</v>
      </c>
      <c r="E62" s="28">
        <v>6.3726027397260276</v>
      </c>
      <c r="F62" s="28"/>
      <c r="G62" s="28">
        <v>1673</v>
      </c>
      <c r="H62" s="28">
        <v>70356</v>
      </c>
      <c r="I62" s="28">
        <v>0</v>
      </c>
      <c r="J62" s="28">
        <v>75</v>
      </c>
      <c r="L62" s="38">
        <v>1879</v>
      </c>
      <c r="M62" s="2">
        <v>43</v>
      </c>
      <c r="N62" s="2">
        <v>724</v>
      </c>
      <c r="O62" s="2">
        <v>74</v>
      </c>
      <c r="P62" s="2">
        <v>929</v>
      </c>
      <c r="Q62" s="2">
        <v>97</v>
      </c>
      <c r="R62" s="2">
        <v>55</v>
      </c>
      <c r="S62" s="2">
        <v>130</v>
      </c>
      <c r="T62" s="2">
        <v>1</v>
      </c>
      <c r="U62" s="2">
        <v>5</v>
      </c>
      <c r="V62" s="2">
        <v>6</v>
      </c>
      <c r="W62" s="2">
        <v>7</v>
      </c>
      <c r="X62" s="2">
        <v>2</v>
      </c>
    </row>
    <row r="63" spans="1:24" x14ac:dyDescent="0.35">
      <c r="A63">
        <v>1872</v>
      </c>
      <c r="B63">
        <v>75251</v>
      </c>
      <c r="C63">
        <v>48</v>
      </c>
      <c r="D63">
        <v>0</v>
      </c>
      <c r="E63" s="28">
        <v>7.7534246575342465</v>
      </c>
      <c r="F63" s="28"/>
      <c r="G63" s="28">
        <v>1672</v>
      </c>
      <c r="H63" s="28">
        <v>84618</v>
      </c>
      <c r="I63" s="28">
        <v>0</v>
      </c>
      <c r="J63" s="28">
        <v>55</v>
      </c>
      <c r="L63" s="37">
        <v>1872</v>
      </c>
      <c r="M63" s="3">
        <v>34</v>
      </c>
      <c r="N63" s="3">
        <v>721</v>
      </c>
      <c r="O63" s="3">
        <v>111</v>
      </c>
      <c r="P63" s="3">
        <v>925</v>
      </c>
      <c r="Q63" s="3">
        <v>97</v>
      </c>
      <c r="R63" s="3">
        <v>18</v>
      </c>
      <c r="S63" s="3">
        <v>18</v>
      </c>
      <c r="T63" s="3">
        <v>1</v>
      </c>
      <c r="U63" s="3">
        <v>7</v>
      </c>
      <c r="V63" s="3">
        <v>6</v>
      </c>
      <c r="W63" s="3">
        <v>5</v>
      </c>
      <c r="X63" s="3">
        <v>5</v>
      </c>
    </row>
    <row r="64" spans="1:24" x14ac:dyDescent="0.35">
      <c r="A64">
        <v>1872</v>
      </c>
      <c r="B64">
        <v>85606</v>
      </c>
      <c r="C64">
        <v>44</v>
      </c>
      <c r="D64">
        <v>1</v>
      </c>
      <c r="E64" s="28">
        <v>7.5424657534246577</v>
      </c>
      <c r="F64" s="28"/>
      <c r="G64" s="28">
        <v>1664</v>
      </c>
      <c r="H64" s="28">
        <v>77610</v>
      </c>
      <c r="I64" s="28">
        <v>1</v>
      </c>
      <c r="J64" s="28">
        <v>68</v>
      </c>
      <c r="L64" s="38">
        <v>1872</v>
      </c>
      <c r="M64" s="2">
        <v>89</v>
      </c>
      <c r="N64" s="2">
        <v>717</v>
      </c>
      <c r="O64" s="2">
        <v>42</v>
      </c>
      <c r="P64" s="2">
        <v>864</v>
      </c>
      <c r="Q64" s="2">
        <v>219</v>
      </c>
      <c r="R64" s="2">
        <v>30</v>
      </c>
      <c r="S64" s="2">
        <v>84</v>
      </c>
      <c r="T64" s="2">
        <v>2</v>
      </c>
      <c r="U64" s="2">
        <v>6</v>
      </c>
      <c r="V64" s="2">
        <v>7</v>
      </c>
      <c r="W64" s="2">
        <v>9</v>
      </c>
      <c r="X64" s="2">
        <v>3</v>
      </c>
    </row>
    <row r="65" spans="1:24" x14ac:dyDescent="0.35">
      <c r="A65">
        <v>1871</v>
      </c>
      <c r="B65">
        <v>82170</v>
      </c>
      <c r="C65">
        <v>42</v>
      </c>
      <c r="D65">
        <v>0</v>
      </c>
      <c r="E65" s="28">
        <v>6.506849315068493</v>
      </c>
      <c r="F65" s="28"/>
      <c r="G65" s="28">
        <v>1661</v>
      </c>
      <c r="H65" s="28">
        <v>79908</v>
      </c>
      <c r="I65" s="28">
        <v>0</v>
      </c>
      <c r="J65" s="28">
        <v>38</v>
      </c>
      <c r="L65" s="37">
        <v>1871</v>
      </c>
      <c r="M65" s="3">
        <v>13</v>
      </c>
      <c r="N65" s="3">
        <v>1023</v>
      </c>
      <c r="O65" s="3">
        <v>93</v>
      </c>
      <c r="P65" s="3">
        <v>651</v>
      </c>
      <c r="Q65" s="3">
        <v>49</v>
      </c>
      <c r="R65" s="3">
        <v>55</v>
      </c>
      <c r="S65" s="3">
        <v>37</v>
      </c>
      <c r="T65" s="3">
        <v>1</v>
      </c>
      <c r="U65" s="3">
        <v>5</v>
      </c>
      <c r="V65" s="3">
        <v>6</v>
      </c>
      <c r="W65" s="3">
        <v>7</v>
      </c>
      <c r="X65" s="3">
        <v>2</v>
      </c>
    </row>
    <row r="66" spans="1:24" x14ac:dyDescent="0.35">
      <c r="A66">
        <v>1869</v>
      </c>
      <c r="B66">
        <v>89120</v>
      </c>
      <c r="C66">
        <v>61</v>
      </c>
      <c r="D66">
        <v>0</v>
      </c>
      <c r="E66" s="28">
        <v>6.2</v>
      </c>
      <c r="F66" s="28"/>
      <c r="G66" s="28">
        <v>1645</v>
      </c>
      <c r="H66" s="28">
        <v>64509</v>
      </c>
      <c r="I66" s="28">
        <v>0</v>
      </c>
      <c r="J66" s="28">
        <v>30</v>
      </c>
      <c r="L66" s="38">
        <v>1869</v>
      </c>
      <c r="M66" s="2">
        <v>78</v>
      </c>
      <c r="N66" s="2">
        <v>1168</v>
      </c>
      <c r="O66" s="2">
        <v>92</v>
      </c>
      <c r="P66" s="2">
        <v>408</v>
      </c>
      <c r="Q66" s="2">
        <v>72</v>
      </c>
      <c r="R66" s="2">
        <v>129</v>
      </c>
      <c r="S66" s="2">
        <v>55</v>
      </c>
      <c r="T66" s="2">
        <v>1</v>
      </c>
      <c r="U66" s="2">
        <v>5</v>
      </c>
      <c r="V66" s="2">
        <v>6</v>
      </c>
      <c r="W66" s="2">
        <v>7</v>
      </c>
      <c r="X66" s="2">
        <v>1</v>
      </c>
    </row>
    <row r="67" spans="1:24" x14ac:dyDescent="0.35">
      <c r="A67">
        <v>1868</v>
      </c>
      <c r="B67">
        <v>87188</v>
      </c>
      <c r="C67">
        <v>37</v>
      </c>
      <c r="D67">
        <v>0</v>
      </c>
      <c r="E67" s="28">
        <v>6.9863013698630141</v>
      </c>
      <c r="F67" s="28"/>
      <c r="G67" s="28">
        <v>1644</v>
      </c>
      <c r="H67" s="28">
        <v>80812</v>
      </c>
      <c r="I67" s="28">
        <v>0</v>
      </c>
      <c r="J67" s="28">
        <v>67</v>
      </c>
      <c r="L67" s="37">
        <v>1868</v>
      </c>
      <c r="M67" s="3">
        <v>73</v>
      </c>
      <c r="N67" s="3">
        <v>910</v>
      </c>
      <c r="O67" s="3">
        <v>111</v>
      </c>
      <c r="P67" s="3">
        <v>724</v>
      </c>
      <c r="Q67" s="3">
        <v>49</v>
      </c>
      <c r="R67" s="3">
        <v>74</v>
      </c>
      <c r="S67" s="3">
        <v>55</v>
      </c>
      <c r="T67" s="3">
        <v>1</v>
      </c>
      <c r="U67" s="3">
        <v>10</v>
      </c>
      <c r="V67" s="3">
        <v>2</v>
      </c>
      <c r="W67" s="3">
        <v>6</v>
      </c>
      <c r="X67" s="3">
        <v>3</v>
      </c>
    </row>
    <row r="68" spans="1:24" x14ac:dyDescent="0.35">
      <c r="A68">
        <v>1868</v>
      </c>
      <c r="B68">
        <v>81929</v>
      </c>
      <c r="C68">
        <v>44</v>
      </c>
      <c r="D68">
        <v>1</v>
      </c>
      <c r="E68" s="28">
        <v>7.6630136986301371</v>
      </c>
      <c r="F68" s="28"/>
      <c r="G68" s="28">
        <v>1641</v>
      </c>
      <c r="H68" s="28">
        <v>78569</v>
      </c>
      <c r="I68" s="28">
        <v>0</v>
      </c>
      <c r="J68" s="28">
        <v>74</v>
      </c>
      <c r="L68" s="38">
        <v>1868</v>
      </c>
      <c r="M68" s="2">
        <v>60</v>
      </c>
      <c r="N68" s="2">
        <v>1486</v>
      </c>
      <c r="O68" s="2">
        <v>55</v>
      </c>
      <c r="P68" s="2">
        <v>278</v>
      </c>
      <c r="Q68" s="2">
        <v>49</v>
      </c>
      <c r="R68" s="2">
        <v>0</v>
      </c>
      <c r="S68" s="2">
        <v>185</v>
      </c>
      <c r="T68" s="2">
        <v>2</v>
      </c>
      <c r="U68" s="2">
        <v>4</v>
      </c>
      <c r="V68" s="2">
        <v>4</v>
      </c>
      <c r="W68" s="2">
        <v>10</v>
      </c>
      <c r="X68" s="2">
        <v>6</v>
      </c>
    </row>
    <row r="69" spans="1:24" x14ac:dyDescent="0.35">
      <c r="A69">
        <v>1835</v>
      </c>
      <c r="B69">
        <v>83829</v>
      </c>
      <c r="C69">
        <v>45</v>
      </c>
      <c r="D69">
        <v>0</v>
      </c>
      <c r="E69" s="28">
        <v>6.6383561643835618</v>
      </c>
      <c r="F69" s="28"/>
      <c r="G69" s="28">
        <v>1634</v>
      </c>
      <c r="H69" s="28">
        <v>75794</v>
      </c>
      <c r="I69" s="28">
        <v>0</v>
      </c>
      <c r="J69" s="28">
        <v>33</v>
      </c>
      <c r="L69" s="37">
        <v>1835</v>
      </c>
      <c r="M69" s="3">
        <v>78</v>
      </c>
      <c r="N69" s="3">
        <v>897</v>
      </c>
      <c r="O69" s="3">
        <v>161</v>
      </c>
      <c r="P69" s="3">
        <v>430</v>
      </c>
      <c r="Q69" s="3">
        <v>186</v>
      </c>
      <c r="R69" s="3">
        <v>161</v>
      </c>
      <c r="S69" s="3">
        <v>27</v>
      </c>
      <c r="T69" s="3">
        <v>0</v>
      </c>
      <c r="U69" s="3">
        <v>4</v>
      </c>
      <c r="V69" s="3">
        <v>7</v>
      </c>
      <c r="W69" s="3">
        <v>6</v>
      </c>
      <c r="X69" s="3">
        <v>1</v>
      </c>
    </row>
    <row r="70" spans="1:24" x14ac:dyDescent="0.35">
      <c r="A70">
        <v>1809</v>
      </c>
      <c r="B70">
        <v>80427</v>
      </c>
      <c r="C70">
        <v>45</v>
      </c>
      <c r="D70">
        <v>1</v>
      </c>
      <c r="E70" s="28">
        <v>7.7095890410958905</v>
      </c>
      <c r="F70" s="28"/>
      <c r="G70" s="28">
        <v>1634</v>
      </c>
      <c r="H70" s="28">
        <v>74637</v>
      </c>
      <c r="I70" s="28">
        <v>0</v>
      </c>
      <c r="J70" s="28">
        <v>66</v>
      </c>
      <c r="L70" s="38">
        <v>1809</v>
      </c>
      <c r="M70" s="2">
        <v>56</v>
      </c>
      <c r="N70" s="2">
        <v>1149</v>
      </c>
      <c r="O70" s="2">
        <v>71</v>
      </c>
      <c r="P70" s="2">
        <v>449</v>
      </c>
      <c r="Q70" s="2">
        <v>69</v>
      </c>
      <c r="R70" s="2">
        <v>71</v>
      </c>
      <c r="S70" s="2">
        <v>26</v>
      </c>
      <c r="T70" s="2">
        <v>1</v>
      </c>
      <c r="U70" s="2">
        <v>11</v>
      </c>
      <c r="V70" s="2">
        <v>8</v>
      </c>
      <c r="W70" s="2">
        <v>8</v>
      </c>
      <c r="X70" s="2">
        <v>5</v>
      </c>
    </row>
    <row r="71" spans="1:24" x14ac:dyDescent="0.35">
      <c r="A71">
        <v>1808</v>
      </c>
      <c r="B71">
        <v>70971</v>
      </c>
      <c r="C71">
        <v>60</v>
      </c>
      <c r="D71">
        <v>1</v>
      </c>
      <c r="E71" s="28">
        <v>7.6849315068493151</v>
      </c>
      <c r="F71" s="28"/>
      <c r="G71" s="28">
        <v>1629</v>
      </c>
      <c r="H71" s="28">
        <v>89616</v>
      </c>
      <c r="I71" s="28">
        <v>0</v>
      </c>
      <c r="J71" s="28">
        <v>37</v>
      </c>
      <c r="L71" s="37">
        <v>1808</v>
      </c>
      <c r="M71" s="3">
        <v>28</v>
      </c>
      <c r="N71" s="3">
        <v>1001</v>
      </c>
      <c r="O71" s="3">
        <v>17</v>
      </c>
      <c r="P71" s="3">
        <v>572</v>
      </c>
      <c r="Q71" s="3">
        <v>93</v>
      </c>
      <c r="R71" s="3">
        <v>125</v>
      </c>
      <c r="S71" s="3">
        <v>17</v>
      </c>
      <c r="T71" s="3">
        <v>7</v>
      </c>
      <c r="U71" s="3">
        <v>11</v>
      </c>
      <c r="V71" s="3">
        <v>11</v>
      </c>
      <c r="W71" s="3">
        <v>5</v>
      </c>
      <c r="X71" s="3">
        <v>7</v>
      </c>
    </row>
    <row r="72" spans="1:24" x14ac:dyDescent="0.35">
      <c r="A72">
        <v>1805</v>
      </c>
      <c r="B72">
        <v>82333</v>
      </c>
      <c r="C72">
        <v>34</v>
      </c>
      <c r="D72">
        <v>0</v>
      </c>
      <c r="E72" s="28">
        <v>7.1643835616438354</v>
      </c>
      <c r="F72" s="28"/>
      <c r="G72" s="28">
        <v>1614</v>
      </c>
      <c r="H72" s="28">
        <v>68281</v>
      </c>
      <c r="I72" s="28">
        <v>0</v>
      </c>
      <c r="J72" s="28">
        <v>62</v>
      </c>
      <c r="L72" s="38">
        <v>1805</v>
      </c>
      <c r="M72" s="2">
        <v>60</v>
      </c>
      <c r="N72" s="2">
        <v>1311</v>
      </c>
      <c r="O72" s="2">
        <v>0</v>
      </c>
      <c r="P72" s="2">
        <v>359</v>
      </c>
      <c r="Q72" s="2">
        <v>46</v>
      </c>
      <c r="R72" s="2">
        <v>89</v>
      </c>
      <c r="S72" s="2">
        <v>17</v>
      </c>
      <c r="T72" s="2">
        <v>1</v>
      </c>
      <c r="U72" s="2">
        <v>4</v>
      </c>
      <c r="V72" s="2">
        <v>3</v>
      </c>
      <c r="W72" s="2">
        <v>10</v>
      </c>
      <c r="X72" s="2">
        <v>2</v>
      </c>
    </row>
    <row r="73" spans="1:24" x14ac:dyDescent="0.35">
      <c r="A73">
        <v>1803</v>
      </c>
      <c r="B73">
        <v>76998</v>
      </c>
      <c r="C73">
        <v>65</v>
      </c>
      <c r="D73">
        <v>1</v>
      </c>
      <c r="E73" s="28">
        <v>7.3780821917808215</v>
      </c>
      <c r="F73" s="28"/>
      <c r="G73" s="28">
        <v>1612</v>
      </c>
      <c r="H73" s="28">
        <v>64497</v>
      </c>
      <c r="I73" s="28">
        <v>1</v>
      </c>
      <c r="J73" s="28">
        <v>66</v>
      </c>
      <c r="L73" s="37">
        <v>1803</v>
      </c>
      <c r="M73" s="3">
        <v>85</v>
      </c>
      <c r="N73" s="3">
        <v>1449</v>
      </c>
      <c r="O73" s="3">
        <v>89</v>
      </c>
      <c r="P73" s="3">
        <v>161</v>
      </c>
      <c r="Q73" s="3">
        <v>69</v>
      </c>
      <c r="R73" s="3">
        <v>35</v>
      </c>
      <c r="S73" s="3">
        <v>107</v>
      </c>
      <c r="T73" s="3">
        <v>2</v>
      </c>
      <c r="U73" s="3">
        <v>11</v>
      </c>
      <c r="V73" s="3">
        <v>8</v>
      </c>
      <c r="W73" s="3">
        <v>8</v>
      </c>
      <c r="X73" s="3">
        <v>6</v>
      </c>
    </row>
    <row r="74" spans="1:24" x14ac:dyDescent="0.35">
      <c r="A74">
        <v>1799</v>
      </c>
      <c r="B74">
        <v>78642</v>
      </c>
      <c r="C74">
        <v>49</v>
      </c>
      <c r="D74">
        <v>1</v>
      </c>
      <c r="E74" s="28">
        <v>7.1041095890410961</v>
      </c>
      <c r="F74" s="28"/>
      <c r="G74" s="28">
        <v>1610</v>
      </c>
      <c r="H74" s="28">
        <v>80134</v>
      </c>
      <c r="I74" s="28">
        <v>1</v>
      </c>
      <c r="J74" s="28">
        <v>48</v>
      </c>
      <c r="L74" s="38">
        <v>1799</v>
      </c>
      <c r="M74" s="2">
        <v>83</v>
      </c>
      <c r="N74" s="2">
        <v>1396</v>
      </c>
      <c r="O74" s="2">
        <v>0</v>
      </c>
      <c r="P74" s="2">
        <v>322</v>
      </c>
      <c r="Q74" s="2">
        <v>46</v>
      </c>
      <c r="R74" s="2">
        <v>35</v>
      </c>
      <c r="S74" s="2">
        <v>17</v>
      </c>
      <c r="T74" s="2">
        <v>1</v>
      </c>
      <c r="U74" s="2">
        <v>4</v>
      </c>
      <c r="V74" s="2">
        <v>9</v>
      </c>
      <c r="W74" s="2">
        <v>4</v>
      </c>
      <c r="X74" s="2">
        <v>6</v>
      </c>
    </row>
    <row r="75" spans="1:24" x14ac:dyDescent="0.35">
      <c r="A75">
        <v>1798</v>
      </c>
      <c r="B75">
        <v>81574</v>
      </c>
      <c r="C75">
        <v>73</v>
      </c>
      <c r="D75">
        <v>0</v>
      </c>
      <c r="E75" s="28">
        <v>6.0849315068493155</v>
      </c>
      <c r="F75" s="28"/>
      <c r="G75" s="28">
        <v>1606</v>
      </c>
      <c r="H75" s="28">
        <v>90933</v>
      </c>
      <c r="I75" s="28">
        <v>0</v>
      </c>
      <c r="J75" s="28">
        <v>66</v>
      </c>
      <c r="L75" s="37">
        <v>1798</v>
      </c>
      <c r="M75" s="3">
        <v>89</v>
      </c>
      <c r="N75" s="3">
        <v>1252</v>
      </c>
      <c r="O75" s="3">
        <v>0</v>
      </c>
      <c r="P75" s="3">
        <v>465</v>
      </c>
      <c r="Q75" s="3">
        <v>46</v>
      </c>
      <c r="R75" s="3">
        <v>35</v>
      </c>
      <c r="S75" s="3">
        <v>0</v>
      </c>
      <c r="T75" s="3">
        <v>1</v>
      </c>
      <c r="U75" s="3">
        <v>4</v>
      </c>
      <c r="V75" s="3">
        <v>5</v>
      </c>
      <c r="W75" s="3">
        <v>8</v>
      </c>
      <c r="X75" s="3">
        <v>1</v>
      </c>
    </row>
    <row r="76" spans="1:24" x14ac:dyDescent="0.35">
      <c r="A76">
        <v>1795</v>
      </c>
      <c r="B76">
        <v>70643</v>
      </c>
      <c r="C76">
        <v>36</v>
      </c>
      <c r="D76">
        <v>0</v>
      </c>
      <c r="E76" s="28">
        <v>7.6191780821917812</v>
      </c>
      <c r="F76" s="28"/>
      <c r="G76" s="28">
        <v>1601</v>
      </c>
      <c r="H76" s="28">
        <v>93404</v>
      </c>
      <c r="I76" s="28">
        <v>1</v>
      </c>
      <c r="J76" s="28">
        <v>66</v>
      </c>
      <c r="L76" s="38">
        <v>1795</v>
      </c>
      <c r="M76" s="2">
        <v>66</v>
      </c>
      <c r="N76" s="2">
        <v>1218</v>
      </c>
      <c r="O76" s="2">
        <v>107</v>
      </c>
      <c r="P76" s="2">
        <v>304</v>
      </c>
      <c r="Q76" s="2">
        <v>23</v>
      </c>
      <c r="R76" s="2">
        <v>143</v>
      </c>
      <c r="S76" s="2">
        <v>33</v>
      </c>
      <c r="T76" s="2">
        <v>1</v>
      </c>
      <c r="U76" s="2">
        <v>5</v>
      </c>
      <c r="V76" s="2">
        <v>8</v>
      </c>
      <c r="W76" s="2">
        <v>4</v>
      </c>
      <c r="X76" s="2">
        <v>6</v>
      </c>
    </row>
    <row r="77" spans="1:24" x14ac:dyDescent="0.35">
      <c r="A77">
        <v>1794</v>
      </c>
      <c r="B77">
        <v>67536</v>
      </c>
      <c r="C77">
        <v>50</v>
      </c>
      <c r="D77">
        <v>1</v>
      </c>
      <c r="E77" s="28">
        <v>7.0191780821917806</v>
      </c>
      <c r="F77" s="28"/>
      <c r="G77" s="28">
        <v>1600</v>
      </c>
      <c r="H77" s="28">
        <v>79419</v>
      </c>
      <c r="I77" s="28">
        <v>0</v>
      </c>
      <c r="J77" s="28">
        <v>50</v>
      </c>
      <c r="L77" s="37">
        <v>1794</v>
      </c>
      <c r="M77" s="3">
        <v>45</v>
      </c>
      <c r="N77" s="3">
        <v>1253</v>
      </c>
      <c r="O77" s="3">
        <v>0</v>
      </c>
      <c r="P77" s="3">
        <v>447</v>
      </c>
      <c r="Q77" s="3">
        <v>23</v>
      </c>
      <c r="R77" s="3">
        <v>71</v>
      </c>
      <c r="S77" s="3">
        <v>35</v>
      </c>
      <c r="T77" s="3">
        <v>3</v>
      </c>
      <c r="U77" s="3">
        <v>11</v>
      </c>
      <c r="V77" s="3">
        <v>5</v>
      </c>
      <c r="W77" s="3">
        <v>11</v>
      </c>
      <c r="X77" s="3">
        <v>8</v>
      </c>
    </row>
    <row r="78" spans="1:24" x14ac:dyDescent="0.35">
      <c r="A78">
        <v>1792</v>
      </c>
      <c r="B78">
        <v>78427</v>
      </c>
      <c r="C78">
        <v>72</v>
      </c>
      <c r="D78">
        <v>0</v>
      </c>
      <c r="E78" s="28">
        <v>7.5945205479452058</v>
      </c>
      <c r="F78" s="28"/>
      <c r="G78" s="28">
        <v>1588</v>
      </c>
      <c r="H78" s="28">
        <v>73705</v>
      </c>
      <c r="I78" s="28">
        <v>1</v>
      </c>
      <c r="J78" s="28">
        <v>69</v>
      </c>
      <c r="L78" s="38">
        <v>1792</v>
      </c>
      <c r="M78" s="2">
        <v>36</v>
      </c>
      <c r="N78" s="2">
        <v>972</v>
      </c>
      <c r="O78" s="2">
        <v>19</v>
      </c>
      <c r="P78" s="2">
        <v>595</v>
      </c>
      <c r="Q78" s="2">
        <v>180</v>
      </c>
      <c r="R78" s="2">
        <v>26</v>
      </c>
      <c r="S78" s="2">
        <v>138</v>
      </c>
      <c r="T78" s="2">
        <v>3</v>
      </c>
      <c r="U78" s="2">
        <v>3</v>
      </c>
      <c r="V78" s="2">
        <v>7</v>
      </c>
      <c r="W78" s="2">
        <v>10</v>
      </c>
      <c r="X78" s="2">
        <v>3</v>
      </c>
    </row>
    <row r="79" spans="1:24" x14ac:dyDescent="0.35">
      <c r="A79">
        <v>1791</v>
      </c>
      <c r="B79">
        <v>76412</v>
      </c>
      <c r="C79">
        <v>40</v>
      </c>
      <c r="D79">
        <v>0</v>
      </c>
      <c r="E79" s="28">
        <v>7.065753424657534</v>
      </c>
      <c r="F79" s="28"/>
      <c r="G79" s="28">
        <v>1584</v>
      </c>
      <c r="H79" s="28">
        <v>71128</v>
      </c>
      <c r="I79" s="28">
        <v>1</v>
      </c>
      <c r="J79" s="28">
        <v>47</v>
      </c>
      <c r="L79" s="37">
        <v>1791</v>
      </c>
      <c r="M79" s="3">
        <v>15</v>
      </c>
      <c r="N79" s="3">
        <v>840</v>
      </c>
      <c r="O79" s="3">
        <v>53</v>
      </c>
      <c r="P79" s="3">
        <v>804</v>
      </c>
      <c r="Q79" s="3">
        <v>23</v>
      </c>
      <c r="R79" s="3">
        <v>71</v>
      </c>
      <c r="S79" s="3">
        <v>17</v>
      </c>
      <c r="T79" s="3">
        <v>1</v>
      </c>
      <c r="U79" s="3">
        <v>5</v>
      </c>
      <c r="V79" s="3">
        <v>4</v>
      </c>
      <c r="W79" s="3">
        <v>8</v>
      </c>
      <c r="X79" s="3">
        <v>3</v>
      </c>
    </row>
    <row r="80" spans="1:24" x14ac:dyDescent="0.35">
      <c r="A80">
        <v>1790</v>
      </c>
      <c r="B80">
        <v>82347</v>
      </c>
      <c r="C80">
        <v>63</v>
      </c>
      <c r="D80">
        <v>0</v>
      </c>
      <c r="E80" s="28">
        <v>7.558904109589041</v>
      </c>
      <c r="F80" s="28"/>
      <c r="G80" s="28">
        <v>1571</v>
      </c>
      <c r="H80" s="28">
        <v>90369</v>
      </c>
      <c r="I80" s="28">
        <v>0</v>
      </c>
      <c r="J80" s="28">
        <v>64</v>
      </c>
      <c r="L80" s="38">
        <v>1790</v>
      </c>
      <c r="M80" s="2">
        <v>38</v>
      </c>
      <c r="N80" s="2">
        <v>556</v>
      </c>
      <c r="O80" s="2">
        <v>54</v>
      </c>
      <c r="P80" s="2">
        <v>845</v>
      </c>
      <c r="Q80" s="2">
        <v>202</v>
      </c>
      <c r="R80" s="2">
        <v>133</v>
      </c>
      <c r="S80" s="2">
        <v>63</v>
      </c>
      <c r="T80" s="2">
        <v>1</v>
      </c>
      <c r="U80" s="2">
        <v>7</v>
      </c>
      <c r="V80" s="2">
        <v>7</v>
      </c>
      <c r="W80" s="2">
        <v>10</v>
      </c>
      <c r="X80" s="2">
        <v>3</v>
      </c>
    </row>
    <row r="81" spans="1:24" x14ac:dyDescent="0.35">
      <c r="A81">
        <v>1790</v>
      </c>
      <c r="B81">
        <v>82347</v>
      </c>
      <c r="C81">
        <v>63</v>
      </c>
      <c r="D81">
        <v>0</v>
      </c>
      <c r="E81" s="28">
        <v>7.558904109589041</v>
      </c>
      <c r="F81" s="28"/>
      <c r="G81" s="28">
        <v>1570</v>
      </c>
      <c r="H81" s="28">
        <v>88325</v>
      </c>
      <c r="I81" s="28">
        <v>0</v>
      </c>
      <c r="J81" s="28">
        <v>39</v>
      </c>
      <c r="L81" s="37">
        <v>1790</v>
      </c>
      <c r="M81" s="3">
        <v>38</v>
      </c>
      <c r="N81" s="3">
        <v>556</v>
      </c>
      <c r="O81" s="3">
        <v>54</v>
      </c>
      <c r="P81" s="3">
        <v>845</v>
      </c>
      <c r="Q81" s="3">
        <v>202</v>
      </c>
      <c r="R81" s="3">
        <v>133</v>
      </c>
      <c r="S81" s="3">
        <v>63</v>
      </c>
      <c r="T81" s="3">
        <v>1</v>
      </c>
      <c r="U81" s="3">
        <v>7</v>
      </c>
      <c r="V81" s="3">
        <v>7</v>
      </c>
      <c r="W81" s="3">
        <v>10</v>
      </c>
      <c r="X81" s="3">
        <v>3</v>
      </c>
    </row>
    <row r="82" spans="1:24" x14ac:dyDescent="0.35">
      <c r="A82">
        <v>1790</v>
      </c>
      <c r="B82">
        <v>81380</v>
      </c>
      <c r="C82">
        <v>53</v>
      </c>
      <c r="D82">
        <v>0</v>
      </c>
      <c r="E82" s="28">
        <v>7.4328767123287669</v>
      </c>
      <c r="F82" s="28"/>
      <c r="G82" s="28">
        <v>1555</v>
      </c>
      <c r="H82" s="28">
        <v>84906</v>
      </c>
      <c r="I82" s="28">
        <v>0</v>
      </c>
      <c r="J82" s="28">
        <v>48</v>
      </c>
      <c r="L82" s="38">
        <v>1790</v>
      </c>
      <c r="M82" s="2">
        <v>51</v>
      </c>
      <c r="N82" s="2">
        <v>741</v>
      </c>
      <c r="O82" s="2">
        <v>68</v>
      </c>
      <c r="P82" s="2">
        <v>689</v>
      </c>
      <c r="Q82" s="2">
        <v>224</v>
      </c>
      <c r="R82" s="2">
        <v>68</v>
      </c>
      <c r="S82" s="2">
        <v>103</v>
      </c>
      <c r="T82" s="2">
        <v>1</v>
      </c>
      <c r="U82" s="2">
        <v>4</v>
      </c>
      <c r="V82" s="2">
        <v>2</v>
      </c>
      <c r="W82" s="2">
        <v>10</v>
      </c>
      <c r="X82" s="2">
        <v>2</v>
      </c>
    </row>
    <row r="83" spans="1:24" x14ac:dyDescent="0.35">
      <c r="A83">
        <v>1784</v>
      </c>
      <c r="B83">
        <v>71964</v>
      </c>
      <c r="C83">
        <v>62</v>
      </c>
      <c r="D83">
        <v>0</v>
      </c>
      <c r="E83" s="28">
        <v>7.0246575342465754</v>
      </c>
      <c r="F83" s="28"/>
      <c r="G83" s="28">
        <v>1552</v>
      </c>
      <c r="H83" s="28">
        <v>83003</v>
      </c>
      <c r="I83" s="28">
        <v>0</v>
      </c>
      <c r="J83" s="28">
        <v>55</v>
      </c>
      <c r="L83" s="37">
        <v>1784</v>
      </c>
      <c r="M83" s="3">
        <v>81</v>
      </c>
      <c r="N83" s="3">
        <v>587</v>
      </c>
      <c r="O83" s="3">
        <v>51</v>
      </c>
      <c r="P83" s="3">
        <v>932</v>
      </c>
      <c r="Q83" s="3">
        <v>180</v>
      </c>
      <c r="R83" s="3">
        <v>34</v>
      </c>
      <c r="S83" s="3">
        <v>86</v>
      </c>
      <c r="T83" s="3">
        <v>1</v>
      </c>
      <c r="U83" s="3">
        <v>5</v>
      </c>
      <c r="V83" s="3">
        <v>6</v>
      </c>
      <c r="W83" s="3">
        <v>5</v>
      </c>
      <c r="X83" s="3">
        <v>3</v>
      </c>
    </row>
    <row r="84" spans="1:24" x14ac:dyDescent="0.35">
      <c r="A84">
        <v>1783</v>
      </c>
      <c r="B84">
        <v>74985</v>
      </c>
      <c r="C84">
        <v>43</v>
      </c>
      <c r="D84">
        <v>0</v>
      </c>
      <c r="E84" s="28">
        <v>7.7123287671232879</v>
      </c>
      <c r="F84" s="28"/>
      <c r="G84" s="28">
        <v>1551</v>
      </c>
      <c r="H84" s="28">
        <v>73538</v>
      </c>
      <c r="I84" s="28">
        <v>1</v>
      </c>
      <c r="J84" s="28">
        <v>55</v>
      </c>
      <c r="L84" s="38">
        <v>1783</v>
      </c>
      <c r="M84" s="2">
        <v>8</v>
      </c>
      <c r="N84" s="2">
        <v>587</v>
      </c>
      <c r="O84" s="2">
        <v>51</v>
      </c>
      <c r="P84" s="2">
        <v>898</v>
      </c>
      <c r="Q84" s="2">
        <v>247</v>
      </c>
      <c r="R84" s="2">
        <v>0</v>
      </c>
      <c r="S84" s="2">
        <v>86</v>
      </c>
      <c r="T84" s="2">
        <v>1</v>
      </c>
      <c r="U84" s="2">
        <v>3</v>
      </c>
      <c r="V84" s="2">
        <v>6</v>
      </c>
      <c r="W84" s="2">
        <v>7</v>
      </c>
      <c r="X84" s="2">
        <v>2</v>
      </c>
    </row>
    <row r="85" spans="1:24" x14ac:dyDescent="0.35">
      <c r="A85">
        <v>1780</v>
      </c>
      <c r="B85">
        <v>92344</v>
      </c>
      <c r="C85">
        <v>72</v>
      </c>
      <c r="D85">
        <v>0</v>
      </c>
      <c r="E85" s="28">
        <v>6.3671232876712329</v>
      </c>
      <c r="F85" s="28"/>
      <c r="G85" s="28">
        <v>1549</v>
      </c>
      <c r="H85" s="28">
        <v>80067</v>
      </c>
      <c r="I85" s="28">
        <v>0</v>
      </c>
      <c r="J85" s="28">
        <v>66</v>
      </c>
      <c r="L85" s="37">
        <v>1780</v>
      </c>
      <c r="M85" s="3">
        <v>9</v>
      </c>
      <c r="N85" s="3">
        <v>992</v>
      </c>
      <c r="O85" s="3">
        <v>24</v>
      </c>
      <c r="P85" s="3">
        <v>694</v>
      </c>
      <c r="Q85" s="3">
        <v>51</v>
      </c>
      <c r="R85" s="3">
        <v>19</v>
      </c>
      <c r="S85" s="3">
        <v>119</v>
      </c>
      <c r="T85" s="3">
        <v>0</v>
      </c>
      <c r="U85" s="3">
        <v>5</v>
      </c>
      <c r="V85" s="3">
        <v>10</v>
      </c>
      <c r="W85" s="3">
        <v>5</v>
      </c>
      <c r="X85" s="3">
        <v>1</v>
      </c>
    </row>
    <row r="86" spans="1:24" x14ac:dyDescent="0.35">
      <c r="A86">
        <v>1775</v>
      </c>
      <c r="B86">
        <v>61839</v>
      </c>
      <c r="C86">
        <v>56</v>
      </c>
      <c r="D86">
        <v>0</v>
      </c>
      <c r="E86" s="28">
        <v>7.7945205479452051</v>
      </c>
      <c r="F86" s="28"/>
      <c r="G86" s="28">
        <v>1549</v>
      </c>
      <c r="H86" s="28">
        <v>80573</v>
      </c>
      <c r="I86" s="28">
        <v>0</v>
      </c>
      <c r="J86" s="28">
        <v>49</v>
      </c>
      <c r="L86" s="38">
        <v>1775</v>
      </c>
      <c r="M86" s="2">
        <v>20</v>
      </c>
      <c r="N86" s="2">
        <v>1000</v>
      </c>
      <c r="O86" s="2">
        <v>155</v>
      </c>
      <c r="P86" s="2">
        <v>379</v>
      </c>
      <c r="Q86" s="2">
        <v>224</v>
      </c>
      <c r="R86" s="2">
        <v>17</v>
      </c>
      <c r="S86" s="2">
        <v>120</v>
      </c>
      <c r="T86" s="2">
        <v>1</v>
      </c>
      <c r="U86" s="2">
        <v>4</v>
      </c>
      <c r="V86" s="2">
        <v>8</v>
      </c>
      <c r="W86" s="2">
        <v>4</v>
      </c>
      <c r="X86" s="2">
        <v>8</v>
      </c>
    </row>
    <row r="87" spans="1:24" x14ac:dyDescent="0.35">
      <c r="A87">
        <v>1767</v>
      </c>
      <c r="B87">
        <v>82384</v>
      </c>
      <c r="C87">
        <v>65</v>
      </c>
      <c r="D87">
        <v>0</v>
      </c>
      <c r="E87" s="28">
        <v>7.5232876712328771</v>
      </c>
      <c r="F87" s="28"/>
      <c r="G87" s="28">
        <v>1548</v>
      </c>
      <c r="H87" s="28">
        <v>60896</v>
      </c>
      <c r="I87" s="28">
        <v>1</v>
      </c>
      <c r="J87" s="28">
        <v>56</v>
      </c>
      <c r="L87" s="37">
        <v>1767</v>
      </c>
      <c r="M87" s="3">
        <v>55</v>
      </c>
      <c r="N87" s="3">
        <v>984</v>
      </c>
      <c r="O87" s="3">
        <v>51</v>
      </c>
      <c r="P87" s="3">
        <v>432</v>
      </c>
      <c r="Q87" s="3">
        <v>180</v>
      </c>
      <c r="R87" s="3">
        <v>120</v>
      </c>
      <c r="S87" s="3">
        <v>190</v>
      </c>
      <c r="T87" s="3">
        <v>1</v>
      </c>
      <c r="U87" s="3">
        <v>3</v>
      </c>
      <c r="V87" s="3">
        <v>10</v>
      </c>
      <c r="W87" s="3">
        <v>13</v>
      </c>
      <c r="X87" s="3">
        <v>1</v>
      </c>
    </row>
    <row r="88" spans="1:24" x14ac:dyDescent="0.35">
      <c r="A88">
        <v>1767</v>
      </c>
      <c r="B88">
        <v>73450</v>
      </c>
      <c r="C88">
        <v>38</v>
      </c>
      <c r="D88">
        <v>0</v>
      </c>
      <c r="E88" s="28">
        <v>6.4794520547945202</v>
      </c>
      <c r="F88" s="28"/>
      <c r="G88" s="28">
        <v>1542</v>
      </c>
      <c r="H88" s="28">
        <v>78353</v>
      </c>
      <c r="I88" s="28">
        <v>1</v>
      </c>
      <c r="J88" s="28">
        <v>61</v>
      </c>
      <c r="L88" s="38">
        <v>1767</v>
      </c>
      <c r="M88" s="2">
        <v>85</v>
      </c>
      <c r="N88" s="2">
        <v>1142</v>
      </c>
      <c r="O88" s="2">
        <v>51</v>
      </c>
      <c r="P88" s="2">
        <v>415</v>
      </c>
      <c r="Q88" s="2">
        <v>90</v>
      </c>
      <c r="R88" s="2">
        <v>69</v>
      </c>
      <c r="S88" s="2">
        <v>37</v>
      </c>
      <c r="T88" s="2">
        <v>1</v>
      </c>
      <c r="U88" s="2">
        <v>7</v>
      </c>
      <c r="V88" s="2">
        <v>8</v>
      </c>
      <c r="W88" s="2">
        <v>11</v>
      </c>
      <c r="X88" s="2">
        <v>3</v>
      </c>
    </row>
    <row r="89" spans="1:24" x14ac:dyDescent="0.35">
      <c r="A89">
        <v>1762</v>
      </c>
      <c r="B89">
        <v>92910</v>
      </c>
      <c r="C89">
        <v>34</v>
      </c>
      <c r="D89">
        <v>0</v>
      </c>
      <c r="E89" s="28">
        <v>6.095890410958904</v>
      </c>
      <c r="F89" s="28"/>
      <c r="G89" s="28">
        <v>1535</v>
      </c>
      <c r="H89" s="28">
        <v>64140</v>
      </c>
      <c r="I89" s="28">
        <v>1</v>
      </c>
      <c r="J89" s="28">
        <v>56</v>
      </c>
      <c r="L89" s="37">
        <v>1762</v>
      </c>
      <c r="M89" s="3">
        <v>42</v>
      </c>
      <c r="N89" s="3">
        <v>551</v>
      </c>
      <c r="O89" s="3">
        <v>137</v>
      </c>
      <c r="P89" s="3">
        <v>792</v>
      </c>
      <c r="Q89" s="3">
        <v>179</v>
      </c>
      <c r="R89" s="3">
        <v>103</v>
      </c>
      <c r="S89" s="3">
        <v>33</v>
      </c>
      <c r="T89" s="3">
        <v>1</v>
      </c>
      <c r="U89" s="3">
        <v>6</v>
      </c>
      <c r="V89" s="3">
        <v>7</v>
      </c>
      <c r="W89" s="3">
        <v>13</v>
      </c>
      <c r="X89" s="3">
        <v>1</v>
      </c>
    </row>
    <row r="90" spans="1:24" x14ac:dyDescent="0.35">
      <c r="A90">
        <v>1760</v>
      </c>
      <c r="B90">
        <v>63159</v>
      </c>
      <c r="C90">
        <v>46</v>
      </c>
      <c r="D90">
        <v>0</v>
      </c>
      <c r="E90" s="28">
        <v>7.5616438356164384</v>
      </c>
      <c r="F90" s="28"/>
      <c r="G90" s="28">
        <v>1534</v>
      </c>
      <c r="H90" s="28">
        <v>81741</v>
      </c>
      <c r="I90" s="28">
        <v>0</v>
      </c>
      <c r="J90" s="28">
        <v>40</v>
      </c>
      <c r="L90" s="38">
        <v>1760</v>
      </c>
      <c r="M90" s="2">
        <v>74</v>
      </c>
      <c r="N90" s="2">
        <v>965</v>
      </c>
      <c r="O90" s="2">
        <v>34</v>
      </c>
      <c r="P90" s="2">
        <v>586</v>
      </c>
      <c r="Q90" s="2">
        <v>89</v>
      </c>
      <c r="R90" s="2">
        <v>86</v>
      </c>
      <c r="S90" s="2">
        <v>37</v>
      </c>
      <c r="T90" s="2">
        <v>1</v>
      </c>
      <c r="U90" s="2">
        <v>3</v>
      </c>
      <c r="V90" s="2">
        <v>5</v>
      </c>
      <c r="W90" s="2">
        <v>8</v>
      </c>
      <c r="X90" s="2">
        <v>3</v>
      </c>
    </row>
    <row r="91" spans="1:24" x14ac:dyDescent="0.35">
      <c r="A91">
        <v>1758</v>
      </c>
      <c r="B91">
        <v>72066</v>
      </c>
      <c r="C91">
        <v>39</v>
      </c>
      <c r="D91">
        <v>0</v>
      </c>
      <c r="E91" s="28">
        <v>5.9315068493150687</v>
      </c>
      <c r="F91" s="28"/>
      <c r="G91" s="28">
        <v>1529</v>
      </c>
      <c r="H91" s="28">
        <v>58138</v>
      </c>
      <c r="I91" s="28">
        <v>0</v>
      </c>
      <c r="J91" s="28">
        <v>63</v>
      </c>
      <c r="L91" s="37">
        <v>1758</v>
      </c>
      <c r="M91" s="3">
        <v>55</v>
      </c>
      <c r="N91" s="3">
        <v>1003</v>
      </c>
      <c r="O91" s="3">
        <v>34</v>
      </c>
      <c r="P91" s="3">
        <v>536</v>
      </c>
      <c r="Q91" s="3">
        <v>134</v>
      </c>
      <c r="R91" s="3">
        <v>51</v>
      </c>
      <c r="S91" s="3">
        <v>34</v>
      </c>
      <c r="T91" s="3">
        <v>1</v>
      </c>
      <c r="U91" s="3">
        <v>4</v>
      </c>
      <c r="V91" s="3">
        <v>6</v>
      </c>
      <c r="W91" s="3">
        <v>6</v>
      </c>
      <c r="X91" s="3">
        <v>2</v>
      </c>
    </row>
    <row r="92" spans="1:24" x14ac:dyDescent="0.35">
      <c r="A92">
        <v>1738</v>
      </c>
      <c r="B92">
        <v>85683</v>
      </c>
      <c r="C92">
        <v>66</v>
      </c>
      <c r="D92">
        <v>0</v>
      </c>
      <c r="E92" s="28">
        <v>6.1890410958904107</v>
      </c>
      <c r="F92" s="28"/>
      <c r="G92" s="28">
        <v>1505</v>
      </c>
      <c r="H92" s="28">
        <v>81843</v>
      </c>
      <c r="I92" s="28">
        <v>0</v>
      </c>
      <c r="J92" s="28">
        <v>60</v>
      </c>
      <c r="L92" s="38">
        <v>1738</v>
      </c>
      <c r="M92" s="2">
        <v>6</v>
      </c>
      <c r="N92" s="2">
        <v>1296</v>
      </c>
      <c r="O92" s="2">
        <v>17</v>
      </c>
      <c r="P92" s="2">
        <v>311</v>
      </c>
      <c r="Q92" s="2">
        <v>45</v>
      </c>
      <c r="R92" s="2">
        <v>69</v>
      </c>
      <c r="S92" s="2">
        <v>51</v>
      </c>
      <c r="T92" s="2">
        <v>1</v>
      </c>
      <c r="U92" s="2">
        <v>2</v>
      </c>
      <c r="V92" s="2">
        <v>4</v>
      </c>
      <c r="W92" s="2">
        <v>10</v>
      </c>
      <c r="X92" s="2">
        <v>1</v>
      </c>
    </row>
    <row r="93" spans="1:24" x14ac:dyDescent="0.35">
      <c r="A93">
        <v>1736</v>
      </c>
      <c r="B93">
        <v>79930</v>
      </c>
      <c r="C93">
        <v>48</v>
      </c>
      <c r="D93">
        <v>0</v>
      </c>
      <c r="E93" s="28">
        <v>7.8054794520547945</v>
      </c>
      <c r="F93" s="28"/>
      <c r="G93" s="28">
        <v>1502</v>
      </c>
      <c r="H93" s="28">
        <v>77766</v>
      </c>
      <c r="I93" s="28">
        <v>1</v>
      </c>
      <c r="J93" s="28">
        <v>53</v>
      </c>
      <c r="L93" s="37">
        <v>1736</v>
      </c>
      <c r="M93" s="3">
        <v>72</v>
      </c>
      <c r="N93" s="3">
        <v>792</v>
      </c>
      <c r="O93" s="3">
        <v>86</v>
      </c>
      <c r="P93" s="3">
        <v>740</v>
      </c>
      <c r="Q93" s="3">
        <v>67</v>
      </c>
      <c r="R93" s="3">
        <v>51</v>
      </c>
      <c r="S93" s="3">
        <v>17</v>
      </c>
      <c r="T93" s="3">
        <v>1</v>
      </c>
      <c r="U93" s="3">
        <v>3</v>
      </c>
      <c r="V93" s="3">
        <v>5</v>
      </c>
      <c r="W93" s="3">
        <v>8</v>
      </c>
      <c r="X93" s="3">
        <v>2</v>
      </c>
    </row>
    <row r="94" spans="1:24" x14ac:dyDescent="0.35">
      <c r="A94">
        <v>1734</v>
      </c>
      <c r="B94">
        <v>68126</v>
      </c>
      <c r="C94">
        <v>29</v>
      </c>
      <c r="D94">
        <v>0</v>
      </c>
      <c r="E94" s="28">
        <v>7.5479452054794525</v>
      </c>
      <c r="F94" s="28"/>
      <c r="G94" s="28">
        <v>1500</v>
      </c>
      <c r="H94" s="28">
        <v>68655</v>
      </c>
      <c r="I94" s="28">
        <v>0</v>
      </c>
      <c r="J94" s="28">
        <v>32</v>
      </c>
      <c r="L94" s="38">
        <v>1734</v>
      </c>
      <c r="M94" s="2">
        <v>40</v>
      </c>
      <c r="N94" s="2">
        <v>1332</v>
      </c>
      <c r="O94" s="2">
        <v>17</v>
      </c>
      <c r="P94" s="2">
        <v>311</v>
      </c>
      <c r="Q94" s="2">
        <v>23</v>
      </c>
      <c r="R94" s="2">
        <v>51</v>
      </c>
      <c r="S94" s="2">
        <v>86</v>
      </c>
      <c r="T94" s="2">
        <v>1</v>
      </c>
      <c r="U94" s="2">
        <v>7</v>
      </c>
      <c r="V94" s="2">
        <v>4</v>
      </c>
      <c r="W94" s="2">
        <v>5</v>
      </c>
      <c r="X94" s="2">
        <v>9</v>
      </c>
    </row>
    <row r="95" spans="1:24" x14ac:dyDescent="0.35">
      <c r="A95">
        <v>1729</v>
      </c>
      <c r="B95">
        <v>2447</v>
      </c>
      <c r="C95">
        <v>41</v>
      </c>
      <c r="D95">
        <v>1</v>
      </c>
      <c r="E95" s="28">
        <v>7.3917808219178083</v>
      </c>
      <c r="F95" s="28"/>
      <c r="G95" s="28">
        <v>1497</v>
      </c>
      <c r="H95" s="28">
        <v>64857</v>
      </c>
      <c r="I95" s="28">
        <v>0</v>
      </c>
      <c r="J95" s="28">
        <v>64</v>
      </c>
      <c r="L95" s="37">
        <v>1729</v>
      </c>
      <c r="M95" s="3">
        <v>42</v>
      </c>
      <c r="N95" s="3">
        <v>1</v>
      </c>
      <c r="O95" s="3">
        <v>1</v>
      </c>
      <c r="P95" s="3">
        <v>1725</v>
      </c>
      <c r="Q95" s="3">
        <v>1</v>
      </c>
      <c r="R95" s="3">
        <v>1</v>
      </c>
      <c r="S95" s="3">
        <v>1</v>
      </c>
      <c r="T95" s="3">
        <v>15</v>
      </c>
      <c r="U95" s="3">
        <v>0</v>
      </c>
      <c r="V95" s="3">
        <v>28</v>
      </c>
      <c r="W95" s="3">
        <v>0</v>
      </c>
      <c r="X95" s="3">
        <v>1</v>
      </c>
    </row>
    <row r="96" spans="1:24" x14ac:dyDescent="0.35">
      <c r="A96">
        <v>1728</v>
      </c>
      <c r="B96">
        <v>90687</v>
      </c>
      <c r="C96">
        <v>37</v>
      </c>
      <c r="D96">
        <v>0</v>
      </c>
      <c r="E96" s="28">
        <v>7.0191780821917806</v>
      </c>
      <c r="F96" s="28"/>
      <c r="G96" s="28">
        <v>1494</v>
      </c>
      <c r="H96" s="28">
        <v>70893</v>
      </c>
      <c r="I96" s="28">
        <v>0</v>
      </c>
      <c r="J96" s="28">
        <v>44</v>
      </c>
      <c r="L96" s="38">
        <v>1728</v>
      </c>
      <c r="M96" s="2">
        <v>98</v>
      </c>
      <c r="N96" s="2">
        <v>982</v>
      </c>
      <c r="O96" s="2">
        <v>17</v>
      </c>
      <c r="P96" s="2">
        <v>672</v>
      </c>
      <c r="Q96" s="2">
        <v>23</v>
      </c>
      <c r="R96" s="2">
        <v>34</v>
      </c>
      <c r="S96" s="2">
        <v>51</v>
      </c>
      <c r="T96" s="2">
        <v>1</v>
      </c>
      <c r="U96" s="2">
        <v>6</v>
      </c>
      <c r="V96" s="2">
        <v>2</v>
      </c>
      <c r="W96" s="2">
        <v>8</v>
      </c>
      <c r="X96" s="2">
        <v>2</v>
      </c>
    </row>
    <row r="97" spans="1:24" x14ac:dyDescent="0.35">
      <c r="A97">
        <v>1728</v>
      </c>
      <c r="B97">
        <v>83033</v>
      </c>
      <c r="C97">
        <v>34</v>
      </c>
      <c r="D97">
        <v>1</v>
      </c>
      <c r="E97" s="28">
        <v>6.0301369863013701</v>
      </c>
      <c r="F97" s="28"/>
      <c r="G97" s="28">
        <v>1492</v>
      </c>
      <c r="H97" s="28">
        <v>69969</v>
      </c>
      <c r="I97" s="28">
        <v>0</v>
      </c>
      <c r="J97" s="28">
        <v>55</v>
      </c>
      <c r="L97" s="37">
        <v>1728</v>
      </c>
      <c r="M97" s="3">
        <v>82</v>
      </c>
      <c r="N97" s="3">
        <v>812</v>
      </c>
      <c r="O97" s="3">
        <v>99</v>
      </c>
      <c r="P97" s="3">
        <v>431</v>
      </c>
      <c r="Q97" s="3">
        <v>237</v>
      </c>
      <c r="R97" s="3">
        <v>149</v>
      </c>
      <c r="S97" s="3">
        <v>33</v>
      </c>
      <c r="T97" s="3">
        <v>1</v>
      </c>
      <c r="U97" s="3">
        <v>11</v>
      </c>
      <c r="V97" s="3">
        <v>4</v>
      </c>
      <c r="W97" s="3">
        <v>10</v>
      </c>
      <c r="X97" s="3">
        <v>5</v>
      </c>
    </row>
    <row r="98" spans="1:24" x14ac:dyDescent="0.35">
      <c r="A98">
        <v>1727</v>
      </c>
      <c r="B98">
        <v>70123</v>
      </c>
      <c r="C98">
        <v>37</v>
      </c>
      <c r="D98">
        <v>0</v>
      </c>
      <c r="E98" s="28">
        <v>6.6657534246575345</v>
      </c>
      <c r="F98" s="28"/>
      <c r="G98" s="28">
        <v>1489</v>
      </c>
      <c r="H98" s="28">
        <v>69267</v>
      </c>
      <c r="I98" s="28">
        <v>0</v>
      </c>
      <c r="J98" s="28">
        <v>67</v>
      </c>
      <c r="L98" s="38">
        <v>1727</v>
      </c>
      <c r="M98" s="2">
        <v>27</v>
      </c>
      <c r="N98" s="2">
        <v>1308</v>
      </c>
      <c r="O98" s="2">
        <v>0</v>
      </c>
      <c r="P98" s="2">
        <v>396</v>
      </c>
      <c r="Q98" s="2">
        <v>23</v>
      </c>
      <c r="R98" s="2">
        <v>0</v>
      </c>
      <c r="S98" s="2">
        <v>0</v>
      </c>
      <c r="T98" s="2">
        <v>1</v>
      </c>
      <c r="U98" s="2">
        <v>5</v>
      </c>
      <c r="V98" s="2">
        <v>7</v>
      </c>
      <c r="W98" s="2">
        <v>4</v>
      </c>
      <c r="X98" s="2">
        <v>3</v>
      </c>
    </row>
    <row r="99" spans="1:24" x14ac:dyDescent="0.35">
      <c r="A99">
        <v>1726</v>
      </c>
      <c r="B99">
        <v>75261</v>
      </c>
      <c r="C99">
        <v>65</v>
      </c>
      <c r="D99">
        <v>0</v>
      </c>
      <c r="E99" s="28">
        <v>7.0986301369863014</v>
      </c>
      <c r="F99" s="28"/>
      <c r="G99" s="28">
        <v>1489</v>
      </c>
      <c r="H99" s="28">
        <v>74854</v>
      </c>
      <c r="I99" s="28">
        <v>1</v>
      </c>
      <c r="J99" s="28">
        <v>50</v>
      </c>
      <c r="L99" s="37">
        <v>1726</v>
      </c>
      <c r="M99" s="3">
        <v>17</v>
      </c>
      <c r="N99" s="3">
        <v>1239</v>
      </c>
      <c r="O99" s="3">
        <v>17</v>
      </c>
      <c r="P99" s="3">
        <v>413</v>
      </c>
      <c r="Q99" s="3">
        <v>23</v>
      </c>
      <c r="R99" s="3">
        <v>34</v>
      </c>
      <c r="S99" s="3">
        <v>17</v>
      </c>
      <c r="T99" s="3">
        <v>1</v>
      </c>
      <c r="U99" s="3">
        <v>5</v>
      </c>
      <c r="V99" s="3">
        <v>6</v>
      </c>
      <c r="W99" s="3">
        <v>5</v>
      </c>
      <c r="X99" s="3">
        <v>2</v>
      </c>
    </row>
    <row r="100" spans="1:24" x14ac:dyDescent="0.35">
      <c r="A100">
        <v>1719</v>
      </c>
      <c r="B100">
        <v>83145</v>
      </c>
      <c r="C100">
        <v>46</v>
      </c>
      <c r="D100">
        <v>0</v>
      </c>
      <c r="E100" s="28">
        <v>7.6821917808219178</v>
      </c>
      <c r="F100" s="28"/>
      <c r="G100" s="28">
        <v>1487</v>
      </c>
      <c r="H100" s="28">
        <v>81051</v>
      </c>
      <c r="I100" s="28">
        <v>0</v>
      </c>
      <c r="J100" s="28">
        <v>55</v>
      </c>
      <c r="L100" s="38">
        <v>1719</v>
      </c>
      <c r="M100" s="2">
        <v>14</v>
      </c>
      <c r="N100" s="2">
        <v>777</v>
      </c>
      <c r="O100" s="2">
        <v>35</v>
      </c>
      <c r="P100" s="2">
        <v>731</v>
      </c>
      <c r="Q100" s="2">
        <v>39</v>
      </c>
      <c r="R100" s="2">
        <v>137</v>
      </c>
      <c r="S100" s="2">
        <v>114</v>
      </c>
      <c r="T100" s="2">
        <v>1</v>
      </c>
      <c r="U100" s="2">
        <v>5</v>
      </c>
      <c r="V100" s="2">
        <v>9</v>
      </c>
      <c r="W100" s="2">
        <v>11</v>
      </c>
      <c r="X100" s="2">
        <v>2</v>
      </c>
    </row>
    <row r="101" spans="1:24" x14ac:dyDescent="0.35">
      <c r="A101">
        <v>1716</v>
      </c>
      <c r="B101">
        <v>82497</v>
      </c>
      <c r="C101">
        <v>40</v>
      </c>
      <c r="D101">
        <v>0</v>
      </c>
      <c r="E101" s="28">
        <v>7.5753424657534243</v>
      </c>
      <c r="F101" s="28"/>
      <c r="G101" s="28">
        <v>1484</v>
      </c>
      <c r="H101" s="28">
        <v>70440</v>
      </c>
      <c r="I101" s="28">
        <v>0</v>
      </c>
      <c r="J101" s="28">
        <v>42</v>
      </c>
      <c r="L101" s="37">
        <v>1716</v>
      </c>
      <c r="M101" s="3">
        <v>32</v>
      </c>
      <c r="N101" s="3">
        <v>777</v>
      </c>
      <c r="O101" s="3">
        <v>129</v>
      </c>
      <c r="P101" s="3">
        <v>573</v>
      </c>
      <c r="Q101" s="3">
        <v>216</v>
      </c>
      <c r="R101" s="3">
        <v>21</v>
      </c>
      <c r="S101" s="3">
        <v>203</v>
      </c>
      <c r="T101" s="3">
        <v>1</v>
      </c>
      <c r="U101" s="3">
        <v>2</v>
      </c>
      <c r="V101" s="3">
        <v>7</v>
      </c>
      <c r="W101" s="3">
        <v>9</v>
      </c>
      <c r="X101" s="3">
        <v>4</v>
      </c>
    </row>
    <row r="102" spans="1:24" x14ac:dyDescent="0.35">
      <c r="A102">
        <v>1713</v>
      </c>
      <c r="B102">
        <v>80952</v>
      </c>
      <c r="C102">
        <v>51</v>
      </c>
      <c r="D102">
        <v>0</v>
      </c>
      <c r="E102" s="28">
        <v>7.2465753424657535</v>
      </c>
      <c r="F102" s="28"/>
      <c r="G102" s="28">
        <v>1471</v>
      </c>
      <c r="H102" s="28">
        <v>66465</v>
      </c>
      <c r="I102" s="28">
        <v>1</v>
      </c>
      <c r="J102" s="28">
        <v>65</v>
      </c>
      <c r="L102" s="38">
        <v>1713</v>
      </c>
      <c r="M102" s="2">
        <v>20</v>
      </c>
      <c r="N102" s="2">
        <v>778</v>
      </c>
      <c r="O102" s="2">
        <v>178</v>
      </c>
      <c r="P102" s="2">
        <v>689</v>
      </c>
      <c r="Q102" s="2">
        <v>41</v>
      </c>
      <c r="R102" s="2">
        <v>27</v>
      </c>
      <c r="S102" s="2">
        <v>44</v>
      </c>
      <c r="T102" s="2">
        <v>1</v>
      </c>
      <c r="U102" s="2">
        <v>8</v>
      </c>
      <c r="V102" s="2">
        <v>5</v>
      </c>
      <c r="W102" s="2">
        <v>11</v>
      </c>
      <c r="X102" s="2">
        <v>8</v>
      </c>
    </row>
    <row r="103" spans="1:24" x14ac:dyDescent="0.35">
      <c r="A103">
        <v>1713</v>
      </c>
      <c r="B103">
        <v>78579</v>
      </c>
      <c r="C103">
        <v>50</v>
      </c>
      <c r="D103">
        <v>0</v>
      </c>
      <c r="E103" s="28">
        <v>7.4328767123287669</v>
      </c>
      <c r="F103" s="28"/>
      <c r="G103" s="28">
        <v>1468</v>
      </c>
      <c r="H103" s="28">
        <v>77520</v>
      </c>
      <c r="I103" s="28">
        <v>1</v>
      </c>
      <c r="J103" s="28">
        <v>61</v>
      </c>
      <c r="L103" s="37">
        <v>1713</v>
      </c>
      <c r="M103" s="3">
        <v>35</v>
      </c>
      <c r="N103" s="3">
        <v>816</v>
      </c>
      <c r="O103" s="3">
        <v>66</v>
      </c>
      <c r="P103" s="3">
        <v>549</v>
      </c>
      <c r="Q103" s="3">
        <v>216</v>
      </c>
      <c r="R103" s="3">
        <v>66</v>
      </c>
      <c r="S103" s="3">
        <v>99</v>
      </c>
      <c r="T103" s="3">
        <v>1</v>
      </c>
      <c r="U103" s="3">
        <v>5</v>
      </c>
      <c r="V103" s="3">
        <v>6</v>
      </c>
      <c r="W103" s="3">
        <v>4</v>
      </c>
      <c r="X103" s="3">
        <v>3</v>
      </c>
    </row>
    <row r="104" spans="1:24" x14ac:dyDescent="0.35">
      <c r="A104">
        <v>1707</v>
      </c>
      <c r="B104">
        <v>79607</v>
      </c>
      <c r="C104">
        <v>36</v>
      </c>
      <c r="D104">
        <v>0</v>
      </c>
      <c r="E104" s="28">
        <v>7.1041095890410961</v>
      </c>
      <c r="F104" s="28"/>
      <c r="G104" s="28">
        <v>1466</v>
      </c>
      <c r="H104" s="28">
        <v>69930</v>
      </c>
      <c r="I104" s="28">
        <v>0</v>
      </c>
      <c r="J104" s="28">
        <v>49</v>
      </c>
      <c r="L104" s="38">
        <v>1707</v>
      </c>
      <c r="M104" s="2">
        <v>37</v>
      </c>
      <c r="N104" s="2">
        <v>450</v>
      </c>
      <c r="O104" s="2">
        <v>133</v>
      </c>
      <c r="P104" s="2">
        <v>951</v>
      </c>
      <c r="Q104" s="2">
        <v>173</v>
      </c>
      <c r="R104" s="2">
        <v>0</v>
      </c>
      <c r="S104" s="2">
        <v>216</v>
      </c>
      <c r="T104" s="2">
        <v>1</v>
      </c>
      <c r="U104" s="2">
        <v>3</v>
      </c>
      <c r="V104" s="2">
        <v>6</v>
      </c>
      <c r="W104" s="2">
        <v>6</v>
      </c>
      <c r="X104" s="2">
        <v>1</v>
      </c>
    </row>
    <row r="105" spans="1:24" x14ac:dyDescent="0.35">
      <c r="A105">
        <v>1702</v>
      </c>
      <c r="B105">
        <v>77598</v>
      </c>
      <c r="C105">
        <v>77</v>
      </c>
      <c r="D105">
        <v>0</v>
      </c>
      <c r="E105" s="28">
        <v>6.6575342465753424</v>
      </c>
      <c r="F105" s="28"/>
      <c r="G105" s="28">
        <v>1466</v>
      </c>
      <c r="H105" s="28">
        <v>57036</v>
      </c>
      <c r="I105" s="28">
        <v>1</v>
      </c>
      <c r="J105" s="28">
        <v>45</v>
      </c>
      <c r="L105" s="37">
        <v>1702</v>
      </c>
      <c r="M105" s="3">
        <v>53</v>
      </c>
      <c r="N105" s="3">
        <v>1193</v>
      </c>
      <c r="O105" s="3">
        <v>33</v>
      </c>
      <c r="P105" s="3">
        <v>281</v>
      </c>
      <c r="Q105" s="3">
        <v>129</v>
      </c>
      <c r="R105" s="3">
        <v>66</v>
      </c>
      <c r="S105" s="3">
        <v>33</v>
      </c>
      <c r="T105" s="3">
        <v>1</v>
      </c>
      <c r="U105" s="3">
        <v>7</v>
      </c>
      <c r="V105" s="3">
        <v>5</v>
      </c>
      <c r="W105" s="3">
        <v>13</v>
      </c>
      <c r="X105" s="3">
        <v>3</v>
      </c>
    </row>
    <row r="106" spans="1:24" x14ac:dyDescent="0.35">
      <c r="A106">
        <v>1699</v>
      </c>
      <c r="B106">
        <v>72025</v>
      </c>
      <c r="C106">
        <v>58</v>
      </c>
      <c r="D106">
        <v>0</v>
      </c>
      <c r="E106" s="28">
        <v>7.5287671232876709</v>
      </c>
      <c r="F106" s="28"/>
      <c r="G106" s="28">
        <v>1464</v>
      </c>
      <c r="H106" s="28">
        <v>73892</v>
      </c>
      <c r="I106" s="28">
        <v>0</v>
      </c>
      <c r="J106" s="28">
        <v>67</v>
      </c>
      <c r="L106" s="38">
        <v>1699</v>
      </c>
      <c r="M106" s="2">
        <v>27</v>
      </c>
      <c r="N106" s="2">
        <v>833</v>
      </c>
      <c r="O106" s="2">
        <v>33</v>
      </c>
      <c r="P106" s="2">
        <v>549</v>
      </c>
      <c r="Q106" s="2">
        <v>151</v>
      </c>
      <c r="R106" s="2">
        <v>133</v>
      </c>
      <c r="S106" s="2">
        <v>233</v>
      </c>
      <c r="T106" s="2">
        <v>1</v>
      </c>
      <c r="U106" s="2">
        <v>4</v>
      </c>
      <c r="V106" s="2">
        <v>3</v>
      </c>
      <c r="W106" s="2">
        <v>8</v>
      </c>
      <c r="X106" s="2">
        <v>3</v>
      </c>
    </row>
    <row r="107" spans="1:24" x14ac:dyDescent="0.35">
      <c r="A107">
        <v>1698</v>
      </c>
      <c r="B107">
        <v>72190</v>
      </c>
      <c r="C107">
        <v>55</v>
      </c>
      <c r="D107">
        <v>0</v>
      </c>
      <c r="E107" s="28">
        <v>7.2876712328767121</v>
      </c>
      <c r="F107" s="28"/>
      <c r="G107" s="28">
        <v>1446</v>
      </c>
      <c r="H107" s="28">
        <v>73687</v>
      </c>
      <c r="I107" s="28">
        <v>0</v>
      </c>
      <c r="J107" s="28">
        <v>30</v>
      </c>
      <c r="L107" s="37">
        <v>1698</v>
      </c>
      <c r="M107" s="3">
        <v>79</v>
      </c>
      <c r="N107" s="3">
        <v>597</v>
      </c>
      <c r="O107" s="3">
        <v>166</v>
      </c>
      <c r="P107" s="3">
        <v>597</v>
      </c>
      <c r="Q107" s="3">
        <v>172</v>
      </c>
      <c r="R107" s="3">
        <v>166</v>
      </c>
      <c r="S107" s="3">
        <v>249</v>
      </c>
      <c r="T107" s="3">
        <v>1</v>
      </c>
      <c r="U107" s="3">
        <v>5</v>
      </c>
      <c r="V107" s="3">
        <v>6</v>
      </c>
      <c r="W107" s="3">
        <v>4</v>
      </c>
      <c r="X107" s="3">
        <v>3</v>
      </c>
    </row>
    <row r="108" spans="1:24" x14ac:dyDescent="0.35">
      <c r="A108">
        <v>1694</v>
      </c>
      <c r="B108">
        <v>92955</v>
      </c>
      <c r="C108">
        <v>47</v>
      </c>
      <c r="D108">
        <v>0</v>
      </c>
      <c r="E108" s="28">
        <v>6.7753424657534245</v>
      </c>
      <c r="F108" s="28"/>
      <c r="G108" s="28">
        <v>1433</v>
      </c>
      <c r="H108" s="28">
        <v>74538</v>
      </c>
      <c r="I108" s="28">
        <v>0</v>
      </c>
      <c r="J108" s="28">
        <v>49</v>
      </c>
      <c r="L108" s="38">
        <v>1694</v>
      </c>
      <c r="M108" s="2">
        <v>35</v>
      </c>
      <c r="N108" s="2">
        <v>693</v>
      </c>
      <c r="O108" s="2">
        <v>21</v>
      </c>
      <c r="P108" s="2">
        <v>925</v>
      </c>
      <c r="Q108" s="2">
        <v>31</v>
      </c>
      <c r="R108" s="2">
        <v>24</v>
      </c>
      <c r="S108" s="2">
        <v>84</v>
      </c>
      <c r="T108" s="2">
        <v>1</v>
      </c>
      <c r="U108" s="2">
        <v>6</v>
      </c>
      <c r="V108" s="2">
        <v>7</v>
      </c>
      <c r="W108" s="2">
        <v>9</v>
      </c>
      <c r="X108" s="2">
        <v>2</v>
      </c>
    </row>
    <row r="109" spans="1:24" x14ac:dyDescent="0.35">
      <c r="A109">
        <v>1691</v>
      </c>
      <c r="B109">
        <v>90765</v>
      </c>
      <c r="C109">
        <v>50</v>
      </c>
      <c r="D109">
        <v>0</v>
      </c>
      <c r="E109" s="28">
        <v>6.3424657534246576</v>
      </c>
      <c r="F109" s="28"/>
      <c r="G109" s="28">
        <v>1419</v>
      </c>
      <c r="H109" s="28">
        <v>67369</v>
      </c>
      <c r="I109" s="28">
        <v>1</v>
      </c>
      <c r="J109" s="28">
        <v>51</v>
      </c>
      <c r="L109" s="37">
        <v>1691</v>
      </c>
      <c r="M109" s="3">
        <v>25</v>
      </c>
      <c r="N109" s="3">
        <v>547</v>
      </c>
      <c r="O109" s="3">
        <v>99</v>
      </c>
      <c r="P109" s="3">
        <v>812</v>
      </c>
      <c r="Q109" s="3">
        <v>151</v>
      </c>
      <c r="R109" s="3">
        <v>82</v>
      </c>
      <c r="S109" s="3">
        <v>33</v>
      </c>
      <c r="T109" s="3">
        <v>0</v>
      </c>
      <c r="U109" s="3">
        <v>4</v>
      </c>
      <c r="V109" s="3">
        <v>6</v>
      </c>
      <c r="W109" s="3">
        <v>5</v>
      </c>
      <c r="X109" s="3">
        <v>1</v>
      </c>
    </row>
    <row r="110" spans="1:24" x14ac:dyDescent="0.35">
      <c r="A110">
        <v>1685</v>
      </c>
      <c r="B110">
        <v>74485</v>
      </c>
      <c r="C110">
        <v>73</v>
      </c>
      <c r="D110">
        <v>0</v>
      </c>
      <c r="E110" s="28">
        <v>6.7616438356164386</v>
      </c>
      <c r="F110" s="28"/>
      <c r="G110" s="28">
        <v>1412</v>
      </c>
      <c r="H110" s="28">
        <v>86429</v>
      </c>
      <c r="I110" s="28">
        <v>0</v>
      </c>
      <c r="J110" s="28">
        <v>59</v>
      </c>
      <c r="L110" s="38">
        <v>1685</v>
      </c>
      <c r="M110" s="2">
        <v>58</v>
      </c>
      <c r="N110" s="2">
        <v>499</v>
      </c>
      <c r="O110" s="2">
        <v>149</v>
      </c>
      <c r="P110" s="2">
        <v>815</v>
      </c>
      <c r="Q110" s="2">
        <v>173</v>
      </c>
      <c r="R110" s="2">
        <v>49</v>
      </c>
      <c r="S110" s="2">
        <v>49</v>
      </c>
      <c r="T110" s="2">
        <v>1</v>
      </c>
      <c r="U110" s="2">
        <v>6</v>
      </c>
      <c r="V110" s="2">
        <v>7</v>
      </c>
      <c r="W110" s="2">
        <v>12</v>
      </c>
      <c r="X110" s="2">
        <v>3</v>
      </c>
    </row>
    <row r="111" spans="1:24" x14ac:dyDescent="0.35">
      <c r="A111">
        <v>1682</v>
      </c>
      <c r="B111">
        <v>77870</v>
      </c>
      <c r="C111">
        <v>53</v>
      </c>
      <c r="D111">
        <v>1</v>
      </c>
      <c r="E111" s="28">
        <v>7.7671232876712333</v>
      </c>
      <c r="F111" s="28"/>
      <c r="G111" s="28">
        <v>1408</v>
      </c>
      <c r="H111" s="28">
        <v>63120</v>
      </c>
      <c r="I111" s="28">
        <v>1</v>
      </c>
      <c r="J111" s="28">
        <v>70</v>
      </c>
      <c r="L111" s="37">
        <v>1682</v>
      </c>
      <c r="M111" s="3">
        <v>93</v>
      </c>
      <c r="N111" s="3">
        <v>1017</v>
      </c>
      <c r="O111" s="3">
        <v>50</v>
      </c>
      <c r="P111" s="3">
        <v>500</v>
      </c>
      <c r="Q111" s="3">
        <v>65</v>
      </c>
      <c r="R111" s="3">
        <v>50</v>
      </c>
      <c r="S111" s="3">
        <v>133</v>
      </c>
      <c r="T111" s="3">
        <v>3</v>
      </c>
      <c r="U111" s="3">
        <v>5</v>
      </c>
      <c r="V111" s="3">
        <v>5</v>
      </c>
      <c r="W111" s="3">
        <v>5</v>
      </c>
      <c r="X111" s="3">
        <v>8</v>
      </c>
    </row>
    <row r="112" spans="1:24" x14ac:dyDescent="0.35">
      <c r="A112">
        <v>1682</v>
      </c>
      <c r="B112">
        <v>76005</v>
      </c>
      <c r="C112">
        <v>65</v>
      </c>
      <c r="D112">
        <v>0</v>
      </c>
      <c r="E112" s="28">
        <v>7.2630136986301368</v>
      </c>
      <c r="F112" s="28"/>
      <c r="G112" s="28">
        <v>1406</v>
      </c>
      <c r="H112" s="28">
        <v>71819</v>
      </c>
      <c r="I112" s="28">
        <v>1</v>
      </c>
      <c r="J112" s="28">
        <v>49</v>
      </c>
      <c r="L112" s="38">
        <v>1682</v>
      </c>
      <c r="M112" s="2">
        <v>72</v>
      </c>
      <c r="N112" s="2">
        <v>983</v>
      </c>
      <c r="O112" s="2">
        <v>20</v>
      </c>
      <c r="P112" s="2">
        <v>389</v>
      </c>
      <c r="Q112" s="2">
        <v>240</v>
      </c>
      <c r="R112" s="2">
        <v>50</v>
      </c>
      <c r="S112" s="2">
        <v>40</v>
      </c>
      <c r="T112" s="2">
        <v>1</v>
      </c>
      <c r="U112" s="2">
        <v>3</v>
      </c>
      <c r="V112" s="2">
        <v>5</v>
      </c>
      <c r="W112" s="2">
        <v>13</v>
      </c>
      <c r="X112" s="2">
        <v>6</v>
      </c>
    </row>
    <row r="113" spans="1:24" x14ac:dyDescent="0.35">
      <c r="A113">
        <v>1681</v>
      </c>
      <c r="B113">
        <v>90300</v>
      </c>
      <c r="C113">
        <v>41</v>
      </c>
      <c r="D113">
        <v>0</v>
      </c>
      <c r="E113" s="28">
        <v>6.4</v>
      </c>
      <c r="F113" s="28"/>
      <c r="G113" s="28">
        <v>1403</v>
      </c>
      <c r="H113" s="28">
        <v>80617</v>
      </c>
      <c r="I113" s="28">
        <v>0</v>
      </c>
      <c r="J113" s="28">
        <v>25</v>
      </c>
      <c r="L113" s="37">
        <v>1681</v>
      </c>
      <c r="M113" s="3">
        <v>7</v>
      </c>
      <c r="N113" s="3">
        <v>594</v>
      </c>
      <c r="O113" s="3">
        <v>134</v>
      </c>
      <c r="P113" s="3">
        <v>786</v>
      </c>
      <c r="Q113" s="3">
        <v>33</v>
      </c>
      <c r="R113" s="3">
        <v>134</v>
      </c>
      <c r="S113" s="3">
        <v>57</v>
      </c>
      <c r="T113" s="3">
        <v>0</v>
      </c>
      <c r="U113" s="3">
        <v>5</v>
      </c>
      <c r="V113" s="3">
        <v>6</v>
      </c>
      <c r="W113" s="3">
        <v>8</v>
      </c>
      <c r="X113" s="3">
        <v>1</v>
      </c>
    </row>
    <row r="114" spans="1:24" x14ac:dyDescent="0.35">
      <c r="A114">
        <v>1678</v>
      </c>
      <c r="B114">
        <v>74214</v>
      </c>
      <c r="C114">
        <v>30</v>
      </c>
      <c r="D114">
        <v>0</v>
      </c>
      <c r="E114" s="28">
        <v>7.7561643835616438</v>
      </c>
      <c r="F114" s="28"/>
      <c r="G114" s="28">
        <v>1402</v>
      </c>
      <c r="H114" s="28">
        <v>80589</v>
      </c>
      <c r="I114" s="28">
        <v>0</v>
      </c>
      <c r="J114" s="28">
        <v>76</v>
      </c>
      <c r="L114" s="38">
        <v>1678</v>
      </c>
      <c r="M114" s="2">
        <v>3</v>
      </c>
      <c r="N114" s="2">
        <v>863</v>
      </c>
      <c r="O114" s="2">
        <v>83</v>
      </c>
      <c r="P114" s="2">
        <v>547</v>
      </c>
      <c r="Q114" s="2">
        <v>86</v>
      </c>
      <c r="R114" s="2">
        <v>99</v>
      </c>
      <c r="S114" s="2">
        <v>33</v>
      </c>
      <c r="T114" s="2">
        <v>1</v>
      </c>
      <c r="U114" s="2">
        <v>8</v>
      </c>
      <c r="V114" s="2">
        <v>2</v>
      </c>
      <c r="W114" s="2">
        <v>5</v>
      </c>
      <c r="X114" s="2">
        <v>5</v>
      </c>
    </row>
    <row r="115" spans="1:24" x14ac:dyDescent="0.35">
      <c r="A115">
        <v>1677</v>
      </c>
      <c r="B115">
        <v>72025</v>
      </c>
      <c r="C115">
        <v>71</v>
      </c>
      <c r="D115">
        <v>0</v>
      </c>
      <c r="E115" s="28">
        <v>6.0821917808219181</v>
      </c>
      <c r="F115" s="28"/>
      <c r="G115" s="28">
        <v>1400</v>
      </c>
      <c r="H115" s="28">
        <v>73356</v>
      </c>
      <c r="I115" s="28">
        <v>0</v>
      </c>
      <c r="J115" s="28">
        <v>36</v>
      </c>
      <c r="L115" s="37">
        <v>1677</v>
      </c>
      <c r="M115" s="3">
        <v>46</v>
      </c>
      <c r="N115" s="3">
        <v>967</v>
      </c>
      <c r="O115" s="3">
        <v>0</v>
      </c>
      <c r="P115" s="3">
        <v>617</v>
      </c>
      <c r="Q115" s="3">
        <v>43</v>
      </c>
      <c r="R115" s="3">
        <v>50</v>
      </c>
      <c r="S115" s="3">
        <v>0</v>
      </c>
      <c r="T115" s="3">
        <v>1</v>
      </c>
      <c r="U115" s="3">
        <v>4</v>
      </c>
      <c r="V115" s="3">
        <v>8</v>
      </c>
      <c r="W115" s="3">
        <v>13</v>
      </c>
      <c r="X115" s="3">
        <v>2</v>
      </c>
    </row>
    <row r="116" spans="1:24" x14ac:dyDescent="0.35">
      <c r="A116">
        <v>1677</v>
      </c>
      <c r="B116">
        <v>64176</v>
      </c>
      <c r="C116">
        <v>55</v>
      </c>
      <c r="D116">
        <v>1</v>
      </c>
      <c r="E116" s="28">
        <v>7.8191780821917805</v>
      </c>
      <c r="F116" s="28"/>
      <c r="G116" s="28">
        <v>1391</v>
      </c>
      <c r="H116" s="28">
        <v>72258</v>
      </c>
      <c r="I116" s="28">
        <v>1</v>
      </c>
      <c r="J116" s="28">
        <v>49</v>
      </c>
      <c r="L116" s="38">
        <v>1677</v>
      </c>
      <c r="M116" s="2">
        <v>52</v>
      </c>
      <c r="N116" s="2">
        <v>1215</v>
      </c>
      <c r="O116" s="2">
        <v>33</v>
      </c>
      <c r="P116" s="2">
        <v>249</v>
      </c>
      <c r="Q116" s="2">
        <v>64</v>
      </c>
      <c r="R116" s="2">
        <v>116</v>
      </c>
      <c r="S116" s="2">
        <v>149</v>
      </c>
      <c r="T116" s="2">
        <v>8</v>
      </c>
      <c r="U116" s="2">
        <v>8</v>
      </c>
      <c r="V116" s="2">
        <v>9</v>
      </c>
      <c r="W116" s="2">
        <v>8</v>
      </c>
      <c r="X116" s="2">
        <v>6</v>
      </c>
    </row>
    <row r="117" spans="1:24" x14ac:dyDescent="0.35">
      <c r="A117">
        <v>1675</v>
      </c>
      <c r="B117">
        <v>94472</v>
      </c>
      <c r="C117">
        <v>62</v>
      </c>
      <c r="D117">
        <v>1</v>
      </c>
      <c r="E117" s="28">
        <v>6.1534246575342468</v>
      </c>
      <c r="F117" s="28"/>
      <c r="G117" s="28">
        <v>1387</v>
      </c>
      <c r="H117" s="28">
        <v>78285</v>
      </c>
      <c r="I117" s="28">
        <v>0</v>
      </c>
      <c r="J117" s="28">
        <v>32</v>
      </c>
      <c r="L117" s="37">
        <v>1675</v>
      </c>
      <c r="M117" s="3">
        <v>75</v>
      </c>
      <c r="N117" s="3">
        <v>1017</v>
      </c>
      <c r="O117" s="3">
        <v>33</v>
      </c>
      <c r="P117" s="3">
        <v>417</v>
      </c>
      <c r="Q117" s="3">
        <v>108</v>
      </c>
      <c r="R117" s="3">
        <v>100</v>
      </c>
      <c r="S117" s="3">
        <v>16</v>
      </c>
      <c r="T117" s="3">
        <v>1</v>
      </c>
      <c r="U117" s="3">
        <v>5</v>
      </c>
      <c r="V117" s="3">
        <v>5</v>
      </c>
      <c r="W117" s="3">
        <v>5</v>
      </c>
      <c r="X117" s="3">
        <v>5</v>
      </c>
    </row>
    <row r="118" spans="1:24" x14ac:dyDescent="0.35">
      <c r="A118">
        <v>1673</v>
      </c>
      <c r="B118">
        <v>70356</v>
      </c>
      <c r="C118">
        <v>75</v>
      </c>
      <c r="D118">
        <v>0</v>
      </c>
      <c r="E118" s="28">
        <v>7.5616438356164384</v>
      </c>
      <c r="F118" s="28"/>
      <c r="G118" s="28">
        <v>1384</v>
      </c>
      <c r="H118" s="28">
        <v>63684</v>
      </c>
      <c r="I118" s="28">
        <v>1</v>
      </c>
      <c r="J118" s="28">
        <v>50</v>
      </c>
      <c r="L118" s="38">
        <v>1673</v>
      </c>
      <c r="M118" s="2">
        <v>20</v>
      </c>
      <c r="N118" s="2">
        <v>1349</v>
      </c>
      <c r="O118" s="2">
        <v>16</v>
      </c>
      <c r="P118" s="2">
        <v>249</v>
      </c>
      <c r="Q118" s="2">
        <v>43</v>
      </c>
      <c r="R118" s="2">
        <v>16</v>
      </c>
      <c r="S118" s="2">
        <v>33</v>
      </c>
      <c r="T118" s="2">
        <v>2</v>
      </c>
      <c r="U118" s="2">
        <v>10</v>
      </c>
      <c r="V118" s="2">
        <v>6</v>
      </c>
      <c r="W118" s="2">
        <v>9</v>
      </c>
      <c r="X118" s="2">
        <v>6</v>
      </c>
    </row>
    <row r="119" spans="1:24" x14ac:dyDescent="0.35">
      <c r="A119">
        <v>1672</v>
      </c>
      <c r="B119">
        <v>84618</v>
      </c>
      <c r="C119">
        <v>55</v>
      </c>
      <c r="D119">
        <v>0</v>
      </c>
      <c r="E119" s="28">
        <v>6.515068493150685</v>
      </c>
      <c r="F119" s="28"/>
      <c r="G119" s="28">
        <v>1376</v>
      </c>
      <c r="H119" s="28">
        <v>82582</v>
      </c>
      <c r="I119" s="28">
        <v>0</v>
      </c>
      <c r="J119" s="28">
        <v>43</v>
      </c>
      <c r="L119" s="37">
        <v>1672</v>
      </c>
      <c r="M119" s="3">
        <v>96</v>
      </c>
      <c r="N119" s="3">
        <v>684</v>
      </c>
      <c r="O119" s="3">
        <v>100</v>
      </c>
      <c r="P119" s="3">
        <v>801</v>
      </c>
      <c r="Q119" s="3">
        <v>21</v>
      </c>
      <c r="R119" s="3">
        <v>66</v>
      </c>
      <c r="S119" s="3">
        <v>0</v>
      </c>
      <c r="T119" s="3">
        <v>1</v>
      </c>
      <c r="U119" s="3">
        <v>6</v>
      </c>
      <c r="V119" s="3">
        <v>9</v>
      </c>
      <c r="W119" s="3">
        <v>10</v>
      </c>
      <c r="X119" s="3">
        <v>2</v>
      </c>
    </row>
    <row r="120" spans="1:24" x14ac:dyDescent="0.35">
      <c r="A120">
        <v>1672</v>
      </c>
      <c r="B120">
        <v>84865</v>
      </c>
      <c r="C120">
        <v>59</v>
      </c>
      <c r="D120">
        <v>0</v>
      </c>
      <c r="E120" s="28">
        <v>7.0547945205479454</v>
      </c>
      <c r="F120" s="28"/>
      <c r="G120" s="28">
        <v>1375</v>
      </c>
      <c r="H120" s="28">
        <v>76445</v>
      </c>
      <c r="I120" s="28">
        <v>1</v>
      </c>
      <c r="J120" s="28">
        <v>49</v>
      </c>
      <c r="L120" s="38">
        <v>1672</v>
      </c>
      <c r="M120" s="2">
        <v>1</v>
      </c>
      <c r="N120" s="2">
        <v>1248</v>
      </c>
      <c r="O120" s="2">
        <v>16</v>
      </c>
      <c r="P120" s="2">
        <v>349</v>
      </c>
      <c r="Q120" s="2">
        <v>43</v>
      </c>
      <c r="R120" s="2">
        <v>16</v>
      </c>
      <c r="S120" s="2">
        <v>16</v>
      </c>
      <c r="T120" s="2">
        <v>1</v>
      </c>
      <c r="U120" s="2">
        <v>2</v>
      </c>
      <c r="V120" s="2">
        <v>4</v>
      </c>
      <c r="W120" s="2">
        <v>9</v>
      </c>
      <c r="X120" s="2">
        <v>4</v>
      </c>
    </row>
    <row r="121" spans="1:24" x14ac:dyDescent="0.35">
      <c r="A121">
        <v>1671</v>
      </c>
      <c r="B121">
        <v>78789</v>
      </c>
      <c r="C121">
        <v>40</v>
      </c>
      <c r="D121">
        <v>0</v>
      </c>
      <c r="E121" s="28">
        <v>7.8054794520547945</v>
      </c>
      <c r="F121" s="28"/>
      <c r="G121" s="28">
        <v>1364</v>
      </c>
      <c r="H121" s="28">
        <v>76618</v>
      </c>
      <c r="I121" s="28">
        <v>0</v>
      </c>
      <c r="J121" s="28">
        <v>45</v>
      </c>
      <c r="L121" s="37">
        <v>1671</v>
      </c>
      <c r="M121" s="3">
        <v>12</v>
      </c>
      <c r="N121" s="3">
        <v>667</v>
      </c>
      <c r="O121" s="3">
        <v>50</v>
      </c>
      <c r="P121" s="3">
        <v>850</v>
      </c>
      <c r="Q121" s="3">
        <v>21</v>
      </c>
      <c r="R121" s="3">
        <v>83</v>
      </c>
      <c r="S121" s="3">
        <v>83</v>
      </c>
      <c r="T121" s="3">
        <v>1</v>
      </c>
      <c r="U121" s="3">
        <v>4</v>
      </c>
      <c r="V121" s="3">
        <v>6</v>
      </c>
      <c r="W121" s="3">
        <v>5</v>
      </c>
      <c r="X121" s="3">
        <v>2</v>
      </c>
    </row>
    <row r="122" spans="1:24" x14ac:dyDescent="0.35">
      <c r="A122">
        <v>1667</v>
      </c>
      <c r="B122">
        <v>86979</v>
      </c>
      <c r="C122">
        <v>49</v>
      </c>
      <c r="D122">
        <v>0</v>
      </c>
      <c r="E122" s="28">
        <v>6.5561643835616437</v>
      </c>
      <c r="F122" s="28"/>
      <c r="G122" s="28">
        <v>1362</v>
      </c>
      <c r="H122" s="28">
        <v>69520</v>
      </c>
      <c r="I122" s="28">
        <v>0</v>
      </c>
      <c r="J122" s="28">
        <v>37</v>
      </c>
      <c r="L122" s="38">
        <v>1667</v>
      </c>
      <c r="M122" s="2">
        <v>67</v>
      </c>
      <c r="N122" s="2">
        <v>584</v>
      </c>
      <c r="O122" s="2">
        <v>100</v>
      </c>
      <c r="P122" s="2">
        <v>835</v>
      </c>
      <c r="Q122" s="2">
        <v>65</v>
      </c>
      <c r="R122" s="2">
        <v>83</v>
      </c>
      <c r="S122" s="2">
        <v>35</v>
      </c>
      <c r="T122" s="2">
        <v>1</v>
      </c>
      <c r="U122" s="2">
        <v>5</v>
      </c>
      <c r="V122" s="2">
        <v>5</v>
      </c>
      <c r="W122" s="2">
        <v>5</v>
      </c>
      <c r="X122" s="2">
        <v>2</v>
      </c>
    </row>
    <row r="123" spans="1:24" x14ac:dyDescent="0.35">
      <c r="A123">
        <v>1664</v>
      </c>
      <c r="B123">
        <v>77610</v>
      </c>
      <c r="C123">
        <v>68</v>
      </c>
      <c r="D123">
        <v>1</v>
      </c>
      <c r="E123" s="28">
        <v>7.580821917808219</v>
      </c>
      <c r="F123" s="28"/>
      <c r="G123" s="28">
        <v>1360</v>
      </c>
      <c r="H123" s="28">
        <v>75507</v>
      </c>
      <c r="I123" s="28">
        <v>0</v>
      </c>
      <c r="J123" s="28">
        <v>41</v>
      </c>
      <c r="L123" s="37">
        <v>1664</v>
      </c>
      <c r="M123" s="3">
        <v>70</v>
      </c>
      <c r="N123" s="3">
        <v>1245</v>
      </c>
      <c r="O123" s="3">
        <v>33</v>
      </c>
      <c r="P123" s="3">
        <v>332</v>
      </c>
      <c r="Q123" s="3">
        <v>21</v>
      </c>
      <c r="R123" s="3">
        <v>33</v>
      </c>
      <c r="S123" s="3">
        <v>16</v>
      </c>
      <c r="T123" s="3">
        <v>2</v>
      </c>
      <c r="U123" s="3">
        <v>4</v>
      </c>
      <c r="V123" s="3">
        <v>7</v>
      </c>
      <c r="W123" s="3">
        <v>4</v>
      </c>
      <c r="X123" s="3">
        <v>7</v>
      </c>
    </row>
    <row r="124" spans="1:24" x14ac:dyDescent="0.35">
      <c r="A124">
        <v>1661</v>
      </c>
      <c r="B124">
        <v>79143</v>
      </c>
      <c r="C124">
        <v>56</v>
      </c>
      <c r="D124">
        <v>0</v>
      </c>
      <c r="E124" s="28">
        <v>7.7972602739726025</v>
      </c>
      <c r="F124" s="28"/>
      <c r="G124" s="28">
        <v>1360</v>
      </c>
      <c r="H124" s="28">
        <v>91065</v>
      </c>
      <c r="I124" s="28">
        <v>0</v>
      </c>
      <c r="J124" s="28">
        <v>39</v>
      </c>
      <c r="L124" s="38">
        <v>1661</v>
      </c>
      <c r="M124" s="2">
        <v>2</v>
      </c>
      <c r="N124" s="2">
        <v>650</v>
      </c>
      <c r="O124" s="2">
        <v>37</v>
      </c>
      <c r="P124" s="2">
        <v>780</v>
      </c>
      <c r="Q124" s="2">
        <v>27</v>
      </c>
      <c r="R124" s="2">
        <v>167</v>
      </c>
      <c r="S124" s="2">
        <v>32</v>
      </c>
      <c r="T124" s="2">
        <v>1</v>
      </c>
      <c r="U124" s="2">
        <v>6</v>
      </c>
      <c r="V124" s="2">
        <v>9</v>
      </c>
      <c r="W124" s="2">
        <v>13</v>
      </c>
      <c r="X124" s="2">
        <v>3</v>
      </c>
    </row>
    <row r="125" spans="1:24" x14ac:dyDescent="0.35">
      <c r="A125">
        <v>1661</v>
      </c>
      <c r="B125">
        <v>79908</v>
      </c>
      <c r="C125">
        <v>38</v>
      </c>
      <c r="D125">
        <v>0</v>
      </c>
      <c r="E125" s="28">
        <v>7.1479452054794521</v>
      </c>
      <c r="F125" s="28"/>
      <c r="G125" s="28">
        <v>1358</v>
      </c>
      <c r="H125" s="28">
        <v>85738</v>
      </c>
      <c r="I125" s="28">
        <v>0</v>
      </c>
      <c r="J125" s="28">
        <v>42</v>
      </c>
      <c r="L125" s="37">
        <v>1661</v>
      </c>
      <c r="M125" s="3">
        <v>30</v>
      </c>
      <c r="N125" s="3">
        <v>557</v>
      </c>
      <c r="O125" s="3">
        <v>129</v>
      </c>
      <c r="P125" s="3">
        <v>761</v>
      </c>
      <c r="Q125" s="3">
        <v>29</v>
      </c>
      <c r="R125" s="3">
        <v>185</v>
      </c>
      <c r="S125" s="3">
        <v>111</v>
      </c>
      <c r="T125" s="3">
        <v>1</v>
      </c>
      <c r="U125" s="3">
        <v>5</v>
      </c>
      <c r="V125" s="3">
        <v>6</v>
      </c>
      <c r="W125" s="3">
        <v>7</v>
      </c>
      <c r="X125" s="3">
        <v>2</v>
      </c>
    </row>
    <row r="126" spans="1:24" x14ac:dyDescent="0.35">
      <c r="A126">
        <v>1661</v>
      </c>
      <c r="B126">
        <v>70503</v>
      </c>
      <c r="C126">
        <v>67</v>
      </c>
      <c r="D126">
        <v>0</v>
      </c>
      <c r="E126" s="28">
        <v>7.6602739726027398</v>
      </c>
      <c r="F126" s="28"/>
      <c r="G126" s="28">
        <v>1357</v>
      </c>
      <c r="H126" s="28">
        <v>79410</v>
      </c>
      <c r="I126" s="28">
        <v>0</v>
      </c>
      <c r="J126" s="28">
        <v>59</v>
      </c>
      <c r="L126" s="38">
        <v>1661</v>
      </c>
      <c r="M126" s="2">
        <v>73</v>
      </c>
      <c r="N126" s="2">
        <v>1379</v>
      </c>
      <c r="O126" s="2">
        <v>33</v>
      </c>
      <c r="P126" s="2">
        <v>216</v>
      </c>
      <c r="Q126" s="2">
        <v>0</v>
      </c>
      <c r="R126" s="2">
        <v>33</v>
      </c>
      <c r="S126" s="2">
        <v>66</v>
      </c>
      <c r="T126" s="2">
        <v>1</v>
      </c>
      <c r="U126" s="2">
        <v>2</v>
      </c>
      <c r="V126" s="2">
        <v>4</v>
      </c>
      <c r="W126" s="2">
        <v>9</v>
      </c>
      <c r="X126" s="2">
        <v>6</v>
      </c>
    </row>
    <row r="127" spans="1:24" x14ac:dyDescent="0.35">
      <c r="A127">
        <v>1654</v>
      </c>
      <c r="B127">
        <v>69209</v>
      </c>
      <c r="C127">
        <v>48</v>
      </c>
      <c r="D127">
        <v>0</v>
      </c>
      <c r="E127" s="28">
        <v>7.6958904109589037</v>
      </c>
      <c r="F127" s="28"/>
      <c r="G127" s="28">
        <v>1352</v>
      </c>
      <c r="H127" s="28">
        <v>80134</v>
      </c>
      <c r="I127" s="28">
        <v>0</v>
      </c>
      <c r="J127" s="28">
        <v>26</v>
      </c>
      <c r="L127" s="37">
        <v>1654</v>
      </c>
      <c r="M127" s="3">
        <v>4</v>
      </c>
      <c r="N127" s="3">
        <v>496</v>
      </c>
      <c r="O127" s="3">
        <v>32</v>
      </c>
      <c r="P127" s="3">
        <v>849</v>
      </c>
      <c r="Q127" s="3">
        <v>229</v>
      </c>
      <c r="R127" s="3">
        <v>48</v>
      </c>
      <c r="S127" s="3">
        <v>128</v>
      </c>
      <c r="T127" s="3">
        <v>2</v>
      </c>
      <c r="U127" s="3">
        <v>5</v>
      </c>
      <c r="V127" s="3">
        <v>3</v>
      </c>
      <c r="W127" s="3">
        <v>6</v>
      </c>
      <c r="X127" s="3">
        <v>4</v>
      </c>
    </row>
    <row r="128" spans="1:24" x14ac:dyDescent="0.35">
      <c r="A128">
        <v>1649</v>
      </c>
      <c r="B128">
        <v>91249</v>
      </c>
      <c r="C128">
        <v>64</v>
      </c>
      <c r="D128">
        <v>0</v>
      </c>
      <c r="E128" s="28">
        <v>7.6054794520547944</v>
      </c>
      <c r="F128" s="28"/>
      <c r="G128" s="28">
        <v>1339</v>
      </c>
      <c r="H128" s="28">
        <v>69372</v>
      </c>
      <c r="I128" s="28">
        <v>0</v>
      </c>
      <c r="J128" s="28">
        <v>71</v>
      </c>
      <c r="L128" s="38">
        <v>1649</v>
      </c>
      <c r="M128" s="2">
        <v>84</v>
      </c>
      <c r="N128" s="2">
        <v>1324</v>
      </c>
      <c r="O128" s="2">
        <v>27</v>
      </c>
      <c r="P128" s="2">
        <v>119</v>
      </c>
      <c r="Q128" s="2">
        <v>71</v>
      </c>
      <c r="R128" s="2">
        <v>108</v>
      </c>
      <c r="S128" s="2">
        <v>27</v>
      </c>
      <c r="T128" s="2">
        <v>0</v>
      </c>
      <c r="U128" s="2">
        <v>7</v>
      </c>
      <c r="V128" s="2">
        <v>9</v>
      </c>
      <c r="W128" s="2">
        <v>6</v>
      </c>
      <c r="X128" s="2">
        <v>4</v>
      </c>
    </row>
    <row r="129" spans="1:24" x14ac:dyDescent="0.35">
      <c r="A129">
        <v>1645</v>
      </c>
      <c r="B129">
        <v>64509</v>
      </c>
      <c r="C129">
        <v>30</v>
      </c>
      <c r="D129">
        <v>0</v>
      </c>
      <c r="E129" s="28">
        <v>6.7808219178082192</v>
      </c>
      <c r="F129" s="28"/>
      <c r="G129" s="28">
        <v>1336</v>
      </c>
      <c r="H129" s="28">
        <v>68397</v>
      </c>
      <c r="I129" s="28">
        <v>1</v>
      </c>
      <c r="J129" s="28">
        <v>44</v>
      </c>
      <c r="L129" s="37">
        <v>1645</v>
      </c>
      <c r="M129" s="3">
        <v>19</v>
      </c>
      <c r="N129" s="3">
        <v>836</v>
      </c>
      <c r="O129" s="3">
        <v>185</v>
      </c>
      <c r="P129" s="3">
        <v>575</v>
      </c>
      <c r="Q129" s="3">
        <v>24</v>
      </c>
      <c r="R129" s="3">
        <v>25</v>
      </c>
      <c r="S129" s="3">
        <v>77</v>
      </c>
      <c r="T129" s="3">
        <v>1</v>
      </c>
      <c r="U129" s="3">
        <v>6</v>
      </c>
      <c r="V129" s="3">
        <v>3</v>
      </c>
      <c r="W129" s="3">
        <v>9</v>
      </c>
      <c r="X129" s="3">
        <v>4</v>
      </c>
    </row>
    <row r="130" spans="1:24" x14ac:dyDescent="0.35">
      <c r="A130">
        <v>1644</v>
      </c>
      <c r="B130">
        <v>80812</v>
      </c>
      <c r="C130">
        <v>67</v>
      </c>
      <c r="D130">
        <v>0</v>
      </c>
      <c r="E130" s="28">
        <v>6.6958904109589037</v>
      </c>
      <c r="F130" s="28"/>
      <c r="G130" s="28">
        <v>1334</v>
      </c>
      <c r="H130" s="28">
        <v>55951</v>
      </c>
      <c r="I130" s="28">
        <v>1</v>
      </c>
      <c r="J130" s="28">
        <v>68</v>
      </c>
      <c r="L130" s="38">
        <v>1644</v>
      </c>
      <c r="M130" s="2">
        <v>95</v>
      </c>
      <c r="N130" s="2">
        <v>769</v>
      </c>
      <c r="O130" s="2">
        <v>22</v>
      </c>
      <c r="P130" s="2">
        <v>500</v>
      </c>
      <c r="Q130" s="2">
        <v>210</v>
      </c>
      <c r="R130" s="2">
        <v>143</v>
      </c>
      <c r="S130" s="2">
        <v>33</v>
      </c>
      <c r="T130" s="2">
        <v>1</v>
      </c>
      <c r="U130" s="2">
        <v>4</v>
      </c>
      <c r="V130" s="2">
        <v>8</v>
      </c>
      <c r="W130" s="2">
        <v>5</v>
      </c>
      <c r="X130" s="2">
        <v>2</v>
      </c>
    </row>
    <row r="131" spans="1:24" x14ac:dyDescent="0.35">
      <c r="A131">
        <v>1643</v>
      </c>
      <c r="B131">
        <v>79800</v>
      </c>
      <c r="C131">
        <v>65</v>
      </c>
      <c r="D131">
        <v>0</v>
      </c>
      <c r="E131" s="28">
        <v>7.6794520547945204</v>
      </c>
      <c r="F131" s="28"/>
      <c r="G131" s="28">
        <v>1329</v>
      </c>
      <c r="H131" s="28">
        <v>85485</v>
      </c>
      <c r="I131" s="28">
        <v>0</v>
      </c>
      <c r="J131" s="28">
        <v>62</v>
      </c>
      <c r="L131" s="37">
        <v>1643</v>
      </c>
      <c r="M131" s="3">
        <v>65</v>
      </c>
      <c r="N131" s="3">
        <v>1060</v>
      </c>
      <c r="O131" s="3">
        <v>21</v>
      </c>
      <c r="P131" s="3">
        <v>530</v>
      </c>
      <c r="Q131" s="3">
        <v>32</v>
      </c>
      <c r="R131" s="3">
        <v>0</v>
      </c>
      <c r="S131" s="3">
        <v>224</v>
      </c>
      <c r="T131" s="3">
        <v>1</v>
      </c>
      <c r="U131" s="3">
        <v>5</v>
      </c>
      <c r="V131" s="3">
        <v>11</v>
      </c>
      <c r="W131" s="3">
        <v>5</v>
      </c>
      <c r="X131" s="3">
        <v>3</v>
      </c>
    </row>
    <row r="132" spans="1:24" x14ac:dyDescent="0.35">
      <c r="A132">
        <v>1641</v>
      </c>
      <c r="B132">
        <v>78569</v>
      </c>
      <c r="C132">
        <v>74</v>
      </c>
      <c r="D132">
        <v>0</v>
      </c>
      <c r="E132" s="28">
        <v>6.2712328767123289</v>
      </c>
      <c r="F132" s="28"/>
      <c r="G132" s="28">
        <v>1322</v>
      </c>
      <c r="H132" s="28">
        <v>76140</v>
      </c>
      <c r="I132" s="28">
        <v>0</v>
      </c>
      <c r="J132" s="28">
        <v>72</v>
      </c>
      <c r="L132" s="38">
        <v>1641</v>
      </c>
      <c r="M132" s="2">
        <v>14</v>
      </c>
      <c r="N132" s="2">
        <v>558</v>
      </c>
      <c r="O132" s="2">
        <v>79</v>
      </c>
      <c r="P132" s="2">
        <v>622</v>
      </c>
      <c r="Q132" s="2">
        <v>207</v>
      </c>
      <c r="R132" s="2">
        <v>175</v>
      </c>
      <c r="S132" s="2">
        <v>95</v>
      </c>
      <c r="T132" s="2">
        <v>1</v>
      </c>
      <c r="U132" s="2">
        <v>4</v>
      </c>
      <c r="V132" s="2">
        <v>6</v>
      </c>
      <c r="W132" s="2">
        <v>4</v>
      </c>
      <c r="X132" s="2">
        <v>1</v>
      </c>
    </row>
    <row r="133" spans="1:24" x14ac:dyDescent="0.35">
      <c r="A133">
        <v>1634</v>
      </c>
      <c r="B133">
        <v>75794</v>
      </c>
      <c r="C133">
        <v>33</v>
      </c>
      <c r="D133">
        <v>0</v>
      </c>
      <c r="E133" s="28">
        <v>6.4273972602739722</v>
      </c>
      <c r="F133" s="28"/>
      <c r="G133" s="28">
        <v>1320</v>
      </c>
      <c r="H133" s="28">
        <v>65819</v>
      </c>
      <c r="I133" s="28">
        <v>0</v>
      </c>
      <c r="J133" s="28">
        <v>42</v>
      </c>
      <c r="L133" s="37">
        <v>1634</v>
      </c>
      <c r="M133" s="3">
        <v>33</v>
      </c>
      <c r="N133" s="3">
        <v>754</v>
      </c>
      <c r="O133" s="3">
        <v>160</v>
      </c>
      <c r="P133" s="3">
        <v>625</v>
      </c>
      <c r="Q133" s="3">
        <v>63</v>
      </c>
      <c r="R133" s="3">
        <v>32</v>
      </c>
      <c r="S133" s="3">
        <v>48</v>
      </c>
      <c r="T133" s="3">
        <v>1</v>
      </c>
      <c r="U133" s="3">
        <v>7</v>
      </c>
      <c r="V133" s="3">
        <v>5</v>
      </c>
      <c r="W133" s="3">
        <v>12</v>
      </c>
      <c r="X133" s="3">
        <v>3</v>
      </c>
    </row>
    <row r="134" spans="1:24" x14ac:dyDescent="0.35">
      <c r="A134">
        <v>1634</v>
      </c>
      <c r="B134">
        <v>74637</v>
      </c>
      <c r="C134">
        <v>66</v>
      </c>
      <c r="D134">
        <v>0</v>
      </c>
      <c r="E134" s="28">
        <v>7.0301369863013701</v>
      </c>
      <c r="F134" s="28"/>
      <c r="G134" s="28">
        <v>1308</v>
      </c>
      <c r="H134" s="28">
        <v>64590</v>
      </c>
      <c r="I134" s="28">
        <v>0</v>
      </c>
      <c r="J134" s="28">
        <v>52</v>
      </c>
      <c r="L134" s="38">
        <v>1634</v>
      </c>
      <c r="M134" s="2">
        <v>73</v>
      </c>
      <c r="N134" s="2">
        <v>960</v>
      </c>
      <c r="O134" s="2">
        <v>64</v>
      </c>
      <c r="P134" s="2">
        <v>464</v>
      </c>
      <c r="Q134" s="2">
        <v>146</v>
      </c>
      <c r="R134" s="2">
        <v>0</v>
      </c>
      <c r="S134" s="2">
        <v>16</v>
      </c>
      <c r="T134" s="2">
        <v>1</v>
      </c>
      <c r="U134" s="2">
        <v>6</v>
      </c>
      <c r="V134" s="2">
        <v>9</v>
      </c>
      <c r="W134" s="2">
        <v>9</v>
      </c>
      <c r="X134" s="2">
        <v>3</v>
      </c>
    </row>
    <row r="135" spans="1:24" x14ac:dyDescent="0.35">
      <c r="A135">
        <v>1629</v>
      </c>
      <c r="B135">
        <v>89616</v>
      </c>
      <c r="C135">
        <v>37</v>
      </c>
      <c r="D135">
        <v>0</v>
      </c>
      <c r="E135" s="28">
        <v>7.2547945205479456</v>
      </c>
      <c r="F135" s="28"/>
      <c r="G135" s="28">
        <v>1302</v>
      </c>
      <c r="H135" s="28">
        <v>78041</v>
      </c>
      <c r="I135" s="28">
        <v>0</v>
      </c>
      <c r="J135" s="28">
        <v>49</v>
      </c>
      <c r="L135" s="37">
        <v>1629</v>
      </c>
      <c r="M135" s="3">
        <v>36</v>
      </c>
      <c r="N135" s="3">
        <v>671</v>
      </c>
      <c r="O135" s="3">
        <v>47</v>
      </c>
      <c r="P135" s="3">
        <v>655</v>
      </c>
      <c r="Q135" s="3">
        <v>145</v>
      </c>
      <c r="R135" s="3">
        <v>111</v>
      </c>
      <c r="S135" s="3">
        <v>15</v>
      </c>
      <c r="T135" s="3">
        <v>1</v>
      </c>
      <c r="U135" s="3">
        <v>7</v>
      </c>
      <c r="V135" s="3">
        <v>5</v>
      </c>
      <c r="W135" s="3">
        <v>12</v>
      </c>
      <c r="X135" s="3">
        <v>2</v>
      </c>
    </row>
    <row r="136" spans="1:24" x14ac:dyDescent="0.35">
      <c r="A136">
        <v>1627</v>
      </c>
      <c r="B136">
        <v>86358</v>
      </c>
      <c r="C136">
        <v>54</v>
      </c>
      <c r="D136">
        <v>1</v>
      </c>
      <c r="E136" s="28">
        <v>7.8054794520547945</v>
      </c>
      <c r="F136" s="28"/>
      <c r="G136" s="28">
        <v>1301</v>
      </c>
      <c r="H136" s="28">
        <v>85696</v>
      </c>
      <c r="I136" s="28">
        <v>0</v>
      </c>
      <c r="J136" s="28">
        <v>58</v>
      </c>
      <c r="L136" s="38">
        <v>1627</v>
      </c>
      <c r="M136" s="2">
        <v>78</v>
      </c>
      <c r="N136" s="2">
        <v>957</v>
      </c>
      <c r="O136" s="2">
        <v>47</v>
      </c>
      <c r="P136" s="2">
        <v>494</v>
      </c>
      <c r="Q136" s="2">
        <v>82</v>
      </c>
      <c r="R136" s="2">
        <v>47</v>
      </c>
      <c r="S136" s="2">
        <v>95</v>
      </c>
      <c r="T136" s="2">
        <v>4</v>
      </c>
      <c r="U136" s="2">
        <v>5</v>
      </c>
      <c r="V136" s="2">
        <v>3</v>
      </c>
      <c r="W136" s="2">
        <v>6</v>
      </c>
      <c r="X136" s="2">
        <v>8</v>
      </c>
    </row>
    <row r="137" spans="1:24" x14ac:dyDescent="0.35">
      <c r="A137">
        <v>1622</v>
      </c>
      <c r="B137">
        <v>68462</v>
      </c>
      <c r="C137">
        <v>51</v>
      </c>
      <c r="D137">
        <v>0</v>
      </c>
      <c r="E137" s="28">
        <v>7.4602739726027396</v>
      </c>
      <c r="F137" s="28"/>
      <c r="G137" s="28">
        <v>1300</v>
      </c>
      <c r="H137" s="28">
        <v>76068</v>
      </c>
      <c r="I137" s="28">
        <v>1</v>
      </c>
      <c r="J137" s="28">
        <v>45</v>
      </c>
      <c r="L137" s="37">
        <v>1622</v>
      </c>
      <c r="M137" s="3">
        <v>6</v>
      </c>
      <c r="N137" s="3">
        <v>561</v>
      </c>
      <c r="O137" s="3">
        <v>64</v>
      </c>
      <c r="P137" s="3">
        <v>785</v>
      </c>
      <c r="Q137" s="3">
        <v>84</v>
      </c>
      <c r="R137" s="3">
        <v>128</v>
      </c>
      <c r="S137" s="3">
        <v>48</v>
      </c>
      <c r="T137" s="3">
        <v>1</v>
      </c>
      <c r="U137" s="3">
        <v>3</v>
      </c>
      <c r="V137" s="3">
        <v>3</v>
      </c>
      <c r="W137" s="3">
        <v>8</v>
      </c>
      <c r="X137" s="3">
        <v>1</v>
      </c>
    </row>
    <row r="138" spans="1:24" x14ac:dyDescent="0.35">
      <c r="A138">
        <v>1614</v>
      </c>
      <c r="B138">
        <v>68281</v>
      </c>
      <c r="C138">
        <v>62</v>
      </c>
      <c r="D138">
        <v>0</v>
      </c>
      <c r="E138" s="28">
        <v>7.8082191780821919</v>
      </c>
      <c r="F138" s="28"/>
      <c r="G138" s="28">
        <v>1294</v>
      </c>
      <c r="H138" s="28">
        <v>81795</v>
      </c>
      <c r="I138" s="28">
        <v>0</v>
      </c>
      <c r="J138" s="28">
        <v>68</v>
      </c>
      <c r="L138" s="38">
        <v>1614</v>
      </c>
      <c r="M138" s="2">
        <v>31</v>
      </c>
      <c r="N138" s="2">
        <v>995</v>
      </c>
      <c r="O138" s="2">
        <v>112</v>
      </c>
      <c r="P138" s="2">
        <v>417</v>
      </c>
      <c r="Q138" s="2">
        <v>42</v>
      </c>
      <c r="R138" s="2">
        <v>48</v>
      </c>
      <c r="S138" s="2">
        <v>41</v>
      </c>
      <c r="T138" s="2">
        <v>1</v>
      </c>
      <c r="U138" s="2">
        <v>2</v>
      </c>
      <c r="V138" s="2">
        <v>9</v>
      </c>
      <c r="W138" s="2">
        <v>13</v>
      </c>
      <c r="X138" s="2">
        <v>5</v>
      </c>
    </row>
    <row r="139" spans="1:24" x14ac:dyDescent="0.35">
      <c r="A139">
        <v>1612</v>
      </c>
      <c r="B139">
        <v>64497</v>
      </c>
      <c r="C139">
        <v>66</v>
      </c>
      <c r="D139">
        <v>1</v>
      </c>
      <c r="E139" s="28">
        <v>7.7150684931506852</v>
      </c>
      <c r="F139" s="28"/>
      <c r="G139" s="28">
        <v>1288</v>
      </c>
      <c r="H139" s="28">
        <v>66582</v>
      </c>
      <c r="I139" s="28">
        <v>0</v>
      </c>
      <c r="J139" s="28">
        <v>51</v>
      </c>
      <c r="L139" s="37">
        <v>1612</v>
      </c>
      <c r="M139" s="3">
        <v>17</v>
      </c>
      <c r="N139" s="3">
        <v>1170</v>
      </c>
      <c r="O139" s="3">
        <v>48</v>
      </c>
      <c r="P139" s="3">
        <v>320</v>
      </c>
      <c r="Q139" s="3">
        <v>42</v>
      </c>
      <c r="R139" s="3">
        <v>32</v>
      </c>
      <c r="S139" s="3">
        <v>192</v>
      </c>
      <c r="T139" s="3">
        <v>5</v>
      </c>
      <c r="U139" s="3">
        <v>11</v>
      </c>
      <c r="V139" s="3">
        <v>4</v>
      </c>
      <c r="W139" s="3">
        <v>9</v>
      </c>
      <c r="X139" s="3">
        <v>8</v>
      </c>
    </row>
    <row r="140" spans="1:24" x14ac:dyDescent="0.35">
      <c r="A140">
        <v>1610</v>
      </c>
      <c r="B140">
        <v>74004</v>
      </c>
      <c r="C140">
        <v>33</v>
      </c>
      <c r="D140">
        <v>0</v>
      </c>
      <c r="E140" s="28">
        <v>6.2575342465753421</v>
      </c>
      <c r="F140" s="28"/>
      <c r="G140" s="28">
        <v>1287</v>
      </c>
      <c r="H140" s="28">
        <v>70713</v>
      </c>
      <c r="I140" s="28">
        <v>1</v>
      </c>
      <c r="J140" s="28">
        <v>54</v>
      </c>
      <c r="L140" s="38">
        <v>1610</v>
      </c>
      <c r="M140" s="2">
        <v>5</v>
      </c>
      <c r="N140" s="2">
        <v>784</v>
      </c>
      <c r="O140" s="2">
        <v>48</v>
      </c>
      <c r="P140" s="2">
        <v>560</v>
      </c>
      <c r="Q140" s="2">
        <v>42</v>
      </c>
      <c r="R140" s="2">
        <v>176</v>
      </c>
      <c r="S140" s="2">
        <v>48</v>
      </c>
      <c r="T140" s="2">
        <v>1</v>
      </c>
      <c r="U140" s="2">
        <v>4</v>
      </c>
      <c r="V140" s="2">
        <v>6</v>
      </c>
      <c r="W140" s="2">
        <v>4</v>
      </c>
      <c r="X140" s="2">
        <v>3</v>
      </c>
    </row>
    <row r="141" spans="1:24" x14ac:dyDescent="0.35">
      <c r="A141">
        <v>1610</v>
      </c>
      <c r="B141">
        <v>80134</v>
      </c>
      <c r="C141">
        <v>48</v>
      </c>
      <c r="D141">
        <v>1</v>
      </c>
      <c r="E141" s="28">
        <v>7.0246575342465754</v>
      </c>
      <c r="F141" s="28"/>
      <c r="G141" s="28">
        <v>1285</v>
      </c>
      <c r="H141" s="28">
        <v>82733</v>
      </c>
      <c r="I141" s="28">
        <v>0</v>
      </c>
      <c r="J141" s="28">
        <v>36</v>
      </c>
      <c r="L141" s="37">
        <v>1610</v>
      </c>
      <c r="M141" s="3">
        <v>40</v>
      </c>
      <c r="N141" s="3">
        <v>1218</v>
      </c>
      <c r="O141" s="3">
        <v>16</v>
      </c>
      <c r="P141" s="3">
        <v>272</v>
      </c>
      <c r="Q141" s="3">
        <v>104</v>
      </c>
      <c r="R141" s="3">
        <v>0</v>
      </c>
      <c r="S141" s="3">
        <v>80</v>
      </c>
      <c r="T141" s="3">
        <v>2</v>
      </c>
      <c r="U141" s="3">
        <v>5</v>
      </c>
      <c r="V141" s="3">
        <v>3</v>
      </c>
      <c r="W141" s="3">
        <v>6</v>
      </c>
      <c r="X141" s="3">
        <v>6</v>
      </c>
    </row>
    <row r="142" spans="1:24" x14ac:dyDescent="0.35">
      <c r="A142">
        <v>1607</v>
      </c>
      <c r="B142">
        <v>82571</v>
      </c>
      <c r="C142">
        <v>58</v>
      </c>
      <c r="D142">
        <v>0</v>
      </c>
      <c r="E142" s="28">
        <v>6.1561643835616442</v>
      </c>
      <c r="F142" s="28"/>
      <c r="G142" s="28">
        <v>1282</v>
      </c>
      <c r="H142" s="28">
        <v>62859</v>
      </c>
      <c r="I142" s="28">
        <v>1</v>
      </c>
      <c r="J142" s="28">
        <v>61</v>
      </c>
      <c r="L142" s="38">
        <v>1607</v>
      </c>
      <c r="M142" s="2">
        <v>28</v>
      </c>
      <c r="N142" s="2">
        <v>861</v>
      </c>
      <c r="O142" s="2">
        <v>31</v>
      </c>
      <c r="P142" s="2">
        <v>558</v>
      </c>
      <c r="Q142" s="2">
        <v>62</v>
      </c>
      <c r="R142" s="2">
        <v>95</v>
      </c>
      <c r="S142" s="2">
        <v>79</v>
      </c>
      <c r="T142" s="2">
        <v>0</v>
      </c>
      <c r="U142" s="2">
        <v>6</v>
      </c>
      <c r="V142" s="2">
        <v>5</v>
      </c>
      <c r="W142" s="2">
        <v>13</v>
      </c>
      <c r="X142" s="2">
        <v>2</v>
      </c>
    </row>
    <row r="143" spans="1:24" x14ac:dyDescent="0.35">
      <c r="A143">
        <v>1606</v>
      </c>
      <c r="B143">
        <v>76995</v>
      </c>
      <c r="C143">
        <v>71</v>
      </c>
      <c r="D143">
        <v>1</v>
      </c>
      <c r="E143" s="28">
        <v>7.1698630136986301</v>
      </c>
      <c r="F143" s="28"/>
      <c r="G143" s="28">
        <v>1281</v>
      </c>
      <c r="H143" s="28">
        <v>72550</v>
      </c>
      <c r="I143" s="28">
        <v>1</v>
      </c>
      <c r="J143" s="28">
        <v>66</v>
      </c>
      <c r="L143" s="37">
        <v>1606</v>
      </c>
      <c r="M143" s="3">
        <v>91</v>
      </c>
      <c r="N143" s="3">
        <v>1012</v>
      </c>
      <c r="O143" s="3">
        <v>80</v>
      </c>
      <c r="P143" s="3">
        <v>498</v>
      </c>
      <c r="Q143" s="3">
        <v>0</v>
      </c>
      <c r="R143" s="3">
        <v>16</v>
      </c>
      <c r="S143" s="3">
        <v>176</v>
      </c>
      <c r="T143" s="3">
        <v>2</v>
      </c>
      <c r="U143" s="3">
        <v>11</v>
      </c>
      <c r="V143" s="3">
        <v>4</v>
      </c>
      <c r="W143" s="3">
        <v>9</v>
      </c>
      <c r="X143" s="3">
        <v>5</v>
      </c>
    </row>
    <row r="144" spans="1:24" x14ac:dyDescent="0.35">
      <c r="A144">
        <v>1606</v>
      </c>
      <c r="B144">
        <v>90933</v>
      </c>
      <c r="C144">
        <v>66</v>
      </c>
      <c r="D144">
        <v>0</v>
      </c>
      <c r="E144" s="28">
        <v>6.161643835616438</v>
      </c>
      <c r="F144" s="28"/>
      <c r="G144" s="28">
        <v>1281</v>
      </c>
      <c r="H144" s="28">
        <v>74165</v>
      </c>
      <c r="I144" s="28">
        <v>0</v>
      </c>
      <c r="J144" s="28">
        <v>45</v>
      </c>
      <c r="L144" s="38">
        <v>1606</v>
      </c>
      <c r="M144" s="2">
        <v>90</v>
      </c>
      <c r="N144" s="2">
        <v>1020</v>
      </c>
      <c r="O144" s="2">
        <v>31</v>
      </c>
      <c r="P144" s="2">
        <v>430</v>
      </c>
      <c r="Q144" s="2">
        <v>62</v>
      </c>
      <c r="R144" s="2">
        <v>63</v>
      </c>
      <c r="S144" s="2">
        <v>79</v>
      </c>
      <c r="T144" s="2">
        <v>1</v>
      </c>
      <c r="U144" s="2">
        <v>4</v>
      </c>
      <c r="V144" s="2">
        <v>6</v>
      </c>
      <c r="W144" s="2">
        <v>4</v>
      </c>
      <c r="X144" s="2">
        <v>1</v>
      </c>
    </row>
    <row r="145" spans="1:24" x14ac:dyDescent="0.35">
      <c r="A145">
        <v>1606</v>
      </c>
      <c r="B145">
        <v>71670</v>
      </c>
      <c r="C145">
        <v>58</v>
      </c>
      <c r="D145">
        <v>0</v>
      </c>
      <c r="E145" s="28">
        <v>6.8876712328767127</v>
      </c>
      <c r="F145" s="28"/>
      <c r="G145" s="28">
        <v>1271</v>
      </c>
      <c r="H145" s="28">
        <v>70638</v>
      </c>
      <c r="I145" s="28">
        <v>0</v>
      </c>
      <c r="J145" s="28">
        <v>65</v>
      </c>
      <c r="L145" s="37">
        <v>1606</v>
      </c>
      <c r="M145" s="3">
        <v>8</v>
      </c>
      <c r="N145" s="3">
        <v>1462</v>
      </c>
      <c r="O145" s="3">
        <v>16</v>
      </c>
      <c r="P145" s="3">
        <v>128</v>
      </c>
      <c r="Q145" s="3">
        <v>0</v>
      </c>
      <c r="R145" s="3">
        <v>0</v>
      </c>
      <c r="S145" s="3">
        <v>160</v>
      </c>
      <c r="T145" s="3">
        <v>1</v>
      </c>
      <c r="U145" s="3">
        <v>5</v>
      </c>
      <c r="V145" s="3">
        <v>3</v>
      </c>
      <c r="W145" s="3">
        <v>6</v>
      </c>
      <c r="X145" s="3">
        <v>6</v>
      </c>
    </row>
    <row r="146" spans="1:24" x14ac:dyDescent="0.35">
      <c r="A146">
        <v>1605</v>
      </c>
      <c r="B146">
        <v>90247</v>
      </c>
      <c r="C146">
        <v>32</v>
      </c>
      <c r="D146">
        <v>0</v>
      </c>
      <c r="E146" s="28">
        <v>6.0821917808219181</v>
      </c>
      <c r="F146" s="28"/>
      <c r="G146" s="28">
        <v>1270</v>
      </c>
      <c r="H146" s="28">
        <v>63810</v>
      </c>
      <c r="I146" s="28">
        <v>1</v>
      </c>
      <c r="J146" s="28">
        <v>54</v>
      </c>
      <c r="L146" s="38">
        <v>1605</v>
      </c>
      <c r="M146" s="2">
        <v>27</v>
      </c>
      <c r="N146" s="2">
        <v>1184</v>
      </c>
      <c r="O146" s="2">
        <v>32</v>
      </c>
      <c r="P146" s="2">
        <v>352</v>
      </c>
      <c r="Q146" s="2">
        <v>21</v>
      </c>
      <c r="R146" s="2">
        <v>16</v>
      </c>
      <c r="S146" s="2">
        <v>16</v>
      </c>
      <c r="T146" s="2">
        <v>1</v>
      </c>
      <c r="U146" s="2">
        <v>3</v>
      </c>
      <c r="V146" s="2">
        <v>4</v>
      </c>
      <c r="W146" s="2">
        <v>7</v>
      </c>
      <c r="X146" s="2">
        <v>1</v>
      </c>
    </row>
    <row r="147" spans="1:24" x14ac:dyDescent="0.35">
      <c r="A147">
        <v>1601</v>
      </c>
      <c r="B147">
        <v>93404</v>
      </c>
      <c r="C147">
        <v>66</v>
      </c>
      <c r="D147">
        <v>1</v>
      </c>
      <c r="E147" s="28">
        <v>7.0602739726027401</v>
      </c>
      <c r="F147" s="28"/>
      <c r="G147" s="28">
        <v>1270</v>
      </c>
      <c r="H147" s="28">
        <v>82800</v>
      </c>
      <c r="I147" s="28">
        <v>0</v>
      </c>
      <c r="J147" s="28">
        <v>74</v>
      </c>
      <c r="L147" s="37">
        <v>1601</v>
      </c>
      <c r="M147" s="3">
        <v>97</v>
      </c>
      <c r="N147" s="3">
        <v>1279</v>
      </c>
      <c r="O147" s="3">
        <v>15</v>
      </c>
      <c r="P147" s="3">
        <v>287</v>
      </c>
      <c r="Q147" s="3">
        <v>20</v>
      </c>
      <c r="R147" s="3">
        <v>0</v>
      </c>
      <c r="S147" s="3">
        <v>15</v>
      </c>
      <c r="T147" s="3">
        <v>3</v>
      </c>
      <c r="U147" s="3">
        <v>3</v>
      </c>
      <c r="V147" s="3">
        <v>4</v>
      </c>
      <c r="W147" s="3">
        <v>7</v>
      </c>
      <c r="X147" s="3">
        <v>5</v>
      </c>
    </row>
    <row r="148" spans="1:24" x14ac:dyDescent="0.35">
      <c r="A148">
        <v>1600</v>
      </c>
      <c r="B148">
        <v>79419</v>
      </c>
      <c r="C148">
        <v>50</v>
      </c>
      <c r="D148">
        <v>0</v>
      </c>
      <c r="E148" s="28">
        <v>5.934246575342466</v>
      </c>
      <c r="F148" s="28"/>
      <c r="G148" s="28">
        <v>1257</v>
      </c>
      <c r="H148" s="28">
        <v>63972</v>
      </c>
      <c r="I148" s="28">
        <v>1</v>
      </c>
      <c r="J148" s="28">
        <v>56</v>
      </c>
      <c r="L148" s="38">
        <v>1600</v>
      </c>
      <c r="M148" s="2">
        <v>96</v>
      </c>
      <c r="N148" s="2">
        <v>751</v>
      </c>
      <c r="O148" s="2">
        <v>127</v>
      </c>
      <c r="P148" s="2">
        <v>687</v>
      </c>
      <c r="Q148" s="2">
        <v>20</v>
      </c>
      <c r="R148" s="2">
        <v>15</v>
      </c>
      <c r="S148" s="2">
        <v>31</v>
      </c>
      <c r="T148" s="2">
        <v>1</v>
      </c>
      <c r="U148" s="2">
        <v>4</v>
      </c>
      <c r="V148" s="2">
        <v>6</v>
      </c>
      <c r="W148" s="2">
        <v>4</v>
      </c>
      <c r="X148" s="2">
        <v>2</v>
      </c>
    </row>
    <row r="149" spans="1:24" x14ac:dyDescent="0.35">
      <c r="A149">
        <v>1599</v>
      </c>
      <c r="B149">
        <v>83790</v>
      </c>
      <c r="C149">
        <v>72</v>
      </c>
      <c r="D149">
        <v>0</v>
      </c>
      <c r="E149" s="28">
        <v>6.5342465753424657</v>
      </c>
      <c r="F149" s="28"/>
      <c r="G149" s="28">
        <v>1253</v>
      </c>
      <c r="H149" s="28">
        <v>70617</v>
      </c>
      <c r="I149" s="28">
        <v>0</v>
      </c>
      <c r="J149" s="28">
        <v>50</v>
      </c>
      <c r="L149" s="37">
        <v>1599</v>
      </c>
      <c r="M149" s="3">
        <v>81</v>
      </c>
      <c r="N149" s="3">
        <v>1076</v>
      </c>
      <c r="O149" s="3">
        <v>16</v>
      </c>
      <c r="P149" s="3">
        <v>417</v>
      </c>
      <c r="Q149" s="3">
        <v>42</v>
      </c>
      <c r="R149" s="3">
        <v>48</v>
      </c>
      <c r="S149" s="3">
        <v>16</v>
      </c>
      <c r="T149" s="3">
        <v>1</v>
      </c>
      <c r="U149" s="3">
        <v>8</v>
      </c>
      <c r="V149" s="3">
        <v>10</v>
      </c>
      <c r="W149" s="3">
        <v>6</v>
      </c>
      <c r="X149" s="3">
        <v>3</v>
      </c>
    </row>
    <row r="150" spans="1:24" x14ac:dyDescent="0.35">
      <c r="A150">
        <v>1588</v>
      </c>
      <c r="B150">
        <v>73705</v>
      </c>
      <c r="C150">
        <v>69</v>
      </c>
      <c r="D150">
        <v>1</v>
      </c>
      <c r="E150" s="28">
        <v>6.2328767123287667</v>
      </c>
      <c r="F150" s="28"/>
      <c r="G150" s="28">
        <v>1241</v>
      </c>
      <c r="H150" s="28">
        <v>66991</v>
      </c>
      <c r="I150" s="28">
        <v>0</v>
      </c>
      <c r="J150" s="28">
        <v>66</v>
      </c>
      <c r="L150" s="38">
        <v>1588</v>
      </c>
      <c r="M150" s="2">
        <v>86</v>
      </c>
      <c r="N150" s="2">
        <v>612</v>
      </c>
      <c r="O150" s="2">
        <v>91</v>
      </c>
      <c r="P150" s="2">
        <v>520</v>
      </c>
      <c r="Q150" s="2">
        <v>258</v>
      </c>
      <c r="R150" s="2">
        <v>107</v>
      </c>
      <c r="S150" s="2">
        <v>107</v>
      </c>
      <c r="T150" s="2">
        <v>2</v>
      </c>
      <c r="U150" s="2">
        <v>9</v>
      </c>
      <c r="V150" s="2">
        <v>6</v>
      </c>
      <c r="W150" s="2">
        <v>8</v>
      </c>
      <c r="X150" s="2">
        <v>5</v>
      </c>
    </row>
    <row r="151" spans="1:24" x14ac:dyDescent="0.35">
      <c r="A151">
        <v>1587</v>
      </c>
      <c r="B151">
        <v>61416</v>
      </c>
      <c r="C151">
        <v>38</v>
      </c>
      <c r="D151">
        <v>0</v>
      </c>
      <c r="E151" s="28">
        <v>7.3013698630136989</v>
      </c>
      <c r="F151" s="28"/>
      <c r="G151" s="28">
        <v>1237</v>
      </c>
      <c r="H151" s="28">
        <v>78499</v>
      </c>
      <c r="I151" s="28">
        <v>0</v>
      </c>
      <c r="J151" s="28">
        <v>63</v>
      </c>
      <c r="L151" s="37">
        <v>1587</v>
      </c>
      <c r="M151" s="3">
        <v>25</v>
      </c>
      <c r="N151" s="3">
        <v>848</v>
      </c>
      <c r="O151" s="3">
        <v>154</v>
      </c>
      <c r="P151" s="3">
        <v>323</v>
      </c>
      <c r="Q151" s="3">
        <v>201</v>
      </c>
      <c r="R151" s="3">
        <v>61</v>
      </c>
      <c r="S151" s="3">
        <v>78</v>
      </c>
      <c r="T151" s="3">
        <v>1</v>
      </c>
      <c r="U151" s="3">
        <v>10</v>
      </c>
      <c r="V151" s="3">
        <v>3</v>
      </c>
      <c r="W151" s="3">
        <v>10</v>
      </c>
      <c r="X151" s="3">
        <v>6</v>
      </c>
    </row>
    <row r="152" spans="1:24" x14ac:dyDescent="0.35">
      <c r="A152">
        <v>1584</v>
      </c>
      <c r="B152">
        <v>71128</v>
      </c>
      <c r="C152">
        <v>47</v>
      </c>
      <c r="D152">
        <v>1</v>
      </c>
      <c r="E152" s="28">
        <v>7.6438356164383565</v>
      </c>
      <c r="F152" s="28"/>
      <c r="G152" s="28">
        <v>1235</v>
      </c>
      <c r="H152" s="28">
        <v>92556</v>
      </c>
      <c r="I152" s="28">
        <v>0</v>
      </c>
      <c r="J152" s="28">
        <v>60</v>
      </c>
      <c r="L152" s="38">
        <v>1584</v>
      </c>
      <c r="M152" s="2">
        <v>80</v>
      </c>
      <c r="N152" s="2">
        <v>958</v>
      </c>
      <c r="O152" s="2">
        <v>159</v>
      </c>
      <c r="P152" s="2">
        <v>447</v>
      </c>
      <c r="Q152" s="2">
        <v>20</v>
      </c>
      <c r="R152" s="2">
        <v>0</v>
      </c>
      <c r="S152" s="2">
        <v>31</v>
      </c>
      <c r="T152" s="2">
        <v>3</v>
      </c>
      <c r="U152" s="2">
        <v>2</v>
      </c>
      <c r="V152" s="2">
        <v>10</v>
      </c>
      <c r="W152" s="2">
        <v>12</v>
      </c>
      <c r="X152" s="2">
        <v>7</v>
      </c>
    </row>
    <row r="153" spans="1:24" x14ac:dyDescent="0.35">
      <c r="A153">
        <v>1577</v>
      </c>
      <c r="B153">
        <v>78331</v>
      </c>
      <c r="C153">
        <v>62</v>
      </c>
      <c r="D153">
        <v>1</v>
      </c>
      <c r="E153" s="28">
        <v>6.3452054794520549</v>
      </c>
      <c r="F153" s="28"/>
      <c r="G153" s="28">
        <v>1230</v>
      </c>
      <c r="H153" s="28">
        <v>75865</v>
      </c>
      <c r="I153" s="28">
        <v>0</v>
      </c>
      <c r="J153" s="28">
        <v>77</v>
      </c>
      <c r="L153" s="37">
        <v>1577</v>
      </c>
      <c r="M153" s="3">
        <v>97</v>
      </c>
      <c r="N153" s="3">
        <v>756</v>
      </c>
      <c r="O153" s="3">
        <v>138</v>
      </c>
      <c r="P153" s="3">
        <v>354</v>
      </c>
      <c r="Q153" s="3">
        <v>160</v>
      </c>
      <c r="R153" s="3">
        <v>169</v>
      </c>
      <c r="S153" s="3">
        <v>61</v>
      </c>
      <c r="T153" s="3">
        <v>2</v>
      </c>
      <c r="U153" s="3">
        <v>10</v>
      </c>
      <c r="V153" s="3">
        <v>6</v>
      </c>
      <c r="W153" s="3">
        <v>7</v>
      </c>
      <c r="X153" s="3">
        <v>4</v>
      </c>
    </row>
    <row r="154" spans="1:24" x14ac:dyDescent="0.35">
      <c r="A154">
        <v>1571</v>
      </c>
      <c r="B154">
        <v>90369</v>
      </c>
      <c r="C154">
        <v>64</v>
      </c>
      <c r="D154">
        <v>0</v>
      </c>
      <c r="E154" s="28">
        <v>6.0849315068493155</v>
      </c>
      <c r="F154" s="28"/>
      <c r="G154" s="28">
        <v>1229</v>
      </c>
      <c r="H154" s="28">
        <v>75114</v>
      </c>
      <c r="I154" s="28">
        <v>0</v>
      </c>
      <c r="J154" s="28">
        <v>28</v>
      </c>
      <c r="L154" s="38">
        <v>1571</v>
      </c>
      <c r="M154" s="2">
        <v>2</v>
      </c>
      <c r="N154" s="2">
        <v>292</v>
      </c>
      <c r="O154" s="2">
        <v>51</v>
      </c>
      <c r="P154" s="2">
        <v>981</v>
      </c>
      <c r="Q154" s="2">
        <v>224</v>
      </c>
      <c r="R154" s="2">
        <v>23</v>
      </c>
      <c r="S154" s="2">
        <v>17</v>
      </c>
      <c r="T154" s="2">
        <v>1</v>
      </c>
      <c r="U154" s="2">
        <v>4</v>
      </c>
      <c r="V154" s="2">
        <v>6</v>
      </c>
      <c r="W154" s="2">
        <v>6</v>
      </c>
      <c r="X154" s="2">
        <v>1</v>
      </c>
    </row>
    <row r="155" spans="1:24" x14ac:dyDescent="0.35">
      <c r="A155">
        <v>1571</v>
      </c>
      <c r="B155">
        <v>80398</v>
      </c>
      <c r="C155">
        <v>54</v>
      </c>
      <c r="D155">
        <v>0</v>
      </c>
      <c r="E155" s="28">
        <v>7.5479452054794525</v>
      </c>
      <c r="F155" s="28"/>
      <c r="G155" s="28">
        <v>1228</v>
      </c>
      <c r="H155" s="28">
        <v>64849</v>
      </c>
      <c r="I155" s="28">
        <v>0</v>
      </c>
      <c r="J155" s="28">
        <v>63</v>
      </c>
      <c r="L155" s="37">
        <v>1571</v>
      </c>
      <c r="M155" s="3">
        <v>92</v>
      </c>
      <c r="N155" s="3">
        <v>342</v>
      </c>
      <c r="O155" s="3">
        <v>51</v>
      </c>
      <c r="P155" s="3">
        <v>936</v>
      </c>
      <c r="Q155" s="3">
        <v>207</v>
      </c>
      <c r="R155" s="3">
        <v>35</v>
      </c>
      <c r="S155" s="3">
        <v>26</v>
      </c>
      <c r="T155" s="3">
        <v>1</v>
      </c>
      <c r="U155" s="3">
        <v>5</v>
      </c>
      <c r="V155" s="3">
        <v>8</v>
      </c>
      <c r="W155" s="3">
        <v>12</v>
      </c>
      <c r="X155" s="3">
        <v>3</v>
      </c>
    </row>
    <row r="156" spans="1:24" x14ac:dyDescent="0.35">
      <c r="A156">
        <v>1570</v>
      </c>
      <c r="B156">
        <v>88325</v>
      </c>
      <c r="C156">
        <v>39</v>
      </c>
      <c r="D156">
        <v>0</v>
      </c>
      <c r="E156" s="28">
        <v>6.3095890410958901</v>
      </c>
      <c r="F156" s="28"/>
      <c r="G156" s="28">
        <v>1220</v>
      </c>
      <c r="H156" s="28">
        <v>66426</v>
      </c>
      <c r="I156" s="28">
        <v>1</v>
      </c>
      <c r="J156" s="28">
        <v>59</v>
      </c>
      <c r="L156" s="38">
        <v>1570</v>
      </c>
      <c r="M156" s="2">
        <v>42</v>
      </c>
      <c r="N156" s="2">
        <v>519</v>
      </c>
      <c r="O156" s="2">
        <v>71</v>
      </c>
      <c r="P156" s="2">
        <v>860</v>
      </c>
      <c r="Q156" s="2">
        <v>93</v>
      </c>
      <c r="R156" s="2">
        <v>27</v>
      </c>
      <c r="S156" s="2">
        <v>53</v>
      </c>
      <c r="T156" s="2">
        <v>1</v>
      </c>
      <c r="U156" s="2">
        <v>6</v>
      </c>
      <c r="V156" s="2">
        <v>2</v>
      </c>
      <c r="W156" s="2">
        <v>9</v>
      </c>
      <c r="X156" s="2">
        <v>2</v>
      </c>
    </row>
    <row r="157" spans="1:24" x14ac:dyDescent="0.35">
      <c r="A157">
        <v>1566</v>
      </c>
      <c r="B157">
        <v>74068</v>
      </c>
      <c r="C157">
        <v>44</v>
      </c>
      <c r="D157">
        <v>0</v>
      </c>
      <c r="E157" s="28">
        <v>7.1945205479452055</v>
      </c>
      <c r="F157" s="28"/>
      <c r="G157" s="28">
        <v>1217</v>
      </c>
      <c r="H157" s="28">
        <v>56981</v>
      </c>
      <c r="I157" s="28">
        <v>0</v>
      </c>
      <c r="J157" s="28">
        <v>39</v>
      </c>
      <c r="L157" s="37">
        <v>1566</v>
      </c>
      <c r="M157" s="3">
        <v>14</v>
      </c>
      <c r="N157" s="3">
        <v>783</v>
      </c>
      <c r="O157" s="3">
        <v>30</v>
      </c>
      <c r="P157" s="3">
        <v>537</v>
      </c>
      <c r="Q157" s="3">
        <v>140</v>
      </c>
      <c r="R157" s="3">
        <v>76</v>
      </c>
      <c r="S157" s="3">
        <v>15</v>
      </c>
      <c r="T157" s="3">
        <v>1</v>
      </c>
      <c r="U157" s="3">
        <v>4</v>
      </c>
      <c r="V157" s="3">
        <v>10</v>
      </c>
      <c r="W157" s="3">
        <v>9</v>
      </c>
      <c r="X157" s="3">
        <v>2</v>
      </c>
    </row>
    <row r="158" spans="1:24" x14ac:dyDescent="0.35">
      <c r="A158">
        <v>1565</v>
      </c>
      <c r="B158">
        <v>73926</v>
      </c>
      <c r="C158">
        <v>47</v>
      </c>
      <c r="D158">
        <v>0</v>
      </c>
      <c r="E158" s="28">
        <v>7.2410958904109588</v>
      </c>
      <c r="F158" s="28"/>
      <c r="G158" s="28">
        <v>1214</v>
      </c>
      <c r="H158" s="28">
        <v>62220</v>
      </c>
      <c r="I158" s="28">
        <v>1</v>
      </c>
      <c r="J158" s="28">
        <v>48</v>
      </c>
      <c r="L158" s="38">
        <v>1565</v>
      </c>
      <c r="M158" s="2">
        <v>54</v>
      </c>
      <c r="N158" s="2">
        <v>627</v>
      </c>
      <c r="O158" s="2">
        <v>91</v>
      </c>
      <c r="P158" s="2">
        <v>597</v>
      </c>
      <c r="Q158" s="2">
        <v>159</v>
      </c>
      <c r="R158" s="2">
        <v>91</v>
      </c>
      <c r="S158" s="2">
        <v>15</v>
      </c>
      <c r="T158" s="2">
        <v>1</v>
      </c>
      <c r="U158" s="2">
        <v>6</v>
      </c>
      <c r="V158" s="2">
        <v>5</v>
      </c>
      <c r="W158" s="2">
        <v>12</v>
      </c>
      <c r="X158" s="2">
        <v>3</v>
      </c>
    </row>
    <row r="159" spans="1:24" x14ac:dyDescent="0.35">
      <c r="A159">
        <v>1561</v>
      </c>
      <c r="B159">
        <v>81975</v>
      </c>
      <c r="C159">
        <v>58</v>
      </c>
      <c r="D159">
        <v>1</v>
      </c>
      <c r="E159" s="28">
        <v>7.3945205479452056</v>
      </c>
      <c r="F159" s="28"/>
      <c r="G159" s="28">
        <v>1214</v>
      </c>
      <c r="H159" s="28">
        <v>51563</v>
      </c>
      <c r="I159" s="28">
        <v>0</v>
      </c>
      <c r="J159" s="28">
        <v>33</v>
      </c>
      <c r="L159" s="37">
        <v>1561</v>
      </c>
      <c r="M159" s="3">
        <v>2</v>
      </c>
      <c r="N159" s="3">
        <v>983</v>
      </c>
      <c r="O159" s="3">
        <v>76</v>
      </c>
      <c r="P159" s="3">
        <v>184</v>
      </c>
      <c r="Q159" s="3">
        <v>180</v>
      </c>
      <c r="R159" s="3">
        <v>138</v>
      </c>
      <c r="S159" s="3">
        <v>27</v>
      </c>
      <c r="T159" s="3">
        <v>1</v>
      </c>
      <c r="U159" s="3">
        <v>6</v>
      </c>
      <c r="V159" s="3">
        <v>3</v>
      </c>
      <c r="W159" s="3">
        <v>4</v>
      </c>
      <c r="X159" s="3">
        <v>7</v>
      </c>
    </row>
    <row r="160" spans="1:24" x14ac:dyDescent="0.35">
      <c r="A160">
        <v>1556</v>
      </c>
      <c r="B160">
        <v>69084</v>
      </c>
      <c r="C160">
        <v>50</v>
      </c>
      <c r="D160">
        <v>1</v>
      </c>
      <c r="E160" s="28">
        <v>6.5232876712328771</v>
      </c>
      <c r="F160" s="28"/>
      <c r="G160" s="28">
        <v>1211</v>
      </c>
      <c r="H160" s="28">
        <v>71022</v>
      </c>
      <c r="I160" s="28">
        <v>1</v>
      </c>
      <c r="J160" s="28">
        <v>42</v>
      </c>
      <c r="L160" s="38">
        <v>1556</v>
      </c>
      <c r="M160" s="2">
        <v>43</v>
      </c>
      <c r="N160" s="2">
        <v>1181</v>
      </c>
      <c r="O160" s="2">
        <v>107</v>
      </c>
      <c r="P160" s="2">
        <v>199</v>
      </c>
      <c r="Q160" s="2">
        <v>39</v>
      </c>
      <c r="R160" s="2">
        <v>30</v>
      </c>
      <c r="S160" s="2">
        <v>30</v>
      </c>
      <c r="T160" s="2">
        <v>2</v>
      </c>
      <c r="U160" s="2">
        <v>7</v>
      </c>
      <c r="V160" s="2">
        <v>3</v>
      </c>
      <c r="W160" s="2">
        <v>13</v>
      </c>
      <c r="X160" s="2">
        <v>8</v>
      </c>
    </row>
    <row r="161" spans="1:24" x14ac:dyDescent="0.35">
      <c r="A161">
        <v>1555</v>
      </c>
      <c r="B161">
        <v>84906</v>
      </c>
      <c r="C161">
        <v>48</v>
      </c>
      <c r="D161">
        <v>0</v>
      </c>
      <c r="E161" s="28">
        <v>6.6493150684931503</v>
      </c>
      <c r="F161" s="28"/>
      <c r="G161" s="28">
        <v>1208</v>
      </c>
      <c r="H161" s="28">
        <v>58656</v>
      </c>
      <c r="I161" s="28">
        <v>1</v>
      </c>
      <c r="J161" s="28">
        <v>64</v>
      </c>
      <c r="L161" s="37">
        <v>1555</v>
      </c>
      <c r="M161" s="3">
        <v>98</v>
      </c>
      <c r="N161" s="3">
        <v>997</v>
      </c>
      <c r="O161" s="3">
        <v>15</v>
      </c>
      <c r="P161" s="3">
        <v>414</v>
      </c>
      <c r="Q161" s="3">
        <v>99</v>
      </c>
      <c r="R161" s="3">
        <v>30</v>
      </c>
      <c r="S161" s="3">
        <v>76</v>
      </c>
      <c r="T161" s="3">
        <v>1</v>
      </c>
      <c r="U161" s="3">
        <v>5</v>
      </c>
      <c r="V161" s="3">
        <v>6</v>
      </c>
      <c r="W161" s="3">
        <v>12</v>
      </c>
      <c r="X161" s="3">
        <v>2</v>
      </c>
    </row>
    <row r="162" spans="1:24" x14ac:dyDescent="0.35">
      <c r="A162">
        <v>1554</v>
      </c>
      <c r="B162">
        <v>85620</v>
      </c>
      <c r="C162">
        <v>56</v>
      </c>
      <c r="D162">
        <v>0</v>
      </c>
      <c r="E162" s="28">
        <v>6.3890410958904109</v>
      </c>
      <c r="F162" s="28"/>
      <c r="G162" s="28">
        <v>1208</v>
      </c>
      <c r="H162" s="28">
        <v>54959</v>
      </c>
      <c r="I162" s="28">
        <v>1</v>
      </c>
      <c r="J162" s="28">
        <v>59</v>
      </c>
      <c r="L162" s="38">
        <v>1554</v>
      </c>
      <c r="M162" s="2">
        <v>68</v>
      </c>
      <c r="N162" s="2">
        <v>416</v>
      </c>
      <c r="O162" s="2">
        <v>46</v>
      </c>
      <c r="P162" s="2">
        <v>925</v>
      </c>
      <c r="Q162" s="2">
        <v>60</v>
      </c>
      <c r="R162" s="2">
        <v>107</v>
      </c>
      <c r="S162" s="2">
        <v>46</v>
      </c>
      <c r="T162" s="2">
        <v>1</v>
      </c>
      <c r="U162" s="2">
        <v>3</v>
      </c>
      <c r="V162" s="2">
        <v>6</v>
      </c>
      <c r="W162" s="2">
        <v>4</v>
      </c>
      <c r="X162" s="2">
        <v>1</v>
      </c>
    </row>
    <row r="163" spans="1:24" x14ac:dyDescent="0.35">
      <c r="A163">
        <v>1553</v>
      </c>
      <c r="B163">
        <v>68682</v>
      </c>
      <c r="C163">
        <v>29</v>
      </c>
      <c r="D163">
        <v>0</v>
      </c>
      <c r="E163" s="28">
        <v>6.6438356164383565</v>
      </c>
      <c r="F163" s="28"/>
      <c r="G163" s="28">
        <v>1207</v>
      </c>
      <c r="H163" s="28">
        <v>83837</v>
      </c>
      <c r="I163" s="28">
        <v>0</v>
      </c>
      <c r="J163" s="28">
        <v>72</v>
      </c>
      <c r="L163" s="37">
        <v>1553</v>
      </c>
      <c r="M163" s="3">
        <v>56</v>
      </c>
      <c r="N163" s="3">
        <v>919</v>
      </c>
      <c r="O163" s="3">
        <v>0</v>
      </c>
      <c r="P163" s="3">
        <v>505</v>
      </c>
      <c r="Q163" s="3">
        <v>99</v>
      </c>
      <c r="R163" s="3">
        <v>30</v>
      </c>
      <c r="S163" s="3">
        <v>45</v>
      </c>
      <c r="T163" s="3">
        <v>1</v>
      </c>
      <c r="U163" s="3">
        <v>4</v>
      </c>
      <c r="V163" s="3">
        <v>9</v>
      </c>
      <c r="W163" s="3">
        <v>10</v>
      </c>
      <c r="X163" s="3">
        <v>2</v>
      </c>
    </row>
    <row r="164" spans="1:24" x14ac:dyDescent="0.35">
      <c r="A164">
        <v>1552</v>
      </c>
      <c r="B164">
        <v>83003</v>
      </c>
      <c r="C164">
        <v>55</v>
      </c>
      <c r="D164">
        <v>0</v>
      </c>
      <c r="E164" s="28">
        <v>7.2383561643835614</v>
      </c>
      <c r="F164" s="28"/>
      <c r="G164" s="28">
        <v>1206</v>
      </c>
      <c r="H164" s="28">
        <v>61996</v>
      </c>
      <c r="I164" s="28">
        <v>1</v>
      </c>
      <c r="J164" s="28">
        <v>43</v>
      </c>
      <c r="L164" s="38">
        <v>1552</v>
      </c>
      <c r="M164" s="2">
        <v>18</v>
      </c>
      <c r="N164" s="2">
        <v>856</v>
      </c>
      <c r="O164" s="2">
        <v>61</v>
      </c>
      <c r="P164" s="2">
        <v>570</v>
      </c>
      <c r="Q164" s="2">
        <v>40</v>
      </c>
      <c r="R164" s="2">
        <v>25</v>
      </c>
      <c r="S164" s="2">
        <v>122</v>
      </c>
      <c r="T164" s="2">
        <v>1</v>
      </c>
      <c r="U164" s="2">
        <v>7</v>
      </c>
      <c r="V164" s="2">
        <v>6</v>
      </c>
      <c r="W164" s="2">
        <v>8</v>
      </c>
      <c r="X164" s="2">
        <v>3</v>
      </c>
    </row>
    <row r="165" spans="1:24" x14ac:dyDescent="0.35">
      <c r="A165">
        <v>1551</v>
      </c>
      <c r="B165">
        <v>62847</v>
      </c>
      <c r="C165">
        <v>75</v>
      </c>
      <c r="D165">
        <v>0</v>
      </c>
      <c r="E165" s="28">
        <v>7.3671232876712329</v>
      </c>
      <c r="F165" s="28"/>
      <c r="G165" s="28">
        <v>1203</v>
      </c>
      <c r="H165" s="28">
        <v>75922</v>
      </c>
      <c r="I165" s="28">
        <v>0</v>
      </c>
      <c r="J165" s="28">
        <v>52</v>
      </c>
      <c r="L165" s="37">
        <v>1551</v>
      </c>
      <c r="M165" s="3">
        <v>45</v>
      </c>
      <c r="N165" s="3">
        <v>521</v>
      </c>
      <c r="O165" s="3">
        <v>168</v>
      </c>
      <c r="P165" s="3">
        <v>706</v>
      </c>
      <c r="Q165" s="3">
        <v>80</v>
      </c>
      <c r="R165" s="3">
        <v>76</v>
      </c>
      <c r="S165" s="3">
        <v>61</v>
      </c>
      <c r="T165" s="3">
        <v>1</v>
      </c>
      <c r="U165" s="3">
        <v>3</v>
      </c>
      <c r="V165" s="3">
        <v>6</v>
      </c>
      <c r="W165" s="3">
        <v>4</v>
      </c>
      <c r="X165" s="3">
        <v>2</v>
      </c>
    </row>
    <row r="166" spans="1:24" x14ac:dyDescent="0.35">
      <c r="A166">
        <v>1551</v>
      </c>
      <c r="B166">
        <v>73538</v>
      </c>
      <c r="C166">
        <v>55</v>
      </c>
      <c r="D166">
        <v>1</v>
      </c>
      <c r="E166" s="28">
        <v>7.506849315068493</v>
      </c>
      <c r="F166" s="28"/>
      <c r="G166" s="28">
        <v>1194</v>
      </c>
      <c r="H166" s="28">
        <v>79689</v>
      </c>
      <c r="I166" s="28">
        <v>0</v>
      </c>
      <c r="J166" s="28">
        <v>44</v>
      </c>
      <c r="L166" s="38">
        <v>1551</v>
      </c>
      <c r="M166" s="2">
        <v>92</v>
      </c>
      <c r="N166" s="2">
        <v>811</v>
      </c>
      <c r="O166" s="2">
        <v>76</v>
      </c>
      <c r="P166" s="2">
        <v>428</v>
      </c>
      <c r="Q166" s="2">
        <v>99</v>
      </c>
      <c r="R166" s="2">
        <v>137</v>
      </c>
      <c r="S166" s="2">
        <v>107</v>
      </c>
      <c r="T166" s="2">
        <v>3</v>
      </c>
      <c r="U166" s="2">
        <v>10</v>
      </c>
      <c r="V166" s="2">
        <v>4</v>
      </c>
      <c r="W166" s="2">
        <v>9</v>
      </c>
      <c r="X166" s="2">
        <v>7</v>
      </c>
    </row>
    <row r="167" spans="1:24" x14ac:dyDescent="0.35">
      <c r="A167">
        <v>1550</v>
      </c>
      <c r="B167">
        <v>86610</v>
      </c>
      <c r="C167">
        <v>69</v>
      </c>
      <c r="D167">
        <v>0</v>
      </c>
      <c r="E167" s="28">
        <v>6.7287671232876711</v>
      </c>
      <c r="F167" s="28"/>
      <c r="G167" s="28">
        <v>1182</v>
      </c>
      <c r="H167" s="28">
        <v>81044</v>
      </c>
      <c r="I167" s="28">
        <v>0</v>
      </c>
      <c r="J167" s="28">
        <v>73</v>
      </c>
      <c r="L167" s="37">
        <v>1550</v>
      </c>
      <c r="M167" s="3">
        <v>66</v>
      </c>
      <c r="N167" s="3">
        <v>446</v>
      </c>
      <c r="O167" s="3">
        <v>107</v>
      </c>
      <c r="P167" s="3">
        <v>768</v>
      </c>
      <c r="Q167" s="3">
        <v>33</v>
      </c>
      <c r="R167" s="3">
        <v>196</v>
      </c>
      <c r="S167" s="3">
        <v>53</v>
      </c>
      <c r="T167" s="3">
        <v>1</v>
      </c>
      <c r="U167" s="3">
        <v>5</v>
      </c>
      <c r="V167" s="3">
        <v>6</v>
      </c>
      <c r="W167" s="3">
        <v>6</v>
      </c>
      <c r="X167" s="3">
        <v>2</v>
      </c>
    </row>
    <row r="168" spans="1:24" x14ac:dyDescent="0.35">
      <c r="A168">
        <v>1550</v>
      </c>
      <c r="B168">
        <v>70300</v>
      </c>
      <c r="C168">
        <v>45</v>
      </c>
      <c r="D168">
        <v>1</v>
      </c>
      <c r="E168" s="28">
        <v>6.8712328767123285</v>
      </c>
      <c r="F168" s="28"/>
      <c r="G168" s="28">
        <v>1182</v>
      </c>
      <c r="H168" s="28">
        <v>102160</v>
      </c>
      <c r="I168" s="28">
        <v>0</v>
      </c>
      <c r="J168" s="28">
        <v>43</v>
      </c>
      <c r="L168" s="38">
        <v>1550</v>
      </c>
      <c r="M168" s="2">
        <v>89</v>
      </c>
      <c r="N168" s="2">
        <v>1045</v>
      </c>
      <c r="O168" s="2">
        <v>61</v>
      </c>
      <c r="P168" s="2">
        <v>338</v>
      </c>
      <c r="Q168" s="2">
        <v>60</v>
      </c>
      <c r="R168" s="2">
        <v>46</v>
      </c>
      <c r="S168" s="2">
        <v>46</v>
      </c>
      <c r="T168" s="2">
        <v>3</v>
      </c>
      <c r="U168" s="2">
        <v>5</v>
      </c>
      <c r="V168" s="2">
        <v>5</v>
      </c>
      <c r="W168" s="2">
        <v>13</v>
      </c>
      <c r="X168" s="2">
        <v>8</v>
      </c>
    </row>
    <row r="169" spans="1:24" x14ac:dyDescent="0.35">
      <c r="A169">
        <v>1549</v>
      </c>
      <c r="B169">
        <v>80067</v>
      </c>
      <c r="C169">
        <v>66</v>
      </c>
      <c r="D169">
        <v>0</v>
      </c>
      <c r="E169" s="28">
        <v>6.6904109589041099</v>
      </c>
      <c r="F169" s="28"/>
      <c r="G169" s="28">
        <v>1180</v>
      </c>
      <c r="H169" s="28">
        <v>66973</v>
      </c>
      <c r="I169" s="28">
        <v>0</v>
      </c>
      <c r="J169" s="28">
        <v>31</v>
      </c>
      <c r="L169" s="37">
        <v>1549</v>
      </c>
      <c r="M169" s="3">
        <v>82</v>
      </c>
      <c r="N169" s="3">
        <v>519</v>
      </c>
      <c r="O169" s="3">
        <v>17</v>
      </c>
      <c r="P169" s="3">
        <v>813</v>
      </c>
      <c r="Q169" s="3">
        <v>27</v>
      </c>
      <c r="R169" s="3">
        <v>173</v>
      </c>
      <c r="S169" s="3">
        <v>51</v>
      </c>
      <c r="T169" s="3">
        <v>1</v>
      </c>
      <c r="U169" s="3">
        <v>4</v>
      </c>
      <c r="V169" s="3">
        <v>6</v>
      </c>
      <c r="W169" s="3">
        <v>6</v>
      </c>
      <c r="X169" s="3">
        <v>2</v>
      </c>
    </row>
    <row r="170" spans="1:24" x14ac:dyDescent="0.35">
      <c r="A170">
        <v>1549</v>
      </c>
      <c r="B170">
        <v>80573</v>
      </c>
      <c r="C170">
        <v>49</v>
      </c>
      <c r="D170">
        <v>0</v>
      </c>
      <c r="E170" s="28">
        <v>7.6219178082191785</v>
      </c>
      <c r="F170" s="28"/>
      <c r="G170" s="28">
        <v>1178</v>
      </c>
      <c r="H170" s="28">
        <v>68316</v>
      </c>
      <c r="I170" s="28">
        <v>1</v>
      </c>
      <c r="J170" s="28">
        <v>56</v>
      </c>
      <c r="L170" s="38">
        <v>1549</v>
      </c>
      <c r="M170" s="2">
        <v>85</v>
      </c>
      <c r="N170" s="2">
        <v>829</v>
      </c>
      <c r="O170" s="2">
        <v>138</v>
      </c>
      <c r="P170" s="2">
        <v>430</v>
      </c>
      <c r="Q170" s="2">
        <v>60</v>
      </c>
      <c r="R170" s="2">
        <v>92</v>
      </c>
      <c r="S170" s="2">
        <v>15</v>
      </c>
      <c r="T170" s="2">
        <v>1</v>
      </c>
      <c r="U170" s="2">
        <v>4</v>
      </c>
      <c r="V170" s="2">
        <v>6</v>
      </c>
      <c r="W170" s="2">
        <v>13</v>
      </c>
      <c r="X170" s="2">
        <v>2</v>
      </c>
    </row>
    <row r="171" spans="1:24" x14ac:dyDescent="0.35">
      <c r="A171">
        <v>1548</v>
      </c>
      <c r="B171">
        <v>60896</v>
      </c>
      <c r="C171">
        <v>56</v>
      </c>
      <c r="D171">
        <v>1</v>
      </c>
      <c r="E171" s="28">
        <v>7.6301369863013697</v>
      </c>
      <c r="F171" s="28"/>
      <c r="G171" s="28">
        <v>1174</v>
      </c>
      <c r="H171" s="28">
        <v>80317</v>
      </c>
      <c r="I171" s="28">
        <v>0</v>
      </c>
      <c r="J171" s="28">
        <v>65</v>
      </c>
      <c r="L171" s="37">
        <v>1548</v>
      </c>
      <c r="M171" s="3">
        <v>90</v>
      </c>
      <c r="N171" s="3">
        <v>1013</v>
      </c>
      <c r="O171" s="3">
        <v>30</v>
      </c>
      <c r="P171" s="3">
        <v>399</v>
      </c>
      <c r="Q171" s="3">
        <v>60</v>
      </c>
      <c r="R171" s="3">
        <v>46</v>
      </c>
      <c r="S171" s="3">
        <v>153</v>
      </c>
      <c r="T171" s="3">
        <v>3</v>
      </c>
      <c r="U171" s="3">
        <v>9</v>
      </c>
      <c r="V171" s="3">
        <v>10</v>
      </c>
      <c r="W171" s="3">
        <v>4</v>
      </c>
      <c r="X171" s="3">
        <v>6</v>
      </c>
    </row>
    <row r="172" spans="1:24" x14ac:dyDescent="0.35">
      <c r="A172">
        <v>1544</v>
      </c>
      <c r="B172">
        <v>64260</v>
      </c>
      <c r="C172">
        <v>59</v>
      </c>
      <c r="D172">
        <v>0</v>
      </c>
      <c r="E172" s="28">
        <v>7.3780821917808215</v>
      </c>
      <c r="F172" s="28"/>
      <c r="G172" s="28">
        <v>1171</v>
      </c>
      <c r="H172" s="28">
        <v>81168</v>
      </c>
      <c r="I172" s="28">
        <v>0</v>
      </c>
      <c r="J172" s="28">
        <v>55</v>
      </c>
      <c r="L172" s="38">
        <v>1544</v>
      </c>
      <c r="M172" s="2">
        <v>1</v>
      </c>
      <c r="N172" s="2">
        <v>539</v>
      </c>
      <c r="O172" s="2">
        <v>169</v>
      </c>
      <c r="P172" s="2">
        <v>816</v>
      </c>
      <c r="Q172" s="2">
        <v>20</v>
      </c>
      <c r="R172" s="2">
        <v>0</v>
      </c>
      <c r="S172" s="2">
        <v>30</v>
      </c>
      <c r="T172" s="2">
        <v>1</v>
      </c>
      <c r="U172" s="2">
        <v>4</v>
      </c>
      <c r="V172" s="2">
        <v>5</v>
      </c>
      <c r="W172" s="2">
        <v>4</v>
      </c>
      <c r="X172" s="2">
        <v>3</v>
      </c>
    </row>
    <row r="173" spans="1:24" x14ac:dyDescent="0.35">
      <c r="A173">
        <v>1542</v>
      </c>
      <c r="B173">
        <v>78353</v>
      </c>
      <c r="C173">
        <v>61</v>
      </c>
      <c r="D173">
        <v>1</v>
      </c>
      <c r="E173" s="28">
        <v>7.117808219178082</v>
      </c>
      <c r="F173" s="28"/>
      <c r="G173" s="28">
        <v>1166</v>
      </c>
      <c r="H173" s="28">
        <v>72099</v>
      </c>
      <c r="I173" s="28">
        <v>0</v>
      </c>
      <c r="J173" s="28">
        <v>46</v>
      </c>
      <c r="L173" s="37">
        <v>1542</v>
      </c>
      <c r="M173" s="3">
        <v>51</v>
      </c>
      <c r="N173" s="3">
        <v>752</v>
      </c>
      <c r="O173" s="3">
        <v>122</v>
      </c>
      <c r="P173" s="3">
        <v>476</v>
      </c>
      <c r="Q173" s="3">
        <v>39</v>
      </c>
      <c r="R173" s="3">
        <v>153</v>
      </c>
      <c r="S173" s="3">
        <v>34</v>
      </c>
      <c r="T173" s="3">
        <v>1</v>
      </c>
      <c r="U173" s="3">
        <v>10</v>
      </c>
      <c r="V173" s="3">
        <v>2</v>
      </c>
      <c r="W173" s="3">
        <v>11</v>
      </c>
      <c r="X173" s="3">
        <v>8</v>
      </c>
    </row>
    <row r="174" spans="1:24" x14ac:dyDescent="0.35">
      <c r="A174">
        <v>1541</v>
      </c>
      <c r="B174">
        <v>80739</v>
      </c>
      <c r="C174">
        <v>62</v>
      </c>
      <c r="D174">
        <v>0</v>
      </c>
      <c r="E174" s="28">
        <v>7.0164383561643833</v>
      </c>
      <c r="F174" s="28"/>
      <c r="G174" s="28">
        <v>1165</v>
      </c>
      <c r="H174" s="28">
        <v>67432</v>
      </c>
      <c r="I174" s="28">
        <v>1</v>
      </c>
      <c r="J174" s="28">
        <v>47</v>
      </c>
      <c r="L174" s="38">
        <v>1541</v>
      </c>
      <c r="M174" s="2">
        <v>92</v>
      </c>
      <c r="N174" s="2">
        <v>674</v>
      </c>
      <c r="O174" s="2">
        <v>92</v>
      </c>
      <c r="P174" s="2">
        <v>736</v>
      </c>
      <c r="Q174" s="2">
        <v>39</v>
      </c>
      <c r="R174" s="2">
        <v>0</v>
      </c>
      <c r="S174" s="2">
        <v>92</v>
      </c>
      <c r="T174" s="2">
        <v>1</v>
      </c>
      <c r="U174" s="2">
        <v>3</v>
      </c>
      <c r="V174" s="2">
        <v>11</v>
      </c>
      <c r="W174" s="2">
        <v>9</v>
      </c>
      <c r="X174" s="2">
        <v>1</v>
      </c>
    </row>
    <row r="175" spans="1:24" x14ac:dyDescent="0.35">
      <c r="A175">
        <v>1540</v>
      </c>
      <c r="B175">
        <v>84117</v>
      </c>
      <c r="C175">
        <v>64</v>
      </c>
      <c r="D175">
        <v>0</v>
      </c>
      <c r="E175" s="28">
        <v>6.0493150684931507</v>
      </c>
      <c r="F175" s="28"/>
      <c r="G175" s="28">
        <v>1158</v>
      </c>
      <c r="H175" s="28">
        <v>86424</v>
      </c>
      <c r="I175" s="28">
        <v>0</v>
      </c>
      <c r="J175" s="28">
        <v>64</v>
      </c>
      <c r="L175" s="37">
        <v>1540</v>
      </c>
      <c r="M175" s="3">
        <v>60</v>
      </c>
      <c r="N175" s="3">
        <v>611</v>
      </c>
      <c r="O175" s="3">
        <v>76</v>
      </c>
      <c r="P175" s="3">
        <v>749</v>
      </c>
      <c r="Q175" s="3">
        <v>59</v>
      </c>
      <c r="R175" s="3">
        <v>45</v>
      </c>
      <c r="S175" s="3">
        <v>26</v>
      </c>
      <c r="T175" s="3">
        <v>1</v>
      </c>
      <c r="U175" s="3">
        <v>7</v>
      </c>
      <c r="V175" s="3">
        <v>10</v>
      </c>
      <c r="W175" s="3">
        <v>6</v>
      </c>
      <c r="X175" s="3">
        <v>2</v>
      </c>
    </row>
    <row r="176" spans="1:24" x14ac:dyDescent="0.35">
      <c r="A176">
        <v>1535</v>
      </c>
      <c r="B176">
        <v>64140</v>
      </c>
      <c r="C176">
        <v>56</v>
      </c>
      <c r="D176">
        <v>1</v>
      </c>
      <c r="E176" s="28">
        <v>6.6794520547945204</v>
      </c>
      <c r="F176" s="28"/>
      <c r="G176" s="28">
        <v>1158</v>
      </c>
      <c r="H176" s="28">
        <v>74250</v>
      </c>
      <c r="I176" s="28">
        <v>0</v>
      </c>
      <c r="J176" s="28">
        <v>62</v>
      </c>
      <c r="L176" s="38">
        <v>1535</v>
      </c>
      <c r="M176" s="2">
        <v>71</v>
      </c>
      <c r="N176" s="2">
        <v>1459</v>
      </c>
      <c r="O176" s="2">
        <v>0</v>
      </c>
      <c r="P176" s="2">
        <v>61</v>
      </c>
      <c r="Q176" s="2">
        <v>0</v>
      </c>
      <c r="R176" s="2">
        <v>15</v>
      </c>
      <c r="S176" s="2">
        <v>215</v>
      </c>
      <c r="T176" s="2">
        <v>5</v>
      </c>
      <c r="U176" s="2">
        <v>2</v>
      </c>
      <c r="V176" s="2">
        <v>5</v>
      </c>
      <c r="W176" s="2">
        <v>6</v>
      </c>
      <c r="X176" s="2">
        <v>5</v>
      </c>
    </row>
    <row r="177" spans="1:24" x14ac:dyDescent="0.35">
      <c r="A177">
        <v>1534</v>
      </c>
      <c r="B177">
        <v>81741</v>
      </c>
      <c r="C177">
        <v>40</v>
      </c>
      <c r="D177">
        <v>0</v>
      </c>
      <c r="E177" s="28">
        <v>6.9506849315068493</v>
      </c>
      <c r="F177" s="28"/>
      <c r="G177" s="28">
        <v>1150</v>
      </c>
      <c r="H177" s="28">
        <v>63564</v>
      </c>
      <c r="I177" s="28">
        <v>0</v>
      </c>
      <c r="J177" s="28">
        <v>66</v>
      </c>
      <c r="L177" s="37">
        <v>1534</v>
      </c>
      <c r="M177" s="3">
        <v>75</v>
      </c>
      <c r="N177" s="3">
        <v>249</v>
      </c>
      <c r="O177" s="3">
        <v>153</v>
      </c>
      <c r="P177" s="3">
        <v>940</v>
      </c>
      <c r="Q177" s="3">
        <v>58</v>
      </c>
      <c r="R177" s="3">
        <v>134</v>
      </c>
      <c r="S177" s="3">
        <v>38</v>
      </c>
      <c r="T177" s="3">
        <v>0</v>
      </c>
      <c r="U177" s="3">
        <v>6</v>
      </c>
      <c r="V177" s="3">
        <v>6</v>
      </c>
      <c r="W177" s="3">
        <v>7</v>
      </c>
      <c r="X177" s="3">
        <v>2</v>
      </c>
    </row>
    <row r="178" spans="1:24" x14ac:dyDescent="0.35">
      <c r="A178">
        <v>1529</v>
      </c>
      <c r="B178">
        <v>58138</v>
      </c>
      <c r="C178">
        <v>63</v>
      </c>
      <c r="D178">
        <v>0</v>
      </c>
      <c r="E178" s="28">
        <v>7.7315068493150685</v>
      </c>
      <c r="F178" s="28"/>
      <c r="G178" s="28">
        <v>1150</v>
      </c>
      <c r="H178" s="28">
        <v>70091</v>
      </c>
      <c r="I178" s="28">
        <v>1</v>
      </c>
      <c r="J178" s="28">
        <v>51</v>
      </c>
      <c r="L178" s="38">
        <v>1529</v>
      </c>
      <c r="M178" s="2">
        <v>58</v>
      </c>
      <c r="N178" s="2">
        <v>635</v>
      </c>
      <c r="O178" s="2">
        <v>88</v>
      </c>
      <c r="P178" s="2">
        <v>546</v>
      </c>
      <c r="Q178" s="2">
        <v>172</v>
      </c>
      <c r="R178" s="2">
        <v>88</v>
      </c>
      <c r="S178" s="2">
        <v>88</v>
      </c>
      <c r="T178" s="2">
        <v>3</v>
      </c>
      <c r="U178" s="2">
        <v>8</v>
      </c>
      <c r="V178" s="2">
        <v>10</v>
      </c>
      <c r="W178" s="2">
        <v>4</v>
      </c>
      <c r="X178" s="2">
        <v>7</v>
      </c>
    </row>
    <row r="179" spans="1:24" x14ac:dyDescent="0.35">
      <c r="A179">
        <v>1527</v>
      </c>
      <c r="B179">
        <v>96843</v>
      </c>
      <c r="C179">
        <v>30</v>
      </c>
      <c r="D179">
        <v>0</v>
      </c>
      <c r="E179" s="28">
        <v>7.0986301369863014</v>
      </c>
      <c r="F179" s="28"/>
      <c r="G179" s="28">
        <v>1150</v>
      </c>
      <c r="H179" s="28">
        <v>80950</v>
      </c>
      <c r="I179" s="28">
        <v>0</v>
      </c>
      <c r="J179" s="28">
        <v>59</v>
      </c>
      <c r="L179" s="37">
        <v>1527</v>
      </c>
      <c r="M179" s="3">
        <v>60</v>
      </c>
      <c r="N179" s="3">
        <v>448</v>
      </c>
      <c r="O179" s="3">
        <v>71</v>
      </c>
      <c r="P179" s="3">
        <v>951</v>
      </c>
      <c r="Q179" s="3">
        <v>40</v>
      </c>
      <c r="R179" s="3">
        <v>17</v>
      </c>
      <c r="S179" s="3">
        <v>17</v>
      </c>
      <c r="T179" s="3">
        <v>1</v>
      </c>
      <c r="U179" s="3">
        <v>6</v>
      </c>
      <c r="V179" s="3">
        <v>11</v>
      </c>
      <c r="W179" s="3">
        <v>10</v>
      </c>
      <c r="X179" s="3">
        <v>2</v>
      </c>
    </row>
    <row r="180" spans="1:24" x14ac:dyDescent="0.35">
      <c r="A180">
        <v>1517</v>
      </c>
      <c r="B180">
        <v>76467</v>
      </c>
      <c r="C180">
        <v>50</v>
      </c>
      <c r="D180">
        <v>1</v>
      </c>
      <c r="E180" s="28">
        <v>7.7808219178082192</v>
      </c>
      <c r="F180" s="28"/>
      <c r="G180" s="28">
        <v>1143</v>
      </c>
      <c r="H180" s="28">
        <v>65169</v>
      </c>
      <c r="I180" s="28">
        <v>0</v>
      </c>
      <c r="J180" s="28">
        <v>38</v>
      </c>
      <c r="L180" s="38">
        <v>1517</v>
      </c>
      <c r="M180" s="2">
        <v>44</v>
      </c>
      <c r="N180" s="2">
        <v>676</v>
      </c>
      <c r="O180" s="2">
        <v>161</v>
      </c>
      <c r="P180" s="2">
        <v>426</v>
      </c>
      <c r="Q180" s="2">
        <v>210</v>
      </c>
      <c r="R180" s="2">
        <v>44</v>
      </c>
      <c r="S180" s="2">
        <v>58</v>
      </c>
      <c r="T180" s="2">
        <v>2</v>
      </c>
      <c r="U180" s="2">
        <v>2</v>
      </c>
      <c r="V180" s="2">
        <v>5</v>
      </c>
      <c r="W180" s="2">
        <v>5</v>
      </c>
      <c r="X180" s="2">
        <v>6</v>
      </c>
    </row>
    <row r="181" spans="1:24" x14ac:dyDescent="0.35">
      <c r="A181">
        <v>1517</v>
      </c>
      <c r="B181">
        <v>105471</v>
      </c>
      <c r="C181">
        <v>50</v>
      </c>
      <c r="D181">
        <v>0</v>
      </c>
      <c r="E181" s="28">
        <v>7.3506849315068497</v>
      </c>
      <c r="F181" s="28"/>
      <c r="G181" s="28">
        <v>1140</v>
      </c>
      <c r="H181" s="28">
        <v>61618</v>
      </c>
      <c r="I181" s="28">
        <v>0</v>
      </c>
      <c r="J181" s="28">
        <v>29</v>
      </c>
      <c r="L181" s="37">
        <v>1517</v>
      </c>
      <c r="M181" s="3">
        <v>36</v>
      </c>
      <c r="N181" s="3">
        <v>1009</v>
      </c>
      <c r="O181" s="3">
        <v>181</v>
      </c>
      <c r="P181" s="3">
        <v>104</v>
      </c>
      <c r="Q181" s="3">
        <v>202</v>
      </c>
      <c r="R181" s="3">
        <v>21</v>
      </c>
      <c r="S181" s="3">
        <v>207</v>
      </c>
      <c r="T181" s="3">
        <v>0</v>
      </c>
      <c r="U181" s="3">
        <v>9</v>
      </c>
      <c r="V181" s="3">
        <v>8</v>
      </c>
      <c r="W181" s="3">
        <v>13</v>
      </c>
      <c r="X181" s="3">
        <v>3</v>
      </c>
    </row>
    <row r="182" spans="1:24" x14ac:dyDescent="0.35">
      <c r="A182">
        <v>1508</v>
      </c>
      <c r="B182">
        <v>83917</v>
      </c>
      <c r="C182">
        <v>47</v>
      </c>
      <c r="D182">
        <v>0</v>
      </c>
      <c r="E182" s="28">
        <v>7.1123287671232873</v>
      </c>
      <c r="F182" s="28"/>
      <c r="G182" s="28">
        <v>1138</v>
      </c>
      <c r="H182" s="28">
        <v>66334</v>
      </c>
      <c r="I182" s="28">
        <v>1</v>
      </c>
      <c r="J182" s="28">
        <v>64</v>
      </c>
      <c r="L182" s="38">
        <v>1508</v>
      </c>
      <c r="M182" s="2">
        <v>12</v>
      </c>
      <c r="N182" s="2">
        <v>514</v>
      </c>
      <c r="O182" s="2">
        <v>22</v>
      </c>
      <c r="P182" s="2">
        <v>732</v>
      </c>
      <c r="Q182" s="2">
        <v>42</v>
      </c>
      <c r="R182" s="2">
        <v>198</v>
      </c>
      <c r="S182" s="2">
        <v>79</v>
      </c>
      <c r="T182" s="2">
        <v>1</v>
      </c>
      <c r="U182" s="2">
        <v>6</v>
      </c>
      <c r="V182" s="2">
        <v>7</v>
      </c>
      <c r="W182" s="2">
        <v>7</v>
      </c>
      <c r="X182" s="2">
        <v>3</v>
      </c>
    </row>
    <row r="183" spans="1:24" x14ac:dyDescent="0.35">
      <c r="A183">
        <v>1507</v>
      </c>
      <c r="B183">
        <v>70116</v>
      </c>
      <c r="C183">
        <v>48</v>
      </c>
      <c r="D183">
        <v>0</v>
      </c>
      <c r="E183" s="28">
        <v>7.3369863013698629</v>
      </c>
      <c r="F183" s="28"/>
      <c r="G183" s="28">
        <v>1131</v>
      </c>
      <c r="H183" s="28">
        <v>75433</v>
      </c>
      <c r="I183" s="28">
        <v>1</v>
      </c>
      <c r="J183" s="28">
        <v>31</v>
      </c>
      <c r="L183" s="37">
        <v>1507</v>
      </c>
      <c r="M183" s="3">
        <v>73</v>
      </c>
      <c r="N183" s="3">
        <v>707</v>
      </c>
      <c r="O183" s="3">
        <v>44</v>
      </c>
      <c r="P183" s="3">
        <v>603</v>
      </c>
      <c r="Q183" s="3">
        <v>95</v>
      </c>
      <c r="R183" s="3">
        <v>58</v>
      </c>
      <c r="S183" s="3">
        <v>29</v>
      </c>
      <c r="T183" s="3">
        <v>1</v>
      </c>
      <c r="U183" s="3">
        <v>2</v>
      </c>
      <c r="V183" s="3">
        <v>8</v>
      </c>
      <c r="W183" s="3">
        <v>12</v>
      </c>
      <c r="X183" s="3">
        <v>1</v>
      </c>
    </row>
    <row r="184" spans="1:24" x14ac:dyDescent="0.35">
      <c r="A184">
        <v>1505</v>
      </c>
      <c r="B184">
        <v>81843</v>
      </c>
      <c r="C184">
        <v>60</v>
      </c>
      <c r="D184">
        <v>0</v>
      </c>
      <c r="E184" s="28">
        <v>7.1013698630136988</v>
      </c>
      <c r="F184" s="28"/>
      <c r="G184" s="28">
        <v>1122</v>
      </c>
      <c r="H184" s="28">
        <v>60839</v>
      </c>
      <c r="I184" s="28">
        <v>1</v>
      </c>
      <c r="J184" s="28">
        <v>41</v>
      </c>
      <c r="L184" s="38">
        <v>1505</v>
      </c>
      <c r="M184" s="2">
        <v>13</v>
      </c>
      <c r="N184" s="2">
        <v>779</v>
      </c>
      <c r="O184" s="2">
        <v>86</v>
      </c>
      <c r="P184" s="2">
        <v>537</v>
      </c>
      <c r="Q184" s="2">
        <v>34</v>
      </c>
      <c r="R184" s="2">
        <v>69</v>
      </c>
      <c r="S184" s="2">
        <v>138</v>
      </c>
      <c r="T184" s="2">
        <v>1</v>
      </c>
      <c r="U184" s="2">
        <v>5</v>
      </c>
      <c r="V184" s="2">
        <v>9</v>
      </c>
      <c r="W184" s="2">
        <v>12</v>
      </c>
      <c r="X184" s="2">
        <v>3</v>
      </c>
    </row>
    <row r="185" spans="1:24" x14ac:dyDescent="0.35">
      <c r="A185">
        <v>1503</v>
      </c>
      <c r="B185">
        <v>83528</v>
      </c>
      <c r="C185">
        <v>28</v>
      </c>
      <c r="D185">
        <v>0</v>
      </c>
      <c r="E185" s="28">
        <v>6.0767123287671234</v>
      </c>
      <c r="F185" s="28"/>
      <c r="G185" s="28">
        <v>1118</v>
      </c>
      <c r="H185" s="28">
        <v>61014</v>
      </c>
      <c r="I185" s="28">
        <v>1</v>
      </c>
      <c r="J185" s="28">
        <v>40</v>
      </c>
      <c r="L185" s="37">
        <v>1503</v>
      </c>
      <c r="M185" s="3">
        <v>7</v>
      </c>
      <c r="N185" s="3">
        <v>530</v>
      </c>
      <c r="O185" s="3">
        <v>117</v>
      </c>
      <c r="P185" s="3">
        <v>678</v>
      </c>
      <c r="Q185" s="3">
        <v>134</v>
      </c>
      <c r="R185" s="3">
        <v>44</v>
      </c>
      <c r="S185" s="3">
        <v>147</v>
      </c>
      <c r="T185" s="3">
        <v>1</v>
      </c>
      <c r="U185" s="3">
        <v>4</v>
      </c>
      <c r="V185" s="3">
        <v>10</v>
      </c>
      <c r="W185" s="3">
        <v>8</v>
      </c>
      <c r="X185" s="3">
        <v>1</v>
      </c>
    </row>
    <row r="186" spans="1:24" x14ac:dyDescent="0.35">
      <c r="A186">
        <v>1502</v>
      </c>
      <c r="B186">
        <v>77766</v>
      </c>
      <c r="C186">
        <v>53</v>
      </c>
      <c r="D186">
        <v>1</v>
      </c>
      <c r="E186" s="28">
        <v>7.2630136986301368</v>
      </c>
      <c r="F186" s="28"/>
      <c r="G186" s="28">
        <v>1118</v>
      </c>
      <c r="H186" s="28">
        <v>70515</v>
      </c>
      <c r="I186" s="28">
        <v>0</v>
      </c>
      <c r="J186" s="28">
        <v>27</v>
      </c>
      <c r="L186" s="38">
        <v>1502</v>
      </c>
      <c r="M186" s="2">
        <v>97</v>
      </c>
      <c r="N186" s="2">
        <v>1004</v>
      </c>
      <c r="O186" s="2">
        <v>59</v>
      </c>
      <c r="P186" s="2">
        <v>265</v>
      </c>
      <c r="Q186" s="2">
        <v>115</v>
      </c>
      <c r="R186" s="2">
        <v>59</v>
      </c>
      <c r="S186" s="2">
        <v>27</v>
      </c>
      <c r="T186" s="2">
        <v>2</v>
      </c>
      <c r="U186" s="2">
        <v>11</v>
      </c>
      <c r="V186" s="2">
        <v>10</v>
      </c>
      <c r="W186" s="2">
        <v>11</v>
      </c>
      <c r="X186" s="2">
        <v>6</v>
      </c>
    </row>
    <row r="187" spans="1:24" x14ac:dyDescent="0.35">
      <c r="A187">
        <v>1500</v>
      </c>
      <c r="B187">
        <v>68655</v>
      </c>
      <c r="C187">
        <v>32</v>
      </c>
      <c r="D187">
        <v>0</v>
      </c>
      <c r="E187" s="28">
        <v>7.8</v>
      </c>
      <c r="F187" s="28"/>
      <c r="G187" s="28">
        <v>1114</v>
      </c>
      <c r="H187" s="28">
        <v>70038</v>
      </c>
      <c r="I187" s="28">
        <v>0</v>
      </c>
      <c r="J187" s="28">
        <v>38</v>
      </c>
      <c r="L187" s="37">
        <v>1500</v>
      </c>
      <c r="M187" s="3">
        <v>95</v>
      </c>
      <c r="N187" s="3">
        <v>456</v>
      </c>
      <c r="O187" s="3">
        <v>19</v>
      </c>
      <c r="P187" s="3">
        <v>832</v>
      </c>
      <c r="Q187" s="3">
        <v>75</v>
      </c>
      <c r="R187" s="3">
        <v>118</v>
      </c>
      <c r="S187" s="3">
        <v>38</v>
      </c>
      <c r="T187" s="3">
        <v>1</v>
      </c>
      <c r="U187" s="3">
        <v>4</v>
      </c>
      <c r="V187" s="3">
        <v>5</v>
      </c>
      <c r="W187" s="3">
        <v>11</v>
      </c>
      <c r="X187" s="3">
        <v>3</v>
      </c>
    </row>
    <row r="188" spans="1:24" x14ac:dyDescent="0.35">
      <c r="A188">
        <v>1497</v>
      </c>
      <c r="B188">
        <v>64857</v>
      </c>
      <c r="C188">
        <v>64</v>
      </c>
      <c r="D188">
        <v>0</v>
      </c>
      <c r="E188" s="28">
        <v>7.5123287671232877</v>
      </c>
      <c r="F188" s="28"/>
      <c r="G188" s="28">
        <v>1110</v>
      </c>
      <c r="H188" s="28">
        <v>49118</v>
      </c>
      <c r="I188" s="28">
        <v>0</v>
      </c>
      <c r="J188" s="28">
        <v>49</v>
      </c>
      <c r="L188" s="38">
        <v>1497</v>
      </c>
      <c r="M188" s="2">
        <v>78</v>
      </c>
      <c r="N188" s="2">
        <v>556</v>
      </c>
      <c r="O188" s="2">
        <v>14</v>
      </c>
      <c r="P188" s="2">
        <v>717</v>
      </c>
      <c r="Q188" s="2">
        <v>210</v>
      </c>
      <c r="R188" s="2">
        <v>0</v>
      </c>
      <c r="S188" s="2">
        <v>43</v>
      </c>
      <c r="T188" s="2">
        <v>1</v>
      </c>
      <c r="U188" s="2">
        <v>7</v>
      </c>
      <c r="V188" s="2">
        <v>5</v>
      </c>
      <c r="W188" s="2">
        <v>10</v>
      </c>
      <c r="X188" s="2">
        <v>4</v>
      </c>
    </row>
    <row r="189" spans="1:24" x14ac:dyDescent="0.35">
      <c r="A189">
        <v>1497</v>
      </c>
      <c r="B189">
        <v>48192</v>
      </c>
      <c r="C189">
        <v>62</v>
      </c>
      <c r="D189">
        <v>0</v>
      </c>
      <c r="E189" s="28">
        <v>7.1452054794520548</v>
      </c>
      <c r="F189" s="28"/>
      <c r="G189" s="28">
        <v>1103</v>
      </c>
      <c r="H189" s="28">
        <v>77343</v>
      </c>
      <c r="I189" s="28">
        <v>0</v>
      </c>
      <c r="J189" s="28">
        <v>55</v>
      </c>
      <c r="L189" s="37">
        <v>1497</v>
      </c>
      <c r="M189" s="3">
        <v>76</v>
      </c>
      <c r="N189" s="3">
        <v>1039</v>
      </c>
      <c r="O189" s="3">
        <v>43</v>
      </c>
      <c r="P189" s="3">
        <v>204</v>
      </c>
      <c r="Q189" s="3">
        <v>153</v>
      </c>
      <c r="R189" s="3">
        <v>58</v>
      </c>
      <c r="S189" s="3">
        <v>29</v>
      </c>
      <c r="T189" s="3">
        <v>3</v>
      </c>
      <c r="U189" s="3">
        <v>2</v>
      </c>
      <c r="V189" s="3">
        <v>8</v>
      </c>
      <c r="W189" s="3">
        <v>12</v>
      </c>
      <c r="X189" s="3">
        <v>8</v>
      </c>
    </row>
    <row r="190" spans="1:24" x14ac:dyDescent="0.35">
      <c r="A190">
        <v>1494</v>
      </c>
      <c r="B190">
        <v>70893</v>
      </c>
      <c r="C190">
        <v>44</v>
      </c>
      <c r="D190">
        <v>0</v>
      </c>
      <c r="E190" s="28">
        <v>7.3068493150684928</v>
      </c>
      <c r="F190" s="28"/>
      <c r="G190" s="28">
        <v>1102</v>
      </c>
      <c r="H190" s="28">
        <v>53653</v>
      </c>
      <c r="I190" s="28">
        <v>0</v>
      </c>
      <c r="J190" s="28">
        <v>67</v>
      </c>
      <c r="L190" s="38">
        <v>1494</v>
      </c>
      <c r="M190" s="2">
        <v>42</v>
      </c>
      <c r="N190" s="2">
        <v>768</v>
      </c>
      <c r="O190" s="2">
        <v>44</v>
      </c>
      <c r="P190" s="2">
        <v>561</v>
      </c>
      <c r="Q190" s="2">
        <v>77</v>
      </c>
      <c r="R190" s="2">
        <v>44</v>
      </c>
      <c r="S190" s="2">
        <v>14</v>
      </c>
      <c r="T190" s="2">
        <v>1</v>
      </c>
      <c r="U190" s="2">
        <v>6</v>
      </c>
      <c r="V190" s="2">
        <v>6</v>
      </c>
      <c r="W190" s="2">
        <v>10</v>
      </c>
      <c r="X190" s="2">
        <v>3</v>
      </c>
    </row>
    <row r="191" spans="1:24" x14ac:dyDescent="0.35">
      <c r="A191">
        <v>1493</v>
      </c>
      <c r="B191">
        <v>75437</v>
      </c>
      <c r="C191">
        <v>42</v>
      </c>
      <c r="D191">
        <v>0</v>
      </c>
      <c r="E191" s="28">
        <v>6.5506849315068489</v>
      </c>
      <c r="F191" s="28"/>
      <c r="G191" s="28">
        <v>1101</v>
      </c>
      <c r="H191" s="28">
        <v>79632</v>
      </c>
      <c r="I191" s="28">
        <v>0</v>
      </c>
      <c r="J191" s="28">
        <v>46</v>
      </c>
      <c r="L191" s="37">
        <v>1493</v>
      </c>
      <c r="M191" s="3">
        <v>25</v>
      </c>
      <c r="N191" s="3">
        <v>795</v>
      </c>
      <c r="O191" s="3">
        <v>0</v>
      </c>
      <c r="P191" s="3">
        <v>545</v>
      </c>
      <c r="Q191" s="3">
        <v>95</v>
      </c>
      <c r="R191" s="3">
        <v>58</v>
      </c>
      <c r="S191" s="3">
        <v>0</v>
      </c>
      <c r="T191" s="3">
        <v>1</v>
      </c>
      <c r="U191" s="3">
        <v>8</v>
      </c>
      <c r="V191" s="3">
        <v>4</v>
      </c>
      <c r="W191" s="3">
        <v>10</v>
      </c>
      <c r="X191" s="3">
        <v>6</v>
      </c>
    </row>
    <row r="192" spans="1:24" x14ac:dyDescent="0.35">
      <c r="A192">
        <v>1492</v>
      </c>
      <c r="B192">
        <v>74859</v>
      </c>
      <c r="C192">
        <v>71</v>
      </c>
      <c r="D192">
        <v>0</v>
      </c>
      <c r="E192" s="28">
        <v>6.9863013698630141</v>
      </c>
      <c r="F192" s="28"/>
      <c r="G192" s="28">
        <v>1101</v>
      </c>
      <c r="H192" s="28">
        <v>71322</v>
      </c>
      <c r="I192" s="28">
        <v>1</v>
      </c>
      <c r="J192" s="28">
        <v>55</v>
      </c>
      <c r="L192" s="38">
        <v>1492</v>
      </c>
      <c r="M192" s="2">
        <v>63</v>
      </c>
      <c r="N192" s="2">
        <v>570</v>
      </c>
      <c r="O192" s="2">
        <v>73</v>
      </c>
      <c r="P192" s="2">
        <v>614</v>
      </c>
      <c r="Q192" s="2">
        <v>133</v>
      </c>
      <c r="R192" s="2">
        <v>102</v>
      </c>
      <c r="S192" s="2">
        <v>73</v>
      </c>
      <c r="T192" s="2">
        <v>1</v>
      </c>
      <c r="U192" s="2">
        <v>6</v>
      </c>
      <c r="V192" s="2">
        <v>5</v>
      </c>
      <c r="W192" s="2">
        <v>11</v>
      </c>
      <c r="X192" s="2">
        <v>3</v>
      </c>
    </row>
    <row r="193" spans="1:24" x14ac:dyDescent="0.35">
      <c r="A193">
        <v>1492</v>
      </c>
      <c r="B193">
        <v>69969</v>
      </c>
      <c r="C193">
        <v>55</v>
      </c>
      <c r="D193">
        <v>0</v>
      </c>
      <c r="E193" s="28">
        <v>6.7534246575342465</v>
      </c>
      <c r="F193" s="28"/>
      <c r="G193" s="28">
        <v>1097</v>
      </c>
      <c r="H193" s="28">
        <v>72906</v>
      </c>
      <c r="I193" s="28">
        <v>0</v>
      </c>
      <c r="J193" s="28">
        <v>65</v>
      </c>
      <c r="L193" s="37">
        <v>1492</v>
      </c>
      <c r="M193" s="3">
        <v>64</v>
      </c>
      <c r="N193" s="3">
        <v>882</v>
      </c>
      <c r="O193" s="3">
        <v>29</v>
      </c>
      <c r="P193" s="3">
        <v>514</v>
      </c>
      <c r="Q193" s="3">
        <v>38</v>
      </c>
      <c r="R193" s="3">
        <v>29</v>
      </c>
      <c r="S193" s="3">
        <v>44</v>
      </c>
      <c r="T193" s="3">
        <v>1</v>
      </c>
      <c r="U193" s="3">
        <v>4</v>
      </c>
      <c r="V193" s="3">
        <v>2</v>
      </c>
      <c r="W193" s="3">
        <v>6</v>
      </c>
      <c r="X193" s="3">
        <v>3</v>
      </c>
    </row>
    <row r="194" spans="1:24" x14ac:dyDescent="0.35">
      <c r="A194">
        <v>1490</v>
      </c>
      <c r="B194">
        <v>70044</v>
      </c>
      <c r="C194">
        <v>66</v>
      </c>
      <c r="D194">
        <v>1</v>
      </c>
      <c r="E194" s="28">
        <v>7.2739726027397262</v>
      </c>
      <c r="F194" s="28"/>
      <c r="G194" s="28">
        <v>1096</v>
      </c>
      <c r="H194" s="28">
        <v>63693</v>
      </c>
      <c r="I194" s="28">
        <v>1</v>
      </c>
      <c r="J194" s="28">
        <v>42</v>
      </c>
      <c r="L194" s="38">
        <v>1490</v>
      </c>
      <c r="M194" s="2">
        <v>46</v>
      </c>
      <c r="N194" s="2">
        <v>1073</v>
      </c>
      <c r="O194" s="2">
        <v>0</v>
      </c>
      <c r="P194" s="2">
        <v>250</v>
      </c>
      <c r="Q194" s="2">
        <v>153</v>
      </c>
      <c r="R194" s="2">
        <v>14</v>
      </c>
      <c r="S194" s="2">
        <v>14</v>
      </c>
      <c r="T194" s="2">
        <v>4</v>
      </c>
      <c r="U194" s="2">
        <v>7</v>
      </c>
      <c r="V194" s="2">
        <v>10</v>
      </c>
      <c r="W194" s="2">
        <v>5</v>
      </c>
      <c r="X194" s="2">
        <v>5</v>
      </c>
    </row>
    <row r="195" spans="1:24" x14ac:dyDescent="0.35">
      <c r="A195">
        <v>1489</v>
      </c>
      <c r="B195">
        <v>69267</v>
      </c>
      <c r="C195">
        <v>67</v>
      </c>
      <c r="D195">
        <v>0</v>
      </c>
      <c r="E195" s="28">
        <v>7.6821917808219178</v>
      </c>
      <c r="F195" s="28"/>
      <c r="G195" s="28">
        <v>1094</v>
      </c>
      <c r="H195" s="28">
        <v>61223</v>
      </c>
      <c r="I195" s="28">
        <v>1</v>
      </c>
      <c r="J195" s="28">
        <v>53</v>
      </c>
      <c r="L195" s="37">
        <v>1489</v>
      </c>
      <c r="M195" s="3">
        <v>31</v>
      </c>
      <c r="N195" s="3">
        <v>778</v>
      </c>
      <c r="O195" s="3">
        <v>44</v>
      </c>
      <c r="P195" s="3">
        <v>499</v>
      </c>
      <c r="Q195" s="3">
        <v>95</v>
      </c>
      <c r="R195" s="3">
        <v>73</v>
      </c>
      <c r="S195" s="3">
        <v>146</v>
      </c>
      <c r="T195" s="3">
        <v>2</v>
      </c>
      <c r="U195" s="3">
        <v>3</v>
      </c>
      <c r="V195" s="3">
        <v>4</v>
      </c>
      <c r="W195" s="3">
        <v>5</v>
      </c>
      <c r="X195" s="3">
        <v>7</v>
      </c>
    </row>
    <row r="196" spans="1:24" x14ac:dyDescent="0.35">
      <c r="A196">
        <v>1489</v>
      </c>
      <c r="B196">
        <v>74854</v>
      </c>
      <c r="C196">
        <v>50</v>
      </c>
      <c r="D196">
        <v>1</v>
      </c>
      <c r="E196" s="28">
        <v>7.13972602739726</v>
      </c>
      <c r="F196" s="28"/>
      <c r="G196" s="28">
        <v>1092</v>
      </c>
      <c r="H196" s="28">
        <v>69508</v>
      </c>
      <c r="I196" s="28">
        <v>1</v>
      </c>
      <c r="J196" s="28">
        <v>40</v>
      </c>
      <c r="L196" s="38">
        <v>1489</v>
      </c>
      <c r="M196" s="2">
        <v>90</v>
      </c>
      <c r="N196" s="2">
        <v>856</v>
      </c>
      <c r="O196" s="2">
        <v>59</v>
      </c>
      <c r="P196" s="2">
        <v>487</v>
      </c>
      <c r="Q196" s="2">
        <v>58</v>
      </c>
      <c r="R196" s="2">
        <v>29</v>
      </c>
      <c r="S196" s="2">
        <v>73</v>
      </c>
      <c r="T196" s="2">
        <v>7</v>
      </c>
      <c r="U196" s="2">
        <v>2</v>
      </c>
      <c r="V196" s="2">
        <v>5</v>
      </c>
      <c r="W196" s="2">
        <v>5</v>
      </c>
      <c r="X196" s="2">
        <v>5</v>
      </c>
    </row>
    <row r="197" spans="1:24" x14ac:dyDescent="0.35">
      <c r="A197">
        <v>1487</v>
      </c>
      <c r="B197">
        <v>81051</v>
      </c>
      <c r="C197">
        <v>55</v>
      </c>
      <c r="D197">
        <v>0</v>
      </c>
      <c r="E197" s="28">
        <v>6.0164383561643833</v>
      </c>
      <c r="F197" s="28"/>
      <c r="G197" s="28">
        <v>1085</v>
      </c>
      <c r="H197" s="28">
        <v>63943</v>
      </c>
      <c r="I197" s="28">
        <v>1</v>
      </c>
      <c r="J197" s="28">
        <v>64</v>
      </c>
      <c r="L197" s="37">
        <v>1487</v>
      </c>
      <c r="M197" s="3">
        <v>43</v>
      </c>
      <c r="N197" s="3">
        <v>1142</v>
      </c>
      <c r="O197" s="3">
        <v>29</v>
      </c>
      <c r="P197" s="3">
        <v>249</v>
      </c>
      <c r="Q197" s="3">
        <v>38</v>
      </c>
      <c r="R197" s="3">
        <v>29</v>
      </c>
      <c r="S197" s="3">
        <v>14</v>
      </c>
      <c r="T197" s="3">
        <v>1</v>
      </c>
      <c r="U197" s="3">
        <v>5</v>
      </c>
      <c r="V197" s="3">
        <v>5</v>
      </c>
      <c r="W197" s="3">
        <v>12</v>
      </c>
      <c r="X197" s="3">
        <v>2</v>
      </c>
    </row>
    <row r="198" spans="1:24" x14ac:dyDescent="0.35">
      <c r="A198">
        <v>1486</v>
      </c>
      <c r="B198">
        <v>57333</v>
      </c>
      <c r="C198">
        <v>66</v>
      </c>
      <c r="D198">
        <v>1</v>
      </c>
      <c r="E198" s="28">
        <v>7.6821917808219178</v>
      </c>
      <c r="F198" s="28"/>
      <c r="G198" s="28">
        <v>1084</v>
      </c>
      <c r="H198" s="28">
        <v>66636</v>
      </c>
      <c r="I198" s="28">
        <v>0</v>
      </c>
      <c r="J198" s="28">
        <v>63</v>
      </c>
      <c r="L198" s="38">
        <v>1486</v>
      </c>
      <c r="M198" s="2">
        <v>55</v>
      </c>
      <c r="N198" s="2">
        <v>941</v>
      </c>
      <c r="O198" s="2">
        <v>14</v>
      </c>
      <c r="P198" s="2">
        <v>397</v>
      </c>
      <c r="Q198" s="2">
        <v>76</v>
      </c>
      <c r="R198" s="2">
        <v>58</v>
      </c>
      <c r="S198" s="2">
        <v>176</v>
      </c>
      <c r="T198" s="2">
        <v>11</v>
      </c>
      <c r="U198" s="2">
        <v>8</v>
      </c>
      <c r="V198" s="2">
        <v>5</v>
      </c>
      <c r="W198" s="2">
        <v>9</v>
      </c>
      <c r="X198" s="2">
        <v>6</v>
      </c>
    </row>
    <row r="199" spans="1:24" x14ac:dyDescent="0.35">
      <c r="A199">
        <v>1484</v>
      </c>
      <c r="B199">
        <v>70440</v>
      </c>
      <c r="C199">
        <v>42</v>
      </c>
      <c r="D199">
        <v>0</v>
      </c>
      <c r="E199" s="28">
        <v>6.6383561643835618</v>
      </c>
      <c r="F199" s="28"/>
      <c r="G199" s="28">
        <v>1076</v>
      </c>
      <c r="H199" s="28">
        <v>71969</v>
      </c>
      <c r="I199" s="28">
        <v>1</v>
      </c>
      <c r="J199" s="28">
        <v>49</v>
      </c>
      <c r="L199" s="37">
        <v>1484</v>
      </c>
      <c r="M199" s="3">
        <v>49</v>
      </c>
      <c r="N199" s="3">
        <v>690</v>
      </c>
      <c r="O199" s="3">
        <v>117</v>
      </c>
      <c r="P199" s="3">
        <v>499</v>
      </c>
      <c r="Q199" s="3">
        <v>76</v>
      </c>
      <c r="R199" s="3">
        <v>102</v>
      </c>
      <c r="S199" s="3">
        <v>88</v>
      </c>
      <c r="T199" s="3">
        <v>1</v>
      </c>
      <c r="U199" s="3">
        <v>5</v>
      </c>
      <c r="V199" s="3">
        <v>10</v>
      </c>
      <c r="W199" s="3">
        <v>7</v>
      </c>
      <c r="X199" s="3">
        <v>3</v>
      </c>
    </row>
    <row r="200" spans="1:24" x14ac:dyDescent="0.35">
      <c r="A200">
        <v>1482</v>
      </c>
      <c r="B200">
        <v>62981</v>
      </c>
      <c r="C200">
        <v>53</v>
      </c>
      <c r="D200">
        <v>0</v>
      </c>
      <c r="E200" s="28">
        <v>7.2</v>
      </c>
      <c r="F200" s="28"/>
      <c r="G200" s="28">
        <v>1072</v>
      </c>
      <c r="H200" s="28">
        <v>87305</v>
      </c>
      <c r="I200" s="28">
        <v>0</v>
      </c>
      <c r="J200" s="28">
        <v>60</v>
      </c>
      <c r="L200" s="38">
        <v>1482</v>
      </c>
      <c r="M200" s="2">
        <v>21</v>
      </c>
      <c r="N200" s="2">
        <v>796</v>
      </c>
      <c r="O200" s="2">
        <v>14</v>
      </c>
      <c r="P200" s="2">
        <v>590</v>
      </c>
      <c r="Q200" s="2">
        <v>38</v>
      </c>
      <c r="R200" s="2">
        <v>44</v>
      </c>
      <c r="S200" s="2">
        <v>0</v>
      </c>
      <c r="T200" s="2">
        <v>1</v>
      </c>
      <c r="U200" s="2">
        <v>4</v>
      </c>
      <c r="V200" s="2">
        <v>5</v>
      </c>
      <c r="W200" s="2">
        <v>13</v>
      </c>
      <c r="X200" s="2">
        <v>3</v>
      </c>
    </row>
    <row r="201" spans="1:24" x14ac:dyDescent="0.35">
      <c r="A201">
        <v>1480</v>
      </c>
      <c r="B201">
        <v>82014</v>
      </c>
      <c r="C201">
        <v>59</v>
      </c>
      <c r="D201">
        <v>0</v>
      </c>
      <c r="E201" s="28">
        <v>7.7726027397260271</v>
      </c>
      <c r="F201" s="28"/>
      <c r="G201" s="28">
        <v>1070</v>
      </c>
      <c r="H201" s="28">
        <v>65706</v>
      </c>
      <c r="I201" s="28">
        <v>0</v>
      </c>
      <c r="J201" s="28">
        <v>50</v>
      </c>
      <c r="L201" s="37">
        <v>1480</v>
      </c>
      <c r="M201" s="3">
        <v>48</v>
      </c>
      <c r="N201" s="3">
        <v>980</v>
      </c>
      <c r="O201" s="3">
        <v>37</v>
      </c>
      <c r="P201" s="3">
        <v>265</v>
      </c>
      <c r="Q201" s="3">
        <v>35</v>
      </c>
      <c r="R201" s="3">
        <v>163</v>
      </c>
      <c r="S201" s="3">
        <v>31</v>
      </c>
      <c r="T201" s="3">
        <v>1</v>
      </c>
      <c r="U201" s="3">
        <v>3</v>
      </c>
      <c r="V201" s="3">
        <v>6</v>
      </c>
      <c r="W201" s="3">
        <v>12</v>
      </c>
      <c r="X201" s="3">
        <v>6</v>
      </c>
    </row>
    <row r="202" spans="1:24" x14ac:dyDescent="0.35">
      <c r="A202">
        <v>1476</v>
      </c>
      <c r="B202">
        <v>73454</v>
      </c>
      <c r="C202">
        <v>33</v>
      </c>
      <c r="D202">
        <v>0</v>
      </c>
      <c r="E202" s="28">
        <v>6.2438356164383562</v>
      </c>
      <c r="F202" s="28"/>
      <c r="G202" s="28">
        <v>1061</v>
      </c>
      <c r="H202" s="28">
        <v>75154</v>
      </c>
      <c r="I202" s="28">
        <v>1</v>
      </c>
      <c r="J202" s="28">
        <v>62</v>
      </c>
      <c r="L202" s="38">
        <v>1476</v>
      </c>
      <c r="M202" s="2">
        <v>95</v>
      </c>
      <c r="N202" s="2">
        <v>982</v>
      </c>
      <c r="O202" s="2">
        <v>73</v>
      </c>
      <c r="P202" s="2">
        <v>351</v>
      </c>
      <c r="Q202" s="2">
        <v>56</v>
      </c>
      <c r="R202" s="2">
        <v>14</v>
      </c>
      <c r="S202" s="2">
        <v>175</v>
      </c>
      <c r="T202" s="2">
        <v>1</v>
      </c>
      <c r="U202" s="2">
        <v>2</v>
      </c>
      <c r="V202" s="2">
        <v>4</v>
      </c>
      <c r="W202" s="2">
        <v>6</v>
      </c>
      <c r="X202" s="2">
        <v>5</v>
      </c>
    </row>
    <row r="203" spans="1:24" x14ac:dyDescent="0.35">
      <c r="A203">
        <v>1475</v>
      </c>
      <c r="B203">
        <v>79823</v>
      </c>
      <c r="C203">
        <v>61</v>
      </c>
      <c r="D203">
        <v>1</v>
      </c>
      <c r="E203" s="28">
        <v>6.161643835616438</v>
      </c>
      <c r="F203" s="28"/>
      <c r="G203" s="28">
        <v>1059</v>
      </c>
      <c r="H203" s="28">
        <v>87195</v>
      </c>
      <c r="I203" s="28">
        <v>0</v>
      </c>
      <c r="J203" s="28">
        <v>61</v>
      </c>
      <c r="L203" s="37">
        <v>1475</v>
      </c>
      <c r="M203" s="3">
        <v>6</v>
      </c>
      <c r="N203" s="3">
        <v>835</v>
      </c>
      <c r="O203" s="3">
        <v>73</v>
      </c>
      <c r="P203" s="3">
        <v>380</v>
      </c>
      <c r="Q203" s="3">
        <v>114</v>
      </c>
      <c r="R203" s="3">
        <v>73</v>
      </c>
      <c r="S203" s="3">
        <v>43</v>
      </c>
      <c r="T203" s="3">
        <v>1</v>
      </c>
      <c r="U203" s="3">
        <v>6</v>
      </c>
      <c r="V203" s="3">
        <v>9</v>
      </c>
      <c r="W203" s="3">
        <v>7</v>
      </c>
      <c r="X203" s="3">
        <v>2</v>
      </c>
    </row>
    <row r="204" spans="1:24" x14ac:dyDescent="0.35">
      <c r="A204">
        <v>1473</v>
      </c>
      <c r="B204">
        <v>72828</v>
      </c>
      <c r="C204">
        <v>58</v>
      </c>
      <c r="D204">
        <v>1</v>
      </c>
      <c r="E204" s="28">
        <v>7.2849315068493148</v>
      </c>
      <c r="F204" s="28"/>
      <c r="G204" s="28">
        <v>1059</v>
      </c>
      <c r="H204" s="28">
        <v>81698</v>
      </c>
      <c r="I204" s="28">
        <v>0</v>
      </c>
      <c r="J204" s="28">
        <v>37</v>
      </c>
      <c r="L204" s="38">
        <v>1473</v>
      </c>
      <c r="M204" s="2">
        <v>17</v>
      </c>
      <c r="N204" s="2">
        <v>1205</v>
      </c>
      <c r="O204" s="2">
        <v>0</v>
      </c>
      <c r="P204" s="2">
        <v>235</v>
      </c>
      <c r="Q204" s="2">
        <v>19</v>
      </c>
      <c r="R204" s="2">
        <v>14</v>
      </c>
      <c r="S204" s="2">
        <v>205</v>
      </c>
      <c r="T204" s="2">
        <v>6</v>
      </c>
      <c r="U204" s="2">
        <v>6</v>
      </c>
      <c r="V204" s="2">
        <v>3</v>
      </c>
      <c r="W204" s="2">
        <v>13</v>
      </c>
      <c r="X204" s="2">
        <v>7</v>
      </c>
    </row>
    <row r="205" spans="1:24" x14ac:dyDescent="0.35">
      <c r="A205">
        <v>1471</v>
      </c>
      <c r="B205">
        <v>66465</v>
      </c>
      <c r="C205">
        <v>65</v>
      </c>
      <c r="D205">
        <v>1</v>
      </c>
      <c r="E205" s="28">
        <v>7.1643835616438354</v>
      </c>
      <c r="F205" s="28"/>
      <c r="G205" s="28">
        <v>1058</v>
      </c>
      <c r="H205" s="28">
        <v>85693</v>
      </c>
      <c r="I205" s="28">
        <v>1</v>
      </c>
      <c r="J205" s="28">
        <v>41</v>
      </c>
      <c r="L205" s="37">
        <v>1471</v>
      </c>
      <c r="M205" s="3">
        <v>1</v>
      </c>
      <c r="N205" s="3">
        <v>1200</v>
      </c>
      <c r="O205" s="3">
        <v>0</v>
      </c>
      <c r="P205" s="3">
        <v>204</v>
      </c>
      <c r="Q205" s="3">
        <v>38</v>
      </c>
      <c r="R205" s="3">
        <v>29</v>
      </c>
      <c r="S205" s="3">
        <v>14</v>
      </c>
      <c r="T205" s="3">
        <v>3</v>
      </c>
      <c r="U205" s="3">
        <v>11</v>
      </c>
      <c r="V205" s="3">
        <v>9</v>
      </c>
      <c r="W205" s="3">
        <v>12</v>
      </c>
      <c r="X205" s="3">
        <v>6</v>
      </c>
    </row>
    <row r="206" spans="1:24" x14ac:dyDescent="0.35">
      <c r="A206">
        <v>1469</v>
      </c>
      <c r="B206">
        <v>76542</v>
      </c>
      <c r="C206">
        <v>64</v>
      </c>
      <c r="D206">
        <v>0</v>
      </c>
      <c r="E206" s="28">
        <v>7.1643835616438354</v>
      </c>
      <c r="F206" s="28"/>
      <c r="G206" s="28">
        <v>1056</v>
      </c>
      <c r="H206" s="28">
        <v>63998</v>
      </c>
      <c r="I206" s="28">
        <v>0</v>
      </c>
      <c r="J206" s="28">
        <v>68</v>
      </c>
      <c r="L206" s="38">
        <v>1469</v>
      </c>
      <c r="M206" s="2">
        <v>91</v>
      </c>
      <c r="N206" s="2">
        <v>794</v>
      </c>
      <c r="O206" s="2">
        <v>73</v>
      </c>
      <c r="P206" s="2">
        <v>573</v>
      </c>
      <c r="Q206" s="2">
        <v>0</v>
      </c>
      <c r="R206" s="2">
        <v>29</v>
      </c>
      <c r="S206" s="2">
        <v>14</v>
      </c>
      <c r="T206" s="2">
        <v>1</v>
      </c>
      <c r="U206" s="2">
        <v>4</v>
      </c>
      <c r="V206" s="2">
        <v>8</v>
      </c>
      <c r="W206" s="2">
        <v>10</v>
      </c>
      <c r="X206" s="2">
        <v>2</v>
      </c>
    </row>
    <row r="207" spans="1:24" x14ac:dyDescent="0.35">
      <c r="A207">
        <v>1468</v>
      </c>
      <c r="B207">
        <v>77520</v>
      </c>
      <c r="C207">
        <v>61</v>
      </c>
      <c r="D207">
        <v>1</v>
      </c>
      <c r="E207" s="28">
        <v>6.7506849315068491</v>
      </c>
      <c r="F207" s="28"/>
      <c r="G207" s="28">
        <v>1054</v>
      </c>
      <c r="H207" s="28">
        <v>67786</v>
      </c>
      <c r="I207" s="28">
        <v>0</v>
      </c>
      <c r="J207" s="28">
        <v>61</v>
      </c>
      <c r="L207" s="37">
        <v>1468</v>
      </c>
      <c r="M207" s="3">
        <v>30</v>
      </c>
      <c r="N207" s="3">
        <v>940</v>
      </c>
      <c r="O207" s="3">
        <v>44</v>
      </c>
      <c r="P207" s="3">
        <v>396</v>
      </c>
      <c r="Q207" s="3">
        <v>0</v>
      </c>
      <c r="R207" s="3">
        <v>88</v>
      </c>
      <c r="S207" s="3">
        <v>58</v>
      </c>
      <c r="T207" s="3">
        <v>1</v>
      </c>
      <c r="U207" s="3">
        <v>8</v>
      </c>
      <c r="V207" s="3">
        <v>7</v>
      </c>
      <c r="W207" s="3">
        <v>7</v>
      </c>
      <c r="X207" s="3">
        <v>4</v>
      </c>
    </row>
    <row r="208" spans="1:24" x14ac:dyDescent="0.35">
      <c r="A208">
        <v>1467</v>
      </c>
      <c r="B208">
        <v>91820</v>
      </c>
      <c r="C208">
        <v>34</v>
      </c>
      <c r="D208">
        <v>0</v>
      </c>
      <c r="E208" s="28">
        <v>6.5123287671232877</v>
      </c>
      <c r="F208" s="28"/>
      <c r="G208" s="28">
        <v>1053</v>
      </c>
      <c r="H208" s="28">
        <v>70287</v>
      </c>
      <c r="I208" s="28">
        <v>0</v>
      </c>
      <c r="J208" s="28">
        <v>54</v>
      </c>
      <c r="L208" s="38">
        <v>1467</v>
      </c>
      <c r="M208" s="2">
        <v>72</v>
      </c>
      <c r="N208" s="2">
        <v>410</v>
      </c>
      <c r="O208" s="2">
        <v>73</v>
      </c>
      <c r="P208" s="2">
        <v>747</v>
      </c>
      <c r="Q208" s="2">
        <v>76</v>
      </c>
      <c r="R208" s="2">
        <v>161</v>
      </c>
      <c r="S208" s="2">
        <v>30</v>
      </c>
      <c r="T208" s="2">
        <v>0</v>
      </c>
      <c r="U208" s="2">
        <v>5</v>
      </c>
      <c r="V208" s="2">
        <v>5</v>
      </c>
      <c r="W208" s="2">
        <v>12</v>
      </c>
      <c r="X208" s="2">
        <v>1</v>
      </c>
    </row>
    <row r="209" spans="1:24" x14ac:dyDescent="0.35">
      <c r="A209">
        <v>1466</v>
      </c>
      <c r="B209">
        <v>69930</v>
      </c>
      <c r="C209">
        <v>49</v>
      </c>
      <c r="D209">
        <v>0</v>
      </c>
      <c r="E209" s="28">
        <v>7.0082191780821921</v>
      </c>
      <c r="F209" s="28"/>
      <c r="G209" s="28">
        <v>1052</v>
      </c>
      <c r="H209" s="28">
        <v>57136</v>
      </c>
      <c r="I209" s="28">
        <v>0</v>
      </c>
      <c r="J209" s="28">
        <v>53</v>
      </c>
      <c r="L209" s="37">
        <v>1466</v>
      </c>
      <c r="M209" s="3">
        <v>21</v>
      </c>
      <c r="N209" s="3">
        <v>252</v>
      </c>
      <c r="O209" s="3">
        <v>98</v>
      </c>
      <c r="P209" s="3">
        <v>827</v>
      </c>
      <c r="Q209" s="3">
        <v>219</v>
      </c>
      <c r="R209" s="3">
        <v>70</v>
      </c>
      <c r="S209" s="3">
        <v>196</v>
      </c>
      <c r="T209" s="3">
        <v>1</v>
      </c>
      <c r="U209" s="3">
        <v>4</v>
      </c>
      <c r="V209" s="3">
        <v>5</v>
      </c>
      <c r="W209" s="3">
        <v>12</v>
      </c>
      <c r="X209" s="3">
        <v>3</v>
      </c>
    </row>
    <row r="210" spans="1:24" x14ac:dyDescent="0.35">
      <c r="A210">
        <v>1466</v>
      </c>
      <c r="B210">
        <v>57036</v>
      </c>
      <c r="C210">
        <v>45</v>
      </c>
      <c r="D210">
        <v>1</v>
      </c>
      <c r="E210" s="28">
        <v>7.463013698630137</v>
      </c>
      <c r="F210" s="28"/>
      <c r="G210" s="28">
        <v>1047</v>
      </c>
      <c r="H210" s="28">
        <v>81657</v>
      </c>
      <c r="I210" s="28">
        <v>0</v>
      </c>
      <c r="J210" s="28">
        <v>51</v>
      </c>
      <c r="L210" s="38">
        <v>1466</v>
      </c>
      <c r="M210" s="2">
        <v>33</v>
      </c>
      <c r="N210" s="2">
        <v>1171</v>
      </c>
      <c r="O210" s="2">
        <v>43</v>
      </c>
      <c r="P210" s="2">
        <v>219</v>
      </c>
      <c r="Q210" s="2">
        <v>19</v>
      </c>
      <c r="R210" s="2">
        <v>14</v>
      </c>
      <c r="S210" s="2">
        <v>47</v>
      </c>
      <c r="T210" s="2">
        <v>4</v>
      </c>
      <c r="U210" s="2">
        <v>6</v>
      </c>
      <c r="V210" s="2">
        <v>3</v>
      </c>
      <c r="W210" s="2">
        <v>13</v>
      </c>
      <c r="X210" s="2">
        <v>9</v>
      </c>
    </row>
    <row r="211" spans="1:24" x14ac:dyDescent="0.35">
      <c r="A211">
        <v>1464</v>
      </c>
      <c r="B211">
        <v>73892</v>
      </c>
      <c r="C211">
        <v>67</v>
      </c>
      <c r="D211">
        <v>0</v>
      </c>
      <c r="E211" s="28">
        <v>6.5397260273972604</v>
      </c>
      <c r="F211" s="28"/>
      <c r="G211" s="28">
        <v>1046</v>
      </c>
      <c r="H211" s="28">
        <v>70666</v>
      </c>
      <c r="I211" s="28">
        <v>0</v>
      </c>
      <c r="J211" s="28">
        <v>72</v>
      </c>
      <c r="L211" s="37">
        <v>1464</v>
      </c>
      <c r="M211" s="3">
        <v>40</v>
      </c>
      <c r="N211" s="3">
        <v>703</v>
      </c>
      <c r="O211" s="3">
        <v>102</v>
      </c>
      <c r="P211" s="3">
        <v>601</v>
      </c>
      <c r="Q211" s="3">
        <v>0</v>
      </c>
      <c r="R211" s="3">
        <v>58</v>
      </c>
      <c r="S211" s="3">
        <v>43</v>
      </c>
      <c r="T211" s="3">
        <v>1</v>
      </c>
      <c r="U211" s="3">
        <v>3</v>
      </c>
      <c r="V211" s="3">
        <v>11</v>
      </c>
      <c r="W211" s="3">
        <v>8</v>
      </c>
      <c r="X211" s="3">
        <v>1</v>
      </c>
    </row>
    <row r="212" spans="1:24" x14ac:dyDescent="0.35">
      <c r="A212">
        <v>1461</v>
      </c>
      <c r="B212">
        <v>65176</v>
      </c>
      <c r="C212">
        <v>51</v>
      </c>
      <c r="D212">
        <v>1</v>
      </c>
      <c r="E212" s="28">
        <v>7.580821917808219</v>
      </c>
      <c r="F212" s="28"/>
      <c r="G212" s="28">
        <v>1042</v>
      </c>
      <c r="H212" s="28">
        <v>78710</v>
      </c>
      <c r="I212" s="28">
        <v>1</v>
      </c>
      <c r="J212" s="28">
        <v>43</v>
      </c>
      <c r="L212" s="38">
        <v>1461</v>
      </c>
      <c r="M212" s="2">
        <v>57</v>
      </c>
      <c r="N212" s="2">
        <v>960</v>
      </c>
      <c r="O212" s="2">
        <v>28</v>
      </c>
      <c r="P212" s="2">
        <v>183</v>
      </c>
      <c r="Q212" s="2">
        <v>220</v>
      </c>
      <c r="R212" s="2">
        <v>70</v>
      </c>
      <c r="S212" s="2">
        <v>70</v>
      </c>
      <c r="T212" s="2">
        <v>4</v>
      </c>
      <c r="U212" s="2">
        <v>9</v>
      </c>
      <c r="V212" s="2">
        <v>6</v>
      </c>
      <c r="W212" s="2">
        <v>6</v>
      </c>
      <c r="X212" s="2">
        <v>6</v>
      </c>
    </row>
    <row r="213" spans="1:24" x14ac:dyDescent="0.35">
      <c r="A213">
        <v>1460</v>
      </c>
      <c r="B213">
        <v>69109</v>
      </c>
      <c r="C213">
        <v>38</v>
      </c>
      <c r="D213">
        <v>0</v>
      </c>
      <c r="E213" s="28">
        <v>7.5506849315068489</v>
      </c>
      <c r="F213" s="28"/>
      <c r="G213" s="28">
        <v>1037</v>
      </c>
      <c r="H213" s="28">
        <v>59235</v>
      </c>
      <c r="I213" s="28">
        <v>1</v>
      </c>
      <c r="J213" s="28">
        <v>53</v>
      </c>
      <c r="L213" s="37">
        <v>1460</v>
      </c>
      <c r="M213" s="3">
        <v>10</v>
      </c>
      <c r="N213" s="3">
        <v>823</v>
      </c>
      <c r="O213" s="3">
        <v>25</v>
      </c>
      <c r="P213" s="3">
        <v>459</v>
      </c>
      <c r="Q213" s="3">
        <v>124</v>
      </c>
      <c r="R213" s="3">
        <v>29</v>
      </c>
      <c r="S213" s="3">
        <v>95</v>
      </c>
      <c r="T213" s="3">
        <v>1</v>
      </c>
      <c r="U213" s="3">
        <v>6</v>
      </c>
      <c r="V213" s="3">
        <v>6</v>
      </c>
      <c r="W213" s="3">
        <v>7</v>
      </c>
      <c r="X213" s="3">
        <v>4</v>
      </c>
    </row>
    <row r="214" spans="1:24" x14ac:dyDescent="0.35">
      <c r="A214">
        <v>1450</v>
      </c>
      <c r="B214">
        <v>79946</v>
      </c>
      <c r="C214">
        <v>54</v>
      </c>
      <c r="D214">
        <v>0</v>
      </c>
      <c r="E214" s="28">
        <v>6.0465753424657533</v>
      </c>
      <c r="F214" s="28"/>
      <c r="G214" s="28">
        <v>1036</v>
      </c>
      <c r="H214" s="28">
        <v>91172</v>
      </c>
      <c r="I214" s="28">
        <v>0</v>
      </c>
      <c r="J214" s="28">
        <v>30</v>
      </c>
      <c r="L214" s="38">
        <v>1450</v>
      </c>
      <c r="M214" s="2">
        <v>19</v>
      </c>
      <c r="N214" s="2">
        <v>395</v>
      </c>
      <c r="O214" s="2">
        <v>183</v>
      </c>
      <c r="P214" s="2">
        <v>565</v>
      </c>
      <c r="Q214" s="2">
        <v>166</v>
      </c>
      <c r="R214" s="2">
        <v>141</v>
      </c>
      <c r="S214" s="2">
        <v>28</v>
      </c>
      <c r="T214" s="2">
        <v>1</v>
      </c>
      <c r="U214" s="2">
        <v>5</v>
      </c>
      <c r="V214" s="2">
        <v>11</v>
      </c>
      <c r="W214" s="2">
        <v>5</v>
      </c>
      <c r="X214" s="2">
        <v>3</v>
      </c>
    </row>
    <row r="215" spans="1:24" x14ac:dyDescent="0.35">
      <c r="A215">
        <v>1446</v>
      </c>
      <c r="B215">
        <v>81702</v>
      </c>
      <c r="C215">
        <v>40</v>
      </c>
      <c r="D215">
        <v>0</v>
      </c>
      <c r="E215" s="28">
        <v>7.6794520547945204</v>
      </c>
      <c r="F215" s="28"/>
      <c r="G215" s="28">
        <v>1032</v>
      </c>
      <c r="H215" s="28">
        <v>76982</v>
      </c>
      <c r="I215" s="28">
        <v>0</v>
      </c>
      <c r="J215" s="28">
        <v>53</v>
      </c>
      <c r="L215" s="37">
        <v>1446</v>
      </c>
      <c r="M215" s="3">
        <v>98</v>
      </c>
      <c r="N215" s="3">
        <v>563</v>
      </c>
      <c r="O215" s="3">
        <v>50</v>
      </c>
      <c r="P215" s="3">
        <v>774</v>
      </c>
      <c r="Q215" s="3">
        <v>28</v>
      </c>
      <c r="R215" s="3">
        <v>31</v>
      </c>
      <c r="S215" s="3">
        <v>187</v>
      </c>
      <c r="T215" s="3">
        <v>1</v>
      </c>
      <c r="U215" s="3">
        <v>7</v>
      </c>
      <c r="V215" s="3">
        <v>7</v>
      </c>
      <c r="W215" s="3">
        <v>12</v>
      </c>
      <c r="X215" s="3">
        <v>3</v>
      </c>
    </row>
    <row r="216" spans="1:24" x14ac:dyDescent="0.35">
      <c r="A216">
        <v>1446</v>
      </c>
      <c r="B216">
        <v>73687</v>
      </c>
      <c r="C216">
        <v>30</v>
      </c>
      <c r="D216">
        <v>0</v>
      </c>
      <c r="E216" s="28">
        <v>6.4986301369863018</v>
      </c>
      <c r="F216" s="28"/>
      <c r="G216" s="28">
        <v>1030</v>
      </c>
      <c r="H216" s="28">
        <v>57513</v>
      </c>
      <c r="I216" s="28">
        <v>0</v>
      </c>
      <c r="J216" s="28">
        <v>77</v>
      </c>
      <c r="L216" s="38">
        <v>1446</v>
      </c>
      <c r="M216" s="2">
        <v>8</v>
      </c>
      <c r="N216" s="2">
        <v>559</v>
      </c>
      <c r="O216" s="2">
        <v>153</v>
      </c>
      <c r="P216" s="2">
        <v>503</v>
      </c>
      <c r="Q216" s="2">
        <v>218</v>
      </c>
      <c r="R216" s="2">
        <v>13</v>
      </c>
      <c r="S216" s="2">
        <v>181</v>
      </c>
      <c r="T216" s="2">
        <v>1</v>
      </c>
      <c r="U216" s="2">
        <v>3</v>
      </c>
      <c r="V216" s="2">
        <v>9</v>
      </c>
      <c r="W216" s="2">
        <v>9</v>
      </c>
      <c r="X216" s="2">
        <v>2</v>
      </c>
    </row>
    <row r="217" spans="1:24" x14ac:dyDescent="0.35">
      <c r="A217">
        <v>1441</v>
      </c>
      <c r="B217">
        <v>79529</v>
      </c>
      <c r="C217">
        <v>34</v>
      </c>
      <c r="D217">
        <v>0</v>
      </c>
      <c r="E217" s="28">
        <v>6.087671232876712</v>
      </c>
      <c r="F217" s="28"/>
      <c r="G217" s="28">
        <v>1029</v>
      </c>
      <c r="H217" s="28">
        <v>69759</v>
      </c>
      <c r="I217" s="28">
        <v>0</v>
      </c>
      <c r="J217" s="28">
        <v>54</v>
      </c>
      <c r="L217" s="37">
        <v>1441</v>
      </c>
      <c r="M217" s="3">
        <v>1</v>
      </c>
      <c r="N217" s="3">
        <v>423</v>
      </c>
      <c r="O217" s="3">
        <v>42</v>
      </c>
      <c r="P217" s="3">
        <v>706</v>
      </c>
      <c r="Q217" s="3">
        <v>73</v>
      </c>
      <c r="R217" s="3">
        <v>197</v>
      </c>
      <c r="S217" s="3">
        <v>197</v>
      </c>
      <c r="T217" s="3">
        <v>1</v>
      </c>
      <c r="U217" s="3">
        <v>4</v>
      </c>
      <c r="V217" s="3">
        <v>8</v>
      </c>
      <c r="W217" s="3">
        <v>9</v>
      </c>
      <c r="X217" s="3">
        <v>2</v>
      </c>
    </row>
    <row r="218" spans="1:24" x14ac:dyDescent="0.35">
      <c r="A218">
        <v>1433</v>
      </c>
      <c r="B218">
        <v>74538</v>
      </c>
      <c r="C218">
        <v>49</v>
      </c>
      <c r="D218">
        <v>0</v>
      </c>
      <c r="E218" s="28">
        <v>6.9150684931506845</v>
      </c>
      <c r="F218" s="28"/>
      <c r="G218" s="28">
        <v>1029</v>
      </c>
      <c r="H218" s="28">
        <v>85710</v>
      </c>
      <c r="I218" s="28">
        <v>0</v>
      </c>
      <c r="J218" s="28">
        <v>31</v>
      </c>
      <c r="L218" s="38">
        <v>1433</v>
      </c>
      <c r="M218" s="2">
        <v>21</v>
      </c>
      <c r="N218" s="2">
        <v>380</v>
      </c>
      <c r="O218" s="2">
        <v>98</v>
      </c>
      <c r="P218" s="2">
        <v>733</v>
      </c>
      <c r="Q218" s="2">
        <v>110</v>
      </c>
      <c r="R218" s="2">
        <v>112</v>
      </c>
      <c r="S218" s="2">
        <v>28</v>
      </c>
      <c r="T218" s="2">
        <v>1</v>
      </c>
      <c r="U218" s="2">
        <v>8</v>
      </c>
      <c r="V218" s="2">
        <v>8</v>
      </c>
      <c r="W218" s="2">
        <v>5</v>
      </c>
      <c r="X218" s="2">
        <v>3</v>
      </c>
    </row>
    <row r="219" spans="1:24" x14ac:dyDescent="0.35">
      <c r="A219">
        <v>1432</v>
      </c>
      <c r="B219">
        <v>63207</v>
      </c>
      <c r="C219">
        <v>28</v>
      </c>
      <c r="D219">
        <v>0</v>
      </c>
      <c r="E219" s="28">
        <v>7.353424657534247</v>
      </c>
      <c r="F219" s="28"/>
      <c r="G219" s="28">
        <v>1029</v>
      </c>
      <c r="H219" s="28">
        <v>44802</v>
      </c>
      <c r="I219" s="28">
        <v>0</v>
      </c>
      <c r="J219" s="28">
        <v>50</v>
      </c>
      <c r="L219" s="37">
        <v>1432</v>
      </c>
      <c r="M219" s="3">
        <v>68</v>
      </c>
      <c r="N219" s="3">
        <v>438</v>
      </c>
      <c r="O219" s="3">
        <v>169</v>
      </c>
      <c r="P219" s="3">
        <v>565</v>
      </c>
      <c r="Q219" s="3">
        <v>91</v>
      </c>
      <c r="R219" s="3">
        <v>169</v>
      </c>
      <c r="S219" s="3">
        <v>70</v>
      </c>
      <c r="T219" s="3">
        <v>1</v>
      </c>
      <c r="U219" s="3">
        <v>2</v>
      </c>
      <c r="V219" s="3">
        <v>3</v>
      </c>
      <c r="W219" s="3">
        <v>6</v>
      </c>
      <c r="X219" s="3">
        <v>7</v>
      </c>
    </row>
    <row r="220" spans="1:24" x14ac:dyDescent="0.35">
      <c r="A220">
        <v>1430</v>
      </c>
      <c r="B220">
        <v>89694</v>
      </c>
      <c r="C220">
        <v>47</v>
      </c>
      <c r="D220">
        <v>1</v>
      </c>
      <c r="E220" s="28">
        <v>6.6356164383561644</v>
      </c>
      <c r="F220" s="28"/>
      <c r="G220" s="28">
        <v>1028</v>
      </c>
      <c r="H220" s="28">
        <v>55914</v>
      </c>
      <c r="I220" s="28">
        <v>1</v>
      </c>
      <c r="J220" s="28">
        <v>45</v>
      </c>
      <c r="L220" s="38">
        <v>1430</v>
      </c>
      <c r="M220" s="2">
        <v>22</v>
      </c>
      <c r="N220" s="2">
        <v>1126</v>
      </c>
      <c r="O220" s="2">
        <v>28</v>
      </c>
      <c r="P220" s="2">
        <v>211</v>
      </c>
      <c r="Q220" s="2">
        <v>37</v>
      </c>
      <c r="R220" s="2">
        <v>28</v>
      </c>
      <c r="S220" s="2">
        <v>42</v>
      </c>
      <c r="T220" s="2">
        <v>3</v>
      </c>
      <c r="U220" s="2">
        <v>4</v>
      </c>
      <c r="V220" s="2">
        <v>3</v>
      </c>
      <c r="W220" s="2">
        <v>4</v>
      </c>
      <c r="X220" s="2">
        <v>5</v>
      </c>
    </row>
    <row r="221" spans="1:24" x14ac:dyDescent="0.35">
      <c r="A221">
        <v>1429</v>
      </c>
      <c r="B221">
        <v>67419</v>
      </c>
      <c r="C221">
        <v>50</v>
      </c>
      <c r="D221">
        <v>1</v>
      </c>
      <c r="E221" s="28">
        <v>7.3643835616438356</v>
      </c>
      <c r="F221" s="28"/>
      <c r="G221" s="28">
        <v>1024</v>
      </c>
      <c r="H221" s="28">
        <v>52278</v>
      </c>
      <c r="I221" s="28">
        <v>1</v>
      </c>
      <c r="J221" s="28">
        <v>57</v>
      </c>
      <c r="L221" s="37">
        <v>1429</v>
      </c>
      <c r="M221" s="3">
        <v>29</v>
      </c>
      <c r="N221" s="3">
        <v>846</v>
      </c>
      <c r="O221" s="3">
        <v>84</v>
      </c>
      <c r="P221" s="3">
        <v>352</v>
      </c>
      <c r="Q221" s="3">
        <v>91</v>
      </c>
      <c r="R221" s="3">
        <v>56</v>
      </c>
      <c r="S221" s="3">
        <v>42</v>
      </c>
      <c r="T221" s="3">
        <v>4</v>
      </c>
      <c r="U221" s="3">
        <v>9</v>
      </c>
      <c r="V221" s="3">
        <v>4</v>
      </c>
      <c r="W221" s="3">
        <v>8</v>
      </c>
      <c r="X221" s="3">
        <v>5</v>
      </c>
    </row>
    <row r="222" spans="1:24" x14ac:dyDescent="0.35">
      <c r="A222">
        <v>1429</v>
      </c>
      <c r="B222">
        <v>71706</v>
      </c>
      <c r="C222">
        <v>61</v>
      </c>
      <c r="D222">
        <v>1</v>
      </c>
      <c r="E222" s="28">
        <v>7.5397260273972604</v>
      </c>
      <c r="F222" s="28"/>
      <c r="G222" s="28">
        <v>1021</v>
      </c>
      <c r="H222" s="28">
        <v>46757</v>
      </c>
      <c r="I222" s="28">
        <v>1</v>
      </c>
      <c r="J222" s="28">
        <v>57</v>
      </c>
      <c r="L222" s="38">
        <v>1429</v>
      </c>
      <c r="M222" s="2">
        <v>16</v>
      </c>
      <c r="N222" s="2">
        <v>931</v>
      </c>
      <c r="O222" s="2">
        <v>56</v>
      </c>
      <c r="P222" s="2">
        <v>253</v>
      </c>
      <c r="Q222" s="2">
        <v>91</v>
      </c>
      <c r="R222" s="2">
        <v>98</v>
      </c>
      <c r="S222" s="2">
        <v>14</v>
      </c>
      <c r="T222" s="2">
        <v>4</v>
      </c>
      <c r="U222" s="2">
        <v>9</v>
      </c>
      <c r="V222" s="2">
        <v>5</v>
      </c>
      <c r="W222" s="2">
        <v>7</v>
      </c>
      <c r="X222" s="2">
        <v>5</v>
      </c>
    </row>
    <row r="223" spans="1:24" x14ac:dyDescent="0.35">
      <c r="A223">
        <v>1426</v>
      </c>
      <c r="B223">
        <v>80995</v>
      </c>
      <c r="C223">
        <v>62</v>
      </c>
      <c r="D223">
        <v>1</v>
      </c>
      <c r="E223" s="28">
        <v>7.0493150684931507</v>
      </c>
      <c r="F223" s="28"/>
      <c r="G223" s="28">
        <v>1019</v>
      </c>
      <c r="H223" s="28">
        <v>75276</v>
      </c>
      <c r="I223" s="28">
        <v>0</v>
      </c>
      <c r="J223" s="28">
        <v>55</v>
      </c>
      <c r="L223" s="37">
        <v>1426</v>
      </c>
      <c r="M223" s="3">
        <v>83</v>
      </c>
      <c r="N223" s="3">
        <v>860</v>
      </c>
      <c r="O223" s="3">
        <v>28</v>
      </c>
      <c r="P223" s="3">
        <v>409</v>
      </c>
      <c r="Q223" s="3">
        <v>73</v>
      </c>
      <c r="R223" s="3">
        <v>56</v>
      </c>
      <c r="S223" s="3">
        <v>56</v>
      </c>
      <c r="T223" s="3">
        <v>1</v>
      </c>
      <c r="U223" s="3">
        <v>8</v>
      </c>
      <c r="V223" s="3">
        <v>9</v>
      </c>
      <c r="W223" s="3">
        <v>4</v>
      </c>
      <c r="X223" s="3">
        <v>4</v>
      </c>
    </row>
    <row r="224" spans="1:24" x14ac:dyDescent="0.35">
      <c r="A224">
        <v>1425</v>
      </c>
      <c r="B224">
        <v>78420</v>
      </c>
      <c r="C224">
        <v>54</v>
      </c>
      <c r="D224">
        <v>0</v>
      </c>
      <c r="E224" s="28">
        <v>6.9150684931506845</v>
      </c>
      <c r="F224" s="28"/>
      <c r="G224" s="28">
        <v>1019</v>
      </c>
      <c r="H224" s="28">
        <v>58512</v>
      </c>
      <c r="I224" s="28">
        <v>1</v>
      </c>
      <c r="J224" s="28">
        <v>56</v>
      </c>
      <c r="L224" s="38">
        <v>1425</v>
      </c>
      <c r="M224" s="2">
        <v>75</v>
      </c>
      <c r="N224" s="2">
        <v>604</v>
      </c>
      <c r="O224" s="2">
        <v>28</v>
      </c>
      <c r="P224" s="2">
        <v>674</v>
      </c>
      <c r="Q224" s="2">
        <v>91</v>
      </c>
      <c r="R224" s="2">
        <v>28</v>
      </c>
      <c r="S224" s="2">
        <v>28</v>
      </c>
      <c r="T224" s="2">
        <v>1</v>
      </c>
      <c r="U224" s="2">
        <v>3</v>
      </c>
      <c r="V224" s="2">
        <v>10</v>
      </c>
      <c r="W224" s="2">
        <v>8</v>
      </c>
      <c r="X224" s="2">
        <v>1</v>
      </c>
    </row>
    <row r="225" spans="1:24" x14ac:dyDescent="0.35">
      <c r="A225">
        <v>1422</v>
      </c>
      <c r="B225">
        <v>68142</v>
      </c>
      <c r="C225">
        <v>56</v>
      </c>
      <c r="D225">
        <v>1</v>
      </c>
      <c r="E225" s="28">
        <v>7.7479452054794518</v>
      </c>
      <c r="F225" s="28"/>
      <c r="G225" s="28">
        <v>1018</v>
      </c>
      <c r="H225" s="28">
        <v>69805</v>
      </c>
      <c r="I225" s="28">
        <v>1</v>
      </c>
      <c r="J225" s="28">
        <v>68</v>
      </c>
      <c r="L225" s="37">
        <v>1422</v>
      </c>
      <c r="M225" s="3">
        <v>96</v>
      </c>
      <c r="N225" s="3">
        <v>897</v>
      </c>
      <c r="O225" s="3">
        <v>126</v>
      </c>
      <c r="P225" s="3">
        <v>196</v>
      </c>
      <c r="Q225" s="3">
        <v>91</v>
      </c>
      <c r="R225" s="3">
        <v>112</v>
      </c>
      <c r="S225" s="3">
        <v>37</v>
      </c>
      <c r="T225" s="3">
        <v>3</v>
      </c>
      <c r="U225" s="3">
        <v>10</v>
      </c>
      <c r="V225" s="3">
        <v>4</v>
      </c>
      <c r="W225" s="3">
        <v>7</v>
      </c>
      <c r="X225" s="3">
        <v>6</v>
      </c>
    </row>
    <row r="226" spans="1:24" x14ac:dyDescent="0.35">
      <c r="A226">
        <v>1419</v>
      </c>
      <c r="B226">
        <v>72217</v>
      </c>
      <c r="C226">
        <v>58</v>
      </c>
      <c r="D226">
        <v>0</v>
      </c>
      <c r="E226" s="28">
        <v>7.1342465753424653</v>
      </c>
      <c r="F226" s="28"/>
      <c r="G226" s="28">
        <v>1011</v>
      </c>
      <c r="H226" s="28">
        <v>58710</v>
      </c>
      <c r="I226" s="28">
        <v>1</v>
      </c>
      <c r="J226" s="28">
        <v>50</v>
      </c>
      <c r="L226" s="38">
        <v>1419</v>
      </c>
      <c r="M226" s="2">
        <v>93</v>
      </c>
      <c r="N226" s="2">
        <v>816</v>
      </c>
      <c r="O226" s="2">
        <v>42</v>
      </c>
      <c r="P226" s="2">
        <v>450</v>
      </c>
      <c r="Q226" s="2">
        <v>55</v>
      </c>
      <c r="R226" s="2">
        <v>56</v>
      </c>
      <c r="S226" s="2">
        <v>154</v>
      </c>
      <c r="T226" s="2">
        <v>1</v>
      </c>
      <c r="U226" s="2">
        <v>3</v>
      </c>
      <c r="V226" s="2">
        <v>10</v>
      </c>
      <c r="W226" s="2">
        <v>8</v>
      </c>
      <c r="X226" s="2">
        <v>2</v>
      </c>
    </row>
    <row r="227" spans="1:24" x14ac:dyDescent="0.35">
      <c r="A227">
        <v>1419</v>
      </c>
      <c r="B227">
        <v>67369</v>
      </c>
      <c r="C227">
        <v>51</v>
      </c>
      <c r="D227">
        <v>1</v>
      </c>
      <c r="E227" s="28">
        <v>7.5287671232876709</v>
      </c>
      <c r="F227" s="28"/>
      <c r="G227" s="28">
        <v>1006</v>
      </c>
      <c r="H227" s="28">
        <v>65487</v>
      </c>
      <c r="I227" s="28">
        <v>0</v>
      </c>
      <c r="J227" s="28">
        <v>63</v>
      </c>
      <c r="L227" s="37">
        <v>1419</v>
      </c>
      <c r="M227" s="3">
        <v>81</v>
      </c>
      <c r="N227" s="3">
        <v>1298</v>
      </c>
      <c r="O227" s="3">
        <v>0</v>
      </c>
      <c r="P227" s="3">
        <v>70</v>
      </c>
      <c r="Q227" s="3">
        <v>37</v>
      </c>
      <c r="R227" s="3">
        <v>14</v>
      </c>
      <c r="S227" s="3">
        <v>42</v>
      </c>
      <c r="T227" s="3">
        <v>4</v>
      </c>
      <c r="U227" s="3">
        <v>7</v>
      </c>
      <c r="V227" s="3">
        <v>4</v>
      </c>
      <c r="W227" s="3">
        <v>10</v>
      </c>
      <c r="X227" s="3">
        <v>4</v>
      </c>
    </row>
    <row r="228" spans="1:24" x14ac:dyDescent="0.35">
      <c r="A228">
        <v>1413</v>
      </c>
      <c r="B228">
        <v>83443</v>
      </c>
      <c r="C228">
        <v>48</v>
      </c>
      <c r="D228">
        <v>0</v>
      </c>
      <c r="E228" s="28">
        <v>6.4082191780821915</v>
      </c>
      <c r="F228" s="28"/>
      <c r="G228" s="28">
        <v>1006</v>
      </c>
      <c r="H228" s="28">
        <v>59184</v>
      </c>
      <c r="I228" s="28">
        <v>1</v>
      </c>
      <c r="J228" s="28">
        <v>59</v>
      </c>
      <c r="L228" s="38">
        <v>1413</v>
      </c>
      <c r="M228" s="2">
        <v>89</v>
      </c>
      <c r="N228" s="2">
        <v>518</v>
      </c>
      <c r="O228" s="2">
        <v>42</v>
      </c>
      <c r="P228" s="2">
        <v>742</v>
      </c>
      <c r="Q228" s="2">
        <v>55</v>
      </c>
      <c r="R228" s="2">
        <v>56</v>
      </c>
      <c r="S228" s="2">
        <v>84</v>
      </c>
      <c r="T228" s="2">
        <v>1</v>
      </c>
      <c r="U228" s="2">
        <v>6</v>
      </c>
      <c r="V228" s="2">
        <v>10</v>
      </c>
      <c r="W228" s="2">
        <v>5</v>
      </c>
      <c r="X228" s="2">
        <v>2</v>
      </c>
    </row>
    <row r="229" spans="1:24" x14ac:dyDescent="0.35">
      <c r="A229">
        <v>1412</v>
      </c>
      <c r="B229">
        <v>86429</v>
      </c>
      <c r="C229">
        <v>59</v>
      </c>
      <c r="D229">
        <v>0</v>
      </c>
      <c r="E229" s="28">
        <v>6.5178082191780824</v>
      </c>
      <c r="F229" s="28"/>
      <c r="G229" s="28">
        <v>1004</v>
      </c>
      <c r="H229" s="28">
        <v>57072</v>
      </c>
      <c r="I229" s="28">
        <v>1</v>
      </c>
      <c r="J229" s="28">
        <v>59</v>
      </c>
      <c r="L229" s="37">
        <v>1412</v>
      </c>
      <c r="M229" s="3">
        <v>10</v>
      </c>
      <c r="N229" s="3">
        <v>464</v>
      </c>
      <c r="O229" s="3">
        <v>28</v>
      </c>
      <c r="P229" s="3">
        <v>873</v>
      </c>
      <c r="Q229" s="3">
        <v>29</v>
      </c>
      <c r="R229" s="3">
        <v>18</v>
      </c>
      <c r="S229" s="3">
        <v>37</v>
      </c>
      <c r="T229" s="3">
        <v>0</v>
      </c>
      <c r="U229" s="3">
        <v>7</v>
      </c>
      <c r="V229" s="3">
        <v>4</v>
      </c>
      <c r="W229" s="3">
        <v>7</v>
      </c>
      <c r="X229" s="3">
        <v>2</v>
      </c>
    </row>
    <row r="230" spans="1:24" x14ac:dyDescent="0.35">
      <c r="A230">
        <v>1412</v>
      </c>
      <c r="B230">
        <v>75693</v>
      </c>
      <c r="C230">
        <v>52</v>
      </c>
      <c r="D230">
        <v>0</v>
      </c>
      <c r="E230" s="28">
        <v>7.4767123287671229</v>
      </c>
      <c r="F230" s="28"/>
      <c r="G230" s="28">
        <v>1003</v>
      </c>
      <c r="H230" s="28">
        <v>65104</v>
      </c>
      <c r="I230" s="28">
        <v>1</v>
      </c>
      <c r="J230" s="28">
        <v>44</v>
      </c>
      <c r="L230" s="38">
        <v>1412</v>
      </c>
      <c r="M230" s="2">
        <v>10</v>
      </c>
      <c r="N230" s="2">
        <v>797</v>
      </c>
      <c r="O230" s="2">
        <v>153</v>
      </c>
      <c r="P230" s="2">
        <v>293</v>
      </c>
      <c r="Q230" s="2">
        <v>72</v>
      </c>
      <c r="R230" s="2">
        <v>97</v>
      </c>
      <c r="S230" s="2">
        <v>30</v>
      </c>
      <c r="T230" s="2">
        <v>1</v>
      </c>
      <c r="U230" s="2">
        <v>11</v>
      </c>
      <c r="V230" s="2">
        <v>4</v>
      </c>
      <c r="W230" s="2">
        <v>6</v>
      </c>
      <c r="X230" s="2">
        <v>4</v>
      </c>
    </row>
    <row r="231" spans="1:24" x14ac:dyDescent="0.35">
      <c r="A231">
        <v>1408</v>
      </c>
      <c r="B231">
        <v>63120</v>
      </c>
      <c r="C231">
        <v>70</v>
      </c>
      <c r="D231">
        <v>1</v>
      </c>
      <c r="E231" s="28">
        <v>7.6657534246575345</v>
      </c>
      <c r="F231" s="28"/>
      <c r="G231" s="28">
        <v>991</v>
      </c>
      <c r="H231" s="28">
        <v>46772</v>
      </c>
      <c r="I231" s="28">
        <v>1</v>
      </c>
      <c r="J231" s="28">
        <v>45</v>
      </c>
      <c r="L231" s="37">
        <v>1408</v>
      </c>
      <c r="M231" s="3">
        <v>53</v>
      </c>
      <c r="N231" s="3">
        <v>965</v>
      </c>
      <c r="O231" s="3">
        <v>69</v>
      </c>
      <c r="P231" s="3">
        <v>279</v>
      </c>
      <c r="Q231" s="3">
        <v>54</v>
      </c>
      <c r="R231" s="3">
        <v>41</v>
      </c>
      <c r="S231" s="3">
        <v>69</v>
      </c>
      <c r="T231" s="3">
        <v>5</v>
      </c>
      <c r="U231" s="3">
        <v>8</v>
      </c>
      <c r="V231" s="3">
        <v>4</v>
      </c>
      <c r="W231" s="3">
        <v>9</v>
      </c>
      <c r="X231" s="3">
        <v>7</v>
      </c>
    </row>
    <row r="232" spans="1:24" x14ac:dyDescent="0.35">
      <c r="A232">
        <v>1406</v>
      </c>
      <c r="B232">
        <v>71819</v>
      </c>
      <c r="C232">
        <v>49</v>
      </c>
      <c r="D232">
        <v>1</v>
      </c>
      <c r="E232" s="28">
        <v>6.7506849315068491</v>
      </c>
      <c r="F232" s="28"/>
      <c r="G232" s="28">
        <v>989</v>
      </c>
      <c r="H232" s="28">
        <v>77044</v>
      </c>
      <c r="I232" s="28">
        <v>1</v>
      </c>
      <c r="J232" s="28">
        <v>48</v>
      </c>
      <c r="L232" s="38">
        <v>1406</v>
      </c>
      <c r="M232" s="2">
        <v>70</v>
      </c>
      <c r="N232" s="2">
        <v>1224</v>
      </c>
      <c r="O232" s="2">
        <v>28</v>
      </c>
      <c r="P232" s="2">
        <v>140</v>
      </c>
      <c r="Q232" s="2">
        <v>0</v>
      </c>
      <c r="R232" s="2">
        <v>14</v>
      </c>
      <c r="S232" s="2">
        <v>168</v>
      </c>
      <c r="T232" s="2">
        <v>3</v>
      </c>
      <c r="U232" s="2">
        <v>3</v>
      </c>
      <c r="V232" s="2">
        <v>3</v>
      </c>
      <c r="W232" s="2">
        <v>5</v>
      </c>
      <c r="X232" s="2">
        <v>6</v>
      </c>
    </row>
    <row r="233" spans="1:24" x14ac:dyDescent="0.35">
      <c r="A233">
        <v>1403</v>
      </c>
      <c r="B233">
        <v>80617</v>
      </c>
      <c r="C233">
        <v>25</v>
      </c>
      <c r="D233">
        <v>0</v>
      </c>
      <c r="E233" s="28">
        <v>7.6273972602739724</v>
      </c>
      <c r="F233" s="28"/>
      <c r="G233" s="28">
        <v>987</v>
      </c>
      <c r="H233" s="28">
        <v>77382</v>
      </c>
      <c r="I233" s="28">
        <v>1</v>
      </c>
      <c r="J233" s="28">
        <v>52</v>
      </c>
      <c r="L233" s="37">
        <v>1403</v>
      </c>
      <c r="M233" s="3">
        <v>42</v>
      </c>
      <c r="N233" s="3">
        <v>594</v>
      </c>
      <c r="O233" s="3">
        <v>51</v>
      </c>
      <c r="P233" s="3">
        <v>631</v>
      </c>
      <c r="Q233" s="3">
        <v>72</v>
      </c>
      <c r="R233" s="3">
        <v>55</v>
      </c>
      <c r="S233" s="3">
        <v>32</v>
      </c>
      <c r="T233" s="3">
        <v>1</v>
      </c>
      <c r="U233" s="3">
        <v>4</v>
      </c>
      <c r="V233" s="3">
        <v>6</v>
      </c>
      <c r="W233" s="3">
        <v>8</v>
      </c>
      <c r="X233" s="3">
        <v>2</v>
      </c>
    </row>
    <row r="234" spans="1:24" x14ac:dyDescent="0.35">
      <c r="A234">
        <v>1402</v>
      </c>
      <c r="B234">
        <v>80589</v>
      </c>
      <c r="C234">
        <v>76</v>
      </c>
      <c r="D234">
        <v>0</v>
      </c>
      <c r="E234" s="28">
        <v>6.3479452054794523</v>
      </c>
      <c r="F234" s="28"/>
      <c r="G234" s="28">
        <v>982</v>
      </c>
      <c r="H234" s="28">
        <v>69702</v>
      </c>
      <c r="I234" s="28">
        <v>1</v>
      </c>
      <c r="J234" s="28">
        <v>69</v>
      </c>
      <c r="L234" s="38">
        <v>1402</v>
      </c>
      <c r="M234" s="2">
        <v>25</v>
      </c>
      <c r="N234" s="2">
        <v>507</v>
      </c>
      <c r="O234" s="2">
        <v>93</v>
      </c>
      <c r="P234" s="2">
        <v>520</v>
      </c>
      <c r="Q234" s="2">
        <v>242</v>
      </c>
      <c r="R234" s="2">
        <v>40</v>
      </c>
      <c r="S234" s="2">
        <v>26</v>
      </c>
      <c r="T234" s="2">
        <v>1</v>
      </c>
      <c r="U234" s="2">
        <v>5</v>
      </c>
      <c r="V234" s="2">
        <v>10</v>
      </c>
      <c r="W234" s="2">
        <v>5</v>
      </c>
      <c r="X234" s="2">
        <v>1</v>
      </c>
    </row>
    <row r="235" spans="1:24" x14ac:dyDescent="0.35">
      <c r="A235">
        <v>1400</v>
      </c>
      <c r="B235">
        <v>73356</v>
      </c>
      <c r="C235">
        <v>36</v>
      </c>
      <c r="D235">
        <v>0</v>
      </c>
      <c r="E235" s="28">
        <v>6.3068493150684928</v>
      </c>
      <c r="F235" s="28"/>
      <c r="G235" s="28">
        <v>982</v>
      </c>
      <c r="H235" s="28">
        <v>71847</v>
      </c>
      <c r="I235" s="28">
        <v>0</v>
      </c>
      <c r="J235" s="28">
        <v>42</v>
      </c>
      <c r="L235" s="37">
        <v>1400</v>
      </c>
      <c r="M235" s="3">
        <v>56</v>
      </c>
      <c r="N235" s="3">
        <v>1050</v>
      </c>
      <c r="O235" s="3">
        <v>14</v>
      </c>
      <c r="P235" s="3">
        <v>322</v>
      </c>
      <c r="Q235" s="3">
        <v>0</v>
      </c>
      <c r="R235" s="3">
        <v>14</v>
      </c>
      <c r="S235" s="3">
        <v>112</v>
      </c>
      <c r="T235" s="3">
        <v>1</v>
      </c>
      <c r="U235" s="3">
        <v>5</v>
      </c>
      <c r="V235" s="3">
        <v>11</v>
      </c>
      <c r="W235" s="3">
        <v>5</v>
      </c>
      <c r="X235" s="3">
        <v>2</v>
      </c>
    </row>
    <row r="236" spans="1:24" x14ac:dyDescent="0.35">
      <c r="A236">
        <v>1391</v>
      </c>
      <c r="B236">
        <v>72258</v>
      </c>
      <c r="C236">
        <v>49</v>
      </c>
      <c r="D236">
        <v>1</v>
      </c>
      <c r="E236" s="28">
        <v>6.7095890410958905</v>
      </c>
      <c r="F236" s="28"/>
      <c r="G236" s="28">
        <v>977</v>
      </c>
      <c r="H236" s="28">
        <v>69476</v>
      </c>
      <c r="I236" s="28">
        <v>0</v>
      </c>
      <c r="J236" s="28">
        <v>51</v>
      </c>
      <c r="L236" s="38">
        <v>1391</v>
      </c>
      <c r="M236" s="2">
        <v>28</v>
      </c>
      <c r="N236" s="2">
        <v>522</v>
      </c>
      <c r="O236" s="2">
        <v>0</v>
      </c>
      <c r="P236" s="2">
        <v>522</v>
      </c>
      <c r="Q236" s="2">
        <v>227</v>
      </c>
      <c r="R236" s="2">
        <v>120</v>
      </c>
      <c r="S236" s="2">
        <v>134</v>
      </c>
      <c r="T236" s="2">
        <v>2</v>
      </c>
      <c r="U236" s="2">
        <v>6</v>
      </c>
      <c r="V236" s="2">
        <v>9</v>
      </c>
      <c r="W236" s="2">
        <v>5</v>
      </c>
      <c r="X236" s="2">
        <v>2</v>
      </c>
    </row>
    <row r="237" spans="1:24" x14ac:dyDescent="0.35">
      <c r="A237">
        <v>1387</v>
      </c>
      <c r="B237">
        <v>78285</v>
      </c>
      <c r="C237">
        <v>32</v>
      </c>
      <c r="D237">
        <v>0</v>
      </c>
      <c r="E237" s="28">
        <v>6.5835616438356164</v>
      </c>
      <c r="F237" s="28"/>
      <c r="G237" s="28">
        <v>976</v>
      </c>
      <c r="H237" s="28">
        <v>64831</v>
      </c>
      <c r="I237" s="28">
        <v>1</v>
      </c>
      <c r="J237" s="28">
        <v>68</v>
      </c>
      <c r="L237" s="37">
        <v>1387</v>
      </c>
      <c r="M237" s="3">
        <v>13</v>
      </c>
      <c r="N237" s="3">
        <v>647</v>
      </c>
      <c r="O237" s="3">
        <v>107</v>
      </c>
      <c r="P237" s="3">
        <v>391</v>
      </c>
      <c r="Q237" s="3">
        <v>175</v>
      </c>
      <c r="R237" s="3">
        <v>67</v>
      </c>
      <c r="S237" s="3">
        <v>40</v>
      </c>
      <c r="T237" s="3">
        <v>1</v>
      </c>
      <c r="U237" s="3">
        <v>6</v>
      </c>
      <c r="V237" s="3">
        <v>4</v>
      </c>
      <c r="W237" s="3">
        <v>10</v>
      </c>
      <c r="X237" s="3">
        <v>3</v>
      </c>
    </row>
    <row r="238" spans="1:24" x14ac:dyDescent="0.35">
      <c r="A238">
        <v>1384</v>
      </c>
      <c r="B238">
        <v>72504</v>
      </c>
      <c r="C238">
        <v>48</v>
      </c>
      <c r="D238">
        <v>1</v>
      </c>
      <c r="E238" s="28">
        <v>7.1452054794520548</v>
      </c>
      <c r="F238" s="28"/>
      <c r="G238" s="28">
        <v>970</v>
      </c>
      <c r="H238" s="28">
        <v>78468</v>
      </c>
      <c r="I238" s="28">
        <v>0</v>
      </c>
      <c r="J238" s="28">
        <v>60</v>
      </c>
      <c r="L238" s="38">
        <v>1384</v>
      </c>
      <c r="M238" s="2">
        <v>43</v>
      </c>
      <c r="N238" s="2">
        <v>604</v>
      </c>
      <c r="O238" s="2">
        <v>26</v>
      </c>
      <c r="P238" s="2">
        <v>470</v>
      </c>
      <c r="Q238" s="2">
        <v>123</v>
      </c>
      <c r="R238" s="2">
        <v>161</v>
      </c>
      <c r="S238" s="2">
        <v>94</v>
      </c>
      <c r="T238" s="2">
        <v>2</v>
      </c>
      <c r="U238" s="2">
        <v>5</v>
      </c>
      <c r="V238" s="2">
        <v>9</v>
      </c>
      <c r="W238" s="2">
        <v>6</v>
      </c>
      <c r="X238" s="2">
        <v>2</v>
      </c>
    </row>
    <row r="239" spans="1:24" x14ac:dyDescent="0.35">
      <c r="A239">
        <v>1384</v>
      </c>
      <c r="B239">
        <v>63684</v>
      </c>
      <c r="C239">
        <v>50</v>
      </c>
      <c r="D239">
        <v>1</v>
      </c>
      <c r="E239" s="28">
        <v>7.5041095890410956</v>
      </c>
      <c r="F239" s="28"/>
      <c r="G239" s="28">
        <v>969</v>
      </c>
      <c r="H239" s="28">
        <v>63285</v>
      </c>
      <c r="I239" s="28">
        <v>0</v>
      </c>
      <c r="J239" s="28">
        <v>75</v>
      </c>
      <c r="L239" s="37">
        <v>1384</v>
      </c>
      <c r="M239" s="3">
        <v>61</v>
      </c>
      <c r="N239" s="3">
        <v>575</v>
      </c>
      <c r="O239" s="3">
        <v>80</v>
      </c>
      <c r="P239" s="3">
        <v>428</v>
      </c>
      <c r="Q239" s="3">
        <v>208</v>
      </c>
      <c r="R239" s="3">
        <v>93</v>
      </c>
      <c r="S239" s="3">
        <v>80</v>
      </c>
      <c r="T239" s="3">
        <v>3</v>
      </c>
      <c r="U239" s="3">
        <v>8</v>
      </c>
      <c r="V239" s="3">
        <v>4</v>
      </c>
      <c r="W239" s="3">
        <v>8</v>
      </c>
      <c r="X239" s="3">
        <v>5</v>
      </c>
    </row>
    <row r="240" spans="1:24" x14ac:dyDescent="0.35">
      <c r="A240">
        <v>1383</v>
      </c>
      <c r="B240">
        <v>83844</v>
      </c>
      <c r="C240">
        <v>68</v>
      </c>
      <c r="D240">
        <v>0</v>
      </c>
      <c r="E240" s="28">
        <v>7.0465753424657533</v>
      </c>
      <c r="F240" s="28"/>
      <c r="G240" s="28">
        <v>967</v>
      </c>
      <c r="H240" s="28">
        <v>101970</v>
      </c>
      <c r="I240" s="28">
        <v>0</v>
      </c>
      <c r="J240" s="28">
        <v>37</v>
      </c>
      <c r="L240" s="38">
        <v>1383</v>
      </c>
      <c r="M240" s="2">
        <v>57</v>
      </c>
      <c r="N240" s="2">
        <v>901</v>
      </c>
      <c r="O240" s="2">
        <v>31</v>
      </c>
      <c r="P240" s="2">
        <v>345</v>
      </c>
      <c r="Q240" s="2">
        <v>75</v>
      </c>
      <c r="R240" s="2">
        <v>31</v>
      </c>
      <c r="S240" s="2">
        <v>191</v>
      </c>
      <c r="T240" s="2">
        <v>1</v>
      </c>
      <c r="U240" s="2">
        <v>4</v>
      </c>
      <c r="V240" s="2">
        <v>4</v>
      </c>
      <c r="W240" s="2">
        <v>11</v>
      </c>
      <c r="X240" s="2">
        <v>1</v>
      </c>
    </row>
    <row r="241" spans="1:24" x14ac:dyDescent="0.35">
      <c r="A241">
        <v>1383</v>
      </c>
      <c r="B241">
        <v>67384</v>
      </c>
      <c r="C241">
        <v>50</v>
      </c>
      <c r="D241">
        <v>1</v>
      </c>
      <c r="E241" s="28">
        <v>7.5479452054794525</v>
      </c>
      <c r="F241" s="28"/>
      <c r="G241" s="28">
        <v>962</v>
      </c>
      <c r="H241" s="28">
        <v>65148</v>
      </c>
      <c r="I241" s="28">
        <v>1</v>
      </c>
      <c r="J241" s="28">
        <v>62</v>
      </c>
      <c r="L241" s="37">
        <v>1383</v>
      </c>
      <c r="M241" s="3">
        <v>32</v>
      </c>
      <c r="N241" s="3">
        <v>957</v>
      </c>
      <c r="O241" s="3">
        <v>40</v>
      </c>
      <c r="P241" s="3">
        <v>175</v>
      </c>
      <c r="Q241" s="3">
        <v>158</v>
      </c>
      <c r="R241" s="3">
        <v>53</v>
      </c>
      <c r="S241" s="3">
        <v>107</v>
      </c>
      <c r="T241" s="3">
        <v>2</v>
      </c>
      <c r="U241" s="3">
        <v>7</v>
      </c>
      <c r="V241" s="3">
        <v>8</v>
      </c>
      <c r="W241" s="3">
        <v>5</v>
      </c>
      <c r="X241" s="3">
        <v>5</v>
      </c>
    </row>
    <row r="242" spans="1:24" x14ac:dyDescent="0.35">
      <c r="A242">
        <v>1376</v>
      </c>
      <c r="B242">
        <v>72643</v>
      </c>
      <c r="C242">
        <v>71</v>
      </c>
      <c r="D242">
        <v>0</v>
      </c>
      <c r="E242" s="28">
        <v>7.2493150684931509</v>
      </c>
      <c r="F242" s="28"/>
      <c r="G242" s="28">
        <v>962</v>
      </c>
      <c r="H242" s="28">
        <v>67433</v>
      </c>
      <c r="I242" s="28">
        <v>1</v>
      </c>
      <c r="J242" s="28">
        <v>68</v>
      </c>
      <c r="L242" s="38">
        <v>1376</v>
      </c>
      <c r="M242" s="2">
        <v>60</v>
      </c>
      <c r="N242" s="2">
        <v>526</v>
      </c>
      <c r="O242" s="2">
        <v>80</v>
      </c>
      <c r="P242" s="2">
        <v>553</v>
      </c>
      <c r="Q242" s="2">
        <v>123</v>
      </c>
      <c r="R242" s="2">
        <v>94</v>
      </c>
      <c r="S242" s="2">
        <v>53</v>
      </c>
      <c r="T242" s="2">
        <v>1</v>
      </c>
      <c r="U242" s="2">
        <v>3</v>
      </c>
      <c r="V242" s="2">
        <v>10</v>
      </c>
      <c r="W242" s="2">
        <v>7</v>
      </c>
      <c r="X242" s="2">
        <v>2</v>
      </c>
    </row>
    <row r="243" spans="1:24" x14ac:dyDescent="0.35">
      <c r="A243">
        <v>1376</v>
      </c>
      <c r="B243">
        <v>82582</v>
      </c>
      <c r="C243">
        <v>43</v>
      </c>
      <c r="D243">
        <v>0</v>
      </c>
      <c r="E243" s="28">
        <v>5.9753424657534246</v>
      </c>
      <c r="F243" s="28"/>
      <c r="G243" s="28">
        <v>957</v>
      </c>
      <c r="H243" s="28">
        <v>68148</v>
      </c>
      <c r="I243" s="28">
        <v>0</v>
      </c>
      <c r="J243" s="28">
        <v>63</v>
      </c>
      <c r="L243" s="37">
        <v>1376</v>
      </c>
      <c r="M243" s="3">
        <v>54</v>
      </c>
      <c r="N243" s="3">
        <v>510</v>
      </c>
      <c r="O243" s="3">
        <v>120</v>
      </c>
      <c r="P243" s="3">
        <v>550</v>
      </c>
      <c r="Q243" s="3">
        <v>156</v>
      </c>
      <c r="R243" s="3">
        <v>40</v>
      </c>
      <c r="S243" s="3">
        <v>241</v>
      </c>
      <c r="T243" s="3">
        <v>1</v>
      </c>
      <c r="U243" s="3">
        <v>4</v>
      </c>
      <c r="V243" s="3">
        <v>9</v>
      </c>
      <c r="W243" s="3">
        <v>7</v>
      </c>
      <c r="X243" s="3">
        <v>1</v>
      </c>
    </row>
    <row r="244" spans="1:24" x14ac:dyDescent="0.35">
      <c r="A244">
        <v>1375</v>
      </c>
      <c r="B244">
        <v>76445</v>
      </c>
      <c r="C244">
        <v>49</v>
      </c>
      <c r="D244">
        <v>1</v>
      </c>
      <c r="E244" s="28">
        <v>7.6657534246575345</v>
      </c>
      <c r="F244" s="28"/>
      <c r="G244" s="28">
        <v>957</v>
      </c>
      <c r="H244" s="28">
        <v>62450</v>
      </c>
      <c r="I244" s="28">
        <v>1</v>
      </c>
      <c r="J244" s="28">
        <v>61</v>
      </c>
      <c r="L244" s="38">
        <v>1375</v>
      </c>
      <c r="M244" s="2">
        <v>2</v>
      </c>
      <c r="N244" s="2">
        <v>739</v>
      </c>
      <c r="O244" s="2">
        <v>107</v>
      </c>
      <c r="P244" s="2">
        <v>309</v>
      </c>
      <c r="Q244" s="2">
        <v>140</v>
      </c>
      <c r="R244" s="2">
        <v>80</v>
      </c>
      <c r="S244" s="2">
        <v>35</v>
      </c>
      <c r="T244" s="2">
        <v>1</v>
      </c>
      <c r="U244" s="2">
        <v>2</v>
      </c>
      <c r="V244" s="2">
        <v>5</v>
      </c>
      <c r="W244" s="2">
        <v>13</v>
      </c>
      <c r="X244" s="2">
        <v>6</v>
      </c>
    </row>
    <row r="245" spans="1:24" x14ac:dyDescent="0.35">
      <c r="A245">
        <v>1372</v>
      </c>
      <c r="B245">
        <v>69016</v>
      </c>
      <c r="C245">
        <v>50</v>
      </c>
      <c r="D245">
        <v>1</v>
      </c>
      <c r="E245" s="28">
        <v>7.515068493150685</v>
      </c>
      <c r="F245" s="28"/>
      <c r="G245" s="28">
        <v>956</v>
      </c>
      <c r="H245" s="28">
        <v>55686</v>
      </c>
      <c r="I245" s="28">
        <v>1</v>
      </c>
      <c r="J245" s="28">
        <v>54</v>
      </c>
      <c r="L245" s="37">
        <v>1372</v>
      </c>
      <c r="M245" s="3">
        <v>61</v>
      </c>
      <c r="N245" s="3">
        <v>726</v>
      </c>
      <c r="O245" s="3">
        <v>53</v>
      </c>
      <c r="P245" s="3">
        <v>363</v>
      </c>
      <c r="Q245" s="3">
        <v>123</v>
      </c>
      <c r="R245" s="3">
        <v>107</v>
      </c>
      <c r="S245" s="3">
        <v>161</v>
      </c>
      <c r="T245" s="3">
        <v>4</v>
      </c>
      <c r="U245" s="3">
        <v>8</v>
      </c>
      <c r="V245" s="3">
        <v>9</v>
      </c>
      <c r="W245" s="3">
        <v>13</v>
      </c>
      <c r="X245" s="3">
        <v>5</v>
      </c>
    </row>
    <row r="246" spans="1:24" x14ac:dyDescent="0.35">
      <c r="A246">
        <v>1367</v>
      </c>
      <c r="B246">
        <v>82584</v>
      </c>
      <c r="C246">
        <v>46</v>
      </c>
      <c r="D246">
        <v>0</v>
      </c>
      <c r="E246" s="28">
        <v>6.9835616438356167</v>
      </c>
      <c r="F246" s="28"/>
      <c r="G246" s="28">
        <v>956</v>
      </c>
      <c r="H246" s="28">
        <v>66476</v>
      </c>
      <c r="I246" s="28">
        <v>1</v>
      </c>
      <c r="J246" s="28">
        <v>51</v>
      </c>
      <c r="L246" s="38">
        <v>1367</v>
      </c>
      <c r="M246" s="2">
        <v>26</v>
      </c>
      <c r="N246" s="2">
        <v>1076</v>
      </c>
      <c r="O246" s="2">
        <v>68</v>
      </c>
      <c r="P246" s="2">
        <v>103</v>
      </c>
      <c r="Q246" s="2">
        <v>29</v>
      </c>
      <c r="R246" s="2">
        <v>91</v>
      </c>
      <c r="S246" s="2">
        <v>68</v>
      </c>
      <c r="T246" s="2">
        <v>1</v>
      </c>
      <c r="U246" s="2">
        <v>3</v>
      </c>
      <c r="V246" s="2">
        <v>4</v>
      </c>
      <c r="W246" s="2">
        <v>8</v>
      </c>
      <c r="X246" s="2">
        <v>1</v>
      </c>
    </row>
    <row r="247" spans="1:24" x14ac:dyDescent="0.35">
      <c r="A247">
        <v>1364</v>
      </c>
      <c r="B247">
        <v>76618</v>
      </c>
      <c r="C247">
        <v>45</v>
      </c>
      <c r="D247">
        <v>0</v>
      </c>
      <c r="E247" s="28">
        <v>7.4739726027397264</v>
      </c>
      <c r="F247" s="28"/>
      <c r="G247" s="28">
        <v>955</v>
      </c>
      <c r="H247" s="28">
        <v>65196</v>
      </c>
      <c r="I247" s="28">
        <v>1</v>
      </c>
      <c r="J247" s="28">
        <v>62</v>
      </c>
      <c r="L247" s="37">
        <v>1364</v>
      </c>
      <c r="M247" s="3">
        <v>64</v>
      </c>
      <c r="N247" s="3">
        <v>749</v>
      </c>
      <c r="O247" s="3">
        <v>40</v>
      </c>
      <c r="P247" s="3">
        <v>294</v>
      </c>
      <c r="Q247" s="3">
        <v>121</v>
      </c>
      <c r="R247" s="3">
        <v>160</v>
      </c>
      <c r="S247" s="3">
        <v>147</v>
      </c>
      <c r="T247" s="3">
        <v>1</v>
      </c>
      <c r="U247" s="3">
        <v>3</v>
      </c>
      <c r="V247" s="3">
        <v>2</v>
      </c>
      <c r="W247" s="3">
        <v>5</v>
      </c>
      <c r="X247" s="3">
        <v>1</v>
      </c>
    </row>
    <row r="248" spans="1:24" x14ac:dyDescent="0.35">
      <c r="A248">
        <v>1362</v>
      </c>
      <c r="B248">
        <v>69520</v>
      </c>
      <c r="C248">
        <v>37</v>
      </c>
      <c r="D248">
        <v>0</v>
      </c>
      <c r="E248" s="28">
        <v>6.8931506849315065</v>
      </c>
      <c r="F248" s="28"/>
      <c r="G248" s="28">
        <v>954</v>
      </c>
      <c r="H248" s="28">
        <v>75236</v>
      </c>
      <c r="I248" s="28">
        <v>1</v>
      </c>
      <c r="J248" s="28">
        <v>56</v>
      </c>
      <c r="L248" s="38">
        <v>1362</v>
      </c>
      <c r="M248" s="2">
        <v>95</v>
      </c>
      <c r="N248" s="2">
        <v>627</v>
      </c>
      <c r="O248" s="2">
        <v>120</v>
      </c>
      <c r="P248" s="2">
        <v>414</v>
      </c>
      <c r="Q248" s="2">
        <v>121</v>
      </c>
      <c r="R248" s="2">
        <v>80</v>
      </c>
      <c r="S248" s="2">
        <v>93</v>
      </c>
      <c r="T248" s="2">
        <v>1</v>
      </c>
      <c r="U248" s="2">
        <v>9</v>
      </c>
      <c r="V248" s="2">
        <v>6</v>
      </c>
      <c r="W248" s="2">
        <v>5</v>
      </c>
      <c r="X248" s="2">
        <v>5</v>
      </c>
    </row>
    <row r="249" spans="1:24" x14ac:dyDescent="0.35">
      <c r="A249">
        <v>1360</v>
      </c>
      <c r="B249">
        <v>75507</v>
      </c>
      <c r="C249">
        <v>41</v>
      </c>
      <c r="D249">
        <v>0</v>
      </c>
      <c r="E249" s="28">
        <v>6.0739726027397261</v>
      </c>
      <c r="F249" s="28"/>
      <c r="G249" s="28">
        <v>952</v>
      </c>
      <c r="H249" s="28">
        <v>52614</v>
      </c>
      <c r="I249" s="28">
        <v>1</v>
      </c>
      <c r="J249" s="28">
        <v>45</v>
      </c>
      <c r="L249" s="37">
        <v>1360</v>
      </c>
      <c r="M249" s="3">
        <v>56</v>
      </c>
      <c r="N249" s="3">
        <v>709</v>
      </c>
      <c r="O249" s="3">
        <v>93</v>
      </c>
      <c r="P249" s="3">
        <v>374</v>
      </c>
      <c r="Q249" s="3">
        <v>104</v>
      </c>
      <c r="R249" s="3">
        <v>80</v>
      </c>
      <c r="S249" s="3">
        <v>80</v>
      </c>
      <c r="T249" s="3">
        <v>1</v>
      </c>
      <c r="U249" s="3">
        <v>8</v>
      </c>
      <c r="V249" s="3">
        <v>6</v>
      </c>
      <c r="W249" s="3">
        <v>6</v>
      </c>
      <c r="X249" s="3">
        <v>3</v>
      </c>
    </row>
    <row r="250" spans="1:24" x14ac:dyDescent="0.35">
      <c r="A250">
        <v>1360</v>
      </c>
      <c r="B250">
        <v>91065</v>
      </c>
      <c r="C250">
        <v>39</v>
      </c>
      <c r="D250">
        <v>0</v>
      </c>
      <c r="E250" s="28">
        <v>7.2630136986301368</v>
      </c>
      <c r="F250" s="28"/>
      <c r="G250" s="28">
        <v>950</v>
      </c>
      <c r="H250" s="28">
        <v>61074</v>
      </c>
      <c r="I250" s="28">
        <v>1</v>
      </c>
      <c r="J250" s="28">
        <v>62</v>
      </c>
      <c r="L250" s="38">
        <v>1360</v>
      </c>
      <c r="M250" s="2">
        <v>33</v>
      </c>
      <c r="N250" s="2">
        <v>822</v>
      </c>
      <c r="O250" s="2">
        <v>114</v>
      </c>
      <c r="P250" s="2">
        <v>108</v>
      </c>
      <c r="Q250" s="2">
        <v>179</v>
      </c>
      <c r="R250" s="2">
        <v>137</v>
      </c>
      <c r="S250" s="2">
        <v>114</v>
      </c>
      <c r="T250" s="2">
        <v>1</v>
      </c>
      <c r="U250" s="2">
        <v>7</v>
      </c>
      <c r="V250" s="2">
        <v>9</v>
      </c>
      <c r="W250" s="2">
        <v>9</v>
      </c>
      <c r="X250" s="2">
        <v>3</v>
      </c>
    </row>
    <row r="251" spans="1:24" x14ac:dyDescent="0.35">
      <c r="A251">
        <v>1358</v>
      </c>
      <c r="B251">
        <v>75777</v>
      </c>
      <c r="C251">
        <v>38</v>
      </c>
      <c r="D251">
        <v>0</v>
      </c>
      <c r="E251" s="28">
        <v>6.9013698630136986</v>
      </c>
      <c r="F251" s="28"/>
      <c r="G251" s="28">
        <v>948</v>
      </c>
      <c r="H251" s="28">
        <v>75072</v>
      </c>
      <c r="I251" s="28">
        <v>1</v>
      </c>
      <c r="J251" s="28">
        <v>58</v>
      </c>
      <c r="L251" s="37">
        <v>1358</v>
      </c>
      <c r="M251" s="3">
        <v>12</v>
      </c>
      <c r="N251" s="3">
        <v>712</v>
      </c>
      <c r="O251" s="3">
        <v>26</v>
      </c>
      <c r="P251" s="3">
        <v>538</v>
      </c>
      <c r="Q251" s="3">
        <v>69</v>
      </c>
      <c r="R251" s="3">
        <v>13</v>
      </c>
      <c r="S251" s="3">
        <v>80</v>
      </c>
      <c r="T251" s="3">
        <v>1</v>
      </c>
      <c r="U251" s="3">
        <v>3</v>
      </c>
      <c r="V251" s="3">
        <v>6</v>
      </c>
      <c r="W251" s="3">
        <v>11</v>
      </c>
      <c r="X251" s="3">
        <v>1</v>
      </c>
    </row>
    <row r="252" spans="1:24" x14ac:dyDescent="0.35">
      <c r="A252">
        <v>1358</v>
      </c>
      <c r="B252">
        <v>85738</v>
      </c>
      <c r="C252">
        <v>42</v>
      </c>
      <c r="D252">
        <v>0</v>
      </c>
      <c r="E252" s="28">
        <v>6.3452054794520549</v>
      </c>
      <c r="F252" s="28"/>
      <c r="G252" s="28">
        <v>928</v>
      </c>
      <c r="H252" s="28">
        <v>71796</v>
      </c>
      <c r="I252" s="28">
        <v>0</v>
      </c>
      <c r="J252" s="28">
        <v>49</v>
      </c>
      <c r="L252" s="38">
        <v>1358</v>
      </c>
      <c r="M252" s="2">
        <v>41</v>
      </c>
      <c r="N252" s="2">
        <v>913</v>
      </c>
      <c r="O252" s="2">
        <v>26</v>
      </c>
      <c r="P252" s="2">
        <v>376</v>
      </c>
      <c r="Q252" s="2">
        <v>17</v>
      </c>
      <c r="R252" s="2">
        <v>26</v>
      </c>
      <c r="S252" s="2">
        <v>13</v>
      </c>
      <c r="T252" s="2">
        <v>1</v>
      </c>
      <c r="U252" s="2">
        <v>3</v>
      </c>
      <c r="V252" s="2">
        <v>6</v>
      </c>
      <c r="W252" s="2">
        <v>11</v>
      </c>
      <c r="X252" s="2">
        <v>1</v>
      </c>
    </row>
    <row r="253" spans="1:24" x14ac:dyDescent="0.35">
      <c r="A253">
        <v>1357</v>
      </c>
      <c r="B253">
        <v>79410</v>
      </c>
      <c r="C253">
        <v>59</v>
      </c>
      <c r="D253">
        <v>0</v>
      </c>
      <c r="E253" s="28">
        <v>6</v>
      </c>
      <c r="F253" s="28"/>
      <c r="G253" s="28">
        <v>923</v>
      </c>
      <c r="H253" s="28">
        <v>70053</v>
      </c>
      <c r="I253" s="28">
        <v>1</v>
      </c>
      <c r="J253" s="28">
        <v>55</v>
      </c>
      <c r="L253" s="37">
        <v>1357</v>
      </c>
      <c r="M253" s="3">
        <v>19</v>
      </c>
      <c r="N253" s="3">
        <v>658</v>
      </c>
      <c r="O253" s="3">
        <v>80</v>
      </c>
      <c r="P253" s="3">
        <v>483</v>
      </c>
      <c r="Q253" s="3">
        <v>123</v>
      </c>
      <c r="R253" s="3">
        <v>13</v>
      </c>
      <c r="S253" s="3">
        <v>13</v>
      </c>
      <c r="T253" s="3">
        <v>1</v>
      </c>
      <c r="U253" s="3">
        <v>3</v>
      </c>
      <c r="V253" s="3">
        <v>2</v>
      </c>
      <c r="W253" s="3">
        <v>5</v>
      </c>
      <c r="X253" s="3">
        <v>1</v>
      </c>
    </row>
    <row r="254" spans="1:24" x14ac:dyDescent="0.35">
      <c r="A254">
        <v>1357</v>
      </c>
      <c r="B254">
        <v>49667</v>
      </c>
      <c r="C254">
        <v>65</v>
      </c>
      <c r="D254">
        <v>0</v>
      </c>
      <c r="E254" s="28">
        <v>7.7726027397260271</v>
      </c>
      <c r="F254" s="28"/>
      <c r="G254" s="28">
        <v>921</v>
      </c>
      <c r="H254" s="28">
        <v>58350</v>
      </c>
      <c r="I254" s="28">
        <v>1</v>
      </c>
      <c r="J254" s="28">
        <v>49</v>
      </c>
      <c r="L254" s="38">
        <v>1357</v>
      </c>
      <c r="M254" s="2">
        <v>35</v>
      </c>
      <c r="N254" s="2">
        <v>1181</v>
      </c>
      <c r="O254" s="2">
        <v>26</v>
      </c>
      <c r="P254" s="2">
        <v>120</v>
      </c>
      <c r="Q254" s="2">
        <v>17</v>
      </c>
      <c r="R254" s="2">
        <v>13</v>
      </c>
      <c r="S254" s="2">
        <v>39</v>
      </c>
      <c r="T254" s="2">
        <v>2</v>
      </c>
      <c r="U254" s="2">
        <v>5</v>
      </c>
      <c r="V254" s="2">
        <v>10</v>
      </c>
      <c r="W254" s="2">
        <v>5</v>
      </c>
      <c r="X254" s="2">
        <v>8</v>
      </c>
    </row>
    <row r="255" spans="1:24" x14ac:dyDescent="0.35">
      <c r="A255">
        <v>1354</v>
      </c>
      <c r="B255">
        <v>73803</v>
      </c>
      <c r="C255">
        <v>63</v>
      </c>
      <c r="D255">
        <v>1</v>
      </c>
      <c r="E255" s="28">
        <v>7.8246575342465752</v>
      </c>
      <c r="F255" s="28"/>
      <c r="G255" s="28">
        <v>920</v>
      </c>
      <c r="H255" s="28">
        <v>57304</v>
      </c>
      <c r="I255" s="28">
        <v>1</v>
      </c>
      <c r="J255" s="28">
        <v>69</v>
      </c>
      <c r="L255" s="37">
        <v>1354</v>
      </c>
      <c r="M255" s="3">
        <v>61</v>
      </c>
      <c r="N255" s="3">
        <v>833</v>
      </c>
      <c r="O255" s="3">
        <v>80</v>
      </c>
      <c r="P255" s="3">
        <v>363</v>
      </c>
      <c r="Q255" s="3">
        <v>52</v>
      </c>
      <c r="R255" s="3">
        <v>26</v>
      </c>
      <c r="S255" s="3">
        <v>174</v>
      </c>
      <c r="T255" s="3">
        <v>2</v>
      </c>
      <c r="U255" s="3">
        <v>9</v>
      </c>
      <c r="V255" s="3">
        <v>5</v>
      </c>
      <c r="W255" s="3">
        <v>6</v>
      </c>
      <c r="X255" s="3">
        <v>6</v>
      </c>
    </row>
    <row r="256" spans="1:24" x14ac:dyDescent="0.35">
      <c r="A256">
        <v>1352</v>
      </c>
      <c r="B256">
        <v>80134</v>
      </c>
      <c r="C256">
        <v>26</v>
      </c>
      <c r="D256">
        <v>0</v>
      </c>
      <c r="E256" s="28">
        <v>6.2849315068493148</v>
      </c>
      <c r="F256" s="28"/>
      <c r="G256" s="28">
        <v>917</v>
      </c>
      <c r="H256" s="28">
        <v>52513</v>
      </c>
      <c r="I256" s="28">
        <v>0</v>
      </c>
      <c r="J256" s="28">
        <v>42</v>
      </c>
      <c r="L256" s="38">
        <v>1352</v>
      </c>
      <c r="M256" s="2">
        <v>11</v>
      </c>
      <c r="N256" s="2">
        <v>966</v>
      </c>
      <c r="O256" s="2">
        <v>26</v>
      </c>
      <c r="P256" s="2">
        <v>282</v>
      </c>
      <c r="Q256" s="2">
        <v>52</v>
      </c>
      <c r="R256" s="2">
        <v>26</v>
      </c>
      <c r="S256" s="2">
        <v>26</v>
      </c>
      <c r="T256" s="2">
        <v>1</v>
      </c>
      <c r="U256" s="2">
        <v>2</v>
      </c>
      <c r="V256" s="2">
        <v>7</v>
      </c>
      <c r="W256" s="2">
        <v>11</v>
      </c>
      <c r="X256" s="2">
        <v>5</v>
      </c>
    </row>
    <row r="257" spans="1:24" x14ac:dyDescent="0.35">
      <c r="A257">
        <v>1350</v>
      </c>
      <c r="B257">
        <v>71952</v>
      </c>
      <c r="C257">
        <v>34</v>
      </c>
      <c r="D257">
        <v>1</v>
      </c>
      <c r="E257" s="28">
        <v>7.3808219178082188</v>
      </c>
      <c r="F257" s="28"/>
      <c r="G257" s="28">
        <v>916</v>
      </c>
      <c r="H257" s="28">
        <v>65665</v>
      </c>
      <c r="I257" s="28">
        <v>1</v>
      </c>
      <c r="J257" s="28">
        <v>44</v>
      </c>
      <c r="L257" s="37">
        <v>1350</v>
      </c>
      <c r="M257" s="3">
        <v>93</v>
      </c>
      <c r="N257" s="3">
        <v>656</v>
      </c>
      <c r="O257" s="3">
        <v>80</v>
      </c>
      <c r="P257" s="3">
        <v>455</v>
      </c>
      <c r="Q257" s="3">
        <v>52</v>
      </c>
      <c r="R257" s="3">
        <v>107</v>
      </c>
      <c r="S257" s="3">
        <v>93</v>
      </c>
      <c r="T257" s="3">
        <v>2</v>
      </c>
      <c r="U257" s="3">
        <v>8</v>
      </c>
      <c r="V257" s="3">
        <v>4</v>
      </c>
      <c r="W257" s="3">
        <v>8</v>
      </c>
      <c r="X257" s="3">
        <v>4</v>
      </c>
    </row>
    <row r="258" spans="1:24" x14ac:dyDescent="0.35">
      <c r="A258">
        <v>1349</v>
      </c>
      <c r="B258">
        <v>82427</v>
      </c>
      <c r="C258">
        <v>54</v>
      </c>
      <c r="D258">
        <v>0</v>
      </c>
      <c r="E258" s="28">
        <v>6.2136986301369861</v>
      </c>
      <c r="F258" s="28"/>
      <c r="G258" s="28">
        <v>913</v>
      </c>
      <c r="H258" s="28">
        <v>58330</v>
      </c>
      <c r="I258" s="28">
        <v>1</v>
      </c>
      <c r="J258" s="28">
        <v>45</v>
      </c>
      <c r="L258" s="38">
        <v>1349</v>
      </c>
      <c r="M258" s="2">
        <v>35</v>
      </c>
      <c r="N258" s="2">
        <v>482</v>
      </c>
      <c r="O258" s="2">
        <v>147</v>
      </c>
      <c r="P258" s="2">
        <v>509</v>
      </c>
      <c r="Q258" s="2">
        <v>104</v>
      </c>
      <c r="R258" s="2">
        <v>107</v>
      </c>
      <c r="S258" s="2">
        <v>107</v>
      </c>
      <c r="T258" s="2">
        <v>1</v>
      </c>
      <c r="U258" s="2">
        <v>3</v>
      </c>
      <c r="V258" s="2">
        <v>5</v>
      </c>
      <c r="W258" s="2">
        <v>12</v>
      </c>
      <c r="X258" s="2">
        <v>1</v>
      </c>
    </row>
    <row r="259" spans="1:24" x14ac:dyDescent="0.35">
      <c r="A259">
        <v>1348</v>
      </c>
      <c r="B259">
        <v>72159</v>
      </c>
      <c r="C259">
        <v>42</v>
      </c>
      <c r="D259">
        <v>0</v>
      </c>
      <c r="E259" s="28">
        <v>7.580821917808219</v>
      </c>
      <c r="F259" s="28"/>
      <c r="G259" s="28">
        <v>912</v>
      </c>
      <c r="H259" s="28">
        <v>87000</v>
      </c>
      <c r="I259" s="28">
        <v>0</v>
      </c>
      <c r="J259" s="28">
        <v>28</v>
      </c>
      <c r="L259" s="37">
        <v>1348</v>
      </c>
      <c r="M259" s="3">
        <v>62</v>
      </c>
      <c r="N259" s="3">
        <v>322</v>
      </c>
      <c r="O259" s="3">
        <v>53</v>
      </c>
      <c r="P259" s="3">
        <v>899</v>
      </c>
      <c r="Q259" s="3">
        <v>34</v>
      </c>
      <c r="R259" s="3">
        <v>40</v>
      </c>
      <c r="S259" s="3">
        <v>53</v>
      </c>
      <c r="T259" s="3">
        <v>1</v>
      </c>
      <c r="U259" s="3">
        <v>4</v>
      </c>
      <c r="V259" s="3">
        <v>6</v>
      </c>
      <c r="W259" s="3">
        <v>10</v>
      </c>
      <c r="X259" s="3">
        <v>2</v>
      </c>
    </row>
    <row r="260" spans="1:24" x14ac:dyDescent="0.35">
      <c r="A260">
        <v>1342</v>
      </c>
      <c r="B260">
        <v>81246</v>
      </c>
      <c r="C260">
        <v>56</v>
      </c>
      <c r="D260">
        <v>0</v>
      </c>
      <c r="E260" s="28">
        <v>6.4136986301369863</v>
      </c>
      <c r="F260" s="28"/>
      <c r="G260" s="28">
        <v>909</v>
      </c>
      <c r="H260" s="28">
        <v>65488</v>
      </c>
      <c r="I260" s="28">
        <v>0</v>
      </c>
      <c r="J260" s="28">
        <v>62</v>
      </c>
      <c r="L260" s="38">
        <v>1342</v>
      </c>
      <c r="M260" s="2">
        <v>87</v>
      </c>
      <c r="N260" s="2">
        <v>398</v>
      </c>
      <c r="O260" s="2">
        <v>190</v>
      </c>
      <c r="P260" s="2">
        <v>537</v>
      </c>
      <c r="Q260" s="2">
        <v>61</v>
      </c>
      <c r="R260" s="2">
        <v>156</v>
      </c>
      <c r="S260" s="2">
        <v>37</v>
      </c>
      <c r="T260" s="2">
        <v>1</v>
      </c>
      <c r="U260" s="2">
        <v>4</v>
      </c>
      <c r="V260" s="2">
        <v>5</v>
      </c>
      <c r="W260" s="2">
        <v>7</v>
      </c>
      <c r="X260" s="2">
        <v>1</v>
      </c>
    </row>
    <row r="261" spans="1:24" x14ac:dyDescent="0.35">
      <c r="A261">
        <v>1339</v>
      </c>
      <c r="B261">
        <v>69372</v>
      </c>
      <c r="C261">
        <v>71</v>
      </c>
      <c r="D261">
        <v>0</v>
      </c>
      <c r="E261" s="28">
        <v>7.2712328767123289</v>
      </c>
      <c r="F261" s="28"/>
      <c r="G261" s="28">
        <v>904</v>
      </c>
      <c r="H261" s="28">
        <v>72298</v>
      </c>
      <c r="I261" s="28">
        <v>0</v>
      </c>
      <c r="J261" s="28">
        <v>71</v>
      </c>
      <c r="L261" s="37">
        <v>1339</v>
      </c>
      <c r="M261" s="3">
        <v>10</v>
      </c>
      <c r="N261" s="3">
        <v>997</v>
      </c>
      <c r="O261" s="3">
        <v>26</v>
      </c>
      <c r="P261" s="3">
        <v>269</v>
      </c>
      <c r="Q261" s="3">
        <v>34</v>
      </c>
      <c r="R261" s="3">
        <v>13</v>
      </c>
      <c r="S261" s="3">
        <v>42</v>
      </c>
      <c r="T261" s="3">
        <v>1</v>
      </c>
      <c r="U261" s="3">
        <v>10</v>
      </c>
      <c r="V261" s="3">
        <v>4</v>
      </c>
      <c r="W261" s="3">
        <v>6</v>
      </c>
      <c r="X261" s="3">
        <v>4</v>
      </c>
    </row>
    <row r="262" spans="1:24" x14ac:dyDescent="0.35">
      <c r="A262">
        <v>1336</v>
      </c>
      <c r="B262">
        <v>68397</v>
      </c>
      <c r="C262">
        <v>44</v>
      </c>
      <c r="D262">
        <v>1</v>
      </c>
      <c r="E262" s="28">
        <v>6.5287671232876709</v>
      </c>
      <c r="F262" s="28"/>
      <c r="G262" s="28">
        <v>903</v>
      </c>
      <c r="H262" s="28">
        <v>64950</v>
      </c>
      <c r="I262" s="28">
        <v>1</v>
      </c>
      <c r="J262" s="28">
        <v>69</v>
      </c>
      <c r="L262" s="38">
        <v>1336</v>
      </c>
      <c r="M262" s="2">
        <v>6</v>
      </c>
      <c r="N262" s="2">
        <v>760</v>
      </c>
      <c r="O262" s="2">
        <v>80</v>
      </c>
      <c r="P262" s="2">
        <v>466</v>
      </c>
      <c r="Q262" s="2">
        <v>17</v>
      </c>
      <c r="R262" s="2">
        <v>13</v>
      </c>
      <c r="S262" s="2">
        <v>80</v>
      </c>
      <c r="T262" s="2">
        <v>1</v>
      </c>
      <c r="U262" s="2">
        <v>6</v>
      </c>
      <c r="V262" s="2">
        <v>9</v>
      </c>
      <c r="W262" s="2">
        <v>5</v>
      </c>
      <c r="X262" s="2">
        <v>3</v>
      </c>
    </row>
    <row r="263" spans="1:24" x14ac:dyDescent="0.35">
      <c r="A263">
        <v>1334</v>
      </c>
      <c r="B263">
        <v>55951</v>
      </c>
      <c r="C263">
        <v>68</v>
      </c>
      <c r="D263">
        <v>1</v>
      </c>
      <c r="E263" s="28">
        <v>7.7643835616438359</v>
      </c>
      <c r="F263" s="28"/>
      <c r="G263" s="28">
        <v>902</v>
      </c>
      <c r="H263" s="28">
        <v>56775</v>
      </c>
      <c r="I263" s="28">
        <v>1</v>
      </c>
      <c r="J263" s="28">
        <v>41</v>
      </c>
      <c r="L263" s="37">
        <v>1334</v>
      </c>
      <c r="M263" s="3">
        <v>62</v>
      </c>
      <c r="N263" s="3">
        <v>1241</v>
      </c>
      <c r="O263" s="3">
        <v>0</v>
      </c>
      <c r="P263" s="3">
        <v>80</v>
      </c>
      <c r="Q263" s="3">
        <v>0</v>
      </c>
      <c r="R263" s="3">
        <v>13</v>
      </c>
      <c r="S263" s="3">
        <v>40</v>
      </c>
      <c r="T263" s="3">
        <v>3</v>
      </c>
      <c r="U263" s="3">
        <v>3</v>
      </c>
      <c r="V263" s="3">
        <v>6</v>
      </c>
      <c r="W263" s="3">
        <v>11</v>
      </c>
      <c r="X263" s="3">
        <v>8</v>
      </c>
    </row>
    <row r="264" spans="1:24" x14ac:dyDescent="0.35">
      <c r="A264">
        <v>1332</v>
      </c>
      <c r="B264">
        <v>80395</v>
      </c>
      <c r="C264">
        <v>65</v>
      </c>
      <c r="D264">
        <v>0</v>
      </c>
      <c r="E264" s="28">
        <v>6.5123287671232877</v>
      </c>
      <c r="F264" s="28"/>
      <c r="G264" s="28">
        <v>897</v>
      </c>
      <c r="H264" s="28">
        <v>79734</v>
      </c>
      <c r="I264" s="28">
        <v>0</v>
      </c>
      <c r="J264" s="28">
        <v>51</v>
      </c>
      <c r="L264" s="38">
        <v>1332</v>
      </c>
      <c r="M264" s="2">
        <v>62</v>
      </c>
      <c r="N264" s="2">
        <v>445</v>
      </c>
      <c r="O264" s="2">
        <v>25</v>
      </c>
      <c r="P264" s="2">
        <v>706</v>
      </c>
      <c r="Q264" s="2">
        <v>80</v>
      </c>
      <c r="R264" s="2">
        <v>76</v>
      </c>
      <c r="S264" s="2">
        <v>48</v>
      </c>
      <c r="T264" s="2">
        <v>1</v>
      </c>
      <c r="U264" s="2">
        <v>6</v>
      </c>
      <c r="V264" s="2">
        <v>5</v>
      </c>
      <c r="W264" s="2">
        <v>12</v>
      </c>
      <c r="X264" s="2">
        <v>2</v>
      </c>
    </row>
    <row r="265" spans="1:24" x14ac:dyDescent="0.35">
      <c r="A265">
        <v>1331</v>
      </c>
      <c r="B265">
        <v>90842</v>
      </c>
      <c r="C265">
        <v>72</v>
      </c>
      <c r="D265">
        <v>0</v>
      </c>
      <c r="E265" s="28">
        <v>6.8328767123287673</v>
      </c>
      <c r="F265" s="28"/>
      <c r="G265" s="28">
        <v>897</v>
      </c>
      <c r="H265" s="28">
        <v>44953</v>
      </c>
      <c r="I265" s="28">
        <v>0</v>
      </c>
      <c r="J265" s="28">
        <v>39</v>
      </c>
      <c r="L265" s="37">
        <v>1331</v>
      </c>
      <c r="M265" s="3">
        <v>57</v>
      </c>
      <c r="N265" s="3">
        <v>774</v>
      </c>
      <c r="O265" s="3">
        <v>70</v>
      </c>
      <c r="P265" s="3">
        <v>118</v>
      </c>
      <c r="Q265" s="3">
        <v>182</v>
      </c>
      <c r="R265" s="3">
        <v>187</v>
      </c>
      <c r="S265" s="3">
        <v>93</v>
      </c>
      <c r="T265" s="3">
        <v>1</v>
      </c>
      <c r="U265" s="3">
        <v>4</v>
      </c>
      <c r="V265" s="3">
        <v>9</v>
      </c>
      <c r="W265" s="3">
        <v>13</v>
      </c>
      <c r="X265" s="3">
        <v>1</v>
      </c>
    </row>
    <row r="266" spans="1:24" x14ac:dyDescent="0.35">
      <c r="A266">
        <v>1329</v>
      </c>
      <c r="B266">
        <v>85485</v>
      </c>
      <c r="C266">
        <v>62</v>
      </c>
      <c r="D266">
        <v>0</v>
      </c>
      <c r="E266" s="28">
        <v>5.9369863013698634</v>
      </c>
      <c r="F266" s="28"/>
      <c r="G266" s="28">
        <v>894</v>
      </c>
      <c r="H266" s="28">
        <v>60161</v>
      </c>
      <c r="I266" s="28">
        <v>1</v>
      </c>
      <c r="J266" s="28">
        <v>55</v>
      </c>
      <c r="L266" s="38">
        <v>1329</v>
      </c>
      <c r="M266" s="2">
        <v>73</v>
      </c>
      <c r="N266" s="2">
        <v>630</v>
      </c>
      <c r="O266" s="2">
        <v>26</v>
      </c>
      <c r="P266" s="2">
        <v>611</v>
      </c>
      <c r="Q266" s="2">
        <v>44</v>
      </c>
      <c r="R266" s="2">
        <v>18</v>
      </c>
      <c r="S266" s="2">
        <v>54</v>
      </c>
      <c r="T266" s="2">
        <v>1</v>
      </c>
      <c r="U266" s="2">
        <v>6</v>
      </c>
      <c r="V266" s="2">
        <v>6</v>
      </c>
      <c r="W266" s="2">
        <v>6</v>
      </c>
      <c r="X266" s="2">
        <v>2</v>
      </c>
    </row>
    <row r="267" spans="1:24" x14ac:dyDescent="0.35">
      <c r="A267">
        <v>1323</v>
      </c>
      <c r="B267">
        <v>76045</v>
      </c>
      <c r="C267">
        <v>60</v>
      </c>
      <c r="D267">
        <v>0</v>
      </c>
      <c r="E267" s="28">
        <v>6.5342465753424657</v>
      </c>
      <c r="F267" s="28"/>
      <c r="G267" s="28">
        <v>893</v>
      </c>
      <c r="H267" s="28">
        <v>77142</v>
      </c>
      <c r="I267" s="28">
        <v>0</v>
      </c>
      <c r="J267" s="28">
        <v>72</v>
      </c>
      <c r="L267" s="37">
        <v>1323</v>
      </c>
      <c r="M267" s="3">
        <v>78</v>
      </c>
      <c r="N267" s="3">
        <v>760</v>
      </c>
      <c r="O267" s="3">
        <v>53</v>
      </c>
      <c r="P267" s="3">
        <v>400</v>
      </c>
      <c r="Q267" s="3">
        <v>17</v>
      </c>
      <c r="R267" s="3">
        <v>93</v>
      </c>
      <c r="S267" s="3">
        <v>0</v>
      </c>
      <c r="T267" s="3">
        <v>1</v>
      </c>
      <c r="U267" s="3">
        <v>4</v>
      </c>
      <c r="V267" s="3">
        <v>5</v>
      </c>
      <c r="W267" s="3">
        <v>11</v>
      </c>
      <c r="X267" s="3">
        <v>2</v>
      </c>
    </row>
    <row r="268" spans="1:24" x14ac:dyDescent="0.35">
      <c r="A268">
        <v>1322</v>
      </c>
      <c r="B268">
        <v>76140</v>
      </c>
      <c r="C268">
        <v>72</v>
      </c>
      <c r="D268">
        <v>0</v>
      </c>
      <c r="E268" s="28">
        <v>6.043835616438356</v>
      </c>
      <c r="F268" s="28"/>
      <c r="G268" s="28">
        <v>892</v>
      </c>
      <c r="H268" s="28">
        <v>65073</v>
      </c>
      <c r="I268" s="28">
        <v>0</v>
      </c>
      <c r="J268" s="28">
        <v>77</v>
      </c>
      <c r="L268" s="38">
        <v>1322</v>
      </c>
      <c r="M268" s="2">
        <v>57</v>
      </c>
      <c r="N268" s="2">
        <v>586</v>
      </c>
      <c r="O268" s="2">
        <v>66</v>
      </c>
      <c r="P268" s="2">
        <v>653</v>
      </c>
      <c r="Q268" s="2">
        <v>17</v>
      </c>
      <c r="R268" s="2">
        <v>0</v>
      </c>
      <c r="S268" s="2">
        <v>26</v>
      </c>
      <c r="T268" s="2">
        <v>1</v>
      </c>
      <c r="U268" s="2">
        <v>5</v>
      </c>
      <c r="V268" s="2">
        <v>9</v>
      </c>
      <c r="W268" s="2">
        <v>6</v>
      </c>
      <c r="X268" s="2">
        <v>2</v>
      </c>
    </row>
    <row r="269" spans="1:24" x14ac:dyDescent="0.35">
      <c r="A269">
        <v>1320</v>
      </c>
      <c r="B269">
        <v>65819</v>
      </c>
      <c r="C269">
        <v>42</v>
      </c>
      <c r="D269">
        <v>0</v>
      </c>
      <c r="E269" s="28">
        <v>7.4958904109589044</v>
      </c>
      <c r="F269" s="28"/>
      <c r="G269" s="28">
        <v>892</v>
      </c>
      <c r="H269" s="28">
        <v>59462</v>
      </c>
      <c r="I269" s="28">
        <v>1</v>
      </c>
      <c r="J269" s="28">
        <v>70</v>
      </c>
      <c r="L269" s="37">
        <v>1320</v>
      </c>
      <c r="M269" s="3">
        <v>99</v>
      </c>
      <c r="N269" s="3">
        <v>267</v>
      </c>
      <c r="O269" s="3">
        <v>38</v>
      </c>
      <c r="P269" s="3">
        <v>701</v>
      </c>
      <c r="Q269" s="3">
        <v>149</v>
      </c>
      <c r="R269" s="3">
        <v>165</v>
      </c>
      <c r="S269" s="3">
        <v>63</v>
      </c>
      <c r="T269" s="3">
        <v>1</v>
      </c>
      <c r="U269" s="3">
        <v>5</v>
      </c>
      <c r="V269" s="3">
        <v>4</v>
      </c>
      <c r="W269" s="3">
        <v>10</v>
      </c>
      <c r="X269" s="3">
        <v>3</v>
      </c>
    </row>
    <row r="270" spans="1:24" x14ac:dyDescent="0.35">
      <c r="A270">
        <v>1320</v>
      </c>
      <c r="B270">
        <v>77845</v>
      </c>
      <c r="C270">
        <v>31</v>
      </c>
      <c r="D270">
        <v>0</v>
      </c>
      <c r="E270" s="28">
        <v>6.0356164383561648</v>
      </c>
      <c r="F270" s="28"/>
      <c r="G270" s="28">
        <v>885</v>
      </c>
      <c r="H270" s="28">
        <v>63404</v>
      </c>
      <c r="I270" s="28">
        <v>1</v>
      </c>
      <c r="J270" s="28">
        <v>56</v>
      </c>
      <c r="L270" s="38">
        <v>1320</v>
      </c>
      <c r="M270" s="2">
        <v>40</v>
      </c>
      <c r="N270" s="2">
        <v>760</v>
      </c>
      <c r="O270" s="2">
        <v>40</v>
      </c>
      <c r="P270" s="2">
        <v>480</v>
      </c>
      <c r="Q270" s="2">
        <v>0</v>
      </c>
      <c r="R270" s="2">
        <v>40</v>
      </c>
      <c r="S270" s="2">
        <v>26</v>
      </c>
      <c r="T270" s="2">
        <v>1</v>
      </c>
      <c r="U270" s="2">
        <v>3</v>
      </c>
      <c r="V270" s="2">
        <v>5</v>
      </c>
      <c r="W270" s="2">
        <v>12</v>
      </c>
      <c r="X270" s="2">
        <v>1</v>
      </c>
    </row>
    <row r="271" spans="1:24" x14ac:dyDescent="0.35">
      <c r="A271">
        <v>1319</v>
      </c>
      <c r="B271">
        <v>79530</v>
      </c>
      <c r="C271">
        <v>60</v>
      </c>
      <c r="D271">
        <v>0</v>
      </c>
      <c r="E271" s="28">
        <v>7.0328767123287674</v>
      </c>
      <c r="F271" s="28"/>
      <c r="G271" s="28">
        <v>884</v>
      </c>
      <c r="H271" s="28">
        <v>67605</v>
      </c>
      <c r="I271" s="28">
        <v>0</v>
      </c>
      <c r="J271" s="28">
        <v>33</v>
      </c>
      <c r="L271" s="37">
        <v>1319</v>
      </c>
      <c r="M271" s="3">
        <v>64</v>
      </c>
      <c r="N271" s="3">
        <v>333</v>
      </c>
      <c r="O271" s="3">
        <v>0</v>
      </c>
      <c r="P271" s="3">
        <v>815</v>
      </c>
      <c r="Q271" s="3">
        <v>129</v>
      </c>
      <c r="R271" s="3">
        <v>42</v>
      </c>
      <c r="S271" s="3">
        <v>29</v>
      </c>
      <c r="T271" s="3">
        <v>1</v>
      </c>
      <c r="U271" s="3">
        <v>4</v>
      </c>
      <c r="V271" s="3">
        <v>10</v>
      </c>
      <c r="W271" s="3">
        <v>11</v>
      </c>
      <c r="X271" s="3">
        <v>2</v>
      </c>
    </row>
    <row r="272" spans="1:24" x14ac:dyDescent="0.35">
      <c r="A272">
        <v>1313</v>
      </c>
      <c r="B272">
        <v>69882</v>
      </c>
      <c r="C272">
        <v>55</v>
      </c>
      <c r="D272">
        <v>0</v>
      </c>
      <c r="E272" s="28">
        <v>6.5479452054794525</v>
      </c>
      <c r="F272" s="28"/>
      <c r="G272" s="28">
        <v>883</v>
      </c>
      <c r="H272" s="28">
        <v>56242</v>
      </c>
      <c r="I272" s="28">
        <v>1</v>
      </c>
      <c r="J272" s="28">
        <v>51</v>
      </c>
      <c r="L272" s="38">
        <v>1313</v>
      </c>
      <c r="M272" s="2">
        <v>94</v>
      </c>
      <c r="N272" s="2">
        <v>292</v>
      </c>
      <c r="O272" s="2">
        <v>127</v>
      </c>
      <c r="P272" s="2">
        <v>635</v>
      </c>
      <c r="Q272" s="2">
        <v>132</v>
      </c>
      <c r="R272" s="2">
        <v>127</v>
      </c>
      <c r="S272" s="2">
        <v>165</v>
      </c>
      <c r="T272" s="2">
        <v>1</v>
      </c>
      <c r="U272" s="2">
        <v>3</v>
      </c>
      <c r="V272" s="2">
        <v>7</v>
      </c>
      <c r="W272" s="2">
        <v>9</v>
      </c>
      <c r="X272" s="2">
        <v>1</v>
      </c>
    </row>
    <row r="273" spans="1:24" x14ac:dyDescent="0.35">
      <c r="A273">
        <v>1313</v>
      </c>
      <c r="B273">
        <v>75027</v>
      </c>
      <c r="C273">
        <v>67</v>
      </c>
      <c r="D273">
        <v>1</v>
      </c>
      <c r="E273" s="28">
        <v>7.3835616438356162</v>
      </c>
      <c r="F273" s="28"/>
      <c r="G273" s="28">
        <v>881</v>
      </c>
      <c r="H273" s="28">
        <v>57912</v>
      </c>
      <c r="I273" s="28">
        <v>1</v>
      </c>
      <c r="J273" s="28">
        <v>55</v>
      </c>
      <c r="L273" s="37">
        <v>1313</v>
      </c>
      <c r="M273" s="3">
        <v>74</v>
      </c>
      <c r="N273" s="3">
        <v>925</v>
      </c>
      <c r="O273" s="3">
        <v>64</v>
      </c>
      <c r="P273" s="3">
        <v>179</v>
      </c>
      <c r="Q273" s="3">
        <v>133</v>
      </c>
      <c r="R273" s="3">
        <v>12</v>
      </c>
      <c r="S273" s="3">
        <v>77</v>
      </c>
      <c r="T273" s="3">
        <v>2</v>
      </c>
      <c r="U273" s="3">
        <v>9</v>
      </c>
      <c r="V273" s="3">
        <v>4</v>
      </c>
      <c r="W273" s="3">
        <v>6</v>
      </c>
      <c r="X273" s="3">
        <v>5</v>
      </c>
    </row>
    <row r="274" spans="1:24" x14ac:dyDescent="0.35">
      <c r="A274">
        <v>1312</v>
      </c>
      <c r="B274">
        <v>72905</v>
      </c>
      <c r="C274">
        <v>62</v>
      </c>
      <c r="D274">
        <v>0</v>
      </c>
      <c r="E274" s="28">
        <v>6.3506849315068497</v>
      </c>
      <c r="F274" s="28"/>
      <c r="G274" s="28">
        <v>878</v>
      </c>
      <c r="H274" s="28">
        <v>67353</v>
      </c>
      <c r="I274" s="28">
        <v>1</v>
      </c>
      <c r="J274" s="28">
        <v>50</v>
      </c>
      <c r="L274" s="38">
        <v>1312</v>
      </c>
      <c r="M274" s="2">
        <v>52</v>
      </c>
      <c r="N274" s="2">
        <v>407</v>
      </c>
      <c r="O274" s="2">
        <v>114</v>
      </c>
      <c r="P274" s="2">
        <v>445</v>
      </c>
      <c r="Q274" s="2">
        <v>181</v>
      </c>
      <c r="R274" s="2">
        <v>165</v>
      </c>
      <c r="S274" s="2">
        <v>203</v>
      </c>
      <c r="T274" s="2">
        <v>1</v>
      </c>
      <c r="U274" s="2">
        <v>3</v>
      </c>
      <c r="V274" s="2">
        <v>7</v>
      </c>
      <c r="W274" s="2">
        <v>9</v>
      </c>
      <c r="X274" s="2">
        <v>1</v>
      </c>
    </row>
    <row r="275" spans="1:24" x14ac:dyDescent="0.35">
      <c r="A275">
        <v>1308</v>
      </c>
      <c r="B275">
        <v>64590</v>
      </c>
      <c r="C275">
        <v>52</v>
      </c>
      <c r="D275">
        <v>0</v>
      </c>
      <c r="E275" s="28">
        <v>7.6219178082191785</v>
      </c>
      <c r="F275" s="28"/>
      <c r="G275" s="28">
        <v>871</v>
      </c>
      <c r="H275" s="28">
        <v>69867</v>
      </c>
      <c r="I275" s="28">
        <v>0</v>
      </c>
      <c r="J275" s="28">
        <v>34</v>
      </c>
      <c r="L275" s="37">
        <v>1308</v>
      </c>
      <c r="M275" s="3">
        <v>98</v>
      </c>
      <c r="N275" s="3">
        <v>920</v>
      </c>
      <c r="O275" s="3">
        <v>138</v>
      </c>
      <c r="P275" s="3">
        <v>168</v>
      </c>
      <c r="Q275" s="3">
        <v>36</v>
      </c>
      <c r="R275" s="3">
        <v>46</v>
      </c>
      <c r="S275" s="3">
        <v>30</v>
      </c>
      <c r="T275" s="3">
        <v>1</v>
      </c>
      <c r="U275" s="3">
        <v>9</v>
      </c>
      <c r="V275" s="3">
        <v>4</v>
      </c>
      <c r="W275" s="3">
        <v>10</v>
      </c>
      <c r="X275" s="3">
        <v>6</v>
      </c>
    </row>
    <row r="276" spans="1:24" x14ac:dyDescent="0.35">
      <c r="A276">
        <v>1302</v>
      </c>
      <c r="B276">
        <v>78041</v>
      </c>
      <c r="C276">
        <v>49</v>
      </c>
      <c r="D276">
        <v>0</v>
      </c>
      <c r="E276" s="28">
        <v>7.4493150684931511</v>
      </c>
      <c r="F276" s="28"/>
      <c r="G276" s="28">
        <v>865</v>
      </c>
      <c r="H276" s="28">
        <v>72570</v>
      </c>
      <c r="I276" s="28">
        <v>0</v>
      </c>
      <c r="J276" s="28">
        <v>36</v>
      </c>
      <c r="L276" s="38">
        <v>1302</v>
      </c>
      <c r="M276" s="2">
        <v>93</v>
      </c>
      <c r="N276" s="2">
        <v>482</v>
      </c>
      <c r="O276" s="2">
        <v>35</v>
      </c>
      <c r="P276" s="2">
        <v>553</v>
      </c>
      <c r="Q276" s="2">
        <v>72</v>
      </c>
      <c r="R276" s="2">
        <v>160</v>
      </c>
      <c r="S276" s="2">
        <v>17</v>
      </c>
      <c r="T276" s="2">
        <v>1</v>
      </c>
      <c r="U276" s="2">
        <v>4</v>
      </c>
      <c r="V276" s="2">
        <v>4</v>
      </c>
      <c r="W276" s="2">
        <v>9</v>
      </c>
      <c r="X276" s="2">
        <v>2</v>
      </c>
    </row>
    <row r="277" spans="1:24" x14ac:dyDescent="0.35">
      <c r="A277">
        <v>1302</v>
      </c>
      <c r="B277">
        <v>79456</v>
      </c>
      <c r="C277">
        <v>64</v>
      </c>
      <c r="D277">
        <v>0</v>
      </c>
      <c r="E277" s="28">
        <v>7.7671232876712333</v>
      </c>
      <c r="F277" s="28"/>
      <c r="G277" s="28">
        <v>860</v>
      </c>
      <c r="H277" s="28">
        <v>48948</v>
      </c>
      <c r="I277" s="28">
        <v>0</v>
      </c>
      <c r="J277" s="28">
        <v>77</v>
      </c>
      <c r="L277" s="37">
        <v>1302</v>
      </c>
      <c r="M277" s="3">
        <v>12</v>
      </c>
      <c r="N277" s="3">
        <v>565</v>
      </c>
      <c r="O277" s="3">
        <v>42</v>
      </c>
      <c r="P277" s="3">
        <v>548</v>
      </c>
      <c r="Q277" s="3">
        <v>64</v>
      </c>
      <c r="R277" s="3">
        <v>83</v>
      </c>
      <c r="S277" s="3">
        <v>99</v>
      </c>
      <c r="T277" s="3">
        <v>1</v>
      </c>
      <c r="U277" s="3">
        <v>5</v>
      </c>
      <c r="V277" s="3">
        <v>6</v>
      </c>
      <c r="W277" s="3">
        <v>4</v>
      </c>
      <c r="X277" s="3">
        <v>3</v>
      </c>
    </row>
    <row r="278" spans="1:24" x14ac:dyDescent="0.35">
      <c r="A278">
        <v>1302</v>
      </c>
      <c r="B278">
        <v>78939</v>
      </c>
      <c r="C278">
        <v>69</v>
      </c>
      <c r="D278">
        <v>0</v>
      </c>
      <c r="E278" s="28">
        <v>6.4602739726027396</v>
      </c>
      <c r="F278" s="28"/>
      <c r="G278" s="28">
        <v>858</v>
      </c>
      <c r="H278" s="28">
        <v>61209</v>
      </c>
      <c r="I278" s="28">
        <v>0</v>
      </c>
      <c r="J278" s="28">
        <v>50</v>
      </c>
      <c r="L278" s="38">
        <v>1302</v>
      </c>
      <c r="M278" s="2">
        <v>57</v>
      </c>
      <c r="N278" s="2">
        <v>794</v>
      </c>
      <c r="O278" s="2">
        <v>115</v>
      </c>
      <c r="P278" s="2">
        <v>243</v>
      </c>
      <c r="Q278" s="2">
        <v>150</v>
      </c>
      <c r="R278" s="2">
        <v>0</v>
      </c>
      <c r="S278" s="2">
        <v>205</v>
      </c>
      <c r="T278" s="2">
        <v>1</v>
      </c>
      <c r="U278" s="2">
        <v>8</v>
      </c>
      <c r="V278" s="2">
        <v>5</v>
      </c>
      <c r="W278" s="2">
        <v>6</v>
      </c>
      <c r="X278" s="2">
        <v>3</v>
      </c>
    </row>
    <row r="279" spans="1:24" x14ac:dyDescent="0.35">
      <c r="A279">
        <v>1301</v>
      </c>
      <c r="B279">
        <v>85696</v>
      </c>
      <c r="C279">
        <v>58</v>
      </c>
      <c r="D279">
        <v>0</v>
      </c>
      <c r="E279" s="28">
        <v>7.0712328767123287</v>
      </c>
      <c r="F279" s="28"/>
      <c r="G279" s="28">
        <v>851</v>
      </c>
      <c r="H279" s="28">
        <v>79205</v>
      </c>
      <c r="I279" s="28">
        <v>0</v>
      </c>
      <c r="J279" s="28">
        <v>45</v>
      </c>
      <c r="L279" s="37">
        <v>1301</v>
      </c>
      <c r="M279" s="3">
        <v>88</v>
      </c>
      <c r="N279" s="3">
        <v>714</v>
      </c>
      <c r="O279" s="3">
        <v>76</v>
      </c>
      <c r="P279" s="3">
        <v>395</v>
      </c>
      <c r="Q279" s="3">
        <v>116</v>
      </c>
      <c r="R279" s="3">
        <v>0</v>
      </c>
      <c r="S279" s="3">
        <v>12</v>
      </c>
      <c r="T279" s="3">
        <v>1</v>
      </c>
      <c r="U279" s="3">
        <v>4</v>
      </c>
      <c r="V279" s="3">
        <v>6</v>
      </c>
      <c r="W279" s="3">
        <v>9</v>
      </c>
      <c r="X279" s="3">
        <v>1</v>
      </c>
    </row>
    <row r="280" spans="1:24" x14ac:dyDescent="0.35">
      <c r="A280">
        <v>1300</v>
      </c>
      <c r="B280">
        <v>76068</v>
      </c>
      <c r="C280">
        <v>45</v>
      </c>
      <c r="D280">
        <v>1</v>
      </c>
      <c r="E280" s="28">
        <v>7.4958904109589044</v>
      </c>
      <c r="F280" s="28"/>
      <c r="G280" s="28">
        <v>847</v>
      </c>
      <c r="H280" s="28">
        <v>61346</v>
      </c>
      <c r="I280" s="28">
        <v>1</v>
      </c>
      <c r="J280" s="28">
        <v>42</v>
      </c>
      <c r="L280" s="38">
        <v>1300</v>
      </c>
      <c r="M280" s="2">
        <v>67</v>
      </c>
      <c r="N280" s="2">
        <v>1115</v>
      </c>
      <c r="O280" s="2">
        <v>12</v>
      </c>
      <c r="P280" s="2">
        <v>128</v>
      </c>
      <c r="Q280" s="2">
        <v>33</v>
      </c>
      <c r="R280" s="2">
        <v>12</v>
      </c>
      <c r="S280" s="2">
        <v>76</v>
      </c>
      <c r="T280" s="2">
        <v>1</v>
      </c>
      <c r="U280" s="2">
        <v>2</v>
      </c>
      <c r="V280" s="2">
        <v>3</v>
      </c>
      <c r="W280" s="2">
        <v>4</v>
      </c>
      <c r="X280" s="2">
        <v>6</v>
      </c>
    </row>
    <row r="281" spans="1:24" x14ac:dyDescent="0.35">
      <c r="A281">
        <v>1299</v>
      </c>
      <c r="B281">
        <v>61456</v>
      </c>
      <c r="C281">
        <v>45</v>
      </c>
      <c r="D281">
        <v>1</v>
      </c>
      <c r="E281" s="28">
        <v>7.1726027397260275</v>
      </c>
      <c r="F281" s="28"/>
      <c r="G281" s="28">
        <v>845</v>
      </c>
      <c r="H281" s="28">
        <v>52413</v>
      </c>
      <c r="I281" s="28">
        <v>1</v>
      </c>
      <c r="J281" s="28">
        <v>51</v>
      </c>
      <c r="L281" s="37">
        <v>1299</v>
      </c>
      <c r="M281" s="3">
        <v>47</v>
      </c>
      <c r="N281" s="3">
        <v>563</v>
      </c>
      <c r="O281" s="3">
        <v>76</v>
      </c>
      <c r="P281" s="3">
        <v>384</v>
      </c>
      <c r="Q281" s="3">
        <v>84</v>
      </c>
      <c r="R281" s="3">
        <v>192</v>
      </c>
      <c r="S281" s="3">
        <v>89</v>
      </c>
      <c r="T281" s="3">
        <v>4</v>
      </c>
      <c r="U281" s="3">
        <v>6</v>
      </c>
      <c r="V281" s="3">
        <v>10</v>
      </c>
      <c r="W281" s="3">
        <v>13</v>
      </c>
      <c r="X281" s="3">
        <v>4</v>
      </c>
    </row>
    <row r="282" spans="1:24" x14ac:dyDescent="0.35">
      <c r="A282">
        <v>1298</v>
      </c>
      <c r="B282">
        <v>83257</v>
      </c>
      <c r="C282">
        <v>25</v>
      </c>
      <c r="D282">
        <v>0</v>
      </c>
      <c r="E282" s="28">
        <v>7.6931506849315072</v>
      </c>
      <c r="F282" s="28"/>
      <c r="G282" s="28">
        <v>839</v>
      </c>
      <c r="H282" s="28">
        <v>54233</v>
      </c>
      <c r="I282" s="28">
        <v>1</v>
      </c>
      <c r="J282" s="28">
        <v>43</v>
      </c>
      <c r="L282" s="38">
        <v>1298</v>
      </c>
      <c r="M282" s="2">
        <v>56</v>
      </c>
      <c r="N282" s="2">
        <v>536</v>
      </c>
      <c r="O282" s="2">
        <v>27</v>
      </c>
      <c r="P282" s="2">
        <v>590</v>
      </c>
      <c r="Q282" s="2">
        <v>38</v>
      </c>
      <c r="R282" s="2">
        <v>107</v>
      </c>
      <c r="S282" s="2">
        <v>67</v>
      </c>
      <c r="T282" s="2">
        <v>1</v>
      </c>
      <c r="U282" s="2">
        <v>5</v>
      </c>
      <c r="V282" s="2">
        <v>10</v>
      </c>
      <c r="W282" s="2">
        <v>12</v>
      </c>
      <c r="X282" s="2">
        <v>6</v>
      </c>
    </row>
    <row r="283" spans="1:24" x14ac:dyDescent="0.35">
      <c r="A283">
        <v>1294</v>
      </c>
      <c r="B283">
        <v>81795</v>
      </c>
      <c r="C283">
        <v>68</v>
      </c>
      <c r="D283">
        <v>0</v>
      </c>
      <c r="E283" s="28">
        <v>7.5890410958904111</v>
      </c>
      <c r="F283" s="28"/>
      <c r="G283" s="28">
        <v>838</v>
      </c>
      <c r="H283" s="28">
        <v>68352</v>
      </c>
      <c r="I283" s="28">
        <v>1</v>
      </c>
      <c r="J283" s="28">
        <v>46</v>
      </c>
      <c r="L283" s="37">
        <v>1294</v>
      </c>
      <c r="M283" s="3">
        <v>74</v>
      </c>
      <c r="N283" s="3">
        <v>324</v>
      </c>
      <c r="O283" s="3">
        <v>132</v>
      </c>
      <c r="P283" s="3">
        <v>693</v>
      </c>
      <c r="Q283" s="3">
        <v>27</v>
      </c>
      <c r="R283" s="3">
        <v>118</v>
      </c>
      <c r="S283" s="3">
        <v>88</v>
      </c>
      <c r="T283" s="3">
        <v>1</v>
      </c>
      <c r="U283" s="3">
        <v>4</v>
      </c>
      <c r="V283" s="3">
        <v>11</v>
      </c>
      <c r="W283" s="3">
        <v>7</v>
      </c>
      <c r="X283" s="3">
        <v>2</v>
      </c>
    </row>
    <row r="284" spans="1:24" x14ac:dyDescent="0.35">
      <c r="A284">
        <v>1293</v>
      </c>
      <c r="B284">
        <v>80011</v>
      </c>
      <c r="C284">
        <v>40</v>
      </c>
      <c r="D284">
        <v>1</v>
      </c>
      <c r="E284" s="28">
        <v>7.0821917808219181</v>
      </c>
      <c r="F284" s="28"/>
      <c r="G284" s="28">
        <v>837</v>
      </c>
      <c r="H284" s="28">
        <v>64892</v>
      </c>
      <c r="I284" s="28">
        <v>1</v>
      </c>
      <c r="J284" s="28">
        <v>44</v>
      </c>
      <c r="L284" s="38">
        <v>1293</v>
      </c>
      <c r="M284" s="2">
        <v>3</v>
      </c>
      <c r="N284" s="2">
        <v>421</v>
      </c>
      <c r="O284" s="2">
        <v>76</v>
      </c>
      <c r="P284" s="2">
        <v>536</v>
      </c>
      <c r="Q284" s="2">
        <v>82</v>
      </c>
      <c r="R284" s="2">
        <v>178</v>
      </c>
      <c r="S284" s="2">
        <v>102</v>
      </c>
      <c r="T284" s="2">
        <v>2</v>
      </c>
      <c r="U284" s="2">
        <v>8</v>
      </c>
      <c r="V284" s="2">
        <v>6</v>
      </c>
      <c r="W284" s="2">
        <v>5</v>
      </c>
      <c r="X284" s="2">
        <v>4</v>
      </c>
    </row>
    <row r="285" spans="1:24" x14ac:dyDescent="0.35">
      <c r="A285">
        <v>1292</v>
      </c>
      <c r="B285">
        <v>64355</v>
      </c>
      <c r="C285">
        <v>35</v>
      </c>
      <c r="D285">
        <v>1</v>
      </c>
      <c r="E285" s="28">
        <v>7.7616438356164386</v>
      </c>
      <c r="F285" s="28"/>
      <c r="G285" s="28">
        <v>832</v>
      </c>
      <c r="H285" s="28">
        <v>52852</v>
      </c>
      <c r="I285" s="28">
        <v>1</v>
      </c>
      <c r="J285" s="28">
        <v>63</v>
      </c>
      <c r="L285" s="37">
        <v>1292</v>
      </c>
      <c r="M285" s="3">
        <v>66</v>
      </c>
      <c r="N285" s="3">
        <v>1047</v>
      </c>
      <c r="O285" s="3">
        <v>0</v>
      </c>
      <c r="P285" s="3">
        <v>140</v>
      </c>
      <c r="Q285" s="3">
        <v>67</v>
      </c>
      <c r="R285" s="3">
        <v>38</v>
      </c>
      <c r="S285" s="3">
        <v>153</v>
      </c>
      <c r="T285" s="3">
        <v>2</v>
      </c>
      <c r="U285" s="3">
        <v>4</v>
      </c>
      <c r="V285" s="3">
        <v>3</v>
      </c>
      <c r="W285" s="3">
        <v>12</v>
      </c>
      <c r="X285" s="3">
        <v>8</v>
      </c>
    </row>
    <row r="286" spans="1:24" x14ac:dyDescent="0.35">
      <c r="A286">
        <v>1290</v>
      </c>
      <c r="B286">
        <v>83273</v>
      </c>
      <c r="C286">
        <v>50</v>
      </c>
      <c r="D286">
        <v>1</v>
      </c>
      <c r="E286" s="28">
        <v>7.6739726027397257</v>
      </c>
      <c r="F286" s="28"/>
      <c r="G286" s="28">
        <v>828</v>
      </c>
      <c r="H286" s="28">
        <v>76630</v>
      </c>
      <c r="I286" s="28">
        <v>0</v>
      </c>
      <c r="J286" s="28">
        <v>37</v>
      </c>
      <c r="L286" s="38">
        <v>1290</v>
      </c>
      <c r="M286" s="2">
        <v>98</v>
      </c>
      <c r="N286" s="2">
        <v>433</v>
      </c>
      <c r="O286" s="2">
        <v>89</v>
      </c>
      <c r="P286" s="2">
        <v>650</v>
      </c>
      <c r="Q286" s="2">
        <v>16</v>
      </c>
      <c r="R286" s="2">
        <v>102</v>
      </c>
      <c r="S286" s="2">
        <v>102</v>
      </c>
      <c r="T286" s="2">
        <v>10</v>
      </c>
      <c r="U286" s="2">
        <v>4</v>
      </c>
      <c r="V286" s="2">
        <v>6</v>
      </c>
      <c r="W286" s="2">
        <v>9</v>
      </c>
      <c r="X286" s="2">
        <v>7</v>
      </c>
    </row>
    <row r="287" spans="1:24" x14ac:dyDescent="0.35">
      <c r="A287">
        <v>1288</v>
      </c>
      <c r="B287">
        <v>66582</v>
      </c>
      <c r="C287">
        <v>51</v>
      </c>
      <c r="D287">
        <v>0</v>
      </c>
      <c r="E287" s="28">
        <v>6.2383561643835614</v>
      </c>
      <c r="F287" s="28"/>
      <c r="G287" s="28">
        <v>827</v>
      </c>
      <c r="H287" s="28">
        <v>71113</v>
      </c>
      <c r="I287" s="28">
        <v>1</v>
      </c>
      <c r="J287" s="28">
        <v>63</v>
      </c>
      <c r="L287" s="37">
        <v>1288</v>
      </c>
      <c r="M287" s="3">
        <v>83</v>
      </c>
      <c r="N287" s="3">
        <v>789</v>
      </c>
      <c r="O287" s="3">
        <v>25</v>
      </c>
      <c r="P287" s="3">
        <v>420</v>
      </c>
      <c r="Q287" s="3">
        <v>16</v>
      </c>
      <c r="R287" s="3">
        <v>38</v>
      </c>
      <c r="S287" s="3">
        <v>0</v>
      </c>
      <c r="T287" s="3">
        <v>1</v>
      </c>
      <c r="U287" s="3">
        <v>2</v>
      </c>
      <c r="V287" s="3">
        <v>8</v>
      </c>
      <c r="W287" s="3">
        <v>9</v>
      </c>
      <c r="X287" s="3">
        <v>1</v>
      </c>
    </row>
    <row r="288" spans="1:24" x14ac:dyDescent="0.35">
      <c r="A288">
        <v>1287</v>
      </c>
      <c r="B288">
        <v>70713</v>
      </c>
      <c r="C288">
        <v>54</v>
      </c>
      <c r="D288">
        <v>1</v>
      </c>
      <c r="E288" s="28">
        <v>7.484931506849315</v>
      </c>
      <c r="F288" s="28"/>
      <c r="G288" s="28">
        <v>826</v>
      </c>
      <c r="H288" s="28">
        <v>69661</v>
      </c>
      <c r="I288" s="28">
        <v>0</v>
      </c>
      <c r="J288" s="28">
        <v>40</v>
      </c>
      <c r="L288" s="38">
        <v>1287</v>
      </c>
      <c r="M288" s="2">
        <v>23</v>
      </c>
      <c r="N288" s="2">
        <v>736</v>
      </c>
      <c r="O288" s="2">
        <v>114</v>
      </c>
      <c r="P288" s="2">
        <v>279</v>
      </c>
      <c r="Q288" s="2">
        <v>82</v>
      </c>
      <c r="R288" s="2">
        <v>76</v>
      </c>
      <c r="S288" s="2">
        <v>190</v>
      </c>
      <c r="T288" s="2">
        <v>6</v>
      </c>
      <c r="U288" s="2">
        <v>5</v>
      </c>
      <c r="V288" s="2">
        <v>6</v>
      </c>
      <c r="W288" s="2">
        <v>8</v>
      </c>
      <c r="X288" s="2">
        <v>3</v>
      </c>
    </row>
    <row r="289" spans="1:24" x14ac:dyDescent="0.35">
      <c r="A289">
        <v>1287</v>
      </c>
      <c r="B289">
        <v>70924</v>
      </c>
      <c r="C289">
        <v>55</v>
      </c>
      <c r="D289">
        <v>0</v>
      </c>
      <c r="E289" s="28">
        <v>6.1424657534246574</v>
      </c>
      <c r="F289" s="28"/>
      <c r="G289" s="28">
        <v>825</v>
      </c>
      <c r="H289" s="28">
        <v>53977</v>
      </c>
      <c r="I289" s="28">
        <v>1</v>
      </c>
      <c r="J289" s="28">
        <v>62</v>
      </c>
      <c r="L289" s="37">
        <v>1287</v>
      </c>
      <c r="M289" s="3">
        <v>41</v>
      </c>
      <c r="N289" s="3">
        <v>635</v>
      </c>
      <c r="O289" s="3">
        <v>114</v>
      </c>
      <c r="P289" s="3">
        <v>254</v>
      </c>
      <c r="Q289" s="3">
        <v>132</v>
      </c>
      <c r="R289" s="3">
        <v>152</v>
      </c>
      <c r="S289" s="3">
        <v>76</v>
      </c>
      <c r="T289" s="3">
        <v>1</v>
      </c>
      <c r="U289" s="3">
        <v>6</v>
      </c>
      <c r="V289" s="3">
        <v>6</v>
      </c>
      <c r="W289" s="3">
        <v>7</v>
      </c>
      <c r="X289" s="3">
        <v>3</v>
      </c>
    </row>
    <row r="290" spans="1:24" x14ac:dyDescent="0.35">
      <c r="A290">
        <v>1285</v>
      </c>
      <c r="B290">
        <v>82733</v>
      </c>
      <c r="C290">
        <v>36</v>
      </c>
      <c r="D290">
        <v>0</v>
      </c>
      <c r="E290" s="28">
        <v>6.7150684931506852</v>
      </c>
      <c r="F290" s="28"/>
      <c r="G290" s="28">
        <v>818</v>
      </c>
      <c r="H290" s="28">
        <v>66825</v>
      </c>
      <c r="I290" s="28">
        <v>0</v>
      </c>
      <c r="J290" s="28">
        <v>53</v>
      </c>
      <c r="L290" s="38">
        <v>1285</v>
      </c>
      <c r="M290" s="2">
        <v>28</v>
      </c>
      <c r="N290" s="2">
        <v>712</v>
      </c>
      <c r="O290" s="2">
        <v>50</v>
      </c>
      <c r="P290" s="2">
        <v>420</v>
      </c>
      <c r="Q290" s="2">
        <v>65</v>
      </c>
      <c r="R290" s="2">
        <v>38</v>
      </c>
      <c r="S290" s="2">
        <v>38</v>
      </c>
      <c r="T290" s="2">
        <v>1</v>
      </c>
      <c r="U290" s="2">
        <v>8</v>
      </c>
      <c r="V290" s="2">
        <v>4</v>
      </c>
      <c r="W290" s="2">
        <v>7</v>
      </c>
      <c r="X290" s="2">
        <v>4</v>
      </c>
    </row>
    <row r="291" spans="1:24" x14ac:dyDescent="0.35">
      <c r="A291">
        <v>1282</v>
      </c>
      <c r="B291">
        <v>82122</v>
      </c>
      <c r="C291">
        <v>58</v>
      </c>
      <c r="D291">
        <v>0</v>
      </c>
      <c r="E291" s="28">
        <v>6.7863013698630139</v>
      </c>
      <c r="F291" s="28"/>
      <c r="G291" s="28">
        <v>810</v>
      </c>
      <c r="H291" s="28">
        <v>79941</v>
      </c>
      <c r="I291" s="28">
        <v>0</v>
      </c>
      <c r="J291" s="28">
        <v>44</v>
      </c>
      <c r="L291" s="37">
        <v>1282</v>
      </c>
      <c r="M291" s="3">
        <v>89</v>
      </c>
      <c r="N291" s="3">
        <v>734</v>
      </c>
      <c r="O291" s="3">
        <v>22</v>
      </c>
      <c r="P291" s="3">
        <v>350</v>
      </c>
      <c r="Q291" s="3">
        <v>151</v>
      </c>
      <c r="R291" s="3">
        <v>25</v>
      </c>
      <c r="S291" s="3">
        <v>100</v>
      </c>
      <c r="T291" s="3">
        <v>1</v>
      </c>
      <c r="U291" s="3">
        <v>3</v>
      </c>
      <c r="V291" s="3">
        <v>9</v>
      </c>
      <c r="W291" s="3">
        <v>13</v>
      </c>
      <c r="X291" s="3">
        <v>1</v>
      </c>
    </row>
    <row r="292" spans="1:24" x14ac:dyDescent="0.35">
      <c r="A292">
        <v>1282</v>
      </c>
      <c r="B292">
        <v>62859</v>
      </c>
      <c r="C292">
        <v>61</v>
      </c>
      <c r="D292">
        <v>1</v>
      </c>
      <c r="E292" s="28">
        <v>7.4109589041095889</v>
      </c>
      <c r="F292" s="28"/>
      <c r="G292" s="28">
        <v>810</v>
      </c>
      <c r="H292" s="28">
        <v>75315</v>
      </c>
      <c r="I292" s="28">
        <v>1</v>
      </c>
      <c r="J292" s="28">
        <v>66</v>
      </c>
      <c r="L292" s="38">
        <v>1282</v>
      </c>
      <c r="M292" s="2">
        <v>37</v>
      </c>
      <c r="N292" s="2">
        <v>1063</v>
      </c>
      <c r="O292" s="2">
        <v>89</v>
      </c>
      <c r="P292" s="2">
        <v>102</v>
      </c>
      <c r="Q292" s="2">
        <v>16</v>
      </c>
      <c r="R292" s="2">
        <v>12</v>
      </c>
      <c r="S292" s="2">
        <v>25</v>
      </c>
      <c r="T292" s="2">
        <v>4</v>
      </c>
      <c r="U292" s="2">
        <v>9</v>
      </c>
      <c r="V292" s="2">
        <v>4</v>
      </c>
      <c r="W292" s="2">
        <v>6</v>
      </c>
      <c r="X292" s="2">
        <v>6</v>
      </c>
    </row>
    <row r="293" spans="1:24" x14ac:dyDescent="0.35">
      <c r="A293">
        <v>1281</v>
      </c>
      <c r="B293">
        <v>72550</v>
      </c>
      <c r="C293">
        <v>66</v>
      </c>
      <c r="D293">
        <v>1</v>
      </c>
      <c r="E293" s="28">
        <v>7.5534246575342463</v>
      </c>
      <c r="F293" s="28"/>
      <c r="G293" s="28">
        <v>809</v>
      </c>
      <c r="H293" s="28">
        <v>34445</v>
      </c>
      <c r="I293" s="28">
        <v>0</v>
      </c>
      <c r="J293" s="28">
        <v>39</v>
      </c>
      <c r="L293" s="37">
        <v>1281</v>
      </c>
      <c r="M293" s="3">
        <v>39</v>
      </c>
      <c r="N293" s="3">
        <v>826</v>
      </c>
      <c r="O293" s="3">
        <v>50</v>
      </c>
      <c r="P293" s="3">
        <v>317</v>
      </c>
      <c r="Q293" s="3">
        <v>50</v>
      </c>
      <c r="R293" s="3">
        <v>38</v>
      </c>
      <c r="S293" s="3">
        <v>38</v>
      </c>
      <c r="T293" s="3">
        <v>9</v>
      </c>
      <c r="U293" s="3">
        <v>5</v>
      </c>
      <c r="V293" s="3">
        <v>2</v>
      </c>
      <c r="W293" s="3">
        <v>12</v>
      </c>
      <c r="X293" s="3">
        <v>8</v>
      </c>
    </row>
    <row r="294" spans="1:24" x14ac:dyDescent="0.35">
      <c r="A294">
        <v>1281</v>
      </c>
      <c r="B294">
        <v>74165</v>
      </c>
      <c r="C294">
        <v>45</v>
      </c>
      <c r="D294">
        <v>0</v>
      </c>
      <c r="E294" s="28">
        <v>7.0767123287671234</v>
      </c>
      <c r="F294" s="28"/>
      <c r="G294" s="28">
        <v>807</v>
      </c>
      <c r="H294" s="28">
        <v>62204</v>
      </c>
      <c r="I294" s="28">
        <v>1</v>
      </c>
      <c r="J294" s="28">
        <v>60</v>
      </c>
      <c r="L294" s="38">
        <v>1281</v>
      </c>
      <c r="M294" s="2">
        <v>9</v>
      </c>
      <c r="N294" s="2">
        <v>1001</v>
      </c>
      <c r="O294" s="2">
        <v>12</v>
      </c>
      <c r="P294" s="2">
        <v>240</v>
      </c>
      <c r="Q294" s="2">
        <v>16</v>
      </c>
      <c r="R294" s="2">
        <v>12</v>
      </c>
      <c r="S294" s="2">
        <v>12</v>
      </c>
      <c r="T294" s="2">
        <v>1</v>
      </c>
      <c r="U294" s="2">
        <v>5</v>
      </c>
      <c r="V294" s="2">
        <v>4</v>
      </c>
      <c r="W294" s="2">
        <v>10</v>
      </c>
      <c r="X294" s="2">
        <v>2</v>
      </c>
    </row>
    <row r="295" spans="1:24" x14ac:dyDescent="0.35">
      <c r="A295">
        <v>1279</v>
      </c>
      <c r="B295">
        <v>77863</v>
      </c>
      <c r="C295">
        <v>62</v>
      </c>
      <c r="D295">
        <v>0</v>
      </c>
      <c r="E295" s="28">
        <v>6.5013698630136982</v>
      </c>
      <c r="F295" s="28"/>
      <c r="G295" s="28">
        <v>807</v>
      </c>
      <c r="H295" s="28">
        <v>89058</v>
      </c>
      <c r="I295" s="28">
        <v>0</v>
      </c>
      <c r="J295" s="28">
        <v>60</v>
      </c>
      <c r="L295" s="37">
        <v>1279</v>
      </c>
      <c r="M295" s="3">
        <v>20</v>
      </c>
      <c r="N295" s="3">
        <v>881</v>
      </c>
      <c r="O295" s="3">
        <v>38</v>
      </c>
      <c r="P295" s="3">
        <v>319</v>
      </c>
      <c r="Q295" s="3">
        <v>16</v>
      </c>
      <c r="R295" s="3">
        <v>25</v>
      </c>
      <c r="S295" s="3">
        <v>12</v>
      </c>
      <c r="T295" s="3">
        <v>1</v>
      </c>
      <c r="U295" s="3">
        <v>4</v>
      </c>
      <c r="V295" s="3">
        <v>5</v>
      </c>
      <c r="W295" s="3">
        <v>10</v>
      </c>
      <c r="X295" s="3">
        <v>2</v>
      </c>
    </row>
    <row r="296" spans="1:24" x14ac:dyDescent="0.35">
      <c r="A296">
        <v>1277</v>
      </c>
      <c r="B296">
        <v>68487</v>
      </c>
      <c r="C296">
        <v>32</v>
      </c>
      <c r="D296">
        <v>0</v>
      </c>
      <c r="E296" s="28">
        <v>7.3726027397260276</v>
      </c>
      <c r="F296" s="28"/>
      <c r="G296" s="28">
        <v>804</v>
      </c>
      <c r="H296" s="28">
        <v>70165</v>
      </c>
      <c r="I296" s="28">
        <v>0</v>
      </c>
      <c r="J296" s="28">
        <v>71</v>
      </c>
      <c r="L296" s="38">
        <v>1277</v>
      </c>
      <c r="M296" s="2">
        <v>48</v>
      </c>
      <c r="N296" s="2">
        <v>758</v>
      </c>
      <c r="O296" s="2">
        <v>12</v>
      </c>
      <c r="P296" s="2">
        <v>385</v>
      </c>
      <c r="Q296" s="2">
        <v>33</v>
      </c>
      <c r="R296" s="2">
        <v>89</v>
      </c>
      <c r="S296" s="2">
        <v>89</v>
      </c>
      <c r="T296" s="2">
        <v>1</v>
      </c>
      <c r="U296" s="2">
        <v>9</v>
      </c>
      <c r="V296" s="2">
        <v>7</v>
      </c>
      <c r="W296" s="2">
        <v>13</v>
      </c>
      <c r="X296" s="2">
        <v>4</v>
      </c>
    </row>
    <row r="297" spans="1:24" x14ac:dyDescent="0.35">
      <c r="A297">
        <v>1271</v>
      </c>
      <c r="B297">
        <v>70638</v>
      </c>
      <c r="C297">
        <v>65</v>
      </c>
      <c r="D297">
        <v>0</v>
      </c>
      <c r="E297" s="28">
        <v>6.9917808219178079</v>
      </c>
      <c r="F297" s="28"/>
      <c r="G297" s="28">
        <v>803</v>
      </c>
      <c r="H297" s="28">
        <v>77882</v>
      </c>
      <c r="I297" s="28">
        <v>0</v>
      </c>
      <c r="J297" s="28">
        <v>39</v>
      </c>
      <c r="L297" s="37">
        <v>1271</v>
      </c>
      <c r="M297" s="3">
        <v>69</v>
      </c>
      <c r="N297" s="3">
        <v>1016</v>
      </c>
      <c r="O297" s="3">
        <v>12</v>
      </c>
      <c r="P297" s="3">
        <v>215</v>
      </c>
      <c r="Q297" s="3">
        <v>16</v>
      </c>
      <c r="R297" s="3">
        <v>12</v>
      </c>
      <c r="S297" s="3">
        <v>63</v>
      </c>
      <c r="T297" s="3">
        <v>1</v>
      </c>
      <c r="U297" s="3">
        <v>4</v>
      </c>
      <c r="V297" s="3">
        <v>5</v>
      </c>
      <c r="W297" s="3">
        <v>10</v>
      </c>
      <c r="X297" s="3">
        <v>3</v>
      </c>
    </row>
    <row r="298" spans="1:24" x14ac:dyDescent="0.35">
      <c r="A298">
        <v>1270</v>
      </c>
      <c r="B298">
        <v>65220</v>
      </c>
      <c r="C298">
        <v>55</v>
      </c>
      <c r="D298">
        <v>0</v>
      </c>
      <c r="E298" s="28">
        <v>7.7342465753424658</v>
      </c>
      <c r="F298" s="28"/>
      <c r="G298" s="28">
        <v>801</v>
      </c>
      <c r="H298" s="28">
        <v>75903</v>
      </c>
      <c r="I298" s="28">
        <v>1</v>
      </c>
      <c r="J298" s="28">
        <v>69</v>
      </c>
      <c r="L298" s="38">
        <v>1270</v>
      </c>
      <c r="M298" s="2">
        <v>3</v>
      </c>
      <c r="N298" s="2">
        <v>890</v>
      </c>
      <c r="O298" s="2">
        <v>63</v>
      </c>
      <c r="P298" s="2">
        <v>292</v>
      </c>
      <c r="Q298" s="2">
        <v>0</v>
      </c>
      <c r="R298" s="2">
        <v>25</v>
      </c>
      <c r="S298" s="2">
        <v>12</v>
      </c>
      <c r="T298" s="2">
        <v>4</v>
      </c>
      <c r="U298" s="2">
        <v>8</v>
      </c>
      <c r="V298" s="2">
        <v>4</v>
      </c>
      <c r="W298" s="2">
        <v>7</v>
      </c>
      <c r="X298" s="2">
        <v>6</v>
      </c>
    </row>
    <row r="299" spans="1:24" x14ac:dyDescent="0.35">
      <c r="A299">
        <v>1270</v>
      </c>
      <c r="B299">
        <v>63810</v>
      </c>
      <c r="C299">
        <v>54</v>
      </c>
      <c r="D299">
        <v>1</v>
      </c>
      <c r="E299" s="28">
        <v>7.5452054794520551</v>
      </c>
      <c r="F299" s="28"/>
      <c r="G299" s="28">
        <v>795</v>
      </c>
      <c r="H299" s="28">
        <v>73807</v>
      </c>
      <c r="I299" s="28">
        <v>1</v>
      </c>
      <c r="J299" s="28">
        <v>42</v>
      </c>
      <c r="L299" s="37">
        <v>1270</v>
      </c>
      <c r="M299" s="3">
        <v>45</v>
      </c>
      <c r="N299" s="3">
        <v>977</v>
      </c>
      <c r="O299" s="3">
        <v>12</v>
      </c>
      <c r="P299" s="3">
        <v>253</v>
      </c>
      <c r="Q299" s="3">
        <v>16</v>
      </c>
      <c r="R299" s="3">
        <v>12</v>
      </c>
      <c r="S299" s="3">
        <v>101</v>
      </c>
      <c r="T299" s="3">
        <v>4</v>
      </c>
      <c r="U299" s="3">
        <v>4</v>
      </c>
      <c r="V299" s="3">
        <v>3</v>
      </c>
      <c r="W299" s="3">
        <v>12</v>
      </c>
      <c r="X299" s="3">
        <v>8</v>
      </c>
    </row>
    <row r="300" spans="1:24" x14ac:dyDescent="0.35">
      <c r="A300">
        <v>1270</v>
      </c>
      <c r="B300">
        <v>82800</v>
      </c>
      <c r="C300">
        <v>74</v>
      </c>
      <c r="D300">
        <v>0</v>
      </c>
      <c r="E300" s="28">
        <v>7.5095890410958903</v>
      </c>
      <c r="F300" s="28"/>
      <c r="G300" s="28">
        <v>791</v>
      </c>
      <c r="H300" s="28">
        <v>52750</v>
      </c>
      <c r="I300" s="28">
        <v>1</v>
      </c>
      <c r="J300" s="28">
        <v>65</v>
      </c>
      <c r="L300" s="38">
        <v>1270</v>
      </c>
      <c r="M300" s="2">
        <v>23</v>
      </c>
      <c r="N300" s="2">
        <v>1006</v>
      </c>
      <c r="O300" s="2">
        <v>22</v>
      </c>
      <c r="P300" s="2">
        <v>115</v>
      </c>
      <c r="Q300" s="2">
        <v>59</v>
      </c>
      <c r="R300" s="2">
        <v>68</v>
      </c>
      <c r="S300" s="2">
        <v>45</v>
      </c>
      <c r="T300" s="2">
        <v>1</v>
      </c>
      <c r="U300" s="2">
        <v>7</v>
      </c>
      <c r="V300" s="2">
        <v>6</v>
      </c>
      <c r="W300" s="2">
        <v>12</v>
      </c>
      <c r="X300" s="2">
        <v>3</v>
      </c>
    </row>
    <row r="301" spans="1:24" x14ac:dyDescent="0.35">
      <c r="A301">
        <v>1265</v>
      </c>
      <c r="B301">
        <v>60000</v>
      </c>
      <c r="C301">
        <v>44</v>
      </c>
      <c r="D301">
        <v>1</v>
      </c>
      <c r="E301" s="28">
        <v>7.4328767123287669</v>
      </c>
      <c r="F301" s="28"/>
      <c r="G301" s="28">
        <v>787</v>
      </c>
      <c r="H301" s="28">
        <v>68627</v>
      </c>
      <c r="I301" s="28">
        <v>0</v>
      </c>
      <c r="J301" s="28">
        <v>38</v>
      </c>
      <c r="L301" s="37">
        <v>1265</v>
      </c>
      <c r="M301" s="3">
        <v>57</v>
      </c>
      <c r="N301" s="3">
        <v>1048</v>
      </c>
      <c r="O301" s="3">
        <v>0</v>
      </c>
      <c r="P301" s="3">
        <v>217</v>
      </c>
      <c r="Q301" s="3">
        <v>0</v>
      </c>
      <c r="R301" s="3">
        <v>0</v>
      </c>
      <c r="S301" s="3">
        <v>12</v>
      </c>
      <c r="T301" s="3">
        <v>5</v>
      </c>
      <c r="U301" s="3">
        <v>11</v>
      </c>
      <c r="V301" s="3">
        <v>3</v>
      </c>
      <c r="W301" s="3">
        <v>5</v>
      </c>
      <c r="X301" s="3">
        <v>6</v>
      </c>
    </row>
    <row r="302" spans="1:24" x14ac:dyDescent="0.35">
      <c r="A302">
        <v>1262</v>
      </c>
      <c r="B302">
        <v>78394</v>
      </c>
      <c r="C302">
        <v>34</v>
      </c>
      <c r="D302">
        <v>0</v>
      </c>
      <c r="E302" s="28">
        <v>7.2821917808219174</v>
      </c>
      <c r="F302" s="28"/>
      <c r="G302" s="28">
        <v>787</v>
      </c>
      <c r="H302" s="28">
        <v>62670</v>
      </c>
      <c r="I302" s="28">
        <v>1</v>
      </c>
      <c r="J302" s="28">
        <v>66</v>
      </c>
      <c r="L302" s="38">
        <v>1262</v>
      </c>
      <c r="M302" s="2">
        <v>13</v>
      </c>
      <c r="N302" s="2">
        <v>298</v>
      </c>
      <c r="O302" s="2">
        <v>27</v>
      </c>
      <c r="P302" s="2">
        <v>697</v>
      </c>
      <c r="Q302" s="2">
        <v>216</v>
      </c>
      <c r="R302" s="2">
        <v>24</v>
      </c>
      <c r="S302" s="2">
        <v>166</v>
      </c>
      <c r="T302" s="2">
        <v>1</v>
      </c>
      <c r="U302" s="2">
        <v>4</v>
      </c>
      <c r="V302" s="2">
        <v>6</v>
      </c>
      <c r="W302" s="2">
        <v>5</v>
      </c>
      <c r="X302" s="2">
        <v>2</v>
      </c>
    </row>
    <row r="303" spans="1:24" x14ac:dyDescent="0.35">
      <c r="A303">
        <v>1259</v>
      </c>
      <c r="B303">
        <v>86111</v>
      </c>
      <c r="C303">
        <v>58</v>
      </c>
      <c r="D303">
        <v>0</v>
      </c>
      <c r="E303" s="28">
        <v>7.1095890410958908</v>
      </c>
      <c r="F303" s="28"/>
      <c r="G303" s="28">
        <v>783</v>
      </c>
      <c r="H303" s="28">
        <v>74805</v>
      </c>
      <c r="I303" s="28">
        <v>1</v>
      </c>
      <c r="J303" s="28">
        <v>65</v>
      </c>
      <c r="L303" s="37">
        <v>1259</v>
      </c>
      <c r="M303" s="3">
        <v>73</v>
      </c>
      <c r="N303" s="3">
        <v>399</v>
      </c>
      <c r="O303" s="3">
        <v>28</v>
      </c>
      <c r="P303" s="3">
        <v>756</v>
      </c>
      <c r="Q303" s="3">
        <v>36</v>
      </c>
      <c r="R303" s="3">
        <v>40</v>
      </c>
      <c r="S303" s="3">
        <v>126</v>
      </c>
      <c r="T303" s="3">
        <v>1</v>
      </c>
      <c r="U303" s="3">
        <v>5</v>
      </c>
      <c r="V303" s="3">
        <v>7</v>
      </c>
      <c r="W303" s="3">
        <v>10</v>
      </c>
      <c r="X303" s="3">
        <v>2</v>
      </c>
    </row>
    <row r="304" spans="1:24" x14ac:dyDescent="0.35">
      <c r="A304">
        <v>1259</v>
      </c>
      <c r="B304">
        <v>80144</v>
      </c>
      <c r="C304">
        <v>45</v>
      </c>
      <c r="D304">
        <v>0</v>
      </c>
      <c r="E304" s="28">
        <v>6.6602739726027398</v>
      </c>
      <c r="F304" s="28"/>
      <c r="G304" s="28">
        <v>782</v>
      </c>
      <c r="H304" s="28">
        <v>69389</v>
      </c>
      <c r="I304" s="28">
        <v>1</v>
      </c>
      <c r="J304" s="28">
        <v>43</v>
      </c>
      <c r="L304" s="38">
        <v>1259</v>
      </c>
      <c r="M304" s="2">
        <v>47</v>
      </c>
      <c r="N304" s="2">
        <v>240</v>
      </c>
      <c r="O304" s="2">
        <v>132</v>
      </c>
      <c r="P304" s="2">
        <v>445</v>
      </c>
      <c r="Q304" s="2">
        <v>250</v>
      </c>
      <c r="R304" s="2">
        <v>192</v>
      </c>
      <c r="S304" s="2">
        <v>108</v>
      </c>
      <c r="T304" s="2">
        <v>1</v>
      </c>
      <c r="U304" s="2">
        <v>3</v>
      </c>
      <c r="V304" s="2">
        <v>7</v>
      </c>
      <c r="W304" s="2">
        <v>8</v>
      </c>
      <c r="X304" s="2">
        <v>1</v>
      </c>
    </row>
    <row r="305" spans="1:24" x14ac:dyDescent="0.35">
      <c r="A305">
        <v>1257</v>
      </c>
      <c r="B305">
        <v>66664</v>
      </c>
      <c r="C305">
        <v>38</v>
      </c>
      <c r="D305">
        <v>0</v>
      </c>
      <c r="E305" s="28">
        <v>7.6739726027397257</v>
      </c>
      <c r="F305" s="28"/>
      <c r="G305" s="28">
        <v>782</v>
      </c>
      <c r="H305" s="28">
        <v>69245</v>
      </c>
      <c r="I305" s="28">
        <v>1</v>
      </c>
      <c r="J305" s="28">
        <v>64</v>
      </c>
      <c r="L305" s="37">
        <v>1257</v>
      </c>
      <c r="M305" s="3">
        <v>78</v>
      </c>
      <c r="N305" s="3">
        <v>398</v>
      </c>
      <c r="O305" s="3">
        <v>96</v>
      </c>
      <c r="P305" s="3">
        <v>447</v>
      </c>
      <c r="Q305" s="3">
        <v>220</v>
      </c>
      <c r="R305" s="3">
        <v>96</v>
      </c>
      <c r="S305" s="3">
        <v>32</v>
      </c>
      <c r="T305" s="3">
        <v>1</v>
      </c>
      <c r="U305" s="3">
        <v>5</v>
      </c>
      <c r="V305" s="3">
        <v>7</v>
      </c>
      <c r="W305" s="3">
        <v>6</v>
      </c>
      <c r="X305" s="3">
        <v>3</v>
      </c>
    </row>
    <row r="306" spans="1:24" x14ac:dyDescent="0.35">
      <c r="A306">
        <v>1257</v>
      </c>
      <c r="B306">
        <v>63972</v>
      </c>
      <c r="C306">
        <v>56</v>
      </c>
      <c r="D306">
        <v>1</v>
      </c>
      <c r="E306" s="28">
        <v>7.4876712328767123</v>
      </c>
      <c r="F306" s="28"/>
      <c r="G306" s="28">
        <v>777</v>
      </c>
      <c r="H306" s="28">
        <v>55759</v>
      </c>
      <c r="I306" s="28">
        <v>1</v>
      </c>
      <c r="J306" s="28">
        <v>58</v>
      </c>
      <c r="L306" s="38">
        <v>1257</v>
      </c>
      <c r="M306" s="2">
        <v>93</v>
      </c>
      <c r="N306" s="2">
        <v>928</v>
      </c>
      <c r="O306" s="2">
        <v>63</v>
      </c>
      <c r="P306" s="2">
        <v>254</v>
      </c>
      <c r="Q306" s="2">
        <v>0</v>
      </c>
      <c r="R306" s="2">
        <v>12</v>
      </c>
      <c r="S306" s="2">
        <v>12</v>
      </c>
      <c r="T306" s="2">
        <v>4</v>
      </c>
      <c r="U306" s="2">
        <v>5</v>
      </c>
      <c r="V306" s="2">
        <v>4</v>
      </c>
      <c r="W306" s="2">
        <v>10</v>
      </c>
      <c r="X306" s="2">
        <v>4</v>
      </c>
    </row>
    <row r="307" spans="1:24" x14ac:dyDescent="0.35">
      <c r="A307">
        <v>1254</v>
      </c>
      <c r="B307">
        <v>80124</v>
      </c>
      <c r="C307">
        <v>57</v>
      </c>
      <c r="D307">
        <v>0</v>
      </c>
      <c r="E307" s="28">
        <v>5.9232876712328766</v>
      </c>
      <c r="F307" s="28"/>
      <c r="G307" s="28">
        <v>777</v>
      </c>
      <c r="H307" s="28">
        <v>58086</v>
      </c>
      <c r="I307" s="28">
        <v>1</v>
      </c>
      <c r="J307" s="28">
        <v>51</v>
      </c>
      <c r="L307" s="37">
        <v>1254</v>
      </c>
      <c r="M307" s="3">
        <v>47</v>
      </c>
      <c r="N307" s="3">
        <v>483</v>
      </c>
      <c r="O307" s="3">
        <v>84</v>
      </c>
      <c r="P307" s="3">
        <v>398</v>
      </c>
      <c r="Q307" s="3">
        <v>205</v>
      </c>
      <c r="R307" s="3">
        <v>84</v>
      </c>
      <c r="S307" s="3">
        <v>241</v>
      </c>
      <c r="T307" s="3">
        <v>1</v>
      </c>
      <c r="U307" s="3">
        <v>3</v>
      </c>
      <c r="V307" s="3">
        <v>7</v>
      </c>
      <c r="W307" s="3">
        <v>8</v>
      </c>
      <c r="X307" s="3">
        <v>1</v>
      </c>
    </row>
    <row r="308" spans="1:24" x14ac:dyDescent="0.35">
      <c r="A308">
        <v>1254</v>
      </c>
      <c r="B308">
        <v>87171</v>
      </c>
      <c r="C308">
        <v>39</v>
      </c>
      <c r="D308">
        <v>0</v>
      </c>
      <c r="E308" s="28">
        <v>7.0767123287671234</v>
      </c>
      <c r="F308" s="28"/>
      <c r="G308" s="28">
        <v>774</v>
      </c>
      <c r="H308" s="28">
        <v>68118</v>
      </c>
      <c r="I308" s="28">
        <v>1</v>
      </c>
      <c r="J308" s="28">
        <v>57</v>
      </c>
      <c r="L308" s="38">
        <v>1254</v>
      </c>
      <c r="M308" s="2">
        <v>27</v>
      </c>
      <c r="N308" s="2">
        <v>1001</v>
      </c>
      <c r="O308" s="2">
        <v>44</v>
      </c>
      <c r="P308" s="2">
        <v>107</v>
      </c>
      <c r="Q308" s="2">
        <v>58</v>
      </c>
      <c r="R308" s="2">
        <v>44</v>
      </c>
      <c r="S308" s="2">
        <v>44</v>
      </c>
      <c r="T308" s="2">
        <v>1</v>
      </c>
      <c r="U308" s="2">
        <v>6</v>
      </c>
      <c r="V308" s="2">
        <v>7</v>
      </c>
      <c r="W308" s="2">
        <v>11</v>
      </c>
      <c r="X308" s="2">
        <v>2</v>
      </c>
    </row>
    <row r="309" spans="1:24" x14ac:dyDescent="0.35">
      <c r="A309">
        <v>1253</v>
      </c>
      <c r="B309">
        <v>70617</v>
      </c>
      <c r="C309">
        <v>50</v>
      </c>
      <c r="D309">
        <v>0</v>
      </c>
      <c r="E309" s="28">
        <v>6.9315068493150687</v>
      </c>
      <c r="F309" s="28"/>
      <c r="G309" s="28">
        <v>770</v>
      </c>
      <c r="H309" s="28">
        <v>55424</v>
      </c>
      <c r="I309" s="28">
        <v>1</v>
      </c>
      <c r="J309" s="28">
        <v>44</v>
      </c>
      <c r="L309" s="37">
        <v>1253</v>
      </c>
      <c r="M309" s="3">
        <v>45</v>
      </c>
      <c r="N309" s="3">
        <v>353</v>
      </c>
      <c r="O309" s="3">
        <v>61</v>
      </c>
      <c r="P309" s="3">
        <v>753</v>
      </c>
      <c r="Q309" s="3">
        <v>40</v>
      </c>
      <c r="R309" s="3">
        <v>46</v>
      </c>
      <c r="S309" s="3">
        <v>27</v>
      </c>
      <c r="T309" s="3">
        <v>1</v>
      </c>
      <c r="U309" s="3">
        <v>3</v>
      </c>
      <c r="V309" s="3">
        <v>3</v>
      </c>
      <c r="W309" s="3">
        <v>7</v>
      </c>
      <c r="X309" s="3">
        <v>2</v>
      </c>
    </row>
    <row r="310" spans="1:24" x14ac:dyDescent="0.35">
      <c r="A310">
        <v>1243</v>
      </c>
      <c r="B310">
        <v>67430</v>
      </c>
      <c r="C310">
        <v>33</v>
      </c>
      <c r="D310">
        <v>0</v>
      </c>
      <c r="E310" s="28">
        <v>7.7287671232876711</v>
      </c>
      <c r="F310" s="28"/>
      <c r="G310" s="28">
        <v>770</v>
      </c>
      <c r="H310" s="28">
        <v>58308</v>
      </c>
      <c r="I310" s="28">
        <v>1</v>
      </c>
      <c r="J310" s="28">
        <v>56</v>
      </c>
      <c r="L310" s="38">
        <v>1243</v>
      </c>
      <c r="M310" s="2">
        <v>6</v>
      </c>
      <c r="N310" s="2">
        <v>595</v>
      </c>
      <c r="O310" s="2">
        <v>97</v>
      </c>
      <c r="P310" s="2">
        <v>291</v>
      </c>
      <c r="Q310" s="2">
        <v>127</v>
      </c>
      <c r="R310" s="2">
        <v>133</v>
      </c>
      <c r="S310" s="2">
        <v>121</v>
      </c>
      <c r="T310" s="2">
        <v>1</v>
      </c>
      <c r="U310" s="2">
        <v>11</v>
      </c>
      <c r="V310" s="2">
        <v>5</v>
      </c>
      <c r="W310" s="2">
        <v>12</v>
      </c>
      <c r="X310" s="2">
        <v>6</v>
      </c>
    </row>
    <row r="311" spans="1:24" x14ac:dyDescent="0.35">
      <c r="A311">
        <v>1241</v>
      </c>
      <c r="B311">
        <v>62882</v>
      </c>
      <c r="C311">
        <v>51</v>
      </c>
      <c r="D311">
        <v>1</v>
      </c>
      <c r="E311" s="28">
        <v>7.8027397260273972</v>
      </c>
      <c r="F311" s="28"/>
      <c r="G311" s="28">
        <v>769</v>
      </c>
      <c r="H311" s="28">
        <v>88097</v>
      </c>
      <c r="I311" s="28">
        <v>1</v>
      </c>
      <c r="J311" s="28">
        <v>42</v>
      </c>
      <c r="L311" s="37">
        <v>1241</v>
      </c>
      <c r="M311" s="3">
        <v>26</v>
      </c>
      <c r="N311" s="3">
        <v>509</v>
      </c>
      <c r="O311" s="3">
        <v>133</v>
      </c>
      <c r="P311" s="3">
        <v>497</v>
      </c>
      <c r="Q311" s="3">
        <v>78</v>
      </c>
      <c r="R311" s="3">
        <v>24</v>
      </c>
      <c r="S311" s="3">
        <v>97</v>
      </c>
      <c r="T311" s="3">
        <v>2</v>
      </c>
      <c r="U311" s="3">
        <v>7</v>
      </c>
      <c r="V311" s="3">
        <v>5</v>
      </c>
      <c r="W311" s="3">
        <v>6</v>
      </c>
      <c r="X311" s="3">
        <v>4</v>
      </c>
    </row>
    <row r="312" spans="1:24" x14ac:dyDescent="0.35">
      <c r="A312">
        <v>1241</v>
      </c>
      <c r="B312">
        <v>66991</v>
      </c>
      <c r="C312">
        <v>66</v>
      </c>
      <c r="D312">
        <v>0</v>
      </c>
      <c r="E312" s="28">
        <v>7.7123287671232879</v>
      </c>
      <c r="F312" s="28"/>
      <c r="G312" s="28">
        <v>768</v>
      </c>
      <c r="H312" s="28">
        <v>65333</v>
      </c>
      <c r="I312" s="28">
        <v>1</v>
      </c>
      <c r="J312" s="28">
        <v>47</v>
      </c>
      <c r="L312" s="38">
        <v>1241</v>
      </c>
      <c r="M312" s="2">
        <v>1</v>
      </c>
      <c r="N312" s="2">
        <v>496</v>
      </c>
      <c r="O312" s="2">
        <v>36</v>
      </c>
      <c r="P312" s="2">
        <v>460</v>
      </c>
      <c r="Q312" s="2">
        <v>189</v>
      </c>
      <c r="R312" s="2">
        <v>60</v>
      </c>
      <c r="S312" s="2">
        <v>12</v>
      </c>
      <c r="T312" s="2">
        <v>3</v>
      </c>
      <c r="U312" s="2">
        <v>4</v>
      </c>
      <c r="V312" s="2">
        <v>8</v>
      </c>
      <c r="W312" s="2">
        <v>6</v>
      </c>
      <c r="X312" s="2">
        <v>3</v>
      </c>
    </row>
    <row r="313" spans="1:24" x14ac:dyDescent="0.35">
      <c r="A313">
        <v>1238</v>
      </c>
      <c r="B313">
        <v>90000</v>
      </c>
      <c r="C313">
        <v>36</v>
      </c>
      <c r="D313">
        <v>0</v>
      </c>
      <c r="E313" s="28">
        <v>6.4301369863013695</v>
      </c>
      <c r="F313" s="28"/>
      <c r="G313" s="28">
        <v>763</v>
      </c>
      <c r="H313" s="28">
        <v>51983</v>
      </c>
      <c r="I313" s="28">
        <v>1</v>
      </c>
      <c r="J313" s="28">
        <v>56</v>
      </c>
      <c r="L313" s="37">
        <v>1238</v>
      </c>
      <c r="M313" s="3">
        <v>91</v>
      </c>
      <c r="N313" s="3">
        <v>675</v>
      </c>
      <c r="O313" s="3">
        <v>144</v>
      </c>
      <c r="P313" s="3">
        <v>133</v>
      </c>
      <c r="Q313" s="3">
        <v>94</v>
      </c>
      <c r="R313" s="3">
        <v>192</v>
      </c>
      <c r="S313" s="3">
        <v>241</v>
      </c>
      <c r="T313" s="3">
        <v>1</v>
      </c>
      <c r="U313" s="3">
        <v>4</v>
      </c>
      <c r="V313" s="3">
        <v>8</v>
      </c>
      <c r="W313" s="3">
        <v>5</v>
      </c>
      <c r="X313" s="3">
        <v>1</v>
      </c>
    </row>
    <row r="314" spans="1:24" x14ac:dyDescent="0.35">
      <c r="A314">
        <v>1237</v>
      </c>
      <c r="B314">
        <v>78499</v>
      </c>
      <c r="C314">
        <v>63</v>
      </c>
      <c r="D314">
        <v>0</v>
      </c>
      <c r="E314" s="28">
        <v>6.5123287671232877</v>
      </c>
      <c r="F314" s="28"/>
      <c r="G314" s="28">
        <v>762</v>
      </c>
      <c r="H314" s="28">
        <v>62061</v>
      </c>
      <c r="I314" s="28">
        <v>1</v>
      </c>
      <c r="J314" s="28">
        <v>44</v>
      </c>
      <c r="L314" s="38">
        <v>1237</v>
      </c>
      <c r="M314" s="2">
        <v>12</v>
      </c>
      <c r="N314" s="2">
        <v>912</v>
      </c>
      <c r="O314" s="2">
        <v>72</v>
      </c>
      <c r="P314" s="2">
        <v>170</v>
      </c>
      <c r="Q314" s="2">
        <v>47</v>
      </c>
      <c r="R314" s="2">
        <v>36</v>
      </c>
      <c r="S314" s="2">
        <v>97</v>
      </c>
      <c r="T314" s="2">
        <v>1</v>
      </c>
      <c r="U314" s="2">
        <v>11</v>
      </c>
      <c r="V314" s="2">
        <v>3</v>
      </c>
      <c r="W314" s="2">
        <v>4</v>
      </c>
      <c r="X314" s="2">
        <v>4</v>
      </c>
    </row>
    <row r="315" spans="1:24" x14ac:dyDescent="0.35">
      <c r="A315">
        <v>1236</v>
      </c>
      <c r="B315">
        <v>88194</v>
      </c>
      <c r="C315">
        <v>41</v>
      </c>
      <c r="D315">
        <v>1</v>
      </c>
      <c r="E315" s="28">
        <v>6.1945205479452055</v>
      </c>
      <c r="F315" s="28"/>
      <c r="G315" s="28">
        <v>758</v>
      </c>
      <c r="H315" s="28">
        <v>71499</v>
      </c>
      <c r="I315" s="28">
        <v>1</v>
      </c>
      <c r="J315" s="28">
        <v>49</v>
      </c>
      <c r="L315" s="37">
        <v>1236</v>
      </c>
      <c r="M315" s="3">
        <v>19</v>
      </c>
      <c r="N315" s="3">
        <v>688</v>
      </c>
      <c r="O315" s="3">
        <v>14</v>
      </c>
      <c r="P315" s="3">
        <v>309</v>
      </c>
      <c r="Q315" s="3">
        <v>201</v>
      </c>
      <c r="R315" s="3">
        <v>24</v>
      </c>
      <c r="S315" s="3">
        <v>38</v>
      </c>
      <c r="T315" s="3">
        <v>1</v>
      </c>
      <c r="U315" s="3">
        <v>11</v>
      </c>
      <c r="V315" s="3">
        <v>10</v>
      </c>
      <c r="W315" s="3">
        <v>10</v>
      </c>
      <c r="X315" s="3">
        <v>5</v>
      </c>
    </row>
    <row r="316" spans="1:24" x14ac:dyDescent="0.35">
      <c r="A316">
        <v>1235</v>
      </c>
      <c r="B316">
        <v>92556</v>
      </c>
      <c r="C316">
        <v>60</v>
      </c>
      <c r="D316">
        <v>0</v>
      </c>
      <c r="E316" s="28">
        <v>6.1068493150684935</v>
      </c>
      <c r="F316" s="28"/>
      <c r="G316" s="28">
        <v>757</v>
      </c>
      <c r="H316" s="28">
        <v>66375</v>
      </c>
      <c r="I316" s="28">
        <v>1</v>
      </c>
      <c r="J316" s="28">
        <v>72</v>
      </c>
      <c r="L316" s="38">
        <v>1235</v>
      </c>
      <c r="M316" s="2">
        <v>32</v>
      </c>
      <c r="N316" s="2">
        <v>493</v>
      </c>
      <c r="O316" s="2">
        <v>183</v>
      </c>
      <c r="P316" s="2">
        <v>352</v>
      </c>
      <c r="Q316" s="2">
        <v>184</v>
      </c>
      <c r="R316" s="2">
        <v>23</v>
      </c>
      <c r="S316" s="2">
        <v>28</v>
      </c>
      <c r="T316" s="2">
        <v>0</v>
      </c>
      <c r="U316" s="2">
        <v>3</v>
      </c>
      <c r="V316" s="2">
        <v>5</v>
      </c>
      <c r="W316" s="2">
        <v>13</v>
      </c>
      <c r="X316" s="2">
        <v>0</v>
      </c>
    </row>
    <row r="317" spans="1:24" x14ac:dyDescent="0.35">
      <c r="A317">
        <v>1234</v>
      </c>
      <c r="B317">
        <v>61787</v>
      </c>
      <c r="C317">
        <v>33</v>
      </c>
      <c r="D317">
        <v>0</v>
      </c>
      <c r="E317" s="28">
        <v>6.8958904109589039</v>
      </c>
      <c r="F317" s="28"/>
      <c r="G317" s="28">
        <v>755</v>
      </c>
      <c r="H317" s="28">
        <v>78497</v>
      </c>
      <c r="I317" s="28">
        <v>0</v>
      </c>
      <c r="J317" s="28">
        <v>69</v>
      </c>
      <c r="L317" s="37">
        <v>1234</v>
      </c>
      <c r="M317" s="3">
        <v>71</v>
      </c>
      <c r="N317" s="3">
        <v>621</v>
      </c>
      <c r="O317" s="3">
        <v>73</v>
      </c>
      <c r="P317" s="3">
        <v>414</v>
      </c>
      <c r="Q317" s="3">
        <v>78</v>
      </c>
      <c r="R317" s="3">
        <v>48</v>
      </c>
      <c r="S317" s="3">
        <v>85</v>
      </c>
      <c r="T317" s="3">
        <v>1</v>
      </c>
      <c r="U317" s="3">
        <v>8</v>
      </c>
      <c r="V317" s="3">
        <v>4</v>
      </c>
      <c r="W317" s="3">
        <v>6</v>
      </c>
      <c r="X317" s="3">
        <v>5</v>
      </c>
    </row>
    <row r="318" spans="1:24" x14ac:dyDescent="0.35">
      <c r="A318">
        <v>1234</v>
      </c>
      <c r="B318">
        <v>64325</v>
      </c>
      <c r="C318">
        <v>59</v>
      </c>
      <c r="D318">
        <v>1</v>
      </c>
      <c r="E318" s="28">
        <v>7.3041095890410963</v>
      </c>
      <c r="F318" s="28"/>
      <c r="G318" s="28">
        <v>751</v>
      </c>
      <c r="H318" s="28">
        <v>67087</v>
      </c>
      <c r="I318" s="28">
        <v>1</v>
      </c>
      <c r="J318" s="28">
        <v>67</v>
      </c>
      <c r="L318" s="38">
        <v>1234</v>
      </c>
      <c r="M318" s="2">
        <v>41</v>
      </c>
      <c r="N318" s="2">
        <v>731</v>
      </c>
      <c r="O318" s="2">
        <v>60</v>
      </c>
      <c r="P318" s="2">
        <v>353</v>
      </c>
      <c r="Q318" s="2">
        <v>78</v>
      </c>
      <c r="R318" s="2">
        <v>12</v>
      </c>
      <c r="S318" s="2">
        <v>73</v>
      </c>
      <c r="T318" s="2">
        <v>5</v>
      </c>
      <c r="U318" s="2">
        <v>10</v>
      </c>
      <c r="V318" s="2">
        <v>3</v>
      </c>
      <c r="W318" s="2">
        <v>5</v>
      </c>
      <c r="X318" s="2">
        <v>7</v>
      </c>
    </row>
    <row r="319" spans="1:24" x14ac:dyDescent="0.35">
      <c r="A319">
        <v>1233</v>
      </c>
      <c r="B319">
        <v>71626</v>
      </c>
      <c r="C319">
        <v>41</v>
      </c>
      <c r="D319">
        <v>0</v>
      </c>
      <c r="E319" s="28">
        <v>7.5726027397260278</v>
      </c>
      <c r="F319" s="28"/>
      <c r="G319" s="28">
        <v>748</v>
      </c>
      <c r="H319" s="28">
        <v>77297</v>
      </c>
      <c r="I319" s="28">
        <v>0</v>
      </c>
      <c r="J319" s="28">
        <v>63</v>
      </c>
      <c r="L319" s="37">
        <v>1233</v>
      </c>
      <c r="M319" s="3">
        <v>94</v>
      </c>
      <c r="N319" s="3">
        <v>546</v>
      </c>
      <c r="O319" s="3">
        <v>72</v>
      </c>
      <c r="P319" s="3">
        <v>376</v>
      </c>
      <c r="Q319" s="3">
        <v>94</v>
      </c>
      <c r="R319" s="3">
        <v>145</v>
      </c>
      <c r="S319" s="3">
        <v>72</v>
      </c>
      <c r="T319" s="3">
        <v>1</v>
      </c>
      <c r="U319" s="3">
        <v>5</v>
      </c>
      <c r="V319" s="3">
        <v>5</v>
      </c>
      <c r="W319" s="3">
        <v>8</v>
      </c>
      <c r="X319" s="3">
        <v>3</v>
      </c>
    </row>
    <row r="320" spans="1:24" x14ac:dyDescent="0.35">
      <c r="A320">
        <v>1233</v>
      </c>
      <c r="B320">
        <v>68092</v>
      </c>
      <c r="C320">
        <v>42</v>
      </c>
      <c r="D320">
        <v>0</v>
      </c>
      <c r="E320" s="28">
        <v>6.4493150684931511</v>
      </c>
      <c r="F320" s="28"/>
      <c r="G320" s="28">
        <v>736</v>
      </c>
      <c r="H320" s="28">
        <v>70566</v>
      </c>
      <c r="I320" s="28">
        <v>1</v>
      </c>
      <c r="J320" s="28">
        <v>52</v>
      </c>
      <c r="L320" s="38">
        <v>1233</v>
      </c>
      <c r="M320" s="2">
        <v>7</v>
      </c>
      <c r="N320" s="2">
        <v>852</v>
      </c>
      <c r="O320" s="2">
        <v>60</v>
      </c>
      <c r="P320" s="2">
        <v>207</v>
      </c>
      <c r="Q320" s="2">
        <v>78</v>
      </c>
      <c r="R320" s="2">
        <v>36</v>
      </c>
      <c r="S320" s="2">
        <v>48</v>
      </c>
      <c r="T320" s="2">
        <v>2</v>
      </c>
      <c r="U320" s="2">
        <v>2</v>
      </c>
      <c r="V320" s="2">
        <v>6</v>
      </c>
      <c r="W320" s="2">
        <v>10</v>
      </c>
      <c r="X320" s="2">
        <v>5</v>
      </c>
    </row>
    <row r="321" spans="1:24" x14ac:dyDescent="0.35">
      <c r="A321">
        <v>1232</v>
      </c>
      <c r="B321">
        <v>71434</v>
      </c>
      <c r="C321">
        <v>58</v>
      </c>
      <c r="D321">
        <v>1</v>
      </c>
      <c r="E321" s="28">
        <v>6.6931506849315072</v>
      </c>
      <c r="F321" s="28"/>
      <c r="G321" s="28">
        <v>726</v>
      </c>
      <c r="H321" s="28">
        <v>86580</v>
      </c>
      <c r="I321" s="28">
        <v>0</v>
      </c>
      <c r="J321" s="28">
        <v>37</v>
      </c>
      <c r="L321" s="37">
        <v>1232</v>
      </c>
      <c r="M321" s="3">
        <v>4</v>
      </c>
      <c r="N321" s="3">
        <v>711</v>
      </c>
      <c r="O321" s="3">
        <v>36</v>
      </c>
      <c r="P321" s="3">
        <v>217</v>
      </c>
      <c r="Q321" s="3">
        <v>172</v>
      </c>
      <c r="R321" s="3">
        <v>96</v>
      </c>
      <c r="S321" s="3">
        <v>168</v>
      </c>
      <c r="T321" s="3">
        <v>3</v>
      </c>
      <c r="U321" s="3">
        <v>7</v>
      </c>
      <c r="V321" s="3">
        <v>4</v>
      </c>
      <c r="W321" s="3">
        <v>7</v>
      </c>
      <c r="X321" s="3">
        <v>4</v>
      </c>
    </row>
    <row r="322" spans="1:24" x14ac:dyDescent="0.35">
      <c r="A322">
        <v>1230</v>
      </c>
      <c r="B322">
        <v>75865</v>
      </c>
      <c r="C322">
        <v>77</v>
      </c>
      <c r="D322">
        <v>0</v>
      </c>
      <c r="E322" s="28">
        <v>6.161643835616438</v>
      </c>
      <c r="F322" s="28"/>
      <c r="G322" s="28">
        <v>724</v>
      </c>
      <c r="H322" s="28">
        <v>50898</v>
      </c>
      <c r="I322" s="28">
        <v>1</v>
      </c>
      <c r="J322" s="28">
        <v>64</v>
      </c>
      <c r="L322" s="38">
        <v>1230</v>
      </c>
      <c r="M322" s="2">
        <v>73</v>
      </c>
      <c r="N322" s="2">
        <v>483</v>
      </c>
      <c r="O322" s="2">
        <v>0</v>
      </c>
      <c r="P322" s="2">
        <v>591</v>
      </c>
      <c r="Q322" s="2">
        <v>156</v>
      </c>
      <c r="R322" s="2">
        <v>0</v>
      </c>
      <c r="S322" s="2">
        <v>12</v>
      </c>
      <c r="T322" s="2">
        <v>1</v>
      </c>
      <c r="U322" s="2">
        <v>3</v>
      </c>
      <c r="V322" s="2">
        <v>5</v>
      </c>
      <c r="W322" s="2">
        <v>10</v>
      </c>
      <c r="X322" s="2">
        <v>1</v>
      </c>
    </row>
    <row r="323" spans="1:24" x14ac:dyDescent="0.35">
      <c r="A323">
        <v>1230</v>
      </c>
      <c r="B323">
        <v>71466</v>
      </c>
      <c r="C323">
        <v>46</v>
      </c>
      <c r="D323">
        <v>0</v>
      </c>
      <c r="E323" s="28">
        <v>6.1479452054794521</v>
      </c>
      <c r="F323" s="28"/>
      <c r="G323" s="28">
        <v>724</v>
      </c>
      <c r="H323" s="28">
        <v>70932</v>
      </c>
      <c r="I323" s="28">
        <v>1</v>
      </c>
      <c r="J323" s="28">
        <v>48</v>
      </c>
      <c r="L323" s="37">
        <v>1230</v>
      </c>
      <c r="M323" s="3">
        <v>86</v>
      </c>
      <c r="N323" s="3">
        <v>412</v>
      </c>
      <c r="O323" s="3">
        <v>12</v>
      </c>
      <c r="P323" s="3">
        <v>546</v>
      </c>
      <c r="Q323" s="3">
        <v>78</v>
      </c>
      <c r="R323" s="3">
        <v>182</v>
      </c>
      <c r="S323" s="3">
        <v>0</v>
      </c>
      <c r="T323" s="3">
        <v>1</v>
      </c>
      <c r="U323" s="3">
        <v>4</v>
      </c>
      <c r="V323" s="3">
        <v>4</v>
      </c>
      <c r="W323" s="3">
        <v>10</v>
      </c>
      <c r="X323" s="3">
        <v>1</v>
      </c>
    </row>
    <row r="324" spans="1:24" x14ac:dyDescent="0.35">
      <c r="A324">
        <v>1229</v>
      </c>
      <c r="B324">
        <v>75114</v>
      </c>
      <c r="C324">
        <v>28</v>
      </c>
      <c r="D324">
        <v>0</v>
      </c>
      <c r="E324" s="28">
        <v>6.5561643835616437</v>
      </c>
      <c r="F324" s="28"/>
      <c r="G324" s="28">
        <v>720</v>
      </c>
      <c r="H324" s="28">
        <v>63967</v>
      </c>
      <c r="I324" s="28">
        <v>1</v>
      </c>
      <c r="J324" s="28">
        <v>52</v>
      </c>
      <c r="L324" s="38">
        <v>1229</v>
      </c>
      <c r="M324" s="2">
        <v>40</v>
      </c>
      <c r="N324" s="2">
        <v>571</v>
      </c>
      <c r="O324" s="2">
        <v>12</v>
      </c>
      <c r="P324" s="2">
        <v>523</v>
      </c>
      <c r="Q324" s="2">
        <v>63</v>
      </c>
      <c r="R324" s="2">
        <v>60</v>
      </c>
      <c r="S324" s="2">
        <v>24</v>
      </c>
      <c r="T324" s="2">
        <v>1</v>
      </c>
      <c r="U324" s="2">
        <v>3</v>
      </c>
      <c r="V324" s="2">
        <v>10</v>
      </c>
      <c r="W324" s="2">
        <v>5</v>
      </c>
      <c r="X324" s="2">
        <v>2</v>
      </c>
    </row>
    <row r="325" spans="1:24" x14ac:dyDescent="0.35">
      <c r="A325">
        <v>1228</v>
      </c>
      <c r="B325">
        <v>80872</v>
      </c>
      <c r="C325">
        <v>69</v>
      </c>
      <c r="D325">
        <v>0</v>
      </c>
      <c r="E325" s="28">
        <v>6.0465753424657533</v>
      </c>
      <c r="F325" s="28"/>
      <c r="G325" s="28">
        <v>715</v>
      </c>
      <c r="H325" s="28">
        <v>80910</v>
      </c>
      <c r="I325" s="28">
        <v>0</v>
      </c>
      <c r="J325" s="28">
        <v>34</v>
      </c>
      <c r="L325" s="37">
        <v>1228</v>
      </c>
      <c r="M325" s="3">
        <v>60</v>
      </c>
      <c r="N325" s="3">
        <v>483</v>
      </c>
      <c r="O325" s="3">
        <v>72</v>
      </c>
      <c r="P325" s="3">
        <v>567</v>
      </c>
      <c r="Q325" s="3">
        <v>94</v>
      </c>
      <c r="R325" s="3">
        <v>12</v>
      </c>
      <c r="S325" s="3">
        <v>108</v>
      </c>
      <c r="T325" s="3">
        <v>1</v>
      </c>
      <c r="U325" s="3">
        <v>4</v>
      </c>
      <c r="V325" s="3">
        <v>4</v>
      </c>
      <c r="W325" s="3">
        <v>10</v>
      </c>
      <c r="X325" s="3">
        <v>1</v>
      </c>
    </row>
    <row r="326" spans="1:24" x14ac:dyDescent="0.35">
      <c r="A326">
        <v>1228</v>
      </c>
      <c r="B326">
        <v>64849</v>
      </c>
      <c r="C326">
        <v>63</v>
      </c>
      <c r="D326">
        <v>0</v>
      </c>
      <c r="E326" s="28">
        <v>7.5397260273972604</v>
      </c>
      <c r="F326" s="28"/>
      <c r="G326" s="28">
        <v>715</v>
      </c>
      <c r="H326" s="28">
        <v>61823</v>
      </c>
      <c r="I326" s="28">
        <v>1</v>
      </c>
      <c r="J326" s="28">
        <v>68</v>
      </c>
      <c r="L326" s="38">
        <v>1228</v>
      </c>
      <c r="M326" s="2">
        <v>42</v>
      </c>
      <c r="N326" s="2">
        <v>652</v>
      </c>
      <c r="O326" s="2">
        <v>48</v>
      </c>
      <c r="P326" s="2">
        <v>350</v>
      </c>
      <c r="Q326" s="2">
        <v>94</v>
      </c>
      <c r="R326" s="2">
        <v>84</v>
      </c>
      <c r="S326" s="2">
        <v>108</v>
      </c>
      <c r="T326" s="2">
        <v>1</v>
      </c>
      <c r="U326" s="2">
        <v>9</v>
      </c>
      <c r="V326" s="2">
        <v>3</v>
      </c>
      <c r="W326" s="2">
        <v>6</v>
      </c>
      <c r="X326" s="2">
        <v>5</v>
      </c>
    </row>
    <row r="327" spans="1:24" x14ac:dyDescent="0.35">
      <c r="A327">
        <v>1228</v>
      </c>
      <c r="B327">
        <v>78128</v>
      </c>
      <c r="C327">
        <v>46</v>
      </c>
      <c r="D327">
        <v>1</v>
      </c>
      <c r="E327" s="28">
        <v>6.2712328767123289</v>
      </c>
      <c r="F327" s="28"/>
      <c r="G327" s="28">
        <v>714</v>
      </c>
      <c r="H327" s="28">
        <v>59111</v>
      </c>
      <c r="I327" s="28">
        <v>0</v>
      </c>
      <c r="J327" s="28">
        <v>66</v>
      </c>
      <c r="L327" s="37">
        <v>1228</v>
      </c>
      <c r="M327" s="3">
        <v>89</v>
      </c>
      <c r="N327" s="3">
        <v>934</v>
      </c>
      <c r="O327" s="3">
        <v>24</v>
      </c>
      <c r="P327" s="3">
        <v>230</v>
      </c>
      <c r="Q327" s="3">
        <v>16</v>
      </c>
      <c r="R327" s="3">
        <v>24</v>
      </c>
      <c r="S327" s="3">
        <v>36</v>
      </c>
      <c r="T327" s="3">
        <v>2</v>
      </c>
      <c r="U327" s="3">
        <v>8</v>
      </c>
      <c r="V327" s="3">
        <v>4</v>
      </c>
      <c r="W327" s="3">
        <v>6</v>
      </c>
      <c r="X327" s="3">
        <v>3</v>
      </c>
    </row>
    <row r="328" spans="1:24" x14ac:dyDescent="0.35">
      <c r="A328">
        <v>1226</v>
      </c>
      <c r="B328">
        <v>66303</v>
      </c>
      <c r="C328">
        <v>49</v>
      </c>
      <c r="D328">
        <v>1</v>
      </c>
      <c r="E328" s="28">
        <v>7.2520547945205482</v>
      </c>
      <c r="F328" s="28"/>
      <c r="G328" s="28">
        <v>708</v>
      </c>
      <c r="H328" s="28">
        <v>86037</v>
      </c>
      <c r="I328" s="28">
        <v>0</v>
      </c>
      <c r="J328" s="28">
        <v>29</v>
      </c>
      <c r="L328" s="38">
        <v>1226</v>
      </c>
      <c r="M328" s="2">
        <v>56</v>
      </c>
      <c r="N328" s="2">
        <v>1090</v>
      </c>
      <c r="O328" s="2">
        <v>12</v>
      </c>
      <c r="P328" s="2">
        <v>96</v>
      </c>
      <c r="Q328" s="2">
        <v>16</v>
      </c>
      <c r="R328" s="2">
        <v>12</v>
      </c>
      <c r="S328" s="2">
        <v>60</v>
      </c>
      <c r="T328" s="2">
        <v>4</v>
      </c>
      <c r="U328" s="2">
        <v>3</v>
      </c>
      <c r="V328" s="2">
        <v>4</v>
      </c>
      <c r="W328" s="2">
        <v>11</v>
      </c>
      <c r="X328" s="2">
        <v>8</v>
      </c>
    </row>
    <row r="329" spans="1:24" x14ac:dyDescent="0.35">
      <c r="A329">
        <v>1221</v>
      </c>
      <c r="B329">
        <v>79593</v>
      </c>
      <c r="C329">
        <v>47</v>
      </c>
      <c r="D329">
        <v>0</v>
      </c>
      <c r="E329" s="28">
        <v>6.0465753424657533</v>
      </c>
      <c r="F329" s="28"/>
      <c r="G329" s="28">
        <v>706</v>
      </c>
      <c r="H329" s="28">
        <v>82017</v>
      </c>
      <c r="I329" s="28">
        <v>0</v>
      </c>
      <c r="J329" s="28">
        <v>63</v>
      </c>
      <c r="L329" s="37">
        <v>1221</v>
      </c>
      <c r="M329" s="3">
        <v>70</v>
      </c>
      <c r="N329" s="3">
        <v>350</v>
      </c>
      <c r="O329" s="3">
        <v>60</v>
      </c>
      <c r="P329" s="3">
        <v>568</v>
      </c>
      <c r="Q329" s="3">
        <v>110</v>
      </c>
      <c r="R329" s="3">
        <v>133</v>
      </c>
      <c r="S329" s="3">
        <v>145</v>
      </c>
      <c r="T329" s="3">
        <v>1</v>
      </c>
      <c r="U329" s="3">
        <v>5</v>
      </c>
      <c r="V329" s="3">
        <v>6</v>
      </c>
      <c r="W329" s="3">
        <v>7</v>
      </c>
      <c r="X329" s="3">
        <v>2</v>
      </c>
    </row>
    <row r="330" spans="1:24" x14ac:dyDescent="0.35">
      <c r="A330">
        <v>1220</v>
      </c>
      <c r="B330">
        <v>66426</v>
      </c>
      <c r="C330">
        <v>59</v>
      </c>
      <c r="D330">
        <v>1</v>
      </c>
      <c r="E330" s="28">
        <v>6.6547945205479451</v>
      </c>
      <c r="F330" s="28"/>
      <c r="G330" s="28">
        <v>704</v>
      </c>
      <c r="H330" s="28">
        <v>61671</v>
      </c>
      <c r="I330" s="28">
        <v>1</v>
      </c>
      <c r="J330" s="28">
        <v>52</v>
      </c>
      <c r="L330" s="38">
        <v>1220</v>
      </c>
      <c r="M330" s="2">
        <v>14</v>
      </c>
      <c r="N330" s="2">
        <v>1043</v>
      </c>
      <c r="O330" s="2">
        <v>24</v>
      </c>
      <c r="P330" s="2">
        <v>97</v>
      </c>
      <c r="Q330" s="2">
        <v>32</v>
      </c>
      <c r="R330" s="2">
        <v>24</v>
      </c>
      <c r="S330" s="2">
        <v>157</v>
      </c>
      <c r="T330" s="2">
        <v>2</v>
      </c>
      <c r="U330" s="2">
        <v>3</v>
      </c>
      <c r="V330" s="2">
        <v>5</v>
      </c>
      <c r="W330" s="2">
        <v>10</v>
      </c>
      <c r="X330" s="2">
        <v>6</v>
      </c>
    </row>
    <row r="331" spans="1:24" x14ac:dyDescent="0.35">
      <c r="A331">
        <v>1217</v>
      </c>
      <c r="B331">
        <v>56981</v>
      </c>
      <c r="C331">
        <v>39</v>
      </c>
      <c r="D331">
        <v>0</v>
      </c>
      <c r="E331" s="28">
        <v>6.3397260273972602</v>
      </c>
      <c r="F331" s="28"/>
      <c r="G331" s="28">
        <v>703</v>
      </c>
      <c r="H331" s="28">
        <v>65210</v>
      </c>
      <c r="I331" s="28">
        <v>1</v>
      </c>
      <c r="J331" s="28">
        <v>65</v>
      </c>
      <c r="L331" s="37">
        <v>1217</v>
      </c>
      <c r="M331" s="3">
        <v>91</v>
      </c>
      <c r="N331" s="3">
        <v>908</v>
      </c>
      <c r="O331" s="3">
        <v>48</v>
      </c>
      <c r="P331" s="3">
        <v>217</v>
      </c>
      <c r="Q331" s="3">
        <v>32</v>
      </c>
      <c r="R331" s="3">
        <v>12</v>
      </c>
      <c r="S331" s="3">
        <v>24</v>
      </c>
      <c r="T331" s="3">
        <v>1</v>
      </c>
      <c r="U331" s="3">
        <v>2</v>
      </c>
      <c r="V331" s="3">
        <v>3</v>
      </c>
      <c r="W331" s="3">
        <v>13</v>
      </c>
      <c r="X331" s="3">
        <v>6</v>
      </c>
    </row>
    <row r="332" spans="1:24" x14ac:dyDescent="0.35">
      <c r="A332">
        <v>1214</v>
      </c>
      <c r="B332">
        <v>62220</v>
      </c>
      <c r="C332">
        <v>48</v>
      </c>
      <c r="D332">
        <v>1</v>
      </c>
      <c r="E332" s="28">
        <v>7.7972602739726025</v>
      </c>
      <c r="F332" s="28"/>
      <c r="G332" s="28">
        <v>702</v>
      </c>
      <c r="H332" s="28">
        <v>81361</v>
      </c>
      <c r="I332" s="28">
        <v>0</v>
      </c>
      <c r="J332" s="28">
        <v>33</v>
      </c>
      <c r="L332" s="38">
        <v>1214</v>
      </c>
      <c r="M332" s="2">
        <v>55</v>
      </c>
      <c r="N332" s="2">
        <v>799</v>
      </c>
      <c r="O332" s="2">
        <v>12</v>
      </c>
      <c r="P332" s="2">
        <v>375</v>
      </c>
      <c r="Q332" s="2">
        <v>16</v>
      </c>
      <c r="R332" s="2">
        <v>12</v>
      </c>
      <c r="S332" s="2">
        <v>12</v>
      </c>
      <c r="T332" s="2">
        <v>5</v>
      </c>
      <c r="U332" s="2">
        <v>7</v>
      </c>
      <c r="V332" s="2">
        <v>6</v>
      </c>
      <c r="W332" s="2">
        <v>5</v>
      </c>
      <c r="X332" s="2">
        <v>6</v>
      </c>
    </row>
    <row r="333" spans="1:24" x14ac:dyDescent="0.35">
      <c r="A333">
        <v>1214</v>
      </c>
      <c r="B333">
        <v>51563</v>
      </c>
      <c r="C333">
        <v>33</v>
      </c>
      <c r="D333">
        <v>0</v>
      </c>
      <c r="E333" s="28">
        <v>7.6575342465753424</v>
      </c>
      <c r="F333" s="28"/>
      <c r="G333" s="28">
        <v>701</v>
      </c>
      <c r="H333" s="28">
        <v>55284</v>
      </c>
      <c r="I333" s="28">
        <v>1</v>
      </c>
      <c r="J333" s="28">
        <v>64</v>
      </c>
      <c r="L333" s="37">
        <v>1214</v>
      </c>
      <c r="M333" s="3">
        <v>60</v>
      </c>
      <c r="N333" s="3">
        <v>1166</v>
      </c>
      <c r="O333" s="3">
        <v>0</v>
      </c>
      <c r="P333" s="3">
        <v>48</v>
      </c>
      <c r="Q333" s="3">
        <v>0</v>
      </c>
      <c r="R333" s="3">
        <v>0</v>
      </c>
      <c r="S333" s="3">
        <v>36</v>
      </c>
      <c r="T333" s="3">
        <v>1</v>
      </c>
      <c r="U333" s="3">
        <v>4</v>
      </c>
      <c r="V333" s="3">
        <v>4</v>
      </c>
      <c r="W333" s="3">
        <v>10</v>
      </c>
      <c r="X333" s="3">
        <v>8</v>
      </c>
    </row>
    <row r="334" spans="1:24" x14ac:dyDescent="0.35">
      <c r="A334">
        <v>1212</v>
      </c>
      <c r="B334">
        <v>84574</v>
      </c>
      <c r="C334">
        <v>68</v>
      </c>
      <c r="D334">
        <v>0</v>
      </c>
      <c r="E334" s="28">
        <v>6.9835616438356167</v>
      </c>
      <c r="F334" s="28"/>
      <c r="G334" s="28">
        <v>700</v>
      </c>
      <c r="H334" s="28">
        <v>78901</v>
      </c>
      <c r="I334" s="28">
        <v>1</v>
      </c>
      <c r="J334" s="28">
        <v>47</v>
      </c>
      <c r="L334" s="38">
        <v>1212</v>
      </c>
      <c r="M334" s="2">
        <v>72</v>
      </c>
      <c r="N334" s="2">
        <v>387</v>
      </c>
      <c r="O334" s="2">
        <v>20</v>
      </c>
      <c r="P334" s="2">
        <v>713</v>
      </c>
      <c r="Q334" s="2">
        <v>38</v>
      </c>
      <c r="R334" s="2">
        <v>54</v>
      </c>
      <c r="S334" s="2">
        <v>163</v>
      </c>
      <c r="T334" s="2">
        <v>1</v>
      </c>
      <c r="U334" s="2">
        <v>9</v>
      </c>
      <c r="V334" s="2">
        <v>11</v>
      </c>
      <c r="W334" s="2">
        <v>11</v>
      </c>
      <c r="X334" s="2">
        <v>5</v>
      </c>
    </row>
    <row r="335" spans="1:24" x14ac:dyDescent="0.35">
      <c r="A335">
        <v>1211</v>
      </c>
      <c r="B335">
        <v>71022</v>
      </c>
      <c r="C335">
        <v>42</v>
      </c>
      <c r="D335">
        <v>1</v>
      </c>
      <c r="E335" s="28">
        <v>6.2931506849315069</v>
      </c>
      <c r="F335" s="28"/>
      <c r="G335" s="28">
        <v>700</v>
      </c>
      <c r="H335" s="28">
        <v>77622</v>
      </c>
      <c r="I335" s="28">
        <v>1</v>
      </c>
      <c r="J335" s="28">
        <v>50</v>
      </c>
      <c r="L335" s="37">
        <v>1211</v>
      </c>
      <c r="M335" s="3">
        <v>30</v>
      </c>
      <c r="N335" s="3">
        <v>909</v>
      </c>
      <c r="O335" s="3">
        <v>12</v>
      </c>
      <c r="P335" s="3">
        <v>278</v>
      </c>
      <c r="Q335" s="3">
        <v>0</v>
      </c>
      <c r="R335" s="3">
        <v>12</v>
      </c>
      <c r="S335" s="3">
        <v>242</v>
      </c>
      <c r="T335" s="3">
        <v>3</v>
      </c>
      <c r="U335" s="3">
        <v>5</v>
      </c>
      <c r="V335" s="3">
        <v>2</v>
      </c>
      <c r="W335" s="3">
        <v>11</v>
      </c>
      <c r="X335" s="3">
        <v>8</v>
      </c>
    </row>
    <row r="336" spans="1:24" x14ac:dyDescent="0.35">
      <c r="A336">
        <v>1208</v>
      </c>
      <c r="B336">
        <v>58656</v>
      </c>
      <c r="C336">
        <v>64</v>
      </c>
      <c r="D336">
        <v>1</v>
      </c>
      <c r="E336" s="28">
        <v>7.6876712328767125</v>
      </c>
      <c r="F336" s="28"/>
      <c r="G336" s="28">
        <v>677</v>
      </c>
      <c r="H336" s="28">
        <v>54880</v>
      </c>
      <c r="I336" s="28">
        <v>1</v>
      </c>
      <c r="J336" s="28">
        <v>42</v>
      </c>
      <c r="L336" s="38">
        <v>1208</v>
      </c>
      <c r="M336" s="2">
        <v>25</v>
      </c>
      <c r="N336" s="2">
        <v>962</v>
      </c>
      <c r="O336" s="2">
        <v>12</v>
      </c>
      <c r="P336" s="2">
        <v>194</v>
      </c>
      <c r="Q336" s="2">
        <v>16</v>
      </c>
      <c r="R336" s="2">
        <v>24</v>
      </c>
      <c r="S336" s="2">
        <v>12</v>
      </c>
      <c r="T336" s="2">
        <v>4</v>
      </c>
      <c r="U336" s="2">
        <v>7</v>
      </c>
      <c r="V336" s="2">
        <v>8</v>
      </c>
      <c r="W336" s="2">
        <v>13</v>
      </c>
      <c r="X336" s="2">
        <v>6</v>
      </c>
    </row>
    <row r="337" spans="1:24" x14ac:dyDescent="0.35">
      <c r="A337">
        <v>1208</v>
      </c>
      <c r="B337">
        <v>54959</v>
      </c>
      <c r="C337">
        <v>59</v>
      </c>
      <c r="D337">
        <v>1</v>
      </c>
      <c r="E337" s="28">
        <v>7.3561643835616435</v>
      </c>
      <c r="F337" s="28"/>
      <c r="G337" s="28">
        <v>674</v>
      </c>
      <c r="H337" s="28">
        <v>58113</v>
      </c>
      <c r="I337" s="28">
        <v>1</v>
      </c>
      <c r="J337" s="28">
        <v>61</v>
      </c>
      <c r="L337" s="37">
        <v>1208</v>
      </c>
      <c r="M337" s="3">
        <v>55</v>
      </c>
      <c r="N337" s="3">
        <v>1148</v>
      </c>
      <c r="O337" s="3">
        <v>0</v>
      </c>
      <c r="P337" s="3">
        <v>60</v>
      </c>
      <c r="Q337" s="3">
        <v>0</v>
      </c>
      <c r="R337" s="3">
        <v>0</v>
      </c>
      <c r="S337" s="3">
        <v>24</v>
      </c>
      <c r="T337" s="3">
        <v>3</v>
      </c>
      <c r="U337" s="3">
        <v>9</v>
      </c>
      <c r="V337" s="3">
        <v>5</v>
      </c>
      <c r="W337" s="3">
        <v>4</v>
      </c>
      <c r="X337" s="3">
        <v>7</v>
      </c>
    </row>
    <row r="338" spans="1:24" x14ac:dyDescent="0.35">
      <c r="A338">
        <v>1207</v>
      </c>
      <c r="B338">
        <v>83837</v>
      </c>
      <c r="C338">
        <v>72</v>
      </c>
      <c r="D338">
        <v>0</v>
      </c>
      <c r="E338" s="28">
        <v>7.4493150684931511</v>
      </c>
      <c r="F338" s="28"/>
      <c r="G338" s="28">
        <v>673</v>
      </c>
      <c r="H338" s="28">
        <v>55239</v>
      </c>
      <c r="I338" s="28">
        <v>1</v>
      </c>
      <c r="J338" s="28">
        <v>49</v>
      </c>
      <c r="L338" s="38">
        <v>1207</v>
      </c>
      <c r="M338" s="2">
        <v>79</v>
      </c>
      <c r="N338" s="2">
        <v>847</v>
      </c>
      <c r="O338" s="2">
        <v>66</v>
      </c>
      <c r="P338" s="2">
        <v>119</v>
      </c>
      <c r="Q338" s="2">
        <v>86</v>
      </c>
      <c r="R338" s="2">
        <v>89</v>
      </c>
      <c r="S338" s="2">
        <v>111</v>
      </c>
      <c r="T338" s="2">
        <v>1</v>
      </c>
      <c r="U338" s="2">
        <v>9</v>
      </c>
      <c r="V338" s="2">
        <v>10</v>
      </c>
      <c r="W338" s="2">
        <v>5</v>
      </c>
      <c r="X338" s="2">
        <v>4</v>
      </c>
    </row>
    <row r="339" spans="1:24" x14ac:dyDescent="0.35">
      <c r="A339">
        <v>1206</v>
      </c>
      <c r="B339">
        <v>64504</v>
      </c>
      <c r="C339">
        <v>67</v>
      </c>
      <c r="D339">
        <v>1</v>
      </c>
      <c r="E339" s="28">
        <v>7.2356164383561641</v>
      </c>
      <c r="F339" s="28"/>
      <c r="G339" s="28">
        <v>670</v>
      </c>
      <c r="H339" s="28">
        <v>51250</v>
      </c>
      <c r="I339" s="28">
        <v>1</v>
      </c>
      <c r="J339" s="28">
        <v>30</v>
      </c>
      <c r="L339" s="37">
        <v>1206</v>
      </c>
      <c r="M339" s="3">
        <v>81</v>
      </c>
      <c r="N339" s="3">
        <v>986</v>
      </c>
      <c r="O339" s="3">
        <v>36</v>
      </c>
      <c r="P339" s="3">
        <v>168</v>
      </c>
      <c r="Q339" s="3">
        <v>16</v>
      </c>
      <c r="R339" s="3">
        <v>0</v>
      </c>
      <c r="S339" s="3">
        <v>108</v>
      </c>
      <c r="T339" s="3">
        <v>7</v>
      </c>
      <c r="U339" s="3">
        <v>11</v>
      </c>
      <c r="V339" s="3">
        <v>3</v>
      </c>
      <c r="W339" s="3">
        <v>4</v>
      </c>
      <c r="X339" s="3">
        <v>7</v>
      </c>
    </row>
    <row r="340" spans="1:24" x14ac:dyDescent="0.35">
      <c r="A340">
        <v>1206</v>
      </c>
      <c r="B340">
        <v>61996</v>
      </c>
      <c r="C340">
        <v>43</v>
      </c>
      <c r="D340">
        <v>1</v>
      </c>
      <c r="E340" s="28">
        <v>7.3232876712328769</v>
      </c>
      <c r="F340" s="28"/>
      <c r="G340" s="28">
        <v>665</v>
      </c>
      <c r="H340" s="28">
        <v>44529</v>
      </c>
      <c r="I340" s="28">
        <v>1</v>
      </c>
      <c r="J340" s="28">
        <v>54</v>
      </c>
      <c r="L340" s="38">
        <v>1206</v>
      </c>
      <c r="M340" s="2">
        <v>27</v>
      </c>
      <c r="N340" s="2">
        <v>1050</v>
      </c>
      <c r="O340" s="2">
        <v>12</v>
      </c>
      <c r="P340" s="2">
        <v>144</v>
      </c>
      <c r="Q340" s="2">
        <v>0</v>
      </c>
      <c r="R340" s="2">
        <v>0</v>
      </c>
      <c r="S340" s="2">
        <v>24</v>
      </c>
      <c r="T340" s="2">
        <v>3</v>
      </c>
      <c r="U340" s="2">
        <v>6</v>
      </c>
      <c r="V340" s="2">
        <v>4</v>
      </c>
      <c r="W340" s="2">
        <v>8</v>
      </c>
      <c r="X340" s="2">
        <v>5</v>
      </c>
    </row>
    <row r="341" spans="1:24" x14ac:dyDescent="0.35">
      <c r="A341">
        <v>1205</v>
      </c>
      <c r="B341">
        <v>81300</v>
      </c>
      <c r="C341">
        <v>57</v>
      </c>
      <c r="D341">
        <v>1</v>
      </c>
      <c r="E341" s="28">
        <v>7.5780821917808217</v>
      </c>
      <c r="F341" s="28"/>
      <c r="G341" s="28">
        <v>663</v>
      </c>
      <c r="H341" s="28">
        <v>55357</v>
      </c>
      <c r="I341" s="28">
        <v>1</v>
      </c>
      <c r="J341" s="28">
        <v>35</v>
      </c>
      <c r="L341" s="37">
        <v>1205</v>
      </c>
      <c r="M341" s="3">
        <v>17</v>
      </c>
      <c r="N341" s="3">
        <v>1004</v>
      </c>
      <c r="O341" s="3">
        <v>12</v>
      </c>
      <c r="P341" s="3">
        <v>145</v>
      </c>
      <c r="Q341" s="3">
        <v>32</v>
      </c>
      <c r="R341" s="3">
        <v>12</v>
      </c>
      <c r="S341" s="3">
        <v>36</v>
      </c>
      <c r="T341" s="3">
        <v>3</v>
      </c>
      <c r="U341" s="3">
        <v>10</v>
      </c>
      <c r="V341" s="3">
        <v>3</v>
      </c>
      <c r="W341" s="3">
        <v>5</v>
      </c>
      <c r="X341" s="3">
        <v>5</v>
      </c>
    </row>
    <row r="342" spans="1:24" x14ac:dyDescent="0.35">
      <c r="A342">
        <v>1205</v>
      </c>
      <c r="B342">
        <v>74290</v>
      </c>
      <c r="C342">
        <v>49</v>
      </c>
      <c r="D342">
        <v>1</v>
      </c>
      <c r="E342" s="28">
        <v>6.7945205479452051</v>
      </c>
      <c r="F342" s="28"/>
      <c r="G342" s="28">
        <v>660</v>
      </c>
      <c r="H342" s="28">
        <v>57731</v>
      </c>
      <c r="I342" s="28">
        <v>1</v>
      </c>
      <c r="J342" s="28">
        <v>51</v>
      </c>
      <c r="L342" s="38">
        <v>1205</v>
      </c>
      <c r="M342" s="2">
        <v>70</v>
      </c>
      <c r="N342" s="2">
        <v>1121</v>
      </c>
      <c r="O342" s="2">
        <v>0</v>
      </c>
      <c r="P342" s="2">
        <v>72</v>
      </c>
      <c r="Q342" s="2">
        <v>0</v>
      </c>
      <c r="R342" s="2">
        <v>12</v>
      </c>
      <c r="S342" s="2">
        <v>12</v>
      </c>
      <c r="T342" s="2">
        <v>4</v>
      </c>
      <c r="U342" s="2">
        <v>10</v>
      </c>
      <c r="V342" s="2">
        <v>8</v>
      </c>
      <c r="W342" s="2">
        <v>10</v>
      </c>
      <c r="X342" s="2">
        <v>6</v>
      </c>
    </row>
    <row r="343" spans="1:24" x14ac:dyDescent="0.35">
      <c r="A343">
        <v>1203</v>
      </c>
      <c r="B343">
        <v>75922</v>
      </c>
      <c r="C343">
        <v>52</v>
      </c>
      <c r="D343">
        <v>0</v>
      </c>
      <c r="E343" s="28">
        <v>6.4684931506849317</v>
      </c>
      <c r="F343" s="28"/>
      <c r="G343" s="28">
        <v>659</v>
      </c>
      <c r="H343" s="28">
        <v>60200</v>
      </c>
      <c r="I343" s="28">
        <v>1</v>
      </c>
      <c r="J343" s="28">
        <v>72</v>
      </c>
      <c r="L343" s="37">
        <v>1203</v>
      </c>
      <c r="M343" s="3">
        <v>60</v>
      </c>
      <c r="N343" s="3">
        <v>265</v>
      </c>
      <c r="O343" s="3">
        <v>138</v>
      </c>
      <c r="P343" s="3">
        <v>553</v>
      </c>
      <c r="Q343" s="3">
        <v>224</v>
      </c>
      <c r="R343" s="3">
        <v>23</v>
      </c>
      <c r="S343" s="3">
        <v>92</v>
      </c>
      <c r="T343" s="3">
        <v>1</v>
      </c>
      <c r="U343" s="3">
        <v>4</v>
      </c>
      <c r="V343" s="3">
        <v>4</v>
      </c>
      <c r="W343" s="3">
        <v>9</v>
      </c>
      <c r="X343" s="3">
        <v>1</v>
      </c>
    </row>
    <row r="344" spans="1:24" x14ac:dyDescent="0.35">
      <c r="A344">
        <v>1203</v>
      </c>
      <c r="B344">
        <v>75032</v>
      </c>
      <c r="C344">
        <v>61</v>
      </c>
      <c r="D344">
        <v>1</v>
      </c>
      <c r="E344" s="28">
        <v>7.0849315068493155</v>
      </c>
      <c r="F344" s="28"/>
      <c r="G344" s="28">
        <v>656</v>
      </c>
      <c r="H344" s="28">
        <v>55614</v>
      </c>
      <c r="I344" s="28">
        <v>0</v>
      </c>
      <c r="J344" s="28">
        <v>76</v>
      </c>
      <c r="L344" s="38">
        <v>1203</v>
      </c>
      <c r="M344" s="2">
        <v>74</v>
      </c>
      <c r="N344" s="2">
        <v>952</v>
      </c>
      <c r="O344" s="2">
        <v>12</v>
      </c>
      <c r="P344" s="2">
        <v>180</v>
      </c>
      <c r="Q344" s="2">
        <v>47</v>
      </c>
      <c r="R344" s="2">
        <v>12</v>
      </c>
      <c r="S344" s="2">
        <v>12</v>
      </c>
      <c r="T344" s="2">
        <v>2</v>
      </c>
      <c r="U344" s="2">
        <v>5</v>
      </c>
      <c r="V344" s="2">
        <v>4</v>
      </c>
      <c r="W344" s="2">
        <v>9</v>
      </c>
      <c r="X344" s="2">
        <v>3</v>
      </c>
    </row>
    <row r="345" spans="1:24" x14ac:dyDescent="0.35">
      <c r="A345">
        <v>1194</v>
      </c>
      <c r="B345">
        <v>79689</v>
      </c>
      <c r="C345">
        <v>44</v>
      </c>
      <c r="D345">
        <v>0</v>
      </c>
      <c r="E345" s="28">
        <v>7.0465753424657533</v>
      </c>
      <c r="F345" s="28"/>
      <c r="G345" s="28">
        <v>653</v>
      </c>
      <c r="H345" s="28">
        <v>89891</v>
      </c>
      <c r="I345" s="28">
        <v>0</v>
      </c>
      <c r="J345" s="28">
        <v>29</v>
      </c>
      <c r="L345" s="37">
        <v>1194</v>
      </c>
      <c r="M345" s="3">
        <v>65</v>
      </c>
      <c r="N345" s="3">
        <v>311</v>
      </c>
      <c r="O345" s="3">
        <v>26</v>
      </c>
      <c r="P345" s="3">
        <v>640</v>
      </c>
      <c r="Q345" s="3">
        <v>180</v>
      </c>
      <c r="R345" s="3">
        <v>37</v>
      </c>
      <c r="S345" s="3">
        <v>121</v>
      </c>
      <c r="T345" s="3">
        <v>1</v>
      </c>
      <c r="U345" s="3">
        <v>4</v>
      </c>
      <c r="V345" s="3">
        <v>9</v>
      </c>
      <c r="W345" s="3">
        <v>13</v>
      </c>
      <c r="X345" s="3">
        <v>2</v>
      </c>
    </row>
    <row r="346" spans="1:24" x14ac:dyDescent="0.35">
      <c r="A346">
        <v>1194</v>
      </c>
      <c r="B346">
        <v>72228</v>
      </c>
      <c r="C346">
        <v>68</v>
      </c>
      <c r="D346">
        <v>0</v>
      </c>
      <c r="E346" s="28">
        <v>7.5013698630136982</v>
      </c>
      <c r="F346" s="28"/>
      <c r="G346" s="28">
        <v>642</v>
      </c>
      <c r="H346" s="28">
        <v>60631</v>
      </c>
      <c r="I346" s="28">
        <v>1</v>
      </c>
      <c r="J346" s="28">
        <v>45</v>
      </c>
      <c r="L346" s="38">
        <v>1194</v>
      </c>
      <c r="M346" s="2">
        <v>87</v>
      </c>
      <c r="N346" s="2">
        <v>631</v>
      </c>
      <c r="O346" s="2">
        <v>28</v>
      </c>
      <c r="P346" s="2">
        <v>491</v>
      </c>
      <c r="Q346" s="2">
        <v>30</v>
      </c>
      <c r="R346" s="2">
        <v>14</v>
      </c>
      <c r="S346" s="2">
        <v>56</v>
      </c>
      <c r="T346" s="2">
        <v>1</v>
      </c>
      <c r="U346" s="2">
        <v>6</v>
      </c>
      <c r="V346" s="2">
        <v>7</v>
      </c>
      <c r="W346" s="2">
        <v>8</v>
      </c>
      <c r="X346" s="2">
        <v>3</v>
      </c>
    </row>
    <row r="347" spans="1:24" x14ac:dyDescent="0.35">
      <c r="A347">
        <v>1188</v>
      </c>
      <c r="B347">
        <v>72071</v>
      </c>
      <c r="C347">
        <v>66</v>
      </c>
      <c r="D347">
        <v>1</v>
      </c>
      <c r="E347" s="28">
        <v>7.2849315068493148</v>
      </c>
      <c r="F347" s="28"/>
      <c r="G347" s="28">
        <v>641</v>
      </c>
      <c r="H347" s="28">
        <v>56046</v>
      </c>
      <c r="I347" s="28">
        <v>0</v>
      </c>
      <c r="J347" s="28">
        <v>55</v>
      </c>
      <c r="L347" s="37">
        <v>1188</v>
      </c>
      <c r="M347" s="3">
        <v>4</v>
      </c>
      <c r="N347" s="3">
        <v>531</v>
      </c>
      <c r="O347" s="3">
        <v>69</v>
      </c>
      <c r="P347" s="3">
        <v>300</v>
      </c>
      <c r="Q347" s="3">
        <v>150</v>
      </c>
      <c r="R347" s="3">
        <v>138</v>
      </c>
      <c r="S347" s="3">
        <v>150</v>
      </c>
      <c r="T347" s="3">
        <v>3</v>
      </c>
      <c r="U347" s="3">
        <v>5</v>
      </c>
      <c r="V347" s="3">
        <v>4</v>
      </c>
      <c r="W347" s="3">
        <v>8</v>
      </c>
      <c r="X347" s="3">
        <v>2</v>
      </c>
    </row>
    <row r="348" spans="1:24" x14ac:dyDescent="0.35">
      <c r="A348">
        <v>1185</v>
      </c>
      <c r="B348">
        <v>70321</v>
      </c>
      <c r="C348">
        <v>73</v>
      </c>
      <c r="D348">
        <v>0</v>
      </c>
      <c r="E348" s="28">
        <v>7.3643835616438356</v>
      </c>
      <c r="F348" s="28"/>
      <c r="G348" s="28">
        <v>619</v>
      </c>
      <c r="H348" s="28">
        <v>56320</v>
      </c>
      <c r="I348" s="28">
        <v>1</v>
      </c>
      <c r="J348" s="28">
        <v>53</v>
      </c>
      <c r="L348" s="38">
        <v>1185</v>
      </c>
      <c r="M348" s="2">
        <v>6</v>
      </c>
      <c r="N348" s="2">
        <v>303</v>
      </c>
      <c r="O348" s="2">
        <v>23</v>
      </c>
      <c r="P348" s="2">
        <v>751</v>
      </c>
      <c r="Q348" s="2">
        <v>82</v>
      </c>
      <c r="R348" s="2">
        <v>26</v>
      </c>
      <c r="S348" s="2">
        <v>191</v>
      </c>
      <c r="T348" s="2">
        <v>1</v>
      </c>
      <c r="U348" s="2">
        <v>6</v>
      </c>
      <c r="V348" s="2">
        <v>5</v>
      </c>
      <c r="W348" s="2">
        <v>13</v>
      </c>
      <c r="X348" s="2">
        <v>4</v>
      </c>
    </row>
    <row r="349" spans="1:24" x14ac:dyDescent="0.35">
      <c r="A349">
        <v>1184</v>
      </c>
      <c r="B349">
        <v>80763</v>
      </c>
      <c r="C349">
        <v>70</v>
      </c>
      <c r="D349">
        <v>0</v>
      </c>
      <c r="E349" s="28">
        <v>6.7863013698630139</v>
      </c>
      <c r="F349" s="28"/>
      <c r="G349" s="28">
        <v>618</v>
      </c>
      <c r="H349" s="28">
        <v>42000</v>
      </c>
      <c r="I349" s="28">
        <v>0</v>
      </c>
      <c r="J349" s="28">
        <v>33</v>
      </c>
      <c r="L349" s="37">
        <v>1184</v>
      </c>
      <c r="M349" s="3">
        <v>17</v>
      </c>
      <c r="N349" s="3">
        <v>674</v>
      </c>
      <c r="O349" s="3">
        <v>168</v>
      </c>
      <c r="P349" s="3">
        <v>108</v>
      </c>
      <c r="Q349" s="3">
        <v>192</v>
      </c>
      <c r="R349" s="3">
        <v>42</v>
      </c>
      <c r="S349" s="3">
        <v>231</v>
      </c>
      <c r="T349" s="3">
        <v>1</v>
      </c>
      <c r="U349" s="3">
        <v>5</v>
      </c>
      <c r="V349" s="3">
        <v>11</v>
      </c>
      <c r="W349" s="3">
        <v>6</v>
      </c>
      <c r="X349" s="3">
        <v>3</v>
      </c>
    </row>
    <row r="350" spans="1:24" x14ac:dyDescent="0.35">
      <c r="A350">
        <v>1182</v>
      </c>
      <c r="B350">
        <v>81044</v>
      </c>
      <c r="C350">
        <v>73</v>
      </c>
      <c r="D350">
        <v>0</v>
      </c>
      <c r="E350" s="28">
        <v>6.419178082191781</v>
      </c>
      <c r="F350" s="28"/>
      <c r="G350" s="28">
        <v>616</v>
      </c>
      <c r="H350" s="28">
        <v>33051</v>
      </c>
      <c r="I350" s="28">
        <v>0</v>
      </c>
      <c r="J350" s="28">
        <v>61</v>
      </c>
      <c r="L350" s="38">
        <v>1182</v>
      </c>
      <c r="M350" s="2">
        <v>0</v>
      </c>
      <c r="N350" s="2">
        <v>450</v>
      </c>
      <c r="O350" s="2">
        <v>26</v>
      </c>
      <c r="P350" s="2">
        <v>535</v>
      </c>
      <c r="Q350" s="2">
        <v>73</v>
      </c>
      <c r="R350" s="2">
        <v>98</v>
      </c>
      <c r="S350" s="2">
        <v>26</v>
      </c>
      <c r="T350" s="2">
        <v>1</v>
      </c>
      <c r="U350" s="2">
        <v>5</v>
      </c>
      <c r="V350" s="2">
        <v>6</v>
      </c>
      <c r="W350" s="2">
        <v>10</v>
      </c>
      <c r="X350" s="2">
        <v>1</v>
      </c>
    </row>
    <row r="351" spans="1:24" x14ac:dyDescent="0.35">
      <c r="A351">
        <v>1182</v>
      </c>
      <c r="B351">
        <v>85072</v>
      </c>
      <c r="C351">
        <v>43</v>
      </c>
      <c r="D351">
        <v>0</v>
      </c>
      <c r="E351" s="28">
        <v>6.1369863013698627</v>
      </c>
      <c r="F351" s="28"/>
      <c r="G351" s="28">
        <v>615</v>
      </c>
      <c r="H351" s="28">
        <v>60689</v>
      </c>
      <c r="I351" s="28">
        <v>1</v>
      </c>
      <c r="J351" s="28">
        <v>69</v>
      </c>
      <c r="L351" s="37">
        <v>1182</v>
      </c>
      <c r="M351" s="3">
        <v>94</v>
      </c>
      <c r="N351" s="3">
        <v>494</v>
      </c>
      <c r="O351" s="3">
        <v>92</v>
      </c>
      <c r="P351" s="3">
        <v>391</v>
      </c>
      <c r="Q351" s="3">
        <v>194</v>
      </c>
      <c r="R351" s="3">
        <v>11</v>
      </c>
      <c r="S351" s="3">
        <v>241</v>
      </c>
      <c r="T351" s="3">
        <v>1</v>
      </c>
      <c r="U351" s="3">
        <v>3</v>
      </c>
      <c r="V351" s="3">
        <v>4</v>
      </c>
      <c r="W351" s="3">
        <v>10</v>
      </c>
      <c r="X351" s="3">
        <v>0</v>
      </c>
    </row>
    <row r="352" spans="1:24" x14ac:dyDescent="0.35">
      <c r="A352">
        <v>1182</v>
      </c>
      <c r="B352">
        <v>102160</v>
      </c>
      <c r="C352">
        <v>43</v>
      </c>
      <c r="D352">
        <v>0</v>
      </c>
      <c r="E352" s="28">
        <v>7.5698630136986305</v>
      </c>
      <c r="F352" s="28"/>
      <c r="G352" s="28">
        <v>611</v>
      </c>
      <c r="H352" s="28">
        <v>53700</v>
      </c>
      <c r="I352" s="28">
        <v>1</v>
      </c>
      <c r="J352" s="28">
        <v>68</v>
      </c>
      <c r="L352" s="38">
        <v>1182</v>
      </c>
      <c r="M352" s="2">
        <v>54</v>
      </c>
      <c r="N352" s="2">
        <v>763</v>
      </c>
      <c r="O352" s="2">
        <v>29</v>
      </c>
      <c r="P352" s="2">
        <v>138</v>
      </c>
      <c r="Q352" s="2">
        <v>76</v>
      </c>
      <c r="R352" s="2">
        <v>176</v>
      </c>
      <c r="S352" s="2">
        <v>58</v>
      </c>
      <c r="T352" s="2">
        <v>0</v>
      </c>
      <c r="U352" s="2">
        <v>7</v>
      </c>
      <c r="V352" s="2">
        <v>9</v>
      </c>
      <c r="W352" s="2">
        <v>10</v>
      </c>
      <c r="X352" s="2">
        <v>4</v>
      </c>
    </row>
    <row r="353" spans="1:24" x14ac:dyDescent="0.35">
      <c r="A353">
        <v>1180</v>
      </c>
      <c r="B353">
        <v>66973</v>
      </c>
      <c r="C353">
        <v>31</v>
      </c>
      <c r="D353">
        <v>0</v>
      </c>
      <c r="E353" s="28">
        <v>7.0328767123287674</v>
      </c>
      <c r="F353" s="28"/>
      <c r="G353" s="28">
        <v>611</v>
      </c>
      <c r="H353" s="28">
        <v>77353</v>
      </c>
      <c r="I353" s="28">
        <v>1</v>
      </c>
      <c r="J353" s="28">
        <v>40</v>
      </c>
      <c r="L353" s="37">
        <v>1180</v>
      </c>
      <c r="M353" s="3">
        <v>98</v>
      </c>
      <c r="N353" s="3">
        <v>466</v>
      </c>
      <c r="O353" s="3">
        <v>22</v>
      </c>
      <c r="P353" s="3">
        <v>432</v>
      </c>
      <c r="Q353" s="3">
        <v>147</v>
      </c>
      <c r="R353" s="3">
        <v>113</v>
      </c>
      <c r="S353" s="3">
        <v>102</v>
      </c>
      <c r="T353" s="3">
        <v>1</v>
      </c>
      <c r="U353" s="3">
        <v>8</v>
      </c>
      <c r="V353" s="3">
        <v>7</v>
      </c>
      <c r="W353" s="3">
        <v>12</v>
      </c>
      <c r="X353" s="3">
        <v>3</v>
      </c>
    </row>
    <row r="354" spans="1:24" x14ac:dyDescent="0.35">
      <c r="A354">
        <v>1178</v>
      </c>
      <c r="B354">
        <v>72282</v>
      </c>
      <c r="C354">
        <v>69</v>
      </c>
      <c r="D354">
        <v>0</v>
      </c>
      <c r="E354" s="28">
        <v>6.86027397260274</v>
      </c>
      <c r="F354" s="28"/>
      <c r="G354" s="28">
        <v>608</v>
      </c>
      <c r="H354" s="28">
        <v>54058</v>
      </c>
      <c r="I354" s="28">
        <v>1</v>
      </c>
      <c r="J354" s="28">
        <v>44</v>
      </c>
      <c r="L354" s="38">
        <v>1178</v>
      </c>
      <c r="M354" s="2">
        <v>70</v>
      </c>
      <c r="N354" s="2">
        <v>503</v>
      </c>
      <c r="O354" s="2">
        <v>27</v>
      </c>
      <c r="P354" s="2">
        <v>419</v>
      </c>
      <c r="Q354" s="2">
        <v>90</v>
      </c>
      <c r="R354" s="2">
        <v>139</v>
      </c>
      <c r="S354" s="2">
        <v>153</v>
      </c>
      <c r="T354" s="2">
        <v>1</v>
      </c>
      <c r="U354" s="2">
        <v>5</v>
      </c>
      <c r="V354" s="2">
        <v>7</v>
      </c>
      <c r="W354" s="2">
        <v>9</v>
      </c>
      <c r="X354" s="2">
        <v>7</v>
      </c>
    </row>
    <row r="355" spans="1:24" x14ac:dyDescent="0.35">
      <c r="A355">
        <v>1178</v>
      </c>
      <c r="B355">
        <v>68316</v>
      </c>
      <c r="C355">
        <v>56</v>
      </c>
      <c r="D355">
        <v>1</v>
      </c>
      <c r="E355" s="28">
        <v>7.5643835616438357</v>
      </c>
      <c r="F355" s="28"/>
      <c r="G355" s="28">
        <v>607</v>
      </c>
      <c r="H355" s="28">
        <v>43185</v>
      </c>
      <c r="I355" s="28">
        <v>1</v>
      </c>
      <c r="J355" s="28">
        <v>69</v>
      </c>
      <c r="L355" s="37">
        <v>1178</v>
      </c>
      <c r="M355" s="3">
        <v>54</v>
      </c>
      <c r="N355" s="3">
        <v>806</v>
      </c>
      <c r="O355" s="3">
        <v>80</v>
      </c>
      <c r="P355" s="3">
        <v>161</v>
      </c>
      <c r="Q355" s="3">
        <v>120</v>
      </c>
      <c r="R355" s="3">
        <v>11</v>
      </c>
      <c r="S355" s="3">
        <v>33</v>
      </c>
      <c r="T355" s="3">
        <v>5</v>
      </c>
      <c r="U355" s="3">
        <v>10</v>
      </c>
      <c r="V355" s="3">
        <v>7</v>
      </c>
      <c r="W355" s="3">
        <v>10</v>
      </c>
      <c r="X355" s="3">
        <v>6</v>
      </c>
    </row>
    <row r="356" spans="1:24" x14ac:dyDescent="0.35">
      <c r="A356">
        <v>1177</v>
      </c>
      <c r="B356">
        <v>82032</v>
      </c>
      <c r="C356">
        <v>72</v>
      </c>
      <c r="D356">
        <v>0</v>
      </c>
      <c r="E356" s="28">
        <v>6.1479452054794521</v>
      </c>
      <c r="F356" s="28"/>
      <c r="G356" s="28">
        <v>605</v>
      </c>
      <c r="H356" s="28">
        <v>56067</v>
      </c>
      <c r="I356" s="28">
        <v>1</v>
      </c>
      <c r="J356" s="28">
        <v>58</v>
      </c>
      <c r="L356" s="38">
        <v>1177</v>
      </c>
      <c r="M356" s="2">
        <v>54</v>
      </c>
      <c r="N356" s="2">
        <v>332</v>
      </c>
      <c r="O356" s="2">
        <v>194</v>
      </c>
      <c r="P356" s="2">
        <v>377</v>
      </c>
      <c r="Q356" s="2">
        <v>149</v>
      </c>
      <c r="R356" s="2">
        <v>125</v>
      </c>
      <c r="S356" s="2">
        <v>57</v>
      </c>
      <c r="T356" s="2">
        <v>0</v>
      </c>
      <c r="U356" s="2">
        <v>4</v>
      </c>
      <c r="V356" s="2">
        <v>6</v>
      </c>
      <c r="W356" s="2">
        <v>7</v>
      </c>
      <c r="X356" s="2">
        <v>1</v>
      </c>
    </row>
    <row r="357" spans="1:24" x14ac:dyDescent="0.35">
      <c r="A357">
        <v>1177</v>
      </c>
      <c r="B357">
        <v>65308</v>
      </c>
      <c r="C357">
        <v>47</v>
      </c>
      <c r="D357">
        <v>0</v>
      </c>
      <c r="E357" s="28">
        <v>6.7123287671232879</v>
      </c>
      <c r="F357" s="28"/>
      <c r="G357" s="28">
        <v>600</v>
      </c>
      <c r="H357" s="28">
        <v>61794</v>
      </c>
      <c r="I357" s="28">
        <v>1</v>
      </c>
      <c r="J357" s="28">
        <v>59</v>
      </c>
      <c r="L357" s="37">
        <v>1177</v>
      </c>
      <c r="M357" s="3">
        <v>60</v>
      </c>
      <c r="N357" s="3">
        <v>713</v>
      </c>
      <c r="O357" s="3">
        <v>0</v>
      </c>
      <c r="P357" s="3">
        <v>264</v>
      </c>
      <c r="Q357" s="3">
        <v>120</v>
      </c>
      <c r="R357" s="3">
        <v>80</v>
      </c>
      <c r="S357" s="3">
        <v>34</v>
      </c>
      <c r="T357" s="3">
        <v>1</v>
      </c>
      <c r="U357" s="3">
        <v>7</v>
      </c>
      <c r="V357" s="3">
        <v>8</v>
      </c>
      <c r="W357" s="3">
        <v>12</v>
      </c>
      <c r="X357" s="3">
        <v>4</v>
      </c>
    </row>
    <row r="358" spans="1:24" x14ac:dyDescent="0.35">
      <c r="A358">
        <v>1174</v>
      </c>
      <c r="B358">
        <v>68657</v>
      </c>
      <c r="C358">
        <v>74</v>
      </c>
      <c r="D358">
        <v>0</v>
      </c>
      <c r="E358" s="28">
        <v>7.2684931506849315</v>
      </c>
      <c r="F358" s="28"/>
      <c r="G358" s="28">
        <v>600</v>
      </c>
      <c r="H358" s="28">
        <v>63777</v>
      </c>
      <c r="I358" s="28">
        <v>1</v>
      </c>
      <c r="J358" s="28">
        <v>41</v>
      </c>
      <c r="L358" s="38">
        <v>1174</v>
      </c>
      <c r="M358" s="2">
        <v>4</v>
      </c>
      <c r="N358" s="2">
        <v>482</v>
      </c>
      <c r="O358" s="2">
        <v>34</v>
      </c>
      <c r="P358" s="2">
        <v>471</v>
      </c>
      <c r="Q358" s="2">
        <v>119</v>
      </c>
      <c r="R358" s="2">
        <v>68</v>
      </c>
      <c r="S358" s="2">
        <v>22</v>
      </c>
      <c r="T358" s="2">
        <v>1</v>
      </c>
      <c r="U358" s="2">
        <v>3</v>
      </c>
      <c r="V358" s="2">
        <v>5</v>
      </c>
      <c r="W358" s="2">
        <v>9</v>
      </c>
      <c r="X358" s="2">
        <v>7</v>
      </c>
    </row>
    <row r="359" spans="1:24" x14ac:dyDescent="0.35">
      <c r="A359">
        <v>1174</v>
      </c>
      <c r="B359">
        <v>80317</v>
      </c>
      <c r="C359">
        <v>65</v>
      </c>
      <c r="D359">
        <v>0</v>
      </c>
      <c r="E359" s="28">
        <v>6.7726027397260271</v>
      </c>
      <c r="F359" s="28"/>
      <c r="G359" s="28">
        <v>599</v>
      </c>
      <c r="H359" s="28">
        <v>49476</v>
      </c>
      <c r="I359" s="28">
        <v>1</v>
      </c>
      <c r="J359" s="28">
        <v>57</v>
      </c>
      <c r="L359" s="37">
        <v>1174</v>
      </c>
      <c r="M359" s="3">
        <v>64</v>
      </c>
      <c r="N359" s="3">
        <v>536</v>
      </c>
      <c r="O359" s="3">
        <v>11</v>
      </c>
      <c r="P359" s="3">
        <v>387</v>
      </c>
      <c r="Q359" s="3">
        <v>149</v>
      </c>
      <c r="R359" s="3">
        <v>91</v>
      </c>
      <c r="S359" s="3">
        <v>57</v>
      </c>
      <c r="T359" s="3">
        <v>1</v>
      </c>
      <c r="U359" s="3">
        <v>3</v>
      </c>
      <c r="V359" s="3">
        <v>4</v>
      </c>
      <c r="W359" s="3">
        <v>10</v>
      </c>
      <c r="X359" s="3">
        <v>1</v>
      </c>
    </row>
    <row r="360" spans="1:24" x14ac:dyDescent="0.35">
      <c r="A360">
        <v>1171</v>
      </c>
      <c r="B360">
        <v>81168</v>
      </c>
      <c r="C360">
        <v>55</v>
      </c>
      <c r="D360">
        <v>0</v>
      </c>
      <c r="E360" s="28">
        <v>6.0602739726027401</v>
      </c>
      <c r="F360" s="28"/>
      <c r="G360" s="28">
        <v>597</v>
      </c>
      <c r="H360" s="28">
        <v>55517</v>
      </c>
      <c r="I360" s="28">
        <v>1</v>
      </c>
      <c r="J360" s="28">
        <v>70</v>
      </c>
      <c r="L360" s="38">
        <v>1171</v>
      </c>
      <c r="M360" s="2">
        <v>84</v>
      </c>
      <c r="N360" s="2">
        <v>410</v>
      </c>
      <c r="O360" s="2">
        <v>0</v>
      </c>
      <c r="P360" s="2">
        <v>592</v>
      </c>
      <c r="Q360" s="2">
        <v>147</v>
      </c>
      <c r="R360" s="2">
        <v>22</v>
      </c>
      <c r="S360" s="2">
        <v>22</v>
      </c>
      <c r="T360" s="2">
        <v>1</v>
      </c>
      <c r="U360" s="2">
        <v>6</v>
      </c>
      <c r="V360" s="2">
        <v>4</v>
      </c>
      <c r="W360" s="2">
        <v>7</v>
      </c>
      <c r="X360" s="2">
        <v>3</v>
      </c>
    </row>
    <row r="361" spans="1:24" x14ac:dyDescent="0.35">
      <c r="A361">
        <v>1169</v>
      </c>
      <c r="B361">
        <v>80982</v>
      </c>
      <c r="C361">
        <v>61</v>
      </c>
      <c r="D361">
        <v>1</v>
      </c>
      <c r="E361" s="28">
        <v>7.3863013698630136</v>
      </c>
      <c r="F361" s="28"/>
      <c r="G361" s="28">
        <v>597</v>
      </c>
      <c r="H361" s="28">
        <v>60208</v>
      </c>
      <c r="I361" s="28">
        <v>1</v>
      </c>
      <c r="J361" s="28">
        <v>47</v>
      </c>
      <c r="L361" s="37">
        <v>1169</v>
      </c>
      <c r="M361" s="3">
        <v>48</v>
      </c>
      <c r="N361" s="3">
        <v>505</v>
      </c>
      <c r="O361" s="3">
        <v>137</v>
      </c>
      <c r="P361" s="3">
        <v>401</v>
      </c>
      <c r="Q361" s="3">
        <v>104</v>
      </c>
      <c r="R361" s="3">
        <v>22</v>
      </c>
      <c r="S361" s="3">
        <v>22</v>
      </c>
      <c r="T361" s="3">
        <v>3</v>
      </c>
      <c r="U361" s="3">
        <v>11</v>
      </c>
      <c r="V361" s="3">
        <v>5</v>
      </c>
      <c r="W361" s="3">
        <v>11</v>
      </c>
      <c r="X361" s="3">
        <v>5</v>
      </c>
    </row>
    <row r="362" spans="1:24" x14ac:dyDescent="0.35">
      <c r="A362">
        <v>1166</v>
      </c>
      <c r="B362">
        <v>72099</v>
      </c>
      <c r="C362">
        <v>46</v>
      </c>
      <c r="D362">
        <v>0</v>
      </c>
      <c r="E362" s="28">
        <v>7.5863013698630137</v>
      </c>
      <c r="F362" s="28"/>
      <c r="G362" s="28">
        <v>595</v>
      </c>
      <c r="H362" s="28">
        <v>73448</v>
      </c>
      <c r="I362" s="28">
        <v>0</v>
      </c>
      <c r="J362" s="28">
        <v>51</v>
      </c>
      <c r="L362" s="38">
        <v>1166</v>
      </c>
      <c r="M362" s="2">
        <v>18</v>
      </c>
      <c r="N362" s="2">
        <v>546</v>
      </c>
      <c r="O362" s="2">
        <v>91</v>
      </c>
      <c r="P362" s="2">
        <v>410</v>
      </c>
      <c r="Q362" s="2">
        <v>119</v>
      </c>
      <c r="R362" s="2">
        <v>0</v>
      </c>
      <c r="S362" s="2">
        <v>22</v>
      </c>
      <c r="T362" s="2">
        <v>1</v>
      </c>
      <c r="U362" s="2">
        <v>3</v>
      </c>
      <c r="V362" s="2">
        <v>4</v>
      </c>
      <c r="W362" s="2">
        <v>10</v>
      </c>
      <c r="X362" s="2">
        <v>1</v>
      </c>
    </row>
    <row r="363" spans="1:24" x14ac:dyDescent="0.35">
      <c r="A363">
        <v>1165</v>
      </c>
      <c r="B363">
        <v>67432</v>
      </c>
      <c r="C363">
        <v>47</v>
      </c>
      <c r="D363">
        <v>1</v>
      </c>
      <c r="E363" s="28">
        <v>7.1671232876712327</v>
      </c>
      <c r="F363" s="28"/>
      <c r="G363" s="28">
        <v>594</v>
      </c>
      <c r="H363" s="28">
        <v>79761</v>
      </c>
      <c r="I363" s="28">
        <v>1</v>
      </c>
      <c r="J363" s="28">
        <v>62</v>
      </c>
      <c r="L363" s="37">
        <v>1165</v>
      </c>
      <c r="M363" s="3">
        <v>69</v>
      </c>
      <c r="N363" s="3">
        <v>432</v>
      </c>
      <c r="O363" s="3">
        <v>79</v>
      </c>
      <c r="P363" s="3">
        <v>341</v>
      </c>
      <c r="Q363" s="3">
        <v>177</v>
      </c>
      <c r="R363" s="3">
        <v>136</v>
      </c>
      <c r="S363" s="3">
        <v>170</v>
      </c>
      <c r="T363" s="3">
        <v>2</v>
      </c>
      <c r="U363" s="3">
        <v>8</v>
      </c>
      <c r="V363" s="3">
        <v>5</v>
      </c>
      <c r="W363" s="3">
        <v>4</v>
      </c>
      <c r="X363" s="3">
        <v>4</v>
      </c>
    </row>
    <row r="364" spans="1:24" x14ac:dyDescent="0.35">
      <c r="A364">
        <v>1164</v>
      </c>
      <c r="B364">
        <v>77027</v>
      </c>
      <c r="C364">
        <v>68</v>
      </c>
      <c r="D364">
        <v>1</v>
      </c>
      <c r="E364" s="28">
        <v>6.3095890410958901</v>
      </c>
      <c r="F364" s="28"/>
      <c r="G364" s="28">
        <v>592</v>
      </c>
      <c r="H364" s="28">
        <v>56253</v>
      </c>
      <c r="I364" s="28">
        <v>1</v>
      </c>
      <c r="J364" s="28">
        <v>57</v>
      </c>
      <c r="L364" s="38">
        <v>1164</v>
      </c>
      <c r="M364" s="2">
        <v>23</v>
      </c>
      <c r="N364" s="2">
        <v>820</v>
      </c>
      <c r="O364" s="2">
        <v>57</v>
      </c>
      <c r="P364" s="2">
        <v>242</v>
      </c>
      <c r="Q364" s="2">
        <v>45</v>
      </c>
      <c r="R364" s="2">
        <v>0</v>
      </c>
      <c r="S364" s="2">
        <v>11</v>
      </c>
      <c r="T364" s="2">
        <v>2</v>
      </c>
      <c r="U364" s="2">
        <v>8</v>
      </c>
      <c r="V364" s="2">
        <v>3</v>
      </c>
      <c r="W364" s="2">
        <v>6</v>
      </c>
      <c r="X364" s="2">
        <v>4</v>
      </c>
    </row>
    <row r="365" spans="1:24" x14ac:dyDescent="0.35">
      <c r="A365">
        <v>1163</v>
      </c>
      <c r="B365">
        <v>67445</v>
      </c>
      <c r="C365">
        <v>46</v>
      </c>
      <c r="D365">
        <v>1</v>
      </c>
      <c r="E365" s="28">
        <v>7.7945205479452051</v>
      </c>
      <c r="F365" s="28"/>
      <c r="G365" s="28">
        <v>591</v>
      </c>
      <c r="H365" s="28">
        <v>71427</v>
      </c>
      <c r="I365" s="28">
        <v>1</v>
      </c>
      <c r="J365" s="28">
        <v>42</v>
      </c>
      <c r="L365" s="37">
        <v>1163</v>
      </c>
      <c r="M365" s="3">
        <v>63</v>
      </c>
      <c r="N365" s="3">
        <v>757</v>
      </c>
      <c r="O365" s="3">
        <v>80</v>
      </c>
      <c r="P365" s="3">
        <v>217</v>
      </c>
      <c r="Q365" s="3">
        <v>29</v>
      </c>
      <c r="R365" s="3">
        <v>80</v>
      </c>
      <c r="S365" s="3">
        <v>11</v>
      </c>
      <c r="T365" s="3">
        <v>5</v>
      </c>
      <c r="U365" s="3">
        <v>9</v>
      </c>
      <c r="V365" s="3">
        <v>6</v>
      </c>
      <c r="W365" s="3">
        <v>12</v>
      </c>
      <c r="X365" s="3">
        <v>6</v>
      </c>
    </row>
    <row r="366" spans="1:24" x14ac:dyDescent="0.35">
      <c r="A366">
        <v>1158</v>
      </c>
      <c r="B366">
        <v>70792</v>
      </c>
      <c r="C366">
        <v>69</v>
      </c>
      <c r="D366">
        <v>0</v>
      </c>
      <c r="E366" s="28">
        <v>7.3068493150684928</v>
      </c>
      <c r="F366" s="28"/>
      <c r="G366" s="28">
        <v>590</v>
      </c>
      <c r="H366" s="28">
        <v>56628</v>
      </c>
      <c r="I366" s="28">
        <v>1</v>
      </c>
      <c r="J366" s="28">
        <v>43</v>
      </c>
      <c r="L366" s="38">
        <v>1158</v>
      </c>
      <c r="M366" s="2">
        <v>82</v>
      </c>
      <c r="N366" s="2">
        <v>344</v>
      </c>
      <c r="O366" s="2">
        <v>45</v>
      </c>
      <c r="P366" s="2">
        <v>654</v>
      </c>
      <c r="Q366" s="2">
        <v>104</v>
      </c>
      <c r="R366" s="2">
        <v>11</v>
      </c>
      <c r="S366" s="2">
        <v>114</v>
      </c>
      <c r="T366" s="2">
        <v>2</v>
      </c>
      <c r="U366" s="2">
        <v>3</v>
      </c>
      <c r="V366" s="2">
        <v>4</v>
      </c>
      <c r="W366" s="2">
        <v>10</v>
      </c>
      <c r="X366" s="2">
        <v>3</v>
      </c>
    </row>
    <row r="367" spans="1:24" x14ac:dyDescent="0.35">
      <c r="A367">
        <v>1158</v>
      </c>
      <c r="B367">
        <v>86424</v>
      </c>
      <c r="C367">
        <v>64</v>
      </c>
      <c r="D367">
        <v>0</v>
      </c>
      <c r="E367" s="28">
        <v>6.1479452054794521</v>
      </c>
      <c r="F367" s="28"/>
      <c r="G367" s="28">
        <v>588</v>
      </c>
      <c r="H367" s="28">
        <v>49090</v>
      </c>
      <c r="I367" s="28">
        <v>1</v>
      </c>
      <c r="J367" s="28">
        <v>69</v>
      </c>
      <c r="L367" s="37">
        <v>1158</v>
      </c>
      <c r="M367" s="3">
        <v>12</v>
      </c>
      <c r="N367" s="3">
        <v>387</v>
      </c>
      <c r="O367" s="3">
        <v>68</v>
      </c>
      <c r="P367" s="3">
        <v>569</v>
      </c>
      <c r="Q367" s="3">
        <v>89</v>
      </c>
      <c r="R367" s="3">
        <v>45</v>
      </c>
      <c r="S367" s="3">
        <v>68</v>
      </c>
      <c r="T367" s="3">
        <v>1</v>
      </c>
      <c r="U367" s="3">
        <v>6</v>
      </c>
      <c r="V367" s="3">
        <v>9</v>
      </c>
      <c r="W367" s="3">
        <v>12</v>
      </c>
      <c r="X367" s="3">
        <v>1</v>
      </c>
    </row>
    <row r="368" spans="1:24" x14ac:dyDescent="0.35">
      <c r="A368">
        <v>1158</v>
      </c>
      <c r="B368">
        <v>74250</v>
      </c>
      <c r="C368">
        <v>62</v>
      </c>
      <c r="D368">
        <v>0</v>
      </c>
      <c r="E368" s="28">
        <v>6.3369863013698629</v>
      </c>
      <c r="F368" s="28"/>
      <c r="G368" s="28">
        <v>577</v>
      </c>
      <c r="H368" s="28">
        <v>74190</v>
      </c>
      <c r="I368" s="28">
        <v>1</v>
      </c>
      <c r="J368" s="28">
        <v>45</v>
      </c>
      <c r="L368" s="38">
        <v>1158</v>
      </c>
      <c r="M368" s="2">
        <v>90</v>
      </c>
      <c r="N368" s="2">
        <v>680</v>
      </c>
      <c r="O368" s="2">
        <v>11</v>
      </c>
      <c r="P368" s="2">
        <v>392</v>
      </c>
      <c r="Q368" s="2">
        <v>75</v>
      </c>
      <c r="R368" s="2">
        <v>0</v>
      </c>
      <c r="S368" s="2">
        <v>0</v>
      </c>
      <c r="T368" s="2">
        <v>1</v>
      </c>
      <c r="U368" s="2">
        <v>2</v>
      </c>
      <c r="V368" s="2">
        <v>11</v>
      </c>
      <c r="W368" s="2">
        <v>4</v>
      </c>
      <c r="X368" s="2">
        <v>1</v>
      </c>
    </row>
    <row r="369" spans="1:24" x14ac:dyDescent="0.35">
      <c r="A369">
        <v>1157</v>
      </c>
      <c r="B369">
        <v>62187</v>
      </c>
      <c r="C369">
        <v>63</v>
      </c>
      <c r="D369">
        <v>0</v>
      </c>
      <c r="E369" s="28">
        <v>6.8986301369863012</v>
      </c>
      <c r="F369" s="28"/>
      <c r="G369" s="28">
        <v>563</v>
      </c>
      <c r="H369" s="28">
        <v>62905</v>
      </c>
      <c r="I369" s="28">
        <v>1</v>
      </c>
      <c r="J369" s="28">
        <v>56</v>
      </c>
      <c r="L369" s="37">
        <v>1157</v>
      </c>
      <c r="M369" s="3">
        <v>49</v>
      </c>
      <c r="N369" s="3">
        <v>792</v>
      </c>
      <c r="O369" s="3">
        <v>0</v>
      </c>
      <c r="P369" s="3">
        <v>275</v>
      </c>
      <c r="Q369" s="3">
        <v>45</v>
      </c>
      <c r="R369" s="3">
        <v>45</v>
      </c>
      <c r="S369" s="3">
        <v>126</v>
      </c>
      <c r="T369" s="3">
        <v>1</v>
      </c>
      <c r="U369" s="3">
        <v>4</v>
      </c>
      <c r="V369" s="3">
        <v>8</v>
      </c>
      <c r="W369" s="3">
        <v>5</v>
      </c>
      <c r="X369" s="3">
        <v>3</v>
      </c>
    </row>
    <row r="370" spans="1:24" x14ac:dyDescent="0.35">
      <c r="A370">
        <v>1153</v>
      </c>
      <c r="B370">
        <v>84219</v>
      </c>
      <c r="C370">
        <v>32</v>
      </c>
      <c r="D370">
        <v>0</v>
      </c>
      <c r="E370" s="28">
        <v>6.3178082191780822</v>
      </c>
      <c r="F370" s="28"/>
      <c r="G370" s="28">
        <v>560</v>
      </c>
      <c r="H370" s="28">
        <v>50334</v>
      </c>
      <c r="I370" s="28">
        <v>1</v>
      </c>
      <c r="J370" s="28">
        <v>48</v>
      </c>
      <c r="L370" s="38">
        <v>1153</v>
      </c>
      <c r="M370" s="2">
        <v>27</v>
      </c>
      <c r="N370" s="2">
        <v>434</v>
      </c>
      <c r="O370" s="2">
        <v>137</v>
      </c>
      <c r="P370" s="2">
        <v>400</v>
      </c>
      <c r="Q370" s="2">
        <v>45</v>
      </c>
      <c r="R370" s="2">
        <v>137</v>
      </c>
      <c r="S370" s="2">
        <v>45</v>
      </c>
      <c r="T370" s="2">
        <v>1</v>
      </c>
      <c r="U370" s="2">
        <v>3</v>
      </c>
      <c r="V370" s="2">
        <v>4</v>
      </c>
      <c r="W370" s="2">
        <v>10</v>
      </c>
      <c r="X370" s="2">
        <v>1</v>
      </c>
    </row>
    <row r="371" spans="1:24" x14ac:dyDescent="0.35">
      <c r="A371">
        <v>1153</v>
      </c>
      <c r="B371">
        <v>63887</v>
      </c>
      <c r="C371">
        <v>58</v>
      </c>
      <c r="D371">
        <v>1</v>
      </c>
      <c r="E371" s="28">
        <v>7.720547945205479</v>
      </c>
      <c r="F371" s="28"/>
      <c r="G371" s="28">
        <v>557</v>
      </c>
      <c r="H371" s="28">
        <v>61872</v>
      </c>
      <c r="I371" s="28">
        <v>1</v>
      </c>
      <c r="J371" s="28">
        <v>50</v>
      </c>
      <c r="L371" s="37">
        <v>1153</v>
      </c>
      <c r="M371" s="3">
        <v>38</v>
      </c>
      <c r="N371" s="3">
        <v>897</v>
      </c>
      <c r="O371" s="3">
        <v>23</v>
      </c>
      <c r="P371" s="3">
        <v>207</v>
      </c>
      <c r="Q371" s="3">
        <v>15</v>
      </c>
      <c r="R371" s="3">
        <v>11</v>
      </c>
      <c r="S371" s="3">
        <v>92</v>
      </c>
      <c r="T371" s="3">
        <v>5</v>
      </c>
      <c r="U371" s="3">
        <v>9</v>
      </c>
      <c r="V371" s="3">
        <v>6</v>
      </c>
      <c r="W371" s="3">
        <v>12</v>
      </c>
      <c r="X371" s="3">
        <v>6</v>
      </c>
    </row>
    <row r="372" spans="1:24" x14ac:dyDescent="0.35">
      <c r="A372">
        <v>1150</v>
      </c>
      <c r="B372">
        <v>63564</v>
      </c>
      <c r="C372">
        <v>66</v>
      </c>
      <c r="D372">
        <v>0</v>
      </c>
      <c r="E372" s="28">
        <v>6.3287671232876717</v>
      </c>
      <c r="F372" s="28"/>
      <c r="G372" s="28">
        <v>551</v>
      </c>
      <c r="H372" s="28">
        <v>54803</v>
      </c>
      <c r="I372" s="28">
        <v>1</v>
      </c>
      <c r="J372" s="28">
        <v>51</v>
      </c>
      <c r="L372" s="38">
        <v>1150</v>
      </c>
      <c r="M372" s="2">
        <v>0</v>
      </c>
      <c r="N372" s="2">
        <v>769</v>
      </c>
      <c r="O372" s="2">
        <v>80</v>
      </c>
      <c r="P372" s="2">
        <v>252</v>
      </c>
      <c r="Q372" s="2">
        <v>15</v>
      </c>
      <c r="R372" s="2">
        <v>34</v>
      </c>
      <c r="S372" s="2">
        <v>65</v>
      </c>
      <c r="T372" s="2">
        <v>1</v>
      </c>
      <c r="U372" s="2">
        <v>10</v>
      </c>
      <c r="V372" s="2">
        <v>10</v>
      </c>
      <c r="W372" s="2">
        <v>7</v>
      </c>
      <c r="X372" s="2">
        <v>6</v>
      </c>
    </row>
    <row r="373" spans="1:24" x14ac:dyDescent="0.35">
      <c r="A373">
        <v>1150</v>
      </c>
      <c r="B373">
        <v>70091</v>
      </c>
      <c r="C373">
        <v>51</v>
      </c>
      <c r="D373">
        <v>1</v>
      </c>
      <c r="E373" s="28">
        <v>7.161643835616438</v>
      </c>
      <c r="F373" s="28"/>
      <c r="G373" s="28">
        <v>550</v>
      </c>
      <c r="H373" s="28">
        <v>57937</v>
      </c>
      <c r="I373" s="28">
        <v>1</v>
      </c>
      <c r="J373" s="28">
        <v>38</v>
      </c>
      <c r="L373" s="37">
        <v>1150</v>
      </c>
      <c r="M373" s="3">
        <v>11</v>
      </c>
      <c r="N373" s="3">
        <v>964</v>
      </c>
      <c r="O373" s="3">
        <v>34</v>
      </c>
      <c r="P373" s="3">
        <v>137</v>
      </c>
      <c r="Q373" s="3">
        <v>15</v>
      </c>
      <c r="R373" s="3">
        <v>0</v>
      </c>
      <c r="S373" s="3">
        <v>11</v>
      </c>
      <c r="T373" s="3">
        <v>2</v>
      </c>
      <c r="U373" s="3">
        <v>5</v>
      </c>
      <c r="V373" s="3">
        <v>2</v>
      </c>
      <c r="W373" s="3">
        <v>10</v>
      </c>
      <c r="X373" s="3">
        <v>8</v>
      </c>
    </row>
    <row r="374" spans="1:24" x14ac:dyDescent="0.35">
      <c r="A374">
        <v>1150</v>
      </c>
      <c r="B374">
        <v>80950</v>
      </c>
      <c r="C374">
        <v>59</v>
      </c>
      <c r="D374">
        <v>0</v>
      </c>
      <c r="E374" s="28">
        <v>7.1698630136986301</v>
      </c>
      <c r="F374" s="28"/>
      <c r="G374" s="28">
        <v>550</v>
      </c>
      <c r="H374" s="28">
        <v>57136</v>
      </c>
      <c r="I374" s="28">
        <v>1</v>
      </c>
      <c r="J374" s="28">
        <v>48</v>
      </c>
      <c r="L374" s="38">
        <v>1150</v>
      </c>
      <c r="M374" s="2">
        <v>44</v>
      </c>
      <c r="N374" s="2">
        <v>525</v>
      </c>
      <c r="O374" s="2">
        <v>147</v>
      </c>
      <c r="P374" s="2">
        <v>112</v>
      </c>
      <c r="Q374" s="2">
        <v>219</v>
      </c>
      <c r="R374" s="2">
        <v>147</v>
      </c>
      <c r="S374" s="2">
        <v>63</v>
      </c>
      <c r="T374" s="2">
        <v>1</v>
      </c>
      <c r="U374" s="2">
        <v>6</v>
      </c>
      <c r="V374" s="2">
        <v>7</v>
      </c>
      <c r="W374" s="2">
        <v>9</v>
      </c>
      <c r="X374" s="2">
        <v>2</v>
      </c>
    </row>
    <row r="375" spans="1:24" x14ac:dyDescent="0.35">
      <c r="A375">
        <v>1149</v>
      </c>
      <c r="B375">
        <v>71691</v>
      </c>
      <c r="C375">
        <v>62</v>
      </c>
      <c r="D375">
        <v>0</v>
      </c>
      <c r="E375" s="28">
        <v>6.2</v>
      </c>
      <c r="F375" s="28"/>
      <c r="G375" s="28">
        <v>548</v>
      </c>
      <c r="H375" s="28">
        <v>64713</v>
      </c>
      <c r="I375" s="28">
        <v>1</v>
      </c>
      <c r="J375" s="28">
        <v>50</v>
      </c>
      <c r="L375" s="37">
        <v>1149</v>
      </c>
      <c r="M375" s="3">
        <v>0</v>
      </c>
      <c r="N375" s="3">
        <v>336</v>
      </c>
      <c r="O375" s="3">
        <v>130</v>
      </c>
      <c r="P375" s="3">
        <v>411</v>
      </c>
      <c r="Q375" s="3">
        <v>240</v>
      </c>
      <c r="R375" s="3">
        <v>32</v>
      </c>
      <c r="S375" s="3">
        <v>43</v>
      </c>
      <c r="T375" s="3">
        <v>1</v>
      </c>
      <c r="U375" s="3">
        <v>4</v>
      </c>
      <c r="V375" s="3">
        <v>7</v>
      </c>
      <c r="W375" s="3">
        <v>5</v>
      </c>
      <c r="X375" s="3">
        <v>2</v>
      </c>
    </row>
    <row r="376" spans="1:24" x14ac:dyDescent="0.35">
      <c r="A376">
        <v>1148</v>
      </c>
      <c r="B376">
        <v>55212</v>
      </c>
      <c r="C376">
        <v>51</v>
      </c>
      <c r="D376">
        <v>1</v>
      </c>
      <c r="E376" s="28">
        <v>7.5123287671232877</v>
      </c>
      <c r="F376" s="28"/>
      <c r="G376" s="28">
        <v>548</v>
      </c>
      <c r="H376" s="28">
        <v>57288</v>
      </c>
      <c r="I376" s="28">
        <v>1</v>
      </c>
      <c r="J376" s="28">
        <v>57</v>
      </c>
      <c r="L376" s="38">
        <v>1148</v>
      </c>
      <c r="M376" s="2">
        <v>65</v>
      </c>
      <c r="N376" s="2">
        <v>1103</v>
      </c>
      <c r="O376" s="2">
        <v>0</v>
      </c>
      <c r="P376" s="2">
        <v>45</v>
      </c>
      <c r="Q376" s="2">
        <v>0</v>
      </c>
      <c r="R376" s="2">
        <v>0</v>
      </c>
      <c r="S376" s="2">
        <v>34</v>
      </c>
      <c r="T376" s="2">
        <v>3</v>
      </c>
      <c r="U376" s="2">
        <v>4</v>
      </c>
      <c r="V376" s="2">
        <v>2</v>
      </c>
      <c r="W376" s="2">
        <v>11</v>
      </c>
      <c r="X376" s="2">
        <v>8</v>
      </c>
    </row>
    <row r="377" spans="1:24" x14ac:dyDescent="0.35">
      <c r="A377">
        <v>1146</v>
      </c>
      <c r="B377">
        <v>77457</v>
      </c>
      <c r="C377">
        <v>73</v>
      </c>
      <c r="D377">
        <v>0</v>
      </c>
      <c r="E377" s="28">
        <v>6.2328767123287667</v>
      </c>
      <c r="F377" s="28"/>
      <c r="G377" s="28">
        <v>547</v>
      </c>
      <c r="H377" s="28">
        <v>58398</v>
      </c>
      <c r="I377" s="28">
        <v>0</v>
      </c>
      <c r="J377" s="28">
        <v>67</v>
      </c>
      <c r="L377" s="37">
        <v>1146</v>
      </c>
      <c r="M377" s="3">
        <v>85</v>
      </c>
      <c r="N377" s="3">
        <v>675</v>
      </c>
      <c r="O377" s="3">
        <v>11</v>
      </c>
      <c r="P377" s="3">
        <v>400</v>
      </c>
      <c r="Q377" s="3">
        <v>15</v>
      </c>
      <c r="R377" s="3">
        <v>45</v>
      </c>
      <c r="S377" s="3">
        <v>11</v>
      </c>
      <c r="T377" s="3">
        <v>1</v>
      </c>
      <c r="U377" s="3">
        <v>2</v>
      </c>
      <c r="V377" s="3">
        <v>5</v>
      </c>
      <c r="W377" s="3">
        <v>10</v>
      </c>
      <c r="X377" s="3">
        <v>1</v>
      </c>
    </row>
    <row r="378" spans="1:24" x14ac:dyDescent="0.35">
      <c r="A378">
        <v>1145</v>
      </c>
      <c r="B378">
        <v>82716</v>
      </c>
      <c r="C378">
        <v>76</v>
      </c>
      <c r="D378">
        <v>0</v>
      </c>
      <c r="E378" s="28">
        <v>6.5616438356164384</v>
      </c>
      <c r="F378" s="28"/>
      <c r="G378" s="28">
        <v>547</v>
      </c>
      <c r="H378" s="28">
        <v>69263</v>
      </c>
      <c r="I378" s="28">
        <v>1</v>
      </c>
      <c r="J378" s="28">
        <v>55</v>
      </c>
      <c r="L378" s="38">
        <v>1145</v>
      </c>
      <c r="M378" s="2">
        <v>8</v>
      </c>
      <c r="N378" s="2">
        <v>606</v>
      </c>
      <c r="O378" s="2">
        <v>148</v>
      </c>
      <c r="P378" s="2">
        <v>228</v>
      </c>
      <c r="Q378" s="2">
        <v>15</v>
      </c>
      <c r="R378" s="2">
        <v>148</v>
      </c>
      <c r="S378" s="2">
        <v>22</v>
      </c>
      <c r="T378" s="2">
        <v>1</v>
      </c>
      <c r="U378" s="2">
        <v>6</v>
      </c>
      <c r="V378" s="2">
        <v>8</v>
      </c>
      <c r="W378" s="2">
        <v>13</v>
      </c>
      <c r="X378" s="2">
        <v>2</v>
      </c>
    </row>
    <row r="379" spans="1:24" x14ac:dyDescent="0.35">
      <c r="A379">
        <v>1144</v>
      </c>
      <c r="B379">
        <v>70951</v>
      </c>
      <c r="C379">
        <v>35</v>
      </c>
      <c r="D379">
        <v>0</v>
      </c>
      <c r="E379" s="28">
        <v>7.0684931506849313</v>
      </c>
      <c r="F379" s="28"/>
      <c r="G379" s="28">
        <v>546</v>
      </c>
      <c r="H379" s="28">
        <v>42021</v>
      </c>
      <c r="I379" s="28">
        <v>1</v>
      </c>
      <c r="J379" s="28">
        <v>39</v>
      </c>
      <c r="L379" s="37">
        <v>1144</v>
      </c>
      <c r="M379" s="3">
        <v>66</v>
      </c>
      <c r="N379" s="3">
        <v>239</v>
      </c>
      <c r="O379" s="3">
        <v>10</v>
      </c>
      <c r="P379" s="3">
        <v>554</v>
      </c>
      <c r="Q379" s="3">
        <v>254</v>
      </c>
      <c r="R379" s="3">
        <v>87</v>
      </c>
      <c r="S379" s="3">
        <v>54</v>
      </c>
      <c r="T379" s="3">
        <v>1</v>
      </c>
      <c r="U379" s="3">
        <v>3</v>
      </c>
      <c r="V379" s="3">
        <v>4</v>
      </c>
      <c r="W379" s="3">
        <v>9</v>
      </c>
      <c r="X379" s="3">
        <v>1</v>
      </c>
    </row>
    <row r="380" spans="1:24" x14ac:dyDescent="0.35">
      <c r="A380">
        <v>1144</v>
      </c>
      <c r="B380">
        <v>62845</v>
      </c>
      <c r="C380">
        <v>71</v>
      </c>
      <c r="D380">
        <v>1</v>
      </c>
      <c r="E380" s="28">
        <v>7.6575342465753424</v>
      </c>
      <c r="F380" s="28"/>
      <c r="G380" s="28">
        <v>546</v>
      </c>
      <c r="H380" s="28">
        <v>64866</v>
      </c>
      <c r="I380" s="28">
        <v>1</v>
      </c>
      <c r="J380" s="28">
        <v>70</v>
      </c>
      <c r="L380" s="38">
        <v>1144</v>
      </c>
      <c r="M380" s="2">
        <v>3</v>
      </c>
      <c r="N380" s="2">
        <v>1099</v>
      </c>
      <c r="O380" s="2">
        <v>0</v>
      </c>
      <c r="P380" s="2">
        <v>45</v>
      </c>
      <c r="Q380" s="2">
        <v>0</v>
      </c>
      <c r="R380" s="2">
        <v>0</v>
      </c>
      <c r="S380" s="2">
        <v>34</v>
      </c>
      <c r="T380" s="2">
        <v>11</v>
      </c>
      <c r="U380" s="2">
        <v>3</v>
      </c>
      <c r="V380" s="2">
        <v>4</v>
      </c>
      <c r="W380" s="2">
        <v>10</v>
      </c>
      <c r="X380" s="2">
        <v>8</v>
      </c>
    </row>
    <row r="381" spans="1:24" x14ac:dyDescent="0.35">
      <c r="A381">
        <v>1144</v>
      </c>
      <c r="B381">
        <v>62845</v>
      </c>
      <c r="C381">
        <v>71</v>
      </c>
      <c r="D381">
        <v>1</v>
      </c>
      <c r="E381" s="28">
        <v>7.6575342465753424</v>
      </c>
      <c r="F381" s="28"/>
      <c r="G381" s="28">
        <v>544</v>
      </c>
      <c r="H381" s="28">
        <v>69096</v>
      </c>
      <c r="I381" s="28">
        <v>1</v>
      </c>
      <c r="J381" s="28">
        <v>62</v>
      </c>
      <c r="L381" s="37">
        <v>1144</v>
      </c>
      <c r="M381" s="3">
        <v>3</v>
      </c>
      <c r="N381" s="3">
        <v>1099</v>
      </c>
      <c r="O381" s="3">
        <v>0</v>
      </c>
      <c r="P381" s="3">
        <v>45</v>
      </c>
      <c r="Q381" s="3">
        <v>0</v>
      </c>
      <c r="R381" s="3">
        <v>0</v>
      </c>
      <c r="S381" s="3">
        <v>34</v>
      </c>
      <c r="T381" s="3">
        <v>11</v>
      </c>
      <c r="U381" s="3">
        <v>3</v>
      </c>
      <c r="V381" s="3">
        <v>4</v>
      </c>
      <c r="W381" s="3">
        <v>10</v>
      </c>
      <c r="X381" s="3">
        <v>8</v>
      </c>
    </row>
    <row r="382" spans="1:24" x14ac:dyDescent="0.35">
      <c r="A382">
        <v>1143</v>
      </c>
      <c r="B382">
        <v>65169</v>
      </c>
      <c r="C382">
        <v>38</v>
      </c>
      <c r="D382">
        <v>0</v>
      </c>
      <c r="E382" s="28">
        <v>6.3698630136986303</v>
      </c>
      <c r="F382" s="28"/>
      <c r="G382" s="28">
        <v>542</v>
      </c>
      <c r="H382" s="28">
        <v>56337</v>
      </c>
      <c r="I382" s="28">
        <v>1</v>
      </c>
      <c r="J382" s="28">
        <v>39</v>
      </c>
      <c r="L382" s="38">
        <v>1143</v>
      </c>
      <c r="M382" s="2">
        <v>23</v>
      </c>
      <c r="N382" s="2">
        <v>1074</v>
      </c>
      <c r="O382" s="2">
        <v>0</v>
      </c>
      <c r="P382" s="2">
        <v>69</v>
      </c>
      <c r="Q382" s="2">
        <v>0</v>
      </c>
      <c r="R382" s="2">
        <v>0</v>
      </c>
      <c r="S382" s="2">
        <v>46</v>
      </c>
      <c r="T382" s="2">
        <v>1</v>
      </c>
      <c r="U382" s="2">
        <v>10</v>
      </c>
      <c r="V382" s="2">
        <v>4</v>
      </c>
      <c r="W382" s="2">
        <v>13</v>
      </c>
      <c r="X382" s="2">
        <v>6</v>
      </c>
    </row>
    <row r="383" spans="1:24" x14ac:dyDescent="0.35">
      <c r="A383">
        <v>1140</v>
      </c>
      <c r="B383">
        <v>76773</v>
      </c>
      <c r="C383">
        <v>66</v>
      </c>
      <c r="D383">
        <v>0</v>
      </c>
      <c r="E383" s="28">
        <v>7.2547945205479456</v>
      </c>
      <c r="F383" s="28"/>
      <c r="G383" s="28">
        <v>542</v>
      </c>
      <c r="H383" s="28">
        <v>42720</v>
      </c>
      <c r="I383" s="28">
        <v>1</v>
      </c>
      <c r="J383" s="28">
        <v>55</v>
      </c>
      <c r="L383" s="37">
        <v>1140</v>
      </c>
      <c r="M383" s="3">
        <v>79</v>
      </c>
      <c r="N383" s="3">
        <v>516</v>
      </c>
      <c r="O383" s="3">
        <v>56</v>
      </c>
      <c r="P383" s="3">
        <v>449</v>
      </c>
      <c r="Q383" s="3">
        <v>86</v>
      </c>
      <c r="R383" s="3">
        <v>33</v>
      </c>
      <c r="S383" s="3">
        <v>16</v>
      </c>
      <c r="T383" s="3">
        <v>1</v>
      </c>
      <c r="U383" s="3">
        <v>2</v>
      </c>
      <c r="V383" s="3">
        <v>2</v>
      </c>
      <c r="W383" s="3">
        <v>11</v>
      </c>
      <c r="X383" s="3">
        <v>1</v>
      </c>
    </row>
    <row r="384" spans="1:24" x14ac:dyDescent="0.35">
      <c r="A384">
        <v>1140</v>
      </c>
      <c r="B384">
        <v>61618</v>
      </c>
      <c r="C384">
        <v>29</v>
      </c>
      <c r="D384">
        <v>0</v>
      </c>
      <c r="E384" s="28">
        <v>7.6630136986301371</v>
      </c>
      <c r="F384" s="28"/>
      <c r="G384" s="28">
        <v>540</v>
      </c>
      <c r="H384" s="28">
        <v>57091</v>
      </c>
      <c r="I384" s="28">
        <v>0</v>
      </c>
      <c r="J384" s="28">
        <v>59</v>
      </c>
      <c r="L384" s="38">
        <v>1140</v>
      </c>
      <c r="M384" s="2">
        <v>27</v>
      </c>
      <c r="N384" s="2">
        <v>605</v>
      </c>
      <c r="O384" s="2">
        <v>91</v>
      </c>
      <c r="P384" s="2">
        <v>399</v>
      </c>
      <c r="Q384" s="2">
        <v>0</v>
      </c>
      <c r="R384" s="2">
        <v>45</v>
      </c>
      <c r="S384" s="2">
        <v>205</v>
      </c>
      <c r="T384" s="2">
        <v>2</v>
      </c>
      <c r="U384" s="2">
        <v>3</v>
      </c>
      <c r="V384" s="2">
        <v>6</v>
      </c>
      <c r="W384" s="2">
        <v>8</v>
      </c>
      <c r="X384" s="2">
        <v>3</v>
      </c>
    </row>
    <row r="385" spans="1:24" x14ac:dyDescent="0.35">
      <c r="A385">
        <v>1138</v>
      </c>
      <c r="B385">
        <v>66334</v>
      </c>
      <c r="C385">
        <v>64</v>
      </c>
      <c r="D385">
        <v>1</v>
      </c>
      <c r="E385" s="28">
        <v>7.1534246575342468</v>
      </c>
      <c r="F385" s="28"/>
      <c r="G385" s="28">
        <v>540</v>
      </c>
      <c r="H385" s="28">
        <v>57183</v>
      </c>
      <c r="I385" s="28">
        <v>1</v>
      </c>
      <c r="J385" s="28">
        <v>54</v>
      </c>
      <c r="L385" s="37">
        <v>1138</v>
      </c>
      <c r="M385" s="3">
        <v>82</v>
      </c>
      <c r="N385" s="3">
        <v>909</v>
      </c>
      <c r="O385" s="3">
        <v>11</v>
      </c>
      <c r="P385" s="3">
        <v>218</v>
      </c>
      <c r="Q385" s="3">
        <v>0</v>
      </c>
      <c r="R385" s="3">
        <v>0</v>
      </c>
      <c r="S385" s="3">
        <v>23</v>
      </c>
      <c r="T385" s="3">
        <v>2</v>
      </c>
      <c r="U385" s="3">
        <v>9</v>
      </c>
      <c r="V385" s="3">
        <v>3</v>
      </c>
      <c r="W385" s="3">
        <v>5</v>
      </c>
      <c r="X385" s="3">
        <v>5</v>
      </c>
    </row>
    <row r="386" spans="1:24" x14ac:dyDescent="0.35">
      <c r="A386">
        <v>1132</v>
      </c>
      <c r="B386">
        <v>71107</v>
      </c>
      <c r="C386">
        <v>69</v>
      </c>
      <c r="D386">
        <v>1</v>
      </c>
      <c r="E386" s="28">
        <v>7.2767123287671236</v>
      </c>
      <c r="F386" s="28"/>
      <c r="G386" s="28">
        <v>539</v>
      </c>
      <c r="H386" s="28">
        <v>65324</v>
      </c>
      <c r="I386" s="28">
        <v>1</v>
      </c>
      <c r="J386" s="28">
        <v>66</v>
      </c>
      <c r="L386" s="38">
        <v>1132</v>
      </c>
      <c r="M386" s="2">
        <v>61</v>
      </c>
      <c r="N386" s="2">
        <v>533</v>
      </c>
      <c r="O386" s="2">
        <v>10</v>
      </c>
      <c r="P386" s="2">
        <v>217</v>
      </c>
      <c r="Q386" s="2">
        <v>198</v>
      </c>
      <c r="R386" s="2">
        <v>174</v>
      </c>
      <c r="S386" s="2">
        <v>195</v>
      </c>
      <c r="T386" s="2">
        <v>2</v>
      </c>
      <c r="U386" s="2">
        <v>7</v>
      </c>
      <c r="V386" s="2">
        <v>6</v>
      </c>
      <c r="W386" s="2">
        <v>13</v>
      </c>
      <c r="X386" s="2">
        <v>4</v>
      </c>
    </row>
    <row r="387" spans="1:24" x14ac:dyDescent="0.35">
      <c r="A387">
        <v>1131</v>
      </c>
      <c r="B387">
        <v>75433</v>
      </c>
      <c r="C387">
        <v>31</v>
      </c>
      <c r="D387">
        <v>1</v>
      </c>
      <c r="E387" s="28">
        <v>6.1479452054794521</v>
      </c>
      <c r="F387" s="28"/>
      <c r="G387" s="28">
        <v>523</v>
      </c>
      <c r="H387" s="28">
        <v>32632</v>
      </c>
      <c r="I387" s="28">
        <v>0</v>
      </c>
      <c r="J387" s="28">
        <v>57</v>
      </c>
      <c r="L387" s="37">
        <v>1131</v>
      </c>
      <c r="M387" s="3">
        <v>28</v>
      </c>
      <c r="N387" s="3">
        <v>800</v>
      </c>
      <c r="O387" s="3">
        <v>0</v>
      </c>
      <c r="P387" s="3">
        <v>297</v>
      </c>
      <c r="Q387" s="3">
        <v>0</v>
      </c>
      <c r="R387" s="3">
        <v>34</v>
      </c>
      <c r="S387" s="3">
        <v>57</v>
      </c>
      <c r="T387" s="3">
        <v>2</v>
      </c>
      <c r="U387" s="3">
        <v>2</v>
      </c>
      <c r="V387" s="3">
        <v>5</v>
      </c>
      <c r="W387" s="3">
        <v>10</v>
      </c>
      <c r="X387" s="3">
        <v>6</v>
      </c>
    </row>
    <row r="388" spans="1:24" x14ac:dyDescent="0.35">
      <c r="A388">
        <v>1125</v>
      </c>
      <c r="B388">
        <v>75484</v>
      </c>
      <c r="C388">
        <v>44</v>
      </c>
      <c r="D388">
        <v>1</v>
      </c>
      <c r="E388" s="28">
        <v>7.8219178082191778</v>
      </c>
      <c r="F388" s="28"/>
      <c r="G388" s="28">
        <v>520</v>
      </c>
      <c r="H388" s="28">
        <v>38410</v>
      </c>
      <c r="I388" s="28">
        <v>0</v>
      </c>
      <c r="J388" s="28">
        <v>46</v>
      </c>
      <c r="L388" s="38">
        <v>1125</v>
      </c>
      <c r="M388" s="2">
        <v>50</v>
      </c>
      <c r="N388" s="2">
        <v>378</v>
      </c>
      <c r="O388" s="2">
        <v>97</v>
      </c>
      <c r="P388" s="2">
        <v>259</v>
      </c>
      <c r="Q388" s="2">
        <v>197</v>
      </c>
      <c r="R388" s="2">
        <v>194</v>
      </c>
      <c r="S388" s="2">
        <v>34</v>
      </c>
      <c r="T388" s="2">
        <v>2</v>
      </c>
      <c r="U388" s="2">
        <v>7</v>
      </c>
      <c r="V388" s="2">
        <v>3</v>
      </c>
      <c r="W388" s="2">
        <v>6</v>
      </c>
      <c r="X388" s="2">
        <v>4</v>
      </c>
    </row>
    <row r="389" spans="1:24" x14ac:dyDescent="0.35">
      <c r="A389">
        <v>1122</v>
      </c>
      <c r="B389">
        <v>60839</v>
      </c>
      <c r="C389">
        <v>41</v>
      </c>
      <c r="D389">
        <v>1</v>
      </c>
      <c r="E389" s="28">
        <v>7.7506849315068491</v>
      </c>
      <c r="F389" s="28"/>
      <c r="G389" s="28">
        <v>512</v>
      </c>
      <c r="H389" s="28">
        <v>56939</v>
      </c>
      <c r="I389" s="28">
        <v>1</v>
      </c>
      <c r="J389" s="28">
        <v>44</v>
      </c>
      <c r="L389" s="37">
        <v>1122</v>
      </c>
      <c r="M389" s="3">
        <v>72</v>
      </c>
      <c r="N389" s="3">
        <v>600</v>
      </c>
      <c r="O389" s="3">
        <v>21</v>
      </c>
      <c r="P389" s="3">
        <v>128</v>
      </c>
      <c r="Q389" s="3">
        <v>223</v>
      </c>
      <c r="R389" s="3">
        <v>150</v>
      </c>
      <c r="S389" s="3">
        <v>128</v>
      </c>
      <c r="T389" s="3">
        <v>13</v>
      </c>
      <c r="U389" s="3">
        <v>2</v>
      </c>
      <c r="V389" s="3">
        <v>2</v>
      </c>
      <c r="W389" s="3">
        <v>12</v>
      </c>
      <c r="X389" s="3">
        <v>8</v>
      </c>
    </row>
    <row r="390" spans="1:24" x14ac:dyDescent="0.35">
      <c r="A390">
        <v>1118</v>
      </c>
      <c r="B390">
        <v>61014</v>
      </c>
      <c r="C390">
        <v>40</v>
      </c>
      <c r="D390">
        <v>1</v>
      </c>
      <c r="E390" s="28">
        <v>7.7972602739726025</v>
      </c>
      <c r="F390" s="28"/>
      <c r="G390" s="28">
        <v>497</v>
      </c>
      <c r="H390" s="28">
        <v>42835</v>
      </c>
      <c r="I390" s="28">
        <v>1</v>
      </c>
      <c r="J390" s="28">
        <v>49</v>
      </c>
      <c r="L390" s="38">
        <v>1118</v>
      </c>
      <c r="M390" s="2">
        <v>17</v>
      </c>
      <c r="N390" s="2">
        <v>269</v>
      </c>
      <c r="O390" s="2">
        <v>129</v>
      </c>
      <c r="P390" s="2">
        <v>495</v>
      </c>
      <c r="Q390" s="2">
        <v>182</v>
      </c>
      <c r="R390" s="2">
        <v>43</v>
      </c>
      <c r="S390" s="2">
        <v>29</v>
      </c>
      <c r="T390" s="2">
        <v>4</v>
      </c>
      <c r="U390" s="2">
        <v>9</v>
      </c>
      <c r="V390" s="2">
        <v>3</v>
      </c>
      <c r="W390" s="2">
        <v>4</v>
      </c>
      <c r="X390" s="2">
        <v>7</v>
      </c>
    </row>
    <row r="391" spans="1:24" x14ac:dyDescent="0.35">
      <c r="A391">
        <v>1118</v>
      </c>
      <c r="B391">
        <v>70515</v>
      </c>
      <c r="C391">
        <v>27</v>
      </c>
      <c r="D391">
        <v>0</v>
      </c>
      <c r="E391" s="28">
        <v>6.602739726027397</v>
      </c>
      <c r="F391" s="28"/>
      <c r="G391" s="28">
        <v>497</v>
      </c>
      <c r="H391" s="28">
        <v>65526</v>
      </c>
      <c r="I391" s="28">
        <v>1</v>
      </c>
      <c r="J391" s="28">
        <v>56</v>
      </c>
      <c r="L391" s="37">
        <v>1118</v>
      </c>
      <c r="M391" s="3">
        <v>12</v>
      </c>
      <c r="N391" s="3">
        <v>420</v>
      </c>
      <c r="O391" s="3">
        <v>0</v>
      </c>
      <c r="P391" s="3">
        <v>452</v>
      </c>
      <c r="Q391" s="3">
        <v>182</v>
      </c>
      <c r="R391" s="3">
        <v>64</v>
      </c>
      <c r="S391" s="3">
        <v>140</v>
      </c>
      <c r="T391" s="3">
        <v>1</v>
      </c>
      <c r="U391" s="3">
        <v>6</v>
      </c>
      <c r="V391" s="3">
        <v>6</v>
      </c>
      <c r="W391" s="3">
        <v>4</v>
      </c>
      <c r="X391" s="3">
        <v>2</v>
      </c>
    </row>
    <row r="392" spans="1:24" x14ac:dyDescent="0.35">
      <c r="A392">
        <v>1118</v>
      </c>
      <c r="B392">
        <v>75702</v>
      </c>
      <c r="C392">
        <v>53</v>
      </c>
      <c r="D392">
        <v>1</v>
      </c>
      <c r="E392" s="28">
        <v>7.7479452054794518</v>
      </c>
      <c r="F392" s="28"/>
      <c r="G392" s="28">
        <v>497</v>
      </c>
      <c r="H392" s="28">
        <v>46014</v>
      </c>
      <c r="I392" s="28">
        <v>1</v>
      </c>
      <c r="J392" s="28">
        <v>46</v>
      </c>
      <c r="L392" s="38">
        <v>1118</v>
      </c>
      <c r="M392" s="2">
        <v>77</v>
      </c>
      <c r="N392" s="2">
        <v>650</v>
      </c>
      <c r="O392" s="2">
        <v>28</v>
      </c>
      <c r="P392" s="2">
        <v>353</v>
      </c>
      <c r="Q392" s="2">
        <v>45</v>
      </c>
      <c r="R392" s="2">
        <v>42</v>
      </c>
      <c r="S392" s="2">
        <v>30</v>
      </c>
      <c r="T392" s="2">
        <v>5</v>
      </c>
      <c r="U392" s="2">
        <v>4</v>
      </c>
      <c r="V392" s="2">
        <v>6</v>
      </c>
      <c r="W392" s="2">
        <v>11</v>
      </c>
      <c r="X392" s="2">
        <v>8</v>
      </c>
    </row>
    <row r="393" spans="1:24" x14ac:dyDescent="0.35">
      <c r="A393">
        <v>1117</v>
      </c>
      <c r="B393">
        <v>71853</v>
      </c>
      <c r="C393">
        <v>38</v>
      </c>
      <c r="D393">
        <v>0</v>
      </c>
      <c r="E393" s="28">
        <v>7.0575342465753428</v>
      </c>
      <c r="F393" s="28"/>
      <c r="G393" s="28">
        <v>496</v>
      </c>
      <c r="H393" s="28">
        <v>69142</v>
      </c>
      <c r="I393" s="28">
        <v>1</v>
      </c>
      <c r="J393" s="28">
        <v>68</v>
      </c>
      <c r="L393" s="37">
        <v>1117</v>
      </c>
      <c r="M393" s="3">
        <v>29</v>
      </c>
      <c r="N393" s="3">
        <v>358</v>
      </c>
      <c r="O393" s="3">
        <v>108</v>
      </c>
      <c r="P393" s="3">
        <v>413</v>
      </c>
      <c r="Q393" s="3">
        <v>141</v>
      </c>
      <c r="R393" s="3">
        <v>97</v>
      </c>
      <c r="S393" s="3">
        <v>32</v>
      </c>
      <c r="T393" s="3">
        <v>1</v>
      </c>
      <c r="U393" s="3">
        <v>2</v>
      </c>
      <c r="V393" s="3">
        <v>8</v>
      </c>
      <c r="W393" s="3">
        <v>6</v>
      </c>
      <c r="X393" s="3">
        <v>1</v>
      </c>
    </row>
    <row r="394" spans="1:24" x14ac:dyDescent="0.35">
      <c r="A394">
        <v>1117</v>
      </c>
      <c r="B394">
        <v>77226</v>
      </c>
      <c r="C394">
        <v>57</v>
      </c>
      <c r="D394">
        <v>1</v>
      </c>
      <c r="E394" s="28">
        <v>6.2465753424657535</v>
      </c>
      <c r="F394" s="28"/>
      <c r="G394" s="28">
        <v>495</v>
      </c>
      <c r="H394" s="28">
        <v>54591</v>
      </c>
      <c r="I394" s="28">
        <v>1</v>
      </c>
      <c r="J394" s="28">
        <v>71</v>
      </c>
      <c r="L394" s="38">
        <v>1117</v>
      </c>
      <c r="M394" s="2">
        <v>29</v>
      </c>
      <c r="N394" s="2">
        <v>631</v>
      </c>
      <c r="O394" s="2">
        <v>43</v>
      </c>
      <c r="P394" s="2">
        <v>239</v>
      </c>
      <c r="Q394" s="2">
        <v>128</v>
      </c>
      <c r="R394" s="2">
        <v>76</v>
      </c>
      <c r="S394" s="2">
        <v>21</v>
      </c>
      <c r="T394" s="2">
        <v>2</v>
      </c>
      <c r="U394" s="2">
        <v>6</v>
      </c>
      <c r="V394" s="2">
        <v>8</v>
      </c>
      <c r="W394" s="2">
        <v>12</v>
      </c>
      <c r="X394" s="2">
        <v>3</v>
      </c>
    </row>
    <row r="395" spans="1:24" x14ac:dyDescent="0.35">
      <c r="A395">
        <v>1114</v>
      </c>
      <c r="B395">
        <v>70038</v>
      </c>
      <c r="C395">
        <v>38</v>
      </c>
      <c r="D395">
        <v>0</v>
      </c>
      <c r="E395" s="28">
        <v>6.5917808219178085</v>
      </c>
      <c r="F395" s="28"/>
      <c r="G395" s="28">
        <v>494</v>
      </c>
      <c r="H395" s="28">
        <v>86836</v>
      </c>
      <c r="I395" s="28">
        <v>0</v>
      </c>
      <c r="J395" s="28">
        <v>45</v>
      </c>
      <c r="L395" s="37">
        <v>1114</v>
      </c>
      <c r="M395" s="3">
        <v>54</v>
      </c>
      <c r="N395" s="3">
        <v>587</v>
      </c>
      <c r="O395" s="3">
        <v>54</v>
      </c>
      <c r="P395" s="3">
        <v>348</v>
      </c>
      <c r="Q395" s="3">
        <v>71</v>
      </c>
      <c r="R395" s="3">
        <v>54</v>
      </c>
      <c r="S395" s="3">
        <v>130</v>
      </c>
      <c r="T395" s="3">
        <v>1</v>
      </c>
      <c r="U395" s="3">
        <v>4</v>
      </c>
      <c r="V395" s="3">
        <v>4</v>
      </c>
      <c r="W395" s="3">
        <v>8</v>
      </c>
      <c r="X395" s="3">
        <v>2</v>
      </c>
    </row>
    <row r="396" spans="1:24" x14ac:dyDescent="0.35">
      <c r="A396">
        <v>1114</v>
      </c>
      <c r="B396">
        <v>72679</v>
      </c>
      <c r="C396">
        <v>51</v>
      </c>
      <c r="D396">
        <v>1</v>
      </c>
      <c r="E396" s="28">
        <v>6.6931506849315072</v>
      </c>
      <c r="F396" s="28"/>
      <c r="G396" s="28">
        <v>494</v>
      </c>
      <c r="H396" s="28">
        <v>41769</v>
      </c>
      <c r="I396" s="28">
        <v>1</v>
      </c>
      <c r="J396" s="28">
        <v>65</v>
      </c>
      <c r="L396" s="38">
        <v>1114</v>
      </c>
      <c r="M396" s="2">
        <v>65</v>
      </c>
      <c r="N396" s="2">
        <v>619</v>
      </c>
      <c r="O396" s="2">
        <v>54</v>
      </c>
      <c r="P396" s="2">
        <v>260</v>
      </c>
      <c r="Q396" s="2">
        <v>127</v>
      </c>
      <c r="R396" s="2">
        <v>54</v>
      </c>
      <c r="S396" s="2">
        <v>54</v>
      </c>
      <c r="T396" s="2">
        <v>1</v>
      </c>
      <c r="U396" s="2">
        <v>4</v>
      </c>
      <c r="V396" s="2">
        <v>7</v>
      </c>
      <c r="W396" s="2">
        <v>5</v>
      </c>
      <c r="X396" s="2">
        <v>1</v>
      </c>
    </row>
    <row r="397" spans="1:24" x14ac:dyDescent="0.35">
      <c r="A397">
        <v>1113</v>
      </c>
      <c r="B397">
        <v>71855</v>
      </c>
      <c r="C397">
        <v>43</v>
      </c>
      <c r="D397">
        <v>1</v>
      </c>
      <c r="E397" s="28">
        <v>7.3643835616438356</v>
      </c>
      <c r="F397" s="28"/>
      <c r="G397" s="28">
        <v>491</v>
      </c>
      <c r="H397" s="28">
        <v>61286</v>
      </c>
      <c r="I397" s="28">
        <v>1</v>
      </c>
      <c r="J397" s="28">
        <v>54</v>
      </c>
      <c r="L397" s="37">
        <v>1113</v>
      </c>
      <c r="M397" s="3">
        <v>59</v>
      </c>
      <c r="N397" s="3">
        <v>548</v>
      </c>
      <c r="O397" s="3">
        <v>31</v>
      </c>
      <c r="P397" s="3">
        <v>422</v>
      </c>
      <c r="Q397" s="3">
        <v>0</v>
      </c>
      <c r="R397" s="3">
        <v>112</v>
      </c>
      <c r="S397" s="3">
        <v>28</v>
      </c>
      <c r="T397" s="3">
        <v>4</v>
      </c>
      <c r="U397" s="3">
        <v>5</v>
      </c>
      <c r="V397" s="3">
        <v>5</v>
      </c>
      <c r="W397" s="3">
        <v>11</v>
      </c>
      <c r="X397" s="3">
        <v>3</v>
      </c>
    </row>
    <row r="398" spans="1:24" x14ac:dyDescent="0.35">
      <c r="A398">
        <v>1113</v>
      </c>
      <c r="B398">
        <v>77037</v>
      </c>
      <c r="C398">
        <v>60</v>
      </c>
      <c r="D398">
        <v>1</v>
      </c>
      <c r="E398" s="28">
        <v>6.624657534246575</v>
      </c>
      <c r="F398" s="28"/>
      <c r="G398" s="28">
        <v>491</v>
      </c>
      <c r="H398" s="28">
        <v>50387</v>
      </c>
      <c r="I398" s="28">
        <v>1</v>
      </c>
      <c r="J398" s="28">
        <v>64</v>
      </c>
      <c r="L398" s="38">
        <v>1113</v>
      </c>
      <c r="M398" s="2">
        <v>3</v>
      </c>
      <c r="N398" s="2">
        <v>463</v>
      </c>
      <c r="O398" s="2">
        <v>96</v>
      </c>
      <c r="P398" s="2">
        <v>333</v>
      </c>
      <c r="Q398" s="2">
        <v>168</v>
      </c>
      <c r="R398" s="2">
        <v>53</v>
      </c>
      <c r="S398" s="2">
        <v>10</v>
      </c>
      <c r="T398" s="2">
        <v>1</v>
      </c>
      <c r="U398" s="2">
        <v>7</v>
      </c>
      <c r="V398" s="2">
        <v>7</v>
      </c>
      <c r="W398" s="2">
        <v>12</v>
      </c>
      <c r="X398" s="2">
        <v>3</v>
      </c>
    </row>
    <row r="399" spans="1:24" x14ac:dyDescent="0.35">
      <c r="A399">
        <v>1112</v>
      </c>
      <c r="B399">
        <v>85431</v>
      </c>
      <c r="C399">
        <v>68</v>
      </c>
      <c r="D399">
        <v>0</v>
      </c>
      <c r="E399" s="28">
        <v>6.9726027397260273</v>
      </c>
      <c r="F399" s="28"/>
      <c r="G399" s="28">
        <v>491</v>
      </c>
      <c r="H399" s="28">
        <v>65968</v>
      </c>
      <c r="I399" s="28">
        <v>1</v>
      </c>
      <c r="J399" s="28">
        <v>50</v>
      </c>
      <c r="L399" s="37">
        <v>1112</v>
      </c>
      <c r="M399" s="3">
        <v>54</v>
      </c>
      <c r="N399" s="3">
        <v>376</v>
      </c>
      <c r="O399" s="3">
        <v>53</v>
      </c>
      <c r="P399" s="3">
        <v>462</v>
      </c>
      <c r="Q399" s="3">
        <v>168</v>
      </c>
      <c r="R399" s="3">
        <v>53</v>
      </c>
      <c r="S399" s="3">
        <v>53</v>
      </c>
      <c r="T399" s="3">
        <v>1</v>
      </c>
      <c r="U399" s="3">
        <v>2</v>
      </c>
      <c r="V399" s="3">
        <v>7</v>
      </c>
      <c r="W399" s="3">
        <v>7</v>
      </c>
      <c r="X399" s="3">
        <v>0</v>
      </c>
    </row>
    <row r="400" spans="1:24" x14ac:dyDescent="0.35">
      <c r="A400">
        <v>1110</v>
      </c>
      <c r="B400">
        <v>49118</v>
      </c>
      <c r="C400">
        <v>49</v>
      </c>
      <c r="D400">
        <v>0</v>
      </c>
      <c r="E400" s="28">
        <v>7.7780821917808218</v>
      </c>
      <c r="F400" s="28"/>
      <c r="G400" s="28">
        <v>489</v>
      </c>
      <c r="H400" s="28">
        <v>50611</v>
      </c>
      <c r="I400" s="28">
        <v>1</v>
      </c>
      <c r="J400" s="28">
        <v>60</v>
      </c>
      <c r="L400" s="38">
        <v>1110</v>
      </c>
      <c r="M400" s="2">
        <v>90</v>
      </c>
      <c r="N400" s="2">
        <v>620</v>
      </c>
      <c r="O400" s="2">
        <v>54</v>
      </c>
      <c r="P400" s="2">
        <v>239</v>
      </c>
      <c r="Q400" s="2">
        <v>99</v>
      </c>
      <c r="R400" s="2">
        <v>98</v>
      </c>
      <c r="S400" s="2">
        <v>119</v>
      </c>
      <c r="T400" s="2">
        <v>2</v>
      </c>
      <c r="U400" s="2">
        <v>9</v>
      </c>
      <c r="V400" s="2">
        <v>7</v>
      </c>
      <c r="W400" s="2">
        <v>10</v>
      </c>
      <c r="X400" s="2">
        <v>7</v>
      </c>
    </row>
    <row r="401" spans="1:24" x14ac:dyDescent="0.35">
      <c r="A401">
        <v>1106</v>
      </c>
      <c r="B401">
        <v>73691</v>
      </c>
      <c r="C401">
        <v>49</v>
      </c>
      <c r="D401">
        <v>1</v>
      </c>
      <c r="E401" s="28">
        <v>6.558904109589041</v>
      </c>
      <c r="F401" s="28"/>
      <c r="G401" s="28">
        <v>486</v>
      </c>
      <c r="H401" s="28">
        <v>61180</v>
      </c>
      <c r="I401" s="28">
        <v>1</v>
      </c>
      <c r="J401" s="28">
        <v>61</v>
      </c>
      <c r="L401" s="37">
        <v>1106</v>
      </c>
      <c r="M401" s="3">
        <v>58</v>
      </c>
      <c r="N401" s="3">
        <v>707</v>
      </c>
      <c r="O401" s="3">
        <v>21</v>
      </c>
      <c r="P401" s="3">
        <v>250</v>
      </c>
      <c r="Q401" s="3">
        <v>85</v>
      </c>
      <c r="R401" s="3">
        <v>43</v>
      </c>
      <c r="S401" s="3">
        <v>73</v>
      </c>
      <c r="T401" s="3">
        <v>2</v>
      </c>
      <c r="U401" s="3">
        <v>6</v>
      </c>
      <c r="V401" s="3">
        <v>2</v>
      </c>
      <c r="W401" s="3">
        <v>8</v>
      </c>
      <c r="X401" s="3">
        <v>2</v>
      </c>
    </row>
    <row r="402" spans="1:24" x14ac:dyDescent="0.35">
      <c r="A402">
        <v>1103</v>
      </c>
      <c r="B402">
        <v>77343</v>
      </c>
      <c r="C402">
        <v>55</v>
      </c>
      <c r="D402">
        <v>0</v>
      </c>
      <c r="E402" s="28">
        <v>5.9698630136986299</v>
      </c>
      <c r="F402" s="28"/>
      <c r="G402" s="28">
        <v>484</v>
      </c>
      <c r="H402" s="28">
        <v>57954</v>
      </c>
      <c r="I402" s="28">
        <v>1</v>
      </c>
      <c r="J402" s="28">
        <v>43</v>
      </c>
      <c r="L402" s="38">
        <v>1103</v>
      </c>
      <c r="M402" s="2">
        <v>28</v>
      </c>
      <c r="N402" s="2">
        <v>227</v>
      </c>
      <c r="O402" s="2">
        <v>151</v>
      </c>
      <c r="P402" s="2">
        <v>573</v>
      </c>
      <c r="Q402" s="2">
        <v>98</v>
      </c>
      <c r="R402" s="2">
        <v>54</v>
      </c>
      <c r="S402" s="2">
        <v>31</v>
      </c>
      <c r="T402" s="2">
        <v>1</v>
      </c>
      <c r="U402" s="2">
        <v>3</v>
      </c>
      <c r="V402" s="2">
        <v>4</v>
      </c>
      <c r="W402" s="2">
        <v>9</v>
      </c>
      <c r="X402" s="2">
        <v>1</v>
      </c>
    </row>
    <row r="403" spans="1:24" x14ac:dyDescent="0.35">
      <c r="A403">
        <v>1102</v>
      </c>
      <c r="B403">
        <v>53653</v>
      </c>
      <c r="C403">
        <v>67</v>
      </c>
      <c r="D403">
        <v>0</v>
      </c>
      <c r="E403" s="28">
        <v>7.5561643835616437</v>
      </c>
      <c r="F403" s="28"/>
      <c r="G403" s="28">
        <v>475</v>
      </c>
      <c r="H403" s="28">
        <v>55954</v>
      </c>
      <c r="I403" s="28">
        <v>1</v>
      </c>
      <c r="J403" s="28">
        <v>52</v>
      </c>
      <c r="L403" s="37">
        <v>1102</v>
      </c>
      <c r="M403" s="3">
        <v>29</v>
      </c>
      <c r="N403" s="3">
        <v>815</v>
      </c>
      <c r="O403" s="3">
        <v>10</v>
      </c>
      <c r="P403" s="3">
        <v>239</v>
      </c>
      <c r="Q403" s="3">
        <v>28</v>
      </c>
      <c r="R403" s="3">
        <v>10</v>
      </c>
      <c r="S403" s="3">
        <v>108</v>
      </c>
      <c r="T403" s="3">
        <v>2</v>
      </c>
      <c r="U403" s="3">
        <v>10</v>
      </c>
      <c r="V403" s="3">
        <v>4</v>
      </c>
      <c r="W403" s="3">
        <v>12</v>
      </c>
      <c r="X403" s="3">
        <v>6</v>
      </c>
    </row>
    <row r="404" spans="1:24" x14ac:dyDescent="0.35">
      <c r="A404">
        <v>1101</v>
      </c>
      <c r="B404">
        <v>79632</v>
      </c>
      <c r="C404">
        <v>46</v>
      </c>
      <c r="D404">
        <v>0</v>
      </c>
      <c r="E404" s="28">
        <v>6.13972602739726</v>
      </c>
      <c r="F404" s="28"/>
      <c r="G404" s="28">
        <v>460</v>
      </c>
      <c r="H404" s="28">
        <v>47682</v>
      </c>
      <c r="I404" s="28">
        <v>1</v>
      </c>
      <c r="J404" s="28">
        <v>45</v>
      </c>
      <c r="L404" s="38">
        <v>1101</v>
      </c>
      <c r="M404" s="2">
        <v>42</v>
      </c>
      <c r="N404" s="2">
        <v>471</v>
      </c>
      <c r="O404" s="2">
        <v>0</v>
      </c>
      <c r="P404" s="2">
        <v>510</v>
      </c>
      <c r="Q404" s="2">
        <v>99</v>
      </c>
      <c r="R404" s="2">
        <v>21</v>
      </c>
      <c r="S404" s="2">
        <v>12</v>
      </c>
      <c r="T404" s="2">
        <v>1</v>
      </c>
      <c r="U404" s="2">
        <v>6</v>
      </c>
      <c r="V404" s="2">
        <v>4</v>
      </c>
      <c r="W404" s="2">
        <v>9</v>
      </c>
      <c r="X404" s="2">
        <v>2</v>
      </c>
    </row>
    <row r="405" spans="1:24" x14ac:dyDescent="0.35">
      <c r="A405">
        <v>1101</v>
      </c>
      <c r="B405">
        <v>71322</v>
      </c>
      <c r="C405">
        <v>55</v>
      </c>
      <c r="D405">
        <v>1</v>
      </c>
      <c r="E405" s="28">
        <v>7.279452054794521</v>
      </c>
      <c r="F405" s="28"/>
      <c r="G405" s="28">
        <v>450</v>
      </c>
      <c r="H405" s="28">
        <v>61798</v>
      </c>
      <c r="I405" s="28">
        <v>0</v>
      </c>
      <c r="J405" s="28">
        <v>56</v>
      </c>
      <c r="L405" s="37">
        <v>1101</v>
      </c>
      <c r="M405" s="3">
        <v>57</v>
      </c>
      <c r="N405" s="3">
        <v>753</v>
      </c>
      <c r="O405" s="3">
        <v>43</v>
      </c>
      <c r="P405" s="3">
        <v>226</v>
      </c>
      <c r="Q405" s="3">
        <v>69</v>
      </c>
      <c r="R405" s="3">
        <v>10</v>
      </c>
      <c r="S405" s="3">
        <v>204</v>
      </c>
      <c r="T405" s="3">
        <v>2</v>
      </c>
      <c r="U405" s="3">
        <v>8</v>
      </c>
      <c r="V405" s="3">
        <v>5</v>
      </c>
      <c r="W405" s="3">
        <v>13</v>
      </c>
      <c r="X405" s="3">
        <v>4</v>
      </c>
    </row>
    <row r="406" spans="1:24" x14ac:dyDescent="0.35">
      <c r="A406">
        <v>1099</v>
      </c>
      <c r="B406">
        <v>71604</v>
      </c>
      <c r="C406">
        <v>75</v>
      </c>
      <c r="D406">
        <v>0</v>
      </c>
      <c r="E406" s="28">
        <v>6.5287671232876709</v>
      </c>
      <c r="F406" s="28"/>
      <c r="G406" s="28">
        <v>447</v>
      </c>
      <c r="H406" s="28">
        <v>65747</v>
      </c>
      <c r="I406" s="28">
        <v>1</v>
      </c>
      <c r="J406" s="28">
        <v>51</v>
      </c>
      <c r="L406" s="38">
        <v>1099</v>
      </c>
      <c r="M406" s="2">
        <v>3</v>
      </c>
      <c r="N406" s="2">
        <v>345</v>
      </c>
      <c r="O406" s="2">
        <v>53</v>
      </c>
      <c r="P406" s="2">
        <v>528</v>
      </c>
      <c r="Q406" s="2">
        <v>98</v>
      </c>
      <c r="R406" s="2">
        <v>75</v>
      </c>
      <c r="S406" s="2">
        <v>97</v>
      </c>
      <c r="T406" s="2">
        <v>1</v>
      </c>
      <c r="U406" s="2">
        <v>8</v>
      </c>
      <c r="V406" s="2">
        <v>3</v>
      </c>
      <c r="W406" s="2">
        <v>5</v>
      </c>
      <c r="X406" s="2">
        <v>4</v>
      </c>
    </row>
    <row r="407" spans="1:24" x14ac:dyDescent="0.35">
      <c r="A407">
        <v>1098</v>
      </c>
      <c r="B407">
        <v>86718</v>
      </c>
      <c r="C407">
        <v>66</v>
      </c>
      <c r="D407">
        <v>0</v>
      </c>
      <c r="E407" s="28">
        <v>7.3616438356164382</v>
      </c>
      <c r="F407" s="28"/>
      <c r="G407" s="28">
        <v>445</v>
      </c>
      <c r="H407" s="28">
        <v>57537</v>
      </c>
      <c r="I407" s="28">
        <v>1</v>
      </c>
      <c r="J407" s="28">
        <v>41</v>
      </c>
      <c r="L407" s="37">
        <v>1098</v>
      </c>
      <c r="M407" s="3">
        <v>20</v>
      </c>
      <c r="N407" s="3">
        <v>344</v>
      </c>
      <c r="O407" s="3">
        <v>189</v>
      </c>
      <c r="P407" s="3">
        <v>482</v>
      </c>
      <c r="Q407" s="3">
        <v>50</v>
      </c>
      <c r="R407" s="3">
        <v>33</v>
      </c>
      <c r="S407" s="3">
        <v>172</v>
      </c>
      <c r="T407" s="3">
        <v>1</v>
      </c>
      <c r="U407" s="3">
        <v>5</v>
      </c>
      <c r="V407" s="3">
        <v>6</v>
      </c>
      <c r="W407" s="3">
        <v>5</v>
      </c>
      <c r="X407" s="3">
        <v>2</v>
      </c>
    </row>
    <row r="408" spans="1:24" x14ac:dyDescent="0.35">
      <c r="A408">
        <v>1098</v>
      </c>
      <c r="B408">
        <v>76842</v>
      </c>
      <c r="C408">
        <v>70</v>
      </c>
      <c r="D408">
        <v>0</v>
      </c>
      <c r="E408" s="28">
        <v>6.0712328767123287</v>
      </c>
      <c r="F408" s="28"/>
      <c r="G408" s="28">
        <v>445</v>
      </c>
      <c r="H408" s="28">
        <v>51518</v>
      </c>
      <c r="I408" s="28">
        <v>1</v>
      </c>
      <c r="J408" s="28">
        <v>62</v>
      </c>
      <c r="L408" s="38">
        <v>1098</v>
      </c>
      <c r="M408" s="2">
        <v>37</v>
      </c>
      <c r="N408" s="2">
        <v>605</v>
      </c>
      <c r="O408" s="2">
        <v>10</v>
      </c>
      <c r="P408" s="2">
        <v>345</v>
      </c>
      <c r="Q408" s="2">
        <v>84</v>
      </c>
      <c r="R408" s="2">
        <v>54</v>
      </c>
      <c r="S408" s="2">
        <v>32</v>
      </c>
      <c r="T408" s="2">
        <v>1</v>
      </c>
      <c r="U408" s="2">
        <v>1</v>
      </c>
      <c r="V408" s="2">
        <v>8</v>
      </c>
      <c r="W408" s="2">
        <v>7</v>
      </c>
      <c r="X408" s="2">
        <v>0</v>
      </c>
    </row>
    <row r="409" spans="1:24" x14ac:dyDescent="0.35">
      <c r="A409">
        <v>1097</v>
      </c>
      <c r="B409">
        <v>72906</v>
      </c>
      <c r="C409">
        <v>65</v>
      </c>
      <c r="D409">
        <v>0</v>
      </c>
      <c r="E409" s="28">
        <v>6.6958904109589037</v>
      </c>
      <c r="F409" s="28"/>
      <c r="G409" s="28">
        <v>445</v>
      </c>
      <c r="H409" s="28">
        <v>51529</v>
      </c>
      <c r="I409" s="28">
        <v>1</v>
      </c>
      <c r="J409" s="28">
        <v>71</v>
      </c>
      <c r="L409" s="37">
        <v>1097</v>
      </c>
      <c r="M409" s="3">
        <v>79</v>
      </c>
      <c r="N409" s="3">
        <v>400</v>
      </c>
      <c r="O409" s="3">
        <v>32</v>
      </c>
      <c r="P409" s="3">
        <v>519</v>
      </c>
      <c r="Q409" s="3">
        <v>71</v>
      </c>
      <c r="R409" s="3">
        <v>75</v>
      </c>
      <c r="S409" s="3">
        <v>54</v>
      </c>
      <c r="T409" s="3">
        <v>1</v>
      </c>
      <c r="U409" s="3">
        <v>3</v>
      </c>
      <c r="V409" s="3">
        <v>4</v>
      </c>
      <c r="W409" s="3">
        <v>9</v>
      </c>
      <c r="X409" s="3">
        <v>1</v>
      </c>
    </row>
    <row r="410" spans="1:24" x14ac:dyDescent="0.35">
      <c r="A410">
        <v>1096</v>
      </c>
      <c r="B410">
        <v>77437</v>
      </c>
      <c r="C410">
        <v>57</v>
      </c>
      <c r="D410">
        <v>0</v>
      </c>
      <c r="E410" s="28">
        <v>6.5041095890410956</v>
      </c>
      <c r="F410" s="28"/>
      <c r="G410" s="28">
        <v>443</v>
      </c>
      <c r="H410" s="28">
        <v>53863</v>
      </c>
      <c r="I410" s="28">
        <v>1</v>
      </c>
      <c r="J410" s="28">
        <v>65</v>
      </c>
      <c r="L410" s="38">
        <v>1096</v>
      </c>
      <c r="M410" s="2">
        <v>70</v>
      </c>
      <c r="N410" s="2">
        <v>560</v>
      </c>
      <c r="O410" s="2">
        <v>21</v>
      </c>
      <c r="P410" s="2">
        <v>442</v>
      </c>
      <c r="Q410" s="2">
        <v>29</v>
      </c>
      <c r="R410" s="2">
        <v>44</v>
      </c>
      <c r="S410" s="2">
        <v>29</v>
      </c>
      <c r="T410" s="2">
        <v>1</v>
      </c>
      <c r="U410" s="2">
        <v>4</v>
      </c>
      <c r="V410" s="2">
        <v>5</v>
      </c>
      <c r="W410" s="2">
        <v>13</v>
      </c>
      <c r="X410" s="2">
        <v>1</v>
      </c>
    </row>
    <row r="411" spans="1:24" x14ac:dyDescent="0.35">
      <c r="A411">
        <v>1096</v>
      </c>
      <c r="B411">
        <v>63693</v>
      </c>
      <c r="C411">
        <v>42</v>
      </c>
      <c r="D411">
        <v>1</v>
      </c>
      <c r="E411" s="28">
        <v>6.6219178082191785</v>
      </c>
      <c r="F411" s="28"/>
      <c r="G411" s="28">
        <v>442</v>
      </c>
      <c r="H411" s="28">
        <v>55521</v>
      </c>
      <c r="I411" s="28">
        <v>1</v>
      </c>
      <c r="J411" s="28">
        <v>65</v>
      </c>
      <c r="L411" s="37">
        <v>1096</v>
      </c>
      <c r="M411" s="3">
        <v>63</v>
      </c>
      <c r="N411" s="3">
        <v>587</v>
      </c>
      <c r="O411" s="3">
        <v>43</v>
      </c>
      <c r="P411" s="3">
        <v>337</v>
      </c>
      <c r="Q411" s="3">
        <v>42</v>
      </c>
      <c r="R411" s="3">
        <v>87</v>
      </c>
      <c r="S411" s="3">
        <v>54</v>
      </c>
      <c r="T411" s="3">
        <v>3</v>
      </c>
      <c r="U411" s="3">
        <v>11</v>
      </c>
      <c r="V411" s="3">
        <v>6</v>
      </c>
      <c r="W411" s="3">
        <v>9</v>
      </c>
      <c r="X411" s="3">
        <v>6</v>
      </c>
    </row>
    <row r="412" spans="1:24" x14ac:dyDescent="0.35">
      <c r="A412">
        <v>1095</v>
      </c>
      <c r="B412">
        <v>78093</v>
      </c>
      <c r="C412">
        <v>73</v>
      </c>
      <c r="D412">
        <v>0</v>
      </c>
      <c r="E412" s="28">
        <v>6.463013698630137</v>
      </c>
      <c r="F412" s="28"/>
      <c r="G412" s="28">
        <v>436</v>
      </c>
      <c r="H412" s="28">
        <v>64014</v>
      </c>
      <c r="I412" s="28">
        <v>1</v>
      </c>
      <c r="J412" s="28">
        <v>74</v>
      </c>
      <c r="L412" s="38">
        <v>1095</v>
      </c>
      <c r="M412" s="2">
        <v>53</v>
      </c>
      <c r="N412" s="2">
        <v>368</v>
      </c>
      <c r="O412" s="2">
        <v>32</v>
      </c>
      <c r="P412" s="2">
        <v>639</v>
      </c>
      <c r="Q412" s="2">
        <v>13</v>
      </c>
      <c r="R412" s="2">
        <v>43</v>
      </c>
      <c r="S412" s="2">
        <v>10</v>
      </c>
      <c r="T412" s="2">
        <v>1</v>
      </c>
      <c r="U412" s="2">
        <v>4</v>
      </c>
      <c r="V412" s="2">
        <v>7</v>
      </c>
      <c r="W412" s="2">
        <v>5</v>
      </c>
      <c r="X412" s="2">
        <v>1</v>
      </c>
    </row>
    <row r="413" spans="1:24" x14ac:dyDescent="0.35">
      <c r="A413">
        <v>1094</v>
      </c>
      <c r="B413">
        <v>61223</v>
      </c>
      <c r="C413">
        <v>53</v>
      </c>
      <c r="D413">
        <v>1</v>
      </c>
      <c r="E413" s="28">
        <v>6.9589041095890414</v>
      </c>
      <c r="F413" s="28"/>
      <c r="G413" s="28">
        <v>435</v>
      </c>
      <c r="H413" s="28">
        <v>50664</v>
      </c>
      <c r="I413" s="28">
        <v>1</v>
      </c>
      <c r="J413" s="28">
        <v>61</v>
      </c>
      <c r="L413" s="37">
        <v>1094</v>
      </c>
      <c r="M413" s="3">
        <v>46</v>
      </c>
      <c r="N413" s="3">
        <v>709</v>
      </c>
      <c r="O413" s="3">
        <v>43</v>
      </c>
      <c r="P413" s="3">
        <v>182</v>
      </c>
      <c r="Q413" s="3">
        <v>42</v>
      </c>
      <c r="R413" s="3">
        <v>118</v>
      </c>
      <c r="S413" s="3">
        <v>247</v>
      </c>
      <c r="T413" s="3">
        <v>2</v>
      </c>
      <c r="U413" s="3">
        <v>9</v>
      </c>
      <c r="V413" s="3">
        <v>3</v>
      </c>
      <c r="W413" s="3">
        <v>4</v>
      </c>
      <c r="X413" s="3">
        <v>5</v>
      </c>
    </row>
    <row r="414" spans="1:24" x14ac:dyDescent="0.35">
      <c r="A414">
        <v>1092</v>
      </c>
      <c r="B414">
        <v>65777</v>
      </c>
      <c r="C414">
        <v>53</v>
      </c>
      <c r="D414">
        <v>0</v>
      </c>
      <c r="E414" s="28">
        <v>6.441095890410959</v>
      </c>
      <c r="F414" s="28"/>
      <c r="G414" s="28">
        <v>433</v>
      </c>
      <c r="H414" s="28">
        <v>51569</v>
      </c>
      <c r="I414" s="28">
        <v>1</v>
      </c>
      <c r="J414" s="28">
        <v>71</v>
      </c>
      <c r="L414" s="38">
        <v>1092</v>
      </c>
      <c r="M414" s="2">
        <v>87</v>
      </c>
      <c r="N414" s="2">
        <v>565</v>
      </c>
      <c r="O414" s="2">
        <v>32</v>
      </c>
      <c r="P414" s="2">
        <v>435</v>
      </c>
      <c r="Q414" s="2">
        <v>28</v>
      </c>
      <c r="R414" s="2">
        <v>32</v>
      </c>
      <c r="S414" s="2">
        <v>54</v>
      </c>
      <c r="T414" s="2">
        <v>1</v>
      </c>
      <c r="U414" s="2">
        <v>2</v>
      </c>
      <c r="V414" s="2">
        <v>8</v>
      </c>
      <c r="W414" s="2">
        <v>6</v>
      </c>
      <c r="X414" s="2">
        <v>1</v>
      </c>
    </row>
    <row r="415" spans="1:24" x14ac:dyDescent="0.35">
      <c r="A415">
        <v>1092</v>
      </c>
      <c r="B415">
        <v>69508</v>
      </c>
      <c r="C415">
        <v>40</v>
      </c>
      <c r="D415">
        <v>1</v>
      </c>
      <c r="E415" s="28">
        <v>7.536986301369863</v>
      </c>
      <c r="F415" s="28"/>
      <c r="G415" s="28">
        <v>433</v>
      </c>
      <c r="H415" s="28">
        <v>49094</v>
      </c>
      <c r="I415" s="28">
        <v>1</v>
      </c>
      <c r="J415" s="28">
        <v>47</v>
      </c>
      <c r="L415" s="37">
        <v>1092</v>
      </c>
      <c r="M415" s="3">
        <v>48</v>
      </c>
      <c r="N415" s="3">
        <v>824</v>
      </c>
      <c r="O415" s="3">
        <v>32</v>
      </c>
      <c r="P415" s="3">
        <v>162</v>
      </c>
      <c r="Q415" s="3">
        <v>42</v>
      </c>
      <c r="R415" s="3">
        <v>32</v>
      </c>
      <c r="S415" s="3">
        <v>43</v>
      </c>
      <c r="T415" s="3">
        <v>2</v>
      </c>
      <c r="U415" s="3">
        <v>11</v>
      </c>
      <c r="V415" s="3">
        <v>4</v>
      </c>
      <c r="W415" s="3">
        <v>11</v>
      </c>
      <c r="X415" s="3">
        <v>6</v>
      </c>
    </row>
    <row r="416" spans="1:24" x14ac:dyDescent="0.35">
      <c r="A416">
        <v>1089</v>
      </c>
      <c r="B416">
        <v>82025</v>
      </c>
      <c r="C416">
        <v>37</v>
      </c>
      <c r="D416">
        <v>0</v>
      </c>
      <c r="E416" s="28">
        <v>7.0027397260273974</v>
      </c>
      <c r="F416" s="28"/>
      <c r="G416" s="28">
        <v>432</v>
      </c>
      <c r="H416" s="28">
        <v>55801</v>
      </c>
      <c r="I416" s="28">
        <v>1</v>
      </c>
      <c r="J416" s="28">
        <v>45</v>
      </c>
      <c r="L416" s="38">
        <v>1089</v>
      </c>
      <c r="M416" s="2">
        <v>76</v>
      </c>
      <c r="N416" s="2">
        <v>267</v>
      </c>
      <c r="O416" s="2">
        <v>98</v>
      </c>
      <c r="P416" s="2">
        <v>606</v>
      </c>
      <c r="Q416" s="2">
        <v>48</v>
      </c>
      <c r="R416" s="2">
        <v>70</v>
      </c>
      <c r="S416" s="2">
        <v>98</v>
      </c>
      <c r="T416" s="2">
        <v>1</v>
      </c>
      <c r="U416" s="2">
        <v>3</v>
      </c>
      <c r="V416" s="2">
        <v>2</v>
      </c>
      <c r="W416" s="2">
        <v>6</v>
      </c>
      <c r="X416" s="2">
        <v>1</v>
      </c>
    </row>
    <row r="417" spans="1:24" x14ac:dyDescent="0.35">
      <c r="A417">
        <v>1089</v>
      </c>
      <c r="B417">
        <v>77972</v>
      </c>
      <c r="C417">
        <v>66</v>
      </c>
      <c r="D417">
        <v>0</v>
      </c>
      <c r="E417" s="28">
        <v>6.1972602739726028</v>
      </c>
      <c r="F417" s="28"/>
      <c r="G417" s="28">
        <v>407</v>
      </c>
      <c r="H417" s="28">
        <v>50353</v>
      </c>
      <c r="I417" s="28">
        <v>0</v>
      </c>
      <c r="J417" s="28">
        <v>43</v>
      </c>
      <c r="L417" s="37">
        <v>1089</v>
      </c>
      <c r="M417" s="3">
        <v>18</v>
      </c>
      <c r="N417" s="3">
        <v>613</v>
      </c>
      <c r="O417" s="3">
        <v>22</v>
      </c>
      <c r="P417" s="3">
        <v>319</v>
      </c>
      <c r="Q417" s="3">
        <v>33</v>
      </c>
      <c r="R417" s="3">
        <v>102</v>
      </c>
      <c r="S417" s="3">
        <v>12</v>
      </c>
      <c r="T417" s="3">
        <v>1</v>
      </c>
      <c r="U417" s="3">
        <v>4</v>
      </c>
      <c r="V417" s="3">
        <v>6</v>
      </c>
      <c r="W417" s="3">
        <v>9</v>
      </c>
      <c r="X417" s="3">
        <v>1</v>
      </c>
    </row>
    <row r="418" spans="1:24" x14ac:dyDescent="0.35">
      <c r="A418">
        <v>1089</v>
      </c>
      <c r="B418">
        <v>92533</v>
      </c>
      <c r="C418">
        <v>35</v>
      </c>
      <c r="D418">
        <v>0</v>
      </c>
      <c r="E418" s="28">
        <v>6.441095890410959</v>
      </c>
      <c r="F418" s="28"/>
      <c r="G418" s="28">
        <v>399</v>
      </c>
      <c r="H418" s="28">
        <v>50150</v>
      </c>
      <c r="I418" s="28">
        <v>0</v>
      </c>
      <c r="J418" s="28">
        <v>37</v>
      </c>
      <c r="L418" s="38">
        <v>1089</v>
      </c>
      <c r="M418" s="2">
        <v>84</v>
      </c>
      <c r="N418" s="2">
        <v>693</v>
      </c>
      <c r="O418" s="2">
        <v>21</v>
      </c>
      <c r="P418" s="2">
        <v>118</v>
      </c>
      <c r="Q418" s="2">
        <v>110</v>
      </c>
      <c r="R418" s="2">
        <v>147</v>
      </c>
      <c r="S418" s="2">
        <v>42</v>
      </c>
      <c r="T418" s="2">
        <v>1</v>
      </c>
      <c r="U418" s="2">
        <v>6</v>
      </c>
      <c r="V418" s="2">
        <v>5</v>
      </c>
      <c r="W418" s="2">
        <v>11</v>
      </c>
      <c r="X418" s="2">
        <v>2</v>
      </c>
    </row>
    <row r="419" spans="1:24" x14ac:dyDescent="0.35">
      <c r="A419">
        <v>1087</v>
      </c>
      <c r="B419">
        <v>83664</v>
      </c>
      <c r="C419">
        <v>52</v>
      </c>
      <c r="D419">
        <v>1</v>
      </c>
      <c r="E419" s="28">
        <v>7.0575342465753428</v>
      </c>
      <c r="F419" s="28"/>
      <c r="G419" s="28">
        <v>395</v>
      </c>
      <c r="H419" s="28">
        <v>59412</v>
      </c>
      <c r="I419" s="28">
        <v>0</v>
      </c>
      <c r="J419" s="28">
        <v>69</v>
      </c>
      <c r="L419" s="37">
        <v>1087</v>
      </c>
      <c r="M419" s="3">
        <v>57</v>
      </c>
      <c r="N419" s="3">
        <v>866</v>
      </c>
      <c r="O419" s="3">
        <v>21</v>
      </c>
      <c r="P419" s="3">
        <v>151</v>
      </c>
      <c r="Q419" s="3">
        <v>28</v>
      </c>
      <c r="R419" s="3">
        <v>21</v>
      </c>
      <c r="S419" s="3">
        <v>86</v>
      </c>
      <c r="T419" s="3">
        <v>3</v>
      </c>
      <c r="U419" s="3">
        <v>2</v>
      </c>
      <c r="V419" s="3">
        <v>2</v>
      </c>
      <c r="W419" s="3">
        <v>12</v>
      </c>
      <c r="X419" s="3">
        <v>5</v>
      </c>
    </row>
    <row r="420" spans="1:24" x14ac:dyDescent="0.35">
      <c r="A420">
        <v>1085</v>
      </c>
      <c r="B420">
        <v>62745</v>
      </c>
      <c r="C420">
        <v>55</v>
      </c>
      <c r="D420">
        <v>1</v>
      </c>
      <c r="E420" s="28">
        <v>7.183561643835616</v>
      </c>
      <c r="F420" s="28"/>
      <c r="G420" s="28">
        <v>395</v>
      </c>
      <c r="H420" s="28">
        <v>62972</v>
      </c>
      <c r="I420" s="28">
        <v>1</v>
      </c>
      <c r="J420" s="28">
        <v>65</v>
      </c>
      <c r="L420" s="38">
        <v>1085</v>
      </c>
      <c r="M420" s="2">
        <v>89</v>
      </c>
      <c r="N420" s="2">
        <v>562</v>
      </c>
      <c r="O420" s="2">
        <v>21</v>
      </c>
      <c r="P420" s="2">
        <v>464</v>
      </c>
      <c r="Q420" s="2">
        <v>28</v>
      </c>
      <c r="R420" s="2">
        <v>10</v>
      </c>
      <c r="S420" s="2">
        <v>32</v>
      </c>
      <c r="T420" s="2">
        <v>3</v>
      </c>
      <c r="U420" s="2">
        <v>7</v>
      </c>
      <c r="V420" s="2">
        <v>8</v>
      </c>
      <c r="W420" s="2">
        <v>11</v>
      </c>
      <c r="X420" s="2">
        <v>5</v>
      </c>
    </row>
    <row r="421" spans="1:24" x14ac:dyDescent="0.35">
      <c r="A421">
        <v>1085</v>
      </c>
      <c r="B421">
        <v>63943</v>
      </c>
      <c r="C421">
        <v>64</v>
      </c>
      <c r="D421">
        <v>1</v>
      </c>
      <c r="E421" s="28">
        <v>7.7369863013698632</v>
      </c>
      <c r="F421" s="28"/>
      <c r="G421" s="28">
        <v>394</v>
      </c>
      <c r="H421" s="28">
        <v>37070</v>
      </c>
      <c r="I421" s="28">
        <v>1</v>
      </c>
      <c r="J421" s="28">
        <v>54</v>
      </c>
      <c r="L421" s="37">
        <v>1085</v>
      </c>
      <c r="M421" s="3">
        <v>50</v>
      </c>
      <c r="N421" s="3">
        <v>423</v>
      </c>
      <c r="O421" s="3">
        <v>184</v>
      </c>
      <c r="P421" s="3">
        <v>368</v>
      </c>
      <c r="Q421" s="3">
        <v>13</v>
      </c>
      <c r="R421" s="3">
        <v>97</v>
      </c>
      <c r="S421" s="3">
        <v>21</v>
      </c>
      <c r="T421" s="3">
        <v>1</v>
      </c>
      <c r="U421" s="3">
        <v>6</v>
      </c>
      <c r="V421" s="3">
        <v>4</v>
      </c>
      <c r="W421" s="3">
        <v>6</v>
      </c>
      <c r="X421" s="3">
        <v>5</v>
      </c>
    </row>
    <row r="422" spans="1:24" x14ac:dyDescent="0.35">
      <c r="A422">
        <v>1084</v>
      </c>
      <c r="B422">
        <v>66636</v>
      </c>
      <c r="C422">
        <v>63</v>
      </c>
      <c r="D422">
        <v>0</v>
      </c>
      <c r="E422" s="28">
        <v>6.7808219178082192</v>
      </c>
      <c r="F422" s="28"/>
      <c r="G422" s="28">
        <v>392</v>
      </c>
      <c r="H422" s="28">
        <v>57744</v>
      </c>
      <c r="I422" s="28">
        <v>1</v>
      </c>
      <c r="J422" s="28">
        <v>66</v>
      </c>
      <c r="L422" s="38">
        <v>1084</v>
      </c>
      <c r="M422" s="2">
        <v>64</v>
      </c>
      <c r="N422" s="2">
        <v>291</v>
      </c>
      <c r="O422" s="2">
        <v>10</v>
      </c>
      <c r="P422" s="2">
        <v>689</v>
      </c>
      <c r="Q422" s="2">
        <v>84</v>
      </c>
      <c r="R422" s="2">
        <v>10</v>
      </c>
      <c r="S422" s="2">
        <v>0</v>
      </c>
      <c r="T422" s="2">
        <v>1</v>
      </c>
      <c r="U422" s="2">
        <v>3</v>
      </c>
      <c r="V422" s="2">
        <v>4</v>
      </c>
      <c r="W422" s="2">
        <v>9</v>
      </c>
      <c r="X422" s="2">
        <v>1</v>
      </c>
    </row>
    <row r="423" spans="1:24" x14ac:dyDescent="0.35">
      <c r="A423">
        <v>1080</v>
      </c>
      <c r="B423">
        <v>63342</v>
      </c>
      <c r="C423">
        <v>59</v>
      </c>
      <c r="D423">
        <v>1</v>
      </c>
      <c r="E423" s="28">
        <v>7.6164383561643838</v>
      </c>
      <c r="F423" s="28"/>
      <c r="G423" s="28">
        <v>390</v>
      </c>
      <c r="H423" s="28">
        <v>60432</v>
      </c>
      <c r="I423" s="28">
        <v>1</v>
      </c>
      <c r="J423" s="28">
        <v>47</v>
      </c>
      <c r="L423" s="37">
        <v>1080</v>
      </c>
      <c r="M423" s="3">
        <v>48</v>
      </c>
      <c r="N423" s="3">
        <v>918</v>
      </c>
      <c r="O423" s="3">
        <v>21</v>
      </c>
      <c r="P423" s="3">
        <v>118</v>
      </c>
      <c r="Q423" s="3">
        <v>13</v>
      </c>
      <c r="R423" s="3">
        <v>10</v>
      </c>
      <c r="S423" s="3">
        <v>21</v>
      </c>
      <c r="T423" s="3">
        <v>3</v>
      </c>
      <c r="U423" s="3">
        <v>8</v>
      </c>
      <c r="V423" s="3">
        <v>3</v>
      </c>
      <c r="W423" s="3">
        <v>5</v>
      </c>
      <c r="X423" s="3">
        <v>6</v>
      </c>
    </row>
    <row r="424" spans="1:24" x14ac:dyDescent="0.35">
      <c r="A424">
        <v>1080</v>
      </c>
      <c r="B424">
        <v>63342</v>
      </c>
      <c r="C424">
        <v>59</v>
      </c>
      <c r="D424">
        <v>1</v>
      </c>
      <c r="E424" s="28">
        <v>7.6164383561643838</v>
      </c>
      <c r="F424" s="28"/>
      <c r="G424" s="28">
        <v>389</v>
      </c>
      <c r="H424" s="28">
        <v>53367</v>
      </c>
      <c r="I424" s="28">
        <v>1</v>
      </c>
      <c r="J424" s="28">
        <v>46</v>
      </c>
      <c r="L424" s="38">
        <v>1080</v>
      </c>
      <c r="M424" s="2">
        <v>48</v>
      </c>
      <c r="N424" s="2">
        <v>918</v>
      </c>
      <c r="O424" s="2">
        <v>21</v>
      </c>
      <c r="P424" s="2">
        <v>118</v>
      </c>
      <c r="Q424" s="2">
        <v>13</v>
      </c>
      <c r="R424" s="2">
        <v>10</v>
      </c>
      <c r="S424" s="2">
        <v>21</v>
      </c>
      <c r="T424" s="2">
        <v>3</v>
      </c>
      <c r="U424" s="2">
        <v>8</v>
      </c>
      <c r="V424" s="2">
        <v>3</v>
      </c>
      <c r="W424" s="2">
        <v>5</v>
      </c>
      <c r="X424" s="2">
        <v>6</v>
      </c>
    </row>
    <row r="425" spans="1:24" x14ac:dyDescent="0.35">
      <c r="A425">
        <v>1078</v>
      </c>
      <c r="B425">
        <v>64108</v>
      </c>
      <c r="C425">
        <v>67</v>
      </c>
      <c r="D425">
        <v>1</v>
      </c>
      <c r="E425" s="28">
        <v>7.183561643835616</v>
      </c>
      <c r="F425" s="28"/>
      <c r="G425" s="28">
        <v>389</v>
      </c>
      <c r="H425" s="28">
        <v>47025</v>
      </c>
      <c r="I425" s="28">
        <v>1</v>
      </c>
      <c r="J425" s="28">
        <v>44</v>
      </c>
      <c r="L425" s="37">
        <v>1078</v>
      </c>
      <c r="M425" s="3">
        <v>8</v>
      </c>
      <c r="N425" s="3">
        <v>948</v>
      </c>
      <c r="O425" s="3">
        <v>10</v>
      </c>
      <c r="P425" s="3">
        <v>86</v>
      </c>
      <c r="Q425" s="3">
        <v>13</v>
      </c>
      <c r="R425" s="3">
        <v>21</v>
      </c>
      <c r="S425" s="3">
        <v>21</v>
      </c>
      <c r="T425" s="3">
        <v>4</v>
      </c>
      <c r="U425" s="3">
        <v>6</v>
      </c>
      <c r="V425" s="3">
        <v>9</v>
      </c>
      <c r="W425" s="3">
        <v>11</v>
      </c>
      <c r="X425" s="3">
        <v>5</v>
      </c>
    </row>
    <row r="426" spans="1:24" x14ac:dyDescent="0.35">
      <c r="A426">
        <v>1076</v>
      </c>
      <c r="B426">
        <v>71969</v>
      </c>
      <c r="C426">
        <v>49</v>
      </c>
      <c r="D426">
        <v>1</v>
      </c>
      <c r="E426" s="28">
        <v>7.6164383561643838</v>
      </c>
      <c r="F426" s="28"/>
      <c r="G426" s="28">
        <v>389</v>
      </c>
      <c r="H426" s="28">
        <v>56243</v>
      </c>
      <c r="I426" s="28">
        <v>1</v>
      </c>
      <c r="J426" s="28">
        <v>45</v>
      </c>
      <c r="L426" s="38">
        <v>1076</v>
      </c>
      <c r="M426" s="2">
        <v>59</v>
      </c>
      <c r="N426" s="2">
        <v>1000</v>
      </c>
      <c r="O426" s="2">
        <v>0</v>
      </c>
      <c r="P426" s="2">
        <v>76</v>
      </c>
      <c r="Q426" s="2">
        <v>0</v>
      </c>
      <c r="R426" s="2">
        <v>0</v>
      </c>
      <c r="S426" s="2">
        <v>10</v>
      </c>
      <c r="T426" s="2">
        <v>3</v>
      </c>
      <c r="U426" s="2">
        <v>3</v>
      </c>
      <c r="V426" s="2">
        <v>4</v>
      </c>
      <c r="W426" s="2">
        <v>9</v>
      </c>
      <c r="X426" s="2">
        <v>8</v>
      </c>
    </row>
    <row r="427" spans="1:24" x14ac:dyDescent="0.35">
      <c r="A427">
        <v>1073</v>
      </c>
      <c r="B427">
        <v>81217</v>
      </c>
      <c r="C427">
        <v>31</v>
      </c>
      <c r="D427">
        <v>0</v>
      </c>
      <c r="E427" s="28">
        <v>6.86027397260274</v>
      </c>
      <c r="F427" s="28"/>
      <c r="G427" s="28">
        <v>388</v>
      </c>
      <c r="H427" s="28">
        <v>53201</v>
      </c>
      <c r="I427" s="28">
        <v>1</v>
      </c>
      <c r="J427" s="28">
        <v>45</v>
      </c>
      <c r="L427" s="37">
        <v>1073</v>
      </c>
      <c r="M427" s="3">
        <v>77</v>
      </c>
      <c r="N427" s="3">
        <v>493</v>
      </c>
      <c r="O427" s="3">
        <v>70</v>
      </c>
      <c r="P427" s="3">
        <v>324</v>
      </c>
      <c r="Q427" s="3">
        <v>146</v>
      </c>
      <c r="R427" s="3">
        <v>40</v>
      </c>
      <c r="S427" s="3">
        <v>84</v>
      </c>
      <c r="T427" s="3">
        <v>1</v>
      </c>
      <c r="U427" s="3">
        <v>3</v>
      </c>
      <c r="V427" s="3">
        <v>7</v>
      </c>
      <c r="W427" s="3">
        <v>11</v>
      </c>
      <c r="X427" s="3">
        <v>1</v>
      </c>
    </row>
    <row r="428" spans="1:24" x14ac:dyDescent="0.35">
      <c r="A428">
        <v>1072</v>
      </c>
      <c r="B428">
        <v>87305</v>
      </c>
      <c r="C428">
        <v>60</v>
      </c>
      <c r="D428">
        <v>0</v>
      </c>
      <c r="E428" s="28">
        <v>7.6794520547945204</v>
      </c>
      <c r="F428" s="28"/>
      <c r="G428" s="28">
        <v>386</v>
      </c>
      <c r="H428" s="28">
        <v>42014</v>
      </c>
      <c r="I428" s="28">
        <v>1</v>
      </c>
      <c r="J428" s="28">
        <v>43</v>
      </c>
      <c r="L428" s="38">
        <v>1072</v>
      </c>
      <c r="M428" s="2">
        <v>19</v>
      </c>
      <c r="N428" s="2">
        <v>345</v>
      </c>
      <c r="O428" s="2">
        <v>25</v>
      </c>
      <c r="P428" s="2">
        <v>501</v>
      </c>
      <c r="Q428" s="2">
        <v>63</v>
      </c>
      <c r="R428" s="2">
        <v>138</v>
      </c>
      <c r="S428" s="2">
        <v>80</v>
      </c>
      <c r="T428" s="2">
        <v>1</v>
      </c>
      <c r="U428" s="2">
        <v>5</v>
      </c>
      <c r="V428" s="2">
        <v>3</v>
      </c>
      <c r="W428" s="2">
        <v>8</v>
      </c>
      <c r="X428" s="2">
        <v>2</v>
      </c>
    </row>
    <row r="429" spans="1:24" x14ac:dyDescent="0.35">
      <c r="A429">
        <v>1072</v>
      </c>
      <c r="B429">
        <v>63033</v>
      </c>
      <c r="C429">
        <v>61</v>
      </c>
      <c r="D429">
        <v>0</v>
      </c>
      <c r="E429" s="28">
        <v>6.5342465753424657</v>
      </c>
      <c r="F429" s="28"/>
      <c r="G429" s="28">
        <v>386</v>
      </c>
      <c r="H429" s="28">
        <v>73395</v>
      </c>
      <c r="I429" s="28">
        <v>0</v>
      </c>
      <c r="J429" s="28">
        <v>33</v>
      </c>
      <c r="L429" s="37">
        <v>1072</v>
      </c>
      <c r="M429" s="3">
        <v>82</v>
      </c>
      <c r="N429" s="3">
        <v>194</v>
      </c>
      <c r="O429" s="3">
        <v>61</v>
      </c>
      <c r="P429" s="3">
        <v>480</v>
      </c>
      <c r="Q429" s="3">
        <v>225</v>
      </c>
      <c r="R429" s="3">
        <v>112</v>
      </c>
      <c r="S429" s="3">
        <v>30</v>
      </c>
      <c r="T429" s="3">
        <v>1</v>
      </c>
      <c r="U429" s="3">
        <v>3</v>
      </c>
      <c r="V429" s="3">
        <v>4</v>
      </c>
      <c r="W429" s="3">
        <v>8</v>
      </c>
      <c r="X429" s="3">
        <v>2</v>
      </c>
    </row>
    <row r="430" spans="1:24" x14ac:dyDescent="0.35">
      <c r="A430">
        <v>1070</v>
      </c>
      <c r="B430">
        <v>65706</v>
      </c>
      <c r="C430">
        <v>50</v>
      </c>
      <c r="D430">
        <v>0</v>
      </c>
      <c r="E430" s="28">
        <v>6.9178082191780819</v>
      </c>
      <c r="F430" s="28"/>
      <c r="G430" s="28">
        <v>385</v>
      </c>
      <c r="H430" s="28">
        <v>47958</v>
      </c>
      <c r="I430" s="28">
        <v>1</v>
      </c>
      <c r="J430" s="28">
        <v>68</v>
      </c>
      <c r="L430" s="38">
        <v>1070</v>
      </c>
      <c r="M430" s="2">
        <v>77</v>
      </c>
      <c r="N430" s="2">
        <v>918</v>
      </c>
      <c r="O430" s="2">
        <v>10</v>
      </c>
      <c r="P430" s="2">
        <v>129</v>
      </c>
      <c r="Q430" s="2">
        <v>13</v>
      </c>
      <c r="R430" s="2">
        <v>0</v>
      </c>
      <c r="S430" s="2">
        <v>129</v>
      </c>
      <c r="T430" s="2">
        <v>1</v>
      </c>
      <c r="U430" s="2">
        <v>11</v>
      </c>
      <c r="V430" s="2">
        <v>3</v>
      </c>
      <c r="W430" s="2">
        <v>12</v>
      </c>
      <c r="X430" s="2">
        <v>7</v>
      </c>
    </row>
    <row r="431" spans="1:24" x14ac:dyDescent="0.35">
      <c r="A431">
        <v>1061</v>
      </c>
      <c r="B431">
        <v>75154</v>
      </c>
      <c r="C431">
        <v>62</v>
      </c>
      <c r="D431">
        <v>1</v>
      </c>
      <c r="E431" s="28">
        <v>7.7315068493150685</v>
      </c>
      <c r="F431" s="28"/>
      <c r="G431" s="28">
        <v>385</v>
      </c>
      <c r="H431" s="28">
        <v>56962</v>
      </c>
      <c r="I431" s="28">
        <v>1</v>
      </c>
      <c r="J431" s="28">
        <v>55</v>
      </c>
      <c r="L431" s="37">
        <v>1061</v>
      </c>
      <c r="M431" s="3">
        <v>79</v>
      </c>
      <c r="N431" s="3">
        <v>543</v>
      </c>
      <c r="O431" s="3">
        <v>10</v>
      </c>
      <c r="P431" s="3">
        <v>205</v>
      </c>
      <c r="Q431" s="3">
        <v>160</v>
      </c>
      <c r="R431" s="3">
        <v>143</v>
      </c>
      <c r="S431" s="3">
        <v>82</v>
      </c>
      <c r="T431" s="3">
        <v>1</v>
      </c>
      <c r="U431" s="3">
        <v>6</v>
      </c>
      <c r="V431" s="3">
        <v>3</v>
      </c>
      <c r="W431" s="3">
        <v>6</v>
      </c>
      <c r="X431" s="3">
        <v>3</v>
      </c>
    </row>
    <row r="432" spans="1:24" x14ac:dyDescent="0.35">
      <c r="A432">
        <v>1059</v>
      </c>
      <c r="B432">
        <v>87195</v>
      </c>
      <c r="C432">
        <v>61</v>
      </c>
      <c r="D432">
        <v>0</v>
      </c>
      <c r="E432" s="28">
        <v>6.0575342465753428</v>
      </c>
      <c r="F432" s="28"/>
      <c r="G432" s="28">
        <v>385</v>
      </c>
      <c r="H432" s="28">
        <v>43795</v>
      </c>
      <c r="I432" s="28">
        <v>1</v>
      </c>
      <c r="J432" s="28">
        <v>52</v>
      </c>
      <c r="L432" s="38">
        <v>1059</v>
      </c>
      <c r="M432" s="2">
        <v>35</v>
      </c>
      <c r="N432" s="2">
        <v>217</v>
      </c>
      <c r="O432" s="2">
        <v>76</v>
      </c>
      <c r="P432" s="2">
        <v>690</v>
      </c>
      <c r="Q432" s="2">
        <v>50</v>
      </c>
      <c r="R432" s="2">
        <v>26</v>
      </c>
      <c r="S432" s="2">
        <v>38</v>
      </c>
      <c r="T432" s="2">
        <v>1</v>
      </c>
      <c r="U432" s="2">
        <v>3</v>
      </c>
      <c r="V432" s="2">
        <v>11</v>
      </c>
      <c r="W432" s="2">
        <v>5</v>
      </c>
      <c r="X432" s="2">
        <v>1</v>
      </c>
    </row>
    <row r="433" spans="1:24" x14ac:dyDescent="0.35">
      <c r="A433">
        <v>1059</v>
      </c>
      <c r="B433">
        <v>81698</v>
      </c>
      <c r="C433">
        <v>37</v>
      </c>
      <c r="D433">
        <v>0</v>
      </c>
      <c r="E433" s="28">
        <v>7.2438356164383562</v>
      </c>
      <c r="F433" s="28"/>
      <c r="G433" s="28">
        <v>382</v>
      </c>
      <c r="H433" s="28">
        <v>59973</v>
      </c>
      <c r="I433" s="28">
        <v>0</v>
      </c>
      <c r="J433" s="28">
        <v>48</v>
      </c>
      <c r="L433" s="37">
        <v>1059</v>
      </c>
      <c r="M433" s="3">
        <v>1</v>
      </c>
      <c r="N433" s="3">
        <v>709</v>
      </c>
      <c r="O433" s="3">
        <v>45</v>
      </c>
      <c r="P433" s="3">
        <v>115</v>
      </c>
      <c r="Q433" s="3">
        <v>30</v>
      </c>
      <c r="R433" s="3">
        <v>160</v>
      </c>
      <c r="S433" s="3">
        <v>45</v>
      </c>
      <c r="T433" s="3">
        <v>1</v>
      </c>
      <c r="U433" s="3">
        <v>8</v>
      </c>
      <c r="V433" s="3">
        <v>2</v>
      </c>
      <c r="W433" s="3">
        <v>5</v>
      </c>
      <c r="X433" s="3">
        <v>5</v>
      </c>
    </row>
    <row r="434" spans="1:24" x14ac:dyDescent="0.35">
      <c r="A434">
        <v>1058</v>
      </c>
      <c r="B434">
        <v>85693</v>
      </c>
      <c r="C434">
        <v>41</v>
      </c>
      <c r="D434">
        <v>1</v>
      </c>
      <c r="E434" s="28">
        <v>7.1068493150684935</v>
      </c>
      <c r="F434" s="28"/>
      <c r="G434" s="28">
        <v>382</v>
      </c>
      <c r="H434" s="28">
        <v>65352</v>
      </c>
      <c r="I434" s="28">
        <v>1</v>
      </c>
      <c r="J434" s="28">
        <v>46</v>
      </c>
      <c r="L434" s="38">
        <v>1058</v>
      </c>
      <c r="M434" s="2">
        <v>59</v>
      </c>
      <c r="N434" s="2">
        <v>386</v>
      </c>
      <c r="O434" s="2">
        <v>172</v>
      </c>
      <c r="P434" s="2">
        <v>183</v>
      </c>
      <c r="Q434" s="2">
        <v>185</v>
      </c>
      <c r="R434" s="2">
        <v>132</v>
      </c>
      <c r="S434" s="2">
        <v>111</v>
      </c>
      <c r="T434" s="2">
        <v>2</v>
      </c>
      <c r="U434" s="2">
        <v>9</v>
      </c>
      <c r="V434" s="2">
        <v>5</v>
      </c>
      <c r="W434" s="2">
        <v>11</v>
      </c>
      <c r="X434" s="2">
        <v>5</v>
      </c>
    </row>
    <row r="435" spans="1:24" x14ac:dyDescent="0.35">
      <c r="A435">
        <v>1056</v>
      </c>
      <c r="B435">
        <v>63998</v>
      </c>
      <c r="C435">
        <v>68</v>
      </c>
      <c r="D435">
        <v>0</v>
      </c>
      <c r="E435" s="28">
        <v>6.4383561643835616</v>
      </c>
      <c r="F435" s="28"/>
      <c r="G435" s="28">
        <v>382</v>
      </c>
      <c r="H435" s="28">
        <v>48432</v>
      </c>
      <c r="I435" s="28">
        <v>1</v>
      </c>
      <c r="J435" s="28">
        <v>47</v>
      </c>
      <c r="L435" s="37">
        <v>1056</v>
      </c>
      <c r="M435" s="3">
        <v>42</v>
      </c>
      <c r="N435" s="3">
        <v>176</v>
      </c>
      <c r="O435" s="3">
        <v>29</v>
      </c>
      <c r="P435" s="3">
        <v>818</v>
      </c>
      <c r="Q435" s="3">
        <v>0</v>
      </c>
      <c r="R435" s="3">
        <v>33</v>
      </c>
      <c r="S435" s="3">
        <v>112</v>
      </c>
      <c r="T435" s="3">
        <v>1</v>
      </c>
      <c r="U435" s="3">
        <v>7</v>
      </c>
      <c r="V435" s="3">
        <v>6</v>
      </c>
      <c r="W435" s="3">
        <v>11</v>
      </c>
      <c r="X435" s="3">
        <v>4</v>
      </c>
    </row>
    <row r="436" spans="1:24" x14ac:dyDescent="0.35">
      <c r="A436">
        <v>1054</v>
      </c>
      <c r="B436">
        <v>67786</v>
      </c>
      <c r="C436">
        <v>61</v>
      </c>
      <c r="D436">
        <v>0</v>
      </c>
      <c r="E436" s="28">
        <v>6.4739726027397264</v>
      </c>
      <c r="F436" s="28"/>
      <c r="G436" s="28">
        <v>377</v>
      </c>
      <c r="H436" s="28">
        <v>58494</v>
      </c>
      <c r="I436" s="28">
        <v>1</v>
      </c>
      <c r="J436" s="28">
        <v>46</v>
      </c>
      <c r="L436" s="38">
        <v>1054</v>
      </c>
      <c r="M436" s="2">
        <v>0</v>
      </c>
      <c r="N436" s="2">
        <v>431</v>
      </c>
      <c r="O436" s="2">
        <v>82</v>
      </c>
      <c r="P436" s="2">
        <v>441</v>
      </c>
      <c r="Q436" s="2">
        <v>80</v>
      </c>
      <c r="R436" s="2">
        <v>20</v>
      </c>
      <c r="S436" s="2">
        <v>102</v>
      </c>
      <c r="T436" s="2">
        <v>1</v>
      </c>
      <c r="U436" s="2">
        <v>3</v>
      </c>
      <c r="V436" s="2">
        <v>6</v>
      </c>
      <c r="W436" s="2">
        <v>6</v>
      </c>
      <c r="X436" s="2">
        <v>1</v>
      </c>
    </row>
    <row r="437" spans="1:24" x14ac:dyDescent="0.35">
      <c r="A437">
        <v>1053</v>
      </c>
      <c r="B437">
        <v>70287</v>
      </c>
      <c r="C437">
        <v>54</v>
      </c>
      <c r="D437">
        <v>0</v>
      </c>
      <c r="E437" s="28">
        <v>7.1561643835616442</v>
      </c>
      <c r="F437" s="28"/>
      <c r="G437" s="28">
        <v>358</v>
      </c>
      <c r="H437" s="28">
        <v>47009</v>
      </c>
      <c r="I437" s="28">
        <v>1</v>
      </c>
      <c r="J437" s="28">
        <v>55</v>
      </c>
      <c r="L437" s="37">
        <v>1053</v>
      </c>
      <c r="M437" s="3">
        <v>30</v>
      </c>
      <c r="N437" s="3">
        <v>295</v>
      </c>
      <c r="O437" s="3">
        <v>35</v>
      </c>
      <c r="P437" s="3">
        <v>482</v>
      </c>
      <c r="Q437" s="3">
        <v>121</v>
      </c>
      <c r="R437" s="3">
        <v>120</v>
      </c>
      <c r="S437" s="3">
        <v>40</v>
      </c>
      <c r="T437" s="3">
        <v>1</v>
      </c>
      <c r="U437" s="3">
        <v>5</v>
      </c>
      <c r="V437" s="3">
        <v>5</v>
      </c>
      <c r="W437" s="3">
        <v>10</v>
      </c>
      <c r="X437" s="3">
        <v>3</v>
      </c>
    </row>
    <row r="438" spans="1:24" x14ac:dyDescent="0.35">
      <c r="A438">
        <v>1052</v>
      </c>
      <c r="B438">
        <v>57136</v>
      </c>
      <c r="C438">
        <v>53</v>
      </c>
      <c r="D438">
        <v>0</v>
      </c>
      <c r="E438" s="28">
        <v>7.0301369863013701</v>
      </c>
      <c r="F438" s="28"/>
      <c r="G438" s="28">
        <v>349</v>
      </c>
      <c r="H438" s="28">
        <v>45837</v>
      </c>
      <c r="I438" s="28">
        <v>1</v>
      </c>
      <c r="J438" s="28">
        <v>46</v>
      </c>
      <c r="L438" s="38">
        <v>1052</v>
      </c>
      <c r="M438" s="2">
        <v>18</v>
      </c>
      <c r="N438" s="2">
        <v>267</v>
      </c>
      <c r="O438" s="2">
        <v>140</v>
      </c>
      <c r="P438" s="2">
        <v>599</v>
      </c>
      <c r="Q438" s="2">
        <v>34</v>
      </c>
      <c r="R438" s="2">
        <v>12</v>
      </c>
      <c r="S438" s="2">
        <v>127</v>
      </c>
      <c r="T438" s="2">
        <v>1</v>
      </c>
      <c r="U438" s="2">
        <v>7</v>
      </c>
      <c r="V438" s="2">
        <v>5</v>
      </c>
      <c r="W438" s="2">
        <v>7</v>
      </c>
      <c r="X438" s="2">
        <v>6</v>
      </c>
    </row>
    <row r="439" spans="1:24" x14ac:dyDescent="0.35">
      <c r="A439">
        <v>1051</v>
      </c>
      <c r="B439">
        <v>68695</v>
      </c>
      <c r="C439">
        <v>51</v>
      </c>
      <c r="D439">
        <v>0</v>
      </c>
      <c r="E439" s="28">
        <v>5.9260273972602739</v>
      </c>
      <c r="F439" s="28"/>
      <c r="G439" s="28">
        <v>348</v>
      </c>
      <c r="H439" s="28">
        <v>49431</v>
      </c>
      <c r="I439" s="28">
        <v>1</v>
      </c>
      <c r="J439" s="28">
        <v>65</v>
      </c>
      <c r="L439" s="37">
        <v>1051</v>
      </c>
      <c r="M439" s="3">
        <v>3</v>
      </c>
      <c r="N439" s="3">
        <v>458</v>
      </c>
      <c r="O439" s="3">
        <v>81</v>
      </c>
      <c r="P439" s="3">
        <v>356</v>
      </c>
      <c r="Q439" s="3">
        <v>106</v>
      </c>
      <c r="R439" s="3">
        <v>50</v>
      </c>
      <c r="S439" s="3">
        <v>40</v>
      </c>
      <c r="T439" s="3">
        <v>1</v>
      </c>
      <c r="U439" s="3">
        <v>4</v>
      </c>
      <c r="V439" s="3">
        <v>4</v>
      </c>
      <c r="W439" s="3">
        <v>7</v>
      </c>
      <c r="X439" s="3">
        <v>2</v>
      </c>
    </row>
    <row r="440" spans="1:24" x14ac:dyDescent="0.35">
      <c r="A440">
        <v>1051</v>
      </c>
      <c r="B440">
        <v>47111</v>
      </c>
      <c r="C440">
        <v>49</v>
      </c>
      <c r="D440">
        <v>1</v>
      </c>
      <c r="E440" s="28">
        <v>7.720547945205479</v>
      </c>
      <c r="F440" s="28"/>
      <c r="G440" s="28">
        <v>348</v>
      </c>
      <c r="H440" s="28">
        <v>52914</v>
      </c>
      <c r="I440" s="28">
        <v>1</v>
      </c>
      <c r="J440" s="28">
        <v>49</v>
      </c>
      <c r="L440" s="38">
        <v>1051</v>
      </c>
      <c r="M440" s="2">
        <v>35</v>
      </c>
      <c r="N440" s="2">
        <v>595</v>
      </c>
      <c r="O440" s="2">
        <v>71</v>
      </c>
      <c r="P440" s="2">
        <v>153</v>
      </c>
      <c r="Q440" s="2">
        <v>120</v>
      </c>
      <c r="R440" s="2">
        <v>112</v>
      </c>
      <c r="S440" s="2">
        <v>41</v>
      </c>
      <c r="T440" s="2">
        <v>6</v>
      </c>
      <c r="U440" s="2">
        <v>3</v>
      </c>
      <c r="V440" s="2">
        <v>2</v>
      </c>
      <c r="W440" s="2">
        <v>10</v>
      </c>
      <c r="X440" s="2">
        <v>9</v>
      </c>
    </row>
    <row r="441" spans="1:24" x14ac:dyDescent="0.35">
      <c r="A441">
        <v>1048</v>
      </c>
      <c r="B441">
        <v>75330</v>
      </c>
      <c r="C441">
        <v>43</v>
      </c>
      <c r="D441">
        <v>1</v>
      </c>
      <c r="E441" s="28">
        <v>7.6493150684931503</v>
      </c>
      <c r="F441" s="28"/>
      <c r="G441" s="28">
        <v>346</v>
      </c>
      <c r="H441" s="28">
        <v>62535</v>
      </c>
      <c r="I441" s="28">
        <v>1</v>
      </c>
      <c r="J441" s="28">
        <v>65</v>
      </c>
      <c r="L441" s="37">
        <v>1048</v>
      </c>
      <c r="M441" s="3">
        <v>94</v>
      </c>
      <c r="N441" s="3">
        <v>555</v>
      </c>
      <c r="O441" s="3">
        <v>82</v>
      </c>
      <c r="P441" s="3">
        <v>257</v>
      </c>
      <c r="Q441" s="3">
        <v>93</v>
      </c>
      <c r="R441" s="3">
        <v>61</v>
      </c>
      <c r="S441" s="3">
        <v>61</v>
      </c>
      <c r="T441" s="3">
        <v>4</v>
      </c>
      <c r="U441" s="3">
        <v>10</v>
      </c>
      <c r="V441" s="3">
        <v>3</v>
      </c>
      <c r="W441" s="3">
        <v>12</v>
      </c>
      <c r="X441" s="3">
        <v>6</v>
      </c>
    </row>
    <row r="442" spans="1:24" x14ac:dyDescent="0.35">
      <c r="A442">
        <v>1047</v>
      </c>
      <c r="B442">
        <v>84196</v>
      </c>
      <c r="C442">
        <v>45</v>
      </c>
      <c r="D442">
        <v>1</v>
      </c>
      <c r="E442" s="28">
        <v>6.9863013698630141</v>
      </c>
      <c r="F442" s="28"/>
      <c r="G442" s="28">
        <v>345</v>
      </c>
      <c r="H442" s="28">
        <v>44124</v>
      </c>
      <c r="I442" s="28">
        <v>1</v>
      </c>
      <c r="J442" s="28">
        <v>74</v>
      </c>
      <c r="L442" s="38">
        <v>1047</v>
      </c>
      <c r="M442" s="2">
        <v>56</v>
      </c>
      <c r="N442" s="2">
        <v>215</v>
      </c>
      <c r="O442" s="2">
        <v>63</v>
      </c>
      <c r="P442" s="2">
        <v>507</v>
      </c>
      <c r="Q442" s="2">
        <v>231</v>
      </c>
      <c r="R442" s="2">
        <v>31</v>
      </c>
      <c r="S442" s="2">
        <v>190</v>
      </c>
      <c r="T442" s="2">
        <v>1</v>
      </c>
      <c r="U442" s="2">
        <v>8</v>
      </c>
      <c r="V442" s="2">
        <v>4</v>
      </c>
      <c r="W442" s="2">
        <v>7</v>
      </c>
      <c r="X442" s="2">
        <v>3</v>
      </c>
    </row>
    <row r="443" spans="1:24" x14ac:dyDescent="0.35">
      <c r="A443">
        <v>1047</v>
      </c>
      <c r="B443">
        <v>81657</v>
      </c>
      <c r="C443">
        <v>51</v>
      </c>
      <c r="D443">
        <v>0</v>
      </c>
      <c r="E443" s="28">
        <v>6.3479452054794523</v>
      </c>
      <c r="F443" s="28"/>
      <c r="G443" s="28">
        <v>342</v>
      </c>
      <c r="H443" s="28">
        <v>46610</v>
      </c>
      <c r="I443" s="28">
        <v>0</v>
      </c>
      <c r="J443" s="28">
        <v>62</v>
      </c>
      <c r="L443" s="37">
        <v>1047</v>
      </c>
      <c r="M443" s="3">
        <v>69</v>
      </c>
      <c r="N443" s="3">
        <v>364</v>
      </c>
      <c r="O443" s="3">
        <v>40</v>
      </c>
      <c r="P443" s="3">
        <v>425</v>
      </c>
      <c r="Q443" s="3">
        <v>158</v>
      </c>
      <c r="R443" s="3">
        <v>60</v>
      </c>
      <c r="S443" s="3">
        <v>50</v>
      </c>
      <c r="T443" s="3">
        <v>1</v>
      </c>
      <c r="U443" s="3">
        <v>3</v>
      </c>
      <c r="V443" s="3">
        <v>4</v>
      </c>
      <c r="W443" s="3">
        <v>8</v>
      </c>
      <c r="X443" s="3">
        <v>1</v>
      </c>
    </row>
    <row r="444" spans="1:24" x14ac:dyDescent="0.35">
      <c r="A444">
        <v>1046</v>
      </c>
      <c r="B444">
        <v>72354</v>
      </c>
      <c r="C444">
        <v>27</v>
      </c>
      <c r="D444">
        <v>0</v>
      </c>
      <c r="E444" s="28">
        <v>7.1150684931506847</v>
      </c>
      <c r="F444" s="28"/>
      <c r="G444" s="28">
        <v>340</v>
      </c>
      <c r="H444" s="28">
        <v>49154</v>
      </c>
      <c r="I444" s="28">
        <v>1</v>
      </c>
      <c r="J444" s="28">
        <v>60</v>
      </c>
      <c r="L444" s="38">
        <v>1046</v>
      </c>
      <c r="M444" s="2">
        <v>67</v>
      </c>
      <c r="N444" s="2">
        <v>315</v>
      </c>
      <c r="O444" s="2">
        <v>26</v>
      </c>
      <c r="P444" s="2">
        <v>473</v>
      </c>
      <c r="Q444" s="2">
        <v>220</v>
      </c>
      <c r="R444" s="2">
        <v>12</v>
      </c>
      <c r="S444" s="2">
        <v>182</v>
      </c>
      <c r="T444" s="2">
        <v>1</v>
      </c>
      <c r="U444" s="2">
        <v>2</v>
      </c>
      <c r="V444" s="2">
        <v>10</v>
      </c>
      <c r="W444" s="2">
        <v>6</v>
      </c>
      <c r="X444" s="2">
        <v>1</v>
      </c>
    </row>
    <row r="445" spans="1:24" x14ac:dyDescent="0.35">
      <c r="A445">
        <v>1046</v>
      </c>
      <c r="B445">
        <v>70666</v>
      </c>
      <c r="C445">
        <v>72</v>
      </c>
      <c r="D445">
        <v>0</v>
      </c>
      <c r="E445" s="28">
        <v>6.4767123287671229</v>
      </c>
      <c r="F445" s="28"/>
      <c r="G445" s="28">
        <v>338</v>
      </c>
      <c r="H445" s="28">
        <v>46344</v>
      </c>
      <c r="I445" s="28">
        <v>1</v>
      </c>
      <c r="J445" s="28">
        <v>48</v>
      </c>
      <c r="L445" s="37">
        <v>1046</v>
      </c>
      <c r="M445" s="3">
        <v>29</v>
      </c>
      <c r="N445" s="3">
        <v>398</v>
      </c>
      <c r="O445" s="3">
        <v>40</v>
      </c>
      <c r="P445" s="3">
        <v>367</v>
      </c>
      <c r="Q445" s="3">
        <v>119</v>
      </c>
      <c r="R445" s="3">
        <v>122</v>
      </c>
      <c r="S445" s="3">
        <v>30</v>
      </c>
      <c r="T445" s="3">
        <v>1</v>
      </c>
      <c r="U445" s="3">
        <v>7</v>
      </c>
      <c r="V445" s="3">
        <v>4</v>
      </c>
      <c r="W445" s="3">
        <v>4</v>
      </c>
      <c r="X445" s="3">
        <v>4</v>
      </c>
    </row>
    <row r="446" spans="1:24" x14ac:dyDescent="0.35">
      <c r="A446">
        <v>1046</v>
      </c>
      <c r="B446">
        <v>74293</v>
      </c>
      <c r="C446">
        <v>27</v>
      </c>
      <c r="D446">
        <v>0</v>
      </c>
      <c r="E446" s="28">
        <v>6.0684931506849313</v>
      </c>
      <c r="F446" s="28"/>
      <c r="G446" s="28">
        <v>335</v>
      </c>
      <c r="H446" s="28">
        <v>46149</v>
      </c>
      <c r="I446" s="28">
        <v>1</v>
      </c>
      <c r="J446" s="28">
        <v>45</v>
      </c>
      <c r="L446" s="38">
        <v>1046</v>
      </c>
      <c r="M446" s="2">
        <v>66</v>
      </c>
      <c r="N446" s="2">
        <v>375</v>
      </c>
      <c r="O446" s="2">
        <v>152</v>
      </c>
      <c r="P446" s="2">
        <v>335</v>
      </c>
      <c r="Q446" s="2">
        <v>93</v>
      </c>
      <c r="R446" s="2">
        <v>91</v>
      </c>
      <c r="S446" s="2">
        <v>81</v>
      </c>
      <c r="T446" s="2">
        <v>1</v>
      </c>
      <c r="U446" s="2">
        <v>5</v>
      </c>
      <c r="V446" s="2">
        <v>4</v>
      </c>
      <c r="W446" s="2">
        <v>6</v>
      </c>
      <c r="X446" s="2">
        <v>2</v>
      </c>
    </row>
    <row r="447" spans="1:24" x14ac:dyDescent="0.35">
      <c r="A447">
        <v>1042</v>
      </c>
      <c r="B447">
        <v>78710</v>
      </c>
      <c r="C447">
        <v>43</v>
      </c>
      <c r="D447">
        <v>1</v>
      </c>
      <c r="E447" s="28">
        <v>6.0164383561643833</v>
      </c>
      <c r="F447" s="28"/>
      <c r="G447" s="28">
        <v>307</v>
      </c>
      <c r="H447" s="28">
        <v>48799</v>
      </c>
      <c r="I447" s="28">
        <v>1</v>
      </c>
      <c r="J447" s="28">
        <v>57</v>
      </c>
      <c r="L447" s="37">
        <v>1042</v>
      </c>
      <c r="M447" s="3">
        <v>42</v>
      </c>
      <c r="N447" s="3">
        <v>721</v>
      </c>
      <c r="O447" s="3">
        <v>0</v>
      </c>
      <c r="P447" s="3">
        <v>152</v>
      </c>
      <c r="Q447" s="3">
        <v>119</v>
      </c>
      <c r="R447" s="3">
        <v>50</v>
      </c>
      <c r="S447" s="3">
        <v>50</v>
      </c>
      <c r="T447" s="3">
        <v>3</v>
      </c>
      <c r="U447" s="3">
        <v>7</v>
      </c>
      <c r="V447" s="3">
        <v>6</v>
      </c>
      <c r="W447" s="3">
        <v>12</v>
      </c>
      <c r="X447" s="3">
        <v>4</v>
      </c>
    </row>
    <row r="448" spans="1:24" x14ac:dyDescent="0.35">
      <c r="A448">
        <v>1041</v>
      </c>
      <c r="B448">
        <v>77583</v>
      </c>
      <c r="C448">
        <v>42</v>
      </c>
      <c r="D448">
        <v>0</v>
      </c>
      <c r="E448" s="28">
        <v>6.2958904109589042</v>
      </c>
      <c r="F448" s="28"/>
      <c r="G448" s="28">
        <v>306</v>
      </c>
      <c r="H448" s="28">
        <v>38988</v>
      </c>
      <c r="I448" s="28">
        <v>1</v>
      </c>
      <c r="J448" s="28">
        <v>48</v>
      </c>
      <c r="L448" s="38">
        <v>1041</v>
      </c>
      <c r="M448" s="2">
        <v>93</v>
      </c>
      <c r="N448" s="2">
        <v>372</v>
      </c>
      <c r="O448" s="2">
        <v>23</v>
      </c>
      <c r="P448" s="2">
        <v>384</v>
      </c>
      <c r="Q448" s="2">
        <v>250</v>
      </c>
      <c r="R448" s="2">
        <v>12</v>
      </c>
      <c r="S448" s="2">
        <v>108</v>
      </c>
      <c r="T448" s="2">
        <v>1</v>
      </c>
      <c r="U448" s="2">
        <v>4</v>
      </c>
      <c r="V448" s="2">
        <v>5</v>
      </c>
      <c r="W448" s="2">
        <v>9</v>
      </c>
      <c r="X448" s="2">
        <v>2</v>
      </c>
    </row>
    <row r="449" spans="1:24" x14ac:dyDescent="0.35">
      <c r="A449">
        <v>1040</v>
      </c>
      <c r="B449">
        <v>59868</v>
      </c>
      <c r="C449">
        <v>48</v>
      </c>
      <c r="D449">
        <v>1</v>
      </c>
      <c r="E449" s="28">
        <v>6.8520547945205479</v>
      </c>
      <c r="F449" s="28"/>
      <c r="G449" s="28">
        <v>304</v>
      </c>
      <c r="H449" s="28">
        <v>54237</v>
      </c>
      <c r="I449" s="28">
        <v>1</v>
      </c>
      <c r="J449" s="28">
        <v>63</v>
      </c>
      <c r="L449" s="37">
        <v>1040</v>
      </c>
      <c r="M449" s="3">
        <v>37</v>
      </c>
      <c r="N449" s="3">
        <v>771</v>
      </c>
      <c r="O449" s="3">
        <v>51</v>
      </c>
      <c r="P449" s="3">
        <v>154</v>
      </c>
      <c r="Q449" s="3">
        <v>54</v>
      </c>
      <c r="R449" s="3">
        <v>10</v>
      </c>
      <c r="S449" s="3">
        <v>154</v>
      </c>
      <c r="T449" s="3">
        <v>7</v>
      </c>
      <c r="U449" s="3">
        <v>11</v>
      </c>
      <c r="V449" s="3">
        <v>2</v>
      </c>
      <c r="W449" s="3">
        <v>12</v>
      </c>
      <c r="X449" s="3">
        <v>6</v>
      </c>
    </row>
    <row r="450" spans="1:24" x14ac:dyDescent="0.35">
      <c r="A450">
        <v>1039</v>
      </c>
      <c r="B450">
        <v>65846</v>
      </c>
      <c r="C450">
        <v>75</v>
      </c>
      <c r="D450">
        <v>0</v>
      </c>
      <c r="E450" s="28">
        <v>7.0328767123287674</v>
      </c>
      <c r="F450" s="28"/>
      <c r="G450" s="28">
        <v>303</v>
      </c>
      <c r="H450" s="28">
        <v>49494</v>
      </c>
      <c r="I450" s="28">
        <v>1</v>
      </c>
      <c r="J450" s="28">
        <v>48</v>
      </c>
      <c r="L450" s="38">
        <v>1039</v>
      </c>
      <c r="M450" s="2">
        <v>68</v>
      </c>
      <c r="N450" s="2">
        <v>562</v>
      </c>
      <c r="O450" s="2">
        <v>81</v>
      </c>
      <c r="P450" s="2">
        <v>276</v>
      </c>
      <c r="Q450" s="2">
        <v>80</v>
      </c>
      <c r="R450" s="2">
        <v>40</v>
      </c>
      <c r="S450" s="2">
        <v>81</v>
      </c>
      <c r="T450" s="2">
        <v>1</v>
      </c>
      <c r="U450" s="2">
        <v>6</v>
      </c>
      <c r="V450" s="2">
        <v>3</v>
      </c>
      <c r="W450" s="2">
        <v>6</v>
      </c>
      <c r="X450" s="2">
        <v>4</v>
      </c>
    </row>
    <row r="451" spans="1:24" x14ac:dyDescent="0.35">
      <c r="A451">
        <v>1038</v>
      </c>
      <c r="B451">
        <v>59304</v>
      </c>
      <c r="C451">
        <v>56</v>
      </c>
      <c r="D451">
        <v>1</v>
      </c>
      <c r="E451" s="28">
        <v>6.8328767123287673</v>
      </c>
      <c r="F451" s="28"/>
      <c r="G451" s="28">
        <v>300</v>
      </c>
      <c r="H451" s="28">
        <v>62994</v>
      </c>
      <c r="I451" s="28">
        <v>1</v>
      </c>
      <c r="J451" s="28">
        <v>40</v>
      </c>
      <c r="L451" s="37">
        <v>1038</v>
      </c>
      <c r="M451" s="3">
        <v>81</v>
      </c>
      <c r="N451" s="3">
        <v>418</v>
      </c>
      <c r="O451" s="3">
        <v>61</v>
      </c>
      <c r="P451" s="3">
        <v>428</v>
      </c>
      <c r="Q451" s="3">
        <v>80</v>
      </c>
      <c r="R451" s="3">
        <v>51</v>
      </c>
      <c r="S451" s="3">
        <v>10</v>
      </c>
      <c r="T451" s="3">
        <v>3</v>
      </c>
      <c r="U451" s="3">
        <v>7</v>
      </c>
      <c r="V451" s="3">
        <v>8</v>
      </c>
      <c r="W451" s="3">
        <v>10</v>
      </c>
      <c r="X451" s="3">
        <v>5</v>
      </c>
    </row>
    <row r="452" spans="1:24" x14ac:dyDescent="0.35">
      <c r="A452">
        <v>1037</v>
      </c>
      <c r="B452">
        <v>72460</v>
      </c>
      <c r="C452">
        <v>51</v>
      </c>
      <c r="D452">
        <v>0</v>
      </c>
      <c r="E452" s="28">
        <v>6.536986301369863</v>
      </c>
      <c r="F452" s="28"/>
      <c r="G452" s="28">
        <v>293</v>
      </c>
      <c r="H452" s="28">
        <v>46086</v>
      </c>
      <c r="I452" s="28">
        <v>1</v>
      </c>
      <c r="J452" s="28">
        <v>64</v>
      </c>
      <c r="L452" s="38">
        <v>1037</v>
      </c>
      <c r="M452" s="2">
        <v>56</v>
      </c>
      <c r="N452" s="2">
        <v>377</v>
      </c>
      <c r="O452" s="2">
        <v>10</v>
      </c>
      <c r="P452" s="2">
        <v>540</v>
      </c>
      <c r="Q452" s="2">
        <v>80</v>
      </c>
      <c r="R452" s="2">
        <v>30</v>
      </c>
      <c r="S452" s="2">
        <v>10</v>
      </c>
      <c r="T452" s="2">
        <v>1</v>
      </c>
      <c r="U452" s="2">
        <v>3</v>
      </c>
      <c r="V452" s="2">
        <v>5</v>
      </c>
      <c r="W452" s="2">
        <v>7</v>
      </c>
      <c r="X452" s="2">
        <v>1</v>
      </c>
    </row>
    <row r="453" spans="1:24" x14ac:dyDescent="0.35">
      <c r="A453">
        <v>1037</v>
      </c>
      <c r="B453">
        <v>59235</v>
      </c>
      <c r="C453">
        <v>53</v>
      </c>
      <c r="D453">
        <v>1</v>
      </c>
      <c r="E453" s="28">
        <v>7.375342465753425</v>
      </c>
      <c r="F453" s="28"/>
      <c r="G453" s="28">
        <v>290</v>
      </c>
      <c r="H453" s="28">
        <v>26997</v>
      </c>
      <c r="I453" s="28">
        <v>0</v>
      </c>
      <c r="J453" s="28">
        <v>69</v>
      </c>
      <c r="L453" s="37">
        <v>1037</v>
      </c>
      <c r="M453" s="3">
        <v>4</v>
      </c>
      <c r="N453" s="3">
        <v>448</v>
      </c>
      <c r="O453" s="3">
        <v>40</v>
      </c>
      <c r="P453" s="3">
        <v>469</v>
      </c>
      <c r="Q453" s="3">
        <v>80</v>
      </c>
      <c r="R453" s="3">
        <v>0</v>
      </c>
      <c r="S453" s="3">
        <v>91</v>
      </c>
      <c r="T453" s="3">
        <v>3</v>
      </c>
      <c r="U453" s="3">
        <v>11</v>
      </c>
      <c r="V453" s="3">
        <v>2</v>
      </c>
      <c r="W453" s="3">
        <v>12</v>
      </c>
      <c r="X453" s="3">
        <v>7</v>
      </c>
    </row>
    <row r="454" spans="1:24" x14ac:dyDescent="0.35">
      <c r="A454">
        <v>1036</v>
      </c>
      <c r="B454">
        <v>91172</v>
      </c>
      <c r="C454">
        <v>30</v>
      </c>
      <c r="D454">
        <v>0</v>
      </c>
      <c r="E454" s="28">
        <v>7.1726027397260275</v>
      </c>
      <c r="F454" s="28"/>
      <c r="G454" s="28">
        <v>276</v>
      </c>
      <c r="H454" s="28">
        <v>49514</v>
      </c>
      <c r="I454" s="28">
        <v>1</v>
      </c>
      <c r="J454" s="28">
        <v>45</v>
      </c>
      <c r="L454" s="38">
        <v>1036</v>
      </c>
      <c r="M454" s="2">
        <v>94</v>
      </c>
      <c r="N454" s="2">
        <v>162</v>
      </c>
      <c r="O454" s="2">
        <v>28</v>
      </c>
      <c r="P454" s="2">
        <v>818</v>
      </c>
      <c r="Q454" s="2">
        <v>0</v>
      </c>
      <c r="R454" s="2">
        <v>28</v>
      </c>
      <c r="S454" s="2">
        <v>56</v>
      </c>
      <c r="T454" s="2">
        <v>0</v>
      </c>
      <c r="U454" s="2">
        <v>4</v>
      </c>
      <c r="V454" s="2">
        <v>3</v>
      </c>
      <c r="W454" s="2">
        <v>7</v>
      </c>
      <c r="X454" s="2">
        <v>3</v>
      </c>
    </row>
    <row r="455" spans="1:24" x14ac:dyDescent="0.35">
      <c r="A455">
        <v>1032</v>
      </c>
      <c r="B455">
        <v>76982</v>
      </c>
      <c r="C455">
        <v>53</v>
      </c>
      <c r="D455">
        <v>0</v>
      </c>
      <c r="E455" s="28">
        <v>6.2821917808219174</v>
      </c>
      <c r="F455" s="28"/>
      <c r="G455" s="28">
        <v>260</v>
      </c>
      <c r="H455" s="28">
        <v>44375</v>
      </c>
      <c r="I455" s="28">
        <v>1</v>
      </c>
      <c r="J455" s="28">
        <v>55</v>
      </c>
      <c r="L455" s="37">
        <v>1032</v>
      </c>
      <c r="M455" s="3">
        <v>19</v>
      </c>
      <c r="N455" s="3">
        <v>464</v>
      </c>
      <c r="O455" s="3">
        <v>151</v>
      </c>
      <c r="P455" s="3">
        <v>292</v>
      </c>
      <c r="Q455" s="3">
        <v>65</v>
      </c>
      <c r="R455" s="3">
        <v>60</v>
      </c>
      <c r="S455" s="3">
        <v>30</v>
      </c>
      <c r="T455" s="3">
        <v>1</v>
      </c>
      <c r="U455" s="3">
        <v>8</v>
      </c>
      <c r="V455" s="3">
        <v>3</v>
      </c>
      <c r="W455" s="3">
        <v>4</v>
      </c>
      <c r="X455" s="3">
        <v>4</v>
      </c>
    </row>
    <row r="456" spans="1:24" x14ac:dyDescent="0.35">
      <c r="A456">
        <v>1030</v>
      </c>
      <c r="B456">
        <v>57513</v>
      </c>
      <c r="C456">
        <v>77</v>
      </c>
      <c r="D456">
        <v>0</v>
      </c>
      <c r="E456" s="28">
        <v>6.8958904109589039</v>
      </c>
      <c r="F456" s="28"/>
      <c r="G456" s="28">
        <v>256</v>
      </c>
      <c r="H456" s="28">
        <v>45006</v>
      </c>
      <c r="I456" s="28">
        <v>0</v>
      </c>
      <c r="J456" s="28">
        <v>76</v>
      </c>
      <c r="L456" s="38">
        <v>1030</v>
      </c>
      <c r="M456" s="2">
        <v>59</v>
      </c>
      <c r="N456" s="2">
        <v>735</v>
      </c>
      <c r="O456" s="2">
        <v>40</v>
      </c>
      <c r="P456" s="2">
        <v>183</v>
      </c>
      <c r="Q456" s="2">
        <v>52</v>
      </c>
      <c r="R456" s="2">
        <v>20</v>
      </c>
      <c r="S456" s="2">
        <v>30</v>
      </c>
      <c r="T456" s="2">
        <v>2</v>
      </c>
      <c r="U456" s="2">
        <v>9</v>
      </c>
      <c r="V456" s="2">
        <v>3</v>
      </c>
      <c r="W456" s="2">
        <v>13</v>
      </c>
      <c r="X456" s="2">
        <v>6</v>
      </c>
    </row>
    <row r="457" spans="1:24" x14ac:dyDescent="0.35">
      <c r="A457">
        <v>1030</v>
      </c>
      <c r="B457">
        <v>53374</v>
      </c>
      <c r="C457">
        <v>51</v>
      </c>
      <c r="D457">
        <v>1</v>
      </c>
      <c r="E457" s="28">
        <v>7.7835616438356166</v>
      </c>
      <c r="F457" s="28"/>
      <c r="G457" s="28">
        <v>256</v>
      </c>
      <c r="H457" s="28">
        <v>41551</v>
      </c>
      <c r="I457" s="28">
        <v>1</v>
      </c>
      <c r="J457" s="28">
        <v>56</v>
      </c>
      <c r="L457" s="37">
        <v>1030</v>
      </c>
      <c r="M457" s="3">
        <v>34</v>
      </c>
      <c r="N457" s="3">
        <v>896</v>
      </c>
      <c r="O457" s="3">
        <v>10</v>
      </c>
      <c r="P457" s="3">
        <v>101</v>
      </c>
      <c r="Q457" s="3">
        <v>13</v>
      </c>
      <c r="R457" s="3">
        <v>10</v>
      </c>
      <c r="S457" s="3">
        <v>34</v>
      </c>
      <c r="T457" s="3">
        <v>6</v>
      </c>
      <c r="U457" s="3">
        <v>4</v>
      </c>
      <c r="V457" s="3">
        <v>2</v>
      </c>
      <c r="W457" s="3">
        <v>9</v>
      </c>
      <c r="X457" s="3">
        <v>9</v>
      </c>
    </row>
    <row r="458" spans="1:24" x14ac:dyDescent="0.35">
      <c r="A458">
        <v>1029</v>
      </c>
      <c r="B458">
        <v>69759</v>
      </c>
      <c r="C458">
        <v>54</v>
      </c>
      <c r="D458">
        <v>0</v>
      </c>
      <c r="E458" s="28">
        <v>6.5835616438356164</v>
      </c>
      <c r="F458" s="28"/>
      <c r="G458" s="28">
        <v>254</v>
      </c>
      <c r="H458" s="28">
        <v>45072</v>
      </c>
      <c r="I458" s="28">
        <v>1</v>
      </c>
      <c r="J458" s="28">
        <v>72</v>
      </c>
      <c r="L458" s="38">
        <v>1029</v>
      </c>
      <c r="M458" s="2">
        <v>38</v>
      </c>
      <c r="N458" s="2">
        <v>452</v>
      </c>
      <c r="O458" s="2">
        <v>20</v>
      </c>
      <c r="P458" s="2">
        <v>514</v>
      </c>
      <c r="Q458" s="2">
        <v>13</v>
      </c>
      <c r="R458" s="2">
        <v>30</v>
      </c>
      <c r="S458" s="2">
        <v>0</v>
      </c>
      <c r="T458" s="2">
        <v>3</v>
      </c>
      <c r="U458" s="2">
        <v>4</v>
      </c>
      <c r="V458" s="2">
        <v>6</v>
      </c>
      <c r="W458" s="2">
        <v>5</v>
      </c>
      <c r="X458" s="2">
        <v>3</v>
      </c>
    </row>
    <row r="459" spans="1:24" x14ac:dyDescent="0.35">
      <c r="A459">
        <v>1029</v>
      </c>
      <c r="B459">
        <v>85710</v>
      </c>
      <c r="C459">
        <v>31</v>
      </c>
      <c r="D459">
        <v>0</v>
      </c>
      <c r="E459" s="28">
        <v>7.065753424657534</v>
      </c>
      <c r="F459" s="28"/>
      <c r="G459" s="28">
        <v>254</v>
      </c>
      <c r="H459" s="28">
        <v>53761</v>
      </c>
      <c r="I459" s="28">
        <v>1</v>
      </c>
      <c r="J459" s="28">
        <v>48</v>
      </c>
      <c r="L459" s="37">
        <v>1029</v>
      </c>
      <c r="M459" s="3">
        <v>5</v>
      </c>
      <c r="N459" s="3">
        <v>600</v>
      </c>
      <c r="O459" s="3">
        <v>20</v>
      </c>
      <c r="P459" s="3">
        <v>350</v>
      </c>
      <c r="Q459" s="3">
        <v>29</v>
      </c>
      <c r="R459" s="3">
        <v>30</v>
      </c>
      <c r="S459" s="3">
        <v>33</v>
      </c>
      <c r="T459" s="3">
        <v>1</v>
      </c>
      <c r="U459" s="3">
        <v>6</v>
      </c>
      <c r="V459" s="3">
        <v>9</v>
      </c>
      <c r="W459" s="3">
        <v>10</v>
      </c>
      <c r="X459" s="3">
        <v>2</v>
      </c>
    </row>
    <row r="460" spans="1:24" x14ac:dyDescent="0.35">
      <c r="A460">
        <v>1029</v>
      </c>
      <c r="B460">
        <v>44802</v>
      </c>
      <c r="C460">
        <v>50</v>
      </c>
      <c r="D460">
        <v>0</v>
      </c>
      <c r="E460" s="28">
        <v>7.7698630136986298</v>
      </c>
      <c r="F460" s="28"/>
      <c r="G460" s="28">
        <v>253</v>
      </c>
      <c r="H460" s="28">
        <v>53312</v>
      </c>
      <c r="I460" s="28">
        <v>0</v>
      </c>
      <c r="J460" s="28">
        <v>69</v>
      </c>
      <c r="L460" s="38">
        <v>1029</v>
      </c>
      <c r="M460" s="2">
        <v>71</v>
      </c>
      <c r="N460" s="2">
        <v>853</v>
      </c>
      <c r="O460" s="2">
        <v>10</v>
      </c>
      <c r="P460" s="2">
        <v>143</v>
      </c>
      <c r="Q460" s="2">
        <v>13</v>
      </c>
      <c r="R460" s="2">
        <v>10</v>
      </c>
      <c r="S460" s="2">
        <v>20</v>
      </c>
      <c r="T460" s="2">
        <v>2</v>
      </c>
      <c r="U460" s="2">
        <v>9</v>
      </c>
      <c r="V460" s="2">
        <v>4</v>
      </c>
      <c r="W460" s="2">
        <v>12</v>
      </c>
      <c r="X460" s="2">
        <v>8</v>
      </c>
    </row>
    <row r="461" spans="1:24" x14ac:dyDescent="0.35">
      <c r="A461">
        <v>1028</v>
      </c>
      <c r="B461">
        <v>63211</v>
      </c>
      <c r="C461">
        <v>38</v>
      </c>
      <c r="D461">
        <v>0</v>
      </c>
      <c r="E461" s="28">
        <v>7.5698630136986305</v>
      </c>
      <c r="F461" s="28"/>
      <c r="G461" s="28">
        <v>220</v>
      </c>
      <c r="H461" s="28">
        <v>54252</v>
      </c>
      <c r="I461" s="28">
        <v>1</v>
      </c>
      <c r="J461" s="28">
        <v>64</v>
      </c>
      <c r="L461" s="37">
        <v>1028</v>
      </c>
      <c r="M461" s="3">
        <v>3</v>
      </c>
      <c r="N461" s="3">
        <v>145</v>
      </c>
      <c r="O461" s="3">
        <v>193</v>
      </c>
      <c r="P461" s="3">
        <v>459</v>
      </c>
      <c r="Q461" s="3">
        <v>205</v>
      </c>
      <c r="R461" s="3">
        <v>26</v>
      </c>
      <c r="S461" s="3">
        <v>145</v>
      </c>
      <c r="T461" s="3">
        <v>2</v>
      </c>
      <c r="U461" s="3">
        <v>3</v>
      </c>
      <c r="V461" s="3">
        <v>8</v>
      </c>
      <c r="W461" s="3">
        <v>7</v>
      </c>
      <c r="X461" s="3">
        <v>2</v>
      </c>
    </row>
    <row r="462" spans="1:24" x14ac:dyDescent="0.35">
      <c r="A462">
        <v>1028</v>
      </c>
      <c r="B462">
        <v>55914</v>
      </c>
      <c r="C462">
        <v>45</v>
      </c>
      <c r="D462">
        <v>1</v>
      </c>
      <c r="E462" s="28">
        <v>7.0821917808219181</v>
      </c>
      <c r="F462" s="28"/>
      <c r="G462" s="28">
        <v>216</v>
      </c>
      <c r="H462" s="28">
        <v>38808</v>
      </c>
      <c r="I462" s="28">
        <v>1</v>
      </c>
      <c r="J462" s="28">
        <v>48</v>
      </c>
      <c r="L462" s="38">
        <v>1028</v>
      </c>
      <c r="M462" s="2">
        <v>32</v>
      </c>
      <c r="N462" s="2">
        <v>384</v>
      </c>
      <c r="O462" s="2">
        <v>60</v>
      </c>
      <c r="P462" s="2">
        <v>364</v>
      </c>
      <c r="Q462" s="2">
        <v>119</v>
      </c>
      <c r="R462" s="2">
        <v>101</v>
      </c>
      <c r="S462" s="2">
        <v>232</v>
      </c>
      <c r="T462" s="2">
        <v>4</v>
      </c>
      <c r="U462" s="2">
        <v>11</v>
      </c>
      <c r="V462" s="2">
        <v>6</v>
      </c>
      <c r="W462" s="2">
        <v>8</v>
      </c>
      <c r="X462" s="2">
        <v>7</v>
      </c>
    </row>
    <row r="463" spans="1:24" x14ac:dyDescent="0.35">
      <c r="A463">
        <v>1027</v>
      </c>
      <c r="B463">
        <v>60230</v>
      </c>
      <c r="C463">
        <v>64</v>
      </c>
      <c r="D463">
        <v>1</v>
      </c>
      <c r="E463" s="28">
        <v>7.0246575342465754</v>
      </c>
      <c r="F463" s="28"/>
      <c r="G463" s="28"/>
      <c r="H463" s="28"/>
      <c r="I463" s="28"/>
      <c r="J463" s="28"/>
      <c r="L463" s="37">
        <v>1027</v>
      </c>
      <c r="M463" s="3">
        <v>78</v>
      </c>
      <c r="N463" s="3">
        <v>520</v>
      </c>
      <c r="O463" s="3">
        <v>20</v>
      </c>
      <c r="P463" s="3">
        <v>367</v>
      </c>
      <c r="Q463" s="3">
        <v>39</v>
      </c>
      <c r="R463" s="3">
        <v>81</v>
      </c>
      <c r="S463" s="3">
        <v>40</v>
      </c>
      <c r="T463" s="3">
        <v>2</v>
      </c>
      <c r="U463" s="3">
        <v>6</v>
      </c>
      <c r="V463" s="3">
        <v>3</v>
      </c>
      <c r="W463" s="3">
        <v>6</v>
      </c>
      <c r="X463" s="3">
        <v>5</v>
      </c>
    </row>
    <row r="464" spans="1:24" x14ac:dyDescent="0.35">
      <c r="A464">
        <v>1024</v>
      </c>
      <c r="B464">
        <v>73059</v>
      </c>
      <c r="C464">
        <v>73</v>
      </c>
      <c r="D464">
        <v>1</v>
      </c>
      <c r="E464" s="28">
        <v>6.7424657534246579</v>
      </c>
      <c r="F464" s="28"/>
      <c r="G464" s="28"/>
      <c r="H464" s="28"/>
      <c r="I464" s="28"/>
      <c r="J464" s="28"/>
      <c r="L464" s="38">
        <v>1024</v>
      </c>
      <c r="M464" s="2">
        <v>36</v>
      </c>
      <c r="N464" s="2">
        <v>410</v>
      </c>
      <c r="O464" s="2">
        <v>112</v>
      </c>
      <c r="P464" s="2">
        <v>420</v>
      </c>
      <c r="Q464" s="2">
        <v>0</v>
      </c>
      <c r="R464" s="2">
        <v>82</v>
      </c>
      <c r="S464" s="2">
        <v>71</v>
      </c>
      <c r="T464" s="2">
        <v>1</v>
      </c>
      <c r="U464" s="2">
        <v>9</v>
      </c>
      <c r="V464" s="2">
        <v>3</v>
      </c>
      <c r="W464" s="2">
        <v>13</v>
      </c>
      <c r="X464" s="2">
        <v>4</v>
      </c>
    </row>
    <row r="465" spans="1:24" x14ac:dyDescent="0.35">
      <c r="A465">
        <v>1024</v>
      </c>
      <c r="B465">
        <v>52278</v>
      </c>
      <c r="C465">
        <v>57</v>
      </c>
      <c r="D465">
        <v>1</v>
      </c>
      <c r="E465" s="28">
        <v>7.3397260273972602</v>
      </c>
      <c r="F465" s="28"/>
      <c r="G465" s="28"/>
      <c r="H465" s="28"/>
      <c r="I465" s="28"/>
      <c r="J465" s="28"/>
      <c r="L465" s="37">
        <v>1024</v>
      </c>
      <c r="M465" s="3">
        <v>24</v>
      </c>
      <c r="N465" s="3">
        <v>953</v>
      </c>
      <c r="O465" s="3">
        <v>0</v>
      </c>
      <c r="P465" s="3">
        <v>71</v>
      </c>
      <c r="Q465" s="3">
        <v>0</v>
      </c>
      <c r="R465" s="3">
        <v>0</v>
      </c>
      <c r="S465" s="3">
        <v>174</v>
      </c>
      <c r="T465" s="3">
        <v>6</v>
      </c>
      <c r="U465" s="3">
        <v>10</v>
      </c>
      <c r="V465" s="3">
        <v>5</v>
      </c>
      <c r="W465" s="3">
        <v>10</v>
      </c>
      <c r="X465" s="3">
        <v>8</v>
      </c>
    </row>
    <row r="466" spans="1:24" x14ac:dyDescent="0.35">
      <c r="A466">
        <v>1024</v>
      </c>
      <c r="B466">
        <v>52278</v>
      </c>
      <c r="C466">
        <v>57</v>
      </c>
      <c r="D466">
        <v>1</v>
      </c>
      <c r="E466" s="28">
        <v>7.3397260273972602</v>
      </c>
      <c r="F466" s="28"/>
      <c r="G466" s="28"/>
      <c r="H466" s="28"/>
      <c r="I466" s="28"/>
      <c r="J466" s="28"/>
      <c r="L466" s="38">
        <v>1024</v>
      </c>
      <c r="M466" s="2">
        <v>24</v>
      </c>
      <c r="N466" s="2">
        <v>953</v>
      </c>
      <c r="O466" s="2">
        <v>0</v>
      </c>
      <c r="P466" s="2">
        <v>71</v>
      </c>
      <c r="Q466" s="2">
        <v>0</v>
      </c>
      <c r="R466" s="2">
        <v>0</v>
      </c>
      <c r="S466" s="2">
        <v>174</v>
      </c>
      <c r="T466" s="2">
        <v>6</v>
      </c>
      <c r="U466" s="2">
        <v>10</v>
      </c>
      <c r="V466" s="2">
        <v>5</v>
      </c>
      <c r="W466" s="2">
        <v>10</v>
      </c>
      <c r="X466" s="2">
        <v>8</v>
      </c>
    </row>
    <row r="467" spans="1:24" x14ac:dyDescent="0.35">
      <c r="A467">
        <v>1023</v>
      </c>
      <c r="B467">
        <v>72117</v>
      </c>
      <c r="C467">
        <v>43</v>
      </c>
      <c r="D467">
        <v>1</v>
      </c>
      <c r="E467" s="28">
        <v>6.7726027397260271</v>
      </c>
      <c r="F467" s="28"/>
      <c r="G467" s="28"/>
      <c r="H467" s="28"/>
      <c r="I467" s="28"/>
      <c r="J467" s="28"/>
      <c r="L467" s="37">
        <v>1023</v>
      </c>
      <c r="M467" s="3">
        <v>34</v>
      </c>
      <c r="N467" s="3">
        <v>707</v>
      </c>
      <c r="O467" s="3">
        <v>20</v>
      </c>
      <c r="P467" s="3">
        <v>171</v>
      </c>
      <c r="Q467" s="3">
        <v>65</v>
      </c>
      <c r="R467" s="3">
        <v>60</v>
      </c>
      <c r="S467" s="3">
        <v>50</v>
      </c>
      <c r="T467" s="3">
        <v>1</v>
      </c>
      <c r="U467" s="3">
        <v>9</v>
      </c>
      <c r="V467" s="3">
        <v>7</v>
      </c>
      <c r="W467" s="3">
        <v>9</v>
      </c>
      <c r="X467" s="3">
        <v>5</v>
      </c>
    </row>
    <row r="468" spans="1:24" x14ac:dyDescent="0.35">
      <c r="A468">
        <v>1023</v>
      </c>
      <c r="B468">
        <v>66565</v>
      </c>
      <c r="C468">
        <v>58</v>
      </c>
      <c r="D468">
        <v>1</v>
      </c>
      <c r="E468" s="28">
        <v>7.4794520547945202</v>
      </c>
      <c r="F468" s="28"/>
      <c r="G468" s="28"/>
      <c r="H468" s="28"/>
      <c r="I468" s="28"/>
      <c r="J468" s="28"/>
      <c r="L468" s="38">
        <v>1023</v>
      </c>
      <c r="M468" s="2">
        <v>80</v>
      </c>
      <c r="N468" s="2">
        <v>747</v>
      </c>
      <c r="O468" s="2">
        <v>10</v>
      </c>
      <c r="P468" s="2">
        <v>161</v>
      </c>
      <c r="Q468" s="2">
        <v>65</v>
      </c>
      <c r="R468" s="2">
        <v>40</v>
      </c>
      <c r="S468" s="2">
        <v>42</v>
      </c>
      <c r="T468" s="2">
        <v>4</v>
      </c>
      <c r="U468" s="2">
        <v>4</v>
      </c>
      <c r="V468" s="2">
        <v>2</v>
      </c>
      <c r="W468" s="2">
        <v>9</v>
      </c>
      <c r="X468" s="2">
        <v>8</v>
      </c>
    </row>
    <row r="469" spans="1:24" x14ac:dyDescent="0.35">
      <c r="A469">
        <v>1021</v>
      </c>
      <c r="B469">
        <v>46757</v>
      </c>
      <c r="C469">
        <v>57</v>
      </c>
      <c r="D469">
        <v>1</v>
      </c>
      <c r="E469" s="28">
        <v>7.5315068493150683</v>
      </c>
      <c r="F469" s="28"/>
      <c r="G469" s="28"/>
      <c r="H469" s="28"/>
      <c r="I469" s="28"/>
      <c r="J469" s="28"/>
      <c r="L469" s="37">
        <v>1021</v>
      </c>
      <c r="M469" s="3">
        <v>71</v>
      </c>
      <c r="N469" s="3">
        <v>777</v>
      </c>
      <c r="O469" s="3">
        <v>30</v>
      </c>
      <c r="P469" s="3">
        <v>163</v>
      </c>
      <c r="Q469" s="3">
        <v>0</v>
      </c>
      <c r="R469" s="3">
        <v>51</v>
      </c>
      <c r="S469" s="3">
        <v>122</v>
      </c>
      <c r="T469" s="3">
        <v>6</v>
      </c>
      <c r="U469" s="3">
        <v>4</v>
      </c>
      <c r="V469" s="3">
        <v>4</v>
      </c>
      <c r="W469" s="3">
        <v>7</v>
      </c>
      <c r="X469" s="3">
        <v>9</v>
      </c>
    </row>
    <row r="470" spans="1:24" x14ac:dyDescent="0.35">
      <c r="A470">
        <v>1019</v>
      </c>
      <c r="B470">
        <v>75276</v>
      </c>
      <c r="C470">
        <v>55</v>
      </c>
      <c r="D470">
        <v>0</v>
      </c>
      <c r="E470" s="28">
        <v>7.6684931506849319</v>
      </c>
      <c r="F470" s="28"/>
      <c r="G470" s="28"/>
      <c r="H470" s="28"/>
      <c r="I470" s="28"/>
      <c r="J470" s="28"/>
      <c r="L470" s="38">
        <v>1019</v>
      </c>
      <c r="M470" s="2">
        <v>2</v>
      </c>
      <c r="N470" s="2">
        <v>610</v>
      </c>
      <c r="O470" s="2">
        <v>105</v>
      </c>
      <c r="P470" s="2">
        <v>125</v>
      </c>
      <c r="Q470" s="2">
        <v>137</v>
      </c>
      <c r="R470" s="2">
        <v>42</v>
      </c>
      <c r="S470" s="2">
        <v>21</v>
      </c>
      <c r="T470" s="2">
        <v>1</v>
      </c>
      <c r="U470" s="2">
        <v>9</v>
      </c>
      <c r="V470" s="2">
        <v>4</v>
      </c>
      <c r="W470" s="2">
        <v>9</v>
      </c>
      <c r="X470" s="2">
        <v>5</v>
      </c>
    </row>
    <row r="471" spans="1:24" x14ac:dyDescent="0.35">
      <c r="A471">
        <v>1019</v>
      </c>
      <c r="B471">
        <v>58512</v>
      </c>
      <c r="C471">
        <v>56</v>
      </c>
      <c r="D471">
        <v>1</v>
      </c>
      <c r="E471" s="28">
        <v>6.6904109589041099</v>
      </c>
      <c r="F471" s="28"/>
      <c r="G471" s="28"/>
      <c r="H471" s="28"/>
      <c r="I471" s="28"/>
      <c r="J471" s="28"/>
      <c r="L471" s="37">
        <v>1019</v>
      </c>
      <c r="M471" s="3">
        <v>25</v>
      </c>
      <c r="N471" s="3">
        <v>895</v>
      </c>
      <c r="O471" s="3">
        <v>10</v>
      </c>
      <c r="P471" s="3">
        <v>101</v>
      </c>
      <c r="Q471" s="3">
        <v>13</v>
      </c>
      <c r="R471" s="3">
        <v>0</v>
      </c>
      <c r="S471" s="3">
        <v>152</v>
      </c>
      <c r="T471" s="3">
        <v>5</v>
      </c>
      <c r="U471" s="3">
        <v>3</v>
      </c>
      <c r="V471" s="3">
        <v>4</v>
      </c>
      <c r="W471" s="3">
        <v>8</v>
      </c>
      <c r="X471" s="3">
        <v>8</v>
      </c>
    </row>
    <row r="472" spans="1:24" x14ac:dyDescent="0.35">
      <c r="A472">
        <v>1018</v>
      </c>
      <c r="B472">
        <v>69805</v>
      </c>
      <c r="C472">
        <v>68</v>
      </c>
      <c r="D472">
        <v>1</v>
      </c>
      <c r="E472" s="28">
        <v>6.3506849315068497</v>
      </c>
      <c r="F472" s="28"/>
      <c r="G472" s="28"/>
      <c r="H472" s="28"/>
      <c r="I472" s="28"/>
      <c r="J472" s="28"/>
      <c r="L472" s="38">
        <v>1018</v>
      </c>
      <c r="M472" s="2">
        <v>50</v>
      </c>
      <c r="N472" s="2">
        <v>750</v>
      </c>
      <c r="O472" s="2">
        <v>71</v>
      </c>
      <c r="P472" s="2">
        <v>174</v>
      </c>
      <c r="Q472" s="2">
        <v>13</v>
      </c>
      <c r="R472" s="2">
        <v>10</v>
      </c>
      <c r="S472" s="2">
        <v>20</v>
      </c>
      <c r="T472" s="2">
        <v>2</v>
      </c>
      <c r="U472" s="2">
        <v>6</v>
      </c>
      <c r="V472" s="2">
        <v>8</v>
      </c>
      <c r="W472" s="2">
        <v>11</v>
      </c>
      <c r="X472" s="2">
        <v>2</v>
      </c>
    </row>
    <row r="473" spans="1:24" x14ac:dyDescent="0.35">
      <c r="A473">
        <v>1012</v>
      </c>
      <c r="B473">
        <v>82504</v>
      </c>
      <c r="C473">
        <v>60</v>
      </c>
      <c r="D473">
        <v>0</v>
      </c>
      <c r="E473" s="28">
        <v>6.838356164383562</v>
      </c>
      <c r="F473" s="28"/>
      <c r="G473" s="28"/>
      <c r="H473" s="28"/>
      <c r="I473" s="28"/>
      <c r="J473" s="28"/>
      <c r="L473" s="37">
        <v>1012</v>
      </c>
      <c r="M473" s="3">
        <v>2</v>
      </c>
      <c r="N473" s="3">
        <v>362</v>
      </c>
      <c r="O473" s="3">
        <v>50</v>
      </c>
      <c r="P473" s="3">
        <v>431</v>
      </c>
      <c r="Q473" s="3">
        <v>134</v>
      </c>
      <c r="R473" s="3">
        <v>35</v>
      </c>
      <c r="S473" s="3">
        <v>54</v>
      </c>
      <c r="T473" s="3">
        <v>1</v>
      </c>
      <c r="U473" s="3">
        <v>3</v>
      </c>
      <c r="V473" s="3">
        <v>6</v>
      </c>
      <c r="W473" s="3">
        <v>7</v>
      </c>
      <c r="X473" s="3">
        <v>1</v>
      </c>
    </row>
    <row r="474" spans="1:24" x14ac:dyDescent="0.35">
      <c r="A474">
        <v>1011</v>
      </c>
      <c r="B474">
        <v>58710</v>
      </c>
      <c r="C474">
        <v>50</v>
      </c>
      <c r="D474">
        <v>1</v>
      </c>
      <c r="E474" s="28">
        <v>7.161643835616438</v>
      </c>
      <c r="F474" s="28"/>
      <c r="G474" s="28"/>
      <c r="H474" s="28"/>
      <c r="I474" s="28"/>
      <c r="J474" s="28"/>
      <c r="L474" s="38">
        <v>1011</v>
      </c>
      <c r="M474" s="2">
        <v>77</v>
      </c>
      <c r="N474" s="2">
        <v>440</v>
      </c>
      <c r="O474" s="2">
        <v>81</v>
      </c>
      <c r="P474" s="2">
        <v>368</v>
      </c>
      <c r="Q474" s="2">
        <v>0</v>
      </c>
      <c r="R474" s="2">
        <v>122</v>
      </c>
      <c r="S474" s="2">
        <v>174</v>
      </c>
      <c r="T474" s="2">
        <v>6</v>
      </c>
      <c r="U474" s="2">
        <v>11</v>
      </c>
      <c r="V474" s="2">
        <v>5</v>
      </c>
      <c r="W474" s="2">
        <v>9</v>
      </c>
      <c r="X474" s="2">
        <v>6</v>
      </c>
    </row>
    <row r="475" spans="1:24" x14ac:dyDescent="0.35">
      <c r="A475">
        <v>1011</v>
      </c>
      <c r="B475">
        <v>56715</v>
      </c>
      <c r="C475">
        <v>46</v>
      </c>
      <c r="D475">
        <v>0</v>
      </c>
      <c r="E475" s="28">
        <v>7.4794520547945202</v>
      </c>
      <c r="F475" s="28"/>
      <c r="G475" s="28"/>
      <c r="H475" s="28"/>
      <c r="I475" s="28"/>
      <c r="J475" s="28"/>
      <c r="L475" s="37">
        <v>1011</v>
      </c>
      <c r="M475" s="3">
        <v>52</v>
      </c>
      <c r="N475" s="3">
        <v>258</v>
      </c>
      <c r="O475" s="3">
        <v>105</v>
      </c>
      <c r="P475" s="3">
        <v>239</v>
      </c>
      <c r="Q475" s="3">
        <v>237</v>
      </c>
      <c r="R475" s="3">
        <v>172</v>
      </c>
      <c r="S475" s="3">
        <v>9</v>
      </c>
      <c r="T475" s="3">
        <v>1</v>
      </c>
      <c r="U475" s="3">
        <v>7</v>
      </c>
      <c r="V475" s="3">
        <v>3</v>
      </c>
      <c r="W475" s="3">
        <v>4</v>
      </c>
      <c r="X475" s="3">
        <v>4</v>
      </c>
    </row>
    <row r="476" spans="1:24" x14ac:dyDescent="0.35">
      <c r="A476">
        <v>1011</v>
      </c>
      <c r="B476">
        <v>51537</v>
      </c>
      <c r="C476">
        <v>68</v>
      </c>
      <c r="D476">
        <v>1</v>
      </c>
      <c r="E476" s="28">
        <v>7.4684931506849317</v>
      </c>
      <c r="F476" s="28"/>
      <c r="G476" s="28"/>
      <c r="H476" s="28"/>
      <c r="I476" s="28"/>
      <c r="J476" s="28"/>
      <c r="L476" s="38">
        <v>1011</v>
      </c>
      <c r="M476" s="2">
        <v>27</v>
      </c>
      <c r="N476" s="2">
        <v>787</v>
      </c>
      <c r="O476" s="2">
        <v>20</v>
      </c>
      <c r="P476" s="2">
        <v>204</v>
      </c>
      <c r="Q476" s="2">
        <v>0</v>
      </c>
      <c r="R476" s="2">
        <v>0</v>
      </c>
      <c r="S476" s="2">
        <v>92</v>
      </c>
      <c r="T476" s="2">
        <v>3</v>
      </c>
      <c r="U476" s="2">
        <v>2</v>
      </c>
      <c r="V476" s="2">
        <v>2</v>
      </c>
      <c r="W476" s="2">
        <v>11</v>
      </c>
      <c r="X476" s="2">
        <v>8</v>
      </c>
    </row>
    <row r="477" spans="1:24" x14ac:dyDescent="0.35">
      <c r="A477">
        <v>1010</v>
      </c>
      <c r="B477">
        <v>60474</v>
      </c>
      <c r="C477">
        <v>41</v>
      </c>
      <c r="D477">
        <v>1</v>
      </c>
      <c r="E477" s="28">
        <v>7.1589041095890407</v>
      </c>
      <c r="F477" s="28"/>
      <c r="G477" s="28"/>
      <c r="H477" s="28"/>
      <c r="I477" s="28"/>
      <c r="J477" s="28"/>
      <c r="L477" s="37">
        <v>1010</v>
      </c>
      <c r="M477" s="3">
        <v>25</v>
      </c>
      <c r="N477" s="3">
        <v>265</v>
      </c>
      <c r="O477" s="3">
        <v>199</v>
      </c>
      <c r="P477" s="3">
        <v>303</v>
      </c>
      <c r="Q477" s="3">
        <v>234</v>
      </c>
      <c r="R477" s="3">
        <v>9</v>
      </c>
      <c r="S477" s="3">
        <v>170</v>
      </c>
      <c r="T477" s="3">
        <v>7</v>
      </c>
      <c r="U477" s="3">
        <v>10</v>
      </c>
      <c r="V477" s="3">
        <v>2</v>
      </c>
      <c r="W477" s="3">
        <v>12</v>
      </c>
      <c r="X477" s="3">
        <v>7</v>
      </c>
    </row>
    <row r="478" spans="1:24" x14ac:dyDescent="0.35">
      <c r="A478">
        <v>1006</v>
      </c>
      <c r="B478">
        <v>65487</v>
      </c>
      <c r="C478">
        <v>63</v>
      </c>
      <c r="D478">
        <v>0</v>
      </c>
      <c r="E478" s="28">
        <v>6.3808219178082188</v>
      </c>
      <c r="F478" s="28"/>
      <c r="G478" s="28"/>
      <c r="H478" s="28"/>
      <c r="I478" s="28"/>
      <c r="J478" s="28"/>
      <c r="L478" s="38">
        <v>1006</v>
      </c>
      <c r="M478" s="2">
        <v>48</v>
      </c>
      <c r="N478" s="2">
        <v>240</v>
      </c>
      <c r="O478" s="2">
        <v>67</v>
      </c>
      <c r="P478" s="2">
        <v>500</v>
      </c>
      <c r="Q478" s="2">
        <v>199</v>
      </c>
      <c r="R478" s="2">
        <v>0</v>
      </c>
      <c r="S478" s="2">
        <v>163</v>
      </c>
      <c r="T478" s="2">
        <v>3</v>
      </c>
      <c r="U478" s="2">
        <v>3</v>
      </c>
      <c r="V478" s="2">
        <v>5</v>
      </c>
      <c r="W478" s="2">
        <v>6</v>
      </c>
      <c r="X478" s="2">
        <v>2</v>
      </c>
    </row>
    <row r="479" spans="1:24" x14ac:dyDescent="0.35">
      <c r="A479">
        <v>1006</v>
      </c>
      <c r="B479">
        <v>65487</v>
      </c>
      <c r="C479">
        <v>63</v>
      </c>
      <c r="D479">
        <v>0</v>
      </c>
      <c r="E479" s="28">
        <v>6.3808219178082188</v>
      </c>
      <c r="F479" s="28"/>
      <c r="G479" s="28"/>
      <c r="H479" s="28"/>
      <c r="I479" s="28"/>
      <c r="J479" s="28"/>
      <c r="L479" s="37">
        <v>1006</v>
      </c>
      <c r="M479" s="3">
        <v>48</v>
      </c>
      <c r="N479" s="3">
        <v>240</v>
      </c>
      <c r="O479" s="3">
        <v>67</v>
      </c>
      <c r="P479" s="3">
        <v>500</v>
      </c>
      <c r="Q479" s="3">
        <v>199</v>
      </c>
      <c r="R479" s="3">
        <v>0</v>
      </c>
      <c r="S479" s="3">
        <v>163</v>
      </c>
      <c r="T479" s="3">
        <v>3</v>
      </c>
      <c r="U479" s="3">
        <v>3</v>
      </c>
      <c r="V479" s="3">
        <v>5</v>
      </c>
      <c r="W479" s="3">
        <v>6</v>
      </c>
      <c r="X479" s="3">
        <v>2</v>
      </c>
    </row>
    <row r="480" spans="1:24" x14ac:dyDescent="0.35">
      <c r="A480">
        <v>1006</v>
      </c>
      <c r="B480">
        <v>59184</v>
      </c>
      <c r="C480">
        <v>59</v>
      </c>
      <c r="D480">
        <v>1</v>
      </c>
      <c r="E480" s="28">
        <v>7.7178082191780826</v>
      </c>
      <c r="F480" s="28"/>
      <c r="G480" s="28"/>
      <c r="H480" s="28"/>
      <c r="I480" s="28"/>
      <c r="J480" s="28"/>
      <c r="L480" s="38">
        <v>1006</v>
      </c>
      <c r="M480" s="2">
        <v>6</v>
      </c>
      <c r="N480" s="2">
        <v>341</v>
      </c>
      <c r="O480" s="2">
        <v>142</v>
      </c>
      <c r="P480" s="2">
        <v>113</v>
      </c>
      <c r="Q480" s="2">
        <v>259</v>
      </c>
      <c r="R480" s="2">
        <v>151</v>
      </c>
      <c r="S480" s="2">
        <v>66</v>
      </c>
      <c r="T480" s="2">
        <v>3</v>
      </c>
      <c r="U480" s="2">
        <v>6</v>
      </c>
      <c r="V480" s="2">
        <v>6</v>
      </c>
      <c r="W480" s="2">
        <v>12</v>
      </c>
      <c r="X480" s="2">
        <v>5</v>
      </c>
    </row>
    <row r="481" spans="1:24" x14ac:dyDescent="0.35">
      <c r="A481">
        <v>1004</v>
      </c>
      <c r="B481">
        <v>57072</v>
      </c>
      <c r="C481">
        <v>59</v>
      </c>
      <c r="D481">
        <v>1</v>
      </c>
      <c r="E481" s="28">
        <v>6.3424657534246576</v>
      </c>
      <c r="F481" s="28"/>
      <c r="G481" s="28"/>
      <c r="H481" s="28"/>
      <c r="I481" s="28"/>
      <c r="J481" s="28"/>
      <c r="L481" s="37">
        <v>1004</v>
      </c>
      <c r="M481" s="3">
        <v>79</v>
      </c>
      <c r="N481" s="3">
        <v>944</v>
      </c>
      <c r="O481" s="3">
        <v>0</v>
      </c>
      <c r="P481" s="3">
        <v>60</v>
      </c>
      <c r="Q481" s="3">
        <v>0</v>
      </c>
      <c r="R481" s="3">
        <v>0</v>
      </c>
      <c r="S481" s="3">
        <v>30</v>
      </c>
      <c r="T481" s="3">
        <v>2</v>
      </c>
      <c r="U481" s="3">
        <v>7</v>
      </c>
      <c r="V481" s="3">
        <v>5</v>
      </c>
      <c r="W481" s="3">
        <v>13</v>
      </c>
      <c r="X481" s="3">
        <v>5</v>
      </c>
    </row>
    <row r="482" spans="1:24" x14ac:dyDescent="0.35">
      <c r="A482">
        <v>1003</v>
      </c>
      <c r="B482">
        <v>65104</v>
      </c>
      <c r="C482">
        <v>44</v>
      </c>
      <c r="D482">
        <v>1</v>
      </c>
      <c r="E482" s="28">
        <v>6.536986301369863</v>
      </c>
      <c r="F482" s="28"/>
      <c r="G482" s="28"/>
      <c r="H482" s="28"/>
      <c r="I482" s="28"/>
      <c r="J482" s="28"/>
      <c r="L482" s="38">
        <v>1003</v>
      </c>
      <c r="M482" s="2">
        <v>4</v>
      </c>
      <c r="N482" s="2">
        <v>738</v>
      </c>
      <c r="O482" s="2">
        <v>0</v>
      </c>
      <c r="P482" s="2">
        <v>232</v>
      </c>
      <c r="Q482" s="2">
        <v>13</v>
      </c>
      <c r="R482" s="2">
        <v>20</v>
      </c>
      <c r="S482" s="2">
        <v>50</v>
      </c>
      <c r="T482" s="2">
        <v>2</v>
      </c>
      <c r="U482" s="2">
        <v>3</v>
      </c>
      <c r="V482" s="2">
        <v>5</v>
      </c>
      <c r="W482" s="2">
        <v>7</v>
      </c>
      <c r="X482" s="2">
        <v>7</v>
      </c>
    </row>
    <row r="483" spans="1:24" x14ac:dyDescent="0.35">
      <c r="A483">
        <v>1003</v>
      </c>
      <c r="B483">
        <v>65104</v>
      </c>
      <c r="C483">
        <v>44</v>
      </c>
      <c r="D483">
        <v>1</v>
      </c>
      <c r="E483" s="28">
        <v>6.536986301369863</v>
      </c>
      <c r="F483" s="28"/>
      <c r="G483" s="28"/>
      <c r="H483" s="28"/>
      <c r="I483" s="28"/>
      <c r="J483" s="28"/>
      <c r="L483" s="37">
        <v>1003</v>
      </c>
      <c r="M483" s="3">
        <v>4</v>
      </c>
      <c r="N483" s="3">
        <v>738</v>
      </c>
      <c r="O483" s="3">
        <v>0</v>
      </c>
      <c r="P483" s="3">
        <v>232</v>
      </c>
      <c r="Q483" s="3">
        <v>13</v>
      </c>
      <c r="R483" s="3">
        <v>20</v>
      </c>
      <c r="S483" s="3">
        <v>50</v>
      </c>
      <c r="T483" s="3">
        <v>2</v>
      </c>
      <c r="U483" s="3">
        <v>3</v>
      </c>
      <c r="V483" s="3">
        <v>5</v>
      </c>
      <c r="W483" s="3">
        <v>7</v>
      </c>
      <c r="X483" s="3">
        <v>7</v>
      </c>
    </row>
    <row r="484" spans="1:24" x14ac:dyDescent="0.35">
      <c r="A484">
        <v>1000</v>
      </c>
      <c r="B484">
        <v>62000</v>
      </c>
      <c r="C484">
        <v>68</v>
      </c>
      <c r="D484">
        <v>1</v>
      </c>
      <c r="E484" s="28">
        <v>6.7589041095890412</v>
      </c>
      <c r="F484" s="28"/>
      <c r="G484" s="28"/>
      <c r="H484" s="28"/>
      <c r="I484" s="28"/>
      <c r="J484" s="28"/>
      <c r="L484" s="38">
        <v>1000</v>
      </c>
      <c r="M484" s="2">
        <v>25</v>
      </c>
      <c r="N484" s="2">
        <v>899</v>
      </c>
      <c r="O484" s="2">
        <v>0</v>
      </c>
      <c r="P484" s="2">
        <v>101</v>
      </c>
      <c r="Q484" s="2">
        <v>0</v>
      </c>
      <c r="R484" s="2">
        <v>0</v>
      </c>
      <c r="S484" s="2">
        <v>20</v>
      </c>
      <c r="T484" s="2">
        <v>1</v>
      </c>
      <c r="U484" s="2">
        <v>6</v>
      </c>
      <c r="V484" s="2">
        <v>6</v>
      </c>
      <c r="W484" s="2">
        <v>13</v>
      </c>
      <c r="X484" s="2">
        <v>4</v>
      </c>
    </row>
    <row r="485" spans="1:24" x14ac:dyDescent="0.35">
      <c r="A485">
        <v>998</v>
      </c>
      <c r="B485">
        <v>65492</v>
      </c>
      <c r="C485">
        <v>61</v>
      </c>
      <c r="D485">
        <v>0</v>
      </c>
      <c r="E485" s="28">
        <v>6.3369863013698629</v>
      </c>
      <c r="F485" s="28"/>
      <c r="G485" s="28"/>
      <c r="H485" s="28"/>
      <c r="I485" s="28"/>
      <c r="J485" s="28"/>
      <c r="L485" s="37">
        <v>998</v>
      </c>
      <c r="M485" s="3">
        <v>73</v>
      </c>
      <c r="N485" s="3">
        <v>247</v>
      </c>
      <c r="O485" s="3">
        <v>161</v>
      </c>
      <c r="P485" s="3">
        <v>295</v>
      </c>
      <c r="Q485" s="3">
        <v>210</v>
      </c>
      <c r="R485" s="3">
        <v>85</v>
      </c>
      <c r="S485" s="3">
        <v>47</v>
      </c>
      <c r="T485" s="3">
        <v>2</v>
      </c>
      <c r="U485" s="3">
        <v>4</v>
      </c>
      <c r="V485" s="3">
        <v>7</v>
      </c>
      <c r="W485" s="3">
        <v>13</v>
      </c>
      <c r="X485" s="3">
        <v>2</v>
      </c>
    </row>
    <row r="486" spans="1:24" x14ac:dyDescent="0.35">
      <c r="A486">
        <v>996</v>
      </c>
      <c r="B486">
        <v>78416</v>
      </c>
      <c r="C486">
        <v>44</v>
      </c>
      <c r="D486">
        <v>1</v>
      </c>
      <c r="E486" s="28">
        <v>5.9205479452054792</v>
      </c>
      <c r="F486" s="28"/>
      <c r="G486" s="28"/>
      <c r="H486" s="28"/>
      <c r="I486" s="28"/>
      <c r="J486" s="28"/>
      <c r="L486" s="38">
        <v>996</v>
      </c>
      <c r="M486" s="2">
        <v>99</v>
      </c>
      <c r="N486" s="2">
        <v>453</v>
      </c>
      <c r="O486" s="2">
        <v>38</v>
      </c>
      <c r="P486" s="2">
        <v>279</v>
      </c>
      <c r="Q486" s="2">
        <v>188</v>
      </c>
      <c r="R486" s="2">
        <v>38</v>
      </c>
      <c r="S486" s="2">
        <v>183</v>
      </c>
      <c r="T486" s="2">
        <v>2</v>
      </c>
      <c r="U486" s="2">
        <v>7</v>
      </c>
      <c r="V486" s="2">
        <v>7</v>
      </c>
      <c r="W486" s="2">
        <v>10</v>
      </c>
      <c r="X486" s="2">
        <v>3</v>
      </c>
    </row>
    <row r="487" spans="1:24" x14ac:dyDescent="0.35">
      <c r="A487">
        <v>993</v>
      </c>
      <c r="B487">
        <v>66951</v>
      </c>
      <c r="C487">
        <v>32</v>
      </c>
      <c r="D487">
        <v>0</v>
      </c>
      <c r="E487" s="28">
        <v>6.5698630136986305</v>
      </c>
      <c r="F487" s="28"/>
      <c r="G487" s="28"/>
      <c r="H487" s="28"/>
      <c r="I487" s="28"/>
      <c r="J487" s="28"/>
      <c r="L487" s="37">
        <v>993</v>
      </c>
      <c r="M487" s="3">
        <v>46</v>
      </c>
      <c r="N487" s="3">
        <v>277</v>
      </c>
      <c r="O487" s="3">
        <v>162</v>
      </c>
      <c r="P487" s="3">
        <v>305</v>
      </c>
      <c r="Q487" s="3">
        <v>173</v>
      </c>
      <c r="R487" s="3">
        <v>76</v>
      </c>
      <c r="S487" s="3">
        <v>124</v>
      </c>
      <c r="T487" s="3">
        <v>1</v>
      </c>
      <c r="U487" s="3">
        <v>3</v>
      </c>
      <c r="V487" s="3">
        <v>4</v>
      </c>
      <c r="W487" s="3">
        <v>7</v>
      </c>
      <c r="X487" s="3">
        <v>1</v>
      </c>
    </row>
    <row r="488" spans="1:24" x14ac:dyDescent="0.35">
      <c r="A488">
        <v>992</v>
      </c>
      <c r="B488">
        <v>69932</v>
      </c>
      <c r="C488">
        <v>56</v>
      </c>
      <c r="D488">
        <v>1</v>
      </c>
      <c r="E488" s="28">
        <v>6.9616438356164387</v>
      </c>
      <c r="F488" s="28"/>
      <c r="G488" s="28"/>
      <c r="H488" s="28"/>
      <c r="I488" s="28"/>
      <c r="J488" s="28"/>
      <c r="L488" s="38">
        <v>992</v>
      </c>
      <c r="M488" s="2">
        <v>97</v>
      </c>
      <c r="N488" s="2">
        <v>412</v>
      </c>
      <c r="O488" s="2">
        <v>172</v>
      </c>
      <c r="P488" s="2">
        <v>153</v>
      </c>
      <c r="Q488" s="2">
        <v>150</v>
      </c>
      <c r="R488" s="2">
        <v>105</v>
      </c>
      <c r="S488" s="2">
        <v>57</v>
      </c>
      <c r="T488" s="2">
        <v>2</v>
      </c>
      <c r="U488" s="2">
        <v>7</v>
      </c>
      <c r="V488" s="2">
        <v>6</v>
      </c>
      <c r="W488" s="2">
        <v>11</v>
      </c>
      <c r="X488" s="2">
        <v>4</v>
      </c>
    </row>
    <row r="489" spans="1:24" x14ac:dyDescent="0.35">
      <c r="A489">
        <v>991</v>
      </c>
      <c r="B489">
        <v>46772</v>
      </c>
      <c r="C489">
        <v>45</v>
      </c>
      <c r="D489">
        <v>1</v>
      </c>
      <c r="E489" s="28">
        <v>7.5561643835616437</v>
      </c>
      <c r="F489" s="28"/>
      <c r="G489" s="28"/>
      <c r="H489" s="28"/>
      <c r="I489" s="28"/>
      <c r="J489" s="28"/>
      <c r="L489" s="37">
        <v>991</v>
      </c>
      <c r="M489" s="3">
        <v>88</v>
      </c>
      <c r="N489" s="3">
        <v>350</v>
      </c>
      <c r="O489" s="3">
        <v>104</v>
      </c>
      <c r="P489" s="3">
        <v>189</v>
      </c>
      <c r="Q489" s="3">
        <v>197</v>
      </c>
      <c r="R489" s="3">
        <v>151</v>
      </c>
      <c r="S489" s="3">
        <v>57</v>
      </c>
      <c r="T489" s="3">
        <v>6</v>
      </c>
      <c r="U489" s="3">
        <v>11</v>
      </c>
      <c r="V489" s="3">
        <v>8</v>
      </c>
      <c r="W489" s="3">
        <v>5</v>
      </c>
      <c r="X489" s="3">
        <v>8</v>
      </c>
    </row>
    <row r="490" spans="1:24" x14ac:dyDescent="0.35">
      <c r="A490">
        <v>989</v>
      </c>
      <c r="B490">
        <v>77044</v>
      </c>
      <c r="C490">
        <v>48</v>
      </c>
      <c r="D490">
        <v>1</v>
      </c>
      <c r="E490" s="28">
        <v>6.5863013698630137</v>
      </c>
      <c r="F490" s="28"/>
      <c r="G490" s="28"/>
      <c r="H490" s="28"/>
      <c r="I490" s="28"/>
      <c r="J490" s="28"/>
      <c r="L490" s="38">
        <v>989</v>
      </c>
      <c r="M490" s="2">
        <v>12</v>
      </c>
      <c r="N490" s="2">
        <v>625</v>
      </c>
      <c r="O490" s="2">
        <v>38</v>
      </c>
      <c r="P490" s="2">
        <v>242</v>
      </c>
      <c r="Q490" s="2">
        <v>50</v>
      </c>
      <c r="R490" s="2">
        <v>34</v>
      </c>
      <c r="S490" s="2">
        <v>76</v>
      </c>
      <c r="T490" s="2">
        <v>2</v>
      </c>
      <c r="U490" s="2">
        <v>7</v>
      </c>
      <c r="V490" s="2">
        <v>11</v>
      </c>
      <c r="W490" s="2">
        <v>11</v>
      </c>
      <c r="X490" s="2">
        <v>4</v>
      </c>
    </row>
    <row r="491" spans="1:24" x14ac:dyDescent="0.35">
      <c r="A491">
        <v>987</v>
      </c>
      <c r="B491">
        <v>77382</v>
      </c>
      <c r="C491">
        <v>52</v>
      </c>
      <c r="D491">
        <v>1</v>
      </c>
      <c r="E491" s="28">
        <v>6.3890410958904109</v>
      </c>
      <c r="F491" s="28"/>
      <c r="G491" s="28"/>
      <c r="H491" s="28"/>
      <c r="I491" s="28"/>
      <c r="J491" s="28"/>
      <c r="L491" s="37">
        <v>987</v>
      </c>
      <c r="M491" s="3">
        <v>36</v>
      </c>
      <c r="N491" s="3">
        <v>491</v>
      </c>
      <c r="O491" s="3">
        <v>48</v>
      </c>
      <c r="P491" s="3">
        <v>231</v>
      </c>
      <c r="Q491" s="3">
        <v>112</v>
      </c>
      <c r="R491" s="3">
        <v>105</v>
      </c>
      <c r="S491" s="3">
        <v>134</v>
      </c>
      <c r="T491" s="3">
        <v>2</v>
      </c>
      <c r="U491" s="3">
        <v>5</v>
      </c>
      <c r="V491" s="3">
        <v>7</v>
      </c>
      <c r="W491" s="3">
        <v>12</v>
      </c>
      <c r="X491" s="3">
        <v>1</v>
      </c>
    </row>
    <row r="492" spans="1:24" x14ac:dyDescent="0.35">
      <c r="A492">
        <v>987</v>
      </c>
      <c r="B492">
        <v>67309</v>
      </c>
      <c r="C492">
        <v>53</v>
      </c>
      <c r="D492">
        <v>1</v>
      </c>
      <c r="E492" s="28">
        <v>7.3452054794520549</v>
      </c>
      <c r="F492" s="28"/>
      <c r="G492" s="28"/>
      <c r="H492" s="28"/>
      <c r="I492" s="28"/>
      <c r="J492" s="28"/>
      <c r="L492" s="38">
        <v>987</v>
      </c>
      <c r="M492" s="2">
        <v>76</v>
      </c>
      <c r="N492" s="2">
        <v>515</v>
      </c>
      <c r="O492" s="2">
        <v>47</v>
      </c>
      <c r="P492" s="2">
        <v>181</v>
      </c>
      <c r="Q492" s="2">
        <v>149</v>
      </c>
      <c r="R492" s="2">
        <v>95</v>
      </c>
      <c r="S492" s="2">
        <v>95</v>
      </c>
      <c r="T492" s="2">
        <v>15</v>
      </c>
      <c r="U492" s="2">
        <v>9</v>
      </c>
      <c r="V492" s="2">
        <v>6</v>
      </c>
      <c r="W492" s="2">
        <v>9</v>
      </c>
      <c r="X492" s="2">
        <v>7</v>
      </c>
    </row>
    <row r="493" spans="1:24" x14ac:dyDescent="0.35">
      <c r="A493">
        <v>986</v>
      </c>
      <c r="B493">
        <v>80336</v>
      </c>
      <c r="C493">
        <v>50</v>
      </c>
      <c r="D493">
        <v>0</v>
      </c>
      <c r="E493" s="28">
        <v>6.7178082191780826</v>
      </c>
      <c r="F493" s="28"/>
      <c r="G493" s="28"/>
      <c r="H493" s="28"/>
      <c r="I493" s="28"/>
      <c r="J493" s="28"/>
      <c r="L493" s="37">
        <v>986</v>
      </c>
      <c r="M493" s="3">
        <v>12</v>
      </c>
      <c r="N493" s="3">
        <v>209</v>
      </c>
      <c r="O493" s="3">
        <v>19</v>
      </c>
      <c r="P493" s="3">
        <v>456</v>
      </c>
      <c r="Q493" s="3">
        <v>160</v>
      </c>
      <c r="R493" s="3">
        <v>142</v>
      </c>
      <c r="S493" s="3">
        <v>66</v>
      </c>
      <c r="T493" s="3">
        <v>1</v>
      </c>
      <c r="U493" s="3">
        <v>2</v>
      </c>
      <c r="V493" s="3">
        <v>9</v>
      </c>
      <c r="W493" s="3">
        <v>13</v>
      </c>
      <c r="X493" s="3">
        <v>1</v>
      </c>
    </row>
    <row r="494" spans="1:24" x14ac:dyDescent="0.35">
      <c r="A494">
        <v>982</v>
      </c>
      <c r="B494">
        <v>69702</v>
      </c>
      <c r="C494">
        <v>69</v>
      </c>
      <c r="D494">
        <v>1</v>
      </c>
      <c r="E494" s="28">
        <v>7.2712328767123289</v>
      </c>
      <c r="F494" s="28"/>
      <c r="G494" s="28"/>
      <c r="H494" s="28"/>
      <c r="I494" s="28"/>
      <c r="J494" s="28"/>
      <c r="L494" s="38">
        <v>982</v>
      </c>
      <c r="M494" s="2">
        <v>8</v>
      </c>
      <c r="N494" s="2">
        <v>664</v>
      </c>
      <c r="O494" s="2">
        <v>9</v>
      </c>
      <c r="P494" s="2">
        <v>240</v>
      </c>
      <c r="Q494" s="2">
        <v>50</v>
      </c>
      <c r="R494" s="2">
        <v>19</v>
      </c>
      <c r="S494" s="2">
        <v>57</v>
      </c>
      <c r="T494" s="2">
        <v>2</v>
      </c>
      <c r="U494" s="2">
        <v>7</v>
      </c>
      <c r="V494" s="2">
        <v>7</v>
      </c>
      <c r="W494" s="2">
        <v>10</v>
      </c>
      <c r="X494" s="2">
        <v>4</v>
      </c>
    </row>
    <row r="495" spans="1:24" x14ac:dyDescent="0.35">
      <c r="A495">
        <v>982</v>
      </c>
      <c r="B495">
        <v>71847</v>
      </c>
      <c r="C495">
        <v>42</v>
      </c>
      <c r="D495">
        <v>0</v>
      </c>
      <c r="E495" s="28">
        <v>7.6849315068493151</v>
      </c>
      <c r="F495" s="28"/>
      <c r="G495" s="28"/>
      <c r="H495" s="28"/>
      <c r="I495" s="28"/>
      <c r="J495" s="28"/>
      <c r="L495" s="37">
        <v>982</v>
      </c>
      <c r="M495" s="3">
        <v>95</v>
      </c>
      <c r="N495" s="3">
        <v>737</v>
      </c>
      <c r="O495" s="3">
        <v>21</v>
      </c>
      <c r="P495" s="3">
        <v>106</v>
      </c>
      <c r="Q495" s="3">
        <v>55</v>
      </c>
      <c r="R495" s="3">
        <v>63</v>
      </c>
      <c r="S495" s="3">
        <v>210</v>
      </c>
      <c r="T495" s="3">
        <v>0</v>
      </c>
      <c r="U495" s="3">
        <v>6</v>
      </c>
      <c r="V495" s="3">
        <v>7</v>
      </c>
      <c r="W495" s="3">
        <v>9</v>
      </c>
      <c r="X495" s="3">
        <v>3</v>
      </c>
    </row>
    <row r="496" spans="1:24" x14ac:dyDescent="0.35">
      <c r="A496">
        <v>977</v>
      </c>
      <c r="B496">
        <v>69476</v>
      </c>
      <c r="C496">
        <v>51</v>
      </c>
      <c r="D496">
        <v>0</v>
      </c>
      <c r="E496" s="28">
        <v>6.6602739726027398</v>
      </c>
      <c r="F496" s="28"/>
      <c r="G496" s="28"/>
      <c r="H496" s="28"/>
      <c r="I496" s="28"/>
      <c r="J496" s="28"/>
      <c r="L496" s="38">
        <v>977</v>
      </c>
      <c r="M496" s="2">
        <v>3</v>
      </c>
      <c r="N496" s="2">
        <v>260</v>
      </c>
      <c r="O496" s="2">
        <v>86</v>
      </c>
      <c r="P496" s="2">
        <v>559</v>
      </c>
      <c r="Q496" s="2">
        <v>63</v>
      </c>
      <c r="R496" s="2">
        <v>9</v>
      </c>
      <c r="S496" s="2">
        <v>67</v>
      </c>
      <c r="T496" s="2">
        <v>1</v>
      </c>
      <c r="U496" s="2">
        <v>4</v>
      </c>
      <c r="V496" s="2">
        <v>6</v>
      </c>
      <c r="W496" s="2">
        <v>4</v>
      </c>
      <c r="X496" s="2">
        <v>2</v>
      </c>
    </row>
    <row r="497" spans="1:24" x14ac:dyDescent="0.35">
      <c r="A497">
        <v>976</v>
      </c>
      <c r="B497">
        <v>67911</v>
      </c>
      <c r="C497">
        <v>71</v>
      </c>
      <c r="D497">
        <v>1</v>
      </c>
      <c r="E497" s="28">
        <v>6.0191780821917806</v>
      </c>
      <c r="F497" s="28"/>
      <c r="G497" s="28"/>
      <c r="H497" s="28"/>
      <c r="I497" s="28"/>
      <c r="J497" s="28"/>
      <c r="L497" s="37">
        <v>976</v>
      </c>
      <c r="M497" s="3">
        <v>63</v>
      </c>
      <c r="N497" s="3">
        <v>529</v>
      </c>
      <c r="O497" s="3">
        <v>0</v>
      </c>
      <c r="P497" s="3">
        <v>356</v>
      </c>
      <c r="Q497" s="3">
        <v>63</v>
      </c>
      <c r="R497" s="3">
        <v>28</v>
      </c>
      <c r="S497" s="3">
        <v>0</v>
      </c>
      <c r="T497" s="3">
        <v>3</v>
      </c>
      <c r="U497" s="3">
        <v>6</v>
      </c>
      <c r="V497" s="3">
        <v>7</v>
      </c>
      <c r="W497" s="3">
        <v>11</v>
      </c>
      <c r="X497" s="3">
        <v>3</v>
      </c>
    </row>
    <row r="498" spans="1:24" x14ac:dyDescent="0.35">
      <c r="A498">
        <v>976</v>
      </c>
      <c r="B498">
        <v>64831</v>
      </c>
      <c r="C498">
        <v>68</v>
      </c>
      <c r="D498">
        <v>1</v>
      </c>
      <c r="E498" s="28">
        <v>6.9671232876712326</v>
      </c>
      <c r="F498" s="28"/>
      <c r="G498" s="28"/>
      <c r="H498" s="28"/>
      <c r="I498" s="28"/>
      <c r="J498" s="28"/>
      <c r="L498" s="38">
        <v>976</v>
      </c>
      <c r="M498" s="2">
        <v>51</v>
      </c>
      <c r="N498" s="2">
        <v>480</v>
      </c>
      <c r="O498" s="2">
        <v>86</v>
      </c>
      <c r="P498" s="2">
        <v>249</v>
      </c>
      <c r="Q498" s="2">
        <v>75</v>
      </c>
      <c r="R498" s="2">
        <v>86</v>
      </c>
      <c r="S498" s="2">
        <v>144</v>
      </c>
      <c r="T498" s="2">
        <v>8</v>
      </c>
      <c r="U498" s="2">
        <v>6</v>
      </c>
      <c r="V498" s="2">
        <v>3</v>
      </c>
      <c r="W498" s="2">
        <v>5</v>
      </c>
      <c r="X498" s="2">
        <v>6</v>
      </c>
    </row>
    <row r="499" spans="1:24" x14ac:dyDescent="0.35">
      <c r="A499">
        <v>973</v>
      </c>
      <c r="B499">
        <v>73113</v>
      </c>
      <c r="C499">
        <v>60</v>
      </c>
      <c r="D499">
        <v>0</v>
      </c>
      <c r="E499" s="28">
        <v>6.4219178082191783</v>
      </c>
      <c r="F499" s="28"/>
      <c r="G499" s="28"/>
      <c r="H499" s="28"/>
      <c r="I499" s="28"/>
      <c r="J499" s="28"/>
      <c r="L499" s="37">
        <v>973</v>
      </c>
      <c r="M499" s="3">
        <v>86</v>
      </c>
      <c r="N499" s="3">
        <v>741</v>
      </c>
      <c r="O499" s="3">
        <v>19</v>
      </c>
      <c r="P499" s="3">
        <v>154</v>
      </c>
      <c r="Q499" s="3">
        <v>50</v>
      </c>
      <c r="R499" s="3">
        <v>9</v>
      </c>
      <c r="S499" s="3">
        <v>28</v>
      </c>
      <c r="T499" s="3">
        <v>1</v>
      </c>
      <c r="U499" s="3">
        <v>3</v>
      </c>
      <c r="V499" s="3">
        <v>4</v>
      </c>
      <c r="W499" s="3">
        <v>7</v>
      </c>
      <c r="X499" s="3">
        <v>2</v>
      </c>
    </row>
    <row r="500" spans="1:24" x14ac:dyDescent="0.35">
      <c r="A500">
        <v>972</v>
      </c>
      <c r="B500">
        <v>84835</v>
      </c>
      <c r="C500">
        <v>50</v>
      </c>
      <c r="D500">
        <v>0</v>
      </c>
      <c r="E500" s="28">
        <v>5.9506849315068493</v>
      </c>
      <c r="F500" s="28"/>
      <c r="G500" s="28"/>
      <c r="H500" s="28"/>
      <c r="I500" s="28"/>
      <c r="J500" s="28"/>
      <c r="L500" s="38">
        <v>972</v>
      </c>
      <c r="M500" s="2">
        <v>0</v>
      </c>
      <c r="N500" s="2">
        <v>189</v>
      </c>
      <c r="O500" s="2">
        <v>104</v>
      </c>
      <c r="P500" s="2">
        <v>379</v>
      </c>
      <c r="Q500" s="2">
        <v>111</v>
      </c>
      <c r="R500" s="2">
        <v>189</v>
      </c>
      <c r="S500" s="2">
        <v>218</v>
      </c>
      <c r="T500" s="2">
        <v>1</v>
      </c>
      <c r="U500" s="2">
        <v>4</v>
      </c>
      <c r="V500" s="2">
        <v>4</v>
      </c>
      <c r="W500" s="2">
        <v>6</v>
      </c>
      <c r="X500" s="2">
        <v>1</v>
      </c>
    </row>
    <row r="501" spans="1:24" x14ac:dyDescent="0.35">
      <c r="A501">
        <v>971</v>
      </c>
      <c r="B501">
        <v>64961</v>
      </c>
      <c r="C501">
        <v>62</v>
      </c>
      <c r="D501">
        <v>1</v>
      </c>
      <c r="E501" s="28">
        <v>7.4301369863013695</v>
      </c>
      <c r="F501" s="28"/>
      <c r="G501" s="28"/>
      <c r="H501" s="28"/>
      <c r="I501" s="28"/>
      <c r="J501" s="28"/>
      <c r="L501" s="37">
        <v>971</v>
      </c>
      <c r="M501" s="3">
        <v>97</v>
      </c>
      <c r="N501" s="3">
        <v>382</v>
      </c>
      <c r="O501" s="3">
        <v>114</v>
      </c>
      <c r="P501" s="3">
        <v>276</v>
      </c>
      <c r="Q501" s="3">
        <v>75</v>
      </c>
      <c r="R501" s="3">
        <v>124</v>
      </c>
      <c r="S501" s="3">
        <v>38</v>
      </c>
      <c r="T501" s="3">
        <v>2</v>
      </c>
      <c r="U501" s="3">
        <v>6</v>
      </c>
      <c r="V501" s="3">
        <v>4</v>
      </c>
      <c r="W501" s="3">
        <v>4</v>
      </c>
      <c r="X501" s="3">
        <v>3</v>
      </c>
    </row>
    <row r="502" spans="1:24" x14ac:dyDescent="0.35">
      <c r="A502">
        <v>971</v>
      </c>
      <c r="B502">
        <v>79244</v>
      </c>
      <c r="C502">
        <v>27</v>
      </c>
      <c r="D502">
        <v>0</v>
      </c>
      <c r="E502" s="28">
        <v>7.441095890410959</v>
      </c>
      <c r="F502" s="28"/>
      <c r="G502" s="28"/>
      <c r="H502" s="28"/>
      <c r="I502" s="28"/>
      <c r="J502" s="28"/>
      <c r="L502" s="38">
        <v>971</v>
      </c>
      <c r="M502" s="2">
        <v>58</v>
      </c>
      <c r="N502" s="2">
        <v>471</v>
      </c>
      <c r="O502" s="2">
        <v>102</v>
      </c>
      <c r="P502" s="2">
        <v>125</v>
      </c>
      <c r="Q502" s="2">
        <v>212</v>
      </c>
      <c r="R502" s="2">
        <v>61</v>
      </c>
      <c r="S502" s="2">
        <v>245</v>
      </c>
      <c r="T502" s="2">
        <v>1</v>
      </c>
      <c r="U502" s="2">
        <v>4</v>
      </c>
      <c r="V502" s="2">
        <v>10</v>
      </c>
      <c r="W502" s="2">
        <v>7</v>
      </c>
      <c r="X502" s="2">
        <v>1</v>
      </c>
    </row>
    <row r="503" spans="1:24" x14ac:dyDescent="0.35">
      <c r="A503">
        <v>970</v>
      </c>
      <c r="B503">
        <v>78468</v>
      </c>
      <c r="C503">
        <v>60</v>
      </c>
      <c r="D503">
        <v>0</v>
      </c>
      <c r="E503" s="28">
        <v>6.1369863013698627</v>
      </c>
      <c r="F503" s="28"/>
      <c r="G503" s="28"/>
      <c r="H503" s="28"/>
      <c r="I503" s="28"/>
      <c r="J503" s="28"/>
      <c r="L503" s="37">
        <v>970</v>
      </c>
      <c r="M503" s="3">
        <v>29</v>
      </c>
      <c r="N503" s="3">
        <v>434</v>
      </c>
      <c r="O503" s="3">
        <v>22</v>
      </c>
      <c r="P503" s="3">
        <v>388</v>
      </c>
      <c r="Q503" s="3">
        <v>104</v>
      </c>
      <c r="R503" s="3">
        <v>22</v>
      </c>
      <c r="S503" s="3">
        <v>34</v>
      </c>
      <c r="T503" s="3">
        <v>1</v>
      </c>
      <c r="U503" s="3">
        <v>10</v>
      </c>
      <c r="V503" s="3">
        <v>7</v>
      </c>
      <c r="W503" s="3">
        <v>10</v>
      </c>
      <c r="X503" s="3">
        <v>4</v>
      </c>
    </row>
    <row r="504" spans="1:24" x14ac:dyDescent="0.35">
      <c r="A504">
        <v>969</v>
      </c>
      <c r="B504">
        <v>63285</v>
      </c>
      <c r="C504">
        <v>75</v>
      </c>
      <c r="D504">
        <v>0</v>
      </c>
      <c r="E504" s="28">
        <v>6.5616438356164384</v>
      </c>
      <c r="F504" s="28"/>
      <c r="G504" s="28"/>
      <c r="H504" s="28"/>
      <c r="I504" s="28"/>
      <c r="J504" s="28"/>
      <c r="L504" s="38">
        <v>969</v>
      </c>
      <c r="M504" s="2">
        <v>84</v>
      </c>
      <c r="N504" s="2">
        <v>508</v>
      </c>
      <c r="O504" s="2">
        <v>124</v>
      </c>
      <c r="P504" s="2">
        <v>249</v>
      </c>
      <c r="Q504" s="2">
        <v>50</v>
      </c>
      <c r="R504" s="2">
        <v>38</v>
      </c>
      <c r="S504" s="2">
        <v>134</v>
      </c>
      <c r="T504" s="2">
        <v>1</v>
      </c>
      <c r="U504" s="2">
        <v>6</v>
      </c>
      <c r="V504" s="2">
        <v>5</v>
      </c>
      <c r="W504" s="2">
        <v>13</v>
      </c>
      <c r="X504" s="2">
        <v>3</v>
      </c>
    </row>
    <row r="505" spans="1:24" x14ac:dyDescent="0.35">
      <c r="A505">
        <v>967</v>
      </c>
      <c r="B505">
        <v>101970</v>
      </c>
      <c r="C505">
        <v>37</v>
      </c>
      <c r="D505">
        <v>0</v>
      </c>
      <c r="E505" s="28">
        <v>7.2136986301369861</v>
      </c>
      <c r="F505" s="28"/>
      <c r="G505" s="28"/>
      <c r="H505" s="28"/>
      <c r="I505" s="28"/>
      <c r="J505" s="28"/>
      <c r="L505" s="37">
        <v>967</v>
      </c>
      <c r="M505" s="3">
        <v>69</v>
      </c>
      <c r="N505" s="3">
        <v>722</v>
      </c>
      <c r="O505" s="3">
        <v>27</v>
      </c>
      <c r="P505" s="3">
        <v>102</v>
      </c>
      <c r="Q505" s="3">
        <v>44</v>
      </c>
      <c r="R505" s="3">
        <v>72</v>
      </c>
      <c r="S505" s="3">
        <v>168</v>
      </c>
      <c r="T505" s="3">
        <v>0</v>
      </c>
      <c r="U505" s="3">
        <v>6</v>
      </c>
      <c r="V505" s="3">
        <v>8</v>
      </c>
      <c r="W505" s="3">
        <v>13</v>
      </c>
      <c r="X505" s="3">
        <v>2</v>
      </c>
    </row>
    <row r="506" spans="1:24" x14ac:dyDescent="0.35">
      <c r="A506">
        <v>965</v>
      </c>
      <c r="B506">
        <v>71965</v>
      </c>
      <c r="C506">
        <v>69</v>
      </c>
      <c r="D506">
        <v>1</v>
      </c>
      <c r="E506" s="28">
        <v>6.8328767123287673</v>
      </c>
      <c r="F506" s="28"/>
      <c r="G506" s="28"/>
      <c r="H506" s="28"/>
      <c r="I506" s="28"/>
      <c r="J506" s="28"/>
      <c r="L506" s="38">
        <v>965</v>
      </c>
      <c r="M506" s="2">
        <v>21</v>
      </c>
      <c r="N506" s="2">
        <v>572</v>
      </c>
      <c r="O506" s="2">
        <v>19</v>
      </c>
      <c r="P506" s="2">
        <v>286</v>
      </c>
      <c r="Q506" s="2">
        <v>50</v>
      </c>
      <c r="R506" s="2">
        <v>38</v>
      </c>
      <c r="S506" s="2">
        <v>248</v>
      </c>
      <c r="T506" s="2">
        <v>3</v>
      </c>
      <c r="U506" s="2">
        <v>6</v>
      </c>
      <c r="V506" s="2">
        <v>3</v>
      </c>
      <c r="W506" s="2">
        <v>5</v>
      </c>
      <c r="X506" s="2">
        <v>3</v>
      </c>
    </row>
    <row r="507" spans="1:24" x14ac:dyDescent="0.35">
      <c r="A507">
        <v>965</v>
      </c>
      <c r="B507">
        <v>70647</v>
      </c>
      <c r="C507">
        <v>53</v>
      </c>
      <c r="D507">
        <v>1</v>
      </c>
      <c r="E507" s="28">
        <v>7.6849315068493151</v>
      </c>
      <c r="F507" s="28"/>
      <c r="G507" s="28"/>
      <c r="H507" s="28"/>
      <c r="I507" s="28"/>
      <c r="J507" s="28"/>
      <c r="L507" s="37">
        <v>965</v>
      </c>
      <c r="M507" s="3">
        <v>65</v>
      </c>
      <c r="N507" s="3">
        <v>561</v>
      </c>
      <c r="O507" s="3">
        <v>85</v>
      </c>
      <c r="P507" s="3">
        <v>171</v>
      </c>
      <c r="Q507" s="3">
        <v>25</v>
      </c>
      <c r="R507" s="3">
        <v>123</v>
      </c>
      <c r="S507" s="3">
        <v>114</v>
      </c>
      <c r="T507" s="3">
        <v>2</v>
      </c>
      <c r="U507" s="3">
        <v>4</v>
      </c>
      <c r="V507" s="3">
        <v>7</v>
      </c>
      <c r="W507" s="3">
        <v>13</v>
      </c>
      <c r="X507" s="3">
        <v>2</v>
      </c>
    </row>
    <row r="508" spans="1:24" x14ac:dyDescent="0.35">
      <c r="A508">
        <v>964</v>
      </c>
      <c r="B508">
        <v>102692</v>
      </c>
      <c r="C508">
        <v>46</v>
      </c>
      <c r="D508">
        <v>0</v>
      </c>
      <c r="E508" s="28">
        <v>7.1479452054794521</v>
      </c>
      <c r="F508" s="28"/>
      <c r="G508" s="28"/>
      <c r="H508" s="28"/>
      <c r="I508" s="28"/>
      <c r="J508" s="28"/>
      <c r="L508" s="38">
        <v>964</v>
      </c>
      <c r="M508" s="2">
        <v>5</v>
      </c>
      <c r="N508" s="2">
        <v>168</v>
      </c>
      <c r="O508" s="2">
        <v>148</v>
      </c>
      <c r="P508" s="2">
        <v>444</v>
      </c>
      <c r="Q508" s="2">
        <v>32</v>
      </c>
      <c r="R508" s="2">
        <v>172</v>
      </c>
      <c r="S508" s="2">
        <v>148</v>
      </c>
      <c r="T508" s="2">
        <v>1</v>
      </c>
      <c r="U508" s="2">
        <v>6</v>
      </c>
      <c r="V508" s="2">
        <v>9</v>
      </c>
      <c r="W508" s="2">
        <v>13</v>
      </c>
      <c r="X508" s="2">
        <v>2</v>
      </c>
    </row>
    <row r="509" spans="1:24" x14ac:dyDescent="0.35">
      <c r="A509">
        <v>964</v>
      </c>
      <c r="B509">
        <v>56796</v>
      </c>
      <c r="C509">
        <v>51</v>
      </c>
      <c r="D509">
        <v>1</v>
      </c>
      <c r="E509" s="28">
        <v>7.279452054794521</v>
      </c>
      <c r="F509" s="28"/>
      <c r="G509" s="28"/>
      <c r="H509" s="28"/>
      <c r="I509" s="28"/>
      <c r="J509" s="28"/>
      <c r="L509" s="37">
        <v>964</v>
      </c>
      <c r="M509" s="3">
        <v>24</v>
      </c>
      <c r="N509" s="3">
        <v>656</v>
      </c>
      <c r="O509" s="3">
        <v>38</v>
      </c>
      <c r="P509" s="3">
        <v>161</v>
      </c>
      <c r="Q509" s="3">
        <v>62</v>
      </c>
      <c r="R509" s="3">
        <v>47</v>
      </c>
      <c r="S509" s="3">
        <v>37</v>
      </c>
      <c r="T509" s="3">
        <v>3</v>
      </c>
      <c r="U509" s="3">
        <v>8</v>
      </c>
      <c r="V509" s="3">
        <v>9</v>
      </c>
      <c r="W509" s="3">
        <v>7</v>
      </c>
      <c r="X509" s="3">
        <v>7</v>
      </c>
    </row>
    <row r="510" spans="1:24" x14ac:dyDescent="0.35">
      <c r="A510">
        <v>962</v>
      </c>
      <c r="B510">
        <v>65148</v>
      </c>
      <c r="C510">
        <v>62</v>
      </c>
      <c r="D510">
        <v>1</v>
      </c>
      <c r="E510" s="28">
        <v>7.5315068493150683</v>
      </c>
      <c r="F510" s="28"/>
      <c r="G510" s="28"/>
      <c r="H510" s="28"/>
      <c r="I510" s="28"/>
      <c r="J510" s="28"/>
      <c r="L510" s="38">
        <v>962</v>
      </c>
      <c r="M510" s="2">
        <v>9</v>
      </c>
      <c r="N510" s="2">
        <v>460</v>
      </c>
      <c r="O510" s="2">
        <v>35</v>
      </c>
      <c r="P510" s="2">
        <v>422</v>
      </c>
      <c r="Q510" s="2">
        <v>33</v>
      </c>
      <c r="R510" s="2">
        <v>12</v>
      </c>
      <c r="S510" s="2">
        <v>153</v>
      </c>
      <c r="T510" s="2">
        <v>2</v>
      </c>
      <c r="U510" s="2">
        <v>6</v>
      </c>
      <c r="V510" s="2">
        <v>6</v>
      </c>
      <c r="W510" s="2">
        <v>7</v>
      </c>
      <c r="X510" s="2">
        <v>4</v>
      </c>
    </row>
    <row r="511" spans="1:24" x14ac:dyDescent="0.35">
      <c r="A511">
        <v>962</v>
      </c>
      <c r="B511">
        <v>65991</v>
      </c>
      <c r="C511">
        <v>44</v>
      </c>
      <c r="D511">
        <v>1</v>
      </c>
      <c r="E511" s="28">
        <v>7.7232876712328764</v>
      </c>
      <c r="F511" s="28"/>
      <c r="G511" s="28"/>
      <c r="H511" s="28"/>
      <c r="I511" s="28"/>
      <c r="J511" s="28"/>
      <c r="L511" s="37">
        <v>962</v>
      </c>
      <c r="M511" s="3">
        <v>21</v>
      </c>
      <c r="N511" s="3">
        <v>507</v>
      </c>
      <c r="O511" s="3">
        <v>19</v>
      </c>
      <c r="P511" s="3">
        <v>364</v>
      </c>
      <c r="Q511" s="3">
        <v>25</v>
      </c>
      <c r="R511" s="3">
        <v>47</v>
      </c>
      <c r="S511" s="3">
        <v>9</v>
      </c>
      <c r="T511" s="3">
        <v>3</v>
      </c>
      <c r="U511" s="3">
        <v>9</v>
      </c>
      <c r="V511" s="3">
        <v>5</v>
      </c>
      <c r="W511" s="3">
        <v>10</v>
      </c>
      <c r="X511" s="3">
        <v>7</v>
      </c>
    </row>
    <row r="512" spans="1:24" x14ac:dyDescent="0.35">
      <c r="A512">
        <v>962</v>
      </c>
      <c r="B512">
        <v>67433</v>
      </c>
      <c r="C512">
        <v>68</v>
      </c>
      <c r="D512">
        <v>1</v>
      </c>
      <c r="E512" s="28">
        <v>6.8684931506849312</v>
      </c>
      <c r="F512" s="28"/>
      <c r="G512" s="28"/>
      <c r="H512" s="28"/>
      <c r="I512" s="28"/>
      <c r="J512" s="28"/>
      <c r="L512" s="38">
        <v>962</v>
      </c>
      <c r="M512" s="2">
        <v>51</v>
      </c>
      <c r="N512" s="2">
        <v>615</v>
      </c>
      <c r="O512" s="2">
        <v>28</v>
      </c>
      <c r="P512" s="2">
        <v>259</v>
      </c>
      <c r="Q512" s="2">
        <v>12</v>
      </c>
      <c r="R512" s="2">
        <v>48</v>
      </c>
      <c r="S512" s="2">
        <v>30</v>
      </c>
      <c r="T512" s="2">
        <v>4</v>
      </c>
      <c r="U512" s="2">
        <v>6</v>
      </c>
      <c r="V512" s="2">
        <v>5</v>
      </c>
      <c r="W512" s="2">
        <v>13</v>
      </c>
      <c r="X512" s="2">
        <v>4</v>
      </c>
    </row>
    <row r="513" spans="1:24" x14ac:dyDescent="0.35">
      <c r="A513">
        <v>961</v>
      </c>
      <c r="B513">
        <v>81698</v>
      </c>
      <c r="C513">
        <v>71</v>
      </c>
      <c r="D513">
        <v>0</v>
      </c>
      <c r="E513" s="28">
        <v>6.558904109589041</v>
      </c>
      <c r="F513" s="28"/>
      <c r="G513" s="28"/>
      <c r="H513" s="28"/>
      <c r="I513" s="28"/>
      <c r="J513" s="28"/>
      <c r="L513" s="37">
        <v>961</v>
      </c>
      <c r="M513" s="3">
        <v>4</v>
      </c>
      <c r="N513" s="3">
        <v>179</v>
      </c>
      <c r="O513" s="3">
        <v>28</v>
      </c>
      <c r="P513" s="3">
        <v>520</v>
      </c>
      <c r="Q513" s="3">
        <v>111</v>
      </c>
      <c r="R513" s="3">
        <v>123</v>
      </c>
      <c r="S513" s="3">
        <v>47</v>
      </c>
      <c r="T513" s="3">
        <v>1</v>
      </c>
      <c r="U513" s="3">
        <v>3</v>
      </c>
      <c r="V513" s="3">
        <v>8</v>
      </c>
      <c r="W513" s="3">
        <v>13</v>
      </c>
      <c r="X513" s="3">
        <v>1</v>
      </c>
    </row>
    <row r="514" spans="1:24" x14ac:dyDescent="0.35">
      <c r="A514">
        <v>961</v>
      </c>
      <c r="B514">
        <v>55956</v>
      </c>
      <c r="C514">
        <v>76</v>
      </c>
      <c r="D514">
        <v>0</v>
      </c>
      <c r="E514" s="28">
        <v>6.1424657534246574</v>
      </c>
      <c r="F514" s="28"/>
      <c r="G514" s="28"/>
      <c r="H514" s="28"/>
      <c r="I514" s="28"/>
      <c r="J514" s="28"/>
      <c r="L514" s="38">
        <v>961</v>
      </c>
      <c r="M514" s="2">
        <v>22</v>
      </c>
      <c r="N514" s="2">
        <v>760</v>
      </c>
      <c r="O514" s="2">
        <v>38</v>
      </c>
      <c r="P514" s="2">
        <v>104</v>
      </c>
      <c r="Q514" s="2">
        <v>50</v>
      </c>
      <c r="R514" s="2">
        <v>9</v>
      </c>
      <c r="S514" s="2">
        <v>38</v>
      </c>
      <c r="T514" s="2">
        <v>2</v>
      </c>
      <c r="U514" s="2">
        <v>7</v>
      </c>
      <c r="V514" s="2">
        <v>3</v>
      </c>
      <c r="W514" s="2">
        <v>4</v>
      </c>
      <c r="X514" s="2">
        <v>4</v>
      </c>
    </row>
    <row r="515" spans="1:24" x14ac:dyDescent="0.35">
      <c r="A515">
        <v>960</v>
      </c>
      <c r="B515">
        <v>67716</v>
      </c>
      <c r="C515">
        <v>60</v>
      </c>
      <c r="D515">
        <v>1</v>
      </c>
      <c r="E515" s="28">
        <v>7.3808219178082188</v>
      </c>
      <c r="F515" s="28"/>
      <c r="G515" s="28"/>
      <c r="H515" s="28"/>
      <c r="I515" s="28"/>
      <c r="J515" s="28"/>
      <c r="L515" s="37">
        <v>960</v>
      </c>
      <c r="M515" s="3">
        <v>8</v>
      </c>
      <c r="N515" s="3">
        <v>530</v>
      </c>
      <c r="O515" s="3">
        <v>142</v>
      </c>
      <c r="P515" s="3">
        <v>217</v>
      </c>
      <c r="Q515" s="3">
        <v>62</v>
      </c>
      <c r="R515" s="3">
        <v>9</v>
      </c>
      <c r="S515" s="3">
        <v>56</v>
      </c>
      <c r="T515" s="3">
        <v>4</v>
      </c>
      <c r="U515" s="3">
        <v>7</v>
      </c>
      <c r="V515" s="3">
        <v>4</v>
      </c>
      <c r="W515" s="3">
        <v>13</v>
      </c>
      <c r="X515" s="3">
        <v>5</v>
      </c>
    </row>
    <row r="516" spans="1:24" x14ac:dyDescent="0.35">
      <c r="A516">
        <v>959</v>
      </c>
      <c r="B516">
        <v>82460</v>
      </c>
      <c r="C516">
        <v>70</v>
      </c>
      <c r="D516">
        <v>0</v>
      </c>
      <c r="E516" s="28">
        <v>6.4876712328767123</v>
      </c>
      <c r="F516" s="28"/>
      <c r="G516" s="28"/>
      <c r="H516" s="28"/>
      <c r="I516" s="28"/>
      <c r="J516" s="28"/>
      <c r="L516" s="38">
        <v>959</v>
      </c>
      <c r="M516" s="2">
        <v>78</v>
      </c>
      <c r="N516" s="2">
        <v>255</v>
      </c>
      <c r="O516" s="2">
        <v>47</v>
      </c>
      <c r="P516" s="2">
        <v>573</v>
      </c>
      <c r="Q516" s="2">
        <v>52</v>
      </c>
      <c r="R516" s="2">
        <v>32</v>
      </c>
      <c r="S516" s="2">
        <v>15</v>
      </c>
      <c r="T516" s="2">
        <v>1</v>
      </c>
      <c r="U516" s="2">
        <v>5</v>
      </c>
      <c r="V516" s="2">
        <v>3</v>
      </c>
      <c r="W516" s="2">
        <v>6</v>
      </c>
      <c r="X516" s="2">
        <v>1</v>
      </c>
    </row>
    <row r="517" spans="1:24" x14ac:dyDescent="0.35">
      <c r="A517">
        <v>957</v>
      </c>
      <c r="B517">
        <v>68148</v>
      </c>
      <c r="C517">
        <v>63</v>
      </c>
      <c r="D517">
        <v>0</v>
      </c>
      <c r="E517" s="28">
        <v>6.7424657534246579</v>
      </c>
      <c r="F517" s="28"/>
      <c r="G517" s="28"/>
      <c r="H517" s="28"/>
      <c r="I517" s="28"/>
      <c r="J517" s="28"/>
      <c r="L517" s="37">
        <v>957</v>
      </c>
      <c r="M517" s="3">
        <v>86</v>
      </c>
      <c r="N517" s="3">
        <v>389</v>
      </c>
      <c r="O517" s="3">
        <v>66</v>
      </c>
      <c r="P517" s="3">
        <v>408</v>
      </c>
      <c r="Q517" s="3">
        <v>37</v>
      </c>
      <c r="R517" s="3">
        <v>57</v>
      </c>
      <c r="S517" s="3">
        <v>85</v>
      </c>
      <c r="T517" s="3">
        <v>1</v>
      </c>
      <c r="U517" s="3">
        <v>4</v>
      </c>
      <c r="V517" s="3">
        <v>4</v>
      </c>
      <c r="W517" s="3">
        <v>6</v>
      </c>
      <c r="X517" s="3">
        <v>2</v>
      </c>
    </row>
    <row r="518" spans="1:24" x14ac:dyDescent="0.35">
      <c r="A518">
        <v>957</v>
      </c>
      <c r="B518">
        <v>62450</v>
      </c>
      <c r="C518">
        <v>61</v>
      </c>
      <c r="D518">
        <v>1</v>
      </c>
      <c r="E518" s="28">
        <v>6.3917808219178083</v>
      </c>
      <c r="F518" s="28"/>
      <c r="G518" s="28"/>
      <c r="H518" s="28"/>
      <c r="I518" s="28"/>
      <c r="J518" s="28"/>
      <c r="L518" s="38">
        <v>957</v>
      </c>
      <c r="M518" s="2">
        <v>61</v>
      </c>
      <c r="N518" s="2">
        <v>515</v>
      </c>
      <c r="O518" s="2">
        <v>47</v>
      </c>
      <c r="P518" s="2">
        <v>267</v>
      </c>
      <c r="Q518" s="2">
        <v>62</v>
      </c>
      <c r="R518" s="2">
        <v>66</v>
      </c>
      <c r="S518" s="2">
        <v>38</v>
      </c>
      <c r="T518" s="2">
        <v>2</v>
      </c>
      <c r="U518" s="2">
        <v>5</v>
      </c>
      <c r="V518" s="2">
        <v>5</v>
      </c>
      <c r="W518" s="2">
        <v>4</v>
      </c>
      <c r="X518" s="2">
        <v>3</v>
      </c>
    </row>
    <row r="519" spans="1:24" x14ac:dyDescent="0.35">
      <c r="A519">
        <v>956</v>
      </c>
      <c r="B519">
        <v>74806</v>
      </c>
      <c r="C519">
        <v>55</v>
      </c>
      <c r="D519">
        <v>1</v>
      </c>
      <c r="E519" s="28">
        <v>7.441095890410959</v>
      </c>
      <c r="F519" s="28"/>
      <c r="G519" s="28"/>
      <c r="H519" s="28"/>
      <c r="I519" s="28"/>
      <c r="J519" s="28"/>
      <c r="L519" s="37">
        <v>956</v>
      </c>
      <c r="M519" s="3">
        <v>1</v>
      </c>
      <c r="N519" s="3">
        <v>670</v>
      </c>
      <c r="O519" s="3">
        <v>9</v>
      </c>
      <c r="P519" s="3">
        <v>249</v>
      </c>
      <c r="Q519" s="3">
        <v>0</v>
      </c>
      <c r="R519" s="3">
        <v>28</v>
      </c>
      <c r="S519" s="3">
        <v>9</v>
      </c>
      <c r="T519" s="3">
        <v>2</v>
      </c>
      <c r="U519" s="3">
        <v>5</v>
      </c>
      <c r="V519" s="3">
        <v>4</v>
      </c>
      <c r="W519" s="3">
        <v>5</v>
      </c>
      <c r="X519" s="3">
        <v>4</v>
      </c>
    </row>
    <row r="520" spans="1:24" x14ac:dyDescent="0.35">
      <c r="A520">
        <v>956</v>
      </c>
      <c r="B520">
        <v>55686</v>
      </c>
      <c r="C520">
        <v>54</v>
      </c>
      <c r="D520">
        <v>1</v>
      </c>
      <c r="E520" s="28">
        <v>7.2849315068493148</v>
      </c>
      <c r="F520" s="28"/>
      <c r="G520" s="28"/>
      <c r="H520" s="28"/>
      <c r="I520" s="28"/>
      <c r="J520" s="28"/>
      <c r="L520" s="38">
        <v>956</v>
      </c>
      <c r="M520" s="2">
        <v>27</v>
      </c>
      <c r="N520" s="2">
        <v>673</v>
      </c>
      <c r="O520" s="2">
        <v>0</v>
      </c>
      <c r="P520" s="2">
        <v>199</v>
      </c>
      <c r="Q520" s="2">
        <v>37</v>
      </c>
      <c r="R520" s="2">
        <v>47</v>
      </c>
      <c r="S520" s="2">
        <v>26</v>
      </c>
      <c r="T520" s="2">
        <v>2</v>
      </c>
      <c r="U520" s="2">
        <v>6</v>
      </c>
      <c r="V520" s="2">
        <v>3</v>
      </c>
      <c r="W520" s="2">
        <v>5</v>
      </c>
      <c r="X520" s="2">
        <v>4</v>
      </c>
    </row>
    <row r="521" spans="1:24" x14ac:dyDescent="0.35">
      <c r="A521">
        <v>956</v>
      </c>
      <c r="B521">
        <v>66476</v>
      </c>
      <c r="C521">
        <v>51</v>
      </c>
      <c r="D521">
        <v>1</v>
      </c>
      <c r="E521" s="28">
        <v>6.4821917808219176</v>
      </c>
      <c r="F521" s="28"/>
      <c r="G521" s="28"/>
      <c r="H521" s="28"/>
      <c r="I521" s="28"/>
      <c r="J521" s="28"/>
      <c r="L521" s="37">
        <v>956</v>
      </c>
      <c r="M521" s="3">
        <v>80</v>
      </c>
      <c r="N521" s="3">
        <v>742</v>
      </c>
      <c r="O521" s="3">
        <v>28</v>
      </c>
      <c r="P521" s="3">
        <v>152</v>
      </c>
      <c r="Q521" s="3">
        <v>25</v>
      </c>
      <c r="R521" s="3">
        <v>9</v>
      </c>
      <c r="S521" s="3">
        <v>57</v>
      </c>
      <c r="T521" s="3">
        <v>2</v>
      </c>
      <c r="U521" s="3">
        <v>6</v>
      </c>
      <c r="V521" s="3">
        <v>8</v>
      </c>
      <c r="W521" s="3">
        <v>10</v>
      </c>
      <c r="X521" s="3">
        <v>4</v>
      </c>
    </row>
    <row r="522" spans="1:24" x14ac:dyDescent="0.35">
      <c r="A522">
        <v>955</v>
      </c>
      <c r="B522">
        <v>65196</v>
      </c>
      <c r="C522">
        <v>62</v>
      </c>
      <c r="D522">
        <v>1</v>
      </c>
      <c r="E522" s="28">
        <v>6.8438356164383558</v>
      </c>
      <c r="F522" s="28"/>
      <c r="G522" s="28"/>
      <c r="H522" s="28"/>
      <c r="I522" s="28"/>
      <c r="J522" s="28"/>
      <c r="L522" s="38">
        <v>955</v>
      </c>
      <c r="M522" s="2">
        <v>34</v>
      </c>
      <c r="N522" s="2">
        <v>743</v>
      </c>
      <c r="O522" s="2">
        <v>19</v>
      </c>
      <c r="P522" s="2">
        <v>181</v>
      </c>
      <c r="Q522" s="2">
        <v>12</v>
      </c>
      <c r="R522" s="2">
        <v>0</v>
      </c>
      <c r="S522" s="2">
        <v>200</v>
      </c>
      <c r="T522" s="2">
        <v>2</v>
      </c>
      <c r="U522" s="2">
        <v>7</v>
      </c>
      <c r="V522" s="2">
        <v>6</v>
      </c>
      <c r="W522" s="2">
        <v>11</v>
      </c>
      <c r="X522" s="2">
        <v>5</v>
      </c>
    </row>
    <row r="523" spans="1:24" x14ac:dyDescent="0.35">
      <c r="A523">
        <v>954</v>
      </c>
      <c r="B523">
        <v>75236</v>
      </c>
      <c r="C523">
        <v>56</v>
      </c>
      <c r="D523">
        <v>1</v>
      </c>
      <c r="E523" s="28">
        <v>6.506849315068493</v>
      </c>
      <c r="F523" s="28"/>
      <c r="G523" s="28"/>
      <c r="H523" s="28"/>
      <c r="I523" s="28"/>
      <c r="J523" s="28"/>
      <c r="L523" s="37">
        <v>954</v>
      </c>
      <c r="M523" s="3">
        <v>27</v>
      </c>
      <c r="N523" s="3">
        <v>438</v>
      </c>
      <c r="O523" s="3">
        <v>66</v>
      </c>
      <c r="P523" s="3">
        <v>400</v>
      </c>
      <c r="Q523" s="3">
        <v>12</v>
      </c>
      <c r="R523" s="3">
        <v>38</v>
      </c>
      <c r="S523" s="3">
        <v>114</v>
      </c>
      <c r="T523" s="3">
        <v>1</v>
      </c>
      <c r="U523" s="3">
        <v>8</v>
      </c>
      <c r="V523" s="3">
        <v>3</v>
      </c>
      <c r="W523" s="3">
        <v>13</v>
      </c>
      <c r="X523" s="3">
        <v>4</v>
      </c>
    </row>
    <row r="524" spans="1:24" x14ac:dyDescent="0.35">
      <c r="A524">
        <v>954</v>
      </c>
      <c r="B524">
        <v>65106</v>
      </c>
      <c r="C524">
        <v>45</v>
      </c>
      <c r="D524">
        <v>1</v>
      </c>
      <c r="E524" s="28">
        <v>6.0136986301369859</v>
      </c>
      <c r="F524" s="28"/>
      <c r="G524" s="28"/>
      <c r="H524" s="28"/>
      <c r="I524" s="28"/>
      <c r="J524" s="28"/>
      <c r="L524" s="38">
        <v>954</v>
      </c>
      <c r="M524" s="2">
        <v>55</v>
      </c>
      <c r="N524" s="2">
        <v>790</v>
      </c>
      <c r="O524" s="2">
        <v>19</v>
      </c>
      <c r="P524" s="2">
        <v>133</v>
      </c>
      <c r="Q524" s="2">
        <v>12</v>
      </c>
      <c r="R524" s="2">
        <v>0</v>
      </c>
      <c r="S524" s="2">
        <v>19</v>
      </c>
      <c r="T524" s="2">
        <v>3</v>
      </c>
      <c r="U524" s="2">
        <v>8</v>
      </c>
      <c r="V524" s="2">
        <v>3</v>
      </c>
      <c r="W524" s="2">
        <v>13</v>
      </c>
      <c r="X524" s="2">
        <v>6</v>
      </c>
    </row>
    <row r="525" spans="1:24" x14ac:dyDescent="0.35">
      <c r="A525">
        <v>953</v>
      </c>
      <c r="B525">
        <v>75283</v>
      </c>
      <c r="C525">
        <v>63</v>
      </c>
      <c r="D525">
        <v>1</v>
      </c>
      <c r="E525" s="28">
        <v>7.1726027397260275</v>
      </c>
      <c r="F525" s="28"/>
      <c r="G525" s="28"/>
      <c r="H525" s="28"/>
      <c r="I525" s="28"/>
      <c r="J525" s="28"/>
      <c r="L525" s="37">
        <v>953</v>
      </c>
      <c r="M525" s="3">
        <v>26</v>
      </c>
      <c r="N525" s="3">
        <v>733</v>
      </c>
      <c r="O525" s="3">
        <v>9</v>
      </c>
      <c r="P525" s="3">
        <v>180</v>
      </c>
      <c r="Q525" s="3">
        <v>12</v>
      </c>
      <c r="R525" s="3">
        <v>19</v>
      </c>
      <c r="S525" s="3">
        <v>66</v>
      </c>
      <c r="T525" s="3">
        <v>11</v>
      </c>
      <c r="U525" s="3">
        <v>6</v>
      </c>
      <c r="V525" s="3">
        <v>3</v>
      </c>
      <c r="W525" s="3">
        <v>5</v>
      </c>
      <c r="X525" s="3">
        <v>4</v>
      </c>
    </row>
    <row r="526" spans="1:24" x14ac:dyDescent="0.35">
      <c r="A526">
        <v>953</v>
      </c>
      <c r="B526">
        <v>58607</v>
      </c>
      <c r="C526">
        <v>71</v>
      </c>
      <c r="D526">
        <v>1</v>
      </c>
      <c r="E526" s="28">
        <v>7.4301369863013695</v>
      </c>
      <c r="F526" s="28"/>
      <c r="G526" s="28"/>
      <c r="H526" s="28"/>
      <c r="I526" s="28"/>
      <c r="J526" s="28"/>
      <c r="L526" s="38">
        <v>953</v>
      </c>
      <c r="M526" s="2">
        <v>63</v>
      </c>
      <c r="N526" s="2">
        <v>867</v>
      </c>
      <c r="O526" s="2">
        <v>0</v>
      </c>
      <c r="P526" s="2">
        <v>86</v>
      </c>
      <c r="Q526" s="2">
        <v>0</v>
      </c>
      <c r="R526" s="2">
        <v>0</v>
      </c>
      <c r="S526" s="2">
        <v>19</v>
      </c>
      <c r="T526" s="2">
        <v>3</v>
      </c>
      <c r="U526" s="2">
        <v>2</v>
      </c>
      <c r="V526" s="2">
        <v>3</v>
      </c>
      <c r="W526" s="2">
        <v>9</v>
      </c>
      <c r="X526" s="2">
        <v>8</v>
      </c>
    </row>
    <row r="527" spans="1:24" x14ac:dyDescent="0.35">
      <c r="A527">
        <v>953</v>
      </c>
      <c r="B527">
        <v>52973</v>
      </c>
      <c r="C527">
        <v>64</v>
      </c>
      <c r="D527">
        <v>1</v>
      </c>
      <c r="E527" s="28">
        <v>7.5534246575342463</v>
      </c>
      <c r="F527" s="28"/>
      <c r="G527" s="28"/>
      <c r="H527" s="28"/>
      <c r="I527" s="28"/>
      <c r="J527" s="28"/>
      <c r="L527" s="37">
        <v>953</v>
      </c>
      <c r="M527" s="3">
        <v>92</v>
      </c>
      <c r="N527" s="3">
        <v>856</v>
      </c>
      <c r="O527" s="3">
        <v>0</v>
      </c>
      <c r="P527" s="3">
        <v>76</v>
      </c>
      <c r="Q527" s="3">
        <v>12</v>
      </c>
      <c r="R527" s="3">
        <v>9</v>
      </c>
      <c r="S527" s="3">
        <v>199</v>
      </c>
      <c r="T527" s="3">
        <v>7</v>
      </c>
      <c r="U527" s="3">
        <v>9</v>
      </c>
      <c r="V527" s="3">
        <v>6</v>
      </c>
      <c r="W527" s="3">
        <v>9</v>
      </c>
      <c r="X527" s="3">
        <v>8</v>
      </c>
    </row>
    <row r="528" spans="1:24" x14ac:dyDescent="0.35">
      <c r="A528">
        <v>952</v>
      </c>
      <c r="B528">
        <v>84953</v>
      </c>
      <c r="C528">
        <v>67</v>
      </c>
      <c r="D528">
        <v>0</v>
      </c>
      <c r="E528" s="28">
        <v>6.9863013698630141</v>
      </c>
      <c r="F528" s="28"/>
      <c r="G528" s="28"/>
      <c r="H528" s="28"/>
      <c r="I528" s="28"/>
      <c r="J528" s="28"/>
      <c r="L528" s="38">
        <v>952</v>
      </c>
      <c r="M528" s="2">
        <v>73</v>
      </c>
      <c r="N528" s="2">
        <v>167</v>
      </c>
      <c r="O528" s="2">
        <v>48</v>
      </c>
      <c r="P528" s="2">
        <v>602</v>
      </c>
      <c r="Q528" s="2">
        <v>63</v>
      </c>
      <c r="R528" s="2">
        <v>72</v>
      </c>
      <c r="S528" s="2">
        <v>72</v>
      </c>
      <c r="T528" s="2">
        <v>1</v>
      </c>
      <c r="U528" s="2">
        <v>3</v>
      </c>
      <c r="V528" s="2">
        <v>10</v>
      </c>
      <c r="W528" s="2">
        <v>4</v>
      </c>
      <c r="X528" s="2">
        <v>2</v>
      </c>
    </row>
    <row r="529" spans="1:24" x14ac:dyDescent="0.35">
      <c r="A529">
        <v>952</v>
      </c>
      <c r="B529">
        <v>60491</v>
      </c>
      <c r="C529">
        <v>49</v>
      </c>
      <c r="D529">
        <v>1</v>
      </c>
      <c r="E529" s="28">
        <v>6.7260273972602738</v>
      </c>
      <c r="F529" s="28"/>
      <c r="G529" s="28"/>
      <c r="H529" s="28"/>
      <c r="I529" s="28"/>
      <c r="J529" s="28"/>
      <c r="L529" s="37">
        <v>952</v>
      </c>
      <c r="M529" s="3">
        <v>81</v>
      </c>
      <c r="N529" s="3">
        <v>637</v>
      </c>
      <c r="O529" s="3">
        <v>47</v>
      </c>
      <c r="P529" s="3">
        <v>237</v>
      </c>
      <c r="Q529" s="3">
        <v>12</v>
      </c>
      <c r="R529" s="3">
        <v>19</v>
      </c>
      <c r="S529" s="3">
        <v>76</v>
      </c>
      <c r="T529" s="3">
        <v>4</v>
      </c>
      <c r="U529" s="3">
        <v>6</v>
      </c>
      <c r="V529" s="3">
        <v>11</v>
      </c>
      <c r="W529" s="3">
        <v>7</v>
      </c>
      <c r="X529" s="3">
        <v>5</v>
      </c>
    </row>
    <row r="530" spans="1:24" x14ac:dyDescent="0.35">
      <c r="A530">
        <v>952</v>
      </c>
      <c r="B530">
        <v>52614</v>
      </c>
      <c r="C530">
        <v>45</v>
      </c>
      <c r="D530">
        <v>1</v>
      </c>
      <c r="E530" s="28">
        <v>7.4904109589041097</v>
      </c>
      <c r="F530" s="28"/>
      <c r="G530" s="28"/>
      <c r="H530" s="28"/>
      <c r="I530" s="28"/>
      <c r="J530" s="28"/>
      <c r="L530" s="38">
        <v>952</v>
      </c>
      <c r="M530" s="2">
        <v>63</v>
      </c>
      <c r="N530" s="2">
        <v>789</v>
      </c>
      <c r="O530" s="2">
        <v>0</v>
      </c>
      <c r="P530" s="2">
        <v>142</v>
      </c>
      <c r="Q530" s="2">
        <v>12</v>
      </c>
      <c r="R530" s="2">
        <v>9</v>
      </c>
      <c r="S530" s="2">
        <v>38</v>
      </c>
      <c r="T530" s="2">
        <v>2</v>
      </c>
      <c r="U530" s="2">
        <v>2</v>
      </c>
      <c r="V530" s="2">
        <v>4</v>
      </c>
      <c r="W530" s="2">
        <v>8</v>
      </c>
      <c r="X530" s="2">
        <v>8</v>
      </c>
    </row>
    <row r="531" spans="1:24" x14ac:dyDescent="0.35">
      <c r="A531">
        <v>950</v>
      </c>
      <c r="B531">
        <v>80685</v>
      </c>
      <c r="C531">
        <v>26</v>
      </c>
      <c r="D531">
        <v>0</v>
      </c>
      <c r="E531" s="28">
        <v>7.7671232876712333</v>
      </c>
      <c r="F531" s="28"/>
      <c r="G531" s="28"/>
      <c r="H531" s="28"/>
      <c r="I531" s="28"/>
      <c r="J531" s="28"/>
      <c r="L531" s="37">
        <v>950</v>
      </c>
      <c r="M531" s="3">
        <v>55</v>
      </c>
      <c r="N531" s="3">
        <v>241</v>
      </c>
      <c r="O531" s="3">
        <v>45</v>
      </c>
      <c r="P531" s="3">
        <v>604</v>
      </c>
      <c r="Q531" s="3">
        <v>34</v>
      </c>
      <c r="R531" s="3">
        <v>26</v>
      </c>
      <c r="S531" s="3">
        <v>54</v>
      </c>
      <c r="T531" s="3">
        <v>1</v>
      </c>
      <c r="U531" s="3">
        <v>6</v>
      </c>
      <c r="V531" s="3">
        <v>4</v>
      </c>
      <c r="W531" s="3">
        <v>10</v>
      </c>
      <c r="X531" s="3">
        <v>2</v>
      </c>
    </row>
    <row r="532" spans="1:24" x14ac:dyDescent="0.35">
      <c r="A532">
        <v>950</v>
      </c>
      <c r="B532">
        <v>61074</v>
      </c>
      <c r="C532">
        <v>62</v>
      </c>
      <c r="D532">
        <v>1</v>
      </c>
      <c r="E532" s="28">
        <v>7.7808219178082192</v>
      </c>
      <c r="F532" s="28"/>
      <c r="G532" s="28"/>
      <c r="H532" s="28"/>
      <c r="I532" s="28"/>
      <c r="J532" s="28"/>
      <c r="L532" s="38">
        <v>950</v>
      </c>
      <c r="M532" s="2">
        <v>37</v>
      </c>
      <c r="N532" s="2">
        <v>789</v>
      </c>
      <c r="O532" s="2">
        <v>0</v>
      </c>
      <c r="P532" s="2">
        <v>133</v>
      </c>
      <c r="Q532" s="2">
        <v>0</v>
      </c>
      <c r="R532" s="2">
        <v>28</v>
      </c>
      <c r="S532" s="2">
        <v>152</v>
      </c>
      <c r="T532" s="2">
        <v>7</v>
      </c>
      <c r="U532" s="2">
        <v>11</v>
      </c>
      <c r="V532" s="2">
        <v>5</v>
      </c>
      <c r="W532" s="2">
        <v>8</v>
      </c>
      <c r="X532" s="2">
        <v>7</v>
      </c>
    </row>
    <row r="533" spans="1:24" x14ac:dyDescent="0.35">
      <c r="A533">
        <v>948</v>
      </c>
      <c r="B533">
        <v>75072</v>
      </c>
      <c r="C533">
        <v>58</v>
      </c>
      <c r="D533">
        <v>1</v>
      </c>
      <c r="E533" s="28">
        <v>7.3452054794520549</v>
      </c>
      <c r="F533" s="28"/>
      <c r="G533" s="28"/>
      <c r="H533" s="28"/>
      <c r="I533" s="28"/>
      <c r="J533" s="28"/>
      <c r="L533" s="37">
        <v>948</v>
      </c>
      <c r="M533" s="3">
        <v>83</v>
      </c>
      <c r="N533" s="3">
        <v>583</v>
      </c>
      <c r="O533" s="3">
        <v>34</v>
      </c>
      <c r="P533" s="3">
        <v>309</v>
      </c>
      <c r="Q533" s="3">
        <v>0</v>
      </c>
      <c r="R533" s="3">
        <v>22</v>
      </c>
      <c r="S533" s="3">
        <v>125</v>
      </c>
      <c r="T533" s="3">
        <v>2</v>
      </c>
      <c r="U533" s="3">
        <v>5</v>
      </c>
      <c r="V533" s="3">
        <v>4</v>
      </c>
      <c r="W533" s="3">
        <v>8</v>
      </c>
      <c r="X533" s="3">
        <v>3</v>
      </c>
    </row>
    <row r="534" spans="1:24" x14ac:dyDescent="0.35">
      <c r="A534">
        <v>948</v>
      </c>
      <c r="B534">
        <v>67893</v>
      </c>
      <c r="C534">
        <v>45</v>
      </c>
      <c r="D534">
        <v>1</v>
      </c>
      <c r="E534" s="28">
        <v>7.6575342465753424</v>
      </c>
      <c r="F534" s="28"/>
      <c r="G534" s="28"/>
      <c r="H534" s="28"/>
      <c r="I534" s="28"/>
      <c r="J534" s="28"/>
      <c r="L534" s="38">
        <v>948</v>
      </c>
      <c r="M534" s="2">
        <v>31</v>
      </c>
      <c r="N534" s="2">
        <v>711</v>
      </c>
      <c r="O534" s="2">
        <v>28</v>
      </c>
      <c r="P534" s="2">
        <v>142</v>
      </c>
      <c r="Q534" s="2">
        <v>49</v>
      </c>
      <c r="R534" s="2">
        <v>18</v>
      </c>
      <c r="S534" s="2">
        <v>47</v>
      </c>
      <c r="T534" s="2">
        <v>2</v>
      </c>
      <c r="U534" s="2">
        <v>3</v>
      </c>
      <c r="V534" s="2">
        <v>2</v>
      </c>
      <c r="W534" s="2">
        <v>9</v>
      </c>
      <c r="X534" s="2">
        <v>8</v>
      </c>
    </row>
    <row r="535" spans="1:24" x14ac:dyDescent="0.35">
      <c r="A535">
        <v>945</v>
      </c>
      <c r="B535">
        <v>61010</v>
      </c>
      <c r="C535">
        <v>68</v>
      </c>
      <c r="D535">
        <v>1</v>
      </c>
      <c r="E535" s="28">
        <v>7.6356164383561644</v>
      </c>
      <c r="F535" s="28"/>
      <c r="G535" s="28"/>
      <c r="H535" s="28"/>
      <c r="I535" s="28"/>
      <c r="J535" s="28"/>
      <c r="L535" s="37">
        <v>945</v>
      </c>
      <c r="M535" s="3">
        <v>57</v>
      </c>
      <c r="N535" s="3">
        <v>888</v>
      </c>
      <c r="O535" s="3">
        <v>0</v>
      </c>
      <c r="P535" s="3">
        <v>57</v>
      </c>
      <c r="Q535" s="3">
        <v>0</v>
      </c>
      <c r="R535" s="3">
        <v>0</v>
      </c>
      <c r="S535" s="3">
        <v>76</v>
      </c>
      <c r="T535" s="3">
        <v>2</v>
      </c>
      <c r="U535" s="3">
        <v>8</v>
      </c>
      <c r="V535" s="3">
        <v>5</v>
      </c>
      <c r="W535" s="3">
        <v>11</v>
      </c>
      <c r="X535" s="3">
        <v>5</v>
      </c>
    </row>
    <row r="536" spans="1:24" x14ac:dyDescent="0.35">
      <c r="A536">
        <v>942</v>
      </c>
      <c r="B536">
        <v>70596</v>
      </c>
      <c r="C536">
        <v>35</v>
      </c>
      <c r="D536">
        <v>0</v>
      </c>
      <c r="E536" s="28">
        <v>7.646575342465753</v>
      </c>
      <c r="F536" s="28"/>
      <c r="G536" s="28"/>
      <c r="H536" s="28"/>
      <c r="I536" s="28"/>
      <c r="J536" s="28"/>
      <c r="L536" s="38">
        <v>942</v>
      </c>
      <c r="M536" s="2">
        <v>68</v>
      </c>
      <c r="N536" s="2">
        <v>347</v>
      </c>
      <c r="O536" s="2">
        <v>44</v>
      </c>
      <c r="P536" s="2">
        <v>534</v>
      </c>
      <c r="Q536" s="2">
        <v>17</v>
      </c>
      <c r="R536" s="2">
        <v>0</v>
      </c>
      <c r="S536" s="2">
        <v>26</v>
      </c>
      <c r="T536" s="2">
        <v>1</v>
      </c>
      <c r="U536" s="2">
        <v>3</v>
      </c>
      <c r="V536" s="2">
        <v>5</v>
      </c>
      <c r="W536" s="2">
        <v>12</v>
      </c>
      <c r="X536" s="2">
        <v>2</v>
      </c>
    </row>
    <row r="537" spans="1:24" x14ac:dyDescent="0.35">
      <c r="A537">
        <v>934</v>
      </c>
      <c r="B537">
        <v>94871</v>
      </c>
      <c r="C537">
        <v>51</v>
      </c>
      <c r="D537">
        <v>1</v>
      </c>
      <c r="E537" s="28">
        <v>7.7397260273972606</v>
      </c>
      <c r="F537" s="28"/>
      <c r="G537" s="28"/>
      <c r="H537" s="28"/>
      <c r="I537" s="28"/>
      <c r="J537" s="28"/>
      <c r="L537" s="37">
        <v>934</v>
      </c>
      <c r="M537" s="3">
        <v>99</v>
      </c>
      <c r="N537" s="3">
        <v>169</v>
      </c>
      <c r="O537" s="3">
        <v>24</v>
      </c>
      <c r="P537" s="3">
        <v>553</v>
      </c>
      <c r="Q537" s="3">
        <v>188</v>
      </c>
      <c r="R537" s="3">
        <v>0</v>
      </c>
      <c r="S537" s="3">
        <v>144</v>
      </c>
      <c r="T537" s="3">
        <v>1</v>
      </c>
      <c r="U537" s="3">
        <v>8</v>
      </c>
      <c r="V537" s="3">
        <v>5</v>
      </c>
      <c r="W537" s="3">
        <v>4</v>
      </c>
      <c r="X537" s="3">
        <v>7</v>
      </c>
    </row>
    <row r="538" spans="1:24" x14ac:dyDescent="0.35">
      <c r="A538">
        <v>928</v>
      </c>
      <c r="B538">
        <v>71796</v>
      </c>
      <c r="C538">
        <v>49</v>
      </c>
      <c r="D538">
        <v>0</v>
      </c>
      <c r="E538" s="28">
        <v>6.5945205479452058</v>
      </c>
      <c r="F538" s="28"/>
      <c r="G538" s="28"/>
      <c r="H538" s="28"/>
      <c r="I538" s="28"/>
      <c r="J538" s="28"/>
      <c r="L538" s="38">
        <v>928</v>
      </c>
      <c r="M538" s="2">
        <v>54</v>
      </c>
      <c r="N538" s="2">
        <v>354</v>
      </c>
      <c r="O538" s="2">
        <v>21</v>
      </c>
      <c r="P538" s="2">
        <v>311</v>
      </c>
      <c r="Q538" s="2">
        <v>167</v>
      </c>
      <c r="R538" s="2">
        <v>75</v>
      </c>
      <c r="S538" s="2">
        <v>32</v>
      </c>
      <c r="T538" s="2">
        <v>1</v>
      </c>
      <c r="U538" s="2">
        <v>9</v>
      </c>
      <c r="V538" s="2">
        <v>3</v>
      </c>
      <c r="W538" s="2">
        <v>4</v>
      </c>
      <c r="X538" s="2">
        <v>4</v>
      </c>
    </row>
    <row r="539" spans="1:24" x14ac:dyDescent="0.35">
      <c r="A539">
        <v>923</v>
      </c>
      <c r="B539">
        <v>62820</v>
      </c>
      <c r="C539">
        <v>66</v>
      </c>
      <c r="D539">
        <v>0</v>
      </c>
      <c r="E539" s="28">
        <v>7.0493150684931507</v>
      </c>
      <c r="F539" s="28"/>
      <c r="G539" s="28"/>
      <c r="H539" s="28"/>
      <c r="I539" s="28"/>
      <c r="J539" s="28"/>
      <c r="L539" s="37">
        <v>923</v>
      </c>
      <c r="M539" s="3">
        <v>51</v>
      </c>
      <c r="N539" s="3">
        <v>398</v>
      </c>
      <c r="O539" s="3">
        <v>61</v>
      </c>
      <c r="P539" s="3">
        <v>265</v>
      </c>
      <c r="Q539" s="3">
        <v>138</v>
      </c>
      <c r="R539" s="3">
        <v>61</v>
      </c>
      <c r="S539" s="3">
        <v>53</v>
      </c>
      <c r="T539" s="3">
        <v>1</v>
      </c>
      <c r="U539" s="3">
        <v>3</v>
      </c>
      <c r="V539" s="3">
        <v>4</v>
      </c>
      <c r="W539" s="3">
        <v>6</v>
      </c>
      <c r="X539" s="3">
        <v>1</v>
      </c>
    </row>
    <row r="540" spans="1:24" x14ac:dyDescent="0.35">
      <c r="A540">
        <v>923</v>
      </c>
      <c r="B540">
        <v>70053</v>
      </c>
      <c r="C540">
        <v>55</v>
      </c>
      <c r="D540">
        <v>1</v>
      </c>
      <c r="E540" s="28">
        <v>6.904109589041096</v>
      </c>
      <c r="F540" s="28"/>
      <c r="G540" s="28"/>
      <c r="H540" s="28"/>
      <c r="I540" s="28"/>
      <c r="J540" s="28"/>
      <c r="L540" s="38">
        <v>923</v>
      </c>
      <c r="M540" s="2">
        <v>38</v>
      </c>
      <c r="N540" s="2">
        <v>512</v>
      </c>
      <c r="O540" s="2">
        <v>53</v>
      </c>
      <c r="P540" s="2">
        <v>98</v>
      </c>
      <c r="Q540" s="2">
        <v>81</v>
      </c>
      <c r="R540" s="2">
        <v>179</v>
      </c>
      <c r="S540" s="2">
        <v>89</v>
      </c>
      <c r="T540" s="2">
        <v>3</v>
      </c>
      <c r="U540" s="2">
        <v>8</v>
      </c>
      <c r="V540" s="2">
        <v>5</v>
      </c>
      <c r="W540" s="2">
        <v>10</v>
      </c>
      <c r="X540" s="2">
        <v>5</v>
      </c>
    </row>
    <row r="541" spans="1:24" x14ac:dyDescent="0.35">
      <c r="A541">
        <v>921</v>
      </c>
      <c r="B541">
        <v>58350</v>
      </c>
      <c r="C541">
        <v>49</v>
      </c>
      <c r="D541">
        <v>1</v>
      </c>
      <c r="E541" s="28">
        <v>7.397260273972603</v>
      </c>
      <c r="F541" s="28"/>
      <c r="G541" s="28"/>
      <c r="H541" s="28"/>
      <c r="I541" s="28"/>
      <c r="J541" s="28"/>
      <c r="L541" s="37">
        <v>921</v>
      </c>
      <c r="M541" s="3">
        <v>5</v>
      </c>
      <c r="N541" s="3">
        <v>493</v>
      </c>
      <c r="O541" s="3">
        <v>26</v>
      </c>
      <c r="P541" s="3">
        <v>206</v>
      </c>
      <c r="Q541" s="3">
        <v>116</v>
      </c>
      <c r="R541" s="3">
        <v>80</v>
      </c>
      <c r="S541" s="3">
        <v>80</v>
      </c>
      <c r="T541" s="3">
        <v>4</v>
      </c>
      <c r="U541" s="3">
        <v>8</v>
      </c>
      <c r="V541" s="3">
        <v>3</v>
      </c>
      <c r="W541" s="3">
        <v>12</v>
      </c>
      <c r="X541" s="3">
        <v>6</v>
      </c>
    </row>
    <row r="542" spans="1:24" x14ac:dyDescent="0.35">
      <c r="A542">
        <v>920</v>
      </c>
      <c r="B542">
        <v>57304</v>
      </c>
      <c r="C542">
        <v>69</v>
      </c>
      <c r="D542">
        <v>1</v>
      </c>
      <c r="E542" s="28">
        <v>7.2164383561643834</v>
      </c>
      <c r="F542" s="28"/>
      <c r="G542" s="28"/>
      <c r="H542" s="28"/>
      <c r="I542" s="28"/>
      <c r="J542" s="28"/>
      <c r="L542" s="38">
        <v>920</v>
      </c>
      <c r="M542" s="2">
        <v>61</v>
      </c>
      <c r="N542" s="2">
        <v>356</v>
      </c>
      <c r="O542" s="2">
        <v>80</v>
      </c>
      <c r="P542" s="2">
        <v>329</v>
      </c>
      <c r="Q542" s="2">
        <v>138</v>
      </c>
      <c r="R542" s="2">
        <v>17</v>
      </c>
      <c r="S542" s="2">
        <v>106</v>
      </c>
      <c r="T542" s="2">
        <v>2</v>
      </c>
      <c r="U542" s="2">
        <v>7</v>
      </c>
      <c r="V542" s="2">
        <v>6</v>
      </c>
      <c r="W542" s="2">
        <v>10</v>
      </c>
      <c r="X542" s="2">
        <v>5</v>
      </c>
    </row>
    <row r="543" spans="1:24" x14ac:dyDescent="0.35">
      <c r="A543">
        <v>918</v>
      </c>
      <c r="B543">
        <v>83715</v>
      </c>
      <c r="C543">
        <v>58</v>
      </c>
      <c r="D543">
        <v>0</v>
      </c>
      <c r="E543" s="28">
        <v>6.3150684931506849</v>
      </c>
      <c r="F543" s="28"/>
      <c r="G543" s="28"/>
      <c r="H543" s="28"/>
      <c r="I543" s="28"/>
      <c r="J543" s="28"/>
      <c r="L543" s="37">
        <v>918</v>
      </c>
      <c r="M543" s="3">
        <v>2</v>
      </c>
      <c r="N543" s="3">
        <v>318</v>
      </c>
      <c r="O543" s="3">
        <v>8</v>
      </c>
      <c r="P543" s="3">
        <v>407</v>
      </c>
      <c r="Q543" s="3">
        <v>150</v>
      </c>
      <c r="R543" s="3">
        <v>35</v>
      </c>
      <c r="S543" s="3">
        <v>8</v>
      </c>
      <c r="T543" s="3">
        <v>1</v>
      </c>
      <c r="U543" s="3">
        <v>2</v>
      </c>
      <c r="V543" s="3">
        <v>8</v>
      </c>
      <c r="W543" s="3">
        <v>13</v>
      </c>
      <c r="X543" s="3">
        <v>0</v>
      </c>
    </row>
    <row r="544" spans="1:24" x14ac:dyDescent="0.35">
      <c r="A544">
        <v>917</v>
      </c>
      <c r="B544">
        <v>63855</v>
      </c>
      <c r="C544">
        <v>42</v>
      </c>
      <c r="D544">
        <v>0</v>
      </c>
      <c r="E544" s="28">
        <v>7.2986301369863016</v>
      </c>
      <c r="F544" s="28"/>
      <c r="G544" s="28"/>
      <c r="H544" s="28"/>
      <c r="I544" s="28"/>
      <c r="J544" s="28"/>
      <c r="L544" s="38">
        <v>917</v>
      </c>
      <c r="M544" s="2">
        <v>28</v>
      </c>
      <c r="N544" s="2">
        <v>359</v>
      </c>
      <c r="O544" s="2">
        <v>35</v>
      </c>
      <c r="P544" s="2">
        <v>314</v>
      </c>
      <c r="Q544" s="2">
        <v>93</v>
      </c>
      <c r="R544" s="2">
        <v>116</v>
      </c>
      <c r="S544" s="2">
        <v>89</v>
      </c>
      <c r="T544" s="2">
        <v>1</v>
      </c>
      <c r="U544" s="2">
        <v>7</v>
      </c>
      <c r="V544" s="2">
        <v>3</v>
      </c>
      <c r="W544" s="2">
        <v>13</v>
      </c>
      <c r="X544" s="2">
        <v>4</v>
      </c>
    </row>
    <row r="545" spans="1:24" x14ac:dyDescent="0.35">
      <c r="A545">
        <v>917</v>
      </c>
      <c r="B545">
        <v>52513</v>
      </c>
      <c r="C545">
        <v>42</v>
      </c>
      <c r="D545">
        <v>0</v>
      </c>
      <c r="E545" s="28">
        <v>7.7315068493150685</v>
      </c>
      <c r="F545" s="28"/>
      <c r="G545" s="28"/>
      <c r="H545" s="28"/>
      <c r="I545" s="28"/>
      <c r="J545" s="28"/>
      <c r="L545" s="37">
        <v>917</v>
      </c>
      <c r="M545" s="3">
        <v>84</v>
      </c>
      <c r="N545" s="3">
        <v>367</v>
      </c>
      <c r="O545" s="3">
        <v>17</v>
      </c>
      <c r="P545" s="3">
        <v>241</v>
      </c>
      <c r="Q545" s="3">
        <v>104</v>
      </c>
      <c r="R545" s="3">
        <v>188</v>
      </c>
      <c r="S545" s="3">
        <v>232</v>
      </c>
      <c r="T545" s="3">
        <v>2</v>
      </c>
      <c r="U545" s="3">
        <v>9</v>
      </c>
      <c r="V545" s="3">
        <v>5</v>
      </c>
      <c r="W545" s="3">
        <v>9</v>
      </c>
      <c r="X545" s="3">
        <v>7</v>
      </c>
    </row>
    <row r="546" spans="1:24" x14ac:dyDescent="0.35">
      <c r="A546">
        <v>916</v>
      </c>
      <c r="B546">
        <v>65665</v>
      </c>
      <c r="C546">
        <v>44</v>
      </c>
      <c r="D546">
        <v>1</v>
      </c>
      <c r="E546" s="28">
        <v>6.4876712328767123</v>
      </c>
      <c r="F546" s="28"/>
      <c r="G546" s="28"/>
      <c r="H546" s="28"/>
      <c r="I546" s="28"/>
      <c r="J546" s="28"/>
      <c r="L546" s="38">
        <v>916</v>
      </c>
      <c r="M546" s="2">
        <v>77</v>
      </c>
      <c r="N546" s="2">
        <v>225</v>
      </c>
      <c r="O546" s="2">
        <v>162</v>
      </c>
      <c r="P546" s="2">
        <v>387</v>
      </c>
      <c r="Q546" s="2">
        <v>106</v>
      </c>
      <c r="R546" s="2">
        <v>36</v>
      </c>
      <c r="S546" s="2">
        <v>29</v>
      </c>
      <c r="T546" s="2">
        <v>1</v>
      </c>
      <c r="U546" s="2">
        <v>5</v>
      </c>
      <c r="V546" s="2">
        <v>10</v>
      </c>
      <c r="W546" s="2">
        <v>8</v>
      </c>
      <c r="X546" s="2">
        <v>3</v>
      </c>
    </row>
    <row r="547" spans="1:24" x14ac:dyDescent="0.35">
      <c r="A547">
        <v>916</v>
      </c>
      <c r="B547">
        <v>71163</v>
      </c>
      <c r="C547">
        <v>25</v>
      </c>
      <c r="D547">
        <v>0</v>
      </c>
      <c r="E547" s="28">
        <v>6.2219178082191782</v>
      </c>
      <c r="F547" s="28"/>
      <c r="G547" s="28"/>
      <c r="H547" s="28"/>
      <c r="I547" s="28"/>
      <c r="J547" s="28"/>
      <c r="L547" s="37">
        <v>916</v>
      </c>
      <c r="M547" s="3">
        <v>30</v>
      </c>
      <c r="N547" s="3">
        <v>283</v>
      </c>
      <c r="O547" s="3">
        <v>17</v>
      </c>
      <c r="P547" s="3">
        <v>372</v>
      </c>
      <c r="Q547" s="3">
        <v>138</v>
      </c>
      <c r="R547" s="3">
        <v>106</v>
      </c>
      <c r="S547" s="3">
        <v>44</v>
      </c>
      <c r="T547" s="3">
        <v>1</v>
      </c>
      <c r="U547" s="3">
        <v>3</v>
      </c>
      <c r="V547" s="3">
        <v>8</v>
      </c>
      <c r="W547" s="3">
        <v>12</v>
      </c>
      <c r="X547" s="3">
        <v>1</v>
      </c>
    </row>
    <row r="548" spans="1:24" x14ac:dyDescent="0.35">
      <c r="A548">
        <v>914</v>
      </c>
      <c r="B548">
        <v>67131</v>
      </c>
      <c r="C548">
        <v>64</v>
      </c>
      <c r="D548">
        <v>1</v>
      </c>
      <c r="E548" s="28">
        <v>7.1753424657534248</v>
      </c>
      <c r="F548" s="28"/>
      <c r="G548" s="28"/>
      <c r="H548" s="28"/>
      <c r="I548" s="28"/>
      <c r="J548" s="28"/>
      <c r="L548" s="38">
        <v>914</v>
      </c>
      <c r="M548" s="2">
        <v>72</v>
      </c>
      <c r="N548" s="2">
        <v>465</v>
      </c>
      <c r="O548" s="2">
        <v>71</v>
      </c>
      <c r="P548" s="2">
        <v>250</v>
      </c>
      <c r="Q548" s="2">
        <v>93</v>
      </c>
      <c r="R548" s="2">
        <v>35</v>
      </c>
      <c r="S548" s="2">
        <v>62</v>
      </c>
      <c r="T548" s="2">
        <v>3</v>
      </c>
      <c r="U548" s="2">
        <v>9</v>
      </c>
      <c r="V548" s="2">
        <v>2</v>
      </c>
      <c r="W548" s="2">
        <v>12</v>
      </c>
      <c r="X548" s="2">
        <v>6</v>
      </c>
    </row>
    <row r="549" spans="1:24" x14ac:dyDescent="0.35">
      <c r="A549">
        <v>913</v>
      </c>
      <c r="B549">
        <v>58330</v>
      </c>
      <c r="C549">
        <v>45</v>
      </c>
      <c r="D549">
        <v>1</v>
      </c>
      <c r="E549" s="28">
        <v>6.4246575342465757</v>
      </c>
      <c r="F549" s="28"/>
      <c r="G549" s="28"/>
      <c r="H549" s="28"/>
      <c r="I549" s="28"/>
      <c r="J549" s="28"/>
      <c r="L549" s="37">
        <v>913</v>
      </c>
      <c r="M549" s="3">
        <v>87</v>
      </c>
      <c r="N549" s="3">
        <v>445</v>
      </c>
      <c r="O549" s="3">
        <v>53</v>
      </c>
      <c r="P549" s="3">
        <v>213</v>
      </c>
      <c r="Q549" s="3">
        <v>104</v>
      </c>
      <c r="R549" s="3">
        <v>98</v>
      </c>
      <c r="S549" s="3">
        <v>151</v>
      </c>
      <c r="T549" s="3">
        <v>1</v>
      </c>
      <c r="U549" s="3">
        <v>6</v>
      </c>
      <c r="V549" s="3">
        <v>4</v>
      </c>
      <c r="W549" s="3">
        <v>13</v>
      </c>
      <c r="X549" s="3">
        <v>4</v>
      </c>
    </row>
    <row r="550" spans="1:24" x14ac:dyDescent="0.35">
      <c r="A550">
        <v>912</v>
      </c>
      <c r="B550">
        <v>87000</v>
      </c>
      <c r="C550">
        <v>28</v>
      </c>
      <c r="D550">
        <v>0</v>
      </c>
      <c r="E550" s="28">
        <v>7.4520547945205475</v>
      </c>
      <c r="F550" s="28"/>
      <c r="G550" s="28"/>
      <c r="H550" s="28"/>
      <c r="I550" s="28"/>
      <c r="J550" s="28"/>
      <c r="L550" s="38">
        <v>912</v>
      </c>
      <c r="M550" s="2">
        <v>61</v>
      </c>
      <c r="N550" s="2">
        <v>196</v>
      </c>
      <c r="O550" s="2">
        <v>25</v>
      </c>
      <c r="P550" s="2">
        <v>607</v>
      </c>
      <c r="Q550" s="2">
        <v>67</v>
      </c>
      <c r="R550" s="2">
        <v>17</v>
      </c>
      <c r="S550" s="2">
        <v>49</v>
      </c>
      <c r="T550" s="2">
        <v>1</v>
      </c>
      <c r="U550" s="2">
        <v>4</v>
      </c>
      <c r="V550" s="2">
        <v>6</v>
      </c>
      <c r="W550" s="2">
        <v>7</v>
      </c>
      <c r="X550" s="2">
        <v>2</v>
      </c>
    </row>
    <row r="551" spans="1:24" x14ac:dyDescent="0.35">
      <c r="A551">
        <v>911</v>
      </c>
      <c r="B551">
        <v>52203</v>
      </c>
      <c r="C551">
        <v>70</v>
      </c>
      <c r="D551">
        <v>0</v>
      </c>
      <c r="E551" s="28">
        <v>7.8273972602739725</v>
      </c>
      <c r="F551" s="28"/>
      <c r="G551" s="28"/>
      <c r="H551" s="28"/>
      <c r="I551" s="28"/>
      <c r="J551" s="28"/>
      <c r="L551" s="37">
        <v>911</v>
      </c>
      <c r="M551" s="3">
        <v>36</v>
      </c>
      <c r="N551" s="3">
        <v>488</v>
      </c>
      <c r="O551" s="3">
        <v>21</v>
      </c>
      <c r="P551" s="3">
        <v>238</v>
      </c>
      <c r="Q551" s="3">
        <v>56</v>
      </c>
      <c r="R551" s="3">
        <v>108</v>
      </c>
      <c r="S551" s="3">
        <v>28</v>
      </c>
      <c r="T551" s="3">
        <v>1</v>
      </c>
      <c r="U551" s="3">
        <v>8</v>
      </c>
      <c r="V551" s="3">
        <v>7</v>
      </c>
      <c r="W551" s="3">
        <v>11</v>
      </c>
      <c r="X551" s="3">
        <v>6</v>
      </c>
    </row>
    <row r="552" spans="1:24" x14ac:dyDescent="0.35">
      <c r="A552">
        <v>910</v>
      </c>
      <c r="B552">
        <v>74881</v>
      </c>
      <c r="C552">
        <v>59</v>
      </c>
      <c r="D552">
        <v>1</v>
      </c>
      <c r="E552" s="28">
        <v>7.2246575342465755</v>
      </c>
      <c r="F552" s="28"/>
      <c r="G552" s="28"/>
      <c r="H552" s="28"/>
      <c r="I552" s="28"/>
      <c r="J552" s="28"/>
      <c r="L552" s="38">
        <v>910</v>
      </c>
      <c r="M552" s="2">
        <v>48</v>
      </c>
      <c r="N552" s="2">
        <v>505</v>
      </c>
      <c r="O552" s="2">
        <v>72</v>
      </c>
      <c r="P552" s="2">
        <v>270</v>
      </c>
      <c r="Q552" s="2">
        <v>36</v>
      </c>
      <c r="R552" s="2">
        <v>27</v>
      </c>
      <c r="S552" s="2">
        <v>54</v>
      </c>
      <c r="T552" s="2">
        <v>4</v>
      </c>
      <c r="U552" s="2">
        <v>9</v>
      </c>
      <c r="V552" s="2">
        <v>2</v>
      </c>
      <c r="W552" s="2">
        <v>12</v>
      </c>
      <c r="X552" s="2">
        <v>5</v>
      </c>
    </row>
    <row r="553" spans="1:24" x14ac:dyDescent="0.35">
      <c r="A553">
        <v>909</v>
      </c>
      <c r="B553">
        <v>65488</v>
      </c>
      <c r="C553">
        <v>62</v>
      </c>
      <c r="D553">
        <v>0</v>
      </c>
      <c r="E553" s="28">
        <v>5.9589041095890414</v>
      </c>
      <c r="F553" s="28"/>
      <c r="G553" s="28"/>
      <c r="H553" s="28"/>
      <c r="I553" s="28"/>
      <c r="J553" s="28"/>
      <c r="L553" s="37">
        <v>909</v>
      </c>
      <c r="M553" s="3">
        <v>46</v>
      </c>
      <c r="N553" s="3">
        <v>603</v>
      </c>
      <c r="O553" s="3">
        <v>45</v>
      </c>
      <c r="P553" s="3">
        <v>207</v>
      </c>
      <c r="Q553" s="3">
        <v>36</v>
      </c>
      <c r="R553" s="3">
        <v>18</v>
      </c>
      <c r="S553" s="3">
        <v>54</v>
      </c>
      <c r="T553" s="3">
        <v>1</v>
      </c>
      <c r="U553" s="3">
        <v>3</v>
      </c>
      <c r="V553" s="3">
        <v>4</v>
      </c>
      <c r="W553" s="3">
        <v>6</v>
      </c>
      <c r="X553" s="3">
        <v>1</v>
      </c>
    </row>
    <row r="554" spans="1:24" x14ac:dyDescent="0.35">
      <c r="A554">
        <v>908</v>
      </c>
      <c r="B554">
        <v>78075</v>
      </c>
      <c r="C554">
        <v>48</v>
      </c>
      <c r="D554">
        <v>0</v>
      </c>
      <c r="E554" s="28">
        <v>6.1479452054794521</v>
      </c>
      <c r="F554" s="28"/>
      <c r="G554" s="28"/>
      <c r="H554" s="28"/>
      <c r="I554" s="28"/>
      <c r="J554" s="28"/>
      <c r="L554" s="38">
        <v>908</v>
      </c>
      <c r="M554" s="2">
        <v>72</v>
      </c>
      <c r="N554" s="2">
        <v>572</v>
      </c>
      <c r="O554" s="2">
        <v>8</v>
      </c>
      <c r="P554" s="2">
        <v>259</v>
      </c>
      <c r="Q554" s="2">
        <v>34</v>
      </c>
      <c r="R554" s="2">
        <v>35</v>
      </c>
      <c r="S554" s="2">
        <v>80</v>
      </c>
      <c r="T554" s="2">
        <v>1</v>
      </c>
      <c r="U554" s="2">
        <v>3</v>
      </c>
      <c r="V554" s="2">
        <v>5</v>
      </c>
      <c r="W554" s="2">
        <v>5</v>
      </c>
      <c r="X554" s="2">
        <v>1</v>
      </c>
    </row>
    <row r="555" spans="1:24" x14ac:dyDescent="0.35">
      <c r="A555">
        <v>908</v>
      </c>
      <c r="B555">
        <v>78931</v>
      </c>
      <c r="C555">
        <v>49</v>
      </c>
      <c r="D555">
        <v>0</v>
      </c>
      <c r="E555" s="28">
        <v>6.5917808219178085</v>
      </c>
      <c r="F555" s="28"/>
      <c r="G555" s="28"/>
      <c r="H555" s="28"/>
      <c r="I555" s="28"/>
      <c r="J555" s="28"/>
      <c r="L555" s="37">
        <v>908</v>
      </c>
      <c r="M555" s="3">
        <v>19</v>
      </c>
      <c r="N555" s="3">
        <v>331</v>
      </c>
      <c r="O555" s="3">
        <v>197</v>
      </c>
      <c r="P555" s="3">
        <v>170</v>
      </c>
      <c r="Q555" s="3">
        <v>58</v>
      </c>
      <c r="R555" s="3">
        <v>152</v>
      </c>
      <c r="S555" s="3">
        <v>35</v>
      </c>
      <c r="T555" s="3">
        <v>1</v>
      </c>
      <c r="U555" s="3">
        <v>2</v>
      </c>
      <c r="V555" s="3">
        <v>8</v>
      </c>
      <c r="W555" s="3">
        <v>13</v>
      </c>
      <c r="X555" s="3">
        <v>1</v>
      </c>
    </row>
    <row r="556" spans="1:24" x14ac:dyDescent="0.35">
      <c r="A556">
        <v>907</v>
      </c>
      <c r="B556">
        <v>70886</v>
      </c>
      <c r="C556">
        <v>49</v>
      </c>
      <c r="D556">
        <v>1</v>
      </c>
      <c r="E556" s="28">
        <v>6.6219178082191785</v>
      </c>
      <c r="F556" s="28"/>
      <c r="G556" s="28"/>
      <c r="H556" s="28"/>
      <c r="I556" s="28"/>
      <c r="J556" s="28"/>
      <c r="L556" s="38">
        <v>907</v>
      </c>
      <c r="M556" s="2">
        <v>65</v>
      </c>
      <c r="N556" s="2">
        <v>407</v>
      </c>
      <c r="O556" s="2">
        <v>70</v>
      </c>
      <c r="P556" s="2">
        <v>239</v>
      </c>
      <c r="Q556" s="2">
        <v>103</v>
      </c>
      <c r="R556" s="2">
        <v>88</v>
      </c>
      <c r="S556" s="2">
        <v>53</v>
      </c>
      <c r="T556" s="2">
        <v>1</v>
      </c>
      <c r="U556" s="2">
        <v>5</v>
      </c>
      <c r="V556" s="2">
        <v>4</v>
      </c>
      <c r="W556" s="2">
        <v>4</v>
      </c>
      <c r="X556" s="2">
        <v>2</v>
      </c>
    </row>
    <row r="557" spans="1:24" x14ac:dyDescent="0.35">
      <c r="A557">
        <v>904</v>
      </c>
      <c r="B557">
        <v>72298</v>
      </c>
      <c r="C557">
        <v>71</v>
      </c>
      <c r="D557">
        <v>0</v>
      </c>
      <c r="E557" s="28">
        <v>6.2191780821917808</v>
      </c>
      <c r="F557" s="28"/>
      <c r="G557" s="28"/>
      <c r="H557" s="28"/>
      <c r="I557" s="28"/>
      <c r="J557" s="28"/>
      <c r="L557" s="37">
        <v>904</v>
      </c>
      <c r="M557" s="3">
        <v>52</v>
      </c>
      <c r="N557" s="3">
        <v>625</v>
      </c>
      <c r="O557" s="3">
        <v>35</v>
      </c>
      <c r="P557" s="3">
        <v>169</v>
      </c>
      <c r="Q557" s="3">
        <v>58</v>
      </c>
      <c r="R557" s="3">
        <v>17</v>
      </c>
      <c r="S557" s="3">
        <v>35</v>
      </c>
      <c r="T557" s="3">
        <v>1</v>
      </c>
      <c r="U557" s="3">
        <v>4</v>
      </c>
      <c r="V557" s="3">
        <v>3</v>
      </c>
      <c r="W557" s="3">
        <v>6</v>
      </c>
      <c r="X557" s="3">
        <v>1</v>
      </c>
    </row>
    <row r="558" spans="1:24" x14ac:dyDescent="0.35">
      <c r="A558">
        <v>903</v>
      </c>
      <c r="B558">
        <v>64950</v>
      </c>
      <c r="C558">
        <v>69</v>
      </c>
      <c r="D558">
        <v>1</v>
      </c>
      <c r="E558" s="28">
        <v>7.7945205479452051</v>
      </c>
      <c r="F558" s="28"/>
      <c r="G558" s="28"/>
      <c r="H558" s="28"/>
      <c r="I558" s="28"/>
      <c r="J558" s="28"/>
      <c r="L558" s="38">
        <v>903</v>
      </c>
      <c r="M558" s="2">
        <v>29</v>
      </c>
      <c r="N558" s="2">
        <v>819</v>
      </c>
      <c r="O558" s="2">
        <v>0</v>
      </c>
      <c r="P558" s="2">
        <v>72</v>
      </c>
      <c r="Q558" s="2">
        <v>12</v>
      </c>
      <c r="R558" s="2">
        <v>0</v>
      </c>
      <c r="S558" s="2">
        <v>63</v>
      </c>
      <c r="T558" s="2">
        <v>2</v>
      </c>
      <c r="U558" s="2">
        <v>11</v>
      </c>
      <c r="V558" s="2">
        <v>2</v>
      </c>
      <c r="W558" s="2">
        <v>10</v>
      </c>
      <c r="X558" s="2">
        <v>7</v>
      </c>
    </row>
    <row r="559" spans="1:24" x14ac:dyDescent="0.35">
      <c r="A559">
        <v>902</v>
      </c>
      <c r="B559">
        <v>71391</v>
      </c>
      <c r="C559">
        <v>64</v>
      </c>
      <c r="D559">
        <v>1</v>
      </c>
      <c r="E559" s="28">
        <v>7.1671232876712327</v>
      </c>
      <c r="F559" s="28"/>
      <c r="G559" s="28"/>
      <c r="H559" s="28"/>
      <c r="I559" s="28"/>
      <c r="J559" s="28"/>
      <c r="L559" s="37">
        <v>902</v>
      </c>
      <c r="M559" s="3">
        <v>50</v>
      </c>
      <c r="N559" s="3">
        <v>336</v>
      </c>
      <c r="O559" s="3">
        <v>123</v>
      </c>
      <c r="P559" s="3">
        <v>274</v>
      </c>
      <c r="Q559" s="3">
        <v>46</v>
      </c>
      <c r="R559" s="3">
        <v>123</v>
      </c>
      <c r="S559" s="3">
        <v>141</v>
      </c>
      <c r="T559" s="3">
        <v>5</v>
      </c>
      <c r="U559" s="3">
        <v>6</v>
      </c>
      <c r="V559" s="3">
        <v>5</v>
      </c>
      <c r="W559" s="3">
        <v>12</v>
      </c>
      <c r="X559" s="3">
        <v>3</v>
      </c>
    </row>
    <row r="560" spans="1:24" x14ac:dyDescent="0.35">
      <c r="A560">
        <v>902</v>
      </c>
      <c r="B560">
        <v>56775</v>
      </c>
      <c r="C560">
        <v>41</v>
      </c>
      <c r="D560">
        <v>1</v>
      </c>
      <c r="E560" s="28">
        <v>7.4027397260273968</v>
      </c>
      <c r="F560" s="28"/>
      <c r="G560" s="28"/>
      <c r="H560" s="28"/>
      <c r="I560" s="28"/>
      <c r="J560" s="28"/>
      <c r="L560" s="38">
        <v>902</v>
      </c>
      <c r="M560" s="2">
        <v>62</v>
      </c>
      <c r="N560" s="2">
        <v>614</v>
      </c>
      <c r="O560" s="2">
        <v>35</v>
      </c>
      <c r="P560" s="2">
        <v>160</v>
      </c>
      <c r="Q560" s="2">
        <v>58</v>
      </c>
      <c r="R560" s="2">
        <v>35</v>
      </c>
      <c r="S560" s="2">
        <v>35</v>
      </c>
      <c r="T560" s="2">
        <v>2</v>
      </c>
      <c r="U560" s="2">
        <v>5</v>
      </c>
      <c r="V560" s="2">
        <v>8</v>
      </c>
      <c r="W560" s="2">
        <v>10</v>
      </c>
      <c r="X560" s="2">
        <v>5</v>
      </c>
    </row>
    <row r="561" spans="1:24" x14ac:dyDescent="0.35">
      <c r="A561">
        <v>902</v>
      </c>
      <c r="B561">
        <v>63206</v>
      </c>
      <c r="C561">
        <v>46</v>
      </c>
      <c r="D561">
        <v>0</v>
      </c>
      <c r="E561" s="28">
        <v>6.1917808219178081</v>
      </c>
      <c r="F561" s="28"/>
      <c r="G561" s="28"/>
      <c r="H561" s="28"/>
      <c r="I561" s="28"/>
      <c r="J561" s="28"/>
      <c r="L561" s="37">
        <v>902</v>
      </c>
      <c r="M561" s="3">
        <v>65</v>
      </c>
      <c r="N561" s="3">
        <v>750</v>
      </c>
      <c r="O561" s="3">
        <v>8</v>
      </c>
      <c r="P561" s="3">
        <v>125</v>
      </c>
      <c r="Q561" s="3">
        <v>11</v>
      </c>
      <c r="R561" s="3">
        <v>8</v>
      </c>
      <c r="S561" s="3">
        <v>26</v>
      </c>
      <c r="T561" s="3">
        <v>1</v>
      </c>
      <c r="U561" s="3">
        <v>4</v>
      </c>
      <c r="V561" s="3">
        <v>3</v>
      </c>
      <c r="W561" s="3">
        <v>6</v>
      </c>
      <c r="X561" s="3">
        <v>2</v>
      </c>
    </row>
    <row r="562" spans="1:24" x14ac:dyDescent="0.35">
      <c r="A562">
        <v>902</v>
      </c>
      <c r="B562">
        <v>69063</v>
      </c>
      <c r="C562">
        <v>54</v>
      </c>
      <c r="D562">
        <v>1</v>
      </c>
      <c r="E562" s="28">
        <v>7.5561643835616437</v>
      </c>
      <c r="F562" s="28"/>
      <c r="G562" s="28"/>
      <c r="H562" s="28"/>
      <c r="I562" s="28"/>
      <c r="J562" s="28"/>
      <c r="L562" s="38">
        <v>902</v>
      </c>
      <c r="M562" s="2">
        <v>16</v>
      </c>
      <c r="N562" s="2">
        <v>666</v>
      </c>
      <c r="O562" s="2">
        <v>35</v>
      </c>
      <c r="P562" s="2">
        <v>124</v>
      </c>
      <c r="Q562" s="2">
        <v>69</v>
      </c>
      <c r="R562" s="2">
        <v>8</v>
      </c>
      <c r="S562" s="2">
        <v>26</v>
      </c>
      <c r="T562" s="2">
        <v>1</v>
      </c>
      <c r="U562" s="2">
        <v>5</v>
      </c>
      <c r="V562" s="2">
        <v>3</v>
      </c>
      <c r="W562" s="2">
        <v>5</v>
      </c>
      <c r="X562" s="2">
        <v>3</v>
      </c>
    </row>
    <row r="563" spans="1:24" x14ac:dyDescent="0.35">
      <c r="A563">
        <v>901</v>
      </c>
      <c r="B563">
        <v>70179</v>
      </c>
      <c r="C563">
        <v>44</v>
      </c>
      <c r="D563">
        <v>1</v>
      </c>
      <c r="E563" s="28">
        <v>6.8547945205479452</v>
      </c>
      <c r="F563" s="28"/>
      <c r="G563" s="28"/>
      <c r="H563" s="28"/>
      <c r="I563" s="28"/>
      <c r="J563" s="28"/>
      <c r="L563" s="37">
        <v>901</v>
      </c>
      <c r="M563" s="3">
        <v>10</v>
      </c>
      <c r="N563" s="3">
        <v>532</v>
      </c>
      <c r="O563" s="3">
        <v>88</v>
      </c>
      <c r="P563" s="3">
        <v>168</v>
      </c>
      <c r="Q563" s="3">
        <v>69</v>
      </c>
      <c r="R563" s="3">
        <v>44</v>
      </c>
      <c r="S563" s="3">
        <v>133</v>
      </c>
      <c r="T563" s="3">
        <v>3</v>
      </c>
      <c r="U563" s="3">
        <v>7</v>
      </c>
      <c r="V563" s="3">
        <v>3</v>
      </c>
      <c r="W563" s="3">
        <v>13</v>
      </c>
      <c r="X563" s="3">
        <v>5</v>
      </c>
    </row>
    <row r="564" spans="1:24" x14ac:dyDescent="0.35">
      <c r="A564">
        <v>900</v>
      </c>
      <c r="B564">
        <v>61064</v>
      </c>
      <c r="C564">
        <v>44</v>
      </c>
      <c r="D564">
        <v>1</v>
      </c>
      <c r="E564" s="28">
        <v>7.7424657534246579</v>
      </c>
      <c r="F564" s="28"/>
      <c r="G564" s="28"/>
      <c r="H564" s="28"/>
      <c r="I564" s="28"/>
      <c r="J564" s="28"/>
      <c r="L564" s="38">
        <v>900</v>
      </c>
      <c r="M564" s="2">
        <v>80</v>
      </c>
      <c r="N564" s="2">
        <v>387</v>
      </c>
      <c r="O564" s="2">
        <v>126</v>
      </c>
      <c r="P564" s="2">
        <v>342</v>
      </c>
      <c r="Q564" s="2">
        <v>0</v>
      </c>
      <c r="R564" s="2">
        <v>45</v>
      </c>
      <c r="S564" s="2">
        <v>180</v>
      </c>
      <c r="T564" s="2">
        <v>5</v>
      </c>
      <c r="U564" s="2">
        <v>8</v>
      </c>
      <c r="V564" s="2">
        <v>4</v>
      </c>
      <c r="W564" s="2">
        <v>11</v>
      </c>
      <c r="X564" s="2">
        <v>6</v>
      </c>
    </row>
    <row r="565" spans="1:24" x14ac:dyDescent="0.35">
      <c r="A565">
        <v>900</v>
      </c>
      <c r="B565">
        <v>71232</v>
      </c>
      <c r="C565">
        <v>61</v>
      </c>
      <c r="D565">
        <v>1</v>
      </c>
      <c r="E565" s="28">
        <v>6.4986301369863018</v>
      </c>
      <c r="F565" s="28"/>
      <c r="G565" s="28"/>
      <c r="H565" s="28"/>
      <c r="I565" s="28"/>
      <c r="J565" s="28"/>
      <c r="L565" s="37">
        <v>900</v>
      </c>
      <c r="M565" s="3">
        <v>91</v>
      </c>
      <c r="N565" s="3">
        <v>653</v>
      </c>
      <c r="O565" s="3">
        <v>17</v>
      </c>
      <c r="P565" s="3">
        <v>170</v>
      </c>
      <c r="Q565" s="3">
        <v>34</v>
      </c>
      <c r="R565" s="3">
        <v>26</v>
      </c>
      <c r="S565" s="3">
        <v>17</v>
      </c>
      <c r="T565" s="3">
        <v>2</v>
      </c>
      <c r="U565" s="3">
        <v>11</v>
      </c>
      <c r="V565" s="3">
        <v>2</v>
      </c>
      <c r="W565" s="3">
        <v>10</v>
      </c>
      <c r="X565" s="3">
        <v>7</v>
      </c>
    </row>
    <row r="566" spans="1:24" x14ac:dyDescent="0.35">
      <c r="A566">
        <v>898</v>
      </c>
      <c r="B566">
        <v>56937</v>
      </c>
      <c r="C566">
        <v>39</v>
      </c>
      <c r="D566">
        <v>1</v>
      </c>
      <c r="E566" s="28">
        <v>7.816438356164384</v>
      </c>
      <c r="F566" s="28"/>
      <c r="G566" s="28"/>
      <c r="H566" s="28"/>
      <c r="I566" s="28"/>
      <c r="J566" s="28"/>
      <c r="L566" s="38">
        <v>898</v>
      </c>
      <c r="M566" s="2">
        <v>81</v>
      </c>
      <c r="N566" s="2">
        <v>746</v>
      </c>
      <c r="O566" s="2">
        <v>8</v>
      </c>
      <c r="P566" s="2">
        <v>125</v>
      </c>
      <c r="Q566" s="2">
        <v>11</v>
      </c>
      <c r="R566" s="2">
        <v>8</v>
      </c>
      <c r="S566" s="2">
        <v>8</v>
      </c>
      <c r="T566" s="2">
        <v>7</v>
      </c>
      <c r="U566" s="2">
        <v>8</v>
      </c>
      <c r="V566" s="2">
        <v>6</v>
      </c>
      <c r="W566" s="2">
        <v>9</v>
      </c>
      <c r="X566" s="2">
        <v>6</v>
      </c>
    </row>
    <row r="567" spans="1:24" x14ac:dyDescent="0.35">
      <c r="A567">
        <v>897</v>
      </c>
      <c r="B567">
        <v>79734</v>
      </c>
      <c r="C567">
        <v>51</v>
      </c>
      <c r="D567">
        <v>0</v>
      </c>
      <c r="E567" s="28">
        <v>5.9178082191780819</v>
      </c>
      <c r="F567" s="28"/>
      <c r="G567" s="28"/>
      <c r="H567" s="28"/>
      <c r="I567" s="28"/>
      <c r="J567" s="28"/>
      <c r="L567" s="37">
        <v>897</v>
      </c>
      <c r="M567" s="3">
        <v>72</v>
      </c>
      <c r="N567" s="3">
        <v>572</v>
      </c>
      <c r="O567" s="3">
        <v>8</v>
      </c>
      <c r="P567" s="3">
        <v>232</v>
      </c>
      <c r="Q567" s="3">
        <v>23</v>
      </c>
      <c r="R567" s="3">
        <v>62</v>
      </c>
      <c r="S567" s="3">
        <v>17</v>
      </c>
      <c r="T567" s="3">
        <v>1</v>
      </c>
      <c r="U567" s="3">
        <v>4</v>
      </c>
      <c r="V567" s="3">
        <v>3</v>
      </c>
      <c r="W567" s="3">
        <v>6</v>
      </c>
      <c r="X567" s="3">
        <v>1</v>
      </c>
    </row>
    <row r="568" spans="1:24" x14ac:dyDescent="0.35">
      <c r="A568">
        <v>897</v>
      </c>
      <c r="B568">
        <v>76320</v>
      </c>
      <c r="C568">
        <v>61</v>
      </c>
      <c r="D568">
        <v>1</v>
      </c>
      <c r="E568" s="28">
        <v>5.934246575342466</v>
      </c>
      <c r="F568" s="28"/>
      <c r="G568" s="28"/>
      <c r="H568" s="28"/>
      <c r="I568" s="28"/>
      <c r="J568" s="28"/>
      <c r="L568" s="38">
        <v>897</v>
      </c>
      <c r="M568" s="2">
        <v>49</v>
      </c>
      <c r="N568" s="2">
        <v>526</v>
      </c>
      <c r="O568" s="2">
        <v>35</v>
      </c>
      <c r="P568" s="2">
        <v>214</v>
      </c>
      <c r="Q568" s="2">
        <v>69</v>
      </c>
      <c r="R568" s="2">
        <v>53</v>
      </c>
      <c r="S568" s="2">
        <v>35</v>
      </c>
      <c r="T568" s="2">
        <v>2</v>
      </c>
      <c r="U568" s="2">
        <v>6</v>
      </c>
      <c r="V568" s="2">
        <v>3</v>
      </c>
      <c r="W568" s="2">
        <v>4</v>
      </c>
      <c r="X568" s="2">
        <v>2</v>
      </c>
    </row>
    <row r="569" spans="1:24" x14ac:dyDescent="0.35">
      <c r="A569">
        <v>897</v>
      </c>
      <c r="B569">
        <v>44953</v>
      </c>
      <c r="C569">
        <v>39</v>
      </c>
      <c r="D569">
        <v>0</v>
      </c>
      <c r="E569" s="28">
        <v>7.4356164383561643</v>
      </c>
      <c r="F569" s="28"/>
      <c r="G569" s="28"/>
      <c r="H569" s="28"/>
      <c r="I569" s="28"/>
      <c r="J569" s="28"/>
      <c r="L569" s="37">
        <v>897</v>
      </c>
      <c r="M569" s="3">
        <v>31</v>
      </c>
      <c r="N569" s="3">
        <v>728</v>
      </c>
      <c r="O569" s="3">
        <v>17</v>
      </c>
      <c r="P569" s="3">
        <v>133</v>
      </c>
      <c r="Q569" s="3">
        <v>11</v>
      </c>
      <c r="R569" s="3">
        <v>8</v>
      </c>
      <c r="S569" s="3">
        <v>124</v>
      </c>
      <c r="T569" s="3">
        <v>1</v>
      </c>
      <c r="U569" s="3">
        <v>7</v>
      </c>
      <c r="V569" s="3">
        <v>3</v>
      </c>
      <c r="W569" s="3">
        <v>13</v>
      </c>
      <c r="X569" s="3">
        <v>6</v>
      </c>
    </row>
    <row r="570" spans="1:24" x14ac:dyDescent="0.35">
      <c r="A570">
        <v>897</v>
      </c>
      <c r="B570">
        <v>55260</v>
      </c>
      <c r="C570">
        <v>48</v>
      </c>
      <c r="D570">
        <v>1</v>
      </c>
      <c r="E570" s="28">
        <v>7.4602739726027396</v>
      </c>
      <c r="F570" s="28"/>
      <c r="G570" s="28"/>
      <c r="H570" s="28"/>
      <c r="I570" s="28"/>
      <c r="J570" s="28"/>
      <c r="L570" s="38">
        <v>897</v>
      </c>
      <c r="M570" s="2">
        <v>81</v>
      </c>
      <c r="N570" s="2">
        <v>825</v>
      </c>
      <c r="O570" s="2">
        <v>8</v>
      </c>
      <c r="P570" s="2">
        <v>53</v>
      </c>
      <c r="Q570" s="2">
        <v>11</v>
      </c>
      <c r="R570" s="2">
        <v>0</v>
      </c>
      <c r="S570" s="2">
        <v>242</v>
      </c>
      <c r="T570" s="2">
        <v>2</v>
      </c>
      <c r="U570" s="2">
        <v>8</v>
      </c>
      <c r="V570" s="2">
        <v>10</v>
      </c>
      <c r="W570" s="2">
        <v>5</v>
      </c>
      <c r="X570" s="2">
        <v>6</v>
      </c>
    </row>
    <row r="571" spans="1:24" x14ac:dyDescent="0.35">
      <c r="A571">
        <v>896</v>
      </c>
      <c r="B571">
        <v>69283</v>
      </c>
      <c r="C571">
        <v>45</v>
      </c>
      <c r="D571">
        <v>1</v>
      </c>
      <c r="E571" s="28">
        <v>5.956164383561644</v>
      </c>
      <c r="F571" s="28"/>
      <c r="G571" s="28"/>
      <c r="H571" s="28"/>
      <c r="I571" s="28"/>
      <c r="J571" s="28"/>
      <c r="L571" s="37">
        <v>896</v>
      </c>
      <c r="M571" s="3">
        <v>41</v>
      </c>
      <c r="N571" s="3">
        <v>674</v>
      </c>
      <c r="O571" s="3">
        <v>62</v>
      </c>
      <c r="P571" s="3">
        <v>134</v>
      </c>
      <c r="Q571" s="3">
        <v>0</v>
      </c>
      <c r="R571" s="3">
        <v>26</v>
      </c>
      <c r="S571" s="3">
        <v>8</v>
      </c>
      <c r="T571" s="3">
        <v>4</v>
      </c>
      <c r="U571" s="3">
        <v>7</v>
      </c>
      <c r="V571" s="3">
        <v>3</v>
      </c>
      <c r="W571" s="3">
        <v>13</v>
      </c>
      <c r="X571" s="3">
        <v>5</v>
      </c>
    </row>
    <row r="572" spans="1:24" x14ac:dyDescent="0.35">
      <c r="A572">
        <v>894</v>
      </c>
      <c r="B572">
        <v>68117</v>
      </c>
      <c r="C572">
        <v>73</v>
      </c>
      <c r="D572">
        <v>1</v>
      </c>
      <c r="E572" s="28">
        <v>7.2191780821917808</v>
      </c>
      <c r="F572" s="28"/>
      <c r="G572" s="28"/>
      <c r="H572" s="28"/>
      <c r="I572" s="28"/>
      <c r="J572" s="28"/>
      <c r="L572" s="38">
        <v>894</v>
      </c>
      <c r="M572" s="2">
        <v>80</v>
      </c>
      <c r="N572" s="2">
        <v>618</v>
      </c>
      <c r="O572" s="2">
        <v>44</v>
      </c>
      <c r="P572" s="2">
        <v>215</v>
      </c>
      <c r="Q572" s="2">
        <v>0</v>
      </c>
      <c r="R572" s="2">
        <v>17</v>
      </c>
      <c r="S572" s="2">
        <v>36</v>
      </c>
      <c r="T572" s="2">
        <v>2</v>
      </c>
      <c r="U572" s="2">
        <v>11</v>
      </c>
      <c r="V572" s="2">
        <v>8</v>
      </c>
      <c r="W572" s="2">
        <v>4</v>
      </c>
      <c r="X572" s="2">
        <v>6</v>
      </c>
    </row>
    <row r="573" spans="1:24" x14ac:dyDescent="0.35">
      <c r="A573">
        <v>894</v>
      </c>
      <c r="B573">
        <v>60161</v>
      </c>
      <c r="C573">
        <v>55</v>
      </c>
      <c r="D573">
        <v>1</v>
      </c>
      <c r="E573" s="28">
        <v>7.5972602739726032</v>
      </c>
      <c r="F573" s="28"/>
      <c r="G573" s="28"/>
      <c r="H573" s="28"/>
      <c r="I573" s="28"/>
      <c r="J573" s="28"/>
      <c r="L573" s="37">
        <v>894</v>
      </c>
      <c r="M573" s="3">
        <v>17</v>
      </c>
      <c r="N573" s="3">
        <v>584</v>
      </c>
      <c r="O573" s="3">
        <v>44</v>
      </c>
      <c r="P573" s="3">
        <v>212</v>
      </c>
      <c r="Q573" s="3">
        <v>46</v>
      </c>
      <c r="R573" s="3">
        <v>8</v>
      </c>
      <c r="S573" s="3">
        <v>177</v>
      </c>
      <c r="T573" s="3">
        <v>3</v>
      </c>
      <c r="U573" s="3">
        <v>11</v>
      </c>
      <c r="V573" s="3">
        <v>4</v>
      </c>
      <c r="W573" s="3">
        <v>8</v>
      </c>
      <c r="X573" s="3">
        <v>8</v>
      </c>
    </row>
    <row r="574" spans="1:24" x14ac:dyDescent="0.35">
      <c r="A574">
        <v>894</v>
      </c>
      <c r="B574">
        <v>59666</v>
      </c>
      <c r="C574">
        <v>48</v>
      </c>
      <c r="D574">
        <v>1</v>
      </c>
      <c r="E574" s="28">
        <v>7.1863013698630134</v>
      </c>
      <c r="F574" s="28"/>
      <c r="G574" s="28"/>
      <c r="H574" s="28"/>
      <c r="I574" s="28"/>
      <c r="J574" s="28"/>
      <c r="L574" s="38">
        <v>894</v>
      </c>
      <c r="M574" s="2">
        <v>87</v>
      </c>
      <c r="N574" s="2">
        <v>623</v>
      </c>
      <c r="O574" s="2">
        <v>53</v>
      </c>
      <c r="P574" s="2">
        <v>178</v>
      </c>
      <c r="Q574" s="2">
        <v>23</v>
      </c>
      <c r="R574" s="2">
        <v>17</v>
      </c>
      <c r="S574" s="2">
        <v>133</v>
      </c>
      <c r="T574" s="2">
        <v>7</v>
      </c>
      <c r="U574" s="2">
        <v>3</v>
      </c>
      <c r="V574" s="2">
        <v>2</v>
      </c>
      <c r="W574" s="2">
        <v>8</v>
      </c>
      <c r="X574" s="2">
        <v>8</v>
      </c>
    </row>
    <row r="575" spans="1:24" x14ac:dyDescent="0.35">
      <c r="A575">
        <v>894</v>
      </c>
      <c r="B575">
        <v>54693</v>
      </c>
      <c r="C575">
        <v>58</v>
      </c>
      <c r="D575">
        <v>1</v>
      </c>
      <c r="E575" s="28">
        <v>7.2767123287671236</v>
      </c>
      <c r="F575" s="28"/>
      <c r="G575" s="28"/>
      <c r="H575" s="28"/>
      <c r="I575" s="28"/>
      <c r="J575" s="28"/>
      <c r="L575" s="37">
        <v>894</v>
      </c>
      <c r="M575" s="3">
        <v>72</v>
      </c>
      <c r="N575" s="3">
        <v>686</v>
      </c>
      <c r="O575" s="3">
        <v>17</v>
      </c>
      <c r="P575" s="3">
        <v>142</v>
      </c>
      <c r="Q575" s="3">
        <v>23</v>
      </c>
      <c r="R575" s="3">
        <v>26</v>
      </c>
      <c r="S575" s="3">
        <v>35</v>
      </c>
      <c r="T575" s="3">
        <v>8</v>
      </c>
      <c r="U575" s="3">
        <v>6</v>
      </c>
      <c r="V575" s="3">
        <v>4</v>
      </c>
      <c r="W575" s="3">
        <v>13</v>
      </c>
      <c r="X575" s="3">
        <v>6</v>
      </c>
    </row>
    <row r="576" spans="1:24" x14ac:dyDescent="0.35">
      <c r="A576">
        <v>893</v>
      </c>
      <c r="B576">
        <v>77142</v>
      </c>
      <c r="C576">
        <v>72</v>
      </c>
      <c r="D576">
        <v>0</v>
      </c>
      <c r="E576" s="28">
        <v>7</v>
      </c>
      <c r="F576" s="28"/>
      <c r="G576" s="28"/>
      <c r="H576" s="28"/>
      <c r="I576" s="28"/>
      <c r="J576" s="28"/>
      <c r="L576" s="38">
        <v>893</v>
      </c>
      <c r="M576" s="2">
        <v>54</v>
      </c>
      <c r="N576" s="2">
        <v>476</v>
      </c>
      <c r="O576" s="2">
        <v>75</v>
      </c>
      <c r="P576" s="2">
        <v>162</v>
      </c>
      <c r="Q576" s="2">
        <v>29</v>
      </c>
      <c r="R576" s="2">
        <v>151</v>
      </c>
      <c r="S576" s="2">
        <v>97</v>
      </c>
      <c r="T576" s="2">
        <v>1</v>
      </c>
      <c r="U576" s="2">
        <v>4</v>
      </c>
      <c r="V576" s="2">
        <v>4</v>
      </c>
      <c r="W576" s="2">
        <v>8</v>
      </c>
      <c r="X576" s="2">
        <v>2</v>
      </c>
    </row>
    <row r="577" spans="1:24" x14ac:dyDescent="0.35">
      <c r="A577">
        <v>892</v>
      </c>
      <c r="B577">
        <v>62568</v>
      </c>
      <c r="C577">
        <v>58</v>
      </c>
      <c r="D577">
        <v>1</v>
      </c>
      <c r="E577" s="28">
        <v>6.1424657534246574</v>
      </c>
      <c r="F577" s="28"/>
      <c r="G577" s="28"/>
      <c r="H577" s="28"/>
      <c r="I577" s="28"/>
      <c r="J577" s="28"/>
      <c r="L577" s="37">
        <v>892</v>
      </c>
      <c r="M577" s="3">
        <v>99</v>
      </c>
      <c r="N577" s="3">
        <v>362</v>
      </c>
      <c r="O577" s="3">
        <v>17</v>
      </c>
      <c r="P577" s="3">
        <v>398</v>
      </c>
      <c r="Q577" s="3">
        <v>80</v>
      </c>
      <c r="R577" s="3">
        <v>35</v>
      </c>
      <c r="S577" s="3">
        <v>61</v>
      </c>
      <c r="T577" s="3">
        <v>3</v>
      </c>
      <c r="U577" s="3">
        <v>5</v>
      </c>
      <c r="V577" s="3">
        <v>3</v>
      </c>
      <c r="W577" s="3">
        <v>5</v>
      </c>
      <c r="X577" s="3">
        <v>4</v>
      </c>
    </row>
    <row r="578" spans="1:24" x14ac:dyDescent="0.35">
      <c r="A578">
        <v>892</v>
      </c>
      <c r="B578">
        <v>66835</v>
      </c>
      <c r="C578">
        <v>74</v>
      </c>
      <c r="D578">
        <v>0</v>
      </c>
      <c r="E578" s="28">
        <v>6.6657534246575345</v>
      </c>
      <c r="F578" s="28"/>
      <c r="G578" s="28"/>
      <c r="H578" s="28"/>
      <c r="I578" s="28"/>
      <c r="J578" s="28"/>
      <c r="L578" s="38">
        <v>892</v>
      </c>
      <c r="M578" s="2">
        <v>21</v>
      </c>
      <c r="N578" s="2">
        <v>620</v>
      </c>
      <c r="O578" s="2">
        <v>26</v>
      </c>
      <c r="P578" s="2">
        <v>195</v>
      </c>
      <c r="Q578" s="2">
        <v>34</v>
      </c>
      <c r="R578" s="2">
        <v>17</v>
      </c>
      <c r="S578" s="2">
        <v>141</v>
      </c>
      <c r="T578" s="2">
        <v>1</v>
      </c>
      <c r="U578" s="2">
        <v>6</v>
      </c>
      <c r="V578" s="2">
        <v>4</v>
      </c>
      <c r="W578" s="2">
        <v>13</v>
      </c>
      <c r="X578" s="2">
        <v>2</v>
      </c>
    </row>
    <row r="579" spans="1:24" x14ac:dyDescent="0.35">
      <c r="A579">
        <v>892</v>
      </c>
      <c r="B579">
        <v>65073</v>
      </c>
      <c r="C579">
        <v>77</v>
      </c>
      <c r="D579">
        <v>0</v>
      </c>
      <c r="E579" s="28">
        <v>6.7726027397260271</v>
      </c>
      <c r="F579" s="28"/>
      <c r="G579" s="28"/>
      <c r="H579" s="28"/>
      <c r="I579" s="28"/>
      <c r="J579" s="28"/>
      <c r="L579" s="37">
        <v>892</v>
      </c>
      <c r="M579" s="3">
        <v>65</v>
      </c>
      <c r="N579" s="3">
        <v>629</v>
      </c>
      <c r="O579" s="3">
        <v>17</v>
      </c>
      <c r="P579" s="3">
        <v>177</v>
      </c>
      <c r="Q579" s="3">
        <v>69</v>
      </c>
      <c r="R579" s="3">
        <v>0</v>
      </c>
      <c r="S579" s="3">
        <v>8</v>
      </c>
      <c r="T579" s="3">
        <v>1</v>
      </c>
      <c r="U579" s="3">
        <v>5</v>
      </c>
      <c r="V579" s="3">
        <v>3</v>
      </c>
      <c r="W579" s="3">
        <v>5</v>
      </c>
      <c r="X579" s="3">
        <v>2</v>
      </c>
    </row>
    <row r="580" spans="1:24" x14ac:dyDescent="0.35">
      <c r="A580">
        <v>892</v>
      </c>
      <c r="B580">
        <v>59462</v>
      </c>
      <c r="C580">
        <v>70</v>
      </c>
      <c r="D580">
        <v>1</v>
      </c>
      <c r="E580" s="28">
        <v>7.3945205479452056</v>
      </c>
      <c r="F580" s="28"/>
      <c r="G580" s="28"/>
      <c r="H580" s="28"/>
      <c r="I580" s="28"/>
      <c r="J580" s="28"/>
      <c r="L580" s="38">
        <v>892</v>
      </c>
      <c r="M580" s="2">
        <v>29</v>
      </c>
      <c r="N580" s="2">
        <v>724</v>
      </c>
      <c r="O580" s="2">
        <v>17</v>
      </c>
      <c r="P580" s="2">
        <v>143</v>
      </c>
      <c r="Q580" s="2">
        <v>0</v>
      </c>
      <c r="R580" s="2">
        <v>8</v>
      </c>
      <c r="S580" s="2">
        <v>196</v>
      </c>
      <c r="T580" s="2">
        <v>2</v>
      </c>
      <c r="U580" s="2">
        <v>9</v>
      </c>
      <c r="V580" s="2">
        <v>2</v>
      </c>
      <c r="W580" s="2">
        <v>12</v>
      </c>
      <c r="X580" s="2">
        <v>7</v>
      </c>
    </row>
    <row r="581" spans="1:24" x14ac:dyDescent="0.35">
      <c r="A581">
        <v>890</v>
      </c>
      <c r="B581">
        <v>77298</v>
      </c>
      <c r="C581">
        <v>41</v>
      </c>
      <c r="D581">
        <v>1</v>
      </c>
      <c r="E581" s="28">
        <v>6.5698630136986305</v>
      </c>
      <c r="F581" s="28"/>
      <c r="G581" s="28"/>
      <c r="H581" s="28"/>
      <c r="I581" s="28"/>
      <c r="J581" s="28"/>
      <c r="L581" s="37">
        <v>890</v>
      </c>
      <c r="M581" s="3">
        <v>46</v>
      </c>
      <c r="N581" s="3">
        <v>425</v>
      </c>
      <c r="O581" s="3">
        <v>115</v>
      </c>
      <c r="P581" s="3">
        <v>292</v>
      </c>
      <c r="Q581" s="3">
        <v>23</v>
      </c>
      <c r="R581" s="3">
        <v>35</v>
      </c>
      <c r="S581" s="3">
        <v>79</v>
      </c>
      <c r="T581" s="3">
        <v>1</v>
      </c>
      <c r="U581" s="3">
        <v>6</v>
      </c>
      <c r="V581" s="3">
        <v>6</v>
      </c>
      <c r="W581" s="3">
        <v>11</v>
      </c>
      <c r="X581" s="3">
        <v>3</v>
      </c>
    </row>
    <row r="582" spans="1:24" x14ac:dyDescent="0.35">
      <c r="A582">
        <v>890</v>
      </c>
      <c r="B582">
        <v>53103</v>
      </c>
      <c r="C582">
        <v>66</v>
      </c>
      <c r="D582">
        <v>1</v>
      </c>
      <c r="E582" s="28">
        <v>6.7095890410958905</v>
      </c>
      <c r="F582" s="28"/>
      <c r="G582" s="28"/>
      <c r="H582" s="28"/>
      <c r="I582" s="28"/>
      <c r="J582" s="28"/>
      <c r="L582" s="38">
        <v>890</v>
      </c>
      <c r="M582" s="2">
        <v>70</v>
      </c>
      <c r="N582" s="2">
        <v>729</v>
      </c>
      <c r="O582" s="2">
        <v>17</v>
      </c>
      <c r="P582" s="2">
        <v>133</v>
      </c>
      <c r="Q582" s="2">
        <v>11</v>
      </c>
      <c r="R582" s="2">
        <v>0</v>
      </c>
      <c r="S582" s="2">
        <v>195</v>
      </c>
      <c r="T582" s="2">
        <v>5</v>
      </c>
      <c r="U582" s="2">
        <v>10</v>
      </c>
      <c r="V582" s="2">
        <v>6</v>
      </c>
      <c r="W582" s="2">
        <v>7</v>
      </c>
      <c r="X582" s="2">
        <v>7</v>
      </c>
    </row>
    <row r="583" spans="1:24" x14ac:dyDescent="0.35">
      <c r="A583">
        <v>889</v>
      </c>
      <c r="B583">
        <v>67023</v>
      </c>
      <c r="C583">
        <v>42</v>
      </c>
      <c r="D583">
        <v>0</v>
      </c>
      <c r="E583" s="28">
        <v>6.2356164383561641</v>
      </c>
      <c r="F583" s="28"/>
      <c r="G583" s="28"/>
      <c r="H583" s="28"/>
      <c r="I583" s="28"/>
      <c r="J583" s="28"/>
      <c r="L583" s="37">
        <v>889</v>
      </c>
      <c r="M583" s="3">
        <v>93</v>
      </c>
      <c r="N583" s="3">
        <v>444</v>
      </c>
      <c r="O583" s="3">
        <v>44</v>
      </c>
      <c r="P583" s="3">
        <v>382</v>
      </c>
      <c r="Q583" s="3">
        <v>11</v>
      </c>
      <c r="R583" s="3">
        <v>8</v>
      </c>
      <c r="S583" s="3">
        <v>17</v>
      </c>
      <c r="T583" s="3">
        <v>1</v>
      </c>
      <c r="U583" s="3">
        <v>3</v>
      </c>
      <c r="V583" s="3">
        <v>7</v>
      </c>
      <c r="W583" s="3">
        <v>13</v>
      </c>
      <c r="X583" s="3">
        <v>2</v>
      </c>
    </row>
    <row r="584" spans="1:24" x14ac:dyDescent="0.35">
      <c r="A584">
        <v>889</v>
      </c>
      <c r="B584">
        <v>53858</v>
      </c>
      <c r="C584">
        <v>44</v>
      </c>
      <c r="D584">
        <v>1</v>
      </c>
      <c r="E584" s="28">
        <v>7.5506849315068489</v>
      </c>
      <c r="F584" s="28"/>
      <c r="G584" s="28"/>
      <c r="H584" s="28"/>
      <c r="I584" s="28"/>
      <c r="J584" s="28"/>
      <c r="L584" s="38">
        <v>889</v>
      </c>
      <c r="M584" s="2">
        <v>50</v>
      </c>
      <c r="N584" s="2">
        <v>407</v>
      </c>
      <c r="O584" s="2">
        <v>53</v>
      </c>
      <c r="P584" s="2">
        <v>221</v>
      </c>
      <c r="Q584" s="2">
        <v>58</v>
      </c>
      <c r="R584" s="2">
        <v>150</v>
      </c>
      <c r="S584" s="2">
        <v>26</v>
      </c>
      <c r="T584" s="2">
        <v>4</v>
      </c>
      <c r="U584" s="2">
        <v>4</v>
      </c>
      <c r="V584" s="2">
        <v>3</v>
      </c>
      <c r="W584" s="2">
        <v>6</v>
      </c>
      <c r="X584" s="2">
        <v>4</v>
      </c>
    </row>
    <row r="585" spans="1:24" x14ac:dyDescent="0.35">
      <c r="A585">
        <v>888</v>
      </c>
      <c r="B585">
        <v>66731</v>
      </c>
      <c r="C585">
        <v>50</v>
      </c>
      <c r="D585">
        <v>1</v>
      </c>
      <c r="E585" s="28">
        <v>7.7095890410958905</v>
      </c>
      <c r="F585" s="28"/>
      <c r="G585" s="28"/>
      <c r="H585" s="28"/>
      <c r="I585" s="28"/>
      <c r="J585" s="28"/>
      <c r="L585" s="37">
        <v>888</v>
      </c>
      <c r="M585" s="3">
        <v>33</v>
      </c>
      <c r="N585" s="3">
        <v>371</v>
      </c>
      <c r="O585" s="3">
        <v>159</v>
      </c>
      <c r="P585" s="3">
        <v>194</v>
      </c>
      <c r="Q585" s="3">
        <v>58</v>
      </c>
      <c r="R585" s="3">
        <v>106</v>
      </c>
      <c r="S585" s="3">
        <v>141</v>
      </c>
      <c r="T585" s="3">
        <v>4</v>
      </c>
      <c r="U585" s="3">
        <v>4</v>
      </c>
      <c r="V585" s="3">
        <v>3</v>
      </c>
      <c r="W585" s="3">
        <v>6</v>
      </c>
      <c r="X585" s="3">
        <v>3</v>
      </c>
    </row>
    <row r="586" spans="1:24" x14ac:dyDescent="0.35">
      <c r="A586">
        <v>887</v>
      </c>
      <c r="B586">
        <v>67381</v>
      </c>
      <c r="C586">
        <v>69</v>
      </c>
      <c r="D586">
        <v>1</v>
      </c>
      <c r="E586" s="28">
        <v>7.3671232876712329</v>
      </c>
      <c r="F586" s="28"/>
      <c r="G586" s="28"/>
      <c r="H586" s="28"/>
      <c r="I586" s="28"/>
      <c r="J586" s="28"/>
      <c r="L586" s="38">
        <v>887</v>
      </c>
      <c r="M586" s="2">
        <v>67</v>
      </c>
      <c r="N586" s="2">
        <v>815</v>
      </c>
      <c r="O586" s="2">
        <v>8</v>
      </c>
      <c r="P586" s="2">
        <v>53</v>
      </c>
      <c r="Q586" s="2">
        <v>11</v>
      </c>
      <c r="R586" s="2">
        <v>0</v>
      </c>
      <c r="S586" s="2">
        <v>70</v>
      </c>
      <c r="T586" s="2">
        <v>4</v>
      </c>
      <c r="U586" s="2">
        <v>2</v>
      </c>
      <c r="V586" s="2">
        <v>2</v>
      </c>
      <c r="W586" s="2">
        <v>9</v>
      </c>
      <c r="X586" s="2">
        <v>7</v>
      </c>
    </row>
    <row r="587" spans="1:24" x14ac:dyDescent="0.35">
      <c r="A587">
        <v>886</v>
      </c>
      <c r="B587">
        <v>67046</v>
      </c>
      <c r="C587">
        <v>69</v>
      </c>
      <c r="D587">
        <v>1</v>
      </c>
      <c r="E587" s="28">
        <v>7.3917808219178083</v>
      </c>
      <c r="F587" s="28"/>
      <c r="G587" s="28"/>
      <c r="H587" s="28"/>
      <c r="I587" s="28"/>
      <c r="J587" s="28"/>
      <c r="L587" s="37">
        <v>886</v>
      </c>
      <c r="M587" s="3">
        <v>92</v>
      </c>
      <c r="N587" s="3">
        <v>544</v>
      </c>
      <c r="O587" s="3">
        <v>35</v>
      </c>
      <c r="P587" s="3">
        <v>133</v>
      </c>
      <c r="Q587" s="3">
        <v>23</v>
      </c>
      <c r="R587" s="3">
        <v>151</v>
      </c>
      <c r="S587" s="3">
        <v>107</v>
      </c>
      <c r="T587" s="3">
        <v>2</v>
      </c>
      <c r="U587" s="3">
        <v>4</v>
      </c>
      <c r="V587" s="3">
        <v>5</v>
      </c>
      <c r="W587" s="3">
        <v>4</v>
      </c>
      <c r="X587" s="3">
        <v>2</v>
      </c>
    </row>
    <row r="588" spans="1:24" x14ac:dyDescent="0.35">
      <c r="A588">
        <v>885</v>
      </c>
      <c r="B588">
        <v>63404</v>
      </c>
      <c r="C588">
        <v>56</v>
      </c>
      <c r="D588">
        <v>1</v>
      </c>
      <c r="E588" s="28">
        <v>5.978082191780822</v>
      </c>
      <c r="F588" s="28"/>
      <c r="G588" s="28"/>
      <c r="H588" s="28"/>
      <c r="I588" s="28"/>
      <c r="J588" s="28"/>
      <c r="L588" s="38">
        <v>885</v>
      </c>
      <c r="M588" s="2">
        <v>97</v>
      </c>
      <c r="N588" s="2">
        <v>734</v>
      </c>
      <c r="O588" s="2">
        <v>26</v>
      </c>
      <c r="P588" s="2">
        <v>70</v>
      </c>
      <c r="Q588" s="2">
        <v>11</v>
      </c>
      <c r="R588" s="2">
        <v>44</v>
      </c>
      <c r="S588" s="2">
        <v>17</v>
      </c>
      <c r="T588" s="2">
        <v>2</v>
      </c>
      <c r="U588" s="2">
        <v>6</v>
      </c>
      <c r="V588" s="2">
        <v>3</v>
      </c>
      <c r="W588" s="2">
        <v>4</v>
      </c>
      <c r="X588" s="2">
        <v>4</v>
      </c>
    </row>
    <row r="589" spans="1:24" x14ac:dyDescent="0.35">
      <c r="A589">
        <v>884</v>
      </c>
      <c r="B589">
        <v>67605</v>
      </c>
      <c r="C589">
        <v>33</v>
      </c>
      <c r="D589">
        <v>0</v>
      </c>
      <c r="E589" s="28">
        <v>7.161643835616438</v>
      </c>
      <c r="F589" s="28"/>
      <c r="G589" s="28"/>
      <c r="H589" s="28"/>
      <c r="I589" s="28"/>
      <c r="J589" s="28"/>
      <c r="L589" s="37">
        <v>884</v>
      </c>
      <c r="M589" s="3">
        <v>84</v>
      </c>
      <c r="N589" s="3">
        <v>336</v>
      </c>
      <c r="O589" s="3">
        <v>28</v>
      </c>
      <c r="P589" s="3">
        <v>282</v>
      </c>
      <c r="Q589" s="3">
        <v>184</v>
      </c>
      <c r="R589" s="3">
        <v>54</v>
      </c>
      <c r="S589" s="3">
        <v>54</v>
      </c>
      <c r="T589" s="3">
        <v>1</v>
      </c>
      <c r="U589" s="3">
        <v>2</v>
      </c>
      <c r="V589" s="3">
        <v>8</v>
      </c>
      <c r="W589" s="3">
        <v>6</v>
      </c>
      <c r="X589" s="3">
        <v>1</v>
      </c>
    </row>
    <row r="590" spans="1:24" x14ac:dyDescent="0.35">
      <c r="A590">
        <v>883</v>
      </c>
      <c r="B590">
        <v>56242</v>
      </c>
      <c r="C590">
        <v>51</v>
      </c>
      <c r="D590">
        <v>1</v>
      </c>
      <c r="E590" s="28">
        <v>7.2383561643835614</v>
      </c>
      <c r="F590" s="28"/>
      <c r="G590" s="28"/>
      <c r="H590" s="28"/>
      <c r="I590" s="28"/>
      <c r="J590" s="28"/>
      <c r="L590" s="38">
        <v>883</v>
      </c>
      <c r="M590" s="2">
        <v>72</v>
      </c>
      <c r="N590" s="2">
        <v>689</v>
      </c>
      <c r="O590" s="2">
        <v>8</v>
      </c>
      <c r="P590" s="2">
        <v>167</v>
      </c>
      <c r="Q590" s="2">
        <v>11</v>
      </c>
      <c r="R590" s="2">
        <v>8</v>
      </c>
      <c r="S590" s="2">
        <v>88</v>
      </c>
      <c r="T590" s="2">
        <v>5</v>
      </c>
      <c r="U590" s="2">
        <v>8</v>
      </c>
      <c r="V590" s="2">
        <v>4</v>
      </c>
      <c r="W590" s="2">
        <v>11</v>
      </c>
      <c r="X590" s="2">
        <v>6</v>
      </c>
    </row>
    <row r="591" spans="1:24" x14ac:dyDescent="0.35">
      <c r="A591">
        <v>881</v>
      </c>
      <c r="B591">
        <v>57912</v>
      </c>
      <c r="C591">
        <v>55</v>
      </c>
      <c r="D591">
        <v>1</v>
      </c>
      <c r="E591" s="28">
        <v>6.2</v>
      </c>
      <c r="F591" s="28"/>
      <c r="G591" s="28"/>
      <c r="H591" s="28"/>
      <c r="I591" s="28"/>
      <c r="J591" s="28"/>
      <c r="L591" s="37">
        <v>881</v>
      </c>
      <c r="M591" s="3">
        <v>34</v>
      </c>
      <c r="N591" s="3">
        <v>801</v>
      </c>
      <c r="O591" s="3">
        <v>0</v>
      </c>
      <c r="P591" s="3">
        <v>80</v>
      </c>
      <c r="Q591" s="3">
        <v>0</v>
      </c>
      <c r="R591" s="3">
        <v>0</v>
      </c>
      <c r="S591" s="3">
        <v>35</v>
      </c>
      <c r="T591" s="3">
        <v>5</v>
      </c>
      <c r="U591" s="3">
        <v>8</v>
      </c>
      <c r="V591" s="3">
        <v>3</v>
      </c>
      <c r="W591" s="3">
        <v>12</v>
      </c>
      <c r="X591" s="3">
        <v>5</v>
      </c>
    </row>
    <row r="592" spans="1:24" x14ac:dyDescent="0.35">
      <c r="A592">
        <v>878</v>
      </c>
      <c r="B592">
        <v>67353</v>
      </c>
      <c r="C592">
        <v>50</v>
      </c>
      <c r="D592">
        <v>1</v>
      </c>
      <c r="E592" s="28">
        <v>6.4082191780821915</v>
      </c>
      <c r="F592" s="28"/>
      <c r="G592" s="28"/>
      <c r="H592" s="28"/>
      <c r="I592" s="28"/>
      <c r="J592" s="28"/>
      <c r="L592" s="38">
        <v>878</v>
      </c>
      <c r="M592" s="2">
        <v>37</v>
      </c>
      <c r="N592" s="2">
        <v>702</v>
      </c>
      <c r="O592" s="2">
        <v>17</v>
      </c>
      <c r="P592" s="2">
        <v>151</v>
      </c>
      <c r="Q592" s="2">
        <v>0</v>
      </c>
      <c r="R592" s="2">
        <v>8</v>
      </c>
      <c r="S592" s="2">
        <v>35</v>
      </c>
      <c r="T592" s="2">
        <v>5</v>
      </c>
      <c r="U592" s="2">
        <v>5</v>
      </c>
      <c r="V592" s="2">
        <v>6</v>
      </c>
      <c r="W592" s="2">
        <v>12</v>
      </c>
      <c r="X592" s="2">
        <v>2</v>
      </c>
    </row>
    <row r="593" spans="1:24" x14ac:dyDescent="0.35">
      <c r="A593">
        <v>877</v>
      </c>
      <c r="B593">
        <v>78825</v>
      </c>
      <c r="C593">
        <v>56</v>
      </c>
      <c r="D593">
        <v>0</v>
      </c>
      <c r="E593" s="28">
        <v>7.7041095890410958</v>
      </c>
      <c r="F593" s="28"/>
      <c r="G593" s="28"/>
      <c r="H593" s="28"/>
      <c r="I593" s="28"/>
      <c r="J593" s="28"/>
      <c r="L593" s="37">
        <v>877</v>
      </c>
      <c r="M593" s="3">
        <v>35</v>
      </c>
      <c r="N593" s="3">
        <v>483</v>
      </c>
      <c r="O593" s="3">
        <v>74</v>
      </c>
      <c r="P593" s="3">
        <v>114</v>
      </c>
      <c r="Q593" s="3">
        <v>169</v>
      </c>
      <c r="R593" s="3">
        <v>37</v>
      </c>
      <c r="S593" s="3">
        <v>18</v>
      </c>
      <c r="T593" s="3">
        <v>1</v>
      </c>
      <c r="U593" s="3">
        <v>5</v>
      </c>
      <c r="V593" s="3">
        <v>10</v>
      </c>
      <c r="W593" s="3">
        <v>13</v>
      </c>
      <c r="X593" s="3">
        <v>3</v>
      </c>
    </row>
    <row r="594" spans="1:24" x14ac:dyDescent="0.35">
      <c r="A594">
        <v>876</v>
      </c>
      <c r="B594">
        <v>75012</v>
      </c>
      <c r="C594">
        <v>44</v>
      </c>
      <c r="D594">
        <v>0</v>
      </c>
      <c r="E594" s="28">
        <v>6.3397260273972602</v>
      </c>
      <c r="F594" s="28"/>
      <c r="G594" s="28"/>
      <c r="H594" s="28"/>
      <c r="I594" s="28"/>
      <c r="J594" s="28"/>
      <c r="L594" s="38">
        <v>876</v>
      </c>
      <c r="M594" s="2">
        <v>41</v>
      </c>
      <c r="N594" s="2">
        <v>294</v>
      </c>
      <c r="O594" s="2">
        <v>142</v>
      </c>
      <c r="P594" s="2">
        <v>218</v>
      </c>
      <c r="Q594" s="2">
        <v>164</v>
      </c>
      <c r="R594" s="2">
        <v>58</v>
      </c>
      <c r="S594" s="2">
        <v>151</v>
      </c>
      <c r="T594" s="2">
        <v>1</v>
      </c>
      <c r="U594" s="2">
        <v>3</v>
      </c>
      <c r="V594" s="2">
        <v>8</v>
      </c>
      <c r="W594" s="2">
        <v>11</v>
      </c>
      <c r="X594" s="2">
        <v>1</v>
      </c>
    </row>
    <row r="595" spans="1:24" x14ac:dyDescent="0.35">
      <c r="A595">
        <v>874</v>
      </c>
      <c r="B595">
        <v>72635</v>
      </c>
      <c r="C595">
        <v>65</v>
      </c>
      <c r="D595">
        <v>0</v>
      </c>
      <c r="E595" s="28">
        <v>6.9863013698630141</v>
      </c>
      <c r="F595" s="28"/>
      <c r="G595" s="28"/>
      <c r="H595" s="28"/>
      <c r="I595" s="28"/>
      <c r="J595" s="28"/>
      <c r="L595" s="37">
        <v>874</v>
      </c>
      <c r="M595" s="3">
        <v>54</v>
      </c>
      <c r="N595" s="3">
        <v>390</v>
      </c>
      <c r="O595" s="3">
        <v>22</v>
      </c>
      <c r="P595" s="3">
        <v>323</v>
      </c>
      <c r="Q595" s="3">
        <v>104</v>
      </c>
      <c r="R595" s="3">
        <v>35</v>
      </c>
      <c r="S595" s="3">
        <v>107</v>
      </c>
      <c r="T595" s="3">
        <v>1</v>
      </c>
      <c r="U595" s="3">
        <v>6</v>
      </c>
      <c r="V595" s="3">
        <v>8</v>
      </c>
      <c r="W595" s="3">
        <v>6</v>
      </c>
      <c r="X595" s="3">
        <v>3</v>
      </c>
    </row>
    <row r="596" spans="1:24" x14ac:dyDescent="0.35">
      <c r="A596">
        <v>872</v>
      </c>
      <c r="B596">
        <v>52845</v>
      </c>
      <c r="C596">
        <v>47</v>
      </c>
      <c r="D596">
        <v>1</v>
      </c>
      <c r="E596" s="28">
        <v>6.7917808219178086</v>
      </c>
      <c r="F596" s="28"/>
      <c r="G596" s="28"/>
      <c r="H596" s="28"/>
      <c r="I596" s="28"/>
      <c r="J596" s="28"/>
      <c r="L596" s="38">
        <v>872</v>
      </c>
      <c r="M596" s="2">
        <v>7</v>
      </c>
      <c r="N596" s="2">
        <v>384</v>
      </c>
      <c r="O596" s="2">
        <v>25</v>
      </c>
      <c r="P596" s="2">
        <v>292</v>
      </c>
      <c r="Q596" s="2">
        <v>130</v>
      </c>
      <c r="R596" s="2">
        <v>41</v>
      </c>
      <c r="S596" s="2">
        <v>64</v>
      </c>
      <c r="T596" s="2">
        <v>3</v>
      </c>
      <c r="U596" s="2">
        <v>8</v>
      </c>
      <c r="V596" s="2">
        <v>8</v>
      </c>
      <c r="W596" s="2">
        <v>6</v>
      </c>
      <c r="X596" s="2">
        <v>6</v>
      </c>
    </row>
    <row r="597" spans="1:24" x14ac:dyDescent="0.35">
      <c r="A597">
        <v>871</v>
      </c>
      <c r="B597">
        <v>69867</v>
      </c>
      <c r="C597">
        <v>34</v>
      </c>
      <c r="D597">
        <v>0</v>
      </c>
      <c r="E597" s="28">
        <v>7.1561643835616442</v>
      </c>
      <c r="F597" s="28"/>
      <c r="G597" s="28"/>
      <c r="H597" s="28"/>
      <c r="I597" s="28"/>
      <c r="J597" s="28"/>
      <c r="L597" s="37">
        <v>871</v>
      </c>
      <c r="M597" s="3">
        <v>30</v>
      </c>
      <c r="N597" s="3">
        <v>196</v>
      </c>
      <c r="O597" s="3">
        <v>0</v>
      </c>
      <c r="P597" s="3">
        <v>512</v>
      </c>
      <c r="Q597" s="3">
        <v>33</v>
      </c>
      <c r="R597" s="3">
        <v>130</v>
      </c>
      <c r="S597" s="3">
        <v>54</v>
      </c>
      <c r="T597" s="3">
        <v>1</v>
      </c>
      <c r="U597" s="3">
        <v>3</v>
      </c>
      <c r="V597" s="3">
        <v>5</v>
      </c>
      <c r="W597" s="3">
        <v>8</v>
      </c>
      <c r="X597" s="3">
        <v>1</v>
      </c>
    </row>
    <row r="598" spans="1:24" x14ac:dyDescent="0.35">
      <c r="A598">
        <v>871</v>
      </c>
      <c r="B598">
        <v>81320</v>
      </c>
      <c r="C598">
        <v>62</v>
      </c>
      <c r="D598">
        <v>0</v>
      </c>
      <c r="E598" s="28">
        <v>7.3068493150684928</v>
      </c>
      <c r="F598" s="28"/>
      <c r="G598" s="28"/>
      <c r="H598" s="28"/>
      <c r="I598" s="28"/>
      <c r="J598" s="28"/>
      <c r="L598" s="38">
        <v>871</v>
      </c>
      <c r="M598" s="2">
        <v>61</v>
      </c>
      <c r="N598" s="2">
        <v>183</v>
      </c>
      <c r="O598" s="2">
        <v>33</v>
      </c>
      <c r="P598" s="2">
        <v>493</v>
      </c>
      <c r="Q598" s="2">
        <v>59</v>
      </c>
      <c r="R598" s="2">
        <v>103</v>
      </c>
      <c r="S598" s="2">
        <v>57</v>
      </c>
      <c r="T598" s="2">
        <v>1</v>
      </c>
      <c r="U598" s="2">
        <v>4</v>
      </c>
      <c r="V598" s="2">
        <v>3</v>
      </c>
      <c r="W598" s="2">
        <v>10</v>
      </c>
      <c r="X598" s="2">
        <v>2</v>
      </c>
    </row>
    <row r="599" spans="1:24" x14ac:dyDescent="0.35">
      <c r="A599">
        <v>866</v>
      </c>
      <c r="B599">
        <v>76234</v>
      </c>
      <c r="C599">
        <v>48</v>
      </c>
      <c r="D599">
        <v>1</v>
      </c>
      <c r="E599" s="28">
        <v>6.3068493150684928</v>
      </c>
      <c r="F599" s="28"/>
      <c r="G599" s="28"/>
      <c r="H599" s="28"/>
      <c r="I599" s="28"/>
      <c r="J599" s="28"/>
      <c r="L599" s="37">
        <v>866</v>
      </c>
      <c r="M599" s="3">
        <v>21</v>
      </c>
      <c r="N599" s="3">
        <v>519</v>
      </c>
      <c r="O599" s="3">
        <v>50</v>
      </c>
      <c r="P599" s="3">
        <v>167</v>
      </c>
      <c r="Q599" s="3">
        <v>130</v>
      </c>
      <c r="R599" s="3">
        <v>0</v>
      </c>
      <c r="S599" s="3">
        <v>41</v>
      </c>
      <c r="T599" s="3">
        <v>1</v>
      </c>
      <c r="U599" s="3">
        <v>8</v>
      </c>
      <c r="V599" s="3">
        <v>3</v>
      </c>
      <c r="W599" s="3">
        <v>11</v>
      </c>
      <c r="X599" s="3">
        <v>3</v>
      </c>
    </row>
    <row r="600" spans="1:24" x14ac:dyDescent="0.35">
      <c r="A600">
        <v>865</v>
      </c>
      <c r="B600">
        <v>72940</v>
      </c>
      <c r="C600">
        <v>50</v>
      </c>
      <c r="D600">
        <v>0</v>
      </c>
      <c r="E600" s="28">
        <v>6.9424657534246572</v>
      </c>
      <c r="F600" s="28"/>
      <c r="G600" s="28"/>
      <c r="H600" s="28"/>
      <c r="I600" s="28"/>
      <c r="J600" s="28"/>
      <c r="L600" s="38">
        <v>865</v>
      </c>
      <c r="M600" s="2">
        <v>13</v>
      </c>
      <c r="N600" s="2">
        <v>182</v>
      </c>
      <c r="O600" s="2">
        <v>74</v>
      </c>
      <c r="P600" s="2">
        <v>298</v>
      </c>
      <c r="Q600" s="2">
        <v>162</v>
      </c>
      <c r="R600" s="2">
        <v>149</v>
      </c>
      <c r="S600" s="2">
        <v>116</v>
      </c>
      <c r="T600" s="2">
        <v>1</v>
      </c>
      <c r="U600" s="2">
        <v>3</v>
      </c>
      <c r="V600" s="2">
        <v>3</v>
      </c>
      <c r="W600" s="2">
        <v>6</v>
      </c>
      <c r="X600" s="2">
        <v>1</v>
      </c>
    </row>
    <row r="601" spans="1:24" x14ac:dyDescent="0.35">
      <c r="A601">
        <v>865</v>
      </c>
      <c r="B601">
        <v>72570</v>
      </c>
      <c r="C601">
        <v>36</v>
      </c>
      <c r="D601">
        <v>0</v>
      </c>
      <c r="E601" s="28">
        <v>6.0931506849315067</v>
      </c>
      <c r="F601" s="28"/>
      <c r="G601" s="28"/>
      <c r="H601" s="28"/>
      <c r="I601" s="28"/>
      <c r="J601" s="28"/>
      <c r="L601" s="37">
        <v>865</v>
      </c>
      <c r="M601" s="3">
        <v>67</v>
      </c>
      <c r="N601" s="3">
        <v>274</v>
      </c>
      <c r="O601" s="3">
        <v>83</v>
      </c>
      <c r="P601" s="3">
        <v>216</v>
      </c>
      <c r="Q601" s="3">
        <v>151</v>
      </c>
      <c r="R601" s="3">
        <v>141</v>
      </c>
      <c r="S601" s="3">
        <v>224</v>
      </c>
      <c r="T601" s="3">
        <v>1</v>
      </c>
      <c r="U601" s="3">
        <v>4</v>
      </c>
      <c r="V601" s="3">
        <v>6</v>
      </c>
      <c r="W601" s="3">
        <v>12</v>
      </c>
      <c r="X601" s="3">
        <v>1</v>
      </c>
    </row>
    <row r="602" spans="1:24" x14ac:dyDescent="0.35">
      <c r="A602">
        <v>862</v>
      </c>
      <c r="B602">
        <v>82224</v>
      </c>
      <c r="C602">
        <v>56</v>
      </c>
      <c r="D602">
        <v>0</v>
      </c>
      <c r="E602" s="28">
        <v>6.3397260273972602</v>
      </c>
      <c r="F602" s="28"/>
      <c r="G602" s="28"/>
      <c r="H602" s="28"/>
      <c r="I602" s="28"/>
      <c r="J602" s="28"/>
      <c r="L602" s="38">
        <v>862</v>
      </c>
      <c r="M602" s="2">
        <v>83</v>
      </c>
      <c r="N602" s="2">
        <v>307</v>
      </c>
      <c r="O602" s="2">
        <v>26</v>
      </c>
      <c r="P602" s="2">
        <v>360</v>
      </c>
      <c r="Q602" s="2">
        <v>138</v>
      </c>
      <c r="R602" s="2">
        <v>31</v>
      </c>
      <c r="S602" s="2">
        <v>40</v>
      </c>
      <c r="T602" s="2">
        <v>1</v>
      </c>
      <c r="U602" s="2">
        <v>6</v>
      </c>
      <c r="V602" s="2">
        <v>9</v>
      </c>
      <c r="W602" s="2">
        <v>5</v>
      </c>
      <c r="X602" s="2">
        <v>3</v>
      </c>
    </row>
    <row r="603" spans="1:24" x14ac:dyDescent="0.35">
      <c r="A603">
        <v>860</v>
      </c>
      <c r="B603">
        <v>48948</v>
      </c>
      <c r="C603">
        <v>77</v>
      </c>
      <c r="D603">
        <v>0</v>
      </c>
      <c r="E603" s="28">
        <v>7.3205479452054796</v>
      </c>
      <c r="F603" s="28"/>
      <c r="G603" s="28"/>
      <c r="H603" s="28"/>
      <c r="I603" s="28"/>
      <c r="J603" s="28"/>
      <c r="L603" s="37">
        <v>860</v>
      </c>
      <c r="M603" s="3">
        <v>53</v>
      </c>
      <c r="N603" s="3">
        <v>437</v>
      </c>
      <c r="O603" s="3">
        <v>8</v>
      </c>
      <c r="P603" s="3">
        <v>206</v>
      </c>
      <c r="Q603" s="3">
        <v>160</v>
      </c>
      <c r="R603" s="3">
        <v>49</v>
      </c>
      <c r="S603" s="3">
        <v>42</v>
      </c>
      <c r="T603" s="3">
        <v>2</v>
      </c>
      <c r="U603" s="3">
        <v>7</v>
      </c>
      <c r="V603" s="3">
        <v>10</v>
      </c>
      <c r="W603" s="3">
        <v>5</v>
      </c>
      <c r="X603" s="3">
        <v>6</v>
      </c>
    </row>
    <row r="604" spans="1:24" x14ac:dyDescent="0.35">
      <c r="A604">
        <v>858</v>
      </c>
      <c r="B604">
        <v>61209</v>
      </c>
      <c r="C604">
        <v>50</v>
      </c>
      <c r="D604">
        <v>0</v>
      </c>
      <c r="E604" s="28">
        <v>6.7589041095890412</v>
      </c>
      <c r="F604" s="28"/>
      <c r="G604" s="28"/>
      <c r="H604" s="28"/>
      <c r="I604" s="28"/>
      <c r="J604" s="28"/>
      <c r="L604" s="38">
        <v>858</v>
      </c>
      <c r="M604" s="2">
        <v>73</v>
      </c>
      <c r="N604" s="2">
        <v>466</v>
      </c>
      <c r="O604" s="2">
        <v>0</v>
      </c>
      <c r="P604" s="2">
        <v>224</v>
      </c>
      <c r="Q604" s="2">
        <v>119</v>
      </c>
      <c r="R604" s="2">
        <v>49</v>
      </c>
      <c r="S604" s="2">
        <v>99</v>
      </c>
      <c r="T604" s="2">
        <v>1</v>
      </c>
      <c r="U604" s="2">
        <v>5</v>
      </c>
      <c r="V604" s="2">
        <v>3</v>
      </c>
      <c r="W604" s="2">
        <v>4</v>
      </c>
      <c r="X604" s="2">
        <v>2</v>
      </c>
    </row>
    <row r="605" spans="1:24" x14ac:dyDescent="0.35">
      <c r="A605">
        <v>856</v>
      </c>
      <c r="B605">
        <v>75278</v>
      </c>
      <c r="C605">
        <v>68</v>
      </c>
      <c r="D605">
        <v>0</v>
      </c>
      <c r="E605" s="28">
        <v>7.3287671232876717</v>
      </c>
      <c r="F605" s="28"/>
      <c r="G605" s="28"/>
      <c r="H605" s="28"/>
      <c r="I605" s="28"/>
      <c r="J605" s="28"/>
      <c r="L605" s="37">
        <v>856</v>
      </c>
      <c r="M605" s="3">
        <v>17</v>
      </c>
      <c r="N605" s="3">
        <v>304</v>
      </c>
      <c r="O605" s="3">
        <v>98</v>
      </c>
      <c r="P605" s="3">
        <v>230</v>
      </c>
      <c r="Q605" s="3">
        <v>150</v>
      </c>
      <c r="R605" s="3">
        <v>74</v>
      </c>
      <c r="S605" s="3">
        <v>74</v>
      </c>
      <c r="T605" s="3">
        <v>1</v>
      </c>
      <c r="U605" s="3">
        <v>6</v>
      </c>
      <c r="V605" s="3">
        <v>3</v>
      </c>
      <c r="W605" s="3">
        <v>13</v>
      </c>
      <c r="X605" s="3">
        <v>3</v>
      </c>
    </row>
    <row r="606" spans="1:24" x14ac:dyDescent="0.35">
      <c r="A606">
        <v>856</v>
      </c>
      <c r="B606">
        <v>62503</v>
      </c>
      <c r="C606">
        <v>64</v>
      </c>
      <c r="D606">
        <v>1</v>
      </c>
      <c r="E606" s="28">
        <v>7.2739726027397262</v>
      </c>
      <c r="F606" s="28"/>
      <c r="G606" s="28"/>
      <c r="H606" s="28"/>
      <c r="I606" s="28"/>
      <c r="J606" s="28"/>
      <c r="L606" s="38">
        <v>856</v>
      </c>
      <c r="M606" s="2">
        <v>40</v>
      </c>
      <c r="N606" s="2">
        <v>478</v>
      </c>
      <c r="O606" s="2">
        <v>0</v>
      </c>
      <c r="P606" s="2">
        <v>193</v>
      </c>
      <c r="Q606" s="2">
        <v>110</v>
      </c>
      <c r="R606" s="2">
        <v>75</v>
      </c>
      <c r="S606" s="2">
        <v>117</v>
      </c>
      <c r="T606" s="2">
        <v>4</v>
      </c>
      <c r="U606" s="2">
        <v>8</v>
      </c>
      <c r="V606" s="2">
        <v>3</v>
      </c>
      <c r="W606" s="2">
        <v>11</v>
      </c>
      <c r="X606" s="2">
        <v>5</v>
      </c>
    </row>
    <row r="607" spans="1:24" x14ac:dyDescent="0.35">
      <c r="A607">
        <v>852</v>
      </c>
      <c r="B607">
        <v>60152</v>
      </c>
      <c r="C607">
        <v>41</v>
      </c>
      <c r="D607">
        <v>1</v>
      </c>
      <c r="E607" s="28">
        <v>7.1698630136986301</v>
      </c>
      <c r="F607" s="28"/>
      <c r="G607" s="28"/>
      <c r="H607" s="28"/>
      <c r="I607" s="28"/>
      <c r="J607" s="28"/>
      <c r="L607" s="37">
        <v>852</v>
      </c>
      <c r="M607" s="3">
        <v>6</v>
      </c>
      <c r="N607" s="3">
        <v>325</v>
      </c>
      <c r="O607" s="3">
        <v>83</v>
      </c>
      <c r="P607" s="3">
        <v>300</v>
      </c>
      <c r="Q607" s="3">
        <v>86</v>
      </c>
      <c r="R607" s="3">
        <v>58</v>
      </c>
      <c r="S607" s="3">
        <v>91</v>
      </c>
      <c r="T607" s="3">
        <v>1</v>
      </c>
      <c r="U607" s="3">
        <v>6</v>
      </c>
      <c r="V607" s="3">
        <v>4</v>
      </c>
      <c r="W607" s="3">
        <v>12</v>
      </c>
      <c r="X607" s="3">
        <v>3</v>
      </c>
    </row>
    <row r="608" spans="1:24" x14ac:dyDescent="0.35">
      <c r="A608">
        <v>852</v>
      </c>
      <c r="B608">
        <v>70379</v>
      </c>
      <c r="C608">
        <v>44</v>
      </c>
      <c r="D608">
        <v>1</v>
      </c>
      <c r="E608" s="28">
        <v>7.2383561643835614</v>
      </c>
      <c r="F608" s="28"/>
      <c r="G608" s="28"/>
      <c r="H608" s="28"/>
      <c r="I608" s="28"/>
      <c r="J608" s="28"/>
      <c r="L608" s="38">
        <v>852</v>
      </c>
      <c r="M608" s="2">
        <v>84</v>
      </c>
      <c r="N608" s="2">
        <v>553</v>
      </c>
      <c r="O608" s="2">
        <v>25</v>
      </c>
      <c r="P608" s="2">
        <v>142</v>
      </c>
      <c r="Q608" s="2">
        <v>65</v>
      </c>
      <c r="R608" s="2">
        <v>67</v>
      </c>
      <c r="S608" s="2">
        <v>8</v>
      </c>
      <c r="T608" s="2">
        <v>3</v>
      </c>
      <c r="U608" s="2">
        <v>6</v>
      </c>
      <c r="V608" s="2">
        <v>3</v>
      </c>
      <c r="W608" s="2">
        <v>13</v>
      </c>
      <c r="X608" s="2">
        <v>4</v>
      </c>
    </row>
    <row r="609" spans="1:24" x14ac:dyDescent="0.35">
      <c r="A609">
        <v>851</v>
      </c>
      <c r="B609">
        <v>74268</v>
      </c>
      <c r="C609">
        <v>65</v>
      </c>
      <c r="D609">
        <v>0</v>
      </c>
      <c r="E609" s="28">
        <v>7.2849315068493148</v>
      </c>
      <c r="F609" s="28"/>
      <c r="G609" s="28"/>
      <c r="H609" s="28"/>
      <c r="I609" s="28"/>
      <c r="J609" s="28"/>
      <c r="L609" s="37">
        <v>851</v>
      </c>
      <c r="M609" s="3">
        <v>83</v>
      </c>
      <c r="N609" s="3">
        <v>199</v>
      </c>
      <c r="O609" s="3">
        <v>66</v>
      </c>
      <c r="P609" s="3">
        <v>315</v>
      </c>
      <c r="Q609" s="3">
        <v>97</v>
      </c>
      <c r="R609" s="3">
        <v>174</v>
      </c>
      <c r="S609" s="3">
        <v>41</v>
      </c>
      <c r="T609" s="3">
        <v>1</v>
      </c>
      <c r="U609" s="3">
        <v>4</v>
      </c>
      <c r="V609" s="3">
        <v>3</v>
      </c>
      <c r="W609" s="3">
        <v>5</v>
      </c>
      <c r="X609" s="3">
        <v>2</v>
      </c>
    </row>
    <row r="610" spans="1:24" x14ac:dyDescent="0.35">
      <c r="A610">
        <v>851</v>
      </c>
      <c r="B610">
        <v>79205</v>
      </c>
      <c r="C610">
        <v>45</v>
      </c>
      <c r="D610">
        <v>0</v>
      </c>
      <c r="E610" s="28">
        <v>7.7479452054794518</v>
      </c>
      <c r="F610" s="28"/>
      <c r="G610" s="28"/>
      <c r="H610" s="28"/>
      <c r="I610" s="28"/>
      <c r="J610" s="28"/>
      <c r="L610" s="38">
        <v>851</v>
      </c>
      <c r="M610" s="2">
        <v>73</v>
      </c>
      <c r="N610" s="2">
        <v>504</v>
      </c>
      <c r="O610" s="2">
        <v>23</v>
      </c>
      <c r="P610" s="2">
        <v>117</v>
      </c>
      <c r="Q610" s="2">
        <v>179</v>
      </c>
      <c r="R610" s="2">
        <v>28</v>
      </c>
      <c r="S610" s="2">
        <v>44</v>
      </c>
      <c r="T610" s="2">
        <v>1</v>
      </c>
      <c r="U610" s="2">
        <v>6</v>
      </c>
      <c r="V610" s="2">
        <v>5</v>
      </c>
      <c r="W610" s="2">
        <v>4</v>
      </c>
      <c r="X610" s="2">
        <v>4</v>
      </c>
    </row>
    <row r="611" spans="1:24" x14ac:dyDescent="0.35">
      <c r="A611">
        <v>850</v>
      </c>
      <c r="B611">
        <v>66294</v>
      </c>
      <c r="C611">
        <v>55</v>
      </c>
      <c r="D611">
        <v>0</v>
      </c>
      <c r="E611" s="28">
        <v>6.2</v>
      </c>
      <c r="F611" s="28"/>
      <c r="G611" s="28"/>
      <c r="H611" s="28"/>
      <c r="I611" s="28"/>
      <c r="J611" s="28"/>
      <c r="L611" s="37">
        <v>850</v>
      </c>
      <c r="M611" s="3">
        <v>68</v>
      </c>
      <c r="N611" s="3">
        <v>251</v>
      </c>
      <c r="O611" s="3">
        <v>108</v>
      </c>
      <c r="P611" s="3">
        <v>334</v>
      </c>
      <c r="Q611" s="3">
        <v>65</v>
      </c>
      <c r="R611" s="3">
        <v>92</v>
      </c>
      <c r="S611" s="3">
        <v>117</v>
      </c>
      <c r="T611" s="3">
        <v>1</v>
      </c>
      <c r="U611" s="3">
        <v>4</v>
      </c>
      <c r="V611" s="3">
        <v>3</v>
      </c>
      <c r="W611" s="3">
        <v>5</v>
      </c>
      <c r="X611" s="3">
        <v>2</v>
      </c>
    </row>
    <row r="612" spans="1:24" x14ac:dyDescent="0.35">
      <c r="A612">
        <v>847</v>
      </c>
      <c r="B612">
        <v>61346</v>
      </c>
      <c r="C612">
        <v>42</v>
      </c>
      <c r="D612">
        <v>1</v>
      </c>
      <c r="E612" s="28">
        <v>6.6438356164383565</v>
      </c>
      <c r="F612" s="28"/>
      <c r="G612" s="28"/>
      <c r="H612" s="28"/>
      <c r="I612" s="28"/>
      <c r="J612" s="28"/>
      <c r="L612" s="38">
        <v>847</v>
      </c>
      <c r="M612" s="2">
        <v>34</v>
      </c>
      <c r="N612" s="2">
        <v>562</v>
      </c>
      <c r="O612" s="2">
        <v>58</v>
      </c>
      <c r="P612" s="2">
        <v>168</v>
      </c>
      <c r="Q612" s="2">
        <v>43</v>
      </c>
      <c r="R612" s="2">
        <v>16</v>
      </c>
      <c r="S612" s="2">
        <v>142</v>
      </c>
      <c r="T612" s="2">
        <v>1</v>
      </c>
      <c r="U612" s="2">
        <v>5</v>
      </c>
      <c r="V612" s="2">
        <v>7</v>
      </c>
      <c r="W612" s="2">
        <v>10</v>
      </c>
      <c r="X612" s="2">
        <v>3</v>
      </c>
    </row>
    <row r="613" spans="1:24" x14ac:dyDescent="0.35">
      <c r="A613">
        <v>846</v>
      </c>
      <c r="B613">
        <v>63381</v>
      </c>
      <c r="C613">
        <v>60</v>
      </c>
      <c r="D613">
        <v>1</v>
      </c>
      <c r="E613" s="28">
        <v>7.646575342465753</v>
      </c>
      <c r="F613" s="28"/>
      <c r="G613" s="28"/>
      <c r="H613" s="28"/>
      <c r="I613" s="28"/>
      <c r="J613" s="28"/>
      <c r="L613" s="37">
        <v>846</v>
      </c>
      <c r="M613" s="3">
        <v>78</v>
      </c>
      <c r="N613" s="3">
        <v>571</v>
      </c>
      <c r="O613" s="3">
        <v>50</v>
      </c>
      <c r="P613" s="3">
        <v>142</v>
      </c>
      <c r="Q613" s="3">
        <v>33</v>
      </c>
      <c r="R613" s="3">
        <v>50</v>
      </c>
      <c r="S613" s="3">
        <v>159</v>
      </c>
      <c r="T613" s="3">
        <v>4</v>
      </c>
      <c r="U613" s="3">
        <v>4</v>
      </c>
      <c r="V613" s="3">
        <v>5</v>
      </c>
      <c r="W613" s="3">
        <v>13</v>
      </c>
      <c r="X613" s="3">
        <v>2</v>
      </c>
    </row>
    <row r="614" spans="1:24" x14ac:dyDescent="0.35">
      <c r="A614">
        <v>845</v>
      </c>
      <c r="B614">
        <v>52413</v>
      </c>
      <c r="C614">
        <v>51</v>
      </c>
      <c r="D614">
        <v>1</v>
      </c>
      <c r="E614" s="28">
        <v>7.3178082191780822</v>
      </c>
      <c r="F614" s="28"/>
      <c r="G614" s="28"/>
      <c r="H614" s="28"/>
      <c r="I614" s="28"/>
      <c r="J614" s="28"/>
      <c r="L614" s="38">
        <v>845</v>
      </c>
      <c r="M614" s="2">
        <v>56</v>
      </c>
      <c r="N614" s="2">
        <v>295</v>
      </c>
      <c r="O614" s="2">
        <v>106</v>
      </c>
      <c r="P614" s="2">
        <v>271</v>
      </c>
      <c r="Q614" s="2">
        <v>75</v>
      </c>
      <c r="R614" s="2">
        <v>98</v>
      </c>
      <c r="S614" s="2">
        <v>65</v>
      </c>
      <c r="T614" s="2">
        <v>4</v>
      </c>
      <c r="U614" s="2">
        <v>6</v>
      </c>
      <c r="V614" s="2">
        <v>4</v>
      </c>
      <c r="W614" s="2">
        <v>12</v>
      </c>
      <c r="X614" s="2">
        <v>6</v>
      </c>
    </row>
    <row r="615" spans="1:24" x14ac:dyDescent="0.35">
      <c r="A615">
        <v>841</v>
      </c>
      <c r="B615">
        <v>48240</v>
      </c>
      <c r="C615">
        <v>51</v>
      </c>
      <c r="D615">
        <v>0</v>
      </c>
      <c r="E615" s="28">
        <v>7.5506849315068489</v>
      </c>
      <c r="F615" s="28"/>
      <c r="G615" s="28"/>
      <c r="H615" s="28"/>
      <c r="I615" s="28"/>
      <c r="J615" s="28"/>
      <c r="L615" s="37">
        <v>841</v>
      </c>
      <c r="M615" s="3">
        <v>73</v>
      </c>
      <c r="N615" s="3">
        <v>389</v>
      </c>
      <c r="O615" s="3">
        <v>91</v>
      </c>
      <c r="P615" s="3">
        <v>248</v>
      </c>
      <c r="Q615" s="3">
        <v>64</v>
      </c>
      <c r="R615" s="3">
        <v>49</v>
      </c>
      <c r="S615" s="3">
        <v>41</v>
      </c>
      <c r="T615" s="3">
        <v>3</v>
      </c>
      <c r="U615" s="3">
        <v>6</v>
      </c>
      <c r="V615" s="3">
        <v>3</v>
      </c>
      <c r="W615" s="3">
        <v>13</v>
      </c>
      <c r="X615" s="3">
        <v>5</v>
      </c>
    </row>
    <row r="616" spans="1:24" x14ac:dyDescent="0.35">
      <c r="A616">
        <v>839</v>
      </c>
      <c r="B616">
        <v>54233</v>
      </c>
      <c r="C616">
        <v>43</v>
      </c>
      <c r="D616">
        <v>1</v>
      </c>
      <c r="E616" s="28">
        <v>7.3123287671232875</v>
      </c>
      <c r="F616" s="28"/>
      <c r="G616" s="28"/>
      <c r="H616" s="28"/>
      <c r="I616" s="28"/>
      <c r="J616" s="28"/>
      <c r="L616" s="38">
        <v>839</v>
      </c>
      <c r="M616" s="2">
        <v>46</v>
      </c>
      <c r="N616" s="2">
        <v>652</v>
      </c>
      <c r="O616" s="2">
        <v>8</v>
      </c>
      <c r="P616" s="2">
        <v>158</v>
      </c>
      <c r="Q616" s="2">
        <v>21</v>
      </c>
      <c r="R616" s="2">
        <v>0</v>
      </c>
      <c r="S616" s="2">
        <v>142</v>
      </c>
      <c r="T616" s="2">
        <v>4</v>
      </c>
      <c r="U616" s="2">
        <v>11</v>
      </c>
      <c r="V616" s="2">
        <v>6</v>
      </c>
      <c r="W616" s="2">
        <v>5</v>
      </c>
      <c r="X616" s="2">
        <v>8</v>
      </c>
    </row>
    <row r="617" spans="1:24" x14ac:dyDescent="0.35">
      <c r="A617">
        <v>838</v>
      </c>
      <c r="B617">
        <v>62772</v>
      </c>
      <c r="C617">
        <v>51</v>
      </c>
      <c r="D617">
        <v>1</v>
      </c>
      <c r="E617" s="28">
        <v>7.0273972602739727</v>
      </c>
      <c r="F617" s="28"/>
      <c r="G617" s="28"/>
      <c r="H617" s="28"/>
      <c r="I617" s="28"/>
      <c r="J617" s="28"/>
      <c r="L617" s="37">
        <v>838</v>
      </c>
      <c r="M617" s="3">
        <v>74</v>
      </c>
      <c r="N617" s="3">
        <v>581</v>
      </c>
      <c r="O617" s="3">
        <v>49</v>
      </c>
      <c r="P617" s="3">
        <v>157</v>
      </c>
      <c r="Q617" s="3">
        <v>43</v>
      </c>
      <c r="R617" s="3">
        <v>8</v>
      </c>
      <c r="S617" s="3">
        <v>108</v>
      </c>
      <c r="T617" s="3">
        <v>1</v>
      </c>
      <c r="U617" s="3">
        <v>5</v>
      </c>
      <c r="V617" s="3">
        <v>6</v>
      </c>
      <c r="W617" s="3">
        <v>11</v>
      </c>
      <c r="X617" s="3">
        <v>2</v>
      </c>
    </row>
    <row r="618" spans="1:24" x14ac:dyDescent="0.35">
      <c r="A618">
        <v>838</v>
      </c>
      <c r="B618">
        <v>68352</v>
      </c>
      <c r="C618">
        <v>46</v>
      </c>
      <c r="D618">
        <v>1</v>
      </c>
      <c r="E618" s="28">
        <v>6.7506849315068491</v>
      </c>
      <c r="F618" s="28"/>
      <c r="G618" s="28"/>
      <c r="H618" s="28"/>
      <c r="I618" s="28"/>
      <c r="J618" s="28"/>
      <c r="L618" s="38">
        <v>838</v>
      </c>
      <c r="M618" s="2">
        <v>47</v>
      </c>
      <c r="N618" s="2">
        <v>614</v>
      </c>
      <c r="O618" s="2">
        <v>16</v>
      </c>
      <c r="P618" s="2">
        <v>132</v>
      </c>
      <c r="Q618" s="2">
        <v>43</v>
      </c>
      <c r="R618" s="2">
        <v>33</v>
      </c>
      <c r="S618" s="2">
        <v>33</v>
      </c>
      <c r="T618" s="2">
        <v>3</v>
      </c>
      <c r="U618" s="2">
        <v>8</v>
      </c>
      <c r="V618" s="2">
        <v>5</v>
      </c>
      <c r="W618" s="2">
        <v>9</v>
      </c>
      <c r="X618" s="2">
        <v>6</v>
      </c>
    </row>
    <row r="619" spans="1:24" x14ac:dyDescent="0.35">
      <c r="A619">
        <v>837</v>
      </c>
      <c r="B619">
        <v>64892</v>
      </c>
      <c r="C619">
        <v>44</v>
      </c>
      <c r="D619">
        <v>1</v>
      </c>
      <c r="E619" s="28">
        <v>6</v>
      </c>
      <c r="F619" s="28"/>
      <c r="G619" s="28"/>
      <c r="H619" s="28"/>
      <c r="I619" s="28"/>
      <c r="J619" s="28"/>
      <c r="L619" s="37">
        <v>837</v>
      </c>
      <c r="M619" s="3">
        <v>77</v>
      </c>
      <c r="N619" s="3">
        <v>527</v>
      </c>
      <c r="O619" s="3">
        <v>24</v>
      </c>
      <c r="P619" s="3">
        <v>230</v>
      </c>
      <c r="Q619" s="3">
        <v>32</v>
      </c>
      <c r="R619" s="3">
        <v>24</v>
      </c>
      <c r="S619" s="3">
        <v>65</v>
      </c>
      <c r="T619" s="3">
        <v>2</v>
      </c>
      <c r="U619" s="3">
        <v>6</v>
      </c>
      <c r="V619" s="3">
        <v>4</v>
      </c>
      <c r="W619" s="3">
        <v>12</v>
      </c>
      <c r="X619" s="3">
        <v>4</v>
      </c>
    </row>
    <row r="620" spans="1:24" x14ac:dyDescent="0.35">
      <c r="A620">
        <v>837</v>
      </c>
      <c r="B620">
        <v>55250</v>
      </c>
      <c r="C620">
        <v>55</v>
      </c>
      <c r="D620">
        <v>1</v>
      </c>
      <c r="E620" s="28">
        <v>7.602739726027397</v>
      </c>
      <c r="F620" s="28"/>
      <c r="G620" s="28"/>
      <c r="H620" s="28"/>
      <c r="I620" s="28"/>
      <c r="J620" s="28"/>
      <c r="L620" s="38">
        <v>837</v>
      </c>
      <c r="M620" s="2">
        <v>49</v>
      </c>
      <c r="N620" s="2">
        <v>664</v>
      </c>
      <c r="O620" s="2">
        <v>58</v>
      </c>
      <c r="P620" s="2">
        <v>83</v>
      </c>
      <c r="Q620" s="2">
        <v>32</v>
      </c>
      <c r="R620" s="2">
        <v>0</v>
      </c>
      <c r="S620" s="2">
        <v>66</v>
      </c>
      <c r="T620" s="2">
        <v>4</v>
      </c>
      <c r="U620" s="2">
        <v>7</v>
      </c>
      <c r="V620" s="2">
        <v>5</v>
      </c>
      <c r="W620" s="2">
        <v>10</v>
      </c>
      <c r="X620" s="2">
        <v>5</v>
      </c>
    </row>
    <row r="621" spans="1:24" x14ac:dyDescent="0.35">
      <c r="A621">
        <v>836</v>
      </c>
      <c r="B621">
        <v>61314</v>
      </c>
      <c r="C621">
        <v>52</v>
      </c>
      <c r="D621">
        <v>1</v>
      </c>
      <c r="E621" s="28">
        <v>7.0931506849315067</v>
      </c>
      <c r="F621" s="28"/>
      <c r="G621" s="28"/>
      <c r="H621" s="28"/>
      <c r="I621" s="28"/>
      <c r="J621" s="28"/>
      <c r="L621" s="37">
        <v>836</v>
      </c>
      <c r="M621" s="3">
        <v>1</v>
      </c>
      <c r="N621" s="3">
        <v>378</v>
      </c>
      <c r="O621" s="3">
        <v>0</v>
      </c>
      <c r="P621" s="3">
        <v>189</v>
      </c>
      <c r="Q621" s="3">
        <v>97</v>
      </c>
      <c r="R621" s="3">
        <v>172</v>
      </c>
      <c r="S621" s="3">
        <v>172</v>
      </c>
      <c r="T621" s="3">
        <v>2</v>
      </c>
      <c r="U621" s="3">
        <v>5</v>
      </c>
      <c r="V621" s="3">
        <v>5</v>
      </c>
      <c r="W621" s="3">
        <v>12</v>
      </c>
      <c r="X621" s="3">
        <v>3</v>
      </c>
    </row>
    <row r="622" spans="1:24" x14ac:dyDescent="0.35">
      <c r="A622">
        <v>835</v>
      </c>
      <c r="B622">
        <v>57959</v>
      </c>
      <c r="C622">
        <v>65</v>
      </c>
      <c r="D622">
        <v>1</v>
      </c>
      <c r="E622" s="28">
        <v>7.0739726027397261</v>
      </c>
      <c r="F622" s="28"/>
      <c r="G622" s="28"/>
      <c r="H622" s="28"/>
      <c r="I622" s="28"/>
      <c r="J622" s="28"/>
      <c r="L622" s="38">
        <v>835</v>
      </c>
      <c r="M622" s="2">
        <v>71</v>
      </c>
      <c r="N622" s="2">
        <v>430</v>
      </c>
      <c r="O622" s="2">
        <v>16</v>
      </c>
      <c r="P622" s="2">
        <v>322</v>
      </c>
      <c r="Q622" s="2">
        <v>43</v>
      </c>
      <c r="R622" s="2">
        <v>24</v>
      </c>
      <c r="S622" s="2">
        <v>33</v>
      </c>
      <c r="T622" s="2">
        <v>5</v>
      </c>
      <c r="U622" s="2">
        <v>4</v>
      </c>
      <c r="V622" s="2">
        <v>7</v>
      </c>
      <c r="W622" s="2">
        <v>11</v>
      </c>
      <c r="X622" s="2">
        <v>3</v>
      </c>
    </row>
    <row r="623" spans="1:24" x14ac:dyDescent="0.35">
      <c r="A623">
        <v>835</v>
      </c>
      <c r="B623">
        <v>79803</v>
      </c>
      <c r="C623">
        <v>62</v>
      </c>
      <c r="D623">
        <v>1</v>
      </c>
      <c r="E623" s="28">
        <v>5.9890410958904106</v>
      </c>
      <c r="F623" s="28"/>
      <c r="G623" s="28"/>
      <c r="H623" s="28"/>
      <c r="I623" s="28"/>
      <c r="J623" s="28"/>
      <c r="L623" s="37">
        <v>835</v>
      </c>
      <c r="M623" s="3">
        <v>54</v>
      </c>
      <c r="N623" s="3">
        <v>574</v>
      </c>
      <c r="O623" s="3">
        <v>8</v>
      </c>
      <c r="P623" s="3">
        <v>216</v>
      </c>
      <c r="Q623" s="3">
        <v>21</v>
      </c>
      <c r="R623" s="3">
        <v>16</v>
      </c>
      <c r="S623" s="3">
        <v>33</v>
      </c>
      <c r="T623" s="3">
        <v>1</v>
      </c>
      <c r="U623" s="3">
        <v>4</v>
      </c>
      <c r="V623" s="3">
        <v>3</v>
      </c>
      <c r="W623" s="3">
        <v>5</v>
      </c>
      <c r="X623" s="3">
        <v>1</v>
      </c>
    </row>
    <row r="624" spans="1:24" x14ac:dyDescent="0.35">
      <c r="A624">
        <v>833</v>
      </c>
      <c r="B624">
        <v>76081</v>
      </c>
      <c r="C624">
        <v>58</v>
      </c>
      <c r="D624">
        <v>0</v>
      </c>
      <c r="E624" s="28">
        <v>6.0164383561643833</v>
      </c>
      <c r="F624" s="28"/>
      <c r="G624" s="28"/>
      <c r="H624" s="28"/>
      <c r="I624" s="28"/>
      <c r="J624" s="28"/>
      <c r="L624" s="38">
        <v>833</v>
      </c>
      <c r="M624" s="2">
        <v>85</v>
      </c>
      <c r="N624" s="2">
        <v>292</v>
      </c>
      <c r="O624" s="2">
        <v>30</v>
      </c>
      <c r="P624" s="2">
        <v>415</v>
      </c>
      <c r="Q624" s="2">
        <v>63</v>
      </c>
      <c r="R624" s="2">
        <v>33</v>
      </c>
      <c r="S624" s="2">
        <v>200</v>
      </c>
      <c r="T624" s="2">
        <v>1</v>
      </c>
      <c r="U624" s="2">
        <v>4</v>
      </c>
      <c r="V624" s="2">
        <v>5</v>
      </c>
      <c r="W624" s="2">
        <v>4</v>
      </c>
      <c r="X624" s="2">
        <v>2</v>
      </c>
    </row>
    <row r="625" spans="1:24" x14ac:dyDescent="0.35">
      <c r="A625">
        <v>833</v>
      </c>
      <c r="B625">
        <v>76624</v>
      </c>
      <c r="C625">
        <v>58</v>
      </c>
      <c r="D625">
        <v>1</v>
      </c>
      <c r="E625" s="28">
        <v>6.0136986301369859</v>
      </c>
      <c r="F625" s="28"/>
      <c r="G625" s="28"/>
      <c r="H625" s="28"/>
      <c r="I625" s="28"/>
      <c r="J625" s="28"/>
      <c r="L625" s="37">
        <v>833</v>
      </c>
      <c r="M625" s="3">
        <v>68</v>
      </c>
      <c r="N625" s="3">
        <v>411</v>
      </c>
      <c r="O625" s="3">
        <v>106</v>
      </c>
      <c r="P625" s="3">
        <v>147</v>
      </c>
      <c r="Q625" s="3">
        <v>54</v>
      </c>
      <c r="R625" s="3">
        <v>115</v>
      </c>
      <c r="S625" s="3">
        <v>66</v>
      </c>
      <c r="T625" s="3">
        <v>1</v>
      </c>
      <c r="U625" s="3">
        <v>5</v>
      </c>
      <c r="V625" s="3">
        <v>10</v>
      </c>
      <c r="W625" s="3">
        <v>7</v>
      </c>
      <c r="X625" s="3">
        <v>1</v>
      </c>
    </row>
    <row r="626" spans="1:24" x14ac:dyDescent="0.35">
      <c r="A626">
        <v>832</v>
      </c>
      <c r="B626">
        <v>49912</v>
      </c>
      <c r="C626">
        <v>71</v>
      </c>
      <c r="D626">
        <v>1</v>
      </c>
      <c r="E626" s="28">
        <v>7.7232876712328764</v>
      </c>
      <c r="F626" s="28"/>
      <c r="G626" s="28"/>
      <c r="H626" s="28"/>
      <c r="I626" s="28"/>
      <c r="J626" s="28"/>
      <c r="L626" s="38">
        <v>832</v>
      </c>
      <c r="M626" s="2">
        <v>5</v>
      </c>
      <c r="N626" s="2">
        <v>520</v>
      </c>
      <c r="O626" s="2">
        <v>8</v>
      </c>
      <c r="P626" s="2">
        <v>223</v>
      </c>
      <c r="Q626" s="2">
        <v>32</v>
      </c>
      <c r="R626" s="2">
        <v>49</v>
      </c>
      <c r="S626" s="2">
        <v>42</v>
      </c>
      <c r="T626" s="2">
        <v>4</v>
      </c>
      <c r="U626" s="2">
        <v>10</v>
      </c>
      <c r="V626" s="2">
        <v>5</v>
      </c>
      <c r="W626" s="2">
        <v>7</v>
      </c>
      <c r="X626" s="2">
        <v>8</v>
      </c>
    </row>
    <row r="627" spans="1:24" x14ac:dyDescent="0.35">
      <c r="A627">
        <v>832</v>
      </c>
      <c r="B627">
        <v>49269</v>
      </c>
      <c r="C627">
        <v>49</v>
      </c>
      <c r="D627">
        <v>1</v>
      </c>
      <c r="E627" s="28">
        <v>7.7863013698630139</v>
      </c>
      <c r="F627" s="28"/>
      <c r="G627" s="28"/>
      <c r="H627" s="28"/>
      <c r="I627" s="28"/>
      <c r="J627" s="28"/>
      <c r="L627" s="37">
        <v>832</v>
      </c>
      <c r="M627" s="3">
        <v>92</v>
      </c>
      <c r="N627" s="3">
        <v>639</v>
      </c>
      <c r="O627" s="3">
        <v>8</v>
      </c>
      <c r="P627" s="3">
        <v>166</v>
      </c>
      <c r="Q627" s="3">
        <v>11</v>
      </c>
      <c r="R627" s="3">
        <v>8</v>
      </c>
      <c r="S627" s="3">
        <v>58</v>
      </c>
      <c r="T627" s="3">
        <v>3</v>
      </c>
      <c r="U627" s="3">
        <v>7</v>
      </c>
      <c r="V627" s="3">
        <v>3</v>
      </c>
      <c r="W627" s="3">
        <v>12</v>
      </c>
      <c r="X627" s="3">
        <v>7</v>
      </c>
    </row>
    <row r="628" spans="1:24" x14ac:dyDescent="0.35">
      <c r="A628">
        <v>832</v>
      </c>
      <c r="B628">
        <v>52852</v>
      </c>
      <c r="C628">
        <v>63</v>
      </c>
      <c r="D628">
        <v>1</v>
      </c>
      <c r="E628" s="28">
        <v>7.4904109589041097</v>
      </c>
      <c r="F628" s="28"/>
      <c r="G628" s="28"/>
      <c r="H628" s="28"/>
      <c r="I628" s="28"/>
      <c r="J628" s="28"/>
      <c r="L628" s="38">
        <v>832</v>
      </c>
      <c r="M628" s="2">
        <v>93</v>
      </c>
      <c r="N628" s="2">
        <v>714</v>
      </c>
      <c r="O628" s="2">
        <v>8</v>
      </c>
      <c r="P628" s="2">
        <v>99</v>
      </c>
      <c r="Q628" s="2">
        <v>11</v>
      </c>
      <c r="R628" s="2">
        <v>0</v>
      </c>
      <c r="S628" s="2">
        <v>47</v>
      </c>
      <c r="T628" s="2">
        <v>4</v>
      </c>
      <c r="U628" s="2">
        <v>10</v>
      </c>
      <c r="V628" s="2">
        <v>7</v>
      </c>
      <c r="W628" s="2">
        <v>5</v>
      </c>
      <c r="X628" s="2">
        <v>8</v>
      </c>
    </row>
    <row r="629" spans="1:24" x14ac:dyDescent="0.35">
      <c r="A629">
        <v>828</v>
      </c>
      <c r="B629">
        <v>76630</v>
      </c>
      <c r="C629">
        <v>37</v>
      </c>
      <c r="D629">
        <v>0</v>
      </c>
      <c r="E629" s="28">
        <v>6.3698630136986303</v>
      </c>
      <c r="F629" s="28"/>
      <c r="G629" s="28"/>
      <c r="H629" s="28"/>
      <c r="I629" s="28"/>
      <c r="J629" s="28"/>
      <c r="L629" s="37">
        <v>828</v>
      </c>
      <c r="M629" s="3">
        <v>93</v>
      </c>
      <c r="N629" s="3">
        <v>255</v>
      </c>
      <c r="O629" s="3">
        <v>31</v>
      </c>
      <c r="P629" s="3">
        <v>446</v>
      </c>
      <c r="Q629" s="3">
        <v>40</v>
      </c>
      <c r="R629" s="3">
        <v>56</v>
      </c>
      <c r="S629" s="3">
        <v>175</v>
      </c>
      <c r="T629" s="3">
        <v>1</v>
      </c>
      <c r="U629" s="3">
        <v>3</v>
      </c>
      <c r="V629" s="3">
        <v>10</v>
      </c>
      <c r="W629" s="3">
        <v>11</v>
      </c>
      <c r="X629" s="3">
        <v>1</v>
      </c>
    </row>
    <row r="630" spans="1:24" x14ac:dyDescent="0.35">
      <c r="A630">
        <v>828</v>
      </c>
      <c r="B630">
        <v>59809</v>
      </c>
      <c r="C630">
        <v>44</v>
      </c>
      <c r="D630">
        <v>1</v>
      </c>
      <c r="E630" s="28">
        <v>7.6109589041095891</v>
      </c>
      <c r="F630" s="28"/>
      <c r="G630" s="28"/>
      <c r="H630" s="28"/>
      <c r="I630" s="28"/>
      <c r="J630" s="28"/>
      <c r="L630" s="38">
        <v>828</v>
      </c>
      <c r="M630" s="2">
        <v>36</v>
      </c>
      <c r="N630" s="2">
        <v>598</v>
      </c>
      <c r="O630" s="2">
        <v>16</v>
      </c>
      <c r="P630" s="2">
        <v>141</v>
      </c>
      <c r="Q630" s="2">
        <v>32</v>
      </c>
      <c r="R630" s="2">
        <v>41</v>
      </c>
      <c r="S630" s="2">
        <v>49</v>
      </c>
      <c r="T630" s="2">
        <v>3</v>
      </c>
      <c r="U630" s="2">
        <v>3</v>
      </c>
      <c r="V630" s="2">
        <v>3</v>
      </c>
      <c r="W630" s="2">
        <v>6</v>
      </c>
      <c r="X630" s="2">
        <v>8</v>
      </c>
    </row>
    <row r="631" spans="1:24" x14ac:dyDescent="0.35">
      <c r="A631">
        <v>827</v>
      </c>
      <c r="B631">
        <v>60597</v>
      </c>
      <c r="C631">
        <v>56</v>
      </c>
      <c r="D631">
        <v>1</v>
      </c>
      <c r="E631" s="28">
        <v>6.4054794520547942</v>
      </c>
      <c r="F631" s="28"/>
      <c r="G631" s="28"/>
      <c r="H631" s="28"/>
      <c r="I631" s="28"/>
      <c r="J631" s="28"/>
      <c r="L631" s="37">
        <v>827</v>
      </c>
      <c r="M631" s="3">
        <v>2</v>
      </c>
      <c r="N631" s="3">
        <v>522</v>
      </c>
      <c r="O631" s="3">
        <v>0</v>
      </c>
      <c r="P631" s="3">
        <v>257</v>
      </c>
      <c r="Q631" s="3">
        <v>32</v>
      </c>
      <c r="R631" s="3">
        <v>16</v>
      </c>
      <c r="S631" s="3">
        <v>66</v>
      </c>
      <c r="T631" s="3">
        <v>4</v>
      </c>
      <c r="U631" s="3">
        <v>2</v>
      </c>
      <c r="V631" s="3">
        <v>2</v>
      </c>
      <c r="W631" s="3">
        <v>8</v>
      </c>
      <c r="X631" s="3">
        <v>7</v>
      </c>
    </row>
    <row r="632" spans="1:24" x14ac:dyDescent="0.35">
      <c r="A632">
        <v>827</v>
      </c>
      <c r="B632">
        <v>71113</v>
      </c>
      <c r="C632">
        <v>63</v>
      </c>
      <c r="D632">
        <v>1</v>
      </c>
      <c r="E632" s="28">
        <v>6.4465753424657537</v>
      </c>
      <c r="F632" s="28"/>
      <c r="G632" s="28"/>
      <c r="H632" s="28"/>
      <c r="I632" s="28"/>
      <c r="J632" s="28"/>
      <c r="L632" s="38">
        <v>827</v>
      </c>
      <c r="M632" s="2">
        <v>95</v>
      </c>
      <c r="N632" s="2">
        <v>495</v>
      </c>
      <c r="O632" s="2">
        <v>33</v>
      </c>
      <c r="P632" s="2">
        <v>255</v>
      </c>
      <c r="Q632" s="2">
        <v>11</v>
      </c>
      <c r="R632" s="2">
        <v>33</v>
      </c>
      <c r="S632" s="2">
        <v>8</v>
      </c>
      <c r="T632" s="2">
        <v>4</v>
      </c>
      <c r="U632" s="2">
        <v>6</v>
      </c>
      <c r="V632" s="2">
        <v>7</v>
      </c>
      <c r="W632" s="2">
        <v>9</v>
      </c>
      <c r="X632" s="2">
        <v>4</v>
      </c>
    </row>
    <row r="633" spans="1:24" x14ac:dyDescent="0.35">
      <c r="A633">
        <v>826</v>
      </c>
      <c r="B633">
        <v>69661</v>
      </c>
      <c r="C633">
        <v>40</v>
      </c>
      <c r="D633">
        <v>0</v>
      </c>
      <c r="E633" s="28">
        <v>6.043835616438356</v>
      </c>
      <c r="F633" s="28"/>
      <c r="G633" s="28"/>
      <c r="H633" s="28"/>
      <c r="I633" s="28"/>
      <c r="J633" s="28"/>
      <c r="L633" s="37">
        <v>826</v>
      </c>
      <c r="M633" s="3">
        <v>80</v>
      </c>
      <c r="N633" s="3">
        <v>656</v>
      </c>
      <c r="O633" s="3">
        <v>16</v>
      </c>
      <c r="P633" s="3">
        <v>106</v>
      </c>
      <c r="Q633" s="3">
        <v>32</v>
      </c>
      <c r="R633" s="3">
        <v>16</v>
      </c>
      <c r="S633" s="3">
        <v>8</v>
      </c>
      <c r="T633" s="3">
        <v>1</v>
      </c>
      <c r="U633" s="3">
        <v>7</v>
      </c>
      <c r="V633" s="3">
        <v>3</v>
      </c>
      <c r="W633" s="3">
        <v>12</v>
      </c>
      <c r="X633" s="3">
        <v>3</v>
      </c>
    </row>
    <row r="634" spans="1:24" x14ac:dyDescent="0.35">
      <c r="A634">
        <v>825</v>
      </c>
      <c r="B634">
        <v>53977</v>
      </c>
      <c r="C634">
        <v>62</v>
      </c>
      <c r="D634">
        <v>1</v>
      </c>
      <c r="E634" s="28">
        <v>6.9726027397260273</v>
      </c>
      <c r="F634" s="28"/>
      <c r="G634" s="28"/>
      <c r="H634" s="28"/>
      <c r="I634" s="28"/>
      <c r="J634" s="28"/>
      <c r="L634" s="38">
        <v>825</v>
      </c>
      <c r="M634" s="2">
        <v>21</v>
      </c>
      <c r="N634" s="2">
        <v>620</v>
      </c>
      <c r="O634" s="2">
        <v>16</v>
      </c>
      <c r="P634" s="2">
        <v>165</v>
      </c>
      <c r="Q634" s="2">
        <v>0</v>
      </c>
      <c r="R634" s="2">
        <v>24</v>
      </c>
      <c r="S634" s="2">
        <v>82</v>
      </c>
      <c r="T634" s="2">
        <v>5</v>
      </c>
      <c r="U634" s="2">
        <v>5</v>
      </c>
      <c r="V634" s="2">
        <v>5</v>
      </c>
      <c r="W634" s="2">
        <v>12</v>
      </c>
      <c r="X634" s="2">
        <v>5</v>
      </c>
    </row>
    <row r="635" spans="1:24" x14ac:dyDescent="0.35">
      <c r="A635">
        <v>821</v>
      </c>
      <c r="B635">
        <v>69674</v>
      </c>
      <c r="C635">
        <v>52</v>
      </c>
      <c r="D635">
        <v>1</v>
      </c>
      <c r="E635" s="28">
        <v>7.0191780821917806</v>
      </c>
      <c r="F635" s="28"/>
      <c r="G635" s="28"/>
      <c r="H635" s="28"/>
      <c r="I635" s="28"/>
      <c r="J635" s="28"/>
      <c r="L635" s="37">
        <v>821</v>
      </c>
      <c r="M635" s="3">
        <v>46</v>
      </c>
      <c r="N635" s="3">
        <v>554</v>
      </c>
      <c r="O635" s="3">
        <v>41</v>
      </c>
      <c r="P635" s="3">
        <v>215</v>
      </c>
      <c r="Q635" s="3">
        <v>11</v>
      </c>
      <c r="R635" s="3">
        <v>0</v>
      </c>
      <c r="S635" s="3">
        <v>24</v>
      </c>
      <c r="T635" s="3">
        <v>3</v>
      </c>
      <c r="U635" s="3">
        <v>10</v>
      </c>
      <c r="V635" s="3">
        <v>2</v>
      </c>
      <c r="W635" s="3">
        <v>10</v>
      </c>
      <c r="X635" s="3">
        <v>5</v>
      </c>
    </row>
    <row r="636" spans="1:24" x14ac:dyDescent="0.35">
      <c r="A636">
        <v>819</v>
      </c>
      <c r="B636">
        <v>60934</v>
      </c>
      <c r="C636">
        <v>45</v>
      </c>
      <c r="D636">
        <v>1</v>
      </c>
      <c r="E636" s="28">
        <v>6.3616438356164382</v>
      </c>
      <c r="F636" s="28"/>
      <c r="G636" s="28"/>
      <c r="H636" s="28"/>
      <c r="I636" s="28"/>
      <c r="J636" s="28"/>
      <c r="L636" s="38">
        <v>819</v>
      </c>
      <c r="M636" s="2">
        <v>41</v>
      </c>
      <c r="N636" s="2">
        <v>224</v>
      </c>
      <c r="O636" s="2">
        <v>155</v>
      </c>
      <c r="P636" s="2">
        <v>155</v>
      </c>
      <c r="Q636" s="2">
        <v>192</v>
      </c>
      <c r="R636" s="2">
        <v>93</v>
      </c>
      <c r="S636" s="2">
        <v>54</v>
      </c>
      <c r="T636" s="2">
        <v>2</v>
      </c>
      <c r="U636" s="2">
        <v>6</v>
      </c>
      <c r="V636" s="2">
        <v>4</v>
      </c>
      <c r="W636" s="2">
        <v>11</v>
      </c>
      <c r="X636" s="2">
        <v>4</v>
      </c>
    </row>
    <row r="637" spans="1:24" x14ac:dyDescent="0.35">
      <c r="A637">
        <v>818</v>
      </c>
      <c r="B637">
        <v>66825</v>
      </c>
      <c r="C637">
        <v>53</v>
      </c>
      <c r="D637">
        <v>0</v>
      </c>
      <c r="E637" s="28">
        <v>6.8739726027397259</v>
      </c>
      <c r="F637" s="28"/>
      <c r="G637" s="28"/>
      <c r="H637" s="28"/>
      <c r="I637" s="28"/>
      <c r="J637" s="28"/>
      <c r="L637" s="37">
        <v>818</v>
      </c>
      <c r="M637" s="3">
        <v>73</v>
      </c>
      <c r="N637" s="3">
        <v>243</v>
      </c>
      <c r="O637" s="3">
        <v>101</v>
      </c>
      <c r="P637" s="3">
        <v>405</v>
      </c>
      <c r="Q637" s="3">
        <v>29</v>
      </c>
      <c r="R637" s="3">
        <v>40</v>
      </c>
      <c r="S637" s="3">
        <v>40</v>
      </c>
      <c r="T637" s="3">
        <v>1</v>
      </c>
      <c r="U637" s="3">
        <v>4</v>
      </c>
      <c r="V637" s="3">
        <v>5</v>
      </c>
      <c r="W637" s="3">
        <v>6</v>
      </c>
      <c r="X637" s="3">
        <v>2</v>
      </c>
    </row>
    <row r="638" spans="1:24" x14ac:dyDescent="0.35">
      <c r="A638">
        <v>810</v>
      </c>
      <c r="B638">
        <v>79941</v>
      </c>
      <c r="C638">
        <v>44</v>
      </c>
      <c r="D638">
        <v>0</v>
      </c>
      <c r="E638" s="28">
        <v>5.9178082191780819</v>
      </c>
      <c r="F638" s="28"/>
      <c r="G638" s="28"/>
      <c r="H638" s="28"/>
      <c r="I638" s="28"/>
      <c r="J638" s="28"/>
      <c r="L638" s="38">
        <v>810</v>
      </c>
      <c r="M638" s="2">
        <v>72</v>
      </c>
      <c r="N638" s="2">
        <v>123</v>
      </c>
      <c r="O638" s="2">
        <v>164</v>
      </c>
      <c r="P638" s="2">
        <v>266</v>
      </c>
      <c r="Q638" s="2">
        <v>227</v>
      </c>
      <c r="R638" s="2">
        <v>30</v>
      </c>
      <c r="S638" s="2">
        <v>174</v>
      </c>
      <c r="T638" s="2">
        <v>1</v>
      </c>
      <c r="U638" s="2">
        <v>2</v>
      </c>
      <c r="V638" s="2">
        <v>4</v>
      </c>
      <c r="W638" s="2">
        <v>9</v>
      </c>
      <c r="X638" s="2">
        <v>1</v>
      </c>
    </row>
    <row r="639" spans="1:24" x14ac:dyDescent="0.35">
      <c r="A639">
        <v>810</v>
      </c>
      <c r="B639">
        <v>64191</v>
      </c>
      <c r="C639">
        <v>57</v>
      </c>
      <c r="D639">
        <v>1</v>
      </c>
      <c r="E639" s="28">
        <v>7.3479452054794523</v>
      </c>
      <c r="F639" s="28"/>
      <c r="G639" s="28"/>
      <c r="H639" s="28"/>
      <c r="I639" s="28"/>
      <c r="J639" s="28"/>
      <c r="L639" s="37">
        <v>810</v>
      </c>
      <c r="M639" s="3">
        <v>30</v>
      </c>
      <c r="N639" s="3">
        <v>420</v>
      </c>
      <c r="O639" s="3">
        <v>15</v>
      </c>
      <c r="P639" s="3">
        <v>186</v>
      </c>
      <c r="Q639" s="3">
        <v>151</v>
      </c>
      <c r="R639" s="3">
        <v>38</v>
      </c>
      <c r="S639" s="3">
        <v>15</v>
      </c>
      <c r="T639" s="3">
        <v>3</v>
      </c>
      <c r="U639" s="3">
        <v>5</v>
      </c>
      <c r="V639" s="3">
        <v>3</v>
      </c>
      <c r="W639" s="3">
        <v>13</v>
      </c>
      <c r="X639" s="3">
        <v>3</v>
      </c>
    </row>
    <row r="640" spans="1:24" x14ac:dyDescent="0.35">
      <c r="A640">
        <v>810</v>
      </c>
      <c r="B640">
        <v>75315</v>
      </c>
      <c r="C640">
        <v>66</v>
      </c>
      <c r="D640">
        <v>1</v>
      </c>
      <c r="E640" s="28">
        <v>6.1205479452054794</v>
      </c>
      <c r="F640" s="28"/>
      <c r="G640" s="28"/>
      <c r="H640" s="28"/>
      <c r="I640" s="28"/>
      <c r="J640" s="28"/>
      <c r="L640" s="38">
        <v>810</v>
      </c>
      <c r="M640" s="2">
        <v>14</v>
      </c>
      <c r="N640" s="2">
        <v>459</v>
      </c>
      <c r="O640" s="2">
        <v>15</v>
      </c>
      <c r="P640" s="2">
        <v>171</v>
      </c>
      <c r="Q640" s="2">
        <v>142</v>
      </c>
      <c r="R640" s="2">
        <v>23</v>
      </c>
      <c r="S640" s="2">
        <v>31</v>
      </c>
      <c r="T640" s="2">
        <v>2</v>
      </c>
      <c r="U640" s="2">
        <v>5</v>
      </c>
      <c r="V640" s="2">
        <v>4</v>
      </c>
      <c r="W640" s="2">
        <v>12</v>
      </c>
      <c r="X640" s="2">
        <v>2</v>
      </c>
    </row>
    <row r="641" spans="1:24" x14ac:dyDescent="0.35">
      <c r="A641">
        <v>809</v>
      </c>
      <c r="B641">
        <v>34445</v>
      </c>
      <c r="C641">
        <v>39</v>
      </c>
      <c r="D641">
        <v>0</v>
      </c>
      <c r="E641" s="28">
        <v>7.3342465753424655</v>
      </c>
      <c r="F641" s="28"/>
      <c r="G641" s="28"/>
      <c r="H641" s="28"/>
      <c r="I641" s="28"/>
      <c r="J641" s="28"/>
      <c r="L641" s="37">
        <v>809</v>
      </c>
      <c r="M641" s="3">
        <v>92</v>
      </c>
      <c r="N641" s="3">
        <v>228</v>
      </c>
      <c r="O641" s="3">
        <v>122</v>
      </c>
      <c r="P641" s="3">
        <v>122</v>
      </c>
      <c r="Q641" s="3">
        <v>208</v>
      </c>
      <c r="R641" s="3">
        <v>129</v>
      </c>
      <c r="S641" s="3">
        <v>30</v>
      </c>
      <c r="T641" s="3">
        <v>6</v>
      </c>
      <c r="U641" s="3">
        <v>11</v>
      </c>
      <c r="V641" s="3">
        <v>2</v>
      </c>
      <c r="W641" s="3">
        <v>8</v>
      </c>
      <c r="X641" s="3">
        <v>9</v>
      </c>
    </row>
    <row r="642" spans="1:24" x14ac:dyDescent="0.35">
      <c r="A642">
        <v>808</v>
      </c>
      <c r="B642">
        <v>69627</v>
      </c>
      <c r="C642">
        <v>58</v>
      </c>
      <c r="D642">
        <v>1</v>
      </c>
      <c r="E642" s="28">
        <v>7.2</v>
      </c>
      <c r="F642" s="28"/>
      <c r="G642" s="28"/>
      <c r="H642" s="28"/>
      <c r="I642" s="28"/>
      <c r="J642" s="28"/>
      <c r="L642" s="38">
        <v>808</v>
      </c>
      <c r="M642" s="2">
        <v>35</v>
      </c>
      <c r="N642" s="2">
        <v>231</v>
      </c>
      <c r="O642" s="2">
        <v>161</v>
      </c>
      <c r="P642" s="2">
        <v>215</v>
      </c>
      <c r="Q642" s="2">
        <v>171</v>
      </c>
      <c r="R642" s="2">
        <v>30</v>
      </c>
      <c r="S642" s="2">
        <v>53</v>
      </c>
      <c r="T642" s="2">
        <v>2</v>
      </c>
      <c r="U642" s="2">
        <v>8</v>
      </c>
      <c r="V642" s="2">
        <v>2</v>
      </c>
      <c r="W642" s="2">
        <v>11</v>
      </c>
      <c r="X642" s="2">
        <v>5</v>
      </c>
    </row>
    <row r="643" spans="1:24" x14ac:dyDescent="0.35">
      <c r="A643">
        <v>807</v>
      </c>
      <c r="B643">
        <v>62204</v>
      </c>
      <c r="C643">
        <v>60</v>
      </c>
      <c r="D643">
        <v>1</v>
      </c>
      <c r="E643" s="28">
        <v>7.7095890410958905</v>
      </c>
      <c r="F643" s="28"/>
      <c r="G643" s="28"/>
      <c r="H643" s="28"/>
      <c r="I643" s="28"/>
      <c r="J643" s="28"/>
      <c r="L643" s="37">
        <v>807</v>
      </c>
      <c r="M643" s="3">
        <v>38</v>
      </c>
      <c r="N643" s="3">
        <v>317</v>
      </c>
      <c r="O643" s="3">
        <v>46</v>
      </c>
      <c r="P643" s="3">
        <v>247</v>
      </c>
      <c r="Q643" s="3">
        <v>151</v>
      </c>
      <c r="R643" s="3">
        <v>46</v>
      </c>
      <c r="S643" s="3">
        <v>139</v>
      </c>
      <c r="T643" s="3">
        <v>1</v>
      </c>
      <c r="U643" s="3">
        <v>4</v>
      </c>
      <c r="V643" s="3">
        <v>5</v>
      </c>
      <c r="W643" s="3">
        <v>12</v>
      </c>
      <c r="X643" s="3">
        <v>3</v>
      </c>
    </row>
    <row r="644" spans="1:24" x14ac:dyDescent="0.35">
      <c r="A644">
        <v>807</v>
      </c>
      <c r="B644">
        <v>89058</v>
      </c>
      <c r="C644">
        <v>60</v>
      </c>
      <c r="D644">
        <v>0</v>
      </c>
      <c r="E644" s="28">
        <v>7.4739726027397264</v>
      </c>
      <c r="F644" s="28"/>
      <c r="G644" s="28"/>
      <c r="H644" s="28"/>
      <c r="I644" s="28"/>
      <c r="J644" s="28"/>
      <c r="L644" s="38">
        <v>807</v>
      </c>
      <c r="M644" s="2">
        <v>18</v>
      </c>
      <c r="N644" s="2">
        <v>454</v>
      </c>
      <c r="O644" s="2">
        <v>194</v>
      </c>
      <c r="P644" s="2">
        <v>106</v>
      </c>
      <c r="Q644" s="2">
        <v>31</v>
      </c>
      <c r="R644" s="2">
        <v>22</v>
      </c>
      <c r="S644" s="2">
        <v>43</v>
      </c>
      <c r="T644" s="2">
        <v>1</v>
      </c>
      <c r="U644" s="2">
        <v>5</v>
      </c>
      <c r="V644" s="2">
        <v>4</v>
      </c>
      <c r="W644" s="2">
        <v>4</v>
      </c>
      <c r="X644" s="2">
        <v>2</v>
      </c>
    </row>
    <row r="645" spans="1:24" x14ac:dyDescent="0.35">
      <c r="A645">
        <v>806</v>
      </c>
      <c r="B645">
        <v>62466</v>
      </c>
      <c r="C645">
        <v>50</v>
      </c>
      <c r="D645">
        <v>1</v>
      </c>
      <c r="E645" s="28">
        <v>6.3671232876712329</v>
      </c>
      <c r="F645" s="28"/>
      <c r="G645" s="28"/>
      <c r="H645" s="28"/>
      <c r="I645" s="28"/>
      <c r="J645" s="28"/>
      <c r="L645" s="37">
        <v>806</v>
      </c>
      <c r="M645" s="3">
        <v>13</v>
      </c>
      <c r="N645" s="3">
        <v>129</v>
      </c>
      <c r="O645" s="3">
        <v>129</v>
      </c>
      <c r="P645" s="3">
        <v>259</v>
      </c>
      <c r="Q645" s="3">
        <v>168</v>
      </c>
      <c r="R645" s="3">
        <v>121</v>
      </c>
      <c r="S645" s="3">
        <v>83</v>
      </c>
      <c r="T645" s="3">
        <v>5</v>
      </c>
      <c r="U645" s="3">
        <v>6</v>
      </c>
      <c r="V645" s="3">
        <v>3</v>
      </c>
      <c r="W645" s="3">
        <v>12</v>
      </c>
      <c r="X645" s="3">
        <v>4</v>
      </c>
    </row>
    <row r="646" spans="1:24" x14ac:dyDescent="0.35">
      <c r="A646">
        <v>806</v>
      </c>
      <c r="B646">
        <v>55434</v>
      </c>
      <c r="C646">
        <v>36</v>
      </c>
      <c r="D646">
        <v>1</v>
      </c>
      <c r="E646" s="28">
        <v>6.646575342465753</v>
      </c>
      <c r="F646" s="28"/>
      <c r="G646" s="28"/>
      <c r="H646" s="28"/>
      <c r="I646" s="28"/>
      <c r="J646" s="28"/>
      <c r="L646" s="38">
        <v>806</v>
      </c>
      <c r="M646" s="2">
        <v>21</v>
      </c>
      <c r="N646" s="2">
        <v>238</v>
      </c>
      <c r="O646" s="2">
        <v>115</v>
      </c>
      <c r="P646" s="2">
        <v>215</v>
      </c>
      <c r="Q646" s="2">
        <v>169</v>
      </c>
      <c r="R646" s="2">
        <v>69</v>
      </c>
      <c r="S646" s="2">
        <v>76</v>
      </c>
      <c r="T646" s="2">
        <v>3</v>
      </c>
      <c r="U646" s="2">
        <v>5</v>
      </c>
      <c r="V646" s="2">
        <v>3</v>
      </c>
      <c r="W646" s="2">
        <v>13</v>
      </c>
      <c r="X646" s="2">
        <v>4</v>
      </c>
    </row>
    <row r="647" spans="1:24" x14ac:dyDescent="0.35">
      <c r="A647">
        <v>804</v>
      </c>
      <c r="B647">
        <v>70165</v>
      </c>
      <c r="C647">
        <v>71</v>
      </c>
      <c r="D647">
        <v>0</v>
      </c>
      <c r="E647" s="28">
        <v>6.6821917808219178</v>
      </c>
      <c r="F647" s="28"/>
      <c r="G647" s="28"/>
      <c r="H647" s="28"/>
      <c r="I647" s="28"/>
      <c r="J647" s="28"/>
      <c r="L647" s="37">
        <v>804</v>
      </c>
      <c r="M647" s="3">
        <v>60</v>
      </c>
      <c r="N647" s="3">
        <v>161</v>
      </c>
      <c r="O647" s="3">
        <v>0</v>
      </c>
      <c r="P647" s="3">
        <v>253</v>
      </c>
      <c r="Q647" s="3">
        <v>199</v>
      </c>
      <c r="R647" s="3">
        <v>191</v>
      </c>
      <c r="S647" s="3">
        <v>122</v>
      </c>
      <c r="T647" s="3">
        <v>1</v>
      </c>
      <c r="U647" s="3">
        <v>3</v>
      </c>
      <c r="V647" s="3">
        <v>7</v>
      </c>
      <c r="W647" s="3">
        <v>11</v>
      </c>
      <c r="X647" s="3">
        <v>1</v>
      </c>
    </row>
    <row r="648" spans="1:24" x14ac:dyDescent="0.35">
      <c r="A648">
        <v>803</v>
      </c>
      <c r="B648">
        <v>77882</v>
      </c>
      <c r="C648">
        <v>39</v>
      </c>
      <c r="D648">
        <v>0</v>
      </c>
      <c r="E648" s="28">
        <v>6.0794520547945208</v>
      </c>
      <c r="F648" s="28"/>
      <c r="G648" s="28"/>
      <c r="H648" s="28"/>
      <c r="I648" s="28"/>
      <c r="J648" s="28"/>
      <c r="L648" s="38">
        <v>803</v>
      </c>
      <c r="M648" s="2">
        <v>29</v>
      </c>
      <c r="N648" s="2">
        <v>68</v>
      </c>
      <c r="O648" s="2">
        <v>129</v>
      </c>
      <c r="P648" s="2">
        <v>396</v>
      </c>
      <c r="Q648" s="2">
        <v>188</v>
      </c>
      <c r="R648" s="2">
        <v>22</v>
      </c>
      <c r="S648" s="2">
        <v>15</v>
      </c>
      <c r="T648" s="2">
        <v>1</v>
      </c>
      <c r="U648" s="2">
        <v>3</v>
      </c>
      <c r="V648" s="2">
        <v>3</v>
      </c>
      <c r="W648" s="2">
        <v>5</v>
      </c>
      <c r="X648" s="2">
        <v>1</v>
      </c>
    </row>
    <row r="649" spans="1:24" x14ac:dyDescent="0.35">
      <c r="A649">
        <v>801</v>
      </c>
      <c r="B649">
        <v>69755</v>
      </c>
      <c r="C649">
        <v>75</v>
      </c>
      <c r="D649">
        <v>0</v>
      </c>
      <c r="E649" s="28">
        <v>6.6547945205479451</v>
      </c>
      <c r="F649" s="28"/>
      <c r="G649" s="28"/>
      <c r="H649" s="28"/>
      <c r="I649" s="28"/>
      <c r="J649" s="28"/>
      <c r="L649" s="37">
        <v>801</v>
      </c>
      <c r="M649" s="3">
        <v>23</v>
      </c>
      <c r="N649" s="3">
        <v>217</v>
      </c>
      <c r="O649" s="3">
        <v>77</v>
      </c>
      <c r="P649" s="3">
        <v>373</v>
      </c>
      <c r="Q649" s="3">
        <v>111</v>
      </c>
      <c r="R649" s="3">
        <v>23</v>
      </c>
      <c r="S649" s="3">
        <v>93</v>
      </c>
      <c r="T649" s="3">
        <v>1</v>
      </c>
      <c r="U649" s="3">
        <v>3</v>
      </c>
      <c r="V649" s="3">
        <v>6</v>
      </c>
      <c r="W649" s="3">
        <v>12</v>
      </c>
      <c r="X649" s="3">
        <v>1</v>
      </c>
    </row>
    <row r="650" spans="1:24" x14ac:dyDescent="0.35">
      <c r="A650">
        <v>801</v>
      </c>
      <c r="B650">
        <v>83891</v>
      </c>
      <c r="C650">
        <v>46</v>
      </c>
      <c r="D650">
        <v>1</v>
      </c>
      <c r="E650" s="28">
        <v>5.9397260273972599</v>
      </c>
      <c r="F650" s="28"/>
      <c r="G650" s="28"/>
      <c r="H650" s="28"/>
      <c r="I650" s="28"/>
      <c r="J650" s="28"/>
      <c r="L650" s="38">
        <v>801</v>
      </c>
      <c r="M650" s="2">
        <v>24</v>
      </c>
      <c r="N650" s="2">
        <v>217</v>
      </c>
      <c r="O650" s="2">
        <v>38</v>
      </c>
      <c r="P650" s="2">
        <v>350</v>
      </c>
      <c r="Q650" s="2">
        <v>111</v>
      </c>
      <c r="R650" s="2">
        <v>85</v>
      </c>
      <c r="S650" s="2">
        <v>15</v>
      </c>
      <c r="T650" s="2">
        <v>1</v>
      </c>
      <c r="U650" s="2">
        <v>4</v>
      </c>
      <c r="V650" s="2">
        <v>7</v>
      </c>
      <c r="W650" s="2">
        <v>10</v>
      </c>
      <c r="X650" s="2">
        <v>1</v>
      </c>
    </row>
    <row r="651" spans="1:24" x14ac:dyDescent="0.35">
      <c r="A651">
        <v>801</v>
      </c>
      <c r="B651">
        <v>75903</v>
      </c>
      <c r="C651">
        <v>69</v>
      </c>
      <c r="D651">
        <v>1</v>
      </c>
      <c r="E651" s="28">
        <v>7.13972602739726</v>
      </c>
      <c r="F651" s="28"/>
      <c r="G651" s="28"/>
      <c r="H651" s="28"/>
      <c r="I651" s="28"/>
      <c r="J651" s="28"/>
      <c r="L651" s="37">
        <v>801</v>
      </c>
      <c r="M651" s="3">
        <v>50</v>
      </c>
      <c r="N651" s="3">
        <v>340</v>
      </c>
      <c r="O651" s="3">
        <v>108</v>
      </c>
      <c r="P651" s="3">
        <v>185</v>
      </c>
      <c r="Q651" s="3">
        <v>130</v>
      </c>
      <c r="R651" s="3">
        <v>38</v>
      </c>
      <c r="S651" s="3">
        <v>100</v>
      </c>
      <c r="T651" s="3">
        <v>2</v>
      </c>
      <c r="U651" s="3">
        <v>6</v>
      </c>
      <c r="V651" s="3">
        <v>6</v>
      </c>
      <c r="W651" s="3">
        <v>9</v>
      </c>
      <c r="X651" s="3">
        <v>3</v>
      </c>
    </row>
    <row r="652" spans="1:24" x14ac:dyDescent="0.35">
      <c r="A652">
        <v>796</v>
      </c>
      <c r="B652">
        <v>60554</v>
      </c>
      <c r="C652">
        <v>45</v>
      </c>
      <c r="D652">
        <v>1</v>
      </c>
      <c r="E652" s="28">
        <v>6.8027397260273972</v>
      </c>
      <c r="F652" s="28"/>
      <c r="G652" s="28"/>
      <c r="H652" s="28"/>
      <c r="I652" s="28"/>
      <c r="J652" s="28"/>
      <c r="L652" s="38">
        <v>796</v>
      </c>
      <c r="M652" s="2">
        <v>8</v>
      </c>
      <c r="N652" s="2">
        <v>588</v>
      </c>
      <c r="O652" s="2">
        <v>7</v>
      </c>
      <c r="P652" s="2">
        <v>76</v>
      </c>
      <c r="Q652" s="2">
        <v>110</v>
      </c>
      <c r="R652" s="2">
        <v>15</v>
      </c>
      <c r="S652" s="2">
        <v>15</v>
      </c>
      <c r="T652" s="2">
        <v>2</v>
      </c>
      <c r="U652" s="2">
        <v>8</v>
      </c>
      <c r="V652" s="2">
        <v>4</v>
      </c>
      <c r="W652" s="2">
        <v>9</v>
      </c>
      <c r="X652" s="2">
        <v>6</v>
      </c>
    </row>
    <row r="653" spans="1:24" x14ac:dyDescent="0.35">
      <c r="A653">
        <v>795</v>
      </c>
      <c r="B653">
        <v>60714</v>
      </c>
      <c r="C653">
        <v>64</v>
      </c>
      <c r="D653">
        <v>0</v>
      </c>
      <c r="E653" s="28">
        <v>7.3616438356164382</v>
      </c>
      <c r="F653" s="28"/>
      <c r="G653" s="28"/>
      <c r="H653" s="28"/>
      <c r="I653" s="28"/>
      <c r="J653" s="28"/>
      <c r="L653" s="37">
        <v>795</v>
      </c>
      <c r="M653" s="3">
        <v>56</v>
      </c>
      <c r="N653" s="3">
        <v>216</v>
      </c>
      <c r="O653" s="3">
        <v>162</v>
      </c>
      <c r="P653" s="3">
        <v>224</v>
      </c>
      <c r="Q653" s="3">
        <v>101</v>
      </c>
      <c r="R653" s="3">
        <v>92</v>
      </c>
      <c r="S653" s="3">
        <v>162</v>
      </c>
      <c r="T653" s="3">
        <v>2</v>
      </c>
      <c r="U653" s="3">
        <v>7</v>
      </c>
      <c r="V653" s="3">
        <v>4</v>
      </c>
      <c r="W653" s="3">
        <v>10</v>
      </c>
      <c r="X653" s="3">
        <v>5</v>
      </c>
    </row>
    <row r="654" spans="1:24" x14ac:dyDescent="0.35">
      <c r="A654">
        <v>795</v>
      </c>
      <c r="B654">
        <v>73807</v>
      </c>
      <c r="C654">
        <v>42</v>
      </c>
      <c r="D654">
        <v>1</v>
      </c>
      <c r="E654" s="28">
        <v>7.4027397260273968</v>
      </c>
      <c r="F654" s="28"/>
      <c r="G654" s="28"/>
      <c r="H654" s="28"/>
      <c r="I654" s="28"/>
      <c r="J654" s="28"/>
      <c r="L654" s="38">
        <v>795</v>
      </c>
      <c r="M654" s="2">
        <v>88</v>
      </c>
      <c r="N654" s="2">
        <v>366</v>
      </c>
      <c r="O654" s="2">
        <v>124</v>
      </c>
      <c r="P654" s="2">
        <v>156</v>
      </c>
      <c r="Q654" s="2">
        <v>71</v>
      </c>
      <c r="R654" s="2">
        <v>78</v>
      </c>
      <c r="S654" s="2">
        <v>54</v>
      </c>
      <c r="T654" s="2">
        <v>2</v>
      </c>
      <c r="U654" s="2">
        <v>5</v>
      </c>
      <c r="V654" s="2">
        <v>5</v>
      </c>
      <c r="W654" s="2">
        <v>11</v>
      </c>
      <c r="X654" s="2">
        <v>2</v>
      </c>
    </row>
    <row r="655" spans="1:24" x14ac:dyDescent="0.35">
      <c r="A655">
        <v>791</v>
      </c>
      <c r="B655">
        <v>52750</v>
      </c>
      <c r="C655">
        <v>65</v>
      </c>
      <c r="D655">
        <v>1</v>
      </c>
      <c r="E655" s="28">
        <v>7.3123287671232875</v>
      </c>
      <c r="F655" s="28"/>
      <c r="G655" s="28"/>
      <c r="H655" s="28"/>
      <c r="I655" s="28"/>
      <c r="J655" s="28"/>
      <c r="L655" s="37">
        <v>791</v>
      </c>
      <c r="M655" s="3">
        <v>72</v>
      </c>
      <c r="N655" s="3">
        <v>393</v>
      </c>
      <c r="O655" s="3">
        <v>0</v>
      </c>
      <c r="P655" s="3">
        <v>239</v>
      </c>
      <c r="Q655" s="3">
        <v>90</v>
      </c>
      <c r="R655" s="3">
        <v>69</v>
      </c>
      <c r="S655" s="3">
        <v>69</v>
      </c>
      <c r="T655" s="3">
        <v>6</v>
      </c>
      <c r="U655" s="3">
        <v>5</v>
      </c>
      <c r="V655" s="3">
        <v>7</v>
      </c>
      <c r="W655" s="3">
        <v>9</v>
      </c>
      <c r="X655" s="3">
        <v>4</v>
      </c>
    </row>
    <row r="656" spans="1:24" x14ac:dyDescent="0.35">
      <c r="A656">
        <v>790</v>
      </c>
      <c r="B656">
        <v>64722</v>
      </c>
      <c r="C656">
        <v>49</v>
      </c>
      <c r="D656">
        <v>1</v>
      </c>
      <c r="E656" s="28">
        <v>6.0082191780821921</v>
      </c>
      <c r="F656" s="28"/>
      <c r="G656" s="28"/>
      <c r="H656" s="28"/>
      <c r="I656" s="28"/>
      <c r="J656" s="28"/>
      <c r="L656" s="38">
        <v>790</v>
      </c>
      <c r="M656" s="2">
        <v>47</v>
      </c>
      <c r="N656" s="2">
        <v>303</v>
      </c>
      <c r="O656" s="2">
        <v>0</v>
      </c>
      <c r="P656" s="2">
        <v>280</v>
      </c>
      <c r="Q656" s="2">
        <v>60</v>
      </c>
      <c r="R656" s="2">
        <v>147</v>
      </c>
      <c r="S656" s="2">
        <v>15</v>
      </c>
      <c r="T656" s="2">
        <v>4</v>
      </c>
      <c r="U656" s="2">
        <v>8</v>
      </c>
      <c r="V656" s="2">
        <v>2</v>
      </c>
      <c r="W656" s="2">
        <v>11</v>
      </c>
      <c r="X656" s="2">
        <v>6</v>
      </c>
    </row>
    <row r="657" spans="1:24" x14ac:dyDescent="0.35">
      <c r="A657">
        <v>790</v>
      </c>
      <c r="B657">
        <v>76532</v>
      </c>
      <c r="C657">
        <v>45</v>
      </c>
      <c r="D657">
        <v>1</v>
      </c>
      <c r="E657" s="28">
        <v>6.7178082191780826</v>
      </c>
      <c r="F657" s="28"/>
      <c r="G657" s="28"/>
      <c r="H657" s="28"/>
      <c r="I657" s="28"/>
      <c r="J657" s="28"/>
      <c r="L657" s="37">
        <v>790</v>
      </c>
      <c r="M657" s="3">
        <v>38</v>
      </c>
      <c r="N657" s="3">
        <v>355</v>
      </c>
      <c r="O657" s="3">
        <v>30</v>
      </c>
      <c r="P657" s="3">
        <v>177</v>
      </c>
      <c r="Q657" s="3">
        <v>90</v>
      </c>
      <c r="R657" s="3">
        <v>138</v>
      </c>
      <c r="S657" s="3">
        <v>30</v>
      </c>
      <c r="T657" s="3">
        <v>4</v>
      </c>
      <c r="U657" s="3">
        <v>9</v>
      </c>
      <c r="V657" s="3">
        <v>5</v>
      </c>
      <c r="W657" s="3">
        <v>7</v>
      </c>
      <c r="X657" s="3">
        <v>5</v>
      </c>
    </row>
    <row r="658" spans="1:24" x14ac:dyDescent="0.35">
      <c r="A658">
        <v>789</v>
      </c>
      <c r="B658">
        <v>74716</v>
      </c>
      <c r="C658">
        <v>48</v>
      </c>
      <c r="D658">
        <v>1</v>
      </c>
      <c r="E658" s="28">
        <v>6.7095890410958905</v>
      </c>
      <c r="F658" s="28"/>
      <c r="G658" s="28"/>
      <c r="H658" s="28"/>
      <c r="I658" s="28"/>
      <c r="J658" s="28"/>
      <c r="L658" s="38">
        <v>789</v>
      </c>
      <c r="M658" s="2">
        <v>92</v>
      </c>
      <c r="N658" s="2">
        <v>133</v>
      </c>
      <c r="O658" s="2">
        <v>27</v>
      </c>
      <c r="P658" s="2">
        <v>421</v>
      </c>
      <c r="Q658" s="2">
        <v>13</v>
      </c>
      <c r="R658" s="2">
        <v>195</v>
      </c>
      <c r="S658" s="2">
        <v>71</v>
      </c>
      <c r="T658" s="2">
        <v>2</v>
      </c>
      <c r="U658" s="2">
        <v>7</v>
      </c>
      <c r="V658" s="2">
        <v>3</v>
      </c>
      <c r="W658" s="2">
        <v>5</v>
      </c>
      <c r="X658" s="2">
        <v>4</v>
      </c>
    </row>
    <row r="659" spans="1:24" x14ac:dyDescent="0.35">
      <c r="A659">
        <v>789</v>
      </c>
      <c r="B659">
        <v>65569</v>
      </c>
      <c r="C659">
        <v>67</v>
      </c>
      <c r="D659">
        <v>1</v>
      </c>
      <c r="E659" s="28">
        <v>7.5616438356164384</v>
      </c>
      <c r="F659" s="28"/>
      <c r="G659" s="28"/>
      <c r="H659" s="28"/>
      <c r="I659" s="28"/>
      <c r="J659" s="28"/>
      <c r="L659" s="37">
        <v>789</v>
      </c>
      <c r="M659" s="3">
        <v>96</v>
      </c>
      <c r="N659" s="3">
        <v>397</v>
      </c>
      <c r="O659" s="3">
        <v>46</v>
      </c>
      <c r="P659" s="3">
        <v>288</v>
      </c>
      <c r="Q659" s="3">
        <v>20</v>
      </c>
      <c r="R659" s="3">
        <v>38</v>
      </c>
      <c r="S659" s="3">
        <v>70</v>
      </c>
      <c r="T659" s="3">
        <v>2</v>
      </c>
      <c r="U659" s="3">
        <v>6</v>
      </c>
      <c r="V659" s="3">
        <v>5</v>
      </c>
      <c r="W659" s="3">
        <v>10</v>
      </c>
      <c r="X659" s="3">
        <v>3</v>
      </c>
    </row>
    <row r="660" spans="1:24" x14ac:dyDescent="0.35">
      <c r="A660">
        <v>787</v>
      </c>
      <c r="B660">
        <v>68627</v>
      </c>
      <c r="C660">
        <v>38</v>
      </c>
      <c r="D660">
        <v>0</v>
      </c>
      <c r="E660" s="28">
        <v>7.375342465753425</v>
      </c>
      <c r="F660" s="28"/>
      <c r="G660" s="28"/>
      <c r="H660" s="28"/>
      <c r="I660" s="28"/>
      <c r="J660" s="28"/>
      <c r="L660" s="38">
        <v>787</v>
      </c>
      <c r="M660" s="2">
        <v>45</v>
      </c>
      <c r="N660" s="2">
        <v>395</v>
      </c>
      <c r="O660" s="2">
        <v>15</v>
      </c>
      <c r="P660" s="2">
        <v>263</v>
      </c>
      <c r="Q660" s="2">
        <v>60</v>
      </c>
      <c r="R660" s="2">
        <v>54</v>
      </c>
      <c r="S660" s="2">
        <v>38</v>
      </c>
      <c r="T660" s="2">
        <v>1</v>
      </c>
      <c r="U660" s="2">
        <v>2</v>
      </c>
      <c r="V660" s="2">
        <v>3</v>
      </c>
      <c r="W660" s="2">
        <v>6</v>
      </c>
      <c r="X660" s="2">
        <v>1</v>
      </c>
    </row>
    <row r="661" spans="1:24" x14ac:dyDescent="0.35">
      <c r="A661">
        <v>787</v>
      </c>
      <c r="B661">
        <v>62670</v>
      </c>
      <c r="C661">
        <v>66</v>
      </c>
      <c r="D661">
        <v>1</v>
      </c>
      <c r="E661" s="28">
        <v>6.3178082191780822</v>
      </c>
      <c r="F661" s="28"/>
      <c r="G661" s="28"/>
      <c r="H661" s="28"/>
      <c r="I661" s="28"/>
      <c r="J661" s="28"/>
      <c r="L661" s="37">
        <v>787</v>
      </c>
      <c r="M661" s="3">
        <v>57</v>
      </c>
      <c r="N661" s="3">
        <v>539</v>
      </c>
      <c r="O661" s="3">
        <v>30</v>
      </c>
      <c r="P661" s="3">
        <v>92</v>
      </c>
      <c r="Q661" s="3">
        <v>80</v>
      </c>
      <c r="R661" s="3">
        <v>46</v>
      </c>
      <c r="S661" s="3">
        <v>38</v>
      </c>
      <c r="T661" s="3">
        <v>1</v>
      </c>
      <c r="U661" s="3">
        <v>5</v>
      </c>
      <c r="V661" s="3">
        <v>3</v>
      </c>
      <c r="W661" s="3">
        <v>13</v>
      </c>
      <c r="X661" s="3">
        <v>3</v>
      </c>
    </row>
    <row r="662" spans="1:24" x14ac:dyDescent="0.35">
      <c r="A662">
        <v>783</v>
      </c>
      <c r="B662">
        <v>74805</v>
      </c>
      <c r="C662">
        <v>65</v>
      </c>
      <c r="D662">
        <v>1</v>
      </c>
      <c r="E662" s="28">
        <v>6.558904109589041</v>
      </c>
      <c r="F662" s="28"/>
      <c r="G662" s="28"/>
      <c r="H662" s="28"/>
      <c r="I662" s="28"/>
      <c r="J662" s="28"/>
      <c r="L662" s="38">
        <v>783</v>
      </c>
      <c r="M662" s="2">
        <v>14</v>
      </c>
      <c r="N662" s="2">
        <v>209</v>
      </c>
      <c r="O662" s="2">
        <v>162</v>
      </c>
      <c r="P662" s="2">
        <v>209</v>
      </c>
      <c r="Q662" s="2">
        <v>41</v>
      </c>
      <c r="R662" s="2">
        <v>162</v>
      </c>
      <c r="S662" s="2">
        <v>37</v>
      </c>
      <c r="T662" s="2">
        <v>5</v>
      </c>
      <c r="U662" s="2">
        <v>4</v>
      </c>
      <c r="V662" s="2">
        <v>7</v>
      </c>
      <c r="W662" s="2">
        <v>10</v>
      </c>
      <c r="X662" s="2">
        <v>2</v>
      </c>
    </row>
    <row r="663" spans="1:24" x14ac:dyDescent="0.35">
      <c r="A663">
        <v>782</v>
      </c>
      <c r="B663">
        <v>69389</v>
      </c>
      <c r="C663">
        <v>43</v>
      </c>
      <c r="D663">
        <v>1</v>
      </c>
      <c r="E663" s="28">
        <v>7.6657534246575345</v>
      </c>
      <c r="F663" s="28"/>
      <c r="G663" s="28"/>
      <c r="H663" s="28"/>
      <c r="I663" s="28"/>
      <c r="J663" s="28"/>
      <c r="L663" s="37">
        <v>782</v>
      </c>
      <c r="M663" s="3">
        <v>17</v>
      </c>
      <c r="N663" s="3">
        <v>422</v>
      </c>
      <c r="O663" s="3">
        <v>7</v>
      </c>
      <c r="P663" s="3">
        <v>238</v>
      </c>
      <c r="Q663" s="3">
        <v>69</v>
      </c>
      <c r="R663" s="3">
        <v>46</v>
      </c>
      <c r="S663" s="3">
        <v>15</v>
      </c>
      <c r="T663" s="3">
        <v>1</v>
      </c>
      <c r="U663" s="3">
        <v>7</v>
      </c>
      <c r="V663" s="3">
        <v>2</v>
      </c>
      <c r="W663" s="3">
        <v>12</v>
      </c>
      <c r="X663" s="3">
        <v>4</v>
      </c>
    </row>
    <row r="664" spans="1:24" x14ac:dyDescent="0.35">
      <c r="A664">
        <v>782</v>
      </c>
      <c r="B664">
        <v>69245</v>
      </c>
      <c r="C664">
        <v>64</v>
      </c>
      <c r="D664">
        <v>1</v>
      </c>
      <c r="E664" s="28">
        <v>6.3424657534246576</v>
      </c>
      <c r="F664" s="28"/>
      <c r="G664" s="28"/>
      <c r="H664" s="28"/>
      <c r="I664" s="28"/>
      <c r="J664" s="28"/>
      <c r="L664" s="38">
        <v>782</v>
      </c>
      <c r="M664" s="2">
        <v>8</v>
      </c>
      <c r="N664" s="2">
        <v>428</v>
      </c>
      <c r="O664" s="2">
        <v>30</v>
      </c>
      <c r="P664" s="2">
        <v>214</v>
      </c>
      <c r="Q664" s="2">
        <v>80</v>
      </c>
      <c r="R664" s="2">
        <v>30</v>
      </c>
      <c r="S664" s="2">
        <v>61</v>
      </c>
      <c r="T664" s="2">
        <v>2</v>
      </c>
      <c r="U664" s="2">
        <v>6</v>
      </c>
      <c r="V664" s="2">
        <v>5</v>
      </c>
      <c r="W664" s="2">
        <v>10</v>
      </c>
      <c r="X664" s="2">
        <v>3</v>
      </c>
    </row>
    <row r="665" spans="1:24" x14ac:dyDescent="0.35">
      <c r="A665">
        <v>778</v>
      </c>
      <c r="B665">
        <v>60894</v>
      </c>
      <c r="C665">
        <v>54</v>
      </c>
      <c r="D665">
        <v>1</v>
      </c>
      <c r="E665" s="28">
        <v>6.9178082191780819</v>
      </c>
      <c r="F665" s="28"/>
      <c r="G665" s="28"/>
      <c r="H665" s="28"/>
      <c r="I665" s="28"/>
      <c r="J665" s="28"/>
      <c r="L665" s="37">
        <v>778</v>
      </c>
      <c r="M665" s="3">
        <v>61</v>
      </c>
      <c r="N665" s="3">
        <v>606</v>
      </c>
      <c r="O665" s="3">
        <v>7</v>
      </c>
      <c r="P665" s="3">
        <v>155</v>
      </c>
      <c r="Q665" s="3">
        <v>10</v>
      </c>
      <c r="R665" s="3">
        <v>0</v>
      </c>
      <c r="S665" s="3">
        <v>54</v>
      </c>
      <c r="T665" s="3">
        <v>5</v>
      </c>
      <c r="U665" s="3">
        <v>10</v>
      </c>
      <c r="V665" s="3">
        <v>3</v>
      </c>
      <c r="W665" s="3">
        <v>8</v>
      </c>
      <c r="X665" s="3">
        <v>7</v>
      </c>
    </row>
    <row r="666" spans="1:24" x14ac:dyDescent="0.35">
      <c r="A666">
        <v>777</v>
      </c>
      <c r="B666">
        <v>65031</v>
      </c>
      <c r="C666">
        <v>61</v>
      </c>
      <c r="D666">
        <v>1</v>
      </c>
      <c r="E666" s="28">
        <v>7.2</v>
      </c>
      <c r="F666" s="28"/>
      <c r="G666" s="28"/>
      <c r="H666" s="28"/>
      <c r="I666" s="28"/>
      <c r="J666" s="28"/>
      <c r="L666" s="38">
        <v>777</v>
      </c>
      <c r="M666" s="2">
        <v>29</v>
      </c>
      <c r="N666" s="2">
        <v>258</v>
      </c>
      <c r="O666" s="2">
        <v>107</v>
      </c>
      <c r="P666" s="2">
        <v>291</v>
      </c>
      <c r="Q666" s="2">
        <v>84</v>
      </c>
      <c r="R666" s="2">
        <v>37</v>
      </c>
      <c r="S666" s="2">
        <v>86</v>
      </c>
      <c r="T666" s="2">
        <v>4</v>
      </c>
      <c r="U666" s="2">
        <v>10</v>
      </c>
      <c r="V666" s="2">
        <v>3</v>
      </c>
      <c r="W666" s="2">
        <v>13</v>
      </c>
      <c r="X666" s="2">
        <v>7</v>
      </c>
    </row>
    <row r="667" spans="1:24" x14ac:dyDescent="0.35">
      <c r="A667">
        <v>777</v>
      </c>
      <c r="B667">
        <v>63841</v>
      </c>
      <c r="C667">
        <v>52</v>
      </c>
      <c r="D667">
        <v>1</v>
      </c>
      <c r="E667" s="28">
        <v>7.1041095890410961</v>
      </c>
      <c r="F667" s="28"/>
      <c r="G667" s="28"/>
      <c r="H667" s="28"/>
      <c r="I667" s="28"/>
      <c r="J667" s="28"/>
      <c r="L667" s="37">
        <v>777</v>
      </c>
      <c r="M667" s="3">
        <v>64</v>
      </c>
      <c r="N667" s="3">
        <v>635</v>
      </c>
      <c r="O667" s="3">
        <v>15</v>
      </c>
      <c r="P667" s="3">
        <v>100</v>
      </c>
      <c r="Q667" s="3">
        <v>20</v>
      </c>
      <c r="R667" s="3">
        <v>7</v>
      </c>
      <c r="S667" s="3">
        <v>131</v>
      </c>
      <c r="T667" s="3">
        <v>1</v>
      </c>
      <c r="U667" s="3">
        <v>9</v>
      </c>
      <c r="V667" s="3">
        <v>3</v>
      </c>
      <c r="W667" s="3">
        <v>9</v>
      </c>
      <c r="X667" s="3">
        <v>6</v>
      </c>
    </row>
    <row r="668" spans="1:24" x14ac:dyDescent="0.35">
      <c r="A668">
        <v>777</v>
      </c>
      <c r="B668">
        <v>55759</v>
      </c>
      <c r="C668">
        <v>58</v>
      </c>
      <c r="D668">
        <v>1</v>
      </c>
      <c r="E668" s="28">
        <v>7.4986301369863018</v>
      </c>
      <c r="F668" s="28"/>
      <c r="G668" s="28"/>
      <c r="H668" s="28"/>
      <c r="I668" s="28"/>
      <c r="J668" s="28"/>
      <c r="L668" s="38">
        <v>777</v>
      </c>
      <c r="M668" s="2">
        <v>84</v>
      </c>
      <c r="N668" s="2">
        <v>675</v>
      </c>
      <c r="O668" s="2">
        <v>0</v>
      </c>
      <c r="P668" s="2">
        <v>85</v>
      </c>
      <c r="Q668" s="2">
        <v>10</v>
      </c>
      <c r="R668" s="2">
        <v>7</v>
      </c>
      <c r="S668" s="2">
        <v>77</v>
      </c>
      <c r="T668" s="2">
        <v>5</v>
      </c>
      <c r="U668" s="2">
        <v>10</v>
      </c>
      <c r="V668" s="2">
        <v>3</v>
      </c>
      <c r="W668" s="2">
        <v>8</v>
      </c>
      <c r="X668" s="2">
        <v>8</v>
      </c>
    </row>
    <row r="669" spans="1:24" x14ac:dyDescent="0.35">
      <c r="A669">
        <v>777</v>
      </c>
      <c r="B669">
        <v>58086</v>
      </c>
      <c r="C669">
        <v>51</v>
      </c>
      <c r="D669">
        <v>1</v>
      </c>
      <c r="E669" s="28">
        <v>7.353424657534247</v>
      </c>
      <c r="F669" s="28"/>
      <c r="G669" s="28"/>
      <c r="H669" s="28"/>
      <c r="I669" s="28"/>
      <c r="J669" s="28"/>
      <c r="L669" s="37">
        <v>777</v>
      </c>
      <c r="M669" s="3">
        <v>80</v>
      </c>
      <c r="N669" s="3">
        <v>708</v>
      </c>
      <c r="O669" s="3">
        <v>7</v>
      </c>
      <c r="P669" s="3">
        <v>62</v>
      </c>
      <c r="Q669" s="3">
        <v>0</v>
      </c>
      <c r="R669" s="3">
        <v>0</v>
      </c>
      <c r="S669" s="3">
        <v>15</v>
      </c>
      <c r="T669" s="3">
        <v>2</v>
      </c>
      <c r="U669" s="3">
        <v>11</v>
      </c>
      <c r="V669" s="3">
        <v>3</v>
      </c>
      <c r="W669" s="3">
        <v>7</v>
      </c>
      <c r="X669" s="3">
        <v>8</v>
      </c>
    </row>
    <row r="670" spans="1:24" x14ac:dyDescent="0.35">
      <c r="A670">
        <v>775</v>
      </c>
      <c r="B670">
        <v>54356</v>
      </c>
      <c r="C670">
        <v>71</v>
      </c>
      <c r="D670">
        <v>1</v>
      </c>
      <c r="E670" s="28">
        <v>7.5232876712328771</v>
      </c>
      <c r="F670" s="28"/>
      <c r="G670" s="28"/>
      <c r="H670" s="28"/>
      <c r="I670" s="28"/>
      <c r="J670" s="28"/>
      <c r="L670" s="38">
        <v>775</v>
      </c>
      <c r="M670" s="2">
        <v>62</v>
      </c>
      <c r="N670" s="2">
        <v>710</v>
      </c>
      <c r="O670" s="2">
        <v>15</v>
      </c>
      <c r="P670" s="2">
        <v>30</v>
      </c>
      <c r="Q670" s="2">
        <v>20</v>
      </c>
      <c r="R670" s="2">
        <v>0</v>
      </c>
      <c r="S670" s="2">
        <v>0</v>
      </c>
      <c r="T670" s="2">
        <v>3</v>
      </c>
      <c r="U670" s="2">
        <v>11</v>
      </c>
      <c r="V670" s="2">
        <v>2</v>
      </c>
      <c r="W670" s="2">
        <v>8</v>
      </c>
      <c r="X670" s="2">
        <v>8</v>
      </c>
    </row>
    <row r="671" spans="1:24" x14ac:dyDescent="0.35">
      <c r="A671">
        <v>774</v>
      </c>
      <c r="B671">
        <v>68118</v>
      </c>
      <c r="C671">
        <v>57</v>
      </c>
      <c r="D671">
        <v>1</v>
      </c>
      <c r="E671" s="28">
        <v>6.6109589041095891</v>
      </c>
      <c r="F671" s="28"/>
      <c r="G671" s="28"/>
      <c r="H671" s="28"/>
      <c r="I671" s="28"/>
      <c r="J671" s="28"/>
      <c r="L671" s="37">
        <v>774</v>
      </c>
      <c r="M671" s="3">
        <v>51</v>
      </c>
      <c r="N671" s="3">
        <v>595</v>
      </c>
      <c r="O671" s="3">
        <v>23</v>
      </c>
      <c r="P671" s="3">
        <v>123</v>
      </c>
      <c r="Q671" s="3">
        <v>10</v>
      </c>
      <c r="R671" s="3">
        <v>23</v>
      </c>
      <c r="S671" s="3">
        <v>154</v>
      </c>
      <c r="T671" s="3">
        <v>2</v>
      </c>
      <c r="U671" s="3">
        <v>8</v>
      </c>
      <c r="V671" s="3">
        <v>9</v>
      </c>
      <c r="W671" s="3">
        <v>4</v>
      </c>
      <c r="X671" s="3">
        <v>6</v>
      </c>
    </row>
    <row r="672" spans="1:24" x14ac:dyDescent="0.35">
      <c r="A672">
        <v>774</v>
      </c>
      <c r="B672">
        <v>63915</v>
      </c>
      <c r="C672">
        <v>64</v>
      </c>
      <c r="D672">
        <v>1</v>
      </c>
      <c r="E672" s="28">
        <v>6.8301369863013699</v>
      </c>
      <c r="F672" s="28"/>
      <c r="G672" s="28"/>
      <c r="H672" s="28"/>
      <c r="I672" s="28"/>
      <c r="J672" s="28"/>
      <c r="L672" s="38">
        <v>774</v>
      </c>
      <c r="M672" s="2">
        <v>2</v>
      </c>
      <c r="N672" s="2">
        <v>622</v>
      </c>
      <c r="O672" s="2">
        <v>7</v>
      </c>
      <c r="P672" s="2">
        <v>115</v>
      </c>
      <c r="Q672" s="2">
        <v>30</v>
      </c>
      <c r="R672" s="2">
        <v>0</v>
      </c>
      <c r="S672" s="2">
        <v>15</v>
      </c>
      <c r="T672" s="2">
        <v>2</v>
      </c>
      <c r="U672" s="2">
        <v>6</v>
      </c>
      <c r="V672" s="2">
        <v>3</v>
      </c>
      <c r="W672" s="2">
        <v>12</v>
      </c>
      <c r="X672" s="2">
        <v>5</v>
      </c>
    </row>
    <row r="673" spans="1:24" x14ac:dyDescent="0.35">
      <c r="A673">
        <v>774</v>
      </c>
      <c r="B673">
        <v>59601</v>
      </c>
      <c r="C673">
        <v>43</v>
      </c>
      <c r="D673">
        <v>1</v>
      </c>
      <c r="E673" s="28">
        <v>6.8438356164383558</v>
      </c>
      <c r="F673" s="28"/>
      <c r="G673" s="28"/>
      <c r="H673" s="28"/>
      <c r="I673" s="28"/>
      <c r="J673" s="28"/>
      <c r="L673" s="37">
        <v>774</v>
      </c>
      <c r="M673" s="3">
        <v>14</v>
      </c>
      <c r="N673" s="3">
        <v>691</v>
      </c>
      <c r="O673" s="3">
        <v>7</v>
      </c>
      <c r="P673" s="3">
        <v>69</v>
      </c>
      <c r="Q673" s="3">
        <v>0</v>
      </c>
      <c r="R673" s="3">
        <v>7</v>
      </c>
      <c r="S673" s="3">
        <v>23</v>
      </c>
      <c r="T673" s="3">
        <v>4</v>
      </c>
      <c r="U673" s="3">
        <v>2</v>
      </c>
      <c r="V673" s="3">
        <v>2</v>
      </c>
      <c r="W673" s="3">
        <v>7</v>
      </c>
      <c r="X673" s="3">
        <v>8</v>
      </c>
    </row>
    <row r="674" spans="1:24" x14ac:dyDescent="0.35">
      <c r="A674">
        <v>770</v>
      </c>
      <c r="B674">
        <v>55424</v>
      </c>
      <c r="C674">
        <v>44</v>
      </c>
      <c r="D674">
        <v>1</v>
      </c>
      <c r="E674" s="28">
        <v>7.506849315068493</v>
      </c>
      <c r="F674" s="28"/>
      <c r="G674" s="28"/>
      <c r="H674" s="28"/>
      <c r="I674" s="28"/>
      <c r="J674" s="28"/>
      <c r="L674" s="38">
        <v>770</v>
      </c>
      <c r="M674" s="2">
        <v>6</v>
      </c>
      <c r="N674" s="2">
        <v>462</v>
      </c>
      <c r="O674" s="2">
        <v>61</v>
      </c>
      <c r="P674" s="2">
        <v>184</v>
      </c>
      <c r="Q674" s="2">
        <v>10</v>
      </c>
      <c r="R674" s="2">
        <v>53</v>
      </c>
      <c r="S674" s="2">
        <v>107</v>
      </c>
      <c r="T674" s="2">
        <v>4</v>
      </c>
      <c r="U674" s="2">
        <v>7</v>
      </c>
      <c r="V674" s="2">
        <v>5</v>
      </c>
      <c r="W674" s="2">
        <v>9</v>
      </c>
      <c r="X674" s="2">
        <v>6</v>
      </c>
    </row>
    <row r="675" spans="1:24" x14ac:dyDescent="0.35">
      <c r="A675">
        <v>770</v>
      </c>
      <c r="B675">
        <v>58308</v>
      </c>
      <c r="C675">
        <v>56</v>
      </c>
      <c r="D675">
        <v>1</v>
      </c>
      <c r="E675" s="28">
        <v>7.375342465753425</v>
      </c>
      <c r="F675" s="28"/>
      <c r="G675" s="28"/>
      <c r="H675" s="28"/>
      <c r="I675" s="28"/>
      <c r="J675" s="28"/>
      <c r="L675" s="37">
        <v>770</v>
      </c>
      <c r="M675" s="3">
        <v>77</v>
      </c>
      <c r="N675" s="3">
        <v>691</v>
      </c>
      <c r="O675" s="3">
        <v>0</v>
      </c>
      <c r="P675" s="3">
        <v>69</v>
      </c>
      <c r="Q675" s="3">
        <v>10</v>
      </c>
      <c r="R675" s="3">
        <v>0</v>
      </c>
      <c r="S675" s="3">
        <v>130</v>
      </c>
      <c r="T675" s="3">
        <v>4</v>
      </c>
      <c r="U675" s="3">
        <v>2</v>
      </c>
      <c r="V675" s="3">
        <v>6</v>
      </c>
      <c r="W675" s="3">
        <v>3</v>
      </c>
      <c r="X675" s="3">
        <v>8</v>
      </c>
    </row>
    <row r="676" spans="1:24" x14ac:dyDescent="0.35">
      <c r="A676">
        <v>769</v>
      </c>
      <c r="B676">
        <v>88097</v>
      </c>
      <c r="C676">
        <v>42</v>
      </c>
      <c r="D676">
        <v>1</v>
      </c>
      <c r="E676" s="28">
        <v>7.7780821917808218</v>
      </c>
      <c r="F676" s="28"/>
      <c r="G676" s="28"/>
      <c r="H676" s="28"/>
      <c r="I676" s="28"/>
      <c r="J676" s="28"/>
      <c r="L676" s="38">
        <v>769</v>
      </c>
      <c r="M676" s="2">
        <v>24</v>
      </c>
      <c r="N676" s="2">
        <v>163</v>
      </c>
      <c r="O676" s="2">
        <v>0</v>
      </c>
      <c r="P676" s="2">
        <v>480</v>
      </c>
      <c r="Q676" s="2">
        <v>0</v>
      </c>
      <c r="R676" s="2">
        <v>126</v>
      </c>
      <c r="S676" s="2">
        <v>75</v>
      </c>
      <c r="T676" s="2">
        <v>1</v>
      </c>
      <c r="U676" s="2">
        <v>6</v>
      </c>
      <c r="V676" s="2">
        <v>5</v>
      </c>
      <c r="W676" s="2">
        <v>8</v>
      </c>
      <c r="X676" s="2">
        <v>9</v>
      </c>
    </row>
    <row r="677" spans="1:24" x14ac:dyDescent="0.35">
      <c r="A677">
        <v>769</v>
      </c>
      <c r="B677">
        <v>56534</v>
      </c>
      <c r="C677">
        <v>52</v>
      </c>
      <c r="D677">
        <v>1</v>
      </c>
      <c r="E677" s="28">
        <v>6.8493150684931505</v>
      </c>
      <c r="F677" s="28"/>
      <c r="G677" s="28"/>
      <c r="H677" s="28"/>
      <c r="I677" s="28"/>
      <c r="J677" s="28"/>
      <c r="L677" s="37">
        <v>769</v>
      </c>
      <c r="M677" s="3">
        <v>35</v>
      </c>
      <c r="N677" s="3">
        <v>691</v>
      </c>
      <c r="O677" s="3">
        <v>7</v>
      </c>
      <c r="P677" s="3">
        <v>61</v>
      </c>
      <c r="Q677" s="3">
        <v>10</v>
      </c>
      <c r="R677" s="3">
        <v>0</v>
      </c>
      <c r="S677" s="3">
        <v>46</v>
      </c>
      <c r="T677" s="3">
        <v>4</v>
      </c>
      <c r="U677" s="3">
        <v>10</v>
      </c>
      <c r="V677" s="3">
        <v>4</v>
      </c>
      <c r="W677" s="3">
        <v>7</v>
      </c>
      <c r="X677" s="3">
        <v>8</v>
      </c>
    </row>
    <row r="678" spans="1:24" x14ac:dyDescent="0.35">
      <c r="A678">
        <v>768</v>
      </c>
      <c r="B678">
        <v>65333</v>
      </c>
      <c r="C678">
        <v>47</v>
      </c>
      <c r="D678">
        <v>1</v>
      </c>
      <c r="E678" s="28">
        <v>6.3616438356164382</v>
      </c>
      <c r="F678" s="28"/>
      <c r="G678" s="28"/>
      <c r="H678" s="28"/>
      <c r="I678" s="28"/>
      <c r="J678" s="28"/>
      <c r="L678" s="38">
        <v>768</v>
      </c>
      <c r="M678" s="2">
        <v>58</v>
      </c>
      <c r="N678" s="2">
        <v>654</v>
      </c>
      <c r="O678" s="2">
        <v>7</v>
      </c>
      <c r="P678" s="2">
        <v>92</v>
      </c>
      <c r="Q678" s="2">
        <v>0</v>
      </c>
      <c r="R678" s="2">
        <v>15</v>
      </c>
      <c r="S678" s="2">
        <v>30</v>
      </c>
      <c r="T678" s="2">
        <v>7</v>
      </c>
      <c r="U678" s="2">
        <v>9</v>
      </c>
      <c r="V678" s="2">
        <v>4</v>
      </c>
      <c r="W678" s="2">
        <v>8</v>
      </c>
      <c r="X678" s="2">
        <v>6</v>
      </c>
    </row>
    <row r="679" spans="1:24" x14ac:dyDescent="0.35">
      <c r="A679">
        <v>767</v>
      </c>
      <c r="B679">
        <v>82623</v>
      </c>
      <c r="C679">
        <v>68</v>
      </c>
      <c r="D679">
        <v>0</v>
      </c>
      <c r="E679" s="28">
        <v>6.5479452054794525</v>
      </c>
      <c r="F679" s="28"/>
      <c r="G679" s="28"/>
      <c r="H679" s="28"/>
      <c r="I679" s="28"/>
      <c r="J679" s="28"/>
      <c r="L679" s="37">
        <v>767</v>
      </c>
      <c r="M679" s="3">
        <v>58</v>
      </c>
      <c r="N679" s="3">
        <v>204</v>
      </c>
      <c r="O679" s="3">
        <v>34</v>
      </c>
      <c r="P679" s="3">
        <v>204</v>
      </c>
      <c r="Q679" s="3">
        <v>172</v>
      </c>
      <c r="R679" s="3">
        <v>153</v>
      </c>
      <c r="S679" s="3">
        <v>173</v>
      </c>
      <c r="T679" s="3">
        <v>1</v>
      </c>
      <c r="U679" s="3">
        <v>2</v>
      </c>
      <c r="V679" s="3">
        <v>9</v>
      </c>
      <c r="W679" s="3">
        <v>4</v>
      </c>
      <c r="X679" s="3">
        <v>1</v>
      </c>
    </row>
    <row r="680" spans="1:24" x14ac:dyDescent="0.35">
      <c r="A680">
        <v>767</v>
      </c>
      <c r="B680">
        <v>75774</v>
      </c>
      <c r="C680">
        <v>39</v>
      </c>
      <c r="D680">
        <v>1</v>
      </c>
      <c r="E680" s="28">
        <v>6.0739726027397261</v>
      </c>
      <c r="F680" s="28"/>
      <c r="G680" s="28"/>
      <c r="H680" s="28"/>
      <c r="I680" s="28"/>
      <c r="J680" s="28"/>
      <c r="L680" s="38">
        <v>767</v>
      </c>
      <c r="M680" s="2">
        <v>27</v>
      </c>
      <c r="N680" s="2">
        <v>340</v>
      </c>
      <c r="O680" s="2">
        <v>21</v>
      </c>
      <c r="P680" s="2">
        <v>134</v>
      </c>
      <c r="Q680" s="2">
        <v>258</v>
      </c>
      <c r="R680" s="2">
        <v>14</v>
      </c>
      <c r="S680" s="2">
        <v>56</v>
      </c>
      <c r="T680" s="2">
        <v>1</v>
      </c>
      <c r="U680" s="2">
        <v>7</v>
      </c>
      <c r="V680" s="2">
        <v>5</v>
      </c>
      <c r="W680" s="2">
        <v>8</v>
      </c>
      <c r="X680" s="2">
        <v>4</v>
      </c>
    </row>
    <row r="681" spans="1:24" x14ac:dyDescent="0.35">
      <c r="A681">
        <v>766</v>
      </c>
      <c r="B681">
        <v>61284</v>
      </c>
      <c r="C681">
        <v>65</v>
      </c>
      <c r="D681">
        <v>0</v>
      </c>
      <c r="E681" s="28">
        <v>6.6273972602739724</v>
      </c>
      <c r="F681" s="28"/>
      <c r="G681" s="28"/>
      <c r="H681" s="28"/>
      <c r="I681" s="28"/>
      <c r="J681" s="28"/>
      <c r="L681" s="37">
        <v>766</v>
      </c>
      <c r="M681" s="3">
        <v>76</v>
      </c>
      <c r="N681" s="3">
        <v>618</v>
      </c>
      <c r="O681" s="3">
        <v>15</v>
      </c>
      <c r="P681" s="3">
        <v>106</v>
      </c>
      <c r="Q681" s="3">
        <v>20</v>
      </c>
      <c r="R681" s="3">
        <v>7</v>
      </c>
      <c r="S681" s="3">
        <v>45</v>
      </c>
      <c r="T681" s="3">
        <v>1</v>
      </c>
      <c r="U681" s="3">
        <v>11</v>
      </c>
      <c r="V681" s="3">
        <v>2</v>
      </c>
      <c r="W681" s="3">
        <v>8</v>
      </c>
      <c r="X681" s="3">
        <v>6</v>
      </c>
    </row>
    <row r="682" spans="1:24" x14ac:dyDescent="0.35">
      <c r="A682">
        <v>765</v>
      </c>
      <c r="B682">
        <v>63246</v>
      </c>
      <c r="C682">
        <v>53</v>
      </c>
      <c r="D682">
        <v>1</v>
      </c>
      <c r="E682" s="28">
        <v>6.7726027397260271</v>
      </c>
      <c r="F682" s="28"/>
      <c r="G682" s="28"/>
      <c r="H682" s="28"/>
      <c r="I682" s="28"/>
      <c r="J682" s="28"/>
      <c r="L682" s="38">
        <v>765</v>
      </c>
      <c r="M682" s="2">
        <v>60</v>
      </c>
      <c r="N682" s="2">
        <v>593</v>
      </c>
      <c r="O682" s="2">
        <v>30</v>
      </c>
      <c r="P682" s="2">
        <v>91</v>
      </c>
      <c r="Q682" s="2">
        <v>29</v>
      </c>
      <c r="R682" s="2">
        <v>22</v>
      </c>
      <c r="S682" s="2">
        <v>7</v>
      </c>
      <c r="T682" s="2">
        <v>1</v>
      </c>
      <c r="U682" s="2">
        <v>6</v>
      </c>
      <c r="V682" s="2">
        <v>3</v>
      </c>
      <c r="W682" s="2">
        <v>12</v>
      </c>
      <c r="X682" s="2">
        <v>4</v>
      </c>
    </row>
    <row r="683" spans="1:24" x14ac:dyDescent="0.35">
      <c r="A683">
        <v>763</v>
      </c>
      <c r="B683">
        <v>51983</v>
      </c>
      <c r="C683">
        <v>56</v>
      </c>
      <c r="D683">
        <v>1</v>
      </c>
      <c r="E683" s="28">
        <v>7.7424657534246579</v>
      </c>
      <c r="F683" s="28"/>
      <c r="G683" s="28"/>
      <c r="H683" s="28"/>
      <c r="I683" s="28"/>
      <c r="J683" s="28"/>
      <c r="L683" s="37">
        <v>763</v>
      </c>
      <c r="M683" s="3">
        <v>95</v>
      </c>
      <c r="N683" s="3">
        <v>631</v>
      </c>
      <c r="O683" s="3">
        <v>0</v>
      </c>
      <c r="P683" s="3">
        <v>115</v>
      </c>
      <c r="Q683" s="3">
        <v>10</v>
      </c>
      <c r="R683" s="3">
        <v>7</v>
      </c>
      <c r="S683" s="3">
        <v>30</v>
      </c>
      <c r="T683" s="3">
        <v>3</v>
      </c>
      <c r="U683" s="3">
        <v>9</v>
      </c>
      <c r="V683" s="3">
        <v>2</v>
      </c>
      <c r="W683" s="3">
        <v>10</v>
      </c>
      <c r="X683" s="3">
        <v>7</v>
      </c>
    </row>
    <row r="684" spans="1:24" x14ac:dyDescent="0.35">
      <c r="A684">
        <v>763</v>
      </c>
      <c r="B684">
        <v>66313</v>
      </c>
      <c r="C684">
        <v>57</v>
      </c>
      <c r="D684">
        <v>1</v>
      </c>
      <c r="E684" s="28">
        <v>6.6986301369863011</v>
      </c>
      <c r="F684" s="28"/>
      <c r="G684" s="28"/>
      <c r="H684" s="28"/>
      <c r="I684" s="28"/>
      <c r="J684" s="28"/>
      <c r="L684" s="38">
        <v>763</v>
      </c>
      <c r="M684" s="2">
        <v>86</v>
      </c>
      <c r="N684" s="2">
        <v>625</v>
      </c>
      <c r="O684" s="2">
        <v>7</v>
      </c>
      <c r="P684" s="2">
        <v>99</v>
      </c>
      <c r="Q684" s="2">
        <v>10</v>
      </c>
      <c r="R684" s="2">
        <v>22</v>
      </c>
      <c r="S684" s="2">
        <v>7</v>
      </c>
      <c r="T684" s="2">
        <v>2</v>
      </c>
      <c r="U684" s="2">
        <v>6</v>
      </c>
      <c r="V684" s="2">
        <v>3</v>
      </c>
      <c r="W684" s="2">
        <v>12</v>
      </c>
      <c r="X684" s="2">
        <v>4</v>
      </c>
    </row>
    <row r="685" spans="1:24" x14ac:dyDescent="0.35">
      <c r="A685">
        <v>762</v>
      </c>
      <c r="B685">
        <v>62061</v>
      </c>
      <c r="C685">
        <v>44</v>
      </c>
      <c r="D685">
        <v>1</v>
      </c>
      <c r="E685" s="28">
        <v>6.7424657534246579</v>
      </c>
      <c r="F685" s="28"/>
      <c r="G685" s="28"/>
      <c r="H685" s="28"/>
      <c r="I685" s="28"/>
      <c r="J685" s="28"/>
      <c r="L685" s="37">
        <v>762</v>
      </c>
      <c r="M685" s="3">
        <v>12</v>
      </c>
      <c r="N685" s="3">
        <v>641</v>
      </c>
      <c r="O685" s="3">
        <v>7</v>
      </c>
      <c r="P685" s="3">
        <v>84</v>
      </c>
      <c r="Q685" s="3">
        <v>0</v>
      </c>
      <c r="R685" s="3">
        <v>30</v>
      </c>
      <c r="S685" s="3">
        <v>38</v>
      </c>
      <c r="T685" s="3">
        <v>3</v>
      </c>
      <c r="U685" s="3">
        <v>10</v>
      </c>
      <c r="V685" s="3">
        <v>4</v>
      </c>
      <c r="W685" s="3">
        <v>7</v>
      </c>
      <c r="X685" s="3">
        <v>6</v>
      </c>
    </row>
    <row r="686" spans="1:24" x14ac:dyDescent="0.35">
      <c r="A686">
        <v>758</v>
      </c>
      <c r="B686">
        <v>69719</v>
      </c>
      <c r="C686">
        <v>46</v>
      </c>
      <c r="D686">
        <v>0</v>
      </c>
      <c r="E686" s="28">
        <v>6.0082191780821921</v>
      </c>
      <c r="F686" s="28"/>
      <c r="G686" s="28"/>
      <c r="H686" s="28"/>
      <c r="I686" s="28"/>
      <c r="J686" s="28"/>
      <c r="L686" s="38">
        <v>758</v>
      </c>
      <c r="M686" s="2">
        <v>99</v>
      </c>
      <c r="N686" s="2">
        <v>273</v>
      </c>
      <c r="O686" s="2">
        <v>86</v>
      </c>
      <c r="P686" s="2">
        <v>208</v>
      </c>
      <c r="Q686" s="2">
        <v>177</v>
      </c>
      <c r="R686" s="2">
        <v>14</v>
      </c>
      <c r="S686" s="2">
        <v>43</v>
      </c>
      <c r="T686" s="2">
        <v>1</v>
      </c>
      <c r="U686" s="2">
        <v>2</v>
      </c>
      <c r="V686" s="2">
        <v>3</v>
      </c>
      <c r="W686" s="2">
        <v>5</v>
      </c>
      <c r="X686" s="2">
        <v>1</v>
      </c>
    </row>
    <row r="687" spans="1:24" x14ac:dyDescent="0.35">
      <c r="A687">
        <v>758</v>
      </c>
      <c r="B687">
        <v>71499</v>
      </c>
      <c r="C687">
        <v>49</v>
      </c>
      <c r="D687">
        <v>1</v>
      </c>
      <c r="E687" s="28">
        <v>6.9260273972602739</v>
      </c>
      <c r="F687" s="28"/>
      <c r="G687" s="28"/>
      <c r="H687" s="28"/>
      <c r="I687" s="28"/>
      <c r="J687" s="28"/>
      <c r="L687" s="37">
        <v>758</v>
      </c>
      <c r="M687" s="3">
        <v>12</v>
      </c>
      <c r="N687" s="3">
        <v>465</v>
      </c>
      <c r="O687" s="3">
        <v>25</v>
      </c>
      <c r="P687" s="3">
        <v>132</v>
      </c>
      <c r="Q687" s="3">
        <v>136</v>
      </c>
      <c r="R687" s="3">
        <v>0</v>
      </c>
      <c r="S687" s="3">
        <v>37</v>
      </c>
      <c r="T687" s="3">
        <v>2</v>
      </c>
      <c r="U687" s="3">
        <v>8</v>
      </c>
      <c r="V687" s="3">
        <v>3</v>
      </c>
      <c r="W687" s="3">
        <v>13</v>
      </c>
      <c r="X687" s="3">
        <v>4</v>
      </c>
    </row>
    <row r="688" spans="1:24" x14ac:dyDescent="0.35">
      <c r="A688">
        <v>757</v>
      </c>
      <c r="B688">
        <v>66375</v>
      </c>
      <c r="C688">
        <v>72</v>
      </c>
      <c r="D688">
        <v>1</v>
      </c>
      <c r="E688" s="28">
        <v>6.5178082191780824</v>
      </c>
      <c r="F688" s="28"/>
      <c r="G688" s="28"/>
      <c r="H688" s="28"/>
      <c r="I688" s="28"/>
      <c r="J688" s="28"/>
      <c r="L688" s="38">
        <v>757</v>
      </c>
      <c r="M688" s="2">
        <v>96</v>
      </c>
      <c r="N688" s="2">
        <v>712</v>
      </c>
      <c r="O688" s="2">
        <v>0</v>
      </c>
      <c r="P688" s="2">
        <v>45</v>
      </c>
      <c r="Q688" s="2">
        <v>0</v>
      </c>
      <c r="R688" s="2">
        <v>0</v>
      </c>
      <c r="S688" s="2">
        <v>191</v>
      </c>
      <c r="T688" s="2">
        <v>3</v>
      </c>
      <c r="U688" s="2">
        <v>2</v>
      </c>
      <c r="V688" s="2">
        <v>4</v>
      </c>
      <c r="W688" s="2">
        <v>5</v>
      </c>
      <c r="X688" s="2">
        <v>7</v>
      </c>
    </row>
    <row r="689" spans="1:24" x14ac:dyDescent="0.35">
      <c r="A689">
        <v>755</v>
      </c>
      <c r="B689">
        <v>78497</v>
      </c>
      <c r="C689">
        <v>69</v>
      </c>
      <c r="D689">
        <v>0</v>
      </c>
      <c r="E689" s="28">
        <v>6.4904109589041097</v>
      </c>
      <c r="F689" s="28"/>
      <c r="G689" s="28"/>
      <c r="H689" s="28"/>
      <c r="I689" s="28"/>
      <c r="J689" s="28"/>
      <c r="L689" s="37">
        <v>755</v>
      </c>
      <c r="M689" s="3">
        <v>44</v>
      </c>
      <c r="N689" s="3">
        <v>207</v>
      </c>
      <c r="O689" s="3">
        <v>26</v>
      </c>
      <c r="P689" s="3">
        <v>447</v>
      </c>
      <c r="Q689" s="3">
        <v>75</v>
      </c>
      <c r="R689" s="3">
        <v>0</v>
      </c>
      <c r="S689" s="3">
        <v>223</v>
      </c>
      <c r="T689" s="3">
        <v>1</v>
      </c>
      <c r="U689" s="3">
        <v>5</v>
      </c>
      <c r="V689" s="3">
        <v>7</v>
      </c>
      <c r="W689" s="3">
        <v>12</v>
      </c>
      <c r="X689" s="3">
        <v>2</v>
      </c>
    </row>
    <row r="690" spans="1:24" x14ac:dyDescent="0.35">
      <c r="A690">
        <v>754</v>
      </c>
      <c r="B690">
        <v>79865</v>
      </c>
      <c r="C690">
        <v>66</v>
      </c>
      <c r="D690">
        <v>1</v>
      </c>
      <c r="E690" s="28">
        <v>5.9452054794520546</v>
      </c>
      <c r="F690" s="28"/>
      <c r="G690" s="28"/>
      <c r="H690" s="28"/>
      <c r="I690" s="28"/>
      <c r="J690" s="28"/>
      <c r="L690" s="38">
        <v>754</v>
      </c>
      <c r="M690" s="2">
        <v>12</v>
      </c>
      <c r="N690" s="2">
        <v>71</v>
      </c>
      <c r="O690" s="2">
        <v>99</v>
      </c>
      <c r="P690" s="2">
        <v>278</v>
      </c>
      <c r="Q690" s="2">
        <v>185</v>
      </c>
      <c r="R690" s="2">
        <v>121</v>
      </c>
      <c r="S690" s="2">
        <v>38</v>
      </c>
      <c r="T690" s="2">
        <v>1</v>
      </c>
      <c r="U690" s="2">
        <v>5</v>
      </c>
      <c r="V690" s="2">
        <v>10</v>
      </c>
      <c r="W690" s="2">
        <v>5</v>
      </c>
      <c r="X690" s="2">
        <v>1</v>
      </c>
    </row>
    <row r="691" spans="1:24" x14ac:dyDescent="0.35">
      <c r="A691">
        <v>751</v>
      </c>
      <c r="B691">
        <v>67087</v>
      </c>
      <c r="C691">
        <v>67</v>
      </c>
      <c r="D691">
        <v>1</v>
      </c>
      <c r="E691" s="28">
        <v>6.4465753424657537</v>
      </c>
      <c r="F691" s="28"/>
      <c r="G691" s="28"/>
      <c r="H691" s="28"/>
      <c r="I691" s="28"/>
      <c r="J691" s="28"/>
      <c r="L691" s="37">
        <v>751</v>
      </c>
      <c r="M691" s="3">
        <v>40</v>
      </c>
      <c r="N691" s="3">
        <v>329</v>
      </c>
      <c r="O691" s="3">
        <v>35</v>
      </c>
      <c r="P691" s="3">
        <v>222</v>
      </c>
      <c r="Q691" s="3">
        <v>130</v>
      </c>
      <c r="R691" s="3">
        <v>35</v>
      </c>
      <c r="S691" s="3">
        <v>43</v>
      </c>
      <c r="T691" s="3">
        <v>2</v>
      </c>
      <c r="U691" s="3">
        <v>7</v>
      </c>
      <c r="V691" s="3">
        <v>5</v>
      </c>
      <c r="W691" s="3">
        <v>8</v>
      </c>
      <c r="X691" s="3">
        <v>4</v>
      </c>
    </row>
    <row r="692" spans="1:24" x14ac:dyDescent="0.35">
      <c r="A692">
        <v>748</v>
      </c>
      <c r="B692">
        <v>77297</v>
      </c>
      <c r="C692">
        <v>63</v>
      </c>
      <c r="D692">
        <v>0</v>
      </c>
      <c r="E692" s="28">
        <v>7.3369863013698629</v>
      </c>
      <c r="F692" s="28"/>
      <c r="G692" s="28"/>
      <c r="H692" s="28"/>
      <c r="I692" s="28"/>
      <c r="J692" s="28"/>
      <c r="L692" s="38">
        <v>748</v>
      </c>
      <c r="M692" s="2">
        <v>84</v>
      </c>
      <c r="N692" s="2">
        <v>408</v>
      </c>
      <c r="O692" s="2">
        <v>61</v>
      </c>
      <c r="P692" s="2">
        <v>109</v>
      </c>
      <c r="Q692" s="2">
        <v>48</v>
      </c>
      <c r="R692" s="2">
        <v>122</v>
      </c>
      <c r="S692" s="2">
        <v>41</v>
      </c>
      <c r="T692" s="2">
        <v>1</v>
      </c>
      <c r="U692" s="2">
        <v>5</v>
      </c>
      <c r="V692" s="2">
        <v>7</v>
      </c>
      <c r="W692" s="2">
        <v>9</v>
      </c>
      <c r="X692" s="2">
        <v>4</v>
      </c>
    </row>
    <row r="693" spans="1:24" x14ac:dyDescent="0.35">
      <c r="A693">
        <v>747</v>
      </c>
      <c r="B693">
        <v>96547</v>
      </c>
      <c r="C693">
        <v>40</v>
      </c>
      <c r="D693">
        <v>0</v>
      </c>
      <c r="E693" s="28">
        <v>6.0164383561643833</v>
      </c>
      <c r="F693" s="28"/>
      <c r="G693" s="28"/>
      <c r="H693" s="28"/>
      <c r="I693" s="28"/>
      <c r="J693" s="28"/>
      <c r="L693" s="37">
        <v>747</v>
      </c>
      <c r="M693" s="3">
        <v>4</v>
      </c>
      <c r="N693" s="3">
        <v>448</v>
      </c>
      <c r="O693" s="3">
        <v>21</v>
      </c>
      <c r="P693" s="3">
        <v>125</v>
      </c>
      <c r="Q693" s="3">
        <v>52</v>
      </c>
      <c r="R693" s="3">
        <v>101</v>
      </c>
      <c r="S693" s="3">
        <v>62</v>
      </c>
      <c r="T693" s="3">
        <v>0</v>
      </c>
      <c r="U693" s="3">
        <v>7</v>
      </c>
      <c r="V693" s="3">
        <v>6</v>
      </c>
      <c r="W693" s="3">
        <v>8</v>
      </c>
      <c r="X693" s="3">
        <v>2</v>
      </c>
    </row>
    <row r="694" spans="1:24" x14ac:dyDescent="0.35">
      <c r="A694">
        <v>736</v>
      </c>
      <c r="B694">
        <v>70566</v>
      </c>
      <c r="C694">
        <v>52</v>
      </c>
      <c r="D694">
        <v>1</v>
      </c>
      <c r="E694" s="28">
        <v>6.6438356164383565</v>
      </c>
      <c r="F694" s="28"/>
      <c r="G694" s="28"/>
      <c r="H694" s="28"/>
      <c r="I694" s="28"/>
      <c r="J694" s="28"/>
      <c r="L694" s="38">
        <v>736</v>
      </c>
      <c r="M694" s="2">
        <v>4</v>
      </c>
      <c r="N694" s="2">
        <v>381</v>
      </c>
      <c r="O694" s="2">
        <v>28</v>
      </c>
      <c r="P694" s="2">
        <v>215</v>
      </c>
      <c r="Q694" s="2">
        <v>84</v>
      </c>
      <c r="R694" s="2">
        <v>28</v>
      </c>
      <c r="S694" s="2">
        <v>21</v>
      </c>
      <c r="T694" s="2">
        <v>2</v>
      </c>
      <c r="U694" s="2">
        <v>6</v>
      </c>
      <c r="V694" s="2">
        <v>5</v>
      </c>
      <c r="W694" s="2">
        <v>9</v>
      </c>
      <c r="X694" s="2">
        <v>3</v>
      </c>
    </row>
    <row r="695" spans="1:24" x14ac:dyDescent="0.35">
      <c r="A695">
        <v>735</v>
      </c>
      <c r="B695">
        <v>64449</v>
      </c>
      <c r="C695">
        <v>31</v>
      </c>
      <c r="D695">
        <v>1</v>
      </c>
      <c r="E695" s="28">
        <v>6.2739726027397262</v>
      </c>
      <c r="F695" s="28"/>
      <c r="G695" s="28"/>
      <c r="H695" s="28"/>
      <c r="I695" s="28"/>
      <c r="J695" s="28"/>
      <c r="L695" s="37">
        <v>735</v>
      </c>
      <c r="M695" s="3">
        <v>70</v>
      </c>
      <c r="N695" s="3">
        <v>218</v>
      </c>
      <c r="O695" s="3">
        <v>63</v>
      </c>
      <c r="P695" s="3">
        <v>282</v>
      </c>
      <c r="Q695" s="3">
        <v>137</v>
      </c>
      <c r="R695" s="3">
        <v>35</v>
      </c>
      <c r="S695" s="3">
        <v>70</v>
      </c>
      <c r="T695" s="3">
        <v>4</v>
      </c>
      <c r="U695" s="3">
        <v>5</v>
      </c>
      <c r="V695" s="3">
        <v>3</v>
      </c>
      <c r="W695" s="3">
        <v>12</v>
      </c>
      <c r="X695" s="3">
        <v>4</v>
      </c>
    </row>
    <row r="696" spans="1:24" x14ac:dyDescent="0.35">
      <c r="A696">
        <v>734</v>
      </c>
      <c r="B696">
        <v>71613</v>
      </c>
      <c r="C696">
        <v>55</v>
      </c>
      <c r="D696">
        <v>0</v>
      </c>
      <c r="E696" s="28">
        <v>6.7698630136986298</v>
      </c>
      <c r="F696" s="28"/>
      <c r="G696" s="28"/>
      <c r="H696" s="28"/>
      <c r="I696" s="28"/>
      <c r="J696" s="28"/>
      <c r="L696" s="38">
        <v>734</v>
      </c>
      <c r="M696" s="2">
        <v>26</v>
      </c>
      <c r="N696" s="2">
        <v>426</v>
      </c>
      <c r="O696" s="2">
        <v>49</v>
      </c>
      <c r="P696" s="2">
        <v>127</v>
      </c>
      <c r="Q696" s="2">
        <v>111</v>
      </c>
      <c r="R696" s="2">
        <v>21</v>
      </c>
      <c r="S696" s="2">
        <v>42</v>
      </c>
      <c r="T696" s="2">
        <v>1</v>
      </c>
      <c r="U696" s="2">
        <v>8</v>
      </c>
      <c r="V696" s="2">
        <v>2</v>
      </c>
      <c r="W696" s="2">
        <v>10</v>
      </c>
      <c r="X696" s="2">
        <v>4</v>
      </c>
    </row>
    <row r="697" spans="1:24" x14ac:dyDescent="0.35">
      <c r="A697">
        <v>733</v>
      </c>
      <c r="B697">
        <v>69901</v>
      </c>
      <c r="C697">
        <v>51</v>
      </c>
      <c r="D697">
        <v>1</v>
      </c>
      <c r="E697" s="28">
        <v>7</v>
      </c>
      <c r="F697" s="28"/>
      <c r="G697" s="28"/>
      <c r="H697" s="28"/>
      <c r="I697" s="28"/>
      <c r="J697" s="28"/>
      <c r="L697" s="37">
        <v>733</v>
      </c>
      <c r="M697" s="3">
        <v>95</v>
      </c>
      <c r="N697" s="3">
        <v>312</v>
      </c>
      <c r="O697" s="3">
        <v>21</v>
      </c>
      <c r="P697" s="3">
        <v>206</v>
      </c>
      <c r="Q697" s="3">
        <v>102</v>
      </c>
      <c r="R697" s="3">
        <v>92</v>
      </c>
      <c r="S697" s="3">
        <v>149</v>
      </c>
      <c r="T697" s="3">
        <v>3</v>
      </c>
      <c r="U697" s="3">
        <v>7</v>
      </c>
      <c r="V697" s="3">
        <v>3</v>
      </c>
      <c r="W697" s="3">
        <v>10</v>
      </c>
      <c r="X697" s="3">
        <v>5</v>
      </c>
    </row>
    <row r="698" spans="1:24" x14ac:dyDescent="0.35">
      <c r="A698">
        <v>732</v>
      </c>
      <c r="B698">
        <v>70421</v>
      </c>
      <c r="C698">
        <v>66</v>
      </c>
      <c r="D698">
        <v>1</v>
      </c>
      <c r="E698" s="28">
        <v>5.9178082191780819</v>
      </c>
      <c r="F698" s="28"/>
      <c r="G698" s="28"/>
      <c r="H698" s="28"/>
      <c r="I698" s="28"/>
      <c r="J698" s="28"/>
      <c r="L698" s="38">
        <v>732</v>
      </c>
      <c r="M698" s="2">
        <v>98</v>
      </c>
      <c r="N698" s="2">
        <v>479</v>
      </c>
      <c r="O698" s="2">
        <v>28</v>
      </c>
      <c r="P698" s="2">
        <v>136</v>
      </c>
      <c r="Q698" s="2">
        <v>75</v>
      </c>
      <c r="R698" s="2">
        <v>14</v>
      </c>
      <c r="S698" s="2">
        <v>35</v>
      </c>
      <c r="T698" s="2">
        <v>3</v>
      </c>
      <c r="U698" s="2">
        <v>10</v>
      </c>
      <c r="V698" s="2">
        <v>3</v>
      </c>
      <c r="W698" s="2">
        <v>7</v>
      </c>
      <c r="X698" s="2">
        <v>6</v>
      </c>
    </row>
    <row r="699" spans="1:24" x14ac:dyDescent="0.35">
      <c r="A699">
        <v>730</v>
      </c>
      <c r="B699">
        <v>64474</v>
      </c>
      <c r="C699">
        <v>48</v>
      </c>
      <c r="D699">
        <v>1</v>
      </c>
      <c r="E699" s="28">
        <v>6.6</v>
      </c>
      <c r="F699" s="28"/>
      <c r="G699" s="28"/>
      <c r="H699" s="28"/>
      <c r="I699" s="28"/>
      <c r="J699" s="28"/>
      <c r="L699" s="37">
        <v>730</v>
      </c>
      <c r="M699" s="3">
        <v>59</v>
      </c>
      <c r="N699" s="3">
        <v>381</v>
      </c>
      <c r="O699" s="3">
        <v>35</v>
      </c>
      <c r="P699" s="3">
        <v>172</v>
      </c>
      <c r="Q699" s="3">
        <v>56</v>
      </c>
      <c r="R699" s="3">
        <v>86</v>
      </c>
      <c r="S699" s="3">
        <v>93</v>
      </c>
      <c r="T699" s="3">
        <v>2</v>
      </c>
      <c r="U699" s="3">
        <v>8</v>
      </c>
      <c r="V699" s="3">
        <v>2</v>
      </c>
      <c r="W699" s="3">
        <v>10</v>
      </c>
      <c r="X699" s="3">
        <v>5</v>
      </c>
    </row>
    <row r="700" spans="1:24" x14ac:dyDescent="0.35">
      <c r="A700">
        <v>729</v>
      </c>
      <c r="B700">
        <v>83151</v>
      </c>
      <c r="C700">
        <v>60</v>
      </c>
      <c r="D700">
        <v>0</v>
      </c>
      <c r="E700" s="28">
        <v>7.6328767123287671</v>
      </c>
      <c r="F700" s="28"/>
      <c r="G700" s="28"/>
      <c r="H700" s="28"/>
      <c r="I700" s="28"/>
      <c r="J700" s="28"/>
      <c r="L700" s="38">
        <v>729</v>
      </c>
      <c r="M700" s="2">
        <v>93</v>
      </c>
      <c r="N700" s="2">
        <v>407</v>
      </c>
      <c r="O700" s="2">
        <v>28</v>
      </c>
      <c r="P700" s="2">
        <v>100</v>
      </c>
      <c r="Q700" s="2">
        <v>120</v>
      </c>
      <c r="R700" s="2">
        <v>74</v>
      </c>
      <c r="S700" s="2">
        <v>18</v>
      </c>
      <c r="T700" s="2">
        <v>1</v>
      </c>
      <c r="U700" s="2">
        <v>5</v>
      </c>
      <c r="V700" s="2">
        <v>9</v>
      </c>
      <c r="W700" s="2">
        <v>4</v>
      </c>
      <c r="X700" s="2">
        <v>3</v>
      </c>
    </row>
    <row r="701" spans="1:24" x14ac:dyDescent="0.35">
      <c r="A701">
        <v>728</v>
      </c>
      <c r="B701">
        <v>58684</v>
      </c>
      <c r="C701">
        <v>39</v>
      </c>
      <c r="D701">
        <v>0</v>
      </c>
      <c r="E701" s="28">
        <v>5.9506849315068493</v>
      </c>
      <c r="F701" s="28"/>
      <c r="G701" s="28"/>
      <c r="H701" s="28"/>
      <c r="I701" s="28"/>
      <c r="J701" s="28"/>
      <c r="L701" s="37">
        <v>728</v>
      </c>
      <c r="M701" s="3">
        <v>71</v>
      </c>
      <c r="N701" s="3">
        <v>479</v>
      </c>
      <c r="O701" s="3">
        <v>35</v>
      </c>
      <c r="P701" s="3">
        <v>179</v>
      </c>
      <c r="Q701" s="3">
        <v>28</v>
      </c>
      <c r="R701" s="3">
        <v>7</v>
      </c>
      <c r="S701" s="3">
        <v>85</v>
      </c>
      <c r="T701" s="3">
        <v>1</v>
      </c>
      <c r="U701" s="3">
        <v>5</v>
      </c>
      <c r="V701" s="3">
        <v>3</v>
      </c>
      <c r="W701" s="3">
        <v>12</v>
      </c>
      <c r="X701" s="3">
        <v>2</v>
      </c>
    </row>
    <row r="702" spans="1:24" x14ac:dyDescent="0.35">
      <c r="A702">
        <v>726</v>
      </c>
      <c r="B702">
        <v>86580</v>
      </c>
      <c r="C702">
        <v>37</v>
      </c>
      <c r="D702">
        <v>0</v>
      </c>
      <c r="E702" s="28">
        <v>7.2493150684931509</v>
      </c>
      <c r="F702" s="28"/>
      <c r="G702" s="28"/>
      <c r="H702" s="28"/>
      <c r="I702" s="28"/>
      <c r="J702" s="28"/>
      <c r="L702" s="38">
        <v>726</v>
      </c>
      <c r="M702" s="2">
        <v>72</v>
      </c>
      <c r="N702" s="2">
        <v>532</v>
      </c>
      <c r="O702" s="2">
        <v>21</v>
      </c>
      <c r="P702" s="2">
        <v>127</v>
      </c>
      <c r="Q702" s="2">
        <v>26</v>
      </c>
      <c r="R702" s="2">
        <v>20</v>
      </c>
      <c r="S702" s="2">
        <v>20</v>
      </c>
      <c r="T702" s="2">
        <v>0</v>
      </c>
      <c r="U702" s="2">
        <v>4</v>
      </c>
      <c r="V702" s="2">
        <v>2</v>
      </c>
      <c r="W702" s="2">
        <v>5</v>
      </c>
      <c r="X702" s="2">
        <v>1</v>
      </c>
    </row>
    <row r="703" spans="1:24" x14ac:dyDescent="0.35">
      <c r="A703">
        <v>725</v>
      </c>
      <c r="B703">
        <v>67225</v>
      </c>
      <c r="C703">
        <v>65</v>
      </c>
      <c r="D703">
        <v>1</v>
      </c>
      <c r="E703" s="28">
        <v>6.5041095890410956</v>
      </c>
      <c r="F703" s="28"/>
      <c r="G703" s="28"/>
      <c r="H703" s="28"/>
      <c r="I703" s="28"/>
      <c r="J703" s="28"/>
      <c r="L703" s="37">
        <v>725</v>
      </c>
      <c r="M703" s="3">
        <v>4</v>
      </c>
      <c r="N703" s="3">
        <v>315</v>
      </c>
      <c r="O703" s="3">
        <v>35</v>
      </c>
      <c r="P703" s="3">
        <v>322</v>
      </c>
      <c r="Q703" s="3">
        <v>46</v>
      </c>
      <c r="R703" s="3">
        <v>7</v>
      </c>
      <c r="S703" s="3">
        <v>143</v>
      </c>
      <c r="T703" s="3">
        <v>3</v>
      </c>
      <c r="U703" s="3">
        <v>7</v>
      </c>
      <c r="V703" s="3">
        <v>2</v>
      </c>
      <c r="W703" s="3">
        <v>11</v>
      </c>
      <c r="X703" s="3">
        <v>5</v>
      </c>
    </row>
    <row r="704" spans="1:24" x14ac:dyDescent="0.35">
      <c r="A704">
        <v>725</v>
      </c>
      <c r="B704">
        <v>65275</v>
      </c>
      <c r="C704">
        <v>76</v>
      </c>
      <c r="D704">
        <v>0</v>
      </c>
      <c r="E704" s="28">
        <v>7.1534246575342468</v>
      </c>
      <c r="F704" s="28"/>
      <c r="G704" s="28"/>
      <c r="H704" s="28"/>
      <c r="I704" s="28"/>
      <c r="J704" s="28"/>
      <c r="L704" s="38">
        <v>725</v>
      </c>
      <c r="M704" s="2">
        <v>9</v>
      </c>
      <c r="N704" s="2">
        <v>388</v>
      </c>
      <c r="O704" s="2">
        <v>14</v>
      </c>
      <c r="P704" s="2">
        <v>218</v>
      </c>
      <c r="Q704" s="2">
        <v>91</v>
      </c>
      <c r="R704" s="2">
        <v>14</v>
      </c>
      <c r="S704" s="2">
        <v>21</v>
      </c>
      <c r="T704" s="2">
        <v>1</v>
      </c>
      <c r="U704" s="2">
        <v>4</v>
      </c>
      <c r="V704" s="2">
        <v>3</v>
      </c>
      <c r="W704" s="2">
        <v>13</v>
      </c>
      <c r="X704" s="2">
        <v>2</v>
      </c>
    </row>
    <row r="705" spans="1:24" x14ac:dyDescent="0.35">
      <c r="A705">
        <v>724</v>
      </c>
      <c r="B705">
        <v>50898</v>
      </c>
      <c r="C705">
        <v>64</v>
      </c>
      <c r="D705">
        <v>1</v>
      </c>
      <c r="E705" s="28">
        <v>7.3863013698630136</v>
      </c>
      <c r="F705" s="28"/>
      <c r="G705" s="28"/>
      <c r="H705" s="28"/>
      <c r="I705" s="28"/>
      <c r="J705" s="28"/>
      <c r="L705" s="37">
        <v>724</v>
      </c>
      <c r="M705" s="3">
        <v>88</v>
      </c>
      <c r="N705" s="3">
        <v>285</v>
      </c>
      <c r="O705" s="3">
        <v>28</v>
      </c>
      <c r="P705" s="3">
        <v>242</v>
      </c>
      <c r="Q705" s="3">
        <v>55</v>
      </c>
      <c r="R705" s="3">
        <v>114</v>
      </c>
      <c r="S705" s="3">
        <v>135</v>
      </c>
      <c r="T705" s="3">
        <v>13</v>
      </c>
      <c r="U705" s="3">
        <v>6</v>
      </c>
      <c r="V705" s="3">
        <v>2</v>
      </c>
      <c r="W705" s="3">
        <v>12</v>
      </c>
      <c r="X705" s="3">
        <v>5</v>
      </c>
    </row>
    <row r="706" spans="1:24" x14ac:dyDescent="0.35">
      <c r="A706">
        <v>724</v>
      </c>
      <c r="B706">
        <v>58482</v>
      </c>
      <c r="C706">
        <v>65</v>
      </c>
      <c r="D706">
        <v>1</v>
      </c>
      <c r="E706" s="28">
        <v>6.2136986301369861</v>
      </c>
      <c r="F706" s="28"/>
      <c r="G706" s="28"/>
      <c r="H706" s="28"/>
      <c r="I706" s="28"/>
      <c r="J706" s="28"/>
      <c r="L706" s="38">
        <v>724</v>
      </c>
      <c r="M706" s="2">
        <v>59</v>
      </c>
      <c r="N706" s="2">
        <v>576</v>
      </c>
      <c r="O706" s="2">
        <v>7</v>
      </c>
      <c r="P706" s="2">
        <v>115</v>
      </c>
      <c r="Q706" s="2">
        <v>19</v>
      </c>
      <c r="R706" s="2">
        <v>7</v>
      </c>
      <c r="S706" s="2">
        <v>7</v>
      </c>
      <c r="T706" s="2">
        <v>2</v>
      </c>
      <c r="U706" s="2">
        <v>7</v>
      </c>
      <c r="V706" s="2">
        <v>4</v>
      </c>
      <c r="W706" s="2">
        <v>9</v>
      </c>
      <c r="X706" s="2">
        <v>6</v>
      </c>
    </row>
    <row r="707" spans="1:24" x14ac:dyDescent="0.35">
      <c r="A707">
        <v>724</v>
      </c>
      <c r="B707">
        <v>57811</v>
      </c>
      <c r="C707">
        <v>54</v>
      </c>
      <c r="D707">
        <v>1</v>
      </c>
      <c r="E707" s="28">
        <v>6.9287671232876713</v>
      </c>
      <c r="F707" s="28"/>
      <c r="G707" s="28"/>
      <c r="H707" s="28"/>
      <c r="I707" s="28"/>
      <c r="J707" s="28"/>
      <c r="L707" s="37">
        <v>724</v>
      </c>
      <c r="M707" s="3">
        <v>49</v>
      </c>
      <c r="N707" s="3">
        <v>545</v>
      </c>
      <c r="O707" s="3">
        <v>7</v>
      </c>
      <c r="P707" s="3">
        <v>114</v>
      </c>
      <c r="Q707" s="3">
        <v>37</v>
      </c>
      <c r="R707" s="3">
        <v>21</v>
      </c>
      <c r="S707" s="3">
        <v>78</v>
      </c>
      <c r="T707" s="3">
        <v>5</v>
      </c>
      <c r="U707" s="3">
        <v>7</v>
      </c>
      <c r="V707" s="3">
        <v>2</v>
      </c>
      <c r="W707" s="3">
        <v>11</v>
      </c>
      <c r="X707" s="3">
        <v>5</v>
      </c>
    </row>
    <row r="708" spans="1:24" x14ac:dyDescent="0.35">
      <c r="A708">
        <v>724</v>
      </c>
      <c r="B708">
        <v>70932</v>
      </c>
      <c r="C708">
        <v>48</v>
      </c>
      <c r="D708">
        <v>1</v>
      </c>
      <c r="E708" s="28">
        <v>6.3561643835616435</v>
      </c>
      <c r="F708" s="28"/>
      <c r="G708" s="28"/>
      <c r="H708" s="28"/>
      <c r="I708" s="28"/>
      <c r="J708" s="28"/>
      <c r="L708" s="38">
        <v>724</v>
      </c>
      <c r="M708" s="2">
        <v>57</v>
      </c>
      <c r="N708" s="2">
        <v>200</v>
      </c>
      <c r="O708" s="2">
        <v>193</v>
      </c>
      <c r="P708" s="2">
        <v>100</v>
      </c>
      <c r="Q708" s="2">
        <v>46</v>
      </c>
      <c r="R708" s="2">
        <v>185</v>
      </c>
      <c r="S708" s="2">
        <v>185</v>
      </c>
      <c r="T708" s="2">
        <v>2</v>
      </c>
      <c r="U708" s="2">
        <v>6</v>
      </c>
      <c r="V708" s="2">
        <v>2</v>
      </c>
      <c r="W708" s="2">
        <v>12</v>
      </c>
      <c r="X708" s="2">
        <v>3</v>
      </c>
    </row>
    <row r="709" spans="1:24" x14ac:dyDescent="0.35">
      <c r="A709">
        <v>723</v>
      </c>
      <c r="B709">
        <v>49505</v>
      </c>
      <c r="C709">
        <v>49</v>
      </c>
      <c r="D709">
        <v>1</v>
      </c>
      <c r="E709" s="28">
        <v>7.2328767123287667</v>
      </c>
      <c r="F709" s="28"/>
      <c r="G709" s="28"/>
      <c r="H709" s="28"/>
      <c r="I709" s="28"/>
      <c r="J709" s="28"/>
      <c r="L709" s="37">
        <v>723</v>
      </c>
      <c r="M709" s="3">
        <v>4</v>
      </c>
      <c r="N709" s="3">
        <v>604</v>
      </c>
      <c r="O709" s="3">
        <v>0</v>
      </c>
      <c r="P709" s="3">
        <v>100</v>
      </c>
      <c r="Q709" s="3">
        <v>19</v>
      </c>
      <c r="R709" s="3">
        <v>0</v>
      </c>
      <c r="S709" s="3">
        <v>28</v>
      </c>
      <c r="T709" s="3">
        <v>9</v>
      </c>
      <c r="U709" s="3">
        <v>10</v>
      </c>
      <c r="V709" s="3">
        <v>2</v>
      </c>
      <c r="W709" s="3">
        <v>8</v>
      </c>
      <c r="X709" s="3">
        <v>8</v>
      </c>
    </row>
    <row r="710" spans="1:24" x14ac:dyDescent="0.35">
      <c r="A710">
        <v>721</v>
      </c>
      <c r="B710">
        <v>58582</v>
      </c>
      <c r="C710">
        <v>38</v>
      </c>
      <c r="D710">
        <v>1</v>
      </c>
      <c r="E710" s="28">
        <v>6.6657534246575345</v>
      </c>
      <c r="F710" s="28"/>
      <c r="G710" s="28"/>
      <c r="H710" s="28"/>
      <c r="I710" s="28"/>
      <c r="J710" s="28"/>
      <c r="L710" s="38">
        <v>721</v>
      </c>
      <c r="M710" s="2">
        <v>15</v>
      </c>
      <c r="N710" s="2">
        <v>402</v>
      </c>
      <c r="O710" s="2">
        <v>35</v>
      </c>
      <c r="P710" s="2">
        <v>106</v>
      </c>
      <c r="Q710" s="2">
        <v>101</v>
      </c>
      <c r="R710" s="2">
        <v>77</v>
      </c>
      <c r="S710" s="2">
        <v>42</v>
      </c>
      <c r="T710" s="2">
        <v>2</v>
      </c>
      <c r="U710" s="2">
        <v>9</v>
      </c>
      <c r="V710" s="2">
        <v>2</v>
      </c>
      <c r="W710" s="2">
        <v>9</v>
      </c>
      <c r="X710" s="2">
        <v>5</v>
      </c>
    </row>
    <row r="711" spans="1:24" x14ac:dyDescent="0.35">
      <c r="A711">
        <v>720</v>
      </c>
      <c r="B711">
        <v>63967</v>
      </c>
      <c r="C711">
        <v>52</v>
      </c>
      <c r="D711">
        <v>1</v>
      </c>
      <c r="E711" s="28">
        <v>6.8027397260273972</v>
      </c>
      <c r="F711" s="28"/>
      <c r="G711" s="28"/>
      <c r="H711" s="28"/>
      <c r="I711" s="28"/>
      <c r="J711" s="28"/>
      <c r="L711" s="37">
        <v>720</v>
      </c>
      <c r="M711" s="3">
        <v>57</v>
      </c>
      <c r="N711" s="3">
        <v>387</v>
      </c>
      <c r="O711" s="3">
        <v>84</v>
      </c>
      <c r="P711" s="3">
        <v>141</v>
      </c>
      <c r="Q711" s="3">
        <v>73</v>
      </c>
      <c r="R711" s="3">
        <v>35</v>
      </c>
      <c r="S711" s="3">
        <v>162</v>
      </c>
      <c r="T711" s="3">
        <v>3</v>
      </c>
      <c r="U711" s="3">
        <v>4</v>
      </c>
      <c r="V711" s="3">
        <v>4</v>
      </c>
      <c r="W711" s="3">
        <v>12</v>
      </c>
      <c r="X711" s="3">
        <v>2</v>
      </c>
    </row>
    <row r="712" spans="1:24" x14ac:dyDescent="0.35">
      <c r="A712">
        <v>720</v>
      </c>
      <c r="B712">
        <v>62807</v>
      </c>
      <c r="C712">
        <v>60</v>
      </c>
      <c r="D712">
        <v>1</v>
      </c>
      <c r="E712" s="28">
        <v>7.7424657534246579</v>
      </c>
      <c r="F712" s="28"/>
      <c r="G712" s="28"/>
      <c r="H712" s="28"/>
      <c r="I712" s="28"/>
      <c r="J712" s="28"/>
      <c r="L712" s="38">
        <v>720</v>
      </c>
      <c r="M712" s="2">
        <v>83</v>
      </c>
      <c r="N712" s="2">
        <v>526</v>
      </c>
      <c r="O712" s="2">
        <v>28</v>
      </c>
      <c r="P712" s="2">
        <v>135</v>
      </c>
      <c r="Q712" s="2">
        <v>10</v>
      </c>
      <c r="R712" s="2">
        <v>21</v>
      </c>
      <c r="S712" s="2">
        <v>99</v>
      </c>
      <c r="T712" s="2">
        <v>3</v>
      </c>
      <c r="U712" s="2">
        <v>5</v>
      </c>
      <c r="V712" s="2">
        <v>3</v>
      </c>
      <c r="W712" s="2">
        <v>12</v>
      </c>
      <c r="X712" s="2">
        <v>5</v>
      </c>
    </row>
    <row r="713" spans="1:24" x14ac:dyDescent="0.35">
      <c r="A713">
        <v>719</v>
      </c>
      <c r="B713">
        <v>67272</v>
      </c>
      <c r="C713">
        <v>54</v>
      </c>
      <c r="D713">
        <v>1</v>
      </c>
      <c r="E713" s="28">
        <v>6.4356164383561643</v>
      </c>
      <c r="F713" s="28"/>
      <c r="G713" s="28"/>
      <c r="H713" s="28"/>
      <c r="I713" s="28"/>
      <c r="J713" s="28"/>
      <c r="L713" s="37">
        <v>719</v>
      </c>
      <c r="M713" s="3">
        <v>12</v>
      </c>
      <c r="N713" s="3">
        <v>357</v>
      </c>
      <c r="O713" s="3">
        <v>35</v>
      </c>
      <c r="P713" s="3">
        <v>271</v>
      </c>
      <c r="Q713" s="3">
        <v>28</v>
      </c>
      <c r="R713" s="3">
        <v>28</v>
      </c>
      <c r="S713" s="3">
        <v>14</v>
      </c>
      <c r="T713" s="3">
        <v>3</v>
      </c>
      <c r="U713" s="3">
        <v>6</v>
      </c>
      <c r="V713" s="3">
        <v>2</v>
      </c>
      <c r="W713" s="3">
        <v>12</v>
      </c>
      <c r="X713" s="3">
        <v>5</v>
      </c>
    </row>
    <row r="714" spans="1:24" x14ac:dyDescent="0.35">
      <c r="A714">
        <v>715</v>
      </c>
      <c r="B714">
        <v>80910</v>
      </c>
      <c r="C714">
        <v>34</v>
      </c>
      <c r="D714">
        <v>0</v>
      </c>
      <c r="E714" s="28">
        <v>7.5753424657534243</v>
      </c>
      <c r="F714" s="28"/>
      <c r="G714" s="28"/>
      <c r="H714" s="28"/>
      <c r="I714" s="28"/>
      <c r="J714" s="28"/>
      <c r="L714" s="38">
        <v>715</v>
      </c>
      <c r="M714" s="2">
        <v>71</v>
      </c>
      <c r="N714" s="2">
        <v>160</v>
      </c>
      <c r="O714" s="2">
        <v>80</v>
      </c>
      <c r="P714" s="2">
        <v>369</v>
      </c>
      <c r="Q714" s="2">
        <v>67</v>
      </c>
      <c r="R714" s="2">
        <v>39</v>
      </c>
      <c r="S714" s="2">
        <v>41</v>
      </c>
      <c r="T714" s="2">
        <v>1</v>
      </c>
      <c r="U714" s="2">
        <v>3</v>
      </c>
      <c r="V714" s="2">
        <v>3</v>
      </c>
      <c r="W714" s="2">
        <v>8</v>
      </c>
      <c r="X714" s="2">
        <v>1</v>
      </c>
    </row>
    <row r="715" spans="1:24" x14ac:dyDescent="0.35">
      <c r="A715">
        <v>715</v>
      </c>
      <c r="B715">
        <v>60585</v>
      </c>
      <c r="C715">
        <v>49</v>
      </c>
      <c r="D715">
        <v>1</v>
      </c>
      <c r="E715" s="28">
        <v>6.9287671232876713</v>
      </c>
      <c r="F715" s="28"/>
      <c r="G715" s="28"/>
      <c r="H715" s="28"/>
      <c r="I715" s="28"/>
      <c r="J715" s="28"/>
      <c r="L715" s="37">
        <v>715</v>
      </c>
      <c r="M715" s="3">
        <v>17</v>
      </c>
      <c r="N715" s="3">
        <v>267</v>
      </c>
      <c r="O715" s="3">
        <v>42</v>
      </c>
      <c r="P715" s="3">
        <v>309</v>
      </c>
      <c r="Q715" s="3">
        <v>55</v>
      </c>
      <c r="R715" s="3">
        <v>42</v>
      </c>
      <c r="S715" s="3">
        <v>21</v>
      </c>
      <c r="T715" s="3">
        <v>10</v>
      </c>
      <c r="U715" s="3">
        <v>7</v>
      </c>
      <c r="V715" s="3">
        <v>4</v>
      </c>
      <c r="W715" s="3">
        <v>9</v>
      </c>
      <c r="X715" s="3">
        <v>5</v>
      </c>
    </row>
    <row r="716" spans="1:24" x14ac:dyDescent="0.35">
      <c r="A716">
        <v>715</v>
      </c>
      <c r="B716">
        <v>61823</v>
      </c>
      <c r="C716">
        <v>68</v>
      </c>
      <c r="D716">
        <v>1</v>
      </c>
      <c r="E716" s="28">
        <v>7.2739726027397262</v>
      </c>
      <c r="F716" s="28"/>
      <c r="G716" s="28"/>
      <c r="H716" s="28"/>
      <c r="I716" s="28"/>
      <c r="J716" s="28"/>
      <c r="L716" s="38">
        <v>715</v>
      </c>
      <c r="M716" s="2">
        <v>26</v>
      </c>
      <c r="N716" s="2">
        <v>523</v>
      </c>
      <c r="O716" s="2">
        <v>7</v>
      </c>
      <c r="P716" s="2">
        <v>134</v>
      </c>
      <c r="Q716" s="2">
        <v>37</v>
      </c>
      <c r="R716" s="2">
        <v>14</v>
      </c>
      <c r="S716" s="2">
        <v>169</v>
      </c>
      <c r="T716" s="2">
        <v>4</v>
      </c>
      <c r="U716" s="2">
        <v>8</v>
      </c>
      <c r="V716" s="2">
        <v>2</v>
      </c>
      <c r="W716" s="2">
        <v>10</v>
      </c>
      <c r="X716" s="2">
        <v>7</v>
      </c>
    </row>
    <row r="717" spans="1:24" x14ac:dyDescent="0.35">
      <c r="A717">
        <v>714</v>
      </c>
      <c r="B717">
        <v>59111</v>
      </c>
      <c r="C717">
        <v>66</v>
      </c>
      <c r="D717">
        <v>0</v>
      </c>
      <c r="E717" s="28">
        <v>7.0739726027397261</v>
      </c>
      <c r="F717" s="28"/>
      <c r="G717" s="28"/>
      <c r="H717" s="28"/>
      <c r="I717" s="28"/>
      <c r="J717" s="28"/>
      <c r="L717" s="37">
        <v>714</v>
      </c>
      <c r="M717" s="3">
        <v>90</v>
      </c>
      <c r="N717" s="3">
        <v>524</v>
      </c>
      <c r="O717" s="3">
        <v>0</v>
      </c>
      <c r="P717" s="3">
        <v>134</v>
      </c>
      <c r="Q717" s="3">
        <v>28</v>
      </c>
      <c r="R717" s="3">
        <v>28</v>
      </c>
      <c r="S717" s="3">
        <v>155</v>
      </c>
      <c r="T717" s="3">
        <v>1</v>
      </c>
      <c r="U717" s="3">
        <v>11</v>
      </c>
      <c r="V717" s="3">
        <v>1</v>
      </c>
      <c r="W717" s="3">
        <v>8</v>
      </c>
      <c r="X717" s="3">
        <v>7</v>
      </c>
    </row>
    <row r="718" spans="1:24" x14ac:dyDescent="0.35">
      <c r="A718">
        <v>713</v>
      </c>
      <c r="B718">
        <v>44511</v>
      </c>
      <c r="C718">
        <v>50</v>
      </c>
      <c r="D718">
        <v>1</v>
      </c>
      <c r="E718" s="28">
        <v>7.6273972602739724</v>
      </c>
      <c r="F718" s="28"/>
      <c r="G718" s="28"/>
      <c r="H718" s="28"/>
      <c r="I718" s="28"/>
      <c r="J718" s="28"/>
      <c r="L718" s="38">
        <v>713</v>
      </c>
      <c r="M718" s="2">
        <v>39</v>
      </c>
      <c r="N718" s="2">
        <v>513</v>
      </c>
      <c r="O718" s="2">
        <v>7</v>
      </c>
      <c r="P718" s="2">
        <v>133</v>
      </c>
      <c r="Q718" s="2">
        <v>46</v>
      </c>
      <c r="R718" s="2">
        <v>14</v>
      </c>
      <c r="S718" s="2">
        <v>14</v>
      </c>
      <c r="T718" s="2">
        <v>6</v>
      </c>
      <c r="U718" s="2">
        <v>8</v>
      </c>
      <c r="V718" s="2">
        <v>4</v>
      </c>
      <c r="W718" s="2">
        <v>8</v>
      </c>
      <c r="X718" s="2">
        <v>8</v>
      </c>
    </row>
    <row r="719" spans="1:24" x14ac:dyDescent="0.35">
      <c r="A719">
        <v>712</v>
      </c>
      <c r="B719">
        <v>58597</v>
      </c>
      <c r="C719">
        <v>44</v>
      </c>
      <c r="D719">
        <v>1</v>
      </c>
      <c r="E719" s="28">
        <v>7.5205479452054798</v>
      </c>
      <c r="F719" s="28"/>
      <c r="G719" s="28"/>
      <c r="H719" s="28"/>
      <c r="I719" s="28"/>
      <c r="J719" s="28"/>
      <c r="L719" s="37">
        <v>712</v>
      </c>
      <c r="M719" s="3">
        <v>20</v>
      </c>
      <c r="N719" s="3">
        <v>490</v>
      </c>
      <c r="O719" s="3">
        <v>0</v>
      </c>
      <c r="P719" s="3">
        <v>184</v>
      </c>
      <c r="Q719" s="3">
        <v>10</v>
      </c>
      <c r="R719" s="3">
        <v>28</v>
      </c>
      <c r="S719" s="3">
        <v>21</v>
      </c>
      <c r="T719" s="3">
        <v>12</v>
      </c>
      <c r="U719" s="3">
        <v>7</v>
      </c>
      <c r="V719" s="3">
        <v>4</v>
      </c>
      <c r="W719" s="3">
        <v>9</v>
      </c>
      <c r="X719" s="3">
        <v>7</v>
      </c>
    </row>
    <row r="720" spans="1:24" x14ac:dyDescent="0.35">
      <c r="A720">
        <v>712</v>
      </c>
      <c r="B720">
        <v>65814</v>
      </c>
      <c r="C720">
        <v>54</v>
      </c>
      <c r="D720">
        <v>1</v>
      </c>
      <c r="E720" s="28">
        <v>6.2410958904109588</v>
      </c>
      <c r="F720" s="28"/>
      <c r="G720" s="28"/>
      <c r="H720" s="28"/>
      <c r="I720" s="28"/>
      <c r="J720" s="28"/>
      <c r="L720" s="38">
        <v>712</v>
      </c>
      <c r="M720" s="2">
        <v>90</v>
      </c>
      <c r="N720" s="2">
        <v>561</v>
      </c>
      <c r="O720" s="2">
        <v>14</v>
      </c>
      <c r="P720" s="2">
        <v>113</v>
      </c>
      <c r="Q720" s="2">
        <v>10</v>
      </c>
      <c r="R720" s="2">
        <v>14</v>
      </c>
      <c r="S720" s="2">
        <v>35</v>
      </c>
      <c r="T720" s="2">
        <v>3</v>
      </c>
      <c r="U720" s="2">
        <v>8</v>
      </c>
      <c r="V720" s="2">
        <v>2</v>
      </c>
      <c r="W720" s="2">
        <v>10</v>
      </c>
      <c r="X720" s="2">
        <v>5</v>
      </c>
    </row>
    <row r="721" spans="1:24" x14ac:dyDescent="0.35">
      <c r="A721">
        <v>712</v>
      </c>
      <c r="B721">
        <v>65685</v>
      </c>
      <c r="C721">
        <v>48</v>
      </c>
      <c r="D721">
        <v>1</v>
      </c>
      <c r="E721" s="28">
        <v>6.1671232876712327</v>
      </c>
      <c r="F721" s="28"/>
      <c r="G721" s="28"/>
      <c r="H721" s="28"/>
      <c r="I721" s="28"/>
      <c r="J721" s="28"/>
      <c r="L721" s="37">
        <v>712</v>
      </c>
      <c r="M721" s="3">
        <v>54</v>
      </c>
      <c r="N721" s="3">
        <v>642</v>
      </c>
      <c r="O721" s="3">
        <v>14</v>
      </c>
      <c r="P721" s="3">
        <v>49</v>
      </c>
      <c r="Q721" s="3">
        <v>0</v>
      </c>
      <c r="R721" s="3">
        <v>7</v>
      </c>
      <c r="S721" s="3">
        <v>57</v>
      </c>
      <c r="T721" s="3">
        <v>1</v>
      </c>
      <c r="U721" s="3">
        <v>9</v>
      </c>
      <c r="V721" s="3">
        <v>2</v>
      </c>
      <c r="W721" s="3">
        <v>9</v>
      </c>
      <c r="X721" s="3">
        <v>5</v>
      </c>
    </row>
    <row r="722" spans="1:24" x14ac:dyDescent="0.35">
      <c r="A722">
        <v>710</v>
      </c>
      <c r="B722">
        <v>59925</v>
      </c>
      <c r="C722">
        <v>65</v>
      </c>
      <c r="D722">
        <v>1</v>
      </c>
      <c r="E722" s="28">
        <v>7.493150684931507</v>
      </c>
      <c r="F722" s="28"/>
      <c r="G722" s="28"/>
      <c r="H722" s="28"/>
      <c r="I722" s="28"/>
      <c r="J722" s="28"/>
      <c r="L722" s="38">
        <v>710</v>
      </c>
      <c r="M722" s="2">
        <v>83</v>
      </c>
      <c r="N722" s="2">
        <v>473</v>
      </c>
      <c r="O722" s="2">
        <v>21</v>
      </c>
      <c r="P722" s="2">
        <v>176</v>
      </c>
      <c r="Q722" s="2">
        <v>19</v>
      </c>
      <c r="R722" s="2">
        <v>21</v>
      </c>
      <c r="S722" s="2">
        <v>56</v>
      </c>
      <c r="T722" s="2">
        <v>3</v>
      </c>
      <c r="U722" s="2">
        <v>9</v>
      </c>
      <c r="V722" s="2">
        <v>2</v>
      </c>
      <c r="W722" s="2">
        <v>9</v>
      </c>
      <c r="X722" s="2">
        <v>6</v>
      </c>
    </row>
    <row r="723" spans="1:24" x14ac:dyDescent="0.35">
      <c r="A723">
        <v>709</v>
      </c>
      <c r="B723">
        <v>70777</v>
      </c>
      <c r="C723">
        <v>52</v>
      </c>
      <c r="D723">
        <v>1</v>
      </c>
      <c r="E723" s="28">
        <v>6.2547945205479456</v>
      </c>
      <c r="F723" s="28"/>
      <c r="G723" s="28"/>
      <c r="H723" s="28"/>
      <c r="I723" s="28"/>
      <c r="J723" s="28"/>
      <c r="L723" s="37">
        <v>709</v>
      </c>
      <c r="M723" s="3">
        <v>80</v>
      </c>
      <c r="N723" s="3">
        <v>554</v>
      </c>
      <c r="O723" s="3">
        <v>35</v>
      </c>
      <c r="P723" s="3">
        <v>113</v>
      </c>
      <c r="Q723" s="3">
        <v>0</v>
      </c>
      <c r="R723" s="3">
        <v>7</v>
      </c>
      <c r="S723" s="3">
        <v>78</v>
      </c>
      <c r="T723" s="3">
        <v>3</v>
      </c>
      <c r="U723" s="3">
        <v>5</v>
      </c>
      <c r="V723" s="3">
        <v>3</v>
      </c>
      <c r="W723" s="3">
        <v>12</v>
      </c>
      <c r="X723" s="3">
        <v>3</v>
      </c>
    </row>
    <row r="724" spans="1:24" x14ac:dyDescent="0.35">
      <c r="A724">
        <v>708</v>
      </c>
      <c r="B724">
        <v>86037</v>
      </c>
      <c r="C724">
        <v>29</v>
      </c>
      <c r="D724">
        <v>0</v>
      </c>
      <c r="E724" s="28">
        <v>7.4027397260273968</v>
      </c>
      <c r="F724" s="28"/>
      <c r="G724" s="28"/>
      <c r="H724" s="28"/>
      <c r="I724" s="28"/>
      <c r="J724" s="28"/>
      <c r="L724" s="38">
        <v>708</v>
      </c>
      <c r="M724" s="2">
        <v>95</v>
      </c>
      <c r="N724" s="2">
        <v>490</v>
      </c>
      <c r="O724" s="2">
        <v>44</v>
      </c>
      <c r="P724" s="2">
        <v>125</v>
      </c>
      <c r="Q724" s="2">
        <v>29</v>
      </c>
      <c r="R724" s="2">
        <v>20</v>
      </c>
      <c r="S724" s="2">
        <v>22</v>
      </c>
      <c r="T724" s="2">
        <v>1</v>
      </c>
      <c r="U724" s="2">
        <v>6</v>
      </c>
      <c r="V724" s="2">
        <v>7</v>
      </c>
      <c r="W724" s="2">
        <v>11</v>
      </c>
      <c r="X724" s="2">
        <v>3</v>
      </c>
    </row>
    <row r="725" spans="1:24" x14ac:dyDescent="0.35">
      <c r="A725">
        <v>706</v>
      </c>
      <c r="B725">
        <v>82017</v>
      </c>
      <c r="C725">
        <v>63</v>
      </c>
      <c r="D725">
        <v>0</v>
      </c>
      <c r="E725" s="28">
        <v>7.5561643835616437</v>
      </c>
      <c r="F725" s="28"/>
      <c r="G725" s="28"/>
      <c r="H725" s="28"/>
      <c r="I725" s="28"/>
      <c r="J725" s="28"/>
      <c r="L725" s="37">
        <v>706</v>
      </c>
      <c r="M725" s="3">
        <v>58</v>
      </c>
      <c r="N725" s="3">
        <v>184</v>
      </c>
      <c r="O725" s="3">
        <v>23</v>
      </c>
      <c r="P725" s="3">
        <v>446</v>
      </c>
      <c r="Q725" s="3">
        <v>30</v>
      </c>
      <c r="R725" s="3">
        <v>23</v>
      </c>
      <c r="S725" s="3">
        <v>23</v>
      </c>
      <c r="T725" s="3">
        <v>1</v>
      </c>
      <c r="U725" s="3">
        <v>5</v>
      </c>
      <c r="V725" s="3">
        <v>4</v>
      </c>
      <c r="W725" s="3">
        <v>7</v>
      </c>
      <c r="X725" s="3">
        <v>2</v>
      </c>
    </row>
    <row r="726" spans="1:24" x14ac:dyDescent="0.35">
      <c r="A726">
        <v>704</v>
      </c>
      <c r="B726">
        <v>61671</v>
      </c>
      <c r="C726">
        <v>52</v>
      </c>
      <c r="D726">
        <v>1</v>
      </c>
      <c r="E726" s="28">
        <v>5.9863013698630141</v>
      </c>
      <c r="F726" s="28"/>
      <c r="G726" s="28"/>
      <c r="H726" s="28"/>
      <c r="I726" s="28"/>
      <c r="J726" s="28"/>
      <c r="L726" s="38">
        <v>704</v>
      </c>
      <c r="M726" s="2">
        <v>23</v>
      </c>
      <c r="N726" s="2">
        <v>641</v>
      </c>
      <c r="O726" s="2">
        <v>7</v>
      </c>
      <c r="P726" s="2">
        <v>56</v>
      </c>
      <c r="Q726" s="2">
        <v>0</v>
      </c>
      <c r="R726" s="2">
        <v>0</v>
      </c>
      <c r="S726" s="2">
        <v>28</v>
      </c>
      <c r="T726" s="2">
        <v>8</v>
      </c>
      <c r="U726" s="2">
        <v>10</v>
      </c>
      <c r="V726" s="2">
        <v>4</v>
      </c>
      <c r="W726" s="2">
        <v>6</v>
      </c>
      <c r="X726" s="2">
        <v>8</v>
      </c>
    </row>
    <row r="727" spans="1:24" x14ac:dyDescent="0.35">
      <c r="A727">
        <v>703</v>
      </c>
      <c r="B727">
        <v>65210</v>
      </c>
      <c r="C727">
        <v>65</v>
      </c>
      <c r="D727">
        <v>1</v>
      </c>
      <c r="E727" s="28">
        <v>6.2191780821917808</v>
      </c>
      <c r="F727" s="28"/>
      <c r="G727" s="28"/>
      <c r="H727" s="28"/>
      <c r="I727" s="28"/>
      <c r="J727" s="28"/>
      <c r="L727" s="37">
        <v>703</v>
      </c>
      <c r="M727" s="3">
        <v>25</v>
      </c>
      <c r="N727" s="3">
        <v>626</v>
      </c>
      <c r="O727" s="3">
        <v>0</v>
      </c>
      <c r="P727" s="3">
        <v>70</v>
      </c>
      <c r="Q727" s="3">
        <v>0</v>
      </c>
      <c r="R727" s="3">
        <v>7</v>
      </c>
      <c r="S727" s="3">
        <v>28</v>
      </c>
      <c r="T727" s="3">
        <v>2</v>
      </c>
      <c r="U727" s="3">
        <v>9</v>
      </c>
      <c r="V727" s="3">
        <v>3</v>
      </c>
      <c r="W727" s="3">
        <v>8</v>
      </c>
      <c r="X727" s="3">
        <v>6</v>
      </c>
    </row>
    <row r="728" spans="1:24" x14ac:dyDescent="0.35">
      <c r="A728">
        <v>702</v>
      </c>
      <c r="B728">
        <v>81361</v>
      </c>
      <c r="C728">
        <v>33</v>
      </c>
      <c r="D728">
        <v>0</v>
      </c>
      <c r="E728" s="28">
        <v>6.2547945205479456</v>
      </c>
      <c r="F728" s="28"/>
      <c r="G728" s="28"/>
      <c r="H728" s="28"/>
      <c r="I728" s="28"/>
      <c r="J728" s="28"/>
      <c r="L728" s="38">
        <v>702</v>
      </c>
      <c r="M728" s="2">
        <v>18</v>
      </c>
      <c r="N728" s="2">
        <v>163</v>
      </c>
      <c r="O728" s="2">
        <v>23</v>
      </c>
      <c r="P728" s="2">
        <v>424</v>
      </c>
      <c r="Q728" s="2">
        <v>27</v>
      </c>
      <c r="R728" s="2">
        <v>65</v>
      </c>
      <c r="S728" s="2">
        <v>76</v>
      </c>
      <c r="T728" s="2">
        <v>1</v>
      </c>
      <c r="U728" s="2">
        <v>3</v>
      </c>
      <c r="V728" s="2">
        <v>10</v>
      </c>
      <c r="W728" s="2">
        <v>13</v>
      </c>
      <c r="X728" s="2">
        <v>1</v>
      </c>
    </row>
    <row r="729" spans="1:24" x14ac:dyDescent="0.35">
      <c r="A729">
        <v>702</v>
      </c>
      <c r="B729">
        <v>81361</v>
      </c>
      <c r="C729">
        <v>33</v>
      </c>
      <c r="D729">
        <v>0</v>
      </c>
      <c r="E729" s="28">
        <v>6.2547945205479456</v>
      </c>
      <c r="F729" s="28"/>
      <c r="G729" s="28"/>
      <c r="H729" s="28"/>
      <c r="I729" s="28"/>
      <c r="J729" s="28"/>
      <c r="L729" s="37">
        <v>702</v>
      </c>
      <c r="M729" s="3">
        <v>18</v>
      </c>
      <c r="N729" s="3">
        <v>163</v>
      </c>
      <c r="O729" s="3">
        <v>23</v>
      </c>
      <c r="P729" s="3">
        <v>424</v>
      </c>
      <c r="Q729" s="3">
        <v>27</v>
      </c>
      <c r="R729" s="3">
        <v>65</v>
      </c>
      <c r="S729" s="3">
        <v>76</v>
      </c>
      <c r="T729" s="3">
        <v>1</v>
      </c>
      <c r="U729" s="3">
        <v>3</v>
      </c>
      <c r="V729" s="3">
        <v>10</v>
      </c>
      <c r="W729" s="3">
        <v>13</v>
      </c>
      <c r="X729" s="3">
        <v>1</v>
      </c>
    </row>
    <row r="730" spans="1:24" x14ac:dyDescent="0.35">
      <c r="A730">
        <v>702</v>
      </c>
      <c r="B730">
        <v>71367</v>
      </c>
      <c r="C730">
        <v>61</v>
      </c>
      <c r="D730">
        <v>0</v>
      </c>
      <c r="E730" s="28">
        <v>6.7643835616438359</v>
      </c>
      <c r="F730" s="28"/>
      <c r="G730" s="28"/>
      <c r="H730" s="28"/>
      <c r="I730" s="28"/>
      <c r="J730" s="28"/>
      <c r="L730" s="38">
        <v>702</v>
      </c>
      <c r="M730" s="2">
        <v>24</v>
      </c>
      <c r="N730" s="2">
        <v>227</v>
      </c>
      <c r="O730" s="2">
        <v>23</v>
      </c>
      <c r="P730" s="2">
        <v>389</v>
      </c>
      <c r="Q730" s="2">
        <v>42</v>
      </c>
      <c r="R730" s="2">
        <v>21</v>
      </c>
      <c r="S730" s="2">
        <v>75</v>
      </c>
      <c r="T730" s="2">
        <v>1</v>
      </c>
      <c r="U730" s="2">
        <v>4</v>
      </c>
      <c r="V730" s="2">
        <v>5</v>
      </c>
      <c r="W730" s="2">
        <v>7</v>
      </c>
      <c r="X730" s="2">
        <v>2</v>
      </c>
    </row>
    <row r="731" spans="1:24" x14ac:dyDescent="0.35">
      <c r="A731">
        <v>702</v>
      </c>
      <c r="B731">
        <v>62513</v>
      </c>
      <c r="C731">
        <v>53</v>
      </c>
      <c r="D731">
        <v>1</v>
      </c>
      <c r="E731" s="28">
        <v>6.7178082191780826</v>
      </c>
      <c r="F731" s="28"/>
      <c r="G731" s="28"/>
      <c r="H731" s="28"/>
      <c r="I731" s="28"/>
      <c r="J731" s="28"/>
      <c r="L731" s="37">
        <v>702</v>
      </c>
      <c r="M731" s="3">
        <v>16</v>
      </c>
      <c r="N731" s="3">
        <v>520</v>
      </c>
      <c r="O731" s="3">
        <v>42</v>
      </c>
      <c r="P731" s="3">
        <v>98</v>
      </c>
      <c r="Q731" s="3">
        <v>0</v>
      </c>
      <c r="R731" s="3">
        <v>42</v>
      </c>
      <c r="S731" s="3">
        <v>14</v>
      </c>
      <c r="T731" s="3">
        <v>2</v>
      </c>
      <c r="U731" s="3">
        <v>6</v>
      </c>
      <c r="V731" s="3">
        <v>4</v>
      </c>
      <c r="W731" s="3">
        <v>10</v>
      </c>
      <c r="X731" s="3">
        <v>6</v>
      </c>
    </row>
    <row r="732" spans="1:24" x14ac:dyDescent="0.35">
      <c r="A732">
        <v>701</v>
      </c>
      <c r="B732">
        <v>55284</v>
      </c>
      <c r="C732">
        <v>64</v>
      </c>
      <c r="D732">
        <v>1</v>
      </c>
      <c r="E732" s="28">
        <v>7.4273972602739722</v>
      </c>
      <c r="F732" s="28"/>
      <c r="G732" s="28"/>
      <c r="H732" s="28"/>
      <c r="I732" s="28"/>
      <c r="J732" s="28"/>
      <c r="L732" s="38">
        <v>701</v>
      </c>
      <c r="M732" s="2">
        <v>60</v>
      </c>
      <c r="N732" s="2">
        <v>547</v>
      </c>
      <c r="O732" s="2">
        <v>7</v>
      </c>
      <c r="P732" s="2">
        <v>140</v>
      </c>
      <c r="Q732" s="2">
        <v>0</v>
      </c>
      <c r="R732" s="2">
        <v>7</v>
      </c>
      <c r="S732" s="2">
        <v>63</v>
      </c>
      <c r="T732" s="2">
        <v>3</v>
      </c>
      <c r="U732" s="2">
        <v>7</v>
      </c>
      <c r="V732" s="2">
        <v>5</v>
      </c>
      <c r="W732" s="2">
        <v>8</v>
      </c>
      <c r="X732" s="2">
        <v>5</v>
      </c>
    </row>
    <row r="733" spans="1:24" x14ac:dyDescent="0.35">
      <c r="A733">
        <v>700</v>
      </c>
      <c r="B733">
        <v>78901</v>
      </c>
      <c r="C733">
        <v>47</v>
      </c>
      <c r="D733">
        <v>1</v>
      </c>
      <c r="E733" s="28">
        <v>6.6958904109589037</v>
      </c>
      <c r="F733" s="28"/>
      <c r="G733" s="28"/>
      <c r="H733" s="28"/>
      <c r="I733" s="28"/>
      <c r="J733" s="28"/>
      <c r="L733" s="37">
        <v>700</v>
      </c>
      <c r="M733" s="3">
        <v>99</v>
      </c>
      <c r="N733" s="3">
        <v>321</v>
      </c>
      <c r="O733" s="3">
        <v>11</v>
      </c>
      <c r="P733" s="3">
        <v>309</v>
      </c>
      <c r="Q733" s="3">
        <v>33</v>
      </c>
      <c r="R733" s="3">
        <v>26</v>
      </c>
      <c r="S733" s="3">
        <v>34</v>
      </c>
      <c r="T733" s="3">
        <v>3</v>
      </c>
      <c r="U733" s="3">
        <v>9</v>
      </c>
      <c r="V733" s="3">
        <v>3</v>
      </c>
      <c r="W733" s="3">
        <v>5</v>
      </c>
      <c r="X733" s="3">
        <v>4</v>
      </c>
    </row>
    <row r="734" spans="1:24" x14ac:dyDescent="0.35">
      <c r="A734">
        <v>700</v>
      </c>
      <c r="B734">
        <v>58821</v>
      </c>
      <c r="C734">
        <v>64</v>
      </c>
      <c r="D734">
        <v>1</v>
      </c>
      <c r="E734" s="28">
        <v>6.6273972602739724</v>
      </c>
      <c r="F734" s="28"/>
      <c r="G734" s="28"/>
      <c r="H734" s="28"/>
      <c r="I734" s="28"/>
      <c r="J734" s="28"/>
      <c r="L734" s="38">
        <v>700</v>
      </c>
      <c r="M734" s="2">
        <v>44</v>
      </c>
      <c r="N734" s="2">
        <v>513</v>
      </c>
      <c r="O734" s="2">
        <v>14</v>
      </c>
      <c r="P734" s="2">
        <v>154</v>
      </c>
      <c r="Q734" s="2">
        <v>19</v>
      </c>
      <c r="R734" s="2">
        <v>0</v>
      </c>
      <c r="S734" s="2">
        <v>28</v>
      </c>
      <c r="T734" s="2">
        <v>1</v>
      </c>
      <c r="U734" s="2">
        <v>9</v>
      </c>
      <c r="V734" s="2">
        <v>2</v>
      </c>
      <c r="W734" s="2">
        <v>9</v>
      </c>
      <c r="X734" s="2">
        <v>6</v>
      </c>
    </row>
    <row r="735" spans="1:24" x14ac:dyDescent="0.35">
      <c r="A735">
        <v>700</v>
      </c>
      <c r="B735">
        <v>77622</v>
      </c>
      <c r="C735">
        <v>50</v>
      </c>
      <c r="D735">
        <v>1</v>
      </c>
      <c r="E735" s="28">
        <v>6.1232876712328768</v>
      </c>
      <c r="F735" s="28"/>
      <c r="G735" s="28"/>
      <c r="H735" s="28"/>
      <c r="I735" s="28"/>
      <c r="J735" s="28"/>
      <c r="L735" s="37">
        <v>700</v>
      </c>
      <c r="M735" s="3">
        <v>3</v>
      </c>
      <c r="N735" s="3">
        <v>520</v>
      </c>
      <c r="O735" s="3">
        <v>7</v>
      </c>
      <c r="P735" s="3">
        <v>154</v>
      </c>
      <c r="Q735" s="3">
        <v>19</v>
      </c>
      <c r="R735" s="3">
        <v>0</v>
      </c>
      <c r="S735" s="3">
        <v>14</v>
      </c>
      <c r="T735" s="3">
        <v>2</v>
      </c>
      <c r="U735" s="3">
        <v>6</v>
      </c>
      <c r="V735" s="3">
        <v>3</v>
      </c>
      <c r="W735" s="3">
        <v>11</v>
      </c>
      <c r="X735" s="3">
        <v>3</v>
      </c>
    </row>
    <row r="736" spans="1:24" x14ac:dyDescent="0.35">
      <c r="A736">
        <v>699</v>
      </c>
      <c r="B736">
        <v>59821</v>
      </c>
      <c r="C736">
        <v>65</v>
      </c>
      <c r="D736">
        <v>1</v>
      </c>
      <c r="E736" s="28">
        <v>7.1287671232876715</v>
      </c>
      <c r="F736" s="28"/>
      <c r="G736" s="28"/>
      <c r="H736" s="28"/>
      <c r="I736" s="28"/>
      <c r="J736" s="28"/>
      <c r="L736" s="38">
        <v>699</v>
      </c>
      <c r="M736" s="2">
        <v>11</v>
      </c>
      <c r="N736" s="2">
        <v>629</v>
      </c>
      <c r="O736" s="2">
        <v>0</v>
      </c>
      <c r="P736" s="2">
        <v>70</v>
      </c>
      <c r="Q736" s="2">
        <v>0</v>
      </c>
      <c r="R736" s="2">
        <v>0</v>
      </c>
      <c r="S736" s="2">
        <v>35</v>
      </c>
      <c r="T736" s="2">
        <v>6</v>
      </c>
      <c r="U736" s="2">
        <v>11</v>
      </c>
      <c r="V736" s="2">
        <v>2</v>
      </c>
      <c r="W736" s="2">
        <v>7</v>
      </c>
      <c r="X736" s="2">
        <v>8</v>
      </c>
    </row>
    <row r="737" spans="1:24" x14ac:dyDescent="0.35">
      <c r="A737">
        <v>694</v>
      </c>
      <c r="B737">
        <v>73170</v>
      </c>
      <c r="C737">
        <v>45</v>
      </c>
      <c r="D737">
        <v>0</v>
      </c>
      <c r="E737" s="28">
        <v>5.9945205479452053</v>
      </c>
      <c r="F737" s="28"/>
      <c r="G737" s="28"/>
      <c r="H737" s="28"/>
      <c r="I737" s="28"/>
      <c r="J737" s="28"/>
      <c r="L737" s="37">
        <v>694</v>
      </c>
      <c r="M737" s="3">
        <v>1</v>
      </c>
      <c r="N737" s="3">
        <v>184</v>
      </c>
      <c r="O737" s="3">
        <v>174</v>
      </c>
      <c r="P737" s="3">
        <v>256</v>
      </c>
      <c r="Q737" s="3">
        <v>50</v>
      </c>
      <c r="R737" s="3">
        <v>30</v>
      </c>
      <c r="S737" s="3">
        <v>32</v>
      </c>
      <c r="T737" s="3">
        <v>1</v>
      </c>
      <c r="U737" s="3">
        <v>5</v>
      </c>
      <c r="V737" s="3">
        <v>4</v>
      </c>
      <c r="W737" s="3">
        <v>6</v>
      </c>
      <c r="X737" s="3">
        <v>2</v>
      </c>
    </row>
    <row r="738" spans="1:24" x14ac:dyDescent="0.35">
      <c r="A738">
        <v>693</v>
      </c>
      <c r="B738">
        <v>64813</v>
      </c>
      <c r="C738">
        <v>42</v>
      </c>
      <c r="D738">
        <v>1</v>
      </c>
      <c r="E738" s="28">
        <v>6.4027397260273968</v>
      </c>
      <c r="F738" s="28"/>
      <c r="G738" s="28"/>
      <c r="H738" s="28"/>
      <c r="I738" s="28"/>
      <c r="J738" s="28"/>
      <c r="L738" s="38">
        <v>693</v>
      </c>
      <c r="M738" s="2">
        <v>81</v>
      </c>
      <c r="N738" s="2">
        <v>293</v>
      </c>
      <c r="O738" s="2">
        <v>0</v>
      </c>
      <c r="P738" s="2">
        <v>124</v>
      </c>
      <c r="Q738" s="2">
        <v>179</v>
      </c>
      <c r="R738" s="2">
        <v>97</v>
      </c>
      <c r="S738" s="2">
        <v>52</v>
      </c>
      <c r="T738" s="2">
        <v>1</v>
      </c>
      <c r="U738" s="2">
        <v>7</v>
      </c>
      <c r="V738" s="2">
        <v>2</v>
      </c>
      <c r="W738" s="2">
        <v>10</v>
      </c>
      <c r="X738" s="2">
        <v>5</v>
      </c>
    </row>
    <row r="739" spans="1:24" x14ac:dyDescent="0.35">
      <c r="A739">
        <v>682</v>
      </c>
      <c r="B739">
        <v>62335</v>
      </c>
      <c r="C739">
        <v>68</v>
      </c>
      <c r="D739">
        <v>1</v>
      </c>
      <c r="E739" s="28">
        <v>7.0164383561643833</v>
      </c>
      <c r="F739" s="28"/>
      <c r="G739" s="28"/>
      <c r="H739" s="28"/>
      <c r="I739" s="28"/>
      <c r="J739" s="28"/>
      <c r="L739" s="37">
        <v>682</v>
      </c>
      <c r="M739" s="3">
        <v>87</v>
      </c>
      <c r="N739" s="3">
        <v>243</v>
      </c>
      <c r="O739" s="3">
        <v>131</v>
      </c>
      <c r="P739" s="3">
        <v>217</v>
      </c>
      <c r="Q739" s="3">
        <v>85</v>
      </c>
      <c r="R739" s="3">
        <v>6</v>
      </c>
      <c r="S739" s="3">
        <v>26</v>
      </c>
      <c r="T739" s="3">
        <v>2</v>
      </c>
      <c r="U739" s="3">
        <v>3</v>
      </c>
      <c r="V739" s="3">
        <v>3</v>
      </c>
      <c r="W739" s="3">
        <v>13</v>
      </c>
      <c r="X739" s="3">
        <v>2</v>
      </c>
    </row>
    <row r="740" spans="1:24" x14ac:dyDescent="0.35">
      <c r="A740">
        <v>682</v>
      </c>
      <c r="B740">
        <v>71866</v>
      </c>
      <c r="C740">
        <v>64</v>
      </c>
      <c r="D740">
        <v>1</v>
      </c>
      <c r="E740" s="28">
        <v>6.4246575342465757</v>
      </c>
      <c r="F740" s="28"/>
      <c r="G740" s="28"/>
      <c r="H740" s="28"/>
      <c r="I740" s="28"/>
      <c r="J740" s="28"/>
      <c r="L740" s="38">
        <v>682</v>
      </c>
      <c r="M740" s="2">
        <v>85</v>
      </c>
      <c r="N740" s="2">
        <v>184</v>
      </c>
      <c r="O740" s="2">
        <v>178</v>
      </c>
      <c r="P740" s="2">
        <v>178</v>
      </c>
      <c r="Q740" s="2">
        <v>103</v>
      </c>
      <c r="R740" s="2">
        <v>39</v>
      </c>
      <c r="S740" s="2">
        <v>33</v>
      </c>
      <c r="T740" s="2">
        <v>1</v>
      </c>
      <c r="U740" s="2">
        <v>6</v>
      </c>
      <c r="V740" s="2">
        <v>3</v>
      </c>
      <c r="W740" s="2">
        <v>10</v>
      </c>
      <c r="X740" s="2">
        <v>3</v>
      </c>
    </row>
    <row r="741" spans="1:24" x14ac:dyDescent="0.35">
      <c r="A741">
        <v>677</v>
      </c>
      <c r="B741">
        <v>54880</v>
      </c>
      <c r="C741">
        <v>42</v>
      </c>
      <c r="D741">
        <v>1</v>
      </c>
      <c r="E741" s="28">
        <v>7.2438356164383562</v>
      </c>
      <c r="F741" s="28"/>
      <c r="G741" s="28"/>
      <c r="H741" s="28"/>
      <c r="I741" s="28"/>
      <c r="J741" s="28"/>
      <c r="L741" s="37">
        <v>677</v>
      </c>
      <c r="M741" s="3">
        <v>57</v>
      </c>
      <c r="N741" s="3">
        <v>308</v>
      </c>
      <c r="O741" s="3">
        <v>85</v>
      </c>
      <c r="P741" s="3">
        <v>137</v>
      </c>
      <c r="Q741" s="3">
        <v>102</v>
      </c>
      <c r="R741" s="3">
        <v>45</v>
      </c>
      <c r="S741" s="3">
        <v>118</v>
      </c>
      <c r="T741" s="3">
        <v>2</v>
      </c>
      <c r="U741" s="3">
        <v>6</v>
      </c>
      <c r="V741" s="3">
        <v>2</v>
      </c>
      <c r="W741" s="3">
        <v>11</v>
      </c>
      <c r="X741" s="3">
        <v>5</v>
      </c>
    </row>
    <row r="742" spans="1:24" x14ac:dyDescent="0.35">
      <c r="A742">
        <v>674</v>
      </c>
      <c r="B742">
        <v>58113</v>
      </c>
      <c r="C742">
        <v>61</v>
      </c>
      <c r="D742">
        <v>1</v>
      </c>
      <c r="E742" s="28">
        <v>7.3397260273972602</v>
      </c>
      <c r="F742" s="28"/>
      <c r="G742" s="28"/>
      <c r="H742" s="28"/>
      <c r="I742" s="28"/>
      <c r="J742" s="28"/>
      <c r="L742" s="38">
        <v>674</v>
      </c>
      <c r="M742" s="2">
        <v>66</v>
      </c>
      <c r="N742" s="2">
        <v>221</v>
      </c>
      <c r="O742" s="2">
        <v>104</v>
      </c>
      <c r="P742" s="2">
        <v>169</v>
      </c>
      <c r="Q742" s="2">
        <v>102</v>
      </c>
      <c r="R742" s="2">
        <v>78</v>
      </c>
      <c r="S742" s="2">
        <v>84</v>
      </c>
      <c r="T742" s="2">
        <v>3</v>
      </c>
      <c r="U742" s="2">
        <v>9</v>
      </c>
      <c r="V742" s="2">
        <v>2</v>
      </c>
      <c r="W742" s="2">
        <v>8</v>
      </c>
      <c r="X742" s="2">
        <v>7</v>
      </c>
    </row>
    <row r="743" spans="1:24" x14ac:dyDescent="0.35">
      <c r="A743">
        <v>673</v>
      </c>
      <c r="B743">
        <v>55239</v>
      </c>
      <c r="C743">
        <v>49</v>
      </c>
      <c r="D743">
        <v>1</v>
      </c>
      <c r="E743" s="28">
        <v>6.8739726027397259</v>
      </c>
      <c r="F743" s="28"/>
      <c r="G743" s="28"/>
      <c r="H743" s="28"/>
      <c r="I743" s="28"/>
      <c r="J743" s="28"/>
      <c r="L743" s="37">
        <v>673</v>
      </c>
      <c r="M743" s="3">
        <v>59</v>
      </c>
      <c r="N743" s="3">
        <v>371</v>
      </c>
      <c r="O743" s="3">
        <v>17</v>
      </c>
      <c r="P743" s="3">
        <v>238</v>
      </c>
      <c r="Q743" s="3">
        <v>23</v>
      </c>
      <c r="R743" s="3">
        <v>24</v>
      </c>
      <c r="S743" s="3">
        <v>106</v>
      </c>
      <c r="T743" s="3">
        <v>3</v>
      </c>
      <c r="U743" s="3">
        <v>7</v>
      </c>
      <c r="V743" s="3">
        <v>5</v>
      </c>
      <c r="W743" s="3">
        <v>11</v>
      </c>
      <c r="X743" s="3">
        <v>5</v>
      </c>
    </row>
    <row r="744" spans="1:24" x14ac:dyDescent="0.35">
      <c r="A744">
        <v>671</v>
      </c>
      <c r="B744">
        <v>61250</v>
      </c>
      <c r="C744">
        <v>61</v>
      </c>
      <c r="D744">
        <v>1</v>
      </c>
      <c r="E744" s="28">
        <v>7.4493150684931511</v>
      </c>
      <c r="F744" s="28"/>
      <c r="G744" s="28"/>
      <c r="H744" s="28"/>
      <c r="I744" s="28"/>
      <c r="J744" s="28"/>
      <c r="L744" s="38">
        <v>671</v>
      </c>
      <c r="M744" s="2">
        <v>49</v>
      </c>
      <c r="N744" s="2">
        <v>382</v>
      </c>
      <c r="O744" s="2">
        <v>138</v>
      </c>
      <c r="P744" s="2">
        <v>65</v>
      </c>
      <c r="Q744" s="2">
        <v>60</v>
      </c>
      <c r="R744" s="2">
        <v>26</v>
      </c>
      <c r="S744" s="2">
        <v>59</v>
      </c>
      <c r="T744" s="2">
        <v>6</v>
      </c>
      <c r="U744" s="2">
        <v>5</v>
      </c>
      <c r="V744" s="2">
        <v>2</v>
      </c>
      <c r="W744" s="2">
        <v>12</v>
      </c>
      <c r="X744" s="2">
        <v>5</v>
      </c>
    </row>
    <row r="745" spans="1:24" x14ac:dyDescent="0.35">
      <c r="A745">
        <v>670</v>
      </c>
      <c r="B745">
        <v>51250</v>
      </c>
      <c r="C745">
        <v>30</v>
      </c>
      <c r="D745">
        <v>1</v>
      </c>
      <c r="E745" s="28">
        <v>7.1643835616438354</v>
      </c>
      <c r="F745" s="28"/>
      <c r="G745" s="28"/>
      <c r="H745" s="28"/>
      <c r="I745" s="28"/>
      <c r="J745" s="28"/>
      <c r="L745" s="37">
        <v>670</v>
      </c>
      <c r="M745" s="3">
        <v>28</v>
      </c>
      <c r="N745" s="3">
        <v>342</v>
      </c>
      <c r="O745" s="3">
        <v>32</v>
      </c>
      <c r="P745" s="3">
        <v>230</v>
      </c>
      <c r="Q745" s="3">
        <v>34</v>
      </c>
      <c r="R745" s="3">
        <v>32</v>
      </c>
      <c r="S745" s="3">
        <v>40</v>
      </c>
      <c r="T745" s="3">
        <v>5</v>
      </c>
      <c r="U745" s="3">
        <v>10</v>
      </c>
      <c r="V745" s="3">
        <v>5</v>
      </c>
      <c r="W745" s="3">
        <v>4</v>
      </c>
      <c r="X745" s="3">
        <v>9</v>
      </c>
    </row>
    <row r="746" spans="1:24" x14ac:dyDescent="0.35">
      <c r="A746">
        <v>669</v>
      </c>
      <c r="B746">
        <v>52531</v>
      </c>
      <c r="C746">
        <v>49</v>
      </c>
      <c r="D746">
        <v>0</v>
      </c>
      <c r="E746" s="28">
        <v>7.4109589041095889</v>
      </c>
      <c r="F746" s="28"/>
      <c r="G746" s="28"/>
      <c r="H746" s="28"/>
      <c r="I746" s="28"/>
      <c r="J746" s="28"/>
      <c r="L746" s="38">
        <v>669</v>
      </c>
      <c r="M746" s="2">
        <v>68</v>
      </c>
      <c r="N746" s="2">
        <v>283</v>
      </c>
      <c r="O746" s="2">
        <v>112</v>
      </c>
      <c r="P746" s="2">
        <v>151</v>
      </c>
      <c r="Q746" s="2">
        <v>51</v>
      </c>
      <c r="R746" s="2">
        <v>72</v>
      </c>
      <c r="S746" s="2">
        <v>125</v>
      </c>
      <c r="T746" s="2">
        <v>2</v>
      </c>
      <c r="U746" s="2">
        <v>7</v>
      </c>
      <c r="V746" s="2">
        <v>2</v>
      </c>
      <c r="W746" s="2">
        <v>10</v>
      </c>
      <c r="X746" s="2">
        <v>6</v>
      </c>
    </row>
    <row r="747" spans="1:24" x14ac:dyDescent="0.35">
      <c r="A747">
        <v>668</v>
      </c>
      <c r="B747">
        <v>72063</v>
      </c>
      <c r="C747">
        <v>41</v>
      </c>
      <c r="D747">
        <v>1</v>
      </c>
      <c r="E747" s="28">
        <v>6.904109589041096</v>
      </c>
      <c r="F747" s="28"/>
      <c r="G747" s="28"/>
      <c r="H747" s="28"/>
      <c r="I747" s="28"/>
      <c r="J747" s="28"/>
      <c r="L747" s="37">
        <v>668</v>
      </c>
      <c r="M747" s="3">
        <v>3</v>
      </c>
      <c r="N747" s="3">
        <v>180</v>
      </c>
      <c r="O747" s="3">
        <v>32</v>
      </c>
      <c r="P747" s="3">
        <v>348</v>
      </c>
      <c r="Q747" s="3">
        <v>76</v>
      </c>
      <c r="R747" s="3">
        <v>32</v>
      </c>
      <c r="S747" s="3">
        <v>90</v>
      </c>
      <c r="T747" s="3">
        <v>2</v>
      </c>
      <c r="U747" s="3">
        <v>5</v>
      </c>
      <c r="V747" s="3">
        <v>2</v>
      </c>
      <c r="W747" s="3">
        <v>12</v>
      </c>
      <c r="X747" s="3">
        <v>2</v>
      </c>
    </row>
    <row r="748" spans="1:24" x14ac:dyDescent="0.35">
      <c r="A748">
        <v>666</v>
      </c>
      <c r="B748">
        <v>66000</v>
      </c>
      <c r="C748">
        <v>73</v>
      </c>
      <c r="D748">
        <v>0</v>
      </c>
      <c r="E748" s="28">
        <v>6.1068493150684935</v>
      </c>
      <c r="F748" s="28"/>
      <c r="G748" s="28"/>
      <c r="H748" s="28"/>
      <c r="I748" s="28"/>
      <c r="J748" s="28"/>
      <c r="L748" s="38">
        <v>666</v>
      </c>
      <c r="M748" s="2">
        <v>36</v>
      </c>
      <c r="N748" s="2">
        <v>244</v>
      </c>
      <c r="O748" s="2">
        <v>51</v>
      </c>
      <c r="P748" s="2">
        <v>270</v>
      </c>
      <c r="Q748" s="2">
        <v>101</v>
      </c>
      <c r="R748" s="2">
        <v>0</v>
      </c>
      <c r="S748" s="2">
        <v>45</v>
      </c>
      <c r="T748" s="2">
        <v>1</v>
      </c>
      <c r="U748" s="2">
        <v>1</v>
      </c>
      <c r="V748" s="2">
        <v>3</v>
      </c>
      <c r="W748" s="2">
        <v>5</v>
      </c>
      <c r="X748" s="2">
        <v>1</v>
      </c>
    </row>
    <row r="749" spans="1:24" x14ac:dyDescent="0.35">
      <c r="A749">
        <v>665</v>
      </c>
      <c r="B749">
        <v>44529</v>
      </c>
      <c r="C749">
        <v>54</v>
      </c>
      <c r="D749">
        <v>1</v>
      </c>
      <c r="E749" s="28">
        <v>6.8986301369863012</v>
      </c>
      <c r="F749" s="28"/>
      <c r="G749" s="28"/>
      <c r="H749" s="28"/>
      <c r="I749" s="28"/>
      <c r="J749" s="28"/>
      <c r="L749" s="37">
        <v>665</v>
      </c>
      <c r="M749" s="3">
        <v>98</v>
      </c>
      <c r="N749" s="3">
        <v>538</v>
      </c>
      <c r="O749" s="3">
        <v>13</v>
      </c>
      <c r="P749" s="3">
        <v>91</v>
      </c>
      <c r="Q749" s="3">
        <v>17</v>
      </c>
      <c r="R749" s="3">
        <v>6</v>
      </c>
      <c r="S749" s="3">
        <v>26</v>
      </c>
      <c r="T749" s="3">
        <v>6</v>
      </c>
      <c r="U749" s="3">
        <v>6</v>
      </c>
      <c r="V749" s="3">
        <v>2</v>
      </c>
      <c r="W749" s="3">
        <v>11</v>
      </c>
      <c r="X749" s="3">
        <v>5</v>
      </c>
    </row>
    <row r="750" spans="1:24" x14ac:dyDescent="0.35">
      <c r="A750">
        <v>663</v>
      </c>
      <c r="B750">
        <v>55357</v>
      </c>
      <c r="C750">
        <v>35</v>
      </c>
      <c r="D750">
        <v>1</v>
      </c>
      <c r="E750" s="28">
        <v>7.2712328767123289</v>
      </c>
      <c r="F750" s="28"/>
      <c r="G750" s="28"/>
      <c r="H750" s="28"/>
      <c r="I750" s="28"/>
      <c r="J750" s="28"/>
      <c r="L750" s="38">
        <v>663</v>
      </c>
      <c r="M750" s="2">
        <v>66</v>
      </c>
      <c r="N750" s="2">
        <v>374</v>
      </c>
      <c r="O750" s="2">
        <v>64</v>
      </c>
      <c r="P750" s="2">
        <v>116</v>
      </c>
      <c r="Q750" s="2">
        <v>84</v>
      </c>
      <c r="R750" s="2">
        <v>25</v>
      </c>
      <c r="S750" s="2">
        <v>64</v>
      </c>
      <c r="T750" s="2">
        <v>3</v>
      </c>
      <c r="U750" s="2">
        <v>6</v>
      </c>
      <c r="V750" s="2">
        <v>2</v>
      </c>
      <c r="W750" s="2">
        <v>11</v>
      </c>
      <c r="X750" s="2">
        <v>5</v>
      </c>
    </row>
    <row r="751" spans="1:24" x14ac:dyDescent="0.35">
      <c r="A751">
        <v>662</v>
      </c>
      <c r="B751">
        <v>64090</v>
      </c>
      <c r="C751">
        <v>64</v>
      </c>
      <c r="D751">
        <v>1</v>
      </c>
      <c r="E751" s="28">
        <v>6.8082191780821919</v>
      </c>
      <c r="F751" s="28"/>
      <c r="G751" s="28"/>
      <c r="H751" s="28"/>
      <c r="I751" s="28"/>
      <c r="J751" s="28"/>
      <c r="L751" s="37">
        <v>662</v>
      </c>
      <c r="M751" s="3">
        <v>8</v>
      </c>
      <c r="N751" s="3">
        <v>316</v>
      </c>
      <c r="O751" s="3">
        <v>58</v>
      </c>
      <c r="P751" s="3">
        <v>161</v>
      </c>
      <c r="Q751" s="3">
        <v>76</v>
      </c>
      <c r="R751" s="3">
        <v>51</v>
      </c>
      <c r="S751" s="3">
        <v>135</v>
      </c>
      <c r="T751" s="3">
        <v>1</v>
      </c>
      <c r="U751" s="3">
        <v>6</v>
      </c>
      <c r="V751" s="3">
        <v>9</v>
      </c>
      <c r="W751" s="3">
        <v>4</v>
      </c>
      <c r="X751" s="3">
        <v>5</v>
      </c>
    </row>
    <row r="752" spans="1:24" x14ac:dyDescent="0.35">
      <c r="A752">
        <v>661</v>
      </c>
      <c r="B752">
        <v>53378</v>
      </c>
      <c r="C752">
        <v>57</v>
      </c>
      <c r="D752">
        <v>1</v>
      </c>
      <c r="E752" s="28">
        <v>7.6767123287671231</v>
      </c>
      <c r="F752" s="28"/>
      <c r="G752" s="28"/>
      <c r="H752" s="28"/>
      <c r="I752" s="28"/>
      <c r="J752" s="28"/>
      <c r="L752" s="38">
        <v>661</v>
      </c>
      <c r="M752" s="2">
        <v>41</v>
      </c>
      <c r="N752" s="2">
        <v>489</v>
      </c>
      <c r="O752" s="2">
        <v>6</v>
      </c>
      <c r="P752" s="2">
        <v>152</v>
      </c>
      <c r="Q752" s="2">
        <v>8</v>
      </c>
      <c r="R752" s="2">
        <v>6</v>
      </c>
      <c r="S752" s="2">
        <v>132</v>
      </c>
      <c r="T752" s="2">
        <v>10</v>
      </c>
      <c r="U752" s="2">
        <v>9</v>
      </c>
      <c r="V752" s="2">
        <v>4</v>
      </c>
      <c r="W752" s="2">
        <v>6</v>
      </c>
      <c r="X752" s="2">
        <v>8</v>
      </c>
    </row>
    <row r="753" spans="1:24" x14ac:dyDescent="0.35">
      <c r="A753">
        <v>660</v>
      </c>
      <c r="B753">
        <v>57731</v>
      </c>
      <c r="C753">
        <v>51</v>
      </c>
      <c r="D753">
        <v>1</v>
      </c>
      <c r="E753" s="28">
        <v>7.5123287671232877</v>
      </c>
      <c r="F753" s="28"/>
      <c r="G753" s="28"/>
      <c r="H753" s="28"/>
      <c r="I753" s="28"/>
      <c r="J753" s="28"/>
      <c r="L753" s="37">
        <v>660</v>
      </c>
      <c r="M753" s="3">
        <v>0</v>
      </c>
      <c r="N753" s="3">
        <v>266</v>
      </c>
      <c r="O753" s="3">
        <v>21</v>
      </c>
      <c r="P753" s="3">
        <v>300</v>
      </c>
      <c r="Q753" s="3">
        <v>65</v>
      </c>
      <c r="R753" s="3">
        <v>8</v>
      </c>
      <c r="S753" s="3">
        <v>44</v>
      </c>
      <c r="T753" s="3">
        <v>4</v>
      </c>
      <c r="U753" s="3">
        <v>8</v>
      </c>
      <c r="V753" s="3">
        <v>8</v>
      </c>
      <c r="W753" s="3">
        <v>6</v>
      </c>
      <c r="X753" s="3">
        <v>6</v>
      </c>
    </row>
    <row r="754" spans="1:24" x14ac:dyDescent="0.35">
      <c r="A754">
        <v>659</v>
      </c>
      <c r="B754">
        <v>60200</v>
      </c>
      <c r="C754">
        <v>72</v>
      </c>
      <c r="D754">
        <v>1</v>
      </c>
      <c r="E754" s="28">
        <v>7.4027397260273968</v>
      </c>
      <c r="F754" s="28"/>
      <c r="G754" s="28"/>
      <c r="H754" s="28"/>
      <c r="I754" s="28"/>
      <c r="J754" s="28"/>
      <c r="L754" s="38">
        <v>659</v>
      </c>
      <c r="M754" s="2">
        <v>3</v>
      </c>
      <c r="N754" s="2">
        <v>502</v>
      </c>
      <c r="O754" s="2">
        <v>19</v>
      </c>
      <c r="P754" s="2">
        <v>132</v>
      </c>
      <c r="Q754" s="2">
        <v>0</v>
      </c>
      <c r="R754" s="2">
        <v>6</v>
      </c>
      <c r="S754" s="2">
        <v>26</v>
      </c>
      <c r="T754" s="2">
        <v>6</v>
      </c>
      <c r="U754" s="2">
        <v>6</v>
      </c>
      <c r="V754" s="2">
        <v>2</v>
      </c>
      <c r="W754" s="2">
        <v>11</v>
      </c>
      <c r="X754" s="2">
        <v>6</v>
      </c>
    </row>
    <row r="755" spans="1:24" x14ac:dyDescent="0.35">
      <c r="A755">
        <v>658</v>
      </c>
      <c r="B755">
        <v>62694</v>
      </c>
      <c r="C755">
        <v>55</v>
      </c>
      <c r="D755">
        <v>1</v>
      </c>
      <c r="E755" s="28">
        <v>6.9479452054794519</v>
      </c>
      <c r="F755" s="28"/>
      <c r="G755" s="28"/>
      <c r="H755" s="28"/>
      <c r="I755" s="28"/>
      <c r="J755" s="28"/>
      <c r="L755" s="37">
        <v>658</v>
      </c>
      <c r="M755" s="3">
        <v>29</v>
      </c>
      <c r="N755" s="3">
        <v>379</v>
      </c>
      <c r="O755" s="3">
        <v>6</v>
      </c>
      <c r="P755" s="3">
        <v>157</v>
      </c>
      <c r="Q755" s="3">
        <v>25</v>
      </c>
      <c r="R755" s="3">
        <v>91</v>
      </c>
      <c r="S755" s="3">
        <v>91</v>
      </c>
      <c r="T755" s="3">
        <v>5</v>
      </c>
      <c r="U755" s="3">
        <v>9</v>
      </c>
      <c r="V755" s="3">
        <v>3</v>
      </c>
      <c r="W755" s="3">
        <v>7</v>
      </c>
      <c r="X755" s="3">
        <v>7</v>
      </c>
    </row>
    <row r="756" spans="1:24" x14ac:dyDescent="0.35">
      <c r="A756">
        <v>658</v>
      </c>
      <c r="B756">
        <v>65295</v>
      </c>
      <c r="C756">
        <v>40</v>
      </c>
      <c r="D756">
        <v>0</v>
      </c>
      <c r="E756" s="28">
        <v>6.4301369863013695</v>
      </c>
      <c r="F756" s="28"/>
      <c r="G756" s="28"/>
      <c r="H756" s="28"/>
      <c r="I756" s="28"/>
      <c r="J756" s="28"/>
      <c r="L756" s="38">
        <v>658</v>
      </c>
      <c r="M756" s="2">
        <v>19</v>
      </c>
      <c r="N756" s="2">
        <v>365</v>
      </c>
      <c r="O756" s="2">
        <v>32</v>
      </c>
      <c r="P756" s="2">
        <v>117</v>
      </c>
      <c r="Q756" s="2">
        <v>34</v>
      </c>
      <c r="R756" s="2">
        <v>110</v>
      </c>
      <c r="S756" s="2">
        <v>6</v>
      </c>
      <c r="T756" s="2">
        <v>1</v>
      </c>
      <c r="U756" s="2">
        <v>3</v>
      </c>
      <c r="V756" s="2">
        <v>3</v>
      </c>
      <c r="W756" s="2">
        <v>13</v>
      </c>
      <c r="X756" s="2">
        <v>2</v>
      </c>
    </row>
    <row r="757" spans="1:24" x14ac:dyDescent="0.35">
      <c r="A757">
        <v>656</v>
      </c>
      <c r="B757">
        <v>55614</v>
      </c>
      <c r="C757">
        <v>76</v>
      </c>
      <c r="D757">
        <v>0</v>
      </c>
      <c r="E757" s="28">
        <v>6.5013698630136982</v>
      </c>
      <c r="F757" s="28"/>
      <c r="G757" s="28"/>
      <c r="H757" s="28"/>
      <c r="I757" s="28"/>
      <c r="J757" s="28"/>
      <c r="L757" s="37">
        <v>656</v>
      </c>
      <c r="M757" s="3">
        <v>85</v>
      </c>
      <c r="N757" s="3">
        <v>504</v>
      </c>
      <c r="O757" s="3">
        <v>13</v>
      </c>
      <c r="P757" s="3">
        <v>131</v>
      </c>
      <c r="Q757" s="3">
        <v>8</v>
      </c>
      <c r="R757" s="3">
        <v>0</v>
      </c>
      <c r="S757" s="3">
        <v>26</v>
      </c>
      <c r="T757" s="3">
        <v>1</v>
      </c>
      <c r="U757" s="3">
        <v>9</v>
      </c>
      <c r="V757" s="3">
        <v>4</v>
      </c>
      <c r="W757" s="3">
        <v>6</v>
      </c>
      <c r="X757" s="3">
        <v>7</v>
      </c>
    </row>
    <row r="758" spans="1:24" x14ac:dyDescent="0.35">
      <c r="A758">
        <v>656</v>
      </c>
      <c r="B758">
        <v>50965</v>
      </c>
      <c r="C758">
        <v>64</v>
      </c>
      <c r="D758">
        <v>1</v>
      </c>
      <c r="E758" s="28">
        <v>7.2684931506849315</v>
      </c>
      <c r="F758" s="28"/>
      <c r="G758" s="28"/>
      <c r="H758" s="28"/>
      <c r="I758" s="28"/>
      <c r="J758" s="28"/>
      <c r="L758" s="38">
        <v>656</v>
      </c>
      <c r="M758" s="2">
        <v>87</v>
      </c>
      <c r="N758" s="2">
        <v>544</v>
      </c>
      <c r="O758" s="2">
        <v>13</v>
      </c>
      <c r="P758" s="2">
        <v>85</v>
      </c>
      <c r="Q758" s="2">
        <v>8</v>
      </c>
      <c r="R758" s="2">
        <v>6</v>
      </c>
      <c r="S758" s="2">
        <v>29</v>
      </c>
      <c r="T758" s="2">
        <v>3</v>
      </c>
      <c r="U758" s="2">
        <v>10</v>
      </c>
      <c r="V758" s="2">
        <v>4</v>
      </c>
      <c r="W758" s="2">
        <v>5</v>
      </c>
      <c r="X758" s="2">
        <v>8</v>
      </c>
    </row>
    <row r="759" spans="1:24" x14ac:dyDescent="0.35">
      <c r="A759">
        <v>653</v>
      </c>
      <c r="B759">
        <v>89891</v>
      </c>
      <c r="C759">
        <v>29</v>
      </c>
      <c r="D759">
        <v>0</v>
      </c>
      <c r="E759" s="28">
        <v>7.1205479452054794</v>
      </c>
      <c r="F759" s="28"/>
      <c r="G759" s="28"/>
      <c r="H759" s="28"/>
      <c r="I759" s="28"/>
      <c r="J759" s="28"/>
      <c r="L759" s="37">
        <v>653</v>
      </c>
      <c r="M759" s="3">
        <v>17</v>
      </c>
      <c r="N759" s="3">
        <v>412</v>
      </c>
      <c r="O759" s="3">
        <v>22</v>
      </c>
      <c r="P759" s="3">
        <v>132</v>
      </c>
      <c r="Q759" s="3">
        <v>59</v>
      </c>
      <c r="R759" s="3">
        <v>28</v>
      </c>
      <c r="S759" s="3">
        <v>183</v>
      </c>
      <c r="T759" s="3">
        <v>1</v>
      </c>
      <c r="U759" s="3">
        <v>11</v>
      </c>
      <c r="V759" s="3">
        <v>6</v>
      </c>
      <c r="W759" s="3">
        <v>8</v>
      </c>
      <c r="X759" s="3">
        <v>4</v>
      </c>
    </row>
    <row r="760" spans="1:24" x14ac:dyDescent="0.35">
      <c r="A760">
        <v>652</v>
      </c>
      <c r="B760">
        <v>54450</v>
      </c>
      <c r="C760">
        <v>64</v>
      </c>
      <c r="D760">
        <v>1</v>
      </c>
      <c r="E760" s="28">
        <v>7.7041095890410958</v>
      </c>
      <c r="F760" s="28"/>
      <c r="G760" s="28"/>
      <c r="H760" s="28"/>
      <c r="I760" s="28"/>
      <c r="J760" s="28"/>
      <c r="L760" s="38">
        <v>652</v>
      </c>
      <c r="M760" s="2">
        <v>0</v>
      </c>
      <c r="N760" s="2">
        <v>454</v>
      </c>
      <c r="O760" s="2">
        <v>0</v>
      </c>
      <c r="P760" s="2">
        <v>171</v>
      </c>
      <c r="Q760" s="2">
        <v>8</v>
      </c>
      <c r="R760" s="2">
        <v>19</v>
      </c>
      <c r="S760" s="2">
        <v>32</v>
      </c>
      <c r="T760" s="2">
        <v>12</v>
      </c>
      <c r="U760" s="2">
        <v>9</v>
      </c>
      <c r="V760" s="2">
        <v>2</v>
      </c>
      <c r="W760" s="2">
        <v>8</v>
      </c>
      <c r="X760" s="2">
        <v>8</v>
      </c>
    </row>
    <row r="761" spans="1:24" x14ac:dyDescent="0.35">
      <c r="A761">
        <v>652</v>
      </c>
      <c r="B761">
        <v>57642</v>
      </c>
      <c r="C761">
        <v>50</v>
      </c>
      <c r="D761">
        <v>1</v>
      </c>
      <c r="E761" s="28">
        <v>6.3835616438356162</v>
      </c>
      <c r="F761" s="28"/>
      <c r="G761" s="28"/>
      <c r="H761" s="28"/>
      <c r="I761" s="28"/>
      <c r="J761" s="28"/>
      <c r="L761" s="37">
        <v>652</v>
      </c>
      <c r="M761" s="3">
        <v>24</v>
      </c>
      <c r="N761" s="3">
        <v>580</v>
      </c>
      <c r="O761" s="3">
        <v>6</v>
      </c>
      <c r="P761" s="3">
        <v>58</v>
      </c>
      <c r="Q761" s="3">
        <v>8</v>
      </c>
      <c r="R761" s="3">
        <v>0</v>
      </c>
      <c r="S761" s="3">
        <v>27</v>
      </c>
      <c r="T761" s="3">
        <v>3</v>
      </c>
      <c r="U761" s="3">
        <v>7</v>
      </c>
      <c r="V761" s="3">
        <v>6</v>
      </c>
      <c r="W761" s="3">
        <v>6</v>
      </c>
      <c r="X761" s="3">
        <v>4</v>
      </c>
    </row>
    <row r="762" spans="1:24" x14ac:dyDescent="0.35">
      <c r="A762">
        <v>651</v>
      </c>
      <c r="B762">
        <v>59432</v>
      </c>
      <c r="C762">
        <v>58</v>
      </c>
      <c r="D762">
        <v>1</v>
      </c>
      <c r="E762" s="28">
        <v>7.1260273972602741</v>
      </c>
      <c r="F762" s="28"/>
      <c r="G762" s="28"/>
      <c r="H762" s="28"/>
      <c r="I762" s="28"/>
      <c r="J762" s="28"/>
      <c r="L762" s="38">
        <v>651</v>
      </c>
      <c r="M762" s="2">
        <v>88</v>
      </c>
      <c r="N762" s="2">
        <v>317</v>
      </c>
      <c r="O762" s="2">
        <v>25</v>
      </c>
      <c r="P762" s="2">
        <v>265</v>
      </c>
      <c r="Q762" s="2">
        <v>25</v>
      </c>
      <c r="R762" s="2">
        <v>19</v>
      </c>
      <c r="S762" s="2">
        <v>12</v>
      </c>
      <c r="T762" s="2">
        <v>3</v>
      </c>
      <c r="U762" s="2">
        <v>5</v>
      </c>
      <c r="V762" s="2">
        <v>3</v>
      </c>
      <c r="W762" s="2">
        <v>11</v>
      </c>
      <c r="X762" s="2">
        <v>5</v>
      </c>
    </row>
    <row r="763" spans="1:24" x14ac:dyDescent="0.35">
      <c r="A763">
        <v>651</v>
      </c>
      <c r="B763">
        <v>69401</v>
      </c>
      <c r="C763">
        <v>47</v>
      </c>
      <c r="D763">
        <v>1</v>
      </c>
      <c r="E763" s="28">
        <v>6.183561643835616</v>
      </c>
      <c r="F763" s="28"/>
      <c r="G763" s="28"/>
      <c r="H763" s="28"/>
      <c r="I763" s="28"/>
      <c r="J763" s="28"/>
      <c r="L763" s="37">
        <v>651</v>
      </c>
      <c r="M763" s="3">
        <v>41</v>
      </c>
      <c r="N763" s="3">
        <v>399</v>
      </c>
      <c r="O763" s="3">
        <v>27</v>
      </c>
      <c r="P763" s="3">
        <v>159</v>
      </c>
      <c r="Q763" s="3">
        <v>58</v>
      </c>
      <c r="R763" s="3">
        <v>8</v>
      </c>
      <c r="S763" s="3">
        <v>39</v>
      </c>
      <c r="T763" s="3">
        <v>4</v>
      </c>
      <c r="U763" s="3">
        <v>4</v>
      </c>
      <c r="V763" s="3">
        <v>4</v>
      </c>
      <c r="W763" s="3">
        <v>5</v>
      </c>
      <c r="X763" s="3">
        <v>2</v>
      </c>
    </row>
    <row r="764" spans="1:24" x14ac:dyDescent="0.35">
      <c r="A764">
        <v>650</v>
      </c>
      <c r="B764">
        <v>65695</v>
      </c>
      <c r="C764">
        <v>60</v>
      </c>
      <c r="D764">
        <v>1</v>
      </c>
      <c r="E764" s="28">
        <v>6.3232876712328769</v>
      </c>
      <c r="F764" s="28"/>
      <c r="G764" s="28"/>
      <c r="H764" s="28"/>
      <c r="I764" s="28"/>
      <c r="J764" s="28"/>
      <c r="L764" s="38">
        <v>650</v>
      </c>
      <c r="M764" s="2">
        <v>50</v>
      </c>
      <c r="N764" s="2">
        <v>371</v>
      </c>
      <c r="O764" s="2">
        <v>32</v>
      </c>
      <c r="P764" s="2">
        <v>189</v>
      </c>
      <c r="Q764" s="2">
        <v>0</v>
      </c>
      <c r="R764" s="2">
        <v>58</v>
      </c>
      <c r="S764" s="2">
        <v>6</v>
      </c>
      <c r="T764" s="2">
        <v>2</v>
      </c>
      <c r="U764" s="2">
        <v>5</v>
      </c>
      <c r="V764" s="2">
        <v>4</v>
      </c>
      <c r="W764" s="2">
        <v>10</v>
      </c>
      <c r="X764" s="2">
        <v>4</v>
      </c>
    </row>
    <row r="765" spans="1:24" x14ac:dyDescent="0.35">
      <c r="A765">
        <v>650</v>
      </c>
      <c r="B765">
        <v>54108</v>
      </c>
      <c r="C765">
        <v>47</v>
      </c>
      <c r="D765">
        <v>1</v>
      </c>
      <c r="E765" s="28">
        <v>7.5616438356164384</v>
      </c>
      <c r="F765" s="28"/>
      <c r="G765" s="28"/>
      <c r="H765" s="28"/>
      <c r="I765" s="28"/>
      <c r="J765" s="28"/>
      <c r="L765" s="37">
        <v>650</v>
      </c>
      <c r="M765" s="3">
        <v>74</v>
      </c>
      <c r="N765" s="3">
        <v>539</v>
      </c>
      <c r="O765" s="3">
        <v>6</v>
      </c>
      <c r="P765" s="3">
        <v>91</v>
      </c>
      <c r="Q765" s="3">
        <v>8</v>
      </c>
      <c r="R765" s="3">
        <v>6</v>
      </c>
      <c r="S765" s="3">
        <v>97</v>
      </c>
      <c r="T765" s="3">
        <v>13</v>
      </c>
      <c r="U765" s="3">
        <v>8</v>
      </c>
      <c r="V765" s="3">
        <v>2</v>
      </c>
      <c r="W765" s="3">
        <v>9</v>
      </c>
      <c r="X765" s="3">
        <v>8</v>
      </c>
    </row>
    <row r="766" spans="1:24" x14ac:dyDescent="0.35">
      <c r="A766">
        <v>649</v>
      </c>
      <c r="B766">
        <v>77376</v>
      </c>
      <c r="C766">
        <v>64</v>
      </c>
      <c r="D766">
        <v>1</v>
      </c>
      <c r="E766" s="28">
        <v>6.0520547945205481</v>
      </c>
      <c r="F766" s="28"/>
      <c r="G766" s="28"/>
      <c r="H766" s="28"/>
      <c r="I766" s="28"/>
      <c r="J766" s="28"/>
      <c r="L766" s="38">
        <v>649</v>
      </c>
      <c r="M766" s="2">
        <v>72</v>
      </c>
      <c r="N766" s="2">
        <v>492</v>
      </c>
      <c r="O766" s="2">
        <v>19</v>
      </c>
      <c r="P766" s="2">
        <v>110</v>
      </c>
      <c r="Q766" s="2">
        <v>16</v>
      </c>
      <c r="R766" s="2">
        <v>12</v>
      </c>
      <c r="S766" s="2">
        <v>12</v>
      </c>
      <c r="T766" s="2">
        <v>4</v>
      </c>
      <c r="U766" s="2">
        <v>6</v>
      </c>
      <c r="V766" s="2">
        <v>3</v>
      </c>
      <c r="W766" s="2">
        <v>10</v>
      </c>
      <c r="X766" s="2">
        <v>4</v>
      </c>
    </row>
    <row r="767" spans="1:24" x14ac:dyDescent="0.35">
      <c r="A767">
        <v>647</v>
      </c>
      <c r="B767">
        <v>55012</v>
      </c>
      <c r="C767">
        <v>47</v>
      </c>
      <c r="D767">
        <v>1</v>
      </c>
      <c r="E767" s="28">
        <v>6.1890410958904107</v>
      </c>
      <c r="F767" s="28"/>
      <c r="G767" s="28"/>
      <c r="H767" s="28"/>
      <c r="I767" s="28"/>
      <c r="J767" s="28"/>
      <c r="L767" s="37">
        <v>647</v>
      </c>
      <c r="M767" s="3">
        <v>85</v>
      </c>
      <c r="N767" s="3">
        <v>582</v>
      </c>
      <c r="O767" s="3">
        <v>0</v>
      </c>
      <c r="P767" s="3">
        <v>65</v>
      </c>
      <c r="Q767" s="3">
        <v>0</v>
      </c>
      <c r="R767" s="3">
        <v>0</v>
      </c>
      <c r="S767" s="3">
        <v>13</v>
      </c>
      <c r="T767" s="3">
        <v>6</v>
      </c>
      <c r="U767" s="3">
        <v>8</v>
      </c>
      <c r="V767" s="3">
        <v>2</v>
      </c>
      <c r="W767" s="3">
        <v>9</v>
      </c>
      <c r="X767" s="3">
        <v>5</v>
      </c>
    </row>
    <row r="768" spans="1:24" x14ac:dyDescent="0.35">
      <c r="A768">
        <v>645</v>
      </c>
      <c r="B768">
        <v>60093</v>
      </c>
      <c r="C768">
        <v>46</v>
      </c>
      <c r="D768">
        <v>1</v>
      </c>
      <c r="E768" s="28">
        <v>6.9232876712328766</v>
      </c>
      <c r="F768" s="28"/>
      <c r="G768" s="28"/>
      <c r="H768" s="28"/>
      <c r="I768" s="28"/>
      <c r="J768" s="28"/>
      <c r="L768" s="38">
        <v>645</v>
      </c>
      <c r="M768" s="2">
        <v>92</v>
      </c>
      <c r="N768" s="2">
        <v>502</v>
      </c>
      <c r="O768" s="2">
        <v>12</v>
      </c>
      <c r="P768" s="2">
        <v>109</v>
      </c>
      <c r="Q768" s="2">
        <v>16</v>
      </c>
      <c r="R768" s="2">
        <v>6</v>
      </c>
      <c r="S768" s="2">
        <v>90</v>
      </c>
      <c r="T768" s="2">
        <v>2</v>
      </c>
      <c r="U768" s="2">
        <v>7</v>
      </c>
      <c r="V768" s="2">
        <v>2</v>
      </c>
      <c r="W768" s="2">
        <v>10</v>
      </c>
      <c r="X768" s="2">
        <v>6</v>
      </c>
    </row>
    <row r="769" spans="1:24" x14ac:dyDescent="0.35">
      <c r="A769">
        <v>642</v>
      </c>
      <c r="B769">
        <v>60631</v>
      </c>
      <c r="C769">
        <v>45</v>
      </c>
      <c r="D769">
        <v>1</v>
      </c>
      <c r="E769" s="28">
        <v>7.1479452054794521</v>
      </c>
      <c r="F769" s="28"/>
      <c r="G769" s="28"/>
      <c r="H769" s="28"/>
      <c r="I769" s="28"/>
      <c r="J769" s="28"/>
      <c r="L769" s="37">
        <v>642</v>
      </c>
      <c r="M769" s="3">
        <v>88</v>
      </c>
      <c r="N769" s="3">
        <v>565</v>
      </c>
      <c r="O769" s="3">
        <v>6</v>
      </c>
      <c r="P769" s="3">
        <v>65</v>
      </c>
      <c r="Q769" s="3">
        <v>0</v>
      </c>
      <c r="R769" s="3">
        <v>6</v>
      </c>
      <c r="S769" s="3">
        <v>19</v>
      </c>
      <c r="T769" s="3">
        <v>5</v>
      </c>
      <c r="U769" s="3">
        <v>9</v>
      </c>
      <c r="V769" s="3">
        <v>2</v>
      </c>
      <c r="W769" s="3">
        <v>8</v>
      </c>
      <c r="X769" s="3">
        <v>7</v>
      </c>
    </row>
    <row r="770" spans="1:24" x14ac:dyDescent="0.35">
      <c r="A770">
        <v>641</v>
      </c>
      <c r="B770">
        <v>56046</v>
      </c>
      <c r="C770">
        <v>55</v>
      </c>
      <c r="D770">
        <v>0</v>
      </c>
      <c r="E770" s="28">
        <v>7.4027397260273968</v>
      </c>
      <c r="F770" s="28"/>
      <c r="G770" s="28"/>
      <c r="H770" s="28"/>
      <c r="I770" s="28"/>
      <c r="J770" s="28"/>
      <c r="L770" s="38">
        <v>641</v>
      </c>
      <c r="M770" s="2">
        <v>9</v>
      </c>
      <c r="N770" s="2">
        <v>577</v>
      </c>
      <c r="O770" s="2">
        <v>0</v>
      </c>
      <c r="P770" s="2">
        <v>64</v>
      </c>
      <c r="Q770" s="2">
        <v>0</v>
      </c>
      <c r="R770" s="2">
        <v>0</v>
      </c>
      <c r="S770" s="2">
        <v>51</v>
      </c>
      <c r="T770" s="2">
        <v>2</v>
      </c>
      <c r="U770" s="2">
        <v>10</v>
      </c>
      <c r="V770" s="2">
        <v>1</v>
      </c>
      <c r="W770" s="2">
        <v>8</v>
      </c>
      <c r="X770" s="2">
        <v>8</v>
      </c>
    </row>
    <row r="771" spans="1:24" x14ac:dyDescent="0.35">
      <c r="A771">
        <v>619</v>
      </c>
      <c r="B771">
        <v>56320</v>
      </c>
      <c r="C771">
        <v>53</v>
      </c>
      <c r="D771">
        <v>1</v>
      </c>
      <c r="E771" s="28">
        <v>7.13972602739726</v>
      </c>
      <c r="F771" s="28"/>
      <c r="G771" s="28"/>
      <c r="H771" s="28"/>
      <c r="I771" s="28"/>
      <c r="J771" s="28"/>
      <c r="L771" s="37">
        <v>619</v>
      </c>
      <c r="M771" s="3">
        <v>11</v>
      </c>
      <c r="N771" s="3">
        <v>201</v>
      </c>
      <c r="O771" s="3">
        <v>53</v>
      </c>
      <c r="P771" s="3">
        <v>172</v>
      </c>
      <c r="Q771" s="3">
        <v>116</v>
      </c>
      <c r="R771" s="3">
        <v>77</v>
      </c>
      <c r="S771" s="3">
        <v>83</v>
      </c>
      <c r="T771" s="3">
        <v>3</v>
      </c>
      <c r="U771" s="3">
        <v>5</v>
      </c>
      <c r="V771" s="3">
        <v>4</v>
      </c>
      <c r="W771" s="3">
        <v>9</v>
      </c>
      <c r="X771" s="3">
        <v>4</v>
      </c>
    </row>
    <row r="772" spans="1:24" x14ac:dyDescent="0.35">
      <c r="A772">
        <v>618</v>
      </c>
      <c r="B772">
        <v>42000</v>
      </c>
      <c r="C772">
        <v>33</v>
      </c>
      <c r="D772">
        <v>0</v>
      </c>
      <c r="E772" s="28">
        <v>7.3808219178082188</v>
      </c>
      <c r="F772" s="28"/>
      <c r="G772" s="28"/>
      <c r="H772" s="28"/>
      <c r="I772" s="28"/>
      <c r="J772" s="28"/>
      <c r="L772" s="38">
        <v>618</v>
      </c>
      <c r="M772" s="2">
        <v>23</v>
      </c>
      <c r="N772" s="2">
        <v>124</v>
      </c>
      <c r="O772" s="2">
        <v>83</v>
      </c>
      <c r="P772" s="2">
        <v>267</v>
      </c>
      <c r="Q772" s="2">
        <v>85</v>
      </c>
      <c r="R772" s="2">
        <v>59</v>
      </c>
      <c r="S772" s="2">
        <v>35</v>
      </c>
      <c r="T772" s="2">
        <v>2</v>
      </c>
      <c r="U772" s="2">
        <v>5</v>
      </c>
      <c r="V772" s="2">
        <v>2</v>
      </c>
      <c r="W772" s="2">
        <v>11</v>
      </c>
      <c r="X772" s="2">
        <v>5</v>
      </c>
    </row>
    <row r="773" spans="1:24" x14ac:dyDescent="0.35">
      <c r="A773">
        <v>616</v>
      </c>
      <c r="B773">
        <v>33051</v>
      </c>
      <c r="C773">
        <v>61</v>
      </c>
      <c r="D773">
        <v>0</v>
      </c>
      <c r="E773" s="28">
        <v>7.7835616438356166</v>
      </c>
      <c r="F773" s="28"/>
      <c r="G773" s="28"/>
      <c r="H773" s="28"/>
      <c r="I773" s="28"/>
      <c r="J773" s="28"/>
      <c r="L773" s="37">
        <v>616</v>
      </c>
      <c r="M773" s="3">
        <v>15</v>
      </c>
      <c r="N773" s="3">
        <v>100</v>
      </c>
      <c r="O773" s="3">
        <v>71</v>
      </c>
      <c r="P773" s="3">
        <v>243</v>
      </c>
      <c r="Q773" s="3">
        <v>108</v>
      </c>
      <c r="R773" s="3">
        <v>94</v>
      </c>
      <c r="S773" s="3">
        <v>219</v>
      </c>
      <c r="T773" s="3">
        <v>3</v>
      </c>
      <c r="U773" s="3">
        <v>9</v>
      </c>
      <c r="V773" s="3">
        <v>1</v>
      </c>
      <c r="W773" s="3">
        <v>8</v>
      </c>
      <c r="X773" s="3">
        <v>9</v>
      </c>
    </row>
    <row r="774" spans="1:24" x14ac:dyDescent="0.35">
      <c r="A774">
        <v>615</v>
      </c>
      <c r="B774">
        <v>60689</v>
      </c>
      <c r="C774">
        <v>69</v>
      </c>
      <c r="D774">
        <v>1</v>
      </c>
      <c r="E774" s="28">
        <v>6.9917808219178079</v>
      </c>
      <c r="F774" s="28"/>
      <c r="G774" s="28"/>
      <c r="H774" s="28"/>
      <c r="I774" s="28"/>
      <c r="J774" s="28"/>
      <c r="L774" s="38">
        <v>615</v>
      </c>
      <c r="M774" s="2">
        <v>23</v>
      </c>
      <c r="N774" s="2">
        <v>240</v>
      </c>
      <c r="O774" s="2">
        <v>90</v>
      </c>
      <c r="P774" s="2">
        <v>216</v>
      </c>
      <c r="Q774" s="2">
        <v>63</v>
      </c>
      <c r="R774" s="2">
        <v>6</v>
      </c>
      <c r="S774" s="2">
        <v>24</v>
      </c>
      <c r="T774" s="2">
        <v>4</v>
      </c>
      <c r="U774" s="2">
        <v>4</v>
      </c>
      <c r="V774" s="2">
        <v>4</v>
      </c>
      <c r="W774" s="2">
        <v>10</v>
      </c>
      <c r="X774" s="2">
        <v>3</v>
      </c>
    </row>
    <row r="775" spans="1:24" x14ac:dyDescent="0.35">
      <c r="A775">
        <v>615</v>
      </c>
      <c r="B775">
        <v>42564</v>
      </c>
      <c r="C775">
        <v>52</v>
      </c>
      <c r="D775">
        <v>1</v>
      </c>
      <c r="E775" s="28">
        <v>7.4027397260273968</v>
      </c>
      <c r="F775" s="28"/>
      <c r="G775" s="28"/>
      <c r="H775" s="28"/>
      <c r="I775" s="28"/>
      <c r="J775" s="28"/>
      <c r="L775" s="37">
        <v>615</v>
      </c>
      <c r="M775" s="3">
        <v>28</v>
      </c>
      <c r="N775" s="3">
        <v>324</v>
      </c>
      <c r="O775" s="3">
        <v>48</v>
      </c>
      <c r="P775" s="3">
        <v>186</v>
      </c>
      <c r="Q775" s="3">
        <v>39</v>
      </c>
      <c r="R775" s="3">
        <v>18</v>
      </c>
      <c r="S775" s="3">
        <v>198</v>
      </c>
      <c r="T775" s="3">
        <v>6</v>
      </c>
      <c r="U775" s="3">
        <v>6</v>
      </c>
      <c r="V775" s="3">
        <v>8</v>
      </c>
      <c r="W775" s="3">
        <v>4</v>
      </c>
      <c r="X775" s="3">
        <v>7</v>
      </c>
    </row>
    <row r="776" spans="1:24" x14ac:dyDescent="0.35">
      <c r="A776">
        <v>614</v>
      </c>
      <c r="B776">
        <v>44010</v>
      </c>
      <c r="C776">
        <v>40</v>
      </c>
      <c r="D776">
        <v>1</v>
      </c>
      <c r="E776" s="28">
        <v>7.624657534246575</v>
      </c>
      <c r="F776" s="28"/>
      <c r="G776" s="28"/>
      <c r="H776" s="28"/>
      <c r="I776" s="28"/>
      <c r="J776" s="28"/>
      <c r="L776" s="38">
        <v>614</v>
      </c>
      <c r="M776" s="2">
        <v>46</v>
      </c>
      <c r="N776" s="2">
        <v>186</v>
      </c>
      <c r="O776" s="2">
        <v>36</v>
      </c>
      <c r="P776" s="2">
        <v>234</v>
      </c>
      <c r="Q776" s="2">
        <v>86</v>
      </c>
      <c r="R776" s="2">
        <v>72</v>
      </c>
      <c r="S776" s="2">
        <v>48</v>
      </c>
      <c r="T776" s="2">
        <v>6</v>
      </c>
      <c r="U776" s="2">
        <v>10</v>
      </c>
      <c r="V776" s="2">
        <v>2</v>
      </c>
      <c r="W776" s="2">
        <v>6</v>
      </c>
      <c r="X776" s="2">
        <v>9</v>
      </c>
    </row>
    <row r="777" spans="1:24" x14ac:dyDescent="0.35">
      <c r="A777">
        <v>612</v>
      </c>
      <c r="B777">
        <v>66033</v>
      </c>
      <c r="C777">
        <v>63</v>
      </c>
      <c r="D777">
        <v>1</v>
      </c>
      <c r="E777" s="28">
        <v>7.353424657534247</v>
      </c>
      <c r="F777" s="28"/>
      <c r="G777" s="28"/>
      <c r="H777" s="28"/>
      <c r="I777" s="28"/>
      <c r="J777" s="28"/>
      <c r="L777" s="37">
        <v>612</v>
      </c>
      <c r="M777" s="3">
        <v>76</v>
      </c>
      <c r="N777" s="3">
        <v>293</v>
      </c>
      <c r="O777" s="3">
        <v>35</v>
      </c>
      <c r="P777" s="3">
        <v>179</v>
      </c>
      <c r="Q777" s="3">
        <v>46</v>
      </c>
      <c r="R777" s="3">
        <v>59</v>
      </c>
      <c r="S777" s="3">
        <v>65</v>
      </c>
      <c r="T777" s="3">
        <v>2</v>
      </c>
      <c r="U777" s="3">
        <v>8</v>
      </c>
      <c r="V777" s="3">
        <v>3</v>
      </c>
      <c r="W777" s="3">
        <v>7</v>
      </c>
      <c r="X777" s="3">
        <v>7</v>
      </c>
    </row>
    <row r="778" spans="1:24" x14ac:dyDescent="0.35">
      <c r="A778">
        <v>612</v>
      </c>
      <c r="B778">
        <v>56129</v>
      </c>
      <c r="C778">
        <v>67</v>
      </c>
      <c r="D778">
        <v>1</v>
      </c>
      <c r="E778" s="28">
        <v>6.9397260273972599</v>
      </c>
      <c r="F778" s="28"/>
      <c r="G778" s="28"/>
      <c r="H778" s="28"/>
      <c r="I778" s="28"/>
      <c r="J778" s="28"/>
      <c r="L778" s="38">
        <v>612</v>
      </c>
      <c r="M778" s="2">
        <v>65</v>
      </c>
      <c r="N778" s="2">
        <v>320</v>
      </c>
      <c r="O778" s="2">
        <v>48</v>
      </c>
      <c r="P778" s="2">
        <v>133</v>
      </c>
      <c r="Q778" s="2">
        <v>39</v>
      </c>
      <c r="R778" s="2">
        <v>72</v>
      </c>
      <c r="S778" s="2">
        <v>48</v>
      </c>
      <c r="T778" s="2">
        <v>4</v>
      </c>
      <c r="U778" s="2">
        <v>6</v>
      </c>
      <c r="V778" s="2">
        <v>2</v>
      </c>
      <c r="W778" s="2">
        <v>10</v>
      </c>
      <c r="X778" s="2">
        <v>4</v>
      </c>
    </row>
    <row r="779" spans="1:24" x14ac:dyDescent="0.35">
      <c r="A779">
        <v>611</v>
      </c>
      <c r="B779">
        <v>53700</v>
      </c>
      <c r="C779">
        <v>68</v>
      </c>
      <c r="D779">
        <v>1</v>
      </c>
      <c r="E779" s="28">
        <v>7.7808219178082192</v>
      </c>
      <c r="F779" s="28"/>
      <c r="G779" s="28"/>
      <c r="H779" s="28"/>
      <c r="I779" s="28"/>
      <c r="J779" s="28"/>
      <c r="L779" s="37">
        <v>611</v>
      </c>
      <c r="M779" s="3">
        <v>94</v>
      </c>
      <c r="N779" s="3">
        <v>263</v>
      </c>
      <c r="O779" s="3">
        <v>5</v>
      </c>
      <c r="P779" s="3">
        <v>233</v>
      </c>
      <c r="Q779" s="3">
        <v>69</v>
      </c>
      <c r="R779" s="3">
        <v>41</v>
      </c>
      <c r="S779" s="3">
        <v>83</v>
      </c>
      <c r="T779" s="3">
        <v>4</v>
      </c>
      <c r="U779" s="3">
        <v>5</v>
      </c>
      <c r="V779" s="3">
        <v>5</v>
      </c>
      <c r="W779" s="3">
        <v>8</v>
      </c>
      <c r="X779" s="3">
        <v>5</v>
      </c>
    </row>
    <row r="780" spans="1:24" x14ac:dyDescent="0.35">
      <c r="A780">
        <v>611</v>
      </c>
      <c r="B780">
        <v>66476</v>
      </c>
      <c r="C780">
        <v>44</v>
      </c>
      <c r="D780">
        <v>1</v>
      </c>
      <c r="E780" s="28">
        <v>7.2273972602739729</v>
      </c>
      <c r="F780" s="28"/>
      <c r="G780" s="28"/>
      <c r="H780" s="28"/>
      <c r="I780" s="28"/>
      <c r="J780" s="28"/>
      <c r="L780" s="38">
        <v>611</v>
      </c>
      <c r="M780" s="2">
        <v>99</v>
      </c>
      <c r="N780" s="2">
        <v>372</v>
      </c>
      <c r="O780" s="2">
        <v>18</v>
      </c>
      <c r="P780" s="2">
        <v>126</v>
      </c>
      <c r="Q780" s="2">
        <v>47</v>
      </c>
      <c r="R780" s="2">
        <v>48</v>
      </c>
      <c r="S780" s="2">
        <v>78</v>
      </c>
      <c r="T780" s="2">
        <v>2</v>
      </c>
      <c r="U780" s="2">
        <v>5</v>
      </c>
      <c r="V780" s="2">
        <v>2</v>
      </c>
      <c r="W780" s="2">
        <v>11</v>
      </c>
      <c r="X780" s="2">
        <v>4</v>
      </c>
    </row>
    <row r="781" spans="1:24" x14ac:dyDescent="0.35">
      <c r="A781">
        <v>611</v>
      </c>
      <c r="B781">
        <v>77353</v>
      </c>
      <c r="C781">
        <v>40</v>
      </c>
      <c r="D781">
        <v>1</v>
      </c>
      <c r="E781" s="28">
        <v>6.4493150684931511</v>
      </c>
      <c r="F781" s="28"/>
      <c r="G781" s="28"/>
      <c r="H781" s="28"/>
      <c r="I781" s="28"/>
      <c r="J781" s="28"/>
      <c r="L781" s="37">
        <v>611</v>
      </c>
      <c r="M781" s="3">
        <v>38</v>
      </c>
      <c r="N781" s="3">
        <v>275</v>
      </c>
      <c r="O781" s="3">
        <v>59</v>
      </c>
      <c r="P781" s="3">
        <v>107</v>
      </c>
      <c r="Q781" s="3">
        <v>69</v>
      </c>
      <c r="R781" s="3">
        <v>101</v>
      </c>
      <c r="S781" s="3">
        <v>59</v>
      </c>
      <c r="T781" s="3">
        <v>2</v>
      </c>
      <c r="U781" s="3">
        <v>6</v>
      </c>
      <c r="V781" s="3">
        <v>4</v>
      </c>
      <c r="W781" s="3">
        <v>8</v>
      </c>
      <c r="X781" s="3">
        <v>4</v>
      </c>
    </row>
    <row r="782" spans="1:24" x14ac:dyDescent="0.35">
      <c r="A782">
        <v>608</v>
      </c>
      <c r="B782">
        <v>54058</v>
      </c>
      <c r="C782">
        <v>44</v>
      </c>
      <c r="D782">
        <v>1</v>
      </c>
      <c r="E782" s="28">
        <v>6.9835616438356167</v>
      </c>
      <c r="F782" s="28"/>
      <c r="G782" s="28"/>
      <c r="H782" s="28"/>
      <c r="I782" s="28"/>
      <c r="J782" s="28"/>
      <c r="L782" s="38">
        <v>608</v>
      </c>
      <c r="M782" s="2">
        <v>56</v>
      </c>
      <c r="N782" s="2">
        <v>198</v>
      </c>
      <c r="O782" s="2">
        <v>18</v>
      </c>
      <c r="P782" s="2">
        <v>252</v>
      </c>
      <c r="Q782" s="2">
        <v>32</v>
      </c>
      <c r="R782" s="2">
        <v>108</v>
      </c>
      <c r="S782" s="2">
        <v>54</v>
      </c>
      <c r="T782" s="2">
        <v>2</v>
      </c>
      <c r="U782" s="2">
        <v>4</v>
      </c>
      <c r="V782" s="2">
        <v>6</v>
      </c>
      <c r="W782" s="2">
        <v>8</v>
      </c>
      <c r="X782" s="2">
        <v>3</v>
      </c>
    </row>
    <row r="783" spans="1:24" x14ac:dyDescent="0.35">
      <c r="A783">
        <v>608</v>
      </c>
      <c r="B783">
        <v>57957</v>
      </c>
      <c r="C783">
        <v>61</v>
      </c>
      <c r="D783">
        <v>1</v>
      </c>
      <c r="E783" s="28">
        <v>6.7753424657534245</v>
      </c>
      <c r="F783" s="28"/>
      <c r="G783" s="28"/>
      <c r="H783" s="28"/>
      <c r="I783" s="28"/>
      <c r="J783" s="28"/>
      <c r="L783" s="37">
        <v>608</v>
      </c>
      <c r="M783" s="3">
        <v>24</v>
      </c>
      <c r="N783" s="3">
        <v>290</v>
      </c>
      <c r="O783" s="3">
        <v>59</v>
      </c>
      <c r="P783" s="3">
        <v>177</v>
      </c>
      <c r="Q783" s="3">
        <v>77</v>
      </c>
      <c r="R783" s="3">
        <v>5</v>
      </c>
      <c r="S783" s="3">
        <v>29</v>
      </c>
      <c r="T783" s="3">
        <v>7</v>
      </c>
      <c r="U783" s="3">
        <v>4</v>
      </c>
      <c r="V783" s="3">
        <v>6</v>
      </c>
      <c r="W783" s="3">
        <v>8</v>
      </c>
      <c r="X783" s="3">
        <v>3</v>
      </c>
    </row>
    <row r="784" spans="1:24" x14ac:dyDescent="0.35">
      <c r="A784">
        <v>607</v>
      </c>
      <c r="B784">
        <v>45938</v>
      </c>
      <c r="C784">
        <v>59</v>
      </c>
      <c r="D784">
        <v>0</v>
      </c>
      <c r="E784" s="28">
        <v>6.5671232876712331</v>
      </c>
      <c r="F784" s="28"/>
      <c r="G784" s="28"/>
      <c r="H784" s="28"/>
      <c r="I784" s="28"/>
      <c r="J784" s="28"/>
      <c r="L784" s="38">
        <v>607</v>
      </c>
      <c r="M784" s="2">
        <v>46</v>
      </c>
      <c r="N784" s="2">
        <v>273</v>
      </c>
      <c r="O784" s="2">
        <v>11</v>
      </c>
      <c r="P784" s="2">
        <v>178</v>
      </c>
      <c r="Q784" s="2">
        <v>62</v>
      </c>
      <c r="R784" s="2">
        <v>83</v>
      </c>
      <c r="S784" s="2">
        <v>29</v>
      </c>
      <c r="T784" s="2">
        <v>2</v>
      </c>
      <c r="U784" s="2">
        <v>8</v>
      </c>
      <c r="V784" s="2">
        <v>4</v>
      </c>
      <c r="W784" s="2">
        <v>6</v>
      </c>
      <c r="X784" s="2">
        <v>6</v>
      </c>
    </row>
    <row r="785" spans="1:24" x14ac:dyDescent="0.35">
      <c r="A785">
        <v>607</v>
      </c>
      <c r="B785">
        <v>43185</v>
      </c>
      <c r="C785">
        <v>69</v>
      </c>
      <c r="D785">
        <v>1</v>
      </c>
      <c r="E785" s="28">
        <v>7.1342465753424653</v>
      </c>
      <c r="F785" s="28"/>
      <c r="G785" s="28"/>
      <c r="H785" s="28"/>
      <c r="I785" s="28"/>
      <c r="J785" s="28"/>
      <c r="L785" s="37">
        <v>607</v>
      </c>
      <c r="M785" s="3">
        <v>88</v>
      </c>
      <c r="N785" s="3">
        <v>537</v>
      </c>
      <c r="O785" s="3">
        <v>6</v>
      </c>
      <c r="P785" s="3">
        <v>42</v>
      </c>
      <c r="Q785" s="3">
        <v>16</v>
      </c>
      <c r="R785" s="3">
        <v>6</v>
      </c>
      <c r="S785" s="3">
        <v>30</v>
      </c>
      <c r="T785" s="3">
        <v>2</v>
      </c>
      <c r="U785" s="3">
        <v>9</v>
      </c>
      <c r="V785" s="3">
        <v>3</v>
      </c>
      <c r="W785" s="3">
        <v>6</v>
      </c>
      <c r="X785" s="3">
        <v>8</v>
      </c>
    </row>
    <row r="786" spans="1:24" x14ac:dyDescent="0.35">
      <c r="A786">
        <v>606</v>
      </c>
      <c r="B786">
        <v>75127</v>
      </c>
      <c r="C786">
        <v>68</v>
      </c>
      <c r="D786">
        <v>0</v>
      </c>
      <c r="E786" s="28">
        <v>6.0191780821917806</v>
      </c>
      <c r="F786" s="28"/>
      <c r="G786" s="28"/>
      <c r="H786" s="28"/>
      <c r="I786" s="28"/>
      <c r="J786" s="28"/>
      <c r="L786" s="38">
        <v>606</v>
      </c>
      <c r="M786" s="2">
        <v>92</v>
      </c>
      <c r="N786" s="2">
        <v>203</v>
      </c>
      <c r="O786" s="2">
        <v>35</v>
      </c>
      <c r="P786" s="2">
        <v>305</v>
      </c>
      <c r="Q786" s="2">
        <v>46</v>
      </c>
      <c r="R786" s="2">
        <v>17</v>
      </c>
      <c r="S786" s="2">
        <v>227</v>
      </c>
      <c r="T786" s="2">
        <v>1</v>
      </c>
      <c r="U786" s="2">
        <v>2</v>
      </c>
      <c r="V786" s="2">
        <v>11</v>
      </c>
      <c r="W786" s="2">
        <v>5</v>
      </c>
      <c r="X786" s="2">
        <v>1</v>
      </c>
    </row>
    <row r="787" spans="1:24" x14ac:dyDescent="0.35">
      <c r="A787">
        <v>606</v>
      </c>
      <c r="B787">
        <v>66653</v>
      </c>
      <c r="C787">
        <v>45</v>
      </c>
      <c r="D787">
        <v>1</v>
      </c>
      <c r="E787" s="28">
        <v>7.7232876712328764</v>
      </c>
      <c r="F787" s="28"/>
      <c r="G787" s="28"/>
      <c r="H787" s="28"/>
      <c r="I787" s="28"/>
      <c r="J787" s="28"/>
      <c r="L787" s="37">
        <v>606</v>
      </c>
      <c r="M787" s="3">
        <v>18</v>
      </c>
      <c r="N787" s="3">
        <v>452</v>
      </c>
      <c r="O787" s="3">
        <v>18</v>
      </c>
      <c r="P787" s="3">
        <v>102</v>
      </c>
      <c r="Q787" s="3">
        <v>16</v>
      </c>
      <c r="R787" s="3">
        <v>18</v>
      </c>
      <c r="S787" s="3">
        <v>6</v>
      </c>
      <c r="T787" s="3">
        <v>4</v>
      </c>
      <c r="U787" s="3">
        <v>4</v>
      </c>
      <c r="V787" s="3">
        <v>2</v>
      </c>
      <c r="W787" s="3">
        <v>12</v>
      </c>
      <c r="X787" s="3">
        <v>3</v>
      </c>
    </row>
    <row r="788" spans="1:24" x14ac:dyDescent="0.35">
      <c r="A788">
        <v>606</v>
      </c>
      <c r="B788">
        <v>47025</v>
      </c>
      <c r="C788">
        <v>42</v>
      </c>
      <c r="D788">
        <v>1</v>
      </c>
      <c r="E788" s="28">
        <v>6.7095890410958905</v>
      </c>
      <c r="F788" s="28"/>
      <c r="G788" s="28"/>
      <c r="H788" s="28"/>
      <c r="I788" s="28"/>
      <c r="J788" s="28"/>
      <c r="L788" s="38">
        <v>606</v>
      </c>
      <c r="M788" s="2">
        <v>98</v>
      </c>
      <c r="N788" s="2">
        <v>508</v>
      </c>
      <c r="O788" s="2">
        <v>11</v>
      </c>
      <c r="P788" s="2">
        <v>59</v>
      </c>
      <c r="Q788" s="2">
        <v>23</v>
      </c>
      <c r="R788" s="2">
        <v>5</v>
      </c>
      <c r="S788" s="2">
        <v>29</v>
      </c>
      <c r="T788" s="2">
        <v>5</v>
      </c>
      <c r="U788" s="2">
        <v>11</v>
      </c>
      <c r="V788" s="2">
        <v>1</v>
      </c>
      <c r="W788" s="2">
        <v>6</v>
      </c>
      <c r="X788" s="2">
        <v>9</v>
      </c>
    </row>
    <row r="789" spans="1:24" x14ac:dyDescent="0.35">
      <c r="A789">
        <v>605</v>
      </c>
      <c r="B789">
        <v>62159</v>
      </c>
      <c r="C789">
        <v>74</v>
      </c>
      <c r="D789">
        <v>0</v>
      </c>
      <c r="E789" s="28">
        <v>6.0849315068493155</v>
      </c>
      <c r="F789" s="28"/>
      <c r="G789" s="28"/>
      <c r="H789" s="28"/>
      <c r="I789" s="28"/>
      <c r="J789" s="28"/>
      <c r="L789" s="37">
        <v>605</v>
      </c>
      <c r="M789" s="3">
        <v>68</v>
      </c>
      <c r="N789" s="3">
        <v>182</v>
      </c>
      <c r="O789" s="3">
        <v>17</v>
      </c>
      <c r="P789" s="3">
        <v>259</v>
      </c>
      <c r="Q789" s="3">
        <v>77</v>
      </c>
      <c r="R789" s="3">
        <v>70</v>
      </c>
      <c r="S789" s="3">
        <v>29</v>
      </c>
      <c r="T789" s="3">
        <v>1</v>
      </c>
      <c r="U789" s="3">
        <v>6</v>
      </c>
      <c r="V789" s="3">
        <v>2</v>
      </c>
      <c r="W789" s="3">
        <v>10</v>
      </c>
      <c r="X789" s="3">
        <v>4</v>
      </c>
    </row>
    <row r="790" spans="1:24" x14ac:dyDescent="0.35">
      <c r="A790">
        <v>605</v>
      </c>
      <c r="B790">
        <v>56067</v>
      </c>
      <c r="C790">
        <v>58</v>
      </c>
      <c r="D790">
        <v>1</v>
      </c>
      <c r="E790" s="28">
        <v>6.8575342465753426</v>
      </c>
      <c r="F790" s="28"/>
      <c r="G790" s="28"/>
      <c r="H790" s="28"/>
      <c r="I790" s="28"/>
      <c r="J790" s="28"/>
      <c r="L790" s="38">
        <v>605</v>
      </c>
      <c r="M790" s="2">
        <v>51</v>
      </c>
      <c r="N790" s="2">
        <v>517</v>
      </c>
      <c r="O790" s="2">
        <v>12</v>
      </c>
      <c r="P790" s="2">
        <v>54</v>
      </c>
      <c r="Q790" s="2">
        <v>16</v>
      </c>
      <c r="R790" s="2">
        <v>6</v>
      </c>
      <c r="S790" s="2">
        <v>120</v>
      </c>
      <c r="T790" s="2">
        <v>2</v>
      </c>
      <c r="U790" s="2">
        <v>7</v>
      </c>
      <c r="V790" s="2">
        <v>4</v>
      </c>
      <c r="W790" s="2">
        <v>7</v>
      </c>
      <c r="X790" s="2">
        <v>5</v>
      </c>
    </row>
    <row r="791" spans="1:24" x14ac:dyDescent="0.35">
      <c r="A791">
        <v>604</v>
      </c>
      <c r="B791">
        <v>77981</v>
      </c>
      <c r="C791">
        <v>48</v>
      </c>
      <c r="D791">
        <v>1</v>
      </c>
      <c r="E791" s="28">
        <v>7.0082191780821921</v>
      </c>
      <c r="F791" s="28"/>
      <c r="G791" s="28"/>
      <c r="H791" s="28"/>
      <c r="I791" s="28"/>
      <c r="J791" s="28"/>
      <c r="L791" s="37">
        <v>604</v>
      </c>
      <c r="M791" s="3">
        <v>78</v>
      </c>
      <c r="N791" s="3">
        <v>138</v>
      </c>
      <c r="O791" s="3">
        <v>120</v>
      </c>
      <c r="P791" s="3">
        <v>204</v>
      </c>
      <c r="Q791" s="3">
        <v>16</v>
      </c>
      <c r="R791" s="3">
        <v>126</v>
      </c>
      <c r="S791" s="3">
        <v>60</v>
      </c>
      <c r="T791" s="3">
        <v>3</v>
      </c>
      <c r="U791" s="3">
        <v>7</v>
      </c>
      <c r="V791" s="3">
        <v>4</v>
      </c>
      <c r="W791" s="3">
        <v>7</v>
      </c>
      <c r="X791" s="3">
        <v>5</v>
      </c>
    </row>
    <row r="792" spans="1:24" x14ac:dyDescent="0.35">
      <c r="A792">
        <v>603</v>
      </c>
      <c r="B792">
        <v>64795</v>
      </c>
      <c r="C792">
        <v>49</v>
      </c>
      <c r="D792">
        <v>1</v>
      </c>
      <c r="E792" s="28">
        <v>7.3616438356164382</v>
      </c>
      <c r="F792" s="28"/>
      <c r="G792" s="28"/>
      <c r="H792" s="28"/>
      <c r="I792" s="28"/>
      <c r="J792" s="28"/>
      <c r="L792" s="38">
        <v>603</v>
      </c>
      <c r="M792" s="2">
        <v>23</v>
      </c>
      <c r="N792" s="2">
        <v>412</v>
      </c>
      <c r="O792" s="2">
        <v>5</v>
      </c>
      <c r="P792" s="2">
        <v>119</v>
      </c>
      <c r="Q792" s="2">
        <v>38</v>
      </c>
      <c r="R792" s="2">
        <v>29</v>
      </c>
      <c r="S792" s="2">
        <v>77</v>
      </c>
      <c r="T792" s="2">
        <v>3</v>
      </c>
      <c r="U792" s="2">
        <v>3</v>
      </c>
      <c r="V792" s="2">
        <v>3</v>
      </c>
      <c r="W792" s="2">
        <v>12</v>
      </c>
      <c r="X792" s="2">
        <v>2</v>
      </c>
    </row>
    <row r="793" spans="1:24" x14ac:dyDescent="0.35">
      <c r="A793">
        <v>600</v>
      </c>
      <c r="B793">
        <v>61794</v>
      </c>
      <c r="C793">
        <v>59</v>
      </c>
      <c r="D793">
        <v>1</v>
      </c>
      <c r="E793" s="28">
        <v>6.7041095890410958</v>
      </c>
      <c r="F793" s="28"/>
      <c r="G793" s="28"/>
      <c r="H793" s="28"/>
      <c r="I793" s="28"/>
      <c r="J793" s="28"/>
      <c r="L793" s="37">
        <v>600</v>
      </c>
      <c r="M793" s="3">
        <v>74</v>
      </c>
      <c r="N793" s="3">
        <v>264</v>
      </c>
      <c r="O793" s="3">
        <v>47</v>
      </c>
      <c r="P793" s="3">
        <v>188</v>
      </c>
      <c r="Q793" s="3">
        <v>54</v>
      </c>
      <c r="R793" s="3">
        <v>47</v>
      </c>
      <c r="S793" s="3">
        <v>11</v>
      </c>
      <c r="T793" s="3">
        <v>2</v>
      </c>
      <c r="U793" s="3">
        <v>4</v>
      </c>
      <c r="V793" s="3">
        <v>4</v>
      </c>
      <c r="W793" s="3">
        <v>10</v>
      </c>
      <c r="X793" s="3">
        <v>2</v>
      </c>
    </row>
    <row r="794" spans="1:24" x14ac:dyDescent="0.35">
      <c r="A794">
        <v>600</v>
      </c>
      <c r="B794">
        <v>63777</v>
      </c>
      <c r="C794">
        <v>41</v>
      </c>
      <c r="D794">
        <v>1</v>
      </c>
      <c r="E794" s="28">
        <v>7.1808219178082195</v>
      </c>
      <c r="F794" s="28"/>
      <c r="G794" s="28"/>
      <c r="H794" s="28"/>
      <c r="I794" s="28"/>
      <c r="J794" s="28"/>
      <c r="L794" s="38">
        <v>600</v>
      </c>
      <c r="M794" s="2">
        <v>87</v>
      </c>
      <c r="N794" s="2">
        <v>457</v>
      </c>
      <c r="O794" s="2">
        <v>5</v>
      </c>
      <c r="P794" s="2">
        <v>106</v>
      </c>
      <c r="Q794" s="2">
        <v>15</v>
      </c>
      <c r="R794" s="2">
        <v>17</v>
      </c>
      <c r="S794" s="2">
        <v>53</v>
      </c>
      <c r="T794" s="2">
        <v>8</v>
      </c>
      <c r="U794" s="2">
        <v>11</v>
      </c>
      <c r="V794" s="2">
        <v>1</v>
      </c>
      <c r="W794" s="2">
        <v>6</v>
      </c>
      <c r="X794" s="2">
        <v>8</v>
      </c>
    </row>
    <row r="795" spans="1:24" x14ac:dyDescent="0.35">
      <c r="A795">
        <v>600</v>
      </c>
      <c r="B795">
        <v>67680</v>
      </c>
      <c r="C795">
        <v>69</v>
      </c>
      <c r="D795">
        <v>1</v>
      </c>
      <c r="E795" s="28">
        <v>6.9643835616438352</v>
      </c>
      <c r="F795" s="28"/>
      <c r="G795" s="28"/>
      <c r="H795" s="28"/>
      <c r="I795" s="28"/>
      <c r="J795" s="28"/>
      <c r="L795" s="37">
        <v>600</v>
      </c>
      <c r="M795" s="3">
        <v>8</v>
      </c>
      <c r="N795" s="3">
        <v>546</v>
      </c>
      <c r="O795" s="3">
        <v>0</v>
      </c>
      <c r="P795" s="3">
        <v>48</v>
      </c>
      <c r="Q795" s="3">
        <v>0</v>
      </c>
      <c r="R795" s="3">
        <v>6</v>
      </c>
      <c r="S795" s="3">
        <v>6</v>
      </c>
      <c r="T795" s="3">
        <v>1</v>
      </c>
      <c r="U795" s="3">
        <v>7</v>
      </c>
      <c r="V795" s="3">
        <v>3</v>
      </c>
      <c r="W795" s="3">
        <v>8</v>
      </c>
      <c r="X795" s="3">
        <v>5</v>
      </c>
    </row>
    <row r="796" spans="1:24" x14ac:dyDescent="0.35">
      <c r="A796">
        <v>599</v>
      </c>
      <c r="B796">
        <v>49476</v>
      </c>
      <c r="C796">
        <v>57</v>
      </c>
      <c r="D796">
        <v>1</v>
      </c>
      <c r="E796" s="28">
        <v>6.9397260273972599</v>
      </c>
      <c r="F796" s="28"/>
      <c r="G796" s="28"/>
      <c r="H796" s="28"/>
      <c r="I796" s="28"/>
      <c r="J796" s="28"/>
      <c r="L796" s="38">
        <v>599</v>
      </c>
      <c r="M796" s="2">
        <v>29</v>
      </c>
      <c r="N796" s="2">
        <v>386</v>
      </c>
      <c r="O796" s="2">
        <v>23</v>
      </c>
      <c r="P796" s="2">
        <v>95</v>
      </c>
      <c r="Q796" s="2">
        <v>54</v>
      </c>
      <c r="R796" s="2">
        <v>41</v>
      </c>
      <c r="S796" s="2">
        <v>196</v>
      </c>
      <c r="T796" s="2">
        <v>4</v>
      </c>
      <c r="U796" s="2">
        <v>2</v>
      </c>
      <c r="V796" s="2">
        <v>11</v>
      </c>
      <c r="W796" s="2">
        <v>5</v>
      </c>
      <c r="X796" s="2">
        <v>2</v>
      </c>
    </row>
    <row r="797" spans="1:24" x14ac:dyDescent="0.35">
      <c r="A797">
        <v>597</v>
      </c>
      <c r="B797">
        <v>54753</v>
      </c>
      <c r="C797">
        <v>61</v>
      </c>
      <c r="D797">
        <v>1</v>
      </c>
      <c r="E797" s="28">
        <v>6.7095890410958905</v>
      </c>
      <c r="F797" s="28"/>
      <c r="G797" s="28"/>
      <c r="H797" s="28"/>
      <c r="I797" s="28"/>
      <c r="J797" s="28"/>
      <c r="L797" s="37">
        <v>597</v>
      </c>
      <c r="M797" s="3">
        <v>87</v>
      </c>
      <c r="N797" s="3">
        <v>197</v>
      </c>
      <c r="O797" s="3">
        <v>107</v>
      </c>
      <c r="P797" s="3">
        <v>227</v>
      </c>
      <c r="Q797" s="3">
        <v>7</v>
      </c>
      <c r="R797" s="3">
        <v>59</v>
      </c>
      <c r="S797" s="3">
        <v>131</v>
      </c>
      <c r="T797" s="3">
        <v>3</v>
      </c>
      <c r="U797" s="3">
        <v>5</v>
      </c>
      <c r="V797" s="3">
        <v>2</v>
      </c>
      <c r="W797" s="3">
        <v>11</v>
      </c>
      <c r="X797" s="3">
        <v>4</v>
      </c>
    </row>
    <row r="798" spans="1:24" x14ac:dyDescent="0.35">
      <c r="A798">
        <v>597</v>
      </c>
      <c r="B798">
        <v>55517</v>
      </c>
      <c r="C798">
        <v>70</v>
      </c>
      <c r="D798">
        <v>1</v>
      </c>
      <c r="E798" s="28">
        <v>7.6684931506849319</v>
      </c>
      <c r="F798" s="28"/>
      <c r="G798" s="28"/>
      <c r="H798" s="28"/>
      <c r="I798" s="28"/>
      <c r="J798" s="28"/>
      <c r="L798" s="38">
        <v>597</v>
      </c>
      <c r="M798" s="2">
        <v>53</v>
      </c>
      <c r="N798" s="2">
        <v>483</v>
      </c>
      <c r="O798" s="2">
        <v>0</v>
      </c>
      <c r="P798" s="2">
        <v>108</v>
      </c>
      <c r="Q798" s="2">
        <v>0</v>
      </c>
      <c r="R798" s="2">
        <v>6</v>
      </c>
      <c r="S798" s="2">
        <v>36</v>
      </c>
      <c r="T798" s="2">
        <v>5</v>
      </c>
      <c r="U798" s="2">
        <v>11</v>
      </c>
      <c r="V798" s="2">
        <v>1</v>
      </c>
      <c r="W798" s="2">
        <v>6</v>
      </c>
      <c r="X798" s="2">
        <v>9</v>
      </c>
    </row>
    <row r="799" spans="1:24" x14ac:dyDescent="0.35">
      <c r="A799">
        <v>597</v>
      </c>
      <c r="B799">
        <v>60208</v>
      </c>
      <c r="C799">
        <v>47</v>
      </c>
      <c r="D799">
        <v>1</v>
      </c>
      <c r="E799" s="28">
        <v>7.6410958904109592</v>
      </c>
      <c r="F799" s="28"/>
      <c r="G799" s="28"/>
      <c r="H799" s="28"/>
      <c r="I799" s="28"/>
      <c r="J799" s="28"/>
      <c r="L799" s="37">
        <v>597</v>
      </c>
      <c r="M799" s="3">
        <v>13</v>
      </c>
      <c r="N799" s="3">
        <v>488</v>
      </c>
      <c r="O799" s="3">
        <v>23</v>
      </c>
      <c r="P799" s="3">
        <v>71</v>
      </c>
      <c r="Q799" s="3">
        <v>15</v>
      </c>
      <c r="R799" s="3">
        <v>0</v>
      </c>
      <c r="S799" s="3">
        <v>59</v>
      </c>
      <c r="T799" s="3">
        <v>11</v>
      </c>
      <c r="U799" s="3">
        <v>8</v>
      </c>
      <c r="V799" s="3">
        <v>3</v>
      </c>
      <c r="W799" s="3">
        <v>7</v>
      </c>
      <c r="X799" s="3">
        <v>7</v>
      </c>
    </row>
    <row r="800" spans="1:24" x14ac:dyDescent="0.35">
      <c r="A800">
        <v>595</v>
      </c>
      <c r="B800">
        <v>73448</v>
      </c>
      <c r="C800">
        <v>51</v>
      </c>
      <c r="D800">
        <v>0</v>
      </c>
      <c r="E800" s="28">
        <v>6.2958904109589042</v>
      </c>
      <c r="F800" s="28"/>
      <c r="G800" s="28"/>
      <c r="H800" s="28"/>
      <c r="I800" s="28"/>
      <c r="J800" s="28"/>
      <c r="L800" s="38">
        <v>595</v>
      </c>
      <c r="M800" s="2">
        <v>10</v>
      </c>
      <c r="N800" s="2">
        <v>236</v>
      </c>
      <c r="O800" s="2">
        <v>106</v>
      </c>
      <c r="P800" s="2">
        <v>189</v>
      </c>
      <c r="Q800" s="2">
        <v>23</v>
      </c>
      <c r="R800" s="2">
        <v>41</v>
      </c>
      <c r="S800" s="2">
        <v>130</v>
      </c>
      <c r="T800" s="2">
        <v>1</v>
      </c>
      <c r="U800" s="2">
        <v>7</v>
      </c>
      <c r="V800" s="2">
        <v>2</v>
      </c>
      <c r="W800" s="2">
        <v>9</v>
      </c>
      <c r="X800" s="2">
        <v>4</v>
      </c>
    </row>
    <row r="801" spans="1:24" x14ac:dyDescent="0.35">
      <c r="A801">
        <v>595</v>
      </c>
      <c r="B801">
        <v>57867</v>
      </c>
      <c r="C801">
        <v>42</v>
      </c>
      <c r="D801">
        <v>1</v>
      </c>
      <c r="E801" s="28">
        <v>6.6575342465753424</v>
      </c>
      <c r="F801" s="28"/>
      <c r="G801" s="28"/>
      <c r="H801" s="28"/>
      <c r="I801" s="28"/>
      <c r="J801" s="28"/>
      <c r="L801" s="37">
        <v>595</v>
      </c>
      <c r="M801" s="3">
        <v>48</v>
      </c>
      <c r="N801" s="3">
        <v>344</v>
      </c>
      <c r="O801" s="3">
        <v>35</v>
      </c>
      <c r="P801" s="3">
        <v>178</v>
      </c>
      <c r="Q801" s="3">
        <v>15</v>
      </c>
      <c r="R801" s="3">
        <v>23</v>
      </c>
      <c r="S801" s="3">
        <v>17</v>
      </c>
      <c r="T801" s="3">
        <v>7</v>
      </c>
      <c r="U801" s="3">
        <v>7</v>
      </c>
      <c r="V801" s="3">
        <v>2</v>
      </c>
      <c r="W801" s="3">
        <v>9</v>
      </c>
      <c r="X801" s="3">
        <v>6</v>
      </c>
    </row>
    <row r="802" spans="1:24" x14ac:dyDescent="0.35">
      <c r="A802">
        <v>595</v>
      </c>
      <c r="B802">
        <v>62187</v>
      </c>
      <c r="C802">
        <v>51</v>
      </c>
      <c r="D802">
        <v>1</v>
      </c>
      <c r="E802" s="28">
        <v>6.1863013698630134</v>
      </c>
      <c r="F802" s="28"/>
      <c r="G802" s="28"/>
      <c r="H802" s="28"/>
      <c r="I802" s="28"/>
      <c r="J802" s="28"/>
      <c r="L802" s="38">
        <v>595</v>
      </c>
      <c r="M802" s="2">
        <v>38</v>
      </c>
      <c r="N802" s="2">
        <v>512</v>
      </c>
      <c r="O802" s="2">
        <v>0</v>
      </c>
      <c r="P802" s="2">
        <v>83</v>
      </c>
      <c r="Q802" s="2">
        <v>0</v>
      </c>
      <c r="R802" s="2">
        <v>0</v>
      </c>
      <c r="S802" s="2">
        <v>41</v>
      </c>
      <c r="T802" s="2">
        <v>3</v>
      </c>
      <c r="U802" s="2">
        <v>6</v>
      </c>
      <c r="V802" s="2">
        <v>2</v>
      </c>
      <c r="W802" s="2">
        <v>10</v>
      </c>
      <c r="X802" s="2">
        <v>4</v>
      </c>
    </row>
    <row r="803" spans="1:24" x14ac:dyDescent="0.35">
      <c r="A803">
        <v>595</v>
      </c>
      <c r="B803">
        <v>62710</v>
      </c>
      <c r="C803">
        <v>48</v>
      </c>
      <c r="D803">
        <v>1</v>
      </c>
      <c r="E803" s="28">
        <v>7.0164383561643833</v>
      </c>
      <c r="F803" s="28"/>
      <c r="G803" s="28"/>
      <c r="H803" s="28"/>
      <c r="I803" s="28"/>
      <c r="J803" s="28"/>
      <c r="L803" s="37">
        <v>595</v>
      </c>
      <c r="M803" s="3">
        <v>53</v>
      </c>
      <c r="N803" s="3">
        <v>441</v>
      </c>
      <c r="O803" s="3">
        <v>35</v>
      </c>
      <c r="P803" s="3">
        <v>83</v>
      </c>
      <c r="Q803" s="3">
        <v>7</v>
      </c>
      <c r="R803" s="3">
        <v>29</v>
      </c>
      <c r="S803" s="3">
        <v>11</v>
      </c>
      <c r="T803" s="3">
        <v>4</v>
      </c>
      <c r="U803" s="3">
        <v>4</v>
      </c>
      <c r="V803" s="3">
        <v>2</v>
      </c>
      <c r="W803" s="3">
        <v>12</v>
      </c>
      <c r="X803" s="3">
        <v>4</v>
      </c>
    </row>
    <row r="804" spans="1:24" x14ac:dyDescent="0.35">
      <c r="A804">
        <v>594</v>
      </c>
      <c r="B804">
        <v>79761</v>
      </c>
      <c r="C804">
        <v>62</v>
      </c>
      <c r="D804">
        <v>1</v>
      </c>
      <c r="E804" s="28">
        <v>6.6493150684931503</v>
      </c>
      <c r="F804" s="28"/>
      <c r="G804" s="28"/>
      <c r="H804" s="28"/>
      <c r="I804" s="28"/>
      <c r="J804" s="28"/>
      <c r="L804" s="38">
        <v>594</v>
      </c>
      <c r="M804" s="2">
        <v>32</v>
      </c>
      <c r="N804" s="2">
        <v>415</v>
      </c>
      <c r="O804" s="2">
        <v>5</v>
      </c>
      <c r="P804" s="2">
        <v>124</v>
      </c>
      <c r="Q804" s="2">
        <v>15</v>
      </c>
      <c r="R804" s="2">
        <v>35</v>
      </c>
      <c r="S804" s="2">
        <v>11</v>
      </c>
      <c r="T804" s="2">
        <v>1</v>
      </c>
      <c r="U804" s="2">
        <v>5</v>
      </c>
      <c r="V804" s="2">
        <v>2</v>
      </c>
      <c r="W804" s="2">
        <v>11</v>
      </c>
      <c r="X804" s="2">
        <v>3</v>
      </c>
    </row>
    <row r="805" spans="1:24" x14ac:dyDescent="0.35">
      <c r="A805">
        <v>592</v>
      </c>
      <c r="B805">
        <v>56253</v>
      </c>
      <c r="C805">
        <v>57</v>
      </c>
      <c r="D805">
        <v>1</v>
      </c>
      <c r="E805" s="28">
        <v>7.4739726027397264</v>
      </c>
      <c r="F805" s="28"/>
      <c r="G805" s="28"/>
      <c r="H805" s="28"/>
      <c r="I805" s="28"/>
      <c r="J805" s="28"/>
      <c r="L805" s="37">
        <v>592</v>
      </c>
      <c r="M805" s="3">
        <v>83</v>
      </c>
      <c r="N805" s="3">
        <v>509</v>
      </c>
      <c r="O805" s="3">
        <v>0</v>
      </c>
      <c r="P805" s="3">
        <v>65</v>
      </c>
      <c r="Q805" s="3">
        <v>7</v>
      </c>
      <c r="R805" s="3">
        <v>11</v>
      </c>
      <c r="S805" s="3">
        <v>5</v>
      </c>
      <c r="T805" s="3">
        <v>4</v>
      </c>
      <c r="U805" s="3">
        <v>7</v>
      </c>
      <c r="V805" s="3">
        <v>2</v>
      </c>
      <c r="W805" s="3">
        <v>9</v>
      </c>
      <c r="X805" s="3">
        <v>6</v>
      </c>
    </row>
    <row r="806" spans="1:24" x14ac:dyDescent="0.35">
      <c r="A806">
        <v>591</v>
      </c>
      <c r="B806">
        <v>71427</v>
      </c>
      <c r="C806">
        <v>42</v>
      </c>
      <c r="D806">
        <v>1</v>
      </c>
      <c r="E806" s="28">
        <v>6.2136986301369861</v>
      </c>
      <c r="F806" s="28"/>
      <c r="G806" s="28"/>
      <c r="H806" s="28"/>
      <c r="I806" s="28"/>
      <c r="J806" s="28"/>
      <c r="L806" s="38">
        <v>591</v>
      </c>
      <c r="M806" s="2">
        <v>26</v>
      </c>
      <c r="N806" s="2">
        <v>212</v>
      </c>
      <c r="O806" s="2">
        <v>123</v>
      </c>
      <c r="P806" s="2">
        <v>177</v>
      </c>
      <c r="Q806" s="2">
        <v>15</v>
      </c>
      <c r="R806" s="2">
        <v>64</v>
      </c>
      <c r="S806" s="2">
        <v>23</v>
      </c>
      <c r="T806" s="2">
        <v>2</v>
      </c>
      <c r="U806" s="2">
        <v>8</v>
      </c>
      <c r="V806" s="2">
        <v>2</v>
      </c>
      <c r="W806" s="2">
        <v>8</v>
      </c>
      <c r="X806" s="2">
        <v>4</v>
      </c>
    </row>
    <row r="807" spans="1:24" x14ac:dyDescent="0.35">
      <c r="A807">
        <v>591</v>
      </c>
      <c r="B807">
        <v>61331</v>
      </c>
      <c r="C807">
        <v>62</v>
      </c>
      <c r="D807">
        <v>1</v>
      </c>
      <c r="E807" s="28">
        <v>7.2191780821917808</v>
      </c>
      <c r="F807" s="28"/>
      <c r="G807" s="28"/>
      <c r="H807" s="28"/>
      <c r="I807" s="28"/>
      <c r="J807" s="28"/>
      <c r="L807" s="37">
        <v>591</v>
      </c>
      <c r="M807" s="3">
        <v>42</v>
      </c>
      <c r="N807" s="3">
        <v>534</v>
      </c>
      <c r="O807" s="3">
        <v>5</v>
      </c>
      <c r="P807" s="3">
        <v>47</v>
      </c>
      <c r="Q807" s="3">
        <v>0</v>
      </c>
      <c r="R807" s="3">
        <v>5</v>
      </c>
      <c r="S807" s="3">
        <v>41</v>
      </c>
      <c r="T807" s="3">
        <v>5</v>
      </c>
      <c r="U807" s="3">
        <v>11</v>
      </c>
      <c r="V807" s="3">
        <v>1</v>
      </c>
      <c r="W807" s="3">
        <v>6</v>
      </c>
      <c r="X807" s="3">
        <v>8</v>
      </c>
    </row>
    <row r="808" spans="1:24" x14ac:dyDescent="0.35">
      <c r="A808">
        <v>590</v>
      </c>
      <c r="B808">
        <v>56628</v>
      </c>
      <c r="C808">
        <v>43</v>
      </c>
      <c r="D808">
        <v>1</v>
      </c>
      <c r="E808" s="28">
        <v>6.1890410958904107</v>
      </c>
      <c r="F808" s="28"/>
      <c r="G808" s="28"/>
      <c r="H808" s="28"/>
      <c r="I808" s="28"/>
      <c r="J808" s="28"/>
      <c r="L808" s="38">
        <v>590</v>
      </c>
      <c r="M808" s="2">
        <v>30</v>
      </c>
      <c r="N808" s="2">
        <v>479</v>
      </c>
      <c r="O808" s="2">
        <v>5</v>
      </c>
      <c r="P808" s="2">
        <v>82</v>
      </c>
      <c r="Q808" s="2">
        <v>7</v>
      </c>
      <c r="R808" s="2">
        <v>17</v>
      </c>
      <c r="S808" s="2">
        <v>171</v>
      </c>
      <c r="T808" s="2">
        <v>2</v>
      </c>
      <c r="U808" s="2">
        <v>7</v>
      </c>
      <c r="V808" s="2">
        <v>6</v>
      </c>
      <c r="W808" s="2">
        <v>5</v>
      </c>
      <c r="X808" s="2">
        <v>5</v>
      </c>
    </row>
    <row r="809" spans="1:24" x14ac:dyDescent="0.35">
      <c r="A809">
        <v>589</v>
      </c>
      <c r="B809">
        <v>40464</v>
      </c>
      <c r="C809">
        <v>67</v>
      </c>
      <c r="D809">
        <v>1</v>
      </c>
      <c r="E809" s="28">
        <v>7.3780821917808215</v>
      </c>
      <c r="F809" s="28"/>
      <c r="G809" s="28"/>
      <c r="H809" s="28"/>
      <c r="I809" s="28"/>
      <c r="J809" s="28"/>
      <c r="L809" s="37">
        <v>589</v>
      </c>
      <c r="M809" s="3">
        <v>78</v>
      </c>
      <c r="N809" s="3">
        <v>424</v>
      </c>
      <c r="O809" s="3">
        <v>17</v>
      </c>
      <c r="P809" s="3">
        <v>118</v>
      </c>
      <c r="Q809" s="3">
        <v>7</v>
      </c>
      <c r="R809" s="3">
        <v>23</v>
      </c>
      <c r="S809" s="3">
        <v>41</v>
      </c>
      <c r="T809" s="3">
        <v>6</v>
      </c>
      <c r="U809" s="3">
        <v>8</v>
      </c>
      <c r="V809" s="3">
        <v>2</v>
      </c>
      <c r="W809" s="3">
        <v>8</v>
      </c>
      <c r="X809" s="3">
        <v>8</v>
      </c>
    </row>
    <row r="810" spans="1:24" x14ac:dyDescent="0.35">
      <c r="A810">
        <v>588</v>
      </c>
      <c r="B810">
        <v>49090</v>
      </c>
      <c r="C810">
        <v>69</v>
      </c>
      <c r="D810">
        <v>1</v>
      </c>
      <c r="E810" s="28">
        <v>6.86027397260274</v>
      </c>
      <c r="F810" s="28"/>
      <c r="G810" s="28"/>
      <c r="H810" s="28"/>
      <c r="I810" s="28"/>
      <c r="J810" s="28"/>
      <c r="L810" s="38">
        <v>588</v>
      </c>
      <c r="M810" s="2">
        <v>45</v>
      </c>
      <c r="N810" s="2">
        <v>494</v>
      </c>
      <c r="O810" s="2">
        <v>5</v>
      </c>
      <c r="P810" s="2">
        <v>82</v>
      </c>
      <c r="Q810" s="2">
        <v>7</v>
      </c>
      <c r="R810" s="2">
        <v>0</v>
      </c>
      <c r="S810" s="2">
        <v>100</v>
      </c>
      <c r="T810" s="2">
        <v>3</v>
      </c>
      <c r="U810" s="2">
        <v>7</v>
      </c>
      <c r="V810" s="2">
        <v>2</v>
      </c>
      <c r="W810" s="2">
        <v>9</v>
      </c>
      <c r="X810" s="2">
        <v>7</v>
      </c>
    </row>
    <row r="811" spans="1:24" x14ac:dyDescent="0.35">
      <c r="A811">
        <v>577</v>
      </c>
      <c r="B811">
        <v>74190</v>
      </c>
      <c r="C811">
        <v>45</v>
      </c>
      <c r="D811">
        <v>1</v>
      </c>
      <c r="E811" s="28">
        <v>6.0465753424657533</v>
      </c>
      <c r="F811" s="28"/>
      <c r="G811" s="28"/>
      <c r="H811" s="28"/>
      <c r="I811" s="28"/>
      <c r="J811" s="28"/>
      <c r="L811" s="37">
        <v>577</v>
      </c>
      <c r="M811" s="3">
        <v>49</v>
      </c>
      <c r="N811" s="3">
        <v>151</v>
      </c>
      <c r="O811" s="3">
        <v>81</v>
      </c>
      <c r="P811" s="3">
        <v>86</v>
      </c>
      <c r="Q811" s="3">
        <v>168</v>
      </c>
      <c r="R811" s="3">
        <v>91</v>
      </c>
      <c r="S811" s="3">
        <v>64</v>
      </c>
      <c r="T811" s="3">
        <v>2</v>
      </c>
      <c r="U811" s="3">
        <v>4</v>
      </c>
      <c r="V811" s="3">
        <v>2</v>
      </c>
      <c r="W811" s="3">
        <v>11</v>
      </c>
      <c r="X811" s="3">
        <v>2</v>
      </c>
    </row>
    <row r="812" spans="1:24" x14ac:dyDescent="0.35">
      <c r="A812">
        <v>571</v>
      </c>
      <c r="B812">
        <v>65704</v>
      </c>
      <c r="C812">
        <v>48</v>
      </c>
      <c r="D812">
        <v>0</v>
      </c>
      <c r="E812" s="28">
        <v>6.624657534246575</v>
      </c>
      <c r="F812" s="28"/>
      <c r="G812" s="28"/>
      <c r="H812" s="28"/>
      <c r="I812" s="28"/>
      <c r="J812" s="28"/>
      <c r="L812" s="38">
        <v>571</v>
      </c>
      <c r="M812" s="2">
        <v>18</v>
      </c>
      <c r="N812" s="2">
        <v>279</v>
      </c>
      <c r="O812" s="2">
        <v>172</v>
      </c>
      <c r="P812" s="2">
        <v>74</v>
      </c>
      <c r="Q812" s="2">
        <v>38</v>
      </c>
      <c r="R812" s="2">
        <v>8</v>
      </c>
      <c r="S812" s="2">
        <v>246</v>
      </c>
      <c r="T812" s="2">
        <v>1</v>
      </c>
      <c r="U812" s="2">
        <v>2</v>
      </c>
      <c r="V812" s="2">
        <v>10</v>
      </c>
      <c r="W812" s="2">
        <v>10</v>
      </c>
      <c r="X812" s="2">
        <v>1</v>
      </c>
    </row>
    <row r="813" spans="1:24" x14ac:dyDescent="0.35">
      <c r="A813">
        <v>563</v>
      </c>
      <c r="B813">
        <v>55635</v>
      </c>
      <c r="C813">
        <v>49</v>
      </c>
      <c r="D813">
        <v>1</v>
      </c>
      <c r="E813" s="28">
        <v>7.5397260273972604</v>
      </c>
      <c r="F813" s="28"/>
      <c r="G813" s="28"/>
      <c r="H813" s="28"/>
      <c r="I813" s="28"/>
      <c r="J813" s="28"/>
      <c r="L813" s="37">
        <v>563</v>
      </c>
      <c r="M813" s="3">
        <v>34</v>
      </c>
      <c r="N813" s="3">
        <v>235</v>
      </c>
      <c r="O813" s="3">
        <v>65</v>
      </c>
      <c r="P813" s="3">
        <v>164</v>
      </c>
      <c r="Q813" s="3">
        <v>50</v>
      </c>
      <c r="R813" s="3">
        <v>49</v>
      </c>
      <c r="S813" s="3">
        <v>27</v>
      </c>
      <c r="T813" s="3">
        <v>4</v>
      </c>
      <c r="U813" s="3">
        <v>7</v>
      </c>
      <c r="V813" s="3">
        <v>3</v>
      </c>
      <c r="W813" s="3">
        <v>7</v>
      </c>
      <c r="X813" s="3">
        <v>6</v>
      </c>
    </row>
    <row r="814" spans="1:24" x14ac:dyDescent="0.35">
      <c r="A814">
        <v>563</v>
      </c>
      <c r="B814">
        <v>62905</v>
      </c>
      <c r="C814">
        <v>56</v>
      </c>
      <c r="D814">
        <v>1</v>
      </c>
      <c r="E814" s="28">
        <v>6.7150684931506852</v>
      </c>
      <c r="F814" s="28"/>
      <c r="G814" s="28"/>
      <c r="H814" s="28"/>
      <c r="I814" s="28"/>
      <c r="J814" s="28"/>
      <c r="L814" s="38">
        <v>563</v>
      </c>
      <c r="M814" s="2">
        <v>68</v>
      </c>
      <c r="N814" s="2">
        <v>166</v>
      </c>
      <c r="O814" s="2">
        <v>75</v>
      </c>
      <c r="P814" s="2">
        <v>96</v>
      </c>
      <c r="Q814" s="2">
        <v>119</v>
      </c>
      <c r="R814" s="2">
        <v>107</v>
      </c>
      <c r="S814" s="2">
        <v>59</v>
      </c>
      <c r="T814" s="2">
        <v>3</v>
      </c>
      <c r="U814" s="2">
        <v>7</v>
      </c>
      <c r="V814" s="2">
        <v>2</v>
      </c>
      <c r="W814" s="2">
        <v>8</v>
      </c>
      <c r="X814" s="2">
        <v>4</v>
      </c>
    </row>
    <row r="815" spans="1:24" x14ac:dyDescent="0.35">
      <c r="A815">
        <v>560</v>
      </c>
      <c r="B815">
        <v>76800</v>
      </c>
      <c r="C815">
        <v>55</v>
      </c>
      <c r="D815">
        <v>0</v>
      </c>
      <c r="E815" s="28">
        <v>6.2246575342465755</v>
      </c>
      <c r="F815" s="28"/>
      <c r="G815" s="28"/>
      <c r="H815" s="28"/>
      <c r="I815" s="28"/>
      <c r="J815" s="28"/>
      <c r="L815" s="37">
        <v>560</v>
      </c>
      <c r="M815" s="3">
        <v>33</v>
      </c>
      <c r="N815" s="3">
        <v>173</v>
      </c>
      <c r="O815" s="3">
        <v>26</v>
      </c>
      <c r="P815" s="3">
        <v>255</v>
      </c>
      <c r="Q815" s="3">
        <v>35</v>
      </c>
      <c r="R815" s="3">
        <v>71</v>
      </c>
      <c r="S815" s="3">
        <v>81</v>
      </c>
      <c r="T815" s="3">
        <v>1</v>
      </c>
      <c r="U815" s="3">
        <v>4</v>
      </c>
      <c r="V815" s="3">
        <v>4</v>
      </c>
      <c r="W815" s="3">
        <v>7</v>
      </c>
      <c r="X815" s="3">
        <v>1</v>
      </c>
    </row>
    <row r="816" spans="1:24" x14ac:dyDescent="0.35">
      <c r="A816">
        <v>560</v>
      </c>
      <c r="B816">
        <v>50334</v>
      </c>
      <c r="C816">
        <v>48</v>
      </c>
      <c r="D816">
        <v>1</v>
      </c>
      <c r="E816" s="28">
        <v>6.8465753424657532</v>
      </c>
      <c r="F816" s="28"/>
      <c r="G816" s="28"/>
      <c r="H816" s="28"/>
      <c r="I816" s="28"/>
      <c r="J816" s="28"/>
      <c r="L816" s="38">
        <v>560</v>
      </c>
      <c r="M816" s="2">
        <v>24</v>
      </c>
      <c r="N816" s="2">
        <v>284</v>
      </c>
      <c r="O816" s="2">
        <v>16</v>
      </c>
      <c r="P816" s="2">
        <v>160</v>
      </c>
      <c r="Q816" s="2">
        <v>84</v>
      </c>
      <c r="R816" s="2">
        <v>16</v>
      </c>
      <c r="S816" s="2">
        <v>134</v>
      </c>
      <c r="T816" s="2">
        <v>6</v>
      </c>
      <c r="U816" s="2">
        <v>7</v>
      </c>
      <c r="V816" s="2">
        <v>4</v>
      </c>
      <c r="W816" s="2">
        <v>6</v>
      </c>
      <c r="X816" s="2">
        <v>6</v>
      </c>
    </row>
    <row r="817" spans="1:24" x14ac:dyDescent="0.35">
      <c r="A817">
        <v>557</v>
      </c>
      <c r="B817">
        <v>61872</v>
      </c>
      <c r="C817">
        <v>50</v>
      </c>
      <c r="D817">
        <v>1</v>
      </c>
      <c r="E817" s="28">
        <v>6.4575342465753423</v>
      </c>
      <c r="F817" s="28"/>
      <c r="G817" s="28"/>
      <c r="H817" s="28"/>
      <c r="I817" s="28"/>
      <c r="J817" s="28"/>
      <c r="L817" s="37">
        <v>557</v>
      </c>
      <c r="M817" s="3">
        <v>81</v>
      </c>
      <c r="N817" s="3">
        <v>330</v>
      </c>
      <c r="O817" s="3">
        <v>5</v>
      </c>
      <c r="P817" s="3">
        <v>159</v>
      </c>
      <c r="Q817" s="3">
        <v>36</v>
      </c>
      <c r="R817" s="3">
        <v>27</v>
      </c>
      <c r="S817" s="3">
        <v>16</v>
      </c>
      <c r="T817" s="3">
        <v>4</v>
      </c>
      <c r="U817" s="3">
        <v>4</v>
      </c>
      <c r="V817" s="3">
        <v>4</v>
      </c>
      <c r="W817" s="3">
        <v>9</v>
      </c>
      <c r="X817" s="3">
        <v>4</v>
      </c>
    </row>
    <row r="818" spans="1:24" x14ac:dyDescent="0.35">
      <c r="A818">
        <v>556</v>
      </c>
      <c r="B818">
        <v>50002</v>
      </c>
      <c r="C818">
        <v>66</v>
      </c>
      <c r="D818">
        <v>1</v>
      </c>
      <c r="E818" s="28">
        <v>6.9479452054794519</v>
      </c>
      <c r="F818" s="28"/>
      <c r="G818" s="28"/>
      <c r="H818" s="28"/>
      <c r="I818" s="28"/>
      <c r="J818" s="28"/>
      <c r="L818" s="38">
        <v>556</v>
      </c>
      <c r="M818" s="2">
        <v>21</v>
      </c>
      <c r="N818" s="2">
        <v>443</v>
      </c>
      <c r="O818" s="2">
        <v>5</v>
      </c>
      <c r="P818" s="2">
        <v>71</v>
      </c>
      <c r="Q818" s="2">
        <v>21</v>
      </c>
      <c r="R818" s="2">
        <v>16</v>
      </c>
      <c r="S818" s="2">
        <v>82</v>
      </c>
      <c r="T818" s="2">
        <v>2</v>
      </c>
      <c r="U818" s="2">
        <v>8</v>
      </c>
      <c r="V818" s="2">
        <v>2</v>
      </c>
      <c r="W818" s="2">
        <v>7</v>
      </c>
      <c r="X818" s="2">
        <v>7</v>
      </c>
    </row>
    <row r="819" spans="1:24" x14ac:dyDescent="0.35">
      <c r="A819">
        <v>551</v>
      </c>
      <c r="B819">
        <v>58275</v>
      </c>
      <c r="C819">
        <v>65</v>
      </c>
      <c r="D819">
        <v>1</v>
      </c>
      <c r="E819" s="28">
        <v>6.9890410958904106</v>
      </c>
      <c r="F819" s="28"/>
      <c r="G819" s="28"/>
      <c r="H819" s="28"/>
      <c r="I819" s="28"/>
      <c r="J819" s="28"/>
      <c r="L819" s="37">
        <v>551</v>
      </c>
      <c r="M819" s="3">
        <v>48</v>
      </c>
      <c r="N819" s="3">
        <v>189</v>
      </c>
      <c r="O819" s="3">
        <v>10</v>
      </c>
      <c r="P819" s="3">
        <v>253</v>
      </c>
      <c r="Q819" s="3">
        <v>56</v>
      </c>
      <c r="R819" s="3">
        <v>43</v>
      </c>
      <c r="S819" s="3">
        <v>64</v>
      </c>
      <c r="T819" s="3">
        <v>6</v>
      </c>
      <c r="U819" s="3">
        <v>8</v>
      </c>
      <c r="V819" s="3">
        <v>2</v>
      </c>
      <c r="W819" s="3">
        <v>7</v>
      </c>
      <c r="X819" s="3">
        <v>7</v>
      </c>
    </row>
    <row r="820" spans="1:24" x14ac:dyDescent="0.35">
      <c r="A820">
        <v>551</v>
      </c>
      <c r="B820">
        <v>54803</v>
      </c>
      <c r="C820">
        <v>51</v>
      </c>
      <c r="D820">
        <v>1</v>
      </c>
      <c r="E820" s="28">
        <v>7.7698630136986298</v>
      </c>
      <c r="F820" s="28"/>
      <c r="G820" s="28"/>
      <c r="H820" s="28"/>
      <c r="I820" s="28"/>
      <c r="J820" s="28"/>
      <c r="L820" s="38">
        <v>551</v>
      </c>
      <c r="M820" s="2">
        <v>65</v>
      </c>
      <c r="N820" s="2">
        <v>404</v>
      </c>
      <c r="O820" s="2">
        <v>0</v>
      </c>
      <c r="P820" s="2">
        <v>92</v>
      </c>
      <c r="Q820" s="2">
        <v>28</v>
      </c>
      <c r="R820" s="2">
        <v>27</v>
      </c>
      <c r="S820" s="2">
        <v>142</v>
      </c>
      <c r="T820" s="2">
        <v>2</v>
      </c>
      <c r="U820" s="2">
        <v>6</v>
      </c>
      <c r="V820" s="2">
        <v>2</v>
      </c>
      <c r="W820" s="2">
        <v>9</v>
      </c>
      <c r="X820" s="2">
        <v>4</v>
      </c>
    </row>
    <row r="821" spans="1:24" x14ac:dyDescent="0.35">
      <c r="A821">
        <v>550</v>
      </c>
      <c r="B821">
        <v>57937</v>
      </c>
      <c r="C821">
        <v>38</v>
      </c>
      <c r="D821">
        <v>1</v>
      </c>
      <c r="E821" s="28">
        <v>6.279452054794521</v>
      </c>
      <c r="F821" s="28"/>
      <c r="G821" s="28"/>
      <c r="H821" s="28"/>
      <c r="I821" s="28"/>
      <c r="J821" s="28"/>
      <c r="L821" s="37">
        <v>550</v>
      </c>
      <c r="M821" s="3">
        <v>56</v>
      </c>
      <c r="N821" s="3">
        <v>261</v>
      </c>
      <c r="O821" s="3">
        <v>42</v>
      </c>
      <c r="P821" s="3">
        <v>144</v>
      </c>
      <c r="Q821" s="3">
        <v>55</v>
      </c>
      <c r="R821" s="3">
        <v>48</v>
      </c>
      <c r="S821" s="3">
        <v>133</v>
      </c>
      <c r="T821" s="3">
        <v>3</v>
      </c>
      <c r="U821" s="3">
        <v>4</v>
      </c>
      <c r="V821" s="3">
        <v>4</v>
      </c>
      <c r="W821" s="3">
        <v>9</v>
      </c>
      <c r="X821" s="3">
        <v>3</v>
      </c>
    </row>
    <row r="822" spans="1:24" x14ac:dyDescent="0.35">
      <c r="A822">
        <v>550</v>
      </c>
      <c r="B822">
        <v>57136</v>
      </c>
      <c r="C822">
        <v>48</v>
      </c>
      <c r="D822">
        <v>1</v>
      </c>
      <c r="E822" s="28">
        <v>6.8876712328767127</v>
      </c>
      <c r="F822" s="28"/>
      <c r="G822" s="28"/>
      <c r="H822" s="28"/>
      <c r="I822" s="28"/>
      <c r="J822" s="28"/>
      <c r="L822" s="38">
        <v>550</v>
      </c>
      <c r="M822" s="2">
        <v>48</v>
      </c>
      <c r="N822" s="2">
        <v>306</v>
      </c>
      <c r="O822" s="2">
        <v>5</v>
      </c>
      <c r="P822" s="2">
        <v>109</v>
      </c>
      <c r="Q822" s="2">
        <v>21</v>
      </c>
      <c r="R822" s="2">
        <v>109</v>
      </c>
      <c r="S822" s="2">
        <v>92</v>
      </c>
      <c r="T822" s="2">
        <v>9</v>
      </c>
      <c r="U822" s="2">
        <v>5</v>
      </c>
      <c r="V822" s="2">
        <v>2</v>
      </c>
      <c r="W822" s="2">
        <v>10</v>
      </c>
      <c r="X822" s="2">
        <v>6</v>
      </c>
    </row>
    <row r="823" spans="1:24" x14ac:dyDescent="0.35">
      <c r="A823">
        <v>548</v>
      </c>
      <c r="B823">
        <v>64713</v>
      </c>
      <c r="C823">
        <v>50</v>
      </c>
      <c r="D823">
        <v>1</v>
      </c>
      <c r="E823" s="28">
        <v>6.3041095890410963</v>
      </c>
      <c r="F823" s="28"/>
      <c r="G823" s="28"/>
      <c r="H823" s="28"/>
      <c r="I823" s="28"/>
      <c r="J823" s="28"/>
      <c r="L823" s="37">
        <v>548</v>
      </c>
      <c r="M823" s="3">
        <v>11</v>
      </c>
      <c r="N823" s="3">
        <v>180</v>
      </c>
      <c r="O823" s="3">
        <v>60</v>
      </c>
      <c r="P823" s="3">
        <v>241</v>
      </c>
      <c r="Q823" s="3">
        <v>13</v>
      </c>
      <c r="R823" s="3">
        <v>54</v>
      </c>
      <c r="S823" s="3">
        <v>54</v>
      </c>
      <c r="T823" s="3">
        <v>2</v>
      </c>
      <c r="U823" s="3">
        <v>5</v>
      </c>
      <c r="V823" s="3">
        <v>5</v>
      </c>
      <c r="W823" s="3">
        <v>7</v>
      </c>
      <c r="X823" s="3">
        <v>4</v>
      </c>
    </row>
    <row r="824" spans="1:24" x14ac:dyDescent="0.35">
      <c r="A824">
        <v>548</v>
      </c>
      <c r="B824">
        <v>79146</v>
      </c>
      <c r="C824">
        <v>53</v>
      </c>
      <c r="D824">
        <v>1</v>
      </c>
      <c r="E824" s="28">
        <v>6.095890410958904</v>
      </c>
      <c r="F824" s="28"/>
      <c r="G824" s="28"/>
      <c r="H824" s="28"/>
      <c r="I824" s="28"/>
      <c r="J824" s="28"/>
      <c r="L824" s="38">
        <v>548</v>
      </c>
      <c r="M824" s="2">
        <v>33</v>
      </c>
      <c r="N824" s="2">
        <v>245</v>
      </c>
      <c r="O824" s="2">
        <v>16</v>
      </c>
      <c r="P824" s="2">
        <v>223</v>
      </c>
      <c r="Q824" s="2">
        <v>21</v>
      </c>
      <c r="R824" s="2">
        <v>43</v>
      </c>
      <c r="S824" s="2">
        <v>16</v>
      </c>
      <c r="T824" s="2">
        <v>2</v>
      </c>
      <c r="U824" s="2">
        <v>8</v>
      </c>
      <c r="V824" s="2">
        <v>1</v>
      </c>
      <c r="W824" s="2">
        <v>8</v>
      </c>
      <c r="X824" s="2">
        <v>6</v>
      </c>
    </row>
    <row r="825" spans="1:24" x14ac:dyDescent="0.35">
      <c r="A825">
        <v>548</v>
      </c>
      <c r="B825">
        <v>57288</v>
      </c>
      <c r="C825">
        <v>57</v>
      </c>
      <c r="D825">
        <v>1</v>
      </c>
      <c r="E825" s="28">
        <v>5.9260273972602739</v>
      </c>
      <c r="F825" s="28"/>
      <c r="G825" s="28"/>
      <c r="H825" s="28"/>
      <c r="I825" s="28"/>
      <c r="J825" s="28"/>
      <c r="L825" s="37">
        <v>548</v>
      </c>
      <c r="M825" s="3">
        <v>27</v>
      </c>
      <c r="N825" s="3">
        <v>527</v>
      </c>
      <c r="O825" s="3">
        <v>0</v>
      </c>
      <c r="P825" s="3">
        <v>21</v>
      </c>
      <c r="Q825" s="3">
        <v>0</v>
      </c>
      <c r="R825" s="3">
        <v>0</v>
      </c>
      <c r="S825" s="3">
        <v>60</v>
      </c>
      <c r="T825" s="3">
        <v>3</v>
      </c>
      <c r="U825" s="3">
        <v>8</v>
      </c>
      <c r="V825" s="3">
        <v>1</v>
      </c>
      <c r="W825" s="3">
        <v>8</v>
      </c>
      <c r="X825" s="3">
        <v>6</v>
      </c>
    </row>
    <row r="826" spans="1:24" x14ac:dyDescent="0.35">
      <c r="A826">
        <v>547</v>
      </c>
      <c r="B826">
        <v>58398</v>
      </c>
      <c r="C826">
        <v>67</v>
      </c>
      <c r="D826">
        <v>0</v>
      </c>
      <c r="E826" s="28">
        <v>7.0410958904109586</v>
      </c>
      <c r="F826" s="28"/>
      <c r="G826" s="28"/>
      <c r="H826" s="28"/>
      <c r="I826" s="28"/>
      <c r="J826" s="28"/>
      <c r="L826" s="38">
        <v>547</v>
      </c>
      <c r="M826" s="2">
        <v>44</v>
      </c>
      <c r="N826" s="2">
        <v>299</v>
      </c>
      <c r="O826" s="2">
        <v>5</v>
      </c>
      <c r="P826" s="2">
        <v>201</v>
      </c>
      <c r="Q826" s="2">
        <v>21</v>
      </c>
      <c r="R826" s="2">
        <v>21</v>
      </c>
      <c r="S826" s="2">
        <v>49</v>
      </c>
      <c r="T826" s="2">
        <v>3</v>
      </c>
      <c r="U826" s="2">
        <v>5</v>
      </c>
      <c r="V826" s="2">
        <v>4</v>
      </c>
      <c r="W826" s="2">
        <v>8</v>
      </c>
      <c r="X826" s="2">
        <v>4</v>
      </c>
    </row>
    <row r="827" spans="1:24" x14ac:dyDescent="0.35">
      <c r="A827">
        <v>547</v>
      </c>
      <c r="B827">
        <v>69263</v>
      </c>
      <c r="C827">
        <v>55</v>
      </c>
      <c r="D827">
        <v>1</v>
      </c>
      <c r="E827" s="28">
        <v>6.2328767123287667</v>
      </c>
      <c r="F827" s="28"/>
      <c r="G827" s="28"/>
      <c r="H827" s="28"/>
      <c r="I827" s="28"/>
      <c r="J827" s="28"/>
      <c r="L827" s="37">
        <v>547</v>
      </c>
      <c r="M827" s="3">
        <v>14</v>
      </c>
      <c r="N827" s="3">
        <v>492</v>
      </c>
      <c r="O827" s="3">
        <v>5</v>
      </c>
      <c r="P827" s="3">
        <v>32</v>
      </c>
      <c r="Q827" s="3">
        <v>13</v>
      </c>
      <c r="R827" s="3">
        <v>5</v>
      </c>
      <c r="S827" s="3">
        <v>21</v>
      </c>
      <c r="T827" s="3">
        <v>1</v>
      </c>
      <c r="U827" s="3">
        <v>9</v>
      </c>
      <c r="V827" s="3">
        <v>1</v>
      </c>
      <c r="W827" s="3">
        <v>7</v>
      </c>
      <c r="X827" s="3">
        <v>6</v>
      </c>
    </row>
    <row r="828" spans="1:24" x14ac:dyDescent="0.35">
      <c r="A828">
        <v>546</v>
      </c>
      <c r="B828">
        <v>42021</v>
      </c>
      <c r="C828">
        <v>39</v>
      </c>
      <c r="D828">
        <v>1</v>
      </c>
      <c r="E828" s="28">
        <v>7.7424657534246579</v>
      </c>
      <c r="F828" s="28"/>
      <c r="G828" s="28"/>
      <c r="H828" s="28"/>
      <c r="I828" s="28"/>
      <c r="J828" s="28"/>
      <c r="L828" s="38">
        <v>546</v>
      </c>
      <c r="M828" s="2">
        <v>34</v>
      </c>
      <c r="N828" s="2">
        <v>393</v>
      </c>
      <c r="O828" s="2">
        <v>5</v>
      </c>
      <c r="P828" s="2">
        <v>136</v>
      </c>
      <c r="Q828" s="2">
        <v>7</v>
      </c>
      <c r="R828" s="2">
        <v>5</v>
      </c>
      <c r="S828" s="2">
        <v>27</v>
      </c>
      <c r="T828" s="2">
        <v>5</v>
      </c>
      <c r="U828" s="2">
        <v>10</v>
      </c>
      <c r="V828" s="2">
        <v>1</v>
      </c>
      <c r="W828" s="2">
        <v>6</v>
      </c>
      <c r="X828" s="2">
        <v>9</v>
      </c>
    </row>
    <row r="829" spans="1:24" x14ac:dyDescent="0.35">
      <c r="A829">
        <v>546</v>
      </c>
      <c r="B829">
        <v>65463</v>
      </c>
      <c r="C829">
        <v>46</v>
      </c>
      <c r="D829">
        <v>1</v>
      </c>
      <c r="E829" s="28">
        <v>6.3260273972602743</v>
      </c>
      <c r="F829" s="28"/>
      <c r="G829" s="28"/>
      <c r="H829" s="28"/>
      <c r="I829" s="28"/>
      <c r="J829" s="28"/>
      <c r="L829" s="37">
        <v>546</v>
      </c>
      <c r="M829" s="3">
        <v>17</v>
      </c>
      <c r="N829" s="3">
        <v>391</v>
      </c>
      <c r="O829" s="3">
        <v>32</v>
      </c>
      <c r="P829" s="3">
        <v>70</v>
      </c>
      <c r="Q829" s="3">
        <v>21</v>
      </c>
      <c r="R829" s="3">
        <v>32</v>
      </c>
      <c r="S829" s="3">
        <v>16</v>
      </c>
      <c r="T829" s="3">
        <v>2</v>
      </c>
      <c r="U829" s="3">
        <v>6</v>
      </c>
      <c r="V829" s="3">
        <v>2</v>
      </c>
      <c r="W829" s="3">
        <v>9</v>
      </c>
      <c r="X829" s="3">
        <v>5</v>
      </c>
    </row>
    <row r="830" spans="1:24" x14ac:dyDescent="0.35">
      <c r="A830">
        <v>546</v>
      </c>
      <c r="B830">
        <v>64866</v>
      </c>
      <c r="C830">
        <v>70</v>
      </c>
      <c r="D830">
        <v>1</v>
      </c>
      <c r="E830" s="28">
        <v>6.3369863013698629</v>
      </c>
      <c r="F830" s="28"/>
      <c r="G830" s="28"/>
      <c r="H830" s="28"/>
      <c r="I830" s="28"/>
      <c r="J830" s="28"/>
      <c r="L830" s="38">
        <v>546</v>
      </c>
      <c r="M830" s="2">
        <v>9</v>
      </c>
      <c r="N830" s="2">
        <v>508</v>
      </c>
      <c r="O830" s="2">
        <v>5</v>
      </c>
      <c r="P830" s="2">
        <v>21</v>
      </c>
      <c r="Q830" s="2">
        <v>7</v>
      </c>
      <c r="R830" s="2">
        <v>5</v>
      </c>
      <c r="S830" s="2">
        <v>10</v>
      </c>
      <c r="T830" s="2">
        <v>4</v>
      </c>
      <c r="U830" s="2">
        <v>7</v>
      </c>
      <c r="V830" s="2">
        <v>3</v>
      </c>
      <c r="W830" s="2">
        <v>7</v>
      </c>
      <c r="X830" s="2">
        <v>5</v>
      </c>
    </row>
    <row r="831" spans="1:24" x14ac:dyDescent="0.35">
      <c r="A831">
        <v>545</v>
      </c>
      <c r="B831">
        <v>61467</v>
      </c>
      <c r="C831">
        <v>72</v>
      </c>
      <c r="D831">
        <v>1</v>
      </c>
      <c r="E831" s="28">
        <v>7.4684931506849317</v>
      </c>
      <c r="F831" s="28"/>
      <c r="G831" s="28"/>
      <c r="H831" s="28"/>
      <c r="I831" s="28"/>
      <c r="J831" s="28"/>
      <c r="L831" s="37">
        <v>545</v>
      </c>
      <c r="M831" s="3">
        <v>69</v>
      </c>
      <c r="N831" s="3">
        <v>410</v>
      </c>
      <c r="O831" s="3">
        <v>16</v>
      </c>
      <c r="P831" s="3">
        <v>114</v>
      </c>
      <c r="Q831" s="3">
        <v>0</v>
      </c>
      <c r="R831" s="3">
        <v>5</v>
      </c>
      <c r="S831" s="3">
        <v>49</v>
      </c>
      <c r="T831" s="3">
        <v>3</v>
      </c>
      <c r="U831" s="3">
        <v>5</v>
      </c>
      <c r="V831" s="3">
        <v>2</v>
      </c>
      <c r="W831" s="3">
        <v>10</v>
      </c>
      <c r="X831" s="3">
        <v>5</v>
      </c>
    </row>
    <row r="832" spans="1:24" x14ac:dyDescent="0.35">
      <c r="A832">
        <v>544</v>
      </c>
      <c r="B832">
        <v>69096</v>
      </c>
      <c r="C832">
        <v>62</v>
      </c>
      <c r="D832">
        <v>1</v>
      </c>
      <c r="E832" s="28">
        <v>6.6684931506849319</v>
      </c>
      <c r="F832" s="28"/>
      <c r="G832" s="28"/>
      <c r="H832" s="28"/>
      <c r="I832" s="28"/>
      <c r="J832" s="28"/>
      <c r="L832" s="38">
        <v>544</v>
      </c>
      <c r="M832" s="2">
        <v>4</v>
      </c>
      <c r="N832" s="2">
        <v>247</v>
      </c>
      <c r="O832" s="2">
        <v>49</v>
      </c>
      <c r="P832" s="2">
        <v>159</v>
      </c>
      <c r="Q832" s="2">
        <v>7</v>
      </c>
      <c r="R832" s="2">
        <v>82</v>
      </c>
      <c r="S832" s="2">
        <v>109</v>
      </c>
      <c r="T832" s="2">
        <v>1</v>
      </c>
      <c r="U832" s="2">
        <v>5</v>
      </c>
      <c r="V832" s="2">
        <v>2</v>
      </c>
      <c r="W832" s="2">
        <v>10</v>
      </c>
      <c r="X832" s="2">
        <v>4</v>
      </c>
    </row>
    <row r="833" spans="1:24" x14ac:dyDescent="0.35">
      <c r="A833">
        <v>543</v>
      </c>
      <c r="B833">
        <v>49767</v>
      </c>
      <c r="C833">
        <v>29</v>
      </c>
      <c r="D833">
        <v>0</v>
      </c>
      <c r="E833" s="28">
        <v>7.0739726027397261</v>
      </c>
      <c r="F833" s="28"/>
      <c r="G833" s="28"/>
      <c r="H833" s="28"/>
      <c r="I833" s="28"/>
      <c r="J833" s="28"/>
      <c r="L833" s="37">
        <v>543</v>
      </c>
      <c r="M833" s="3">
        <v>92</v>
      </c>
      <c r="N833" s="3">
        <v>202</v>
      </c>
      <c r="O833" s="3">
        <v>47</v>
      </c>
      <c r="P833" s="3">
        <v>197</v>
      </c>
      <c r="Q833" s="3">
        <v>55</v>
      </c>
      <c r="R833" s="3">
        <v>42</v>
      </c>
      <c r="S833" s="3">
        <v>149</v>
      </c>
      <c r="T833" s="3">
        <v>1</v>
      </c>
      <c r="U833" s="3">
        <v>5</v>
      </c>
      <c r="V833" s="3">
        <v>4</v>
      </c>
      <c r="W833" s="3">
        <v>8</v>
      </c>
      <c r="X833" s="3">
        <v>4</v>
      </c>
    </row>
    <row r="834" spans="1:24" x14ac:dyDescent="0.35">
      <c r="A834">
        <v>542</v>
      </c>
      <c r="B834">
        <v>56337</v>
      </c>
      <c r="C834">
        <v>39</v>
      </c>
      <c r="D834">
        <v>1</v>
      </c>
      <c r="E834" s="28">
        <v>7.1726027397260275</v>
      </c>
      <c r="F834" s="28"/>
      <c r="G834" s="28"/>
      <c r="H834" s="28"/>
      <c r="I834" s="28"/>
      <c r="J834" s="28"/>
      <c r="L834" s="38">
        <v>542</v>
      </c>
      <c r="M834" s="2">
        <v>25</v>
      </c>
      <c r="N834" s="2">
        <v>349</v>
      </c>
      <c r="O834" s="2">
        <v>16</v>
      </c>
      <c r="P834" s="2">
        <v>144</v>
      </c>
      <c r="Q834" s="2">
        <v>28</v>
      </c>
      <c r="R834" s="2">
        <v>5</v>
      </c>
      <c r="S834" s="2">
        <v>182</v>
      </c>
      <c r="T834" s="2">
        <v>5</v>
      </c>
      <c r="U834" s="2">
        <v>8</v>
      </c>
      <c r="V834" s="2">
        <v>5</v>
      </c>
      <c r="W834" s="2">
        <v>4</v>
      </c>
      <c r="X834" s="2">
        <v>8</v>
      </c>
    </row>
    <row r="835" spans="1:24" x14ac:dyDescent="0.35">
      <c r="A835">
        <v>542</v>
      </c>
      <c r="B835">
        <v>42720</v>
      </c>
      <c r="C835">
        <v>55</v>
      </c>
      <c r="D835">
        <v>1</v>
      </c>
      <c r="E835" s="28">
        <v>7.095890410958904</v>
      </c>
      <c r="F835" s="28"/>
      <c r="G835" s="28"/>
      <c r="H835" s="28"/>
      <c r="I835" s="28"/>
      <c r="J835" s="28"/>
      <c r="L835" s="37">
        <v>542</v>
      </c>
      <c r="M835" s="3">
        <v>9</v>
      </c>
      <c r="N835" s="3">
        <v>392</v>
      </c>
      <c r="O835" s="3">
        <v>5</v>
      </c>
      <c r="P835" s="3">
        <v>91</v>
      </c>
      <c r="Q835" s="3">
        <v>28</v>
      </c>
      <c r="R835" s="3">
        <v>26</v>
      </c>
      <c r="S835" s="3">
        <v>112</v>
      </c>
      <c r="T835" s="3">
        <v>8</v>
      </c>
      <c r="U835" s="3">
        <v>7</v>
      </c>
      <c r="V835" s="3">
        <v>3</v>
      </c>
      <c r="W835" s="3">
        <v>7</v>
      </c>
      <c r="X835" s="3">
        <v>8</v>
      </c>
    </row>
    <row r="836" spans="1:24" x14ac:dyDescent="0.35">
      <c r="A836">
        <v>540</v>
      </c>
      <c r="B836">
        <v>57091</v>
      </c>
      <c r="C836">
        <v>59</v>
      </c>
      <c r="D836">
        <v>0</v>
      </c>
      <c r="E836" s="28">
        <v>5.9534246575342467</v>
      </c>
      <c r="F836" s="28"/>
      <c r="G836" s="28"/>
      <c r="H836" s="28"/>
      <c r="I836" s="28"/>
      <c r="J836" s="28"/>
      <c r="L836" s="38">
        <v>540</v>
      </c>
      <c r="M836" s="2">
        <v>0</v>
      </c>
      <c r="N836" s="2">
        <v>464</v>
      </c>
      <c r="O836" s="2">
        <v>5</v>
      </c>
      <c r="P836" s="2">
        <v>64</v>
      </c>
      <c r="Q836" s="2">
        <v>7</v>
      </c>
      <c r="R836" s="2">
        <v>0</v>
      </c>
      <c r="S836" s="2">
        <v>37</v>
      </c>
      <c r="T836" s="2">
        <v>1</v>
      </c>
      <c r="U836" s="2">
        <v>7</v>
      </c>
      <c r="V836" s="2">
        <v>3</v>
      </c>
      <c r="W836" s="2">
        <v>7</v>
      </c>
      <c r="X836" s="2">
        <v>5</v>
      </c>
    </row>
    <row r="837" spans="1:24" x14ac:dyDescent="0.35">
      <c r="A837">
        <v>540</v>
      </c>
      <c r="B837">
        <v>57183</v>
      </c>
      <c r="C837">
        <v>54</v>
      </c>
      <c r="D837">
        <v>1</v>
      </c>
      <c r="E837" s="28">
        <v>7.1945205479452055</v>
      </c>
      <c r="F837" s="28"/>
      <c r="G837" s="28"/>
      <c r="H837" s="28"/>
      <c r="I837" s="28"/>
      <c r="J837" s="28"/>
      <c r="L837" s="37">
        <v>540</v>
      </c>
      <c r="M837" s="3">
        <v>51</v>
      </c>
      <c r="N837" s="3">
        <v>464</v>
      </c>
      <c r="O837" s="3">
        <v>5</v>
      </c>
      <c r="P837" s="3">
        <v>64</v>
      </c>
      <c r="Q837" s="3">
        <v>7</v>
      </c>
      <c r="R837" s="3">
        <v>0</v>
      </c>
      <c r="S837" s="3">
        <v>70</v>
      </c>
      <c r="T837" s="3">
        <v>8</v>
      </c>
      <c r="U837" s="3">
        <v>9</v>
      </c>
      <c r="V837" s="3">
        <v>1</v>
      </c>
      <c r="W837" s="3">
        <v>7</v>
      </c>
      <c r="X837" s="3">
        <v>8</v>
      </c>
    </row>
    <row r="838" spans="1:24" x14ac:dyDescent="0.35">
      <c r="A838">
        <v>539</v>
      </c>
      <c r="B838">
        <v>65324</v>
      </c>
      <c r="C838">
        <v>66</v>
      </c>
      <c r="D838">
        <v>1</v>
      </c>
      <c r="E838" s="28">
        <v>6.3780821917808215</v>
      </c>
      <c r="F838" s="28"/>
      <c r="G838" s="28"/>
      <c r="H838" s="28"/>
      <c r="I838" s="28"/>
      <c r="J838" s="28"/>
      <c r="L838" s="38">
        <v>539</v>
      </c>
      <c r="M838" s="2">
        <v>0</v>
      </c>
      <c r="N838" s="2">
        <v>384</v>
      </c>
      <c r="O838" s="2">
        <v>0</v>
      </c>
      <c r="P838" s="2">
        <v>102</v>
      </c>
      <c r="Q838" s="2">
        <v>21</v>
      </c>
      <c r="R838" s="2">
        <v>32</v>
      </c>
      <c r="S838" s="2">
        <v>5</v>
      </c>
      <c r="T838" s="2">
        <v>3</v>
      </c>
      <c r="U838" s="2">
        <v>6</v>
      </c>
      <c r="V838" s="2">
        <v>2</v>
      </c>
      <c r="W838" s="2">
        <v>9</v>
      </c>
      <c r="X838" s="2">
        <v>4</v>
      </c>
    </row>
    <row r="839" spans="1:24" x14ac:dyDescent="0.35">
      <c r="A839">
        <v>538</v>
      </c>
      <c r="B839">
        <v>50725</v>
      </c>
      <c r="C839">
        <v>67</v>
      </c>
      <c r="D839">
        <v>1</v>
      </c>
      <c r="E839" s="28">
        <v>7.2876712328767121</v>
      </c>
      <c r="F839" s="28"/>
      <c r="G839" s="28"/>
      <c r="H839" s="28"/>
      <c r="I839" s="28"/>
      <c r="J839" s="28"/>
      <c r="L839" s="37">
        <v>538</v>
      </c>
      <c r="M839" s="3">
        <v>45</v>
      </c>
      <c r="N839" s="3">
        <v>443</v>
      </c>
      <c r="O839" s="3">
        <v>10</v>
      </c>
      <c r="P839" s="3">
        <v>75</v>
      </c>
      <c r="Q839" s="3">
        <v>0</v>
      </c>
      <c r="R839" s="3">
        <v>10</v>
      </c>
      <c r="S839" s="3">
        <v>48</v>
      </c>
      <c r="T839" s="3">
        <v>4</v>
      </c>
      <c r="U839" s="3">
        <v>8</v>
      </c>
      <c r="V839" s="3">
        <v>1</v>
      </c>
      <c r="W839" s="3">
        <v>8</v>
      </c>
      <c r="X839" s="3">
        <v>8</v>
      </c>
    </row>
    <row r="840" spans="1:24" x14ac:dyDescent="0.35">
      <c r="A840">
        <v>537</v>
      </c>
      <c r="B840">
        <v>56386</v>
      </c>
      <c r="C840">
        <v>39</v>
      </c>
      <c r="D840">
        <v>1</v>
      </c>
      <c r="E840" s="28">
        <v>7.5863013698630137</v>
      </c>
      <c r="F840" s="28"/>
      <c r="G840" s="28"/>
      <c r="H840" s="28"/>
      <c r="I840" s="28"/>
      <c r="J840" s="28"/>
      <c r="L840" s="38">
        <v>537</v>
      </c>
      <c r="M840" s="2">
        <v>51</v>
      </c>
      <c r="N840" s="2">
        <v>230</v>
      </c>
      <c r="O840" s="2">
        <v>48</v>
      </c>
      <c r="P840" s="2">
        <v>214</v>
      </c>
      <c r="Q840" s="2">
        <v>13</v>
      </c>
      <c r="R840" s="2">
        <v>32</v>
      </c>
      <c r="S840" s="2">
        <v>75</v>
      </c>
      <c r="T840" s="2">
        <v>8</v>
      </c>
      <c r="U840" s="2">
        <v>9</v>
      </c>
      <c r="V840" s="2">
        <v>1</v>
      </c>
      <c r="W840" s="2">
        <v>7</v>
      </c>
      <c r="X840" s="2">
        <v>9</v>
      </c>
    </row>
    <row r="841" spans="1:24" x14ac:dyDescent="0.35">
      <c r="A841">
        <v>537</v>
      </c>
      <c r="B841">
        <v>53790</v>
      </c>
      <c r="C841">
        <v>69</v>
      </c>
      <c r="D841">
        <v>1</v>
      </c>
      <c r="E841" s="28">
        <v>6.2301369863013702</v>
      </c>
      <c r="F841" s="28"/>
      <c r="G841" s="28"/>
      <c r="H841" s="28"/>
      <c r="I841" s="28"/>
      <c r="J841" s="28"/>
      <c r="L841" s="37">
        <v>537</v>
      </c>
      <c r="M841" s="3">
        <v>86</v>
      </c>
      <c r="N841" s="3">
        <v>335</v>
      </c>
      <c r="O841" s="3">
        <v>42</v>
      </c>
      <c r="P841" s="3">
        <v>127</v>
      </c>
      <c r="Q841" s="3">
        <v>28</v>
      </c>
      <c r="R841" s="3">
        <v>5</v>
      </c>
      <c r="S841" s="3">
        <v>5</v>
      </c>
      <c r="T841" s="3">
        <v>3</v>
      </c>
      <c r="U841" s="3">
        <v>7</v>
      </c>
      <c r="V841" s="3">
        <v>2</v>
      </c>
      <c r="W841" s="3">
        <v>8</v>
      </c>
      <c r="X841" s="3">
        <v>6</v>
      </c>
    </row>
    <row r="842" spans="1:24" x14ac:dyDescent="0.35">
      <c r="A842">
        <v>537</v>
      </c>
      <c r="B842">
        <v>75342</v>
      </c>
      <c r="C842">
        <v>62</v>
      </c>
      <c r="D842">
        <v>1</v>
      </c>
      <c r="E842" s="28">
        <v>7.0630136986301366</v>
      </c>
      <c r="F842" s="28"/>
      <c r="G842" s="28"/>
      <c r="H842" s="28"/>
      <c r="I842" s="28"/>
      <c r="J842" s="28"/>
      <c r="L842" s="38">
        <v>537</v>
      </c>
      <c r="M842" s="2">
        <v>38</v>
      </c>
      <c r="N842" s="2">
        <v>204</v>
      </c>
      <c r="O842" s="2">
        <v>97</v>
      </c>
      <c r="P842" s="2">
        <v>97</v>
      </c>
      <c r="Q842" s="2">
        <v>21</v>
      </c>
      <c r="R842" s="2">
        <v>118</v>
      </c>
      <c r="S842" s="2">
        <v>26</v>
      </c>
      <c r="T842" s="2">
        <v>1</v>
      </c>
      <c r="U842" s="2">
        <v>5</v>
      </c>
      <c r="V842" s="2">
        <v>2</v>
      </c>
      <c r="W842" s="2">
        <v>10</v>
      </c>
      <c r="X842" s="2">
        <v>4</v>
      </c>
    </row>
    <row r="843" spans="1:24" x14ac:dyDescent="0.35">
      <c r="A843">
        <v>537</v>
      </c>
      <c r="B843">
        <v>44325</v>
      </c>
      <c r="C843">
        <v>48</v>
      </c>
      <c r="D843">
        <v>1</v>
      </c>
      <c r="E843" s="28">
        <v>7.2273972602739729</v>
      </c>
      <c r="F843" s="28"/>
      <c r="G843" s="28"/>
      <c r="H843" s="28"/>
      <c r="I843" s="28"/>
      <c r="J843" s="28"/>
      <c r="L843" s="37">
        <v>537</v>
      </c>
      <c r="M843" s="3">
        <v>69</v>
      </c>
      <c r="N843" s="3">
        <v>516</v>
      </c>
      <c r="O843" s="3">
        <v>0</v>
      </c>
      <c r="P843" s="3">
        <v>21</v>
      </c>
      <c r="Q843" s="3">
        <v>0</v>
      </c>
      <c r="R843" s="3">
        <v>0</v>
      </c>
      <c r="S843" s="3">
        <v>5</v>
      </c>
      <c r="T843" s="3">
        <v>4</v>
      </c>
      <c r="U843" s="3">
        <v>8</v>
      </c>
      <c r="V843" s="3">
        <v>2</v>
      </c>
      <c r="W843" s="3">
        <v>7</v>
      </c>
      <c r="X843" s="3">
        <v>8</v>
      </c>
    </row>
    <row r="844" spans="1:24" x14ac:dyDescent="0.35">
      <c r="A844">
        <v>536</v>
      </c>
      <c r="B844">
        <v>52597</v>
      </c>
      <c r="C844">
        <v>58</v>
      </c>
      <c r="D844">
        <v>1</v>
      </c>
      <c r="E844" s="28">
        <v>6.0602739726027401</v>
      </c>
      <c r="F844" s="28"/>
      <c r="G844" s="28"/>
      <c r="H844" s="28"/>
      <c r="I844" s="28"/>
      <c r="J844" s="28"/>
      <c r="L844" s="38">
        <v>536</v>
      </c>
      <c r="M844" s="2">
        <v>69</v>
      </c>
      <c r="N844" s="2">
        <v>492</v>
      </c>
      <c r="O844" s="2">
        <v>0</v>
      </c>
      <c r="P844" s="2">
        <v>37</v>
      </c>
      <c r="Q844" s="2">
        <v>7</v>
      </c>
      <c r="R844" s="2">
        <v>0</v>
      </c>
      <c r="S844" s="2">
        <v>42</v>
      </c>
      <c r="T844" s="2">
        <v>3</v>
      </c>
      <c r="U844" s="2">
        <v>6</v>
      </c>
      <c r="V844" s="2">
        <v>3</v>
      </c>
      <c r="W844" s="2">
        <v>8</v>
      </c>
      <c r="X844" s="2">
        <v>5</v>
      </c>
    </row>
    <row r="845" spans="1:24" x14ac:dyDescent="0.35">
      <c r="A845">
        <v>536</v>
      </c>
      <c r="B845">
        <v>64100</v>
      </c>
      <c r="C845">
        <v>56</v>
      </c>
      <c r="D845">
        <v>1</v>
      </c>
      <c r="E845" s="28">
        <v>6.7150684931506852</v>
      </c>
      <c r="F845" s="28"/>
      <c r="G845" s="28"/>
      <c r="H845" s="28"/>
      <c r="I845" s="28"/>
      <c r="J845" s="28"/>
      <c r="L845" s="37">
        <v>536</v>
      </c>
      <c r="M845" s="3">
        <v>93</v>
      </c>
      <c r="N845" s="3">
        <v>509</v>
      </c>
      <c r="O845" s="3">
        <v>0</v>
      </c>
      <c r="P845" s="3">
        <v>27</v>
      </c>
      <c r="Q845" s="3">
        <v>0</v>
      </c>
      <c r="R845" s="3">
        <v>0</v>
      </c>
      <c r="S845" s="3">
        <v>10</v>
      </c>
      <c r="T845" s="3">
        <v>1</v>
      </c>
      <c r="U845" s="3">
        <v>8</v>
      </c>
      <c r="V845" s="3">
        <v>3</v>
      </c>
      <c r="W845" s="3">
        <v>6</v>
      </c>
      <c r="X845" s="3">
        <v>7</v>
      </c>
    </row>
    <row r="846" spans="1:24" x14ac:dyDescent="0.35">
      <c r="A846">
        <v>535</v>
      </c>
      <c r="B846">
        <v>48789</v>
      </c>
      <c r="C846">
        <v>28</v>
      </c>
      <c r="D846">
        <v>0</v>
      </c>
      <c r="E846" s="28">
        <v>7.7150684931506852</v>
      </c>
      <c r="F846" s="28"/>
      <c r="G846" s="28"/>
      <c r="H846" s="28"/>
      <c r="I846" s="28"/>
      <c r="J846" s="28"/>
      <c r="L846" s="38">
        <v>535</v>
      </c>
      <c r="M846" s="2">
        <v>94</v>
      </c>
      <c r="N846" s="2">
        <v>351</v>
      </c>
      <c r="O846" s="2">
        <v>16</v>
      </c>
      <c r="P846" s="2">
        <v>156</v>
      </c>
      <c r="Q846" s="2">
        <v>7</v>
      </c>
      <c r="R846" s="2">
        <v>5</v>
      </c>
      <c r="S846" s="2">
        <v>145</v>
      </c>
      <c r="T846" s="2">
        <v>1</v>
      </c>
      <c r="U846" s="2">
        <v>6</v>
      </c>
      <c r="V846" s="2">
        <v>4</v>
      </c>
      <c r="W846" s="2">
        <v>7</v>
      </c>
      <c r="X846" s="2">
        <v>6</v>
      </c>
    </row>
    <row r="847" spans="1:24" x14ac:dyDescent="0.35">
      <c r="A847">
        <v>532</v>
      </c>
      <c r="B847">
        <v>47703</v>
      </c>
      <c r="C847">
        <v>67</v>
      </c>
      <c r="D847">
        <v>1</v>
      </c>
      <c r="E847" s="28">
        <v>7</v>
      </c>
      <c r="F847" s="28"/>
      <c r="G847" s="28"/>
      <c r="H847" s="28"/>
      <c r="I847" s="28"/>
      <c r="J847" s="28"/>
      <c r="L847" s="37">
        <v>532</v>
      </c>
      <c r="M847" s="3">
        <v>95</v>
      </c>
      <c r="N847" s="3">
        <v>359</v>
      </c>
      <c r="O847" s="3">
        <v>0</v>
      </c>
      <c r="P847" s="3">
        <v>134</v>
      </c>
      <c r="Q847" s="3">
        <v>13</v>
      </c>
      <c r="R847" s="3">
        <v>26</v>
      </c>
      <c r="S847" s="3">
        <v>123</v>
      </c>
      <c r="T847" s="3">
        <v>4</v>
      </c>
      <c r="U847" s="3">
        <v>6</v>
      </c>
      <c r="V847" s="3">
        <v>3</v>
      </c>
      <c r="W847" s="3">
        <v>8</v>
      </c>
      <c r="X847" s="3">
        <v>5</v>
      </c>
    </row>
    <row r="848" spans="1:24" x14ac:dyDescent="0.35">
      <c r="A848">
        <v>532</v>
      </c>
      <c r="B848">
        <v>56575</v>
      </c>
      <c r="C848">
        <v>53</v>
      </c>
      <c r="D848">
        <v>1</v>
      </c>
      <c r="E848" s="28">
        <v>7.065753424657534</v>
      </c>
      <c r="F848" s="28"/>
      <c r="G848" s="28"/>
      <c r="H848" s="28"/>
      <c r="I848" s="28"/>
      <c r="J848" s="28"/>
      <c r="L848" s="38">
        <v>532</v>
      </c>
      <c r="M848" s="2">
        <v>42</v>
      </c>
      <c r="N848" s="2">
        <v>421</v>
      </c>
      <c r="O848" s="2">
        <v>5</v>
      </c>
      <c r="P848" s="2">
        <v>90</v>
      </c>
      <c r="Q848" s="2">
        <v>0</v>
      </c>
      <c r="R848" s="2">
        <v>16</v>
      </c>
      <c r="S848" s="2">
        <v>10</v>
      </c>
      <c r="T848" s="2">
        <v>3</v>
      </c>
      <c r="U848" s="2">
        <v>7</v>
      </c>
      <c r="V848" s="2">
        <v>3</v>
      </c>
      <c r="W848" s="2">
        <v>7</v>
      </c>
      <c r="X848" s="2">
        <v>5</v>
      </c>
    </row>
    <row r="849" spans="1:24" x14ac:dyDescent="0.35">
      <c r="A849">
        <v>531</v>
      </c>
      <c r="B849">
        <v>47916</v>
      </c>
      <c r="C849">
        <v>60</v>
      </c>
      <c r="D849">
        <v>1</v>
      </c>
      <c r="E849" s="28">
        <v>7.515068493150685</v>
      </c>
      <c r="F849" s="28"/>
      <c r="G849" s="28"/>
      <c r="H849" s="28"/>
      <c r="I849" s="28"/>
      <c r="J849" s="28"/>
      <c r="L849" s="37">
        <v>531</v>
      </c>
      <c r="M849" s="3">
        <v>72</v>
      </c>
      <c r="N849" s="3">
        <v>505</v>
      </c>
      <c r="O849" s="3">
        <v>0</v>
      </c>
      <c r="P849" s="3">
        <v>26</v>
      </c>
      <c r="Q849" s="3">
        <v>0</v>
      </c>
      <c r="R849" s="3">
        <v>0</v>
      </c>
      <c r="S849" s="3">
        <v>75</v>
      </c>
      <c r="T849" s="3">
        <v>5</v>
      </c>
      <c r="U849" s="3">
        <v>7</v>
      </c>
      <c r="V849" s="3">
        <v>4</v>
      </c>
      <c r="W849" s="3">
        <v>6</v>
      </c>
      <c r="X849" s="3">
        <v>6</v>
      </c>
    </row>
    <row r="850" spans="1:24" x14ac:dyDescent="0.35">
      <c r="A850">
        <v>523</v>
      </c>
      <c r="B850">
        <v>32632</v>
      </c>
      <c r="C850">
        <v>57</v>
      </c>
      <c r="D850">
        <v>0</v>
      </c>
      <c r="E850" s="28">
        <v>7.8219178082191778</v>
      </c>
      <c r="F850" s="28"/>
      <c r="G850" s="28"/>
      <c r="H850" s="28"/>
      <c r="I850" s="28"/>
      <c r="J850" s="28"/>
      <c r="L850" s="38">
        <v>523</v>
      </c>
      <c r="M850" s="2">
        <v>32</v>
      </c>
      <c r="N850" s="2">
        <v>63</v>
      </c>
      <c r="O850" s="2">
        <v>151</v>
      </c>
      <c r="P850" s="2">
        <v>137</v>
      </c>
      <c r="Q850" s="2">
        <v>153</v>
      </c>
      <c r="R850" s="2">
        <v>19</v>
      </c>
      <c r="S850" s="2">
        <v>53</v>
      </c>
      <c r="T850" s="2">
        <v>2</v>
      </c>
      <c r="U850" s="2">
        <v>4</v>
      </c>
      <c r="V850" s="2">
        <v>4</v>
      </c>
      <c r="W850" s="2">
        <v>8</v>
      </c>
      <c r="X850" s="2">
        <v>5</v>
      </c>
    </row>
    <row r="851" spans="1:24" x14ac:dyDescent="0.35">
      <c r="A851">
        <v>520</v>
      </c>
      <c r="B851">
        <v>38410</v>
      </c>
      <c r="C851">
        <v>46</v>
      </c>
      <c r="D851">
        <v>0</v>
      </c>
      <c r="E851" s="28">
        <v>7.7041095890410958</v>
      </c>
      <c r="F851" s="28"/>
      <c r="G851" s="28"/>
      <c r="H851" s="28"/>
      <c r="I851" s="28"/>
      <c r="J851" s="28"/>
      <c r="L851" s="37">
        <v>520</v>
      </c>
      <c r="M851" s="3">
        <v>65</v>
      </c>
      <c r="N851" s="3">
        <v>153</v>
      </c>
      <c r="O851" s="3">
        <v>64</v>
      </c>
      <c r="P851" s="3">
        <v>123</v>
      </c>
      <c r="Q851" s="3">
        <v>116</v>
      </c>
      <c r="R851" s="3">
        <v>64</v>
      </c>
      <c r="S851" s="3">
        <v>14</v>
      </c>
      <c r="T851" s="3">
        <v>2</v>
      </c>
      <c r="U851" s="3">
        <v>5</v>
      </c>
      <c r="V851" s="3">
        <v>2</v>
      </c>
      <c r="W851" s="3">
        <v>9</v>
      </c>
      <c r="X851" s="3">
        <v>6</v>
      </c>
    </row>
    <row r="852" spans="1:24" x14ac:dyDescent="0.35">
      <c r="A852">
        <v>513</v>
      </c>
      <c r="B852">
        <v>41003</v>
      </c>
      <c r="C852">
        <v>57</v>
      </c>
      <c r="D852">
        <v>0</v>
      </c>
      <c r="E852" s="28">
        <v>7.2</v>
      </c>
      <c r="F852" s="28"/>
      <c r="G852" s="28"/>
      <c r="H852" s="28"/>
      <c r="I852" s="28"/>
      <c r="J852" s="28"/>
      <c r="L852" s="38">
        <v>513</v>
      </c>
      <c r="M852" s="2">
        <v>11</v>
      </c>
      <c r="N852" s="2">
        <v>123</v>
      </c>
      <c r="O852" s="2">
        <v>133</v>
      </c>
      <c r="P852" s="2">
        <v>142</v>
      </c>
      <c r="Q852" s="2">
        <v>71</v>
      </c>
      <c r="R852" s="2">
        <v>44</v>
      </c>
      <c r="S852" s="2">
        <v>88</v>
      </c>
      <c r="T852" s="2">
        <v>1</v>
      </c>
      <c r="U852" s="2">
        <v>6</v>
      </c>
      <c r="V852" s="2">
        <v>2</v>
      </c>
      <c r="W852" s="2">
        <v>8</v>
      </c>
      <c r="X852" s="2">
        <v>6</v>
      </c>
    </row>
    <row r="853" spans="1:24" x14ac:dyDescent="0.35">
      <c r="A853">
        <v>512</v>
      </c>
      <c r="B853">
        <v>56939</v>
      </c>
      <c r="C853">
        <v>44</v>
      </c>
      <c r="D853">
        <v>1</v>
      </c>
      <c r="E853" s="28">
        <v>6.6931506849315072</v>
      </c>
      <c r="F853" s="28"/>
      <c r="G853" s="28"/>
      <c r="H853" s="28"/>
      <c r="I853" s="28"/>
      <c r="J853" s="28"/>
      <c r="L853" s="37">
        <v>512</v>
      </c>
      <c r="M853" s="3">
        <v>19</v>
      </c>
      <c r="N853" s="3">
        <v>256</v>
      </c>
      <c r="O853" s="3">
        <v>34</v>
      </c>
      <c r="P853" s="3">
        <v>103</v>
      </c>
      <c r="Q853" s="3">
        <v>90</v>
      </c>
      <c r="R853" s="3">
        <v>29</v>
      </c>
      <c r="S853" s="3">
        <v>49</v>
      </c>
      <c r="T853" s="3">
        <v>2</v>
      </c>
      <c r="U853" s="3">
        <v>3</v>
      </c>
      <c r="V853" s="3">
        <v>3</v>
      </c>
      <c r="W853" s="3">
        <v>10</v>
      </c>
      <c r="X853" s="3">
        <v>3</v>
      </c>
    </row>
    <row r="854" spans="1:24" x14ac:dyDescent="0.35">
      <c r="A854">
        <v>511</v>
      </c>
      <c r="B854">
        <v>65748</v>
      </c>
      <c r="C854">
        <v>65</v>
      </c>
      <c r="D854">
        <v>1</v>
      </c>
      <c r="E854" s="28">
        <v>7.1205479452054794</v>
      </c>
      <c r="F854" s="28"/>
      <c r="G854" s="28"/>
      <c r="H854" s="28"/>
      <c r="I854" s="28"/>
      <c r="J854" s="28"/>
      <c r="L854" s="38">
        <v>511</v>
      </c>
      <c r="M854" s="2">
        <v>58</v>
      </c>
      <c r="N854" s="2">
        <v>172</v>
      </c>
      <c r="O854" s="2">
        <v>73</v>
      </c>
      <c r="P854" s="2">
        <v>93</v>
      </c>
      <c r="Q854" s="2">
        <v>95</v>
      </c>
      <c r="R854" s="2">
        <v>78</v>
      </c>
      <c r="S854" s="2">
        <v>34</v>
      </c>
      <c r="T854" s="2">
        <v>2</v>
      </c>
      <c r="U854" s="2">
        <v>2</v>
      </c>
      <c r="V854" s="2">
        <v>4</v>
      </c>
      <c r="W854" s="2">
        <v>10</v>
      </c>
      <c r="X854" s="2">
        <v>1</v>
      </c>
    </row>
    <row r="855" spans="1:24" x14ac:dyDescent="0.35">
      <c r="A855">
        <v>506</v>
      </c>
      <c r="B855">
        <v>51195</v>
      </c>
      <c r="C855">
        <v>58</v>
      </c>
      <c r="D855">
        <v>1</v>
      </c>
      <c r="E855" s="28">
        <v>7.1589041095890407</v>
      </c>
      <c r="F855" s="28"/>
      <c r="G855" s="28"/>
      <c r="H855" s="28"/>
      <c r="I855" s="28"/>
      <c r="J855" s="28"/>
      <c r="L855" s="37">
        <v>506</v>
      </c>
      <c r="M855" s="3">
        <v>46</v>
      </c>
      <c r="N855" s="3">
        <v>230</v>
      </c>
      <c r="O855" s="3">
        <v>14</v>
      </c>
      <c r="P855" s="3">
        <v>156</v>
      </c>
      <c r="Q855" s="3">
        <v>82</v>
      </c>
      <c r="R855" s="3">
        <v>24</v>
      </c>
      <c r="S855" s="3">
        <v>58</v>
      </c>
      <c r="T855" s="3">
        <v>8</v>
      </c>
      <c r="U855" s="3">
        <v>9</v>
      </c>
      <c r="V855" s="3">
        <v>2</v>
      </c>
      <c r="W855" s="3">
        <v>5</v>
      </c>
      <c r="X855" s="3">
        <v>8</v>
      </c>
    </row>
    <row r="856" spans="1:24" x14ac:dyDescent="0.35">
      <c r="A856">
        <v>503</v>
      </c>
      <c r="B856">
        <v>53230</v>
      </c>
      <c r="C856">
        <v>64</v>
      </c>
      <c r="D856">
        <v>1</v>
      </c>
      <c r="E856" s="28">
        <v>7.8191780821917805</v>
      </c>
      <c r="F856" s="28"/>
      <c r="G856" s="28"/>
      <c r="H856" s="28"/>
      <c r="I856" s="28"/>
      <c r="J856" s="28"/>
      <c r="L856" s="38">
        <v>503</v>
      </c>
      <c r="M856" s="2">
        <v>86</v>
      </c>
      <c r="N856" s="2">
        <v>176</v>
      </c>
      <c r="O856" s="2">
        <v>72</v>
      </c>
      <c r="P856" s="2">
        <v>98</v>
      </c>
      <c r="Q856" s="2">
        <v>136</v>
      </c>
      <c r="R856" s="2">
        <v>21</v>
      </c>
      <c r="S856" s="2">
        <v>229</v>
      </c>
      <c r="T856" s="2">
        <v>4</v>
      </c>
      <c r="U856" s="2">
        <v>5</v>
      </c>
      <c r="V856" s="2">
        <v>2</v>
      </c>
      <c r="W856" s="2">
        <v>12</v>
      </c>
      <c r="X856" s="2">
        <v>5</v>
      </c>
    </row>
    <row r="857" spans="1:24" x14ac:dyDescent="0.35">
      <c r="A857">
        <v>502</v>
      </c>
      <c r="B857">
        <v>22507</v>
      </c>
      <c r="C857">
        <v>66</v>
      </c>
      <c r="D857">
        <v>0</v>
      </c>
      <c r="E857" s="28">
        <v>7.5095890410958903</v>
      </c>
      <c r="F857" s="28"/>
      <c r="G857" s="28"/>
      <c r="H857" s="28"/>
      <c r="I857" s="28"/>
      <c r="J857" s="28"/>
      <c r="L857" s="37">
        <v>502</v>
      </c>
      <c r="M857" s="3">
        <v>67</v>
      </c>
      <c r="N857" s="3">
        <v>68</v>
      </c>
      <c r="O857" s="3">
        <v>0</v>
      </c>
      <c r="P857" s="3">
        <v>226</v>
      </c>
      <c r="Q857" s="3">
        <v>51</v>
      </c>
      <c r="R857" s="3">
        <v>157</v>
      </c>
      <c r="S857" s="3">
        <v>68</v>
      </c>
      <c r="T857" s="3">
        <v>3</v>
      </c>
      <c r="U857" s="3">
        <v>10</v>
      </c>
      <c r="V857" s="3">
        <v>2</v>
      </c>
      <c r="W857" s="3">
        <v>4</v>
      </c>
      <c r="X857" s="3">
        <v>9</v>
      </c>
    </row>
    <row r="858" spans="1:24" x14ac:dyDescent="0.35">
      <c r="A858">
        <v>498</v>
      </c>
      <c r="B858">
        <v>58554</v>
      </c>
      <c r="C858">
        <v>52</v>
      </c>
      <c r="D858">
        <v>1</v>
      </c>
      <c r="E858" s="28">
        <v>7.6712328767123283</v>
      </c>
      <c r="F858" s="28"/>
      <c r="G858" s="28"/>
      <c r="H858" s="28"/>
      <c r="I858" s="28"/>
      <c r="J858" s="28"/>
      <c r="L858" s="38">
        <v>498</v>
      </c>
      <c r="M858" s="2">
        <v>55</v>
      </c>
      <c r="N858" s="2">
        <v>368</v>
      </c>
      <c r="O858" s="2">
        <v>24</v>
      </c>
      <c r="P858" s="2">
        <v>68</v>
      </c>
      <c r="Q858" s="2">
        <v>38</v>
      </c>
      <c r="R858" s="2">
        <v>0</v>
      </c>
      <c r="S858" s="2">
        <v>88</v>
      </c>
      <c r="T858" s="2">
        <v>6</v>
      </c>
      <c r="U858" s="2">
        <v>8</v>
      </c>
      <c r="V858" s="2">
        <v>2</v>
      </c>
      <c r="W858" s="2">
        <v>6</v>
      </c>
      <c r="X858" s="2">
        <v>7</v>
      </c>
    </row>
    <row r="859" spans="1:24" x14ac:dyDescent="0.35">
      <c r="A859">
        <v>497</v>
      </c>
      <c r="B859">
        <v>66373</v>
      </c>
      <c r="C859">
        <v>42</v>
      </c>
      <c r="D859">
        <v>1</v>
      </c>
      <c r="E859" s="28">
        <v>6.9616438356164387</v>
      </c>
      <c r="F859" s="28"/>
      <c r="G859" s="28"/>
      <c r="H859" s="28"/>
      <c r="I859" s="28"/>
      <c r="J859" s="28"/>
      <c r="L859" s="37">
        <v>497</v>
      </c>
      <c r="M859" s="3">
        <v>57</v>
      </c>
      <c r="N859" s="3">
        <v>328</v>
      </c>
      <c r="O859" s="3">
        <v>9</v>
      </c>
      <c r="P859" s="3">
        <v>124</v>
      </c>
      <c r="Q859" s="3">
        <v>12</v>
      </c>
      <c r="R859" s="3">
        <v>24</v>
      </c>
      <c r="S859" s="3">
        <v>109</v>
      </c>
      <c r="T859" s="3">
        <v>7</v>
      </c>
      <c r="U859" s="3">
        <v>4</v>
      </c>
      <c r="V859" s="3">
        <v>2</v>
      </c>
      <c r="W859" s="3">
        <v>10</v>
      </c>
      <c r="X859" s="3">
        <v>3</v>
      </c>
    </row>
    <row r="860" spans="1:24" x14ac:dyDescent="0.35">
      <c r="A860">
        <v>497</v>
      </c>
      <c r="B860">
        <v>42835</v>
      </c>
      <c r="C860">
        <v>49</v>
      </c>
      <c r="D860">
        <v>1</v>
      </c>
      <c r="E860" s="28">
        <v>6.912328767123288</v>
      </c>
      <c r="F860" s="28"/>
      <c r="G860" s="28"/>
      <c r="H860" s="28"/>
      <c r="I860" s="28"/>
      <c r="J860" s="28"/>
      <c r="L860" s="38">
        <v>497</v>
      </c>
      <c r="M860" s="2">
        <v>64</v>
      </c>
      <c r="N860" s="2">
        <v>379</v>
      </c>
      <c r="O860" s="2">
        <v>4</v>
      </c>
      <c r="P860" s="2">
        <v>93</v>
      </c>
      <c r="Q860" s="2">
        <v>12</v>
      </c>
      <c r="R860" s="2">
        <v>9</v>
      </c>
      <c r="S860" s="2">
        <v>98</v>
      </c>
      <c r="T860" s="2">
        <v>7</v>
      </c>
      <c r="U860" s="2">
        <v>6</v>
      </c>
      <c r="V860" s="2">
        <v>6</v>
      </c>
      <c r="W860" s="2">
        <v>4</v>
      </c>
      <c r="X860" s="2">
        <v>6</v>
      </c>
    </row>
    <row r="861" spans="1:24" x14ac:dyDescent="0.35">
      <c r="A861">
        <v>497</v>
      </c>
      <c r="B861">
        <v>65526</v>
      </c>
      <c r="C861">
        <v>56</v>
      </c>
      <c r="D861">
        <v>1</v>
      </c>
      <c r="E861" s="28">
        <v>6.1315068493150688</v>
      </c>
      <c r="F861" s="28"/>
      <c r="G861" s="28"/>
      <c r="H861" s="28"/>
      <c r="I861" s="28"/>
      <c r="J861" s="28"/>
      <c r="L861" s="37">
        <v>497</v>
      </c>
      <c r="M861" s="3">
        <v>22</v>
      </c>
      <c r="N861" s="3">
        <v>397</v>
      </c>
      <c r="O861" s="3">
        <v>19</v>
      </c>
      <c r="P861" s="3">
        <v>69</v>
      </c>
      <c r="Q861" s="3">
        <v>12</v>
      </c>
      <c r="R861" s="3">
        <v>0</v>
      </c>
      <c r="S861" s="3">
        <v>9</v>
      </c>
      <c r="T861" s="3">
        <v>1</v>
      </c>
      <c r="U861" s="3">
        <v>4</v>
      </c>
      <c r="V861" s="3">
        <v>4</v>
      </c>
      <c r="W861" s="3">
        <v>8</v>
      </c>
      <c r="X861" s="3">
        <v>2</v>
      </c>
    </row>
    <row r="862" spans="1:24" x14ac:dyDescent="0.35">
      <c r="A862">
        <v>497</v>
      </c>
      <c r="B862">
        <v>46014</v>
      </c>
      <c r="C862">
        <v>46</v>
      </c>
      <c r="D862">
        <v>1</v>
      </c>
      <c r="E862" s="28">
        <v>7.3506849315068497</v>
      </c>
      <c r="F862" s="28"/>
      <c r="G862" s="28"/>
      <c r="H862" s="28"/>
      <c r="I862" s="28"/>
      <c r="J862" s="28"/>
      <c r="L862" s="38">
        <v>497</v>
      </c>
      <c r="M862" s="2">
        <v>21</v>
      </c>
      <c r="N862" s="2">
        <v>410</v>
      </c>
      <c r="O862" s="2">
        <v>0</v>
      </c>
      <c r="P862" s="2">
        <v>59</v>
      </c>
      <c r="Q862" s="2">
        <v>19</v>
      </c>
      <c r="R862" s="2">
        <v>9</v>
      </c>
      <c r="S862" s="2">
        <v>44</v>
      </c>
      <c r="T862" s="2">
        <v>10</v>
      </c>
      <c r="U862" s="2">
        <v>7</v>
      </c>
      <c r="V862" s="2">
        <v>1</v>
      </c>
      <c r="W862" s="2">
        <v>8</v>
      </c>
      <c r="X862" s="2">
        <v>7</v>
      </c>
    </row>
    <row r="863" spans="1:24" x14ac:dyDescent="0.35">
      <c r="A863">
        <v>496</v>
      </c>
      <c r="B863">
        <v>46049</v>
      </c>
      <c r="C863">
        <v>44</v>
      </c>
      <c r="D863">
        <v>1</v>
      </c>
      <c r="E863" s="28">
        <v>6.8547945205479452</v>
      </c>
      <c r="F863" s="28"/>
      <c r="G863" s="28"/>
      <c r="H863" s="28"/>
      <c r="I863" s="28"/>
      <c r="J863" s="28"/>
      <c r="L863" s="37">
        <v>496</v>
      </c>
      <c r="M863" s="3">
        <v>11</v>
      </c>
      <c r="N863" s="3">
        <v>342</v>
      </c>
      <c r="O863" s="3">
        <v>9</v>
      </c>
      <c r="P863" s="3">
        <v>112</v>
      </c>
      <c r="Q863" s="3">
        <v>19</v>
      </c>
      <c r="R863" s="3">
        <v>14</v>
      </c>
      <c r="S863" s="3">
        <v>19</v>
      </c>
      <c r="T863" s="3">
        <v>10</v>
      </c>
      <c r="U863" s="3">
        <v>5</v>
      </c>
      <c r="V863" s="3">
        <v>2</v>
      </c>
      <c r="W863" s="3">
        <v>9</v>
      </c>
      <c r="X863" s="3">
        <v>7</v>
      </c>
    </row>
    <row r="864" spans="1:24" x14ac:dyDescent="0.35">
      <c r="A864">
        <v>496</v>
      </c>
      <c r="B864">
        <v>61559</v>
      </c>
      <c r="C864">
        <v>55</v>
      </c>
      <c r="D864">
        <v>1</v>
      </c>
      <c r="E864" s="28">
        <v>6.8657534246575347</v>
      </c>
      <c r="F864" s="28"/>
      <c r="G864" s="28"/>
      <c r="H864" s="28"/>
      <c r="I864" s="28"/>
      <c r="J864" s="28"/>
      <c r="L864" s="38">
        <v>496</v>
      </c>
      <c r="M864" s="2">
        <v>8</v>
      </c>
      <c r="N864" s="2">
        <v>279</v>
      </c>
      <c r="O864" s="2">
        <v>83</v>
      </c>
      <c r="P864" s="2">
        <v>88</v>
      </c>
      <c r="Q864" s="2">
        <v>32</v>
      </c>
      <c r="R864" s="2">
        <v>14</v>
      </c>
      <c r="S864" s="2">
        <v>34</v>
      </c>
      <c r="T864" s="2">
        <v>1</v>
      </c>
      <c r="U864" s="2">
        <v>4</v>
      </c>
      <c r="V864" s="2">
        <v>2</v>
      </c>
      <c r="W864" s="2">
        <v>10</v>
      </c>
      <c r="X864" s="2">
        <v>3</v>
      </c>
    </row>
    <row r="865" spans="1:24" x14ac:dyDescent="0.35">
      <c r="A865">
        <v>496</v>
      </c>
      <c r="B865">
        <v>69142</v>
      </c>
      <c r="C865">
        <v>68</v>
      </c>
      <c r="D865">
        <v>1</v>
      </c>
      <c r="E865" s="28">
        <v>5.9150684931506845</v>
      </c>
      <c r="F865" s="28"/>
      <c r="G865" s="28"/>
      <c r="H865" s="28"/>
      <c r="I865" s="28"/>
      <c r="J865" s="28"/>
      <c r="L865" s="37">
        <v>496</v>
      </c>
      <c r="M865" s="3">
        <v>50</v>
      </c>
      <c r="N865" s="3">
        <v>448</v>
      </c>
      <c r="O865" s="3">
        <v>4</v>
      </c>
      <c r="P865" s="3">
        <v>34</v>
      </c>
      <c r="Q865" s="3">
        <v>6</v>
      </c>
      <c r="R865" s="3">
        <v>4</v>
      </c>
      <c r="S865" s="3">
        <v>39</v>
      </c>
      <c r="T865" s="3">
        <v>3</v>
      </c>
      <c r="U865" s="3">
        <v>8</v>
      </c>
      <c r="V865" s="3">
        <v>1</v>
      </c>
      <c r="W865" s="3">
        <v>7</v>
      </c>
      <c r="X865" s="3">
        <v>5</v>
      </c>
    </row>
    <row r="866" spans="1:24" x14ac:dyDescent="0.35">
      <c r="A866">
        <v>495</v>
      </c>
      <c r="B866">
        <v>54591</v>
      </c>
      <c r="C866">
        <v>71</v>
      </c>
      <c r="D866">
        <v>1</v>
      </c>
      <c r="E866" s="28">
        <v>6.8136986301369866</v>
      </c>
      <c r="F866" s="28"/>
      <c r="G866" s="28"/>
      <c r="H866" s="28"/>
      <c r="I866" s="28"/>
      <c r="J866" s="28"/>
      <c r="L866" s="38">
        <v>495</v>
      </c>
      <c r="M866" s="2">
        <v>63</v>
      </c>
      <c r="N866" s="2">
        <v>376</v>
      </c>
      <c r="O866" s="2">
        <v>4</v>
      </c>
      <c r="P866" s="2">
        <v>94</v>
      </c>
      <c r="Q866" s="2">
        <v>12</v>
      </c>
      <c r="R866" s="2">
        <v>9</v>
      </c>
      <c r="S866" s="2">
        <v>24</v>
      </c>
      <c r="T866" s="2">
        <v>3</v>
      </c>
      <c r="U866" s="2">
        <v>6</v>
      </c>
      <c r="V866" s="2">
        <v>2</v>
      </c>
      <c r="W866" s="2">
        <v>8</v>
      </c>
      <c r="X866" s="2">
        <v>5</v>
      </c>
    </row>
    <row r="867" spans="1:24" x14ac:dyDescent="0.35">
      <c r="A867">
        <v>494</v>
      </c>
      <c r="B867">
        <v>86836</v>
      </c>
      <c r="C867">
        <v>45</v>
      </c>
      <c r="D867">
        <v>0</v>
      </c>
      <c r="E867" s="28">
        <v>7.7095890410958905</v>
      </c>
      <c r="F867" s="28"/>
      <c r="G867" s="28"/>
      <c r="H867" s="28"/>
      <c r="I867" s="28"/>
      <c r="J867" s="28"/>
      <c r="L867" s="37">
        <v>494</v>
      </c>
      <c r="M867" s="3">
        <v>7</v>
      </c>
      <c r="N867" s="3">
        <v>179</v>
      </c>
      <c r="O867" s="3">
        <v>21</v>
      </c>
      <c r="P867" s="3">
        <v>273</v>
      </c>
      <c r="Q867" s="3">
        <v>0</v>
      </c>
      <c r="R867" s="3">
        <v>21</v>
      </c>
      <c r="S867" s="3">
        <v>63</v>
      </c>
      <c r="T867" s="3">
        <v>1</v>
      </c>
      <c r="U867" s="3">
        <v>6</v>
      </c>
      <c r="V867" s="3">
        <v>10</v>
      </c>
      <c r="W867" s="3">
        <v>6</v>
      </c>
      <c r="X867" s="3">
        <v>5</v>
      </c>
    </row>
    <row r="868" spans="1:24" x14ac:dyDescent="0.35">
      <c r="A868">
        <v>494</v>
      </c>
      <c r="B868">
        <v>41769</v>
      </c>
      <c r="C868">
        <v>65</v>
      </c>
      <c r="D868">
        <v>1</v>
      </c>
      <c r="E868" s="28">
        <v>7.2876712328767121</v>
      </c>
      <c r="F868" s="28"/>
      <c r="G868" s="28"/>
      <c r="H868" s="28"/>
      <c r="I868" s="28"/>
      <c r="J868" s="28"/>
      <c r="L868" s="38">
        <v>494</v>
      </c>
      <c r="M868" s="2">
        <v>31</v>
      </c>
      <c r="N868" s="2">
        <v>302</v>
      </c>
      <c r="O868" s="2">
        <v>29</v>
      </c>
      <c r="P868" s="2">
        <v>131</v>
      </c>
      <c r="Q868" s="2">
        <v>32</v>
      </c>
      <c r="R868" s="2">
        <v>0</v>
      </c>
      <c r="S868" s="2">
        <v>27</v>
      </c>
      <c r="T868" s="2">
        <v>6</v>
      </c>
      <c r="U868" s="2">
        <v>8</v>
      </c>
      <c r="V868" s="2">
        <v>1</v>
      </c>
      <c r="W868" s="2">
        <v>7</v>
      </c>
      <c r="X868" s="2">
        <v>8</v>
      </c>
    </row>
    <row r="869" spans="1:24" x14ac:dyDescent="0.35">
      <c r="A869">
        <v>494</v>
      </c>
      <c r="B869">
        <v>55842</v>
      </c>
      <c r="C869">
        <v>43</v>
      </c>
      <c r="D869">
        <v>1</v>
      </c>
      <c r="E869" s="28">
        <v>6.0164383561643833</v>
      </c>
      <c r="F869" s="28"/>
      <c r="G869" s="28"/>
      <c r="H869" s="28"/>
      <c r="I869" s="28"/>
      <c r="J869" s="28"/>
      <c r="L869" s="37">
        <v>494</v>
      </c>
      <c r="M869" s="3">
        <v>19</v>
      </c>
      <c r="N869" s="3">
        <v>451</v>
      </c>
      <c r="O869" s="3">
        <v>0</v>
      </c>
      <c r="P869" s="3">
        <v>39</v>
      </c>
      <c r="Q869" s="3">
        <v>0</v>
      </c>
      <c r="R869" s="3">
        <v>4</v>
      </c>
      <c r="S869" s="3">
        <v>24</v>
      </c>
      <c r="T869" s="3">
        <v>1</v>
      </c>
      <c r="U869" s="3">
        <v>7</v>
      </c>
      <c r="V869" s="3">
        <v>1</v>
      </c>
      <c r="W869" s="3">
        <v>8</v>
      </c>
      <c r="X869" s="3">
        <v>5</v>
      </c>
    </row>
    <row r="870" spans="1:24" x14ac:dyDescent="0.35">
      <c r="A870">
        <v>493</v>
      </c>
      <c r="B870">
        <v>42387</v>
      </c>
      <c r="C870">
        <v>31</v>
      </c>
      <c r="D870">
        <v>1</v>
      </c>
      <c r="E870" s="28">
        <v>7.580821917808219</v>
      </c>
      <c r="F870" s="28"/>
      <c r="G870" s="28"/>
      <c r="H870" s="28"/>
      <c r="I870" s="28"/>
      <c r="J870" s="28"/>
      <c r="L870" s="38">
        <v>493</v>
      </c>
      <c r="M870" s="2">
        <v>42</v>
      </c>
      <c r="N870" s="2">
        <v>235</v>
      </c>
      <c r="O870" s="2">
        <v>0</v>
      </c>
      <c r="P870" s="2">
        <v>235</v>
      </c>
      <c r="Q870" s="2">
        <v>19</v>
      </c>
      <c r="R870" s="2">
        <v>4</v>
      </c>
      <c r="S870" s="2">
        <v>191</v>
      </c>
      <c r="T870" s="2">
        <v>5</v>
      </c>
      <c r="U870" s="2">
        <v>8</v>
      </c>
      <c r="V870" s="2">
        <v>1</v>
      </c>
      <c r="W870" s="2">
        <v>7</v>
      </c>
      <c r="X870" s="2">
        <v>8</v>
      </c>
    </row>
    <row r="871" spans="1:24" x14ac:dyDescent="0.35">
      <c r="A871">
        <v>493</v>
      </c>
      <c r="B871">
        <v>65486</v>
      </c>
      <c r="C871">
        <v>63</v>
      </c>
      <c r="D871">
        <v>1</v>
      </c>
      <c r="E871" s="28">
        <v>6.0465753424657533</v>
      </c>
      <c r="F871" s="28"/>
      <c r="G871" s="28"/>
      <c r="H871" s="28"/>
      <c r="I871" s="28"/>
      <c r="J871" s="28"/>
      <c r="L871" s="37">
        <v>493</v>
      </c>
      <c r="M871" s="3">
        <v>29</v>
      </c>
      <c r="N871" s="3">
        <v>245</v>
      </c>
      <c r="O871" s="3">
        <v>19</v>
      </c>
      <c r="P871" s="3">
        <v>125</v>
      </c>
      <c r="Q871" s="3">
        <v>37</v>
      </c>
      <c r="R871" s="3">
        <v>67</v>
      </c>
      <c r="S871" s="3">
        <v>14</v>
      </c>
      <c r="T871" s="3">
        <v>1</v>
      </c>
      <c r="U871" s="3">
        <v>4</v>
      </c>
      <c r="V871" s="3">
        <v>2</v>
      </c>
      <c r="W871" s="3">
        <v>10</v>
      </c>
      <c r="X871" s="3">
        <v>2</v>
      </c>
    </row>
    <row r="872" spans="1:24" x14ac:dyDescent="0.35">
      <c r="A872">
        <v>493</v>
      </c>
      <c r="B872">
        <v>59292</v>
      </c>
      <c r="C872">
        <v>70</v>
      </c>
      <c r="D872">
        <v>1</v>
      </c>
      <c r="E872" s="28">
        <v>6.9589041095890414</v>
      </c>
      <c r="F872" s="28"/>
      <c r="G872" s="28"/>
      <c r="H872" s="28"/>
      <c r="I872" s="28"/>
      <c r="J872" s="28"/>
      <c r="L872" s="38">
        <v>493</v>
      </c>
      <c r="M872" s="2">
        <v>71</v>
      </c>
      <c r="N872" s="2">
        <v>378</v>
      </c>
      <c r="O872" s="2">
        <v>14</v>
      </c>
      <c r="P872" s="2">
        <v>68</v>
      </c>
      <c r="Q872" s="2">
        <v>19</v>
      </c>
      <c r="R872" s="2">
        <v>14</v>
      </c>
      <c r="S872" s="2">
        <v>14</v>
      </c>
      <c r="T872" s="2">
        <v>2</v>
      </c>
      <c r="U872" s="2">
        <v>3</v>
      </c>
      <c r="V872" s="2">
        <v>5</v>
      </c>
      <c r="W872" s="2">
        <v>8</v>
      </c>
      <c r="X872" s="2">
        <v>3</v>
      </c>
    </row>
    <row r="873" spans="1:24" x14ac:dyDescent="0.35">
      <c r="A873">
        <v>492</v>
      </c>
      <c r="B873">
        <v>57091</v>
      </c>
      <c r="C873">
        <v>48</v>
      </c>
      <c r="D873">
        <v>1</v>
      </c>
      <c r="E873" s="28">
        <v>7.5123287671232877</v>
      </c>
      <c r="F873" s="28"/>
      <c r="G873" s="28"/>
      <c r="H873" s="28"/>
      <c r="I873" s="28"/>
      <c r="J873" s="28"/>
      <c r="L873" s="37">
        <v>492</v>
      </c>
      <c r="M873" s="3">
        <v>82</v>
      </c>
      <c r="N873" s="3">
        <v>462</v>
      </c>
      <c r="O873" s="3">
        <v>0</v>
      </c>
      <c r="P873" s="3">
        <v>24</v>
      </c>
      <c r="Q873" s="3">
        <v>6</v>
      </c>
      <c r="R873" s="3">
        <v>0</v>
      </c>
      <c r="S873" s="3">
        <v>4</v>
      </c>
      <c r="T873" s="3">
        <v>2</v>
      </c>
      <c r="U873" s="3">
        <v>9</v>
      </c>
      <c r="V873" s="3">
        <v>2</v>
      </c>
      <c r="W873" s="3">
        <v>5</v>
      </c>
      <c r="X873" s="3">
        <v>7</v>
      </c>
    </row>
    <row r="874" spans="1:24" x14ac:dyDescent="0.35">
      <c r="A874">
        <v>492</v>
      </c>
      <c r="B874">
        <v>60504</v>
      </c>
      <c r="C874">
        <v>49</v>
      </c>
      <c r="D874">
        <v>1</v>
      </c>
      <c r="E874" s="28">
        <v>6.3041095890410963</v>
      </c>
      <c r="F874" s="28"/>
      <c r="G874" s="28"/>
      <c r="H874" s="28"/>
      <c r="I874" s="28"/>
      <c r="J874" s="28"/>
      <c r="L874" s="38">
        <v>492</v>
      </c>
      <c r="M874" s="2">
        <v>73</v>
      </c>
      <c r="N874" s="2">
        <v>458</v>
      </c>
      <c r="O874" s="2">
        <v>0</v>
      </c>
      <c r="P874" s="2">
        <v>24</v>
      </c>
      <c r="Q874" s="2">
        <v>6</v>
      </c>
      <c r="R874" s="2">
        <v>4</v>
      </c>
      <c r="S874" s="2">
        <v>34</v>
      </c>
      <c r="T874" s="2">
        <v>2</v>
      </c>
      <c r="U874" s="2">
        <v>6</v>
      </c>
      <c r="V874" s="2">
        <v>2</v>
      </c>
      <c r="W874" s="2">
        <v>8</v>
      </c>
      <c r="X874" s="2">
        <v>6</v>
      </c>
    </row>
    <row r="875" spans="1:24" x14ac:dyDescent="0.35">
      <c r="A875">
        <v>491</v>
      </c>
      <c r="B875">
        <v>59247</v>
      </c>
      <c r="C875">
        <v>58</v>
      </c>
      <c r="D875">
        <v>1</v>
      </c>
      <c r="E875" s="28">
        <v>6.5534246575342463</v>
      </c>
      <c r="F875" s="28"/>
      <c r="G875" s="28"/>
      <c r="H875" s="28"/>
      <c r="I875" s="28"/>
      <c r="J875" s="28"/>
      <c r="L875" s="37">
        <v>491</v>
      </c>
      <c r="M875" s="3">
        <v>87</v>
      </c>
      <c r="N875" s="3">
        <v>327</v>
      </c>
      <c r="O875" s="3">
        <v>9</v>
      </c>
      <c r="P875" s="3">
        <v>122</v>
      </c>
      <c r="Q875" s="3">
        <v>19</v>
      </c>
      <c r="R875" s="3">
        <v>14</v>
      </c>
      <c r="S875" s="3">
        <v>83</v>
      </c>
      <c r="T875" s="3">
        <v>5</v>
      </c>
      <c r="U875" s="3">
        <v>5</v>
      </c>
      <c r="V875" s="3">
        <v>2</v>
      </c>
      <c r="W875" s="3">
        <v>9</v>
      </c>
      <c r="X875" s="3">
        <v>6</v>
      </c>
    </row>
    <row r="876" spans="1:24" x14ac:dyDescent="0.35">
      <c r="A876">
        <v>491</v>
      </c>
      <c r="B876">
        <v>61286</v>
      </c>
      <c r="C876">
        <v>54</v>
      </c>
      <c r="D876">
        <v>1</v>
      </c>
      <c r="E876" s="28">
        <v>6.8219178082191778</v>
      </c>
      <c r="F876" s="28"/>
      <c r="G876" s="28"/>
      <c r="H876" s="28"/>
      <c r="I876" s="28"/>
      <c r="J876" s="28"/>
      <c r="L876" s="38">
        <v>491</v>
      </c>
      <c r="M876" s="2">
        <v>34</v>
      </c>
      <c r="N876" s="2">
        <v>356</v>
      </c>
      <c r="O876" s="2">
        <v>0</v>
      </c>
      <c r="P876" s="2">
        <v>107</v>
      </c>
      <c r="Q876" s="2">
        <v>19</v>
      </c>
      <c r="R876" s="2">
        <v>9</v>
      </c>
      <c r="S876" s="2">
        <v>117</v>
      </c>
      <c r="T876" s="2">
        <v>2</v>
      </c>
      <c r="U876" s="2">
        <v>7</v>
      </c>
      <c r="V876" s="2">
        <v>1</v>
      </c>
      <c r="W876" s="2">
        <v>8</v>
      </c>
      <c r="X876" s="2">
        <v>5</v>
      </c>
    </row>
    <row r="877" spans="1:24" x14ac:dyDescent="0.35">
      <c r="A877">
        <v>491</v>
      </c>
      <c r="B877">
        <v>50387</v>
      </c>
      <c r="C877">
        <v>64</v>
      </c>
      <c r="D877">
        <v>1</v>
      </c>
      <c r="E877" s="28">
        <v>6.7424657534246579</v>
      </c>
      <c r="F877" s="28"/>
      <c r="G877" s="28"/>
      <c r="H877" s="28"/>
      <c r="I877" s="28"/>
      <c r="J877" s="28"/>
      <c r="L877" s="37">
        <v>491</v>
      </c>
      <c r="M877" s="3">
        <v>91</v>
      </c>
      <c r="N877" s="3">
        <v>369</v>
      </c>
      <c r="O877" s="3">
        <v>9</v>
      </c>
      <c r="P877" s="3">
        <v>87</v>
      </c>
      <c r="Q877" s="3">
        <v>12</v>
      </c>
      <c r="R877" s="3">
        <v>14</v>
      </c>
      <c r="S877" s="3">
        <v>34</v>
      </c>
      <c r="T877" s="3">
        <v>3</v>
      </c>
      <c r="U877" s="3">
        <v>6</v>
      </c>
      <c r="V877" s="3">
        <v>2</v>
      </c>
      <c r="W877" s="3">
        <v>8</v>
      </c>
      <c r="X877" s="3">
        <v>5</v>
      </c>
    </row>
    <row r="878" spans="1:24" x14ac:dyDescent="0.35">
      <c r="A878">
        <v>491</v>
      </c>
      <c r="B878">
        <v>65968</v>
      </c>
      <c r="C878">
        <v>50</v>
      </c>
      <c r="D878">
        <v>1</v>
      </c>
      <c r="E878" s="28">
        <v>6.0465753424657533</v>
      </c>
      <c r="F878" s="28"/>
      <c r="G878" s="28"/>
      <c r="H878" s="28"/>
      <c r="I878" s="28"/>
      <c r="J878" s="28"/>
      <c r="L878" s="38">
        <v>491</v>
      </c>
      <c r="M878" s="2">
        <v>12</v>
      </c>
      <c r="N878" s="2">
        <v>376</v>
      </c>
      <c r="O878" s="2">
        <v>9</v>
      </c>
      <c r="P878" s="2">
        <v>83</v>
      </c>
      <c r="Q878" s="2">
        <v>19</v>
      </c>
      <c r="R878" s="2">
        <v>4</v>
      </c>
      <c r="S878" s="2">
        <v>4</v>
      </c>
      <c r="T878" s="2">
        <v>2</v>
      </c>
      <c r="U878" s="2">
        <v>5</v>
      </c>
      <c r="V878" s="2">
        <v>4</v>
      </c>
      <c r="W878" s="2">
        <v>7</v>
      </c>
      <c r="X878" s="2">
        <v>3</v>
      </c>
    </row>
    <row r="879" spans="1:24" x14ac:dyDescent="0.35">
      <c r="A879">
        <v>490</v>
      </c>
      <c r="B879">
        <v>78028</v>
      </c>
      <c r="C879">
        <v>64</v>
      </c>
      <c r="D879">
        <v>1</v>
      </c>
      <c r="E879" s="28">
        <v>7.7150684931506852</v>
      </c>
      <c r="F879" s="28"/>
      <c r="G879" s="28"/>
      <c r="H879" s="28"/>
      <c r="I879" s="28"/>
      <c r="J879" s="28"/>
      <c r="L879" s="37">
        <v>490</v>
      </c>
      <c r="M879" s="3">
        <v>38</v>
      </c>
      <c r="N879" s="3">
        <v>158</v>
      </c>
      <c r="O879" s="3">
        <v>19</v>
      </c>
      <c r="P879" s="3">
        <v>288</v>
      </c>
      <c r="Q879" s="3">
        <v>25</v>
      </c>
      <c r="R879" s="3">
        <v>0</v>
      </c>
      <c r="S879" s="3">
        <v>38</v>
      </c>
      <c r="T879" s="3">
        <v>1</v>
      </c>
      <c r="U879" s="3">
        <v>6</v>
      </c>
      <c r="V879" s="3">
        <v>4</v>
      </c>
      <c r="W879" s="3">
        <v>9</v>
      </c>
      <c r="X879" s="3">
        <v>7</v>
      </c>
    </row>
    <row r="880" spans="1:24" x14ac:dyDescent="0.35">
      <c r="A880">
        <v>490</v>
      </c>
      <c r="B880">
        <v>43783</v>
      </c>
      <c r="C880">
        <v>42</v>
      </c>
      <c r="D880">
        <v>1</v>
      </c>
      <c r="E880" s="28">
        <v>6</v>
      </c>
      <c r="F880" s="28"/>
      <c r="G880" s="28"/>
      <c r="H880" s="28"/>
      <c r="I880" s="28"/>
      <c r="J880" s="28"/>
      <c r="L880" s="38">
        <v>490</v>
      </c>
      <c r="M880" s="2">
        <v>22</v>
      </c>
      <c r="N880" s="2">
        <v>327</v>
      </c>
      <c r="O880" s="2">
        <v>9</v>
      </c>
      <c r="P880" s="2">
        <v>125</v>
      </c>
      <c r="Q880" s="2">
        <v>25</v>
      </c>
      <c r="R880" s="2">
        <v>4</v>
      </c>
      <c r="S880" s="2">
        <v>139</v>
      </c>
      <c r="T880" s="2">
        <v>6</v>
      </c>
      <c r="U880" s="2">
        <v>7</v>
      </c>
      <c r="V880" s="2">
        <v>1</v>
      </c>
      <c r="W880" s="2">
        <v>8</v>
      </c>
      <c r="X880" s="2">
        <v>7</v>
      </c>
    </row>
    <row r="881" spans="1:24" x14ac:dyDescent="0.35">
      <c r="A881">
        <v>490</v>
      </c>
      <c r="B881">
        <v>59594</v>
      </c>
      <c r="C881">
        <v>55</v>
      </c>
      <c r="D881">
        <v>1</v>
      </c>
      <c r="E881" s="28">
        <v>7.6054794520547944</v>
      </c>
      <c r="F881" s="28"/>
      <c r="G881" s="28"/>
      <c r="H881" s="28"/>
      <c r="I881" s="28"/>
      <c r="J881" s="28"/>
      <c r="L881" s="37">
        <v>490</v>
      </c>
      <c r="M881" s="3">
        <v>74</v>
      </c>
      <c r="N881" s="3">
        <v>457</v>
      </c>
      <c r="O881" s="3">
        <v>4</v>
      </c>
      <c r="P881" s="3">
        <v>29</v>
      </c>
      <c r="Q881" s="3">
        <v>0</v>
      </c>
      <c r="R881" s="3">
        <v>0</v>
      </c>
      <c r="S881" s="3">
        <v>9</v>
      </c>
      <c r="T881" s="3">
        <v>1</v>
      </c>
      <c r="U881" s="3">
        <v>8</v>
      </c>
      <c r="V881" s="3">
        <v>1</v>
      </c>
      <c r="W881" s="3">
        <v>7</v>
      </c>
      <c r="X881" s="3">
        <v>7</v>
      </c>
    </row>
    <row r="882" spans="1:24" x14ac:dyDescent="0.35">
      <c r="A882">
        <v>489</v>
      </c>
      <c r="B882">
        <v>53843</v>
      </c>
      <c r="C882">
        <v>55</v>
      </c>
      <c r="D882">
        <v>1</v>
      </c>
      <c r="E882" s="28">
        <v>6.9205479452054792</v>
      </c>
      <c r="F882" s="28"/>
      <c r="G882" s="28"/>
      <c r="H882" s="28"/>
      <c r="I882" s="28"/>
      <c r="J882" s="28"/>
      <c r="L882" s="38">
        <v>489</v>
      </c>
      <c r="M882" s="2">
        <v>64</v>
      </c>
      <c r="N882" s="2">
        <v>378</v>
      </c>
      <c r="O882" s="2">
        <v>0</v>
      </c>
      <c r="P882" s="2">
        <v>88</v>
      </c>
      <c r="Q882" s="2">
        <v>19</v>
      </c>
      <c r="R882" s="2">
        <v>4</v>
      </c>
      <c r="S882" s="2">
        <v>73</v>
      </c>
      <c r="T882" s="2">
        <v>4</v>
      </c>
      <c r="U882" s="2">
        <v>8</v>
      </c>
      <c r="V882" s="2">
        <v>5</v>
      </c>
      <c r="W882" s="2">
        <v>3</v>
      </c>
      <c r="X882" s="2">
        <v>7</v>
      </c>
    </row>
    <row r="883" spans="1:24" x14ac:dyDescent="0.35">
      <c r="A883">
        <v>489</v>
      </c>
      <c r="B883">
        <v>50611</v>
      </c>
      <c r="C883">
        <v>60</v>
      </c>
      <c r="D883">
        <v>1</v>
      </c>
      <c r="E883" s="28">
        <v>7.6493150684931503</v>
      </c>
      <c r="F883" s="28"/>
      <c r="G883" s="28"/>
      <c r="H883" s="28"/>
      <c r="I883" s="28"/>
      <c r="J883" s="28"/>
      <c r="L883" s="37">
        <v>489</v>
      </c>
      <c r="M883" s="3">
        <v>98</v>
      </c>
      <c r="N883" s="3">
        <v>459</v>
      </c>
      <c r="O883" s="3">
        <v>0</v>
      </c>
      <c r="P883" s="3">
        <v>24</v>
      </c>
      <c r="Q883" s="3">
        <v>6</v>
      </c>
      <c r="R883" s="3">
        <v>0</v>
      </c>
      <c r="S883" s="3">
        <v>4</v>
      </c>
      <c r="T883" s="3">
        <v>6</v>
      </c>
      <c r="U883" s="3">
        <v>4</v>
      </c>
      <c r="V883" s="3">
        <v>5</v>
      </c>
      <c r="W883" s="3">
        <v>7</v>
      </c>
      <c r="X883" s="3">
        <v>6</v>
      </c>
    </row>
    <row r="884" spans="1:24" x14ac:dyDescent="0.35">
      <c r="A884">
        <v>489</v>
      </c>
      <c r="B884">
        <v>50611</v>
      </c>
      <c r="C884">
        <v>60</v>
      </c>
      <c r="D884">
        <v>1</v>
      </c>
      <c r="E884" s="28">
        <v>7.6493150684931503</v>
      </c>
      <c r="F884" s="28"/>
      <c r="G884" s="28"/>
      <c r="H884" s="28"/>
      <c r="I884" s="28"/>
      <c r="J884" s="28"/>
      <c r="L884" s="38">
        <v>489</v>
      </c>
      <c r="M884" s="2">
        <v>98</v>
      </c>
      <c r="N884" s="2">
        <v>459</v>
      </c>
      <c r="O884" s="2">
        <v>0</v>
      </c>
      <c r="P884" s="2">
        <v>24</v>
      </c>
      <c r="Q884" s="2">
        <v>6</v>
      </c>
      <c r="R884" s="2">
        <v>0</v>
      </c>
      <c r="S884" s="2">
        <v>4</v>
      </c>
      <c r="T884" s="2">
        <v>6</v>
      </c>
      <c r="U884" s="2">
        <v>4</v>
      </c>
      <c r="V884" s="2">
        <v>5</v>
      </c>
      <c r="W884" s="2">
        <v>7</v>
      </c>
      <c r="X884" s="2">
        <v>6</v>
      </c>
    </row>
    <row r="885" spans="1:24" x14ac:dyDescent="0.35">
      <c r="A885">
        <v>486</v>
      </c>
      <c r="B885">
        <v>50437</v>
      </c>
      <c r="C885">
        <v>57</v>
      </c>
      <c r="D885">
        <v>1</v>
      </c>
      <c r="E885" s="28">
        <v>7.6136986301369864</v>
      </c>
      <c r="F885" s="28"/>
      <c r="G885" s="28"/>
      <c r="H885" s="28"/>
      <c r="I885" s="28"/>
      <c r="J885" s="28"/>
      <c r="L885" s="37">
        <v>486</v>
      </c>
      <c r="M885" s="3">
        <v>28</v>
      </c>
      <c r="N885" s="3">
        <v>370</v>
      </c>
      <c r="O885" s="3">
        <v>9</v>
      </c>
      <c r="P885" s="3">
        <v>92</v>
      </c>
      <c r="Q885" s="3">
        <v>6</v>
      </c>
      <c r="R885" s="3">
        <v>9</v>
      </c>
      <c r="S885" s="3">
        <v>4</v>
      </c>
      <c r="T885" s="3">
        <v>3</v>
      </c>
      <c r="U885" s="3">
        <v>7</v>
      </c>
      <c r="V885" s="3">
        <v>1</v>
      </c>
      <c r="W885" s="3">
        <v>8</v>
      </c>
      <c r="X885" s="3">
        <v>7</v>
      </c>
    </row>
    <row r="886" spans="1:24" x14ac:dyDescent="0.35">
      <c r="A886">
        <v>486</v>
      </c>
      <c r="B886">
        <v>61180</v>
      </c>
      <c r="C886">
        <v>61</v>
      </c>
      <c r="D886">
        <v>1</v>
      </c>
      <c r="E886" s="28">
        <v>6.0986301369863014</v>
      </c>
      <c r="F886" s="28"/>
      <c r="G886" s="28"/>
      <c r="H886" s="28"/>
      <c r="I886" s="28"/>
      <c r="J886" s="28"/>
      <c r="L886" s="38">
        <v>486</v>
      </c>
      <c r="M886" s="2">
        <v>70</v>
      </c>
      <c r="N886" s="2">
        <v>403</v>
      </c>
      <c r="O886" s="2">
        <v>24</v>
      </c>
      <c r="P886" s="2">
        <v>29</v>
      </c>
      <c r="Q886" s="2">
        <v>6</v>
      </c>
      <c r="R886" s="2">
        <v>24</v>
      </c>
      <c r="S886" s="2">
        <v>218</v>
      </c>
      <c r="T886" s="2">
        <v>2</v>
      </c>
      <c r="U886" s="2">
        <v>5</v>
      </c>
      <c r="V886" s="2">
        <v>5</v>
      </c>
      <c r="W886" s="2">
        <v>6</v>
      </c>
      <c r="X886" s="2">
        <v>3</v>
      </c>
    </row>
    <row r="887" spans="1:24" x14ac:dyDescent="0.35">
      <c r="A887">
        <v>485</v>
      </c>
      <c r="B887">
        <v>70337</v>
      </c>
      <c r="C887">
        <v>41</v>
      </c>
      <c r="D887">
        <v>0</v>
      </c>
      <c r="E887" s="28">
        <v>6.4027397260273968</v>
      </c>
      <c r="F887" s="28"/>
      <c r="G887" s="28"/>
      <c r="H887" s="28"/>
      <c r="I887" s="28"/>
      <c r="J887" s="28"/>
      <c r="L887" s="37">
        <v>485</v>
      </c>
      <c r="M887" s="3">
        <v>75</v>
      </c>
      <c r="N887" s="3">
        <v>187</v>
      </c>
      <c r="O887" s="3">
        <v>81</v>
      </c>
      <c r="P887" s="3">
        <v>149</v>
      </c>
      <c r="Q887" s="3">
        <v>25</v>
      </c>
      <c r="R887" s="3">
        <v>43</v>
      </c>
      <c r="S887" s="3">
        <v>91</v>
      </c>
      <c r="T887" s="3">
        <v>1</v>
      </c>
      <c r="U887" s="3">
        <v>2</v>
      </c>
      <c r="V887" s="3">
        <v>2</v>
      </c>
      <c r="W887" s="3">
        <v>12</v>
      </c>
      <c r="X887" s="3">
        <v>1</v>
      </c>
    </row>
    <row r="888" spans="1:24" x14ac:dyDescent="0.35">
      <c r="A888">
        <v>485</v>
      </c>
      <c r="B888">
        <v>48070</v>
      </c>
      <c r="C888">
        <v>70</v>
      </c>
      <c r="D888">
        <v>1</v>
      </c>
      <c r="E888" s="28">
        <v>7.3726027397260276</v>
      </c>
      <c r="F888" s="28"/>
      <c r="G888" s="28"/>
      <c r="H888" s="28"/>
      <c r="I888" s="28"/>
      <c r="J888" s="28"/>
      <c r="L888" s="38">
        <v>485</v>
      </c>
      <c r="M888" s="2">
        <v>33</v>
      </c>
      <c r="N888" s="2">
        <v>373</v>
      </c>
      <c r="O888" s="2">
        <v>14</v>
      </c>
      <c r="P888" s="2">
        <v>83</v>
      </c>
      <c r="Q888" s="2">
        <v>6</v>
      </c>
      <c r="R888" s="2">
        <v>9</v>
      </c>
      <c r="S888" s="2">
        <v>19</v>
      </c>
      <c r="T888" s="2">
        <v>3</v>
      </c>
      <c r="U888" s="2">
        <v>8</v>
      </c>
      <c r="V888" s="2">
        <v>2</v>
      </c>
      <c r="W888" s="2">
        <v>6</v>
      </c>
      <c r="X888" s="2">
        <v>7</v>
      </c>
    </row>
    <row r="889" spans="1:24" x14ac:dyDescent="0.35">
      <c r="A889">
        <v>484</v>
      </c>
      <c r="B889">
        <v>54006</v>
      </c>
      <c r="C889">
        <v>35</v>
      </c>
      <c r="D889">
        <v>1</v>
      </c>
      <c r="E889" s="28">
        <v>7.6931506849315072</v>
      </c>
      <c r="F889" s="28"/>
      <c r="G889" s="28"/>
      <c r="H889" s="28"/>
      <c r="I889" s="28"/>
      <c r="J889" s="28"/>
      <c r="L889" s="37">
        <v>484</v>
      </c>
      <c r="M889" s="3">
        <v>42</v>
      </c>
      <c r="N889" s="3">
        <v>174</v>
      </c>
      <c r="O889" s="3">
        <v>77</v>
      </c>
      <c r="P889" s="3">
        <v>203</v>
      </c>
      <c r="Q889" s="3">
        <v>6</v>
      </c>
      <c r="R889" s="3">
        <v>24</v>
      </c>
      <c r="S889" s="3">
        <v>97</v>
      </c>
      <c r="T889" s="3">
        <v>2</v>
      </c>
      <c r="U889" s="3">
        <v>8</v>
      </c>
      <c r="V889" s="3">
        <v>1</v>
      </c>
      <c r="W889" s="3">
        <v>7</v>
      </c>
      <c r="X889" s="3">
        <v>7</v>
      </c>
    </row>
    <row r="890" spans="1:24" x14ac:dyDescent="0.35">
      <c r="A890">
        <v>484</v>
      </c>
      <c r="B890">
        <v>57954</v>
      </c>
      <c r="C890">
        <v>43</v>
      </c>
      <c r="D890">
        <v>1</v>
      </c>
      <c r="E890" s="28">
        <v>5.9452054794520546</v>
      </c>
      <c r="F890" s="28"/>
      <c r="G890" s="28"/>
      <c r="H890" s="28"/>
      <c r="I890" s="28"/>
      <c r="J890" s="28"/>
      <c r="L890" s="38">
        <v>484</v>
      </c>
      <c r="M890" s="2">
        <v>52</v>
      </c>
      <c r="N890" s="2">
        <v>456</v>
      </c>
      <c r="O890" s="2">
        <v>4</v>
      </c>
      <c r="P890" s="2">
        <v>24</v>
      </c>
      <c r="Q890" s="2">
        <v>0</v>
      </c>
      <c r="R890" s="2">
        <v>0</v>
      </c>
      <c r="S890" s="2">
        <v>9</v>
      </c>
      <c r="T890" s="2">
        <v>7</v>
      </c>
      <c r="U890" s="2">
        <v>8</v>
      </c>
      <c r="V890" s="2">
        <v>2</v>
      </c>
      <c r="W890" s="2">
        <v>6</v>
      </c>
      <c r="X890" s="2">
        <v>7</v>
      </c>
    </row>
    <row r="891" spans="1:24" x14ac:dyDescent="0.35">
      <c r="A891">
        <v>483</v>
      </c>
      <c r="B891">
        <v>60482</v>
      </c>
      <c r="C891">
        <v>44</v>
      </c>
      <c r="D891">
        <v>1</v>
      </c>
      <c r="E891" s="28">
        <v>7.3452054794520549</v>
      </c>
      <c r="F891" s="28"/>
      <c r="G891" s="28"/>
      <c r="H891" s="28"/>
      <c r="I891" s="28"/>
      <c r="J891" s="28"/>
      <c r="L891" s="37">
        <v>483</v>
      </c>
      <c r="M891" s="3">
        <v>81</v>
      </c>
      <c r="N891" s="3">
        <v>255</v>
      </c>
      <c r="O891" s="3">
        <v>43</v>
      </c>
      <c r="P891" s="3">
        <v>134</v>
      </c>
      <c r="Q891" s="3">
        <v>37</v>
      </c>
      <c r="R891" s="3">
        <v>14</v>
      </c>
      <c r="S891" s="3">
        <v>24</v>
      </c>
      <c r="T891" s="3">
        <v>1</v>
      </c>
      <c r="U891" s="3">
        <v>7</v>
      </c>
      <c r="V891" s="3">
        <v>2</v>
      </c>
      <c r="W891" s="3">
        <v>7</v>
      </c>
      <c r="X891" s="3">
        <v>7</v>
      </c>
    </row>
    <row r="892" spans="1:24" x14ac:dyDescent="0.35">
      <c r="A892">
        <v>479</v>
      </c>
      <c r="B892">
        <v>43974</v>
      </c>
      <c r="C892">
        <v>40</v>
      </c>
      <c r="D892">
        <v>1</v>
      </c>
      <c r="E892" s="28">
        <v>7.4602739726027396</v>
      </c>
      <c r="F892" s="28"/>
      <c r="G892" s="28"/>
      <c r="H892" s="28"/>
      <c r="I892" s="28"/>
      <c r="J892" s="28"/>
      <c r="L892" s="38">
        <v>479</v>
      </c>
      <c r="M892" s="2">
        <v>19</v>
      </c>
      <c r="N892" s="2">
        <v>378</v>
      </c>
      <c r="O892" s="2">
        <v>0</v>
      </c>
      <c r="P892" s="2">
        <v>101</v>
      </c>
      <c r="Q892" s="2">
        <v>0</v>
      </c>
      <c r="R892" s="2">
        <v>0</v>
      </c>
      <c r="S892" s="2">
        <v>72</v>
      </c>
      <c r="T892" s="2">
        <v>5</v>
      </c>
      <c r="U892" s="2">
        <v>6</v>
      </c>
      <c r="V892" s="2">
        <v>4</v>
      </c>
      <c r="W892" s="2">
        <v>6</v>
      </c>
      <c r="X892" s="2">
        <v>7</v>
      </c>
    </row>
    <row r="893" spans="1:24" x14ac:dyDescent="0.35">
      <c r="A893">
        <v>475</v>
      </c>
      <c r="B893">
        <v>55954</v>
      </c>
      <c r="C893">
        <v>52</v>
      </c>
      <c r="D893">
        <v>1</v>
      </c>
      <c r="E893" s="28">
        <v>6.2383561643835614</v>
      </c>
      <c r="F893" s="28"/>
      <c r="G893" s="28"/>
      <c r="H893" s="28"/>
      <c r="I893" s="28"/>
      <c r="J893" s="28"/>
      <c r="L893" s="37">
        <v>475</v>
      </c>
      <c r="M893" s="3">
        <v>63</v>
      </c>
      <c r="N893" s="3">
        <v>447</v>
      </c>
      <c r="O893" s="3">
        <v>0</v>
      </c>
      <c r="P893" s="3">
        <v>28</v>
      </c>
      <c r="Q893" s="3">
        <v>0</v>
      </c>
      <c r="R893" s="3">
        <v>0</v>
      </c>
      <c r="S893" s="3">
        <v>43</v>
      </c>
      <c r="T893" s="3">
        <v>3</v>
      </c>
      <c r="U893" s="3">
        <v>8</v>
      </c>
      <c r="V893" s="3">
        <v>2</v>
      </c>
      <c r="W893" s="3">
        <v>6</v>
      </c>
      <c r="X893" s="3">
        <v>7</v>
      </c>
    </row>
    <row r="894" spans="1:24" x14ac:dyDescent="0.35">
      <c r="A894">
        <v>460</v>
      </c>
      <c r="B894">
        <v>47682</v>
      </c>
      <c r="C894">
        <v>45</v>
      </c>
      <c r="D894">
        <v>1</v>
      </c>
      <c r="E894" s="28">
        <v>7.2821917808219174</v>
      </c>
      <c r="F894" s="28"/>
      <c r="G894" s="28"/>
      <c r="H894" s="28"/>
      <c r="I894" s="28"/>
      <c r="J894" s="28"/>
      <c r="L894" s="38">
        <v>460</v>
      </c>
      <c r="M894" s="2">
        <v>80</v>
      </c>
      <c r="N894" s="2">
        <v>162</v>
      </c>
      <c r="O894" s="2">
        <v>61</v>
      </c>
      <c r="P894" s="2">
        <v>83</v>
      </c>
      <c r="Q894" s="2">
        <v>97</v>
      </c>
      <c r="R894" s="2">
        <v>57</v>
      </c>
      <c r="S894" s="2">
        <v>61</v>
      </c>
      <c r="T894" s="2">
        <v>4</v>
      </c>
      <c r="U894" s="2">
        <v>4</v>
      </c>
      <c r="V894" s="2">
        <v>3</v>
      </c>
      <c r="W894" s="2">
        <v>8</v>
      </c>
      <c r="X894" s="2">
        <v>5</v>
      </c>
    </row>
    <row r="895" spans="1:24" x14ac:dyDescent="0.35">
      <c r="A895">
        <v>460</v>
      </c>
      <c r="B895">
        <v>59052</v>
      </c>
      <c r="C895">
        <v>61</v>
      </c>
      <c r="D895">
        <v>1</v>
      </c>
      <c r="E895" s="28">
        <v>6.5287671232876709</v>
      </c>
      <c r="F895" s="28"/>
      <c r="G895" s="28"/>
      <c r="H895" s="28"/>
      <c r="I895" s="28"/>
      <c r="J895" s="28"/>
      <c r="L895" s="37">
        <v>460</v>
      </c>
      <c r="M895" s="3">
        <v>29</v>
      </c>
      <c r="N895" s="3">
        <v>230</v>
      </c>
      <c r="O895" s="3">
        <v>35</v>
      </c>
      <c r="P895" s="3">
        <v>75</v>
      </c>
      <c r="Q895" s="3">
        <v>63</v>
      </c>
      <c r="R895" s="3">
        <v>57</v>
      </c>
      <c r="S895" s="3">
        <v>31</v>
      </c>
      <c r="T895" s="3">
        <v>3</v>
      </c>
      <c r="U895" s="3">
        <v>7</v>
      </c>
      <c r="V895" s="3">
        <v>1</v>
      </c>
      <c r="W895" s="3">
        <v>7</v>
      </c>
      <c r="X895" s="3">
        <v>5</v>
      </c>
    </row>
    <row r="896" spans="1:24" x14ac:dyDescent="0.35">
      <c r="A896">
        <v>459</v>
      </c>
      <c r="B896">
        <v>32727</v>
      </c>
      <c r="C896">
        <v>55</v>
      </c>
      <c r="D896">
        <v>0</v>
      </c>
      <c r="E896" s="28">
        <v>7.7506849315068491</v>
      </c>
      <c r="F896" s="28"/>
      <c r="G896" s="28"/>
      <c r="H896" s="28"/>
      <c r="I896" s="28"/>
      <c r="J896" s="28"/>
      <c r="L896" s="38">
        <v>459</v>
      </c>
      <c r="M896" s="2">
        <v>38</v>
      </c>
      <c r="N896" s="2">
        <v>167</v>
      </c>
      <c r="O896" s="2">
        <v>13</v>
      </c>
      <c r="P896" s="2">
        <v>180</v>
      </c>
      <c r="Q896" s="2">
        <v>86</v>
      </c>
      <c r="R896" s="2">
        <v>13</v>
      </c>
      <c r="S896" s="2">
        <v>70</v>
      </c>
      <c r="T896" s="2">
        <v>2</v>
      </c>
      <c r="U896" s="2">
        <v>7</v>
      </c>
      <c r="V896" s="2">
        <v>3</v>
      </c>
      <c r="W896" s="2">
        <v>5</v>
      </c>
      <c r="X896" s="2">
        <v>8</v>
      </c>
    </row>
    <row r="897" spans="1:24" x14ac:dyDescent="0.35">
      <c r="A897">
        <v>457</v>
      </c>
      <c r="B897">
        <v>36550</v>
      </c>
      <c r="C897">
        <v>42</v>
      </c>
      <c r="D897">
        <v>1</v>
      </c>
      <c r="E897" s="28">
        <v>7.2712328767123289</v>
      </c>
      <c r="F897" s="28"/>
      <c r="G897" s="28"/>
      <c r="H897" s="28"/>
      <c r="I897" s="28"/>
      <c r="J897" s="28"/>
      <c r="L897" s="37">
        <v>457</v>
      </c>
      <c r="M897" s="3">
        <v>74</v>
      </c>
      <c r="N897" s="3">
        <v>47</v>
      </c>
      <c r="O897" s="3">
        <v>90</v>
      </c>
      <c r="P897" s="3">
        <v>94</v>
      </c>
      <c r="Q897" s="3">
        <v>123</v>
      </c>
      <c r="R897" s="3">
        <v>103</v>
      </c>
      <c r="S897" s="3">
        <v>120</v>
      </c>
      <c r="T897" s="3">
        <v>5</v>
      </c>
      <c r="U897" s="3">
        <v>9</v>
      </c>
      <c r="V897" s="3">
        <v>1</v>
      </c>
      <c r="W897" s="3">
        <v>5</v>
      </c>
      <c r="X897" s="3">
        <v>9</v>
      </c>
    </row>
    <row r="898" spans="1:24" x14ac:dyDescent="0.35">
      <c r="A898">
        <v>453</v>
      </c>
      <c r="B898">
        <v>56559</v>
      </c>
      <c r="C898">
        <v>45</v>
      </c>
      <c r="D898">
        <v>1</v>
      </c>
      <c r="E898" s="28">
        <v>7.4246575342465757</v>
      </c>
      <c r="F898" s="28"/>
      <c r="G898" s="28"/>
      <c r="H898" s="28"/>
      <c r="I898" s="28"/>
      <c r="J898" s="28"/>
      <c r="L898" s="38">
        <v>453</v>
      </c>
      <c r="M898" s="2">
        <v>46</v>
      </c>
      <c r="N898" s="2">
        <v>226</v>
      </c>
      <c r="O898" s="2">
        <v>22</v>
      </c>
      <c r="P898" s="2">
        <v>133</v>
      </c>
      <c r="Q898" s="2">
        <v>41</v>
      </c>
      <c r="R898" s="2">
        <v>31</v>
      </c>
      <c r="S898" s="2">
        <v>31</v>
      </c>
      <c r="T898" s="2">
        <v>3</v>
      </c>
      <c r="U898" s="2">
        <v>4</v>
      </c>
      <c r="V898" s="2">
        <v>3</v>
      </c>
      <c r="W898" s="2">
        <v>8</v>
      </c>
      <c r="X898" s="2">
        <v>4</v>
      </c>
    </row>
    <row r="899" spans="1:24" x14ac:dyDescent="0.35">
      <c r="A899">
        <v>453</v>
      </c>
      <c r="B899">
        <v>66886</v>
      </c>
      <c r="C899">
        <v>62</v>
      </c>
      <c r="D899">
        <v>1</v>
      </c>
      <c r="E899" s="28">
        <v>6.6986301369863011</v>
      </c>
      <c r="F899" s="28"/>
      <c r="G899" s="28"/>
      <c r="H899" s="28"/>
      <c r="I899" s="28"/>
      <c r="J899" s="28"/>
      <c r="L899" s="37">
        <v>453</v>
      </c>
      <c r="M899" s="3">
        <v>28</v>
      </c>
      <c r="N899" s="3">
        <v>315</v>
      </c>
      <c r="O899" s="3">
        <v>4</v>
      </c>
      <c r="P899" s="3">
        <v>62</v>
      </c>
      <c r="Q899" s="3">
        <v>41</v>
      </c>
      <c r="R899" s="3">
        <v>31</v>
      </c>
      <c r="S899" s="3">
        <v>146</v>
      </c>
      <c r="T899" s="3">
        <v>2</v>
      </c>
      <c r="U899" s="3">
        <v>7</v>
      </c>
      <c r="V899" s="3">
        <v>1</v>
      </c>
      <c r="W899" s="3">
        <v>7</v>
      </c>
      <c r="X899" s="3">
        <v>5</v>
      </c>
    </row>
    <row r="900" spans="1:24" x14ac:dyDescent="0.35">
      <c r="A900">
        <v>451</v>
      </c>
      <c r="B900">
        <v>36130</v>
      </c>
      <c r="C900">
        <v>66</v>
      </c>
      <c r="D900">
        <v>1</v>
      </c>
      <c r="E900" s="28">
        <v>7.3178082191780822</v>
      </c>
      <c r="F900" s="28"/>
      <c r="G900" s="28"/>
      <c r="H900" s="28"/>
      <c r="I900" s="28"/>
      <c r="J900" s="28"/>
      <c r="L900" s="38">
        <v>451</v>
      </c>
      <c r="M900" s="2">
        <v>46</v>
      </c>
      <c r="N900" s="2">
        <v>157</v>
      </c>
      <c r="O900" s="2">
        <v>43</v>
      </c>
      <c r="P900" s="2">
        <v>127</v>
      </c>
      <c r="Q900" s="2">
        <v>68</v>
      </c>
      <c r="R900" s="2">
        <v>56</v>
      </c>
      <c r="S900" s="2">
        <v>37</v>
      </c>
      <c r="T900" s="2">
        <v>6</v>
      </c>
      <c r="U900" s="2">
        <v>3</v>
      </c>
      <c r="V900" s="2">
        <v>8</v>
      </c>
      <c r="W900" s="2">
        <v>4</v>
      </c>
      <c r="X900" s="2">
        <v>4</v>
      </c>
    </row>
    <row r="901" spans="1:24" x14ac:dyDescent="0.35">
      <c r="A901">
        <v>450</v>
      </c>
      <c r="B901">
        <v>61798</v>
      </c>
      <c r="C901">
        <v>56</v>
      </c>
      <c r="D901">
        <v>0</v>
      </c>
      <c r="E901" s="28">
        <v>6.5123287671232877</v>
      </c>
      <c r="F901" s="28"/>
      <c r="G901" s="28"/>
      <c r="H901" s="28"/>
      <c r="I901" s="28"/>
      <c r="J901" s="28"/>
      <c r="L901" s="37">
        <v>450</v>
      </c>
      <c r="M901" s="3">
        <v>13</v>
      </c>
      <c r="N901" s="3">
        <v>338</v>
      </c>
      <c r="O901" s="3">
        <v>4</v>
      </c>
      <c r="P901" s="3">
        <v>89</v>
      </c>
      <c r="Q901" s="3">
        <v>11</v>
      </c>
      <c r="R901" s="3">
        <v>8</v>
      </c>
      <c r="S901" s="3">
        <v>13</v>
      </c>
      <c r="T901" s="3">
        <v>1</v>
      </c>
      <c r="U901" s="3">
        <v>4</v>
      </c>
      <c r="V901" s="3">
        <v>2</v>
      </c>
      <c r="W901" s="3">
        <v>9</v>
      </c>
      <c r="X901" s="3">
        <v>4</v>
      </c>
    </row>
    <row r="902" spans="1:24" x14ac:dyDescent="0.35">
      <c r="A902">
        <v>448</v>
      </c>
      <c r="B902">
        <v>58025</v>
      </c>
      <c r="C902">
        <v>41</v>
      </c>
      <c r="D902">
        <v>1</v>
      </c>
      <c r="E902" s="28">
        <v>6.5041095890410956</v>
      </c>
      <c r="F902" s="28"/>
      <c r="G902" s="28"/>
      <c r="H902" s="28"/>
      <c r="I902" s="28"/>
      <c r="J902" s="28"/>
      <c r="L902" s="38">
        <v>448</v>
      </c>
      <c r="M902" s="2">
        <v>81</v>
      </c>
      <c r="N902" s="2">
        <v>270</v>
      </c>
      <c r="O902" s="2">
        <v>31</v>
      </c>
      <c r="P902" s="2">
        <v>88</v>
      </c>
      <c r="Q902" s="2">
        <v>11</v>
      </c>
      <c r="R902" s="2">
        <v>48</v>
      </c>
      <c r="S902" s="2">
        <v>22</v>
      </c>
      <c r="T902" s="2">
        <v>3</v>
      </c>
      <c r="U902" s="2">
        <v>3</v>
      </c>
      <c r="V902" s="2">
        <v>2</v>
      </c>
      <c r="W902" s="2">
        <v>10</v>
      </c>
      <c r="X902" s="2">
        <v>4</v>
      </c>
    </row>
    <row r="903" spans="1:24" x14ac:dyDescent="0.35">
      <c r="A903">
        <v>447</v>
      </c>
      <c r="B903">
        <v>54998</v>
      </c>
      <c r="C903">
        <v>64</v>
      </c>
      <c r="D903">
        <v>1</v>
      </c>
      <c r="E903" s="28">
        <v>7.2191780821917808</v>
      </c>
      <c r="F903" s="28"/>
      <c r="G903" s="28"/>
      <c r="H903" s="28"/>
      <c r="I903" s="28"/>
      <c r="J903" s="28"/>
      <c r="L903" s="37">
        <v>447</v>
      </c>
      <c r="M903" s="3">
        <v>3</v>
      </c>
      <c r="N903" s="3">
        <v>154</v>
      </c>
      <c r="O903" s="3">
        <v>22</v>
      </c>
      <c r="P903" s="3">
        <v>202</v>
      </c>
      <c r="Q903" s="3">
        <v>39</v>
      </c>
      <c r="R903" s="3">
        <v>30</v>
      </c>
      <c r="S903" s="3">
        <v>8</v>
      </c>
      <c r="T903" s="3">
        <v>5</v>
      </c>
      <c r="U903" s="3">
        <v>4</v>
      </c>
      <c r="V903" s="3">
        <v>2</v>
      </c>
      <c r="W903" s="3">
        <v>9</v>
      </c>
      <c r="X903" s="3">
        <v>4</v>
      </c>
    </row>
    <row r="904" spans="1:24" x14ac:dyDescent="0.35">
      <c r="A904">
        <v>447</v>
      </c>
      <c r="B904">
        <v>65747</v>
      </c>
      <c r="C904">
        <v>51</v>
      </c>
      <c r="D904">
        <v>1</v>
      </c>
      <c r="E904" s="28">
        <v>6.2273972602739729</v>
      </c>
      <c r="F904" s="28"/>
      <c r="G904" s="28"/>
      <c r="H904" s="28"/>
      <c r="I904" s="28"/>
      <c r="J904" s="28"/>
      <c r="L904" s="38">
        <v>447</v>
      </c>
      <c r="M904" s="2">
        <v>96</v>
      </c>
      <c r="N904" s="2">
        <v>346</v>
      </c>
      <c r="O904" s="2">
        <v>17</v>
      </c>
      <c r="P904" s="2">
        <v>48</v>
      </c>
      <c r="Q904" s="2">
        <v>23</v>
      </c>
      <c r="R904" s="2">
        <v>13</v>
      </c>
      <c r="S904" s="2">
        <v>13</v>
      </c>
      <c r="T904" s="2">
        <v>4</v>
      </c>
      <c r="U904" s="2">
        <v>8</v>
      </c>
      <c r="V904" s="2">
        <v>1</v>
      </c>
      <c r="W904" s="2">
        <v>6</v>
      </c>
      <c r="X904" s="2">
        <v>6</v>
      </c>
    </row>
    <row r="905" spans="1:24" x14ac:dyDescent="0.35">
      <c r="A905">
        <v>446</v>
      </c>
      <c r="B905">
        <v>59354</v>
      </c>
      <c r="C905">
        <v>67</v>
      </c>
      <c r="D905">
        <v>1</v>
      </c>
      <c r="E905" s="28">
        <v>6.095890410958904</v>
      </c>
      <c r="F905" s="28"/>
      <c r="G905" s="28"/>
      <c r="H905" s="28"/>
      <c r="I905" s="28"/>
      <c r="J905" s="28"/>
      <c r="L905" s="37">
        <v>446</v>
      </c>
      <c r="M905" s="3">
        <v>59</v>
      </c>
      <c r="N905" s="3">
        <v>295</v>
      </c>
      <c r="O905" s="3">
        <v>21</v>
      </c>
      <c r="P905" s="3">
        <v>78</v>
      </c>
      <c r="Q905" s="3">
        <v>39</v>
      </c>
      <c r="R905" s="3">
        <v>13</v>
      </c>
      <c r="S905" s="3">
        <v>13</v>
      </c>
      <c r="T905" s="3">
        <v>1</v>
      </c>
      <c r="U905" s="3">
        <v>4</v>
      </c>
      <c r="V905" s="3">
        <v>4</v>
      </c>
      <c r="W905" s="3">
        <v>7</v>
      </c>
      <c r="X905" s="3">
        <v>3</v>
      </c>
    </row>
    <row r="906" spans="1:24" x14ac:dyDescent="0.35">
      <c r="A906">
        <v>446</v>
      </c>
      <c r="B906">
        <v>57705</v>
      </c>
      <c r="C906">
        <v>54</v>
      </c>
      <c r="D906">
        <v>1</v>
      </c>
      <c r="E906" s="28">
        <v>6.3780821917808215</v>
      </c>
      <c r="F906" s="28"/>
      <c r="G906" s="28"/>
      <c r="H906" s="28"/>
      <c r="I906" s="28"/>
      <c r="J906" s="28"/>
      <c r="L906" s="38">
        <v>446</v>
      </c>
      <c r="M906" s="2">
        <v>14</v>
      </c>
      <c r="N906" s="2">
        <v>383</v>
      </c>
      <c r="O906" s="2">
        <v>0</v>
      </c>
      <c r="P906" s="2">
        <v>53</v>
      </c>
      <c r="Q906" s="2">
        <v>6</v>
      </c>
      <c r="R906" s="2">
        <v>4</v>
      </c>
      <c r="S906" s="2">
        <v>40</v>
      </c>
      <c r="T906" s="2">
        <v>3</v>
      </c>
      <c r="U906" s="2">
        <v>8</v>
      </c>
      <c r="V906" s="2">
        <v>1</v>
      </c>
      <c r="W906" s="2">
        <v>6</v>
      </c>
      <c r="X906" s="2">
        <v>6</v>
      </c>
    </row>
    <row r="907" spans="1:24" x14ac:dyDescent="0.35">
      <c r="A907">
        <v>445</v>
      </c>
      <c r="B907">
        <v>57537</v>
      </c>
      <c r="C907">
        <v>41</v>
      </c>
      <c r="D907">
        <v>1</v>
      </c>
      <c r="E907" s="28">
        <v>6.9671232876712326</v>
      </c>
      <c r="F907" s="28"/>
      <c r="G907" s="28"/>
      <c r="H907" s="28"/>
      <c r="I907" s="28"/>
      <c r="J907" s="28"/>
      <c r="L907" s="37">
        <v>445</v>
      </c>
      <c r="M907" s="3">
        <v>83</v>
      </c>
      <c r="N907" s="3">
        <v>191</v>
      </c>
      <c r="O907" s="3">
        <v>56</v>
      </c>
      <c r="P907" s="3">
        <v>139</v>
      </c>
      <c r="Q907" s="3">
        <v>51</v>
      </c>
      <c r="R907" s="3">
        <v>8</v>
      </c>
      <c r="S907" s="3">
        <v>100</v>
      </c>
      <c r="T907" s="3">
        <v>4</v>
      </c>
      <c r="U907" s="3">
        <v>4</v>
      </c>
      <c r="V907" s="3">
        <v>3</v>
      </c>
      <c r="W907" s="3">
        <v>8</v>
      </c>
      <c r="X907" s="3">
        <v>4</v>
      </c>
    </row>
    <row r="908" spans="1:24" x14ac:dyDescent="0.35">
      <c r="A908">
        <v>445</v>
      </c>
      <c r="B908">
        <v>51518</v>
      </c>
      <c r="C908">
        <v>62</v>
      </c>
      <c r="D908">
        <v>1</v>
      </c>
      <c r="E908" s="28">
        <v>6.6520547945205477</v>
      </c>
      <c r="F908" s="28"/>
      <c r="G908" s="28"/>
      <c r="H908" s="28"/>
      <c r="I908" s="28"/>
      <c r="J908" s="28"/>
      <c r="L908" s="38">
        <v>445</v>
      </c>
      <c r="M908" s="2">
        <v>92</v>
      </c>
      <c r="N908" s="2">
        <v>350</v>
      </c>
      <c r="O908" s="2">
        <v>8</v>
      </c>
      <c r="P908" s="2">
        <v>66</v>
      </c>
      <c r="Q908" s="2">
        <v>17</v>
      </c>
      <c r="R908" s="2">
        <v>4</v>
      </c>
      <c r="S908" s="2">
        <v>4</v>
      </c>
      <c r="T908" s="2">
        <v>2</v>
      </c>
      <c r="U908" s="2">
        <v>3</v>
      </c>
      <c r="V908" s="2">
        <v>2</v>
      </c>
      <c r="W908" s="2">
        <v>10</v>
      </c>
      <c r="X908" s="2">
        <v>3</v>
      </c>
    </row>
    <row r="909" spans="1:24" x14ac:dyDescent="0.35">
      <c r="A909">
        <v>445</v>
      </c>
      <c r="B909">
        <v>54386</v>
      </c>
      <c r="C909">
        <v>39</v>
      </c>
      <c r="D909">
        <v>1</v>
      </c>
      <c r="E909" s="28">
        <v>7.0328767123287674</v>
      </c>
      <c r="F909" s="28"/>
      <c r="G909" s="28"/>
      <c r="H909" s="28"/>
      <c r="I909" s="28"/>
      <c r="J909" s="28"/>
      <c r="L909" s="37">
        <v>445</v>
      </c>
      <c r="M909" s="3">
        <v>8</v>
      </c>
      <c r="N909" s="3">
        <v>277</v>
      </c>
      <c r="O909" s="3">
        <v>21</v>
      </c>
      <c r="P909" s="3">
        <v>64</v>
      </c>
      <c r="Q909" s="3">
        <v>62</v>
      </c>
      <c r="R909" s="3">
        <v>21</v>
      </c>
      <c r="S909" s="3">
        <v>25</v>
      </c>
      <c r="T909" s="3">
        <v>2</v>
      </c>
      <c r="U909" s="3">
        <v>3</v>
      </c>
      <c r="V909" s="3">
        <v>2</v>
      </c>
      <c r="W909" s="3">
        <v>10</v>
      </c>
      <c r="X909" s="3">
        <v>3</v>
      </c>
    </row>
    <row r="910" spans="1:24" x14ac:dyDescent="0.35">
      <c r="A910">
        <v>445</v>
      </c>
      <c r="B910">
        <v>51529</v>
      </c>
      <c r="C910">
        <v>71</v>
      </c>
      <c r="D910">
        <v>1</v>
      </c>
      <c r="E910" s="28">
        <v>6.7232876712328764</v>
      </c>
      <c r="F910" s="28"/>
      <c r="G910" s="28"/>
      <c r="H910" s="28"/>
      <c r="I910" s="28"/>
      <c r="J910" s="28"/>
      <c r="L910" s="38">
        <v>445</v>
      </c>
      <c r="M910" s="2">
        <v>14</v>
      </c>
      <c r="N910" s="2">
        <v>400</v>
      </c>
      <c r="O910" s="2">
        <v>4</v>
      </c>
      <c r="P910" s="2">
        <v>35</v>
      </c>
      <c r="Q910" s="2">
        <v>6</v>
      </c>
      <c r="R910" s="2">
        <v>0</v>
      </c>
      <c r="S910" s="2">
        <v>22</v>
      </c>
      <c r="T910" s="2">
        <v>2</v>
      </c>
      <c r="U910" s="2">
        <v>9</v>
      </c>
      <c r="V910" s="2">
        <v>1</v>
      </c>
      <c r="W910" s="2">
        <v>5</v>
      </c>
      <c r="X910" s="2">
        <v>8</v>
      </c>
    </row>
    <row r="911" spans="1:24" x14ac:dyDescent="0.35">
      <c r="A911">
        <v>444</v>
      </c>
      <c r="B911">
        <v>50729</v>
      </c>
      <c r="C911">
        <v>62</v>
      </c>
      <c r="D911">
        <v>1</v>
      </c>
      <c r="E911" s="28">
        <v>7.0739726027397261</v>
      </c>
      <c r="F911" s="28"/>
      <c r="G911" s="28"/>
      <c r="H911" s="28"/>
      <c r="I911" s="28"/>
      <c r="J911" s="28"/>
      <c r="L911" s="37">
        <v>444</v>
      </c>
      <c r="M911" s="3">
        <v>62</v>
      </c>
      <c r="N911" s="3">
        <v>239</v>
      </c>
      <c r="O911" s="3">
        <v>13</v>
      </c>
      <c r="P911" s="3">
        <v>143</v>
      </c>
      <c r="Q911" s="3">
        <v>45</v>
      </c>
      <c r="R911" s="3">
        <v>4</v>
      </c>
      <c r="S911" s="3">
        <v>52</v>
      </c>
      <c r="T911" s="3">
        <v>9</v>
      </c>
      <c r="U911" s="3">
        <v>6</v>
      </c>
      <c r="V911" s="3">
        <v>2</v>
      </c>
      <c r="W911" s="3">
        <v>7</v>
      </c>
      <c r="X911" s="3">
        <v>6</v>
      </c>
    </row>
    <row r="912" spans="1:24" x14ac:dyDescent="0.35">
      <c r="A912">
        <v>443</v>
      </c>
      <c r="B912">
        <v>53863</v>
      </c>
      <c r="C912">
        <v>65</v>
      </c>
      <c r="D912">
        <v>1</v>
      </c>
      <c r="E912" s="28">
        <v>6.0328767123287674</v>
      </c>
      <c r="F912" s="28"/>
      <c r="G912" s="28"/>
      <c r="H912" s="28"/>
      <c r="I912" s="28"/>
      <c r="J912" s="28"/>
      <c r="L912" s="38">
        <v>443</v>
      </c>
      <c r="M912" s="2">
        <v>4</v>
      </c>
      <c r="N912" s="2">
        <v>399</v>
      </c>
      <c r="O912" s="2">
        <v>4</v>
      </c>
      <c r="P912" s="2">
        <v>30</v>
      </c>
      <c r="Q912" s="2">
        <v>6</v>
      </c>
      <c r="R912" s="2">
        <v>4</v>
      </c>
      <c r="S912" s="2">
        <v>30</v>
      </c>
      <c r="T912" s="2">
        <v>3</v>
      </c>
      <c r="U912" s="2">
        <v>7</v>
      </c>
      <c r="V912" s="2">
        <v>1</v>
      </c>
      <c r="W912" s="2">
        <v>7</v>
      </c>
      <c r="X912" s="2">
        <v>7</v>
      </c>
    </row>
    <row r="913" spans="1:24" x14ac:dyDescent="0.35">
      <c r="A913">
        <v>442</v>
      </c>
      <c r="B913">
        <v>84460</v>
      </c>
      <c r="C913">
        <v>62</v>
      </c>
      <c r="D913">
        <v>0</v>
      </c>
      <c r="E913" s="28">
        <v>7.397260273972603</v>
      </c>
      <c r="F913" s="28"/>
      <c r="G913" s="28"/>
      <c r="H913" s="28"/>
      <c r="I913" s="28"/>
      <c r="J913" s="28"/>
      <c r="L913" s="37">
        <v>442</v>
      </c>
      <c r="M913" s="3">
        <v>80</v>
      </c>
      <c r="N913" s="3">
        <v>152</v>
      </c>
      <c r="O913" s="3">
        <v>27</v>
      </c>
      <c r="P913" s="3">
        <v>103</v>
      </c>
      <c r="Q913" s="3">
        <v>106</v>
      </c>
      <c r="R913" s="3">
        <v>54</v>
      </c>
      <c r="S913" s="3">
        <v>81</v>
      </c>
      <c r="T913" s="3">
        <v>0</v>
      </c>
      <c r="U913" s="3">
        <v>9</v>
      </c>
      <c r="V913" s="3">
        <v>9</v>
      </c>
      <c r="W913" s="3">
        <v>4</v>
      </c>
      <c r="X913" s="3">
        <v>5</v>
      </c>
    </row>
    <row r="914" spans="1:24" x14ac:dyDescent="0.35">
      <c r="A914">
        <v>442</v>
      </c>
      <c r="B914">
        <v>55521</v>
      </c>
      <c r="C914">
        <v>65</v>
      </c>
      <c r="D914">
        <v>1</v>
      </c>
      <c r="E914" s="28">
        <v>6.6</v>
      </c>
      <c r="F914" s="28"/>
      <c r="G914" s="28"/>
      <c r="H914" s="28"/>
      <c r="I914" s="28"/>
      <c r="J914" s="28"/>
      <c r="L914" s="38">
        <v>442</v>
      </c>
      <c r="M914" s="2">
        <v>11</v>
      </c>
      <c r="N914" s="2">
        <v>416</v>
      </c>
      <c r="O914" s="2">
        <v>0</v>
      </c>
      <c r="P914" s="2">
        <v>26</v>
      </c>
      <c r="Q914" s="2">
        <v>0</v>
      </c>
      <c r="R914" s="2">
        <v>0</v>
      </c>
      <c r="S914" s="2">
        <v>4</v>
      </c>
      <c r="T914" s="2">
        <v>9</v>
      </c>
      <c r="U914" s="2">
        <v>6</v>
      </c>
      <c r="V914" s="2">
        <v>3</v>
      </c>
      <c r="W914" s="2">
        <v>6</v>
      </c>
      <c r="X914" s="2">
        <v>7</v>
      </c>
    </row>
    <row r="915" spans="1:24" x14ac:dyDescent="0.35">
      <c r="A915">
        <v>440</v>
      </c>
      <c r="B915">
        <v>55593</v>
      </c>
      <c r="C915">
        <v>47</v>
      </c>
      <c r="D915">
        <v>1</v>
      </c>
      <c r="E915" s="28">
        <v>6.7698630136986298</v>
      </c>
      <c r="F915" s="28"/>
      <c r="G915" s="28"/>
      <c r="H915" s="28"/>
      <c r="I915" s="28"/>
      <c r="J915" s="28"/>
      <c r="L915" s="37">
        <v>440</v>
      </c>
      <c r="M915" s="3">
        <v>63</v>
      </c>
      <c r="N915" s="3">
        <v>293</v>
      </c>
      <c r="O915" s="3">
        <v>8</v>
      </c>
      <c r="P915" s="3">
        <v>124</v>
      </c>
      <c r="Q915" s="3">
        <v>11</v>
      </c>
      <c r="R915" s="3">
        <v>4</v>
      </c>
      <c r="S915" s="3">
        <v>106</v>
      </c>
      <c r="T915" s="3">
        <v>2</v>
      </c>
      <c r="U915" s="3">
        <v>6</v>
      </c>
      <c r="V915" s="3">
        <v>6</v>
      </c>
      <c r="W915" s="3">
        <v>3</v>
      </c>
      <c r="X915" s="3">
        <v>6</v>
      </c>
    </row>
    <row r="916" spans="1:24" x14ac:dyDescent="0.35">
      <c r="A916">
        <v>438</v>
      </c>
      <c r="B916">
        <v>39767</v>
      </c>
      <c r="C916">
        <v>69</v>
      </c>
      <c r="D916">
        <v>0</v>
      </c>
      <c r="E916" s="28">
        <v>6.8547945205479452</v>
      </c>
      <c r="F916" s="28"/>
      <c r="G916" s="28"/>
      <c r="H916" s="28"/>
      <c r="I916" s="28"/>
      <c r="J916" s="28"/>
      <c r="L916" s="38">
        <v>438</v>
      </c>
      <c r="M916" s="2">
        <v>18</v>
      </c>
      <c r="N916" s="2">
        <v>113</v>
      </c>
      <c r="O916" s="2">
        <v>61</v>
      </c>
      <c r="P916" s="2">
        <v>204</v>
      </c>
      <c r="Q916" s="2">
        <v>34</v>
      </c>
      <c r="R916" s="2">
        <v>26</v>
      </c>
      <c r="S916" s="2">
        <v>47</v>
      </c>
      <c r="T916" s="2">
        <v>2</v>
      </c>
      <c r="U916" s="2">
        <v>7</v>
      </c>
      <c r="V916" s="2">
        <v>1</v>
      </c>
      <c r="W916" s="2">
        <v>7</v>
      </c>
      <c r="X916" s="2">
        <v>8</v>
      </c>
    </row>
    <row r="917" spans="1:24" x14ac:dyDescent="0.35">
      <c r="A917">
        <v>438</v>
      </c>
      <c r="B917">
        <v>52413</v>
      </c>
      <c r="C917">
        <v>36</v>
      </c>
      <c r="D917">
        <v>1</v>
      </c>
      <c r="E917" s="28">
        <v>7.5671232876712331</v>
      </c>
      <c r="F917" s="28"/>
      <c r="G917" s="28"/>
      <c r="H917" s="28"/>
      <c r="I917" s="28"/>
      <c r="J917" s="28"/>
      <c r="L917" s="37">
        <v>438</v>
      </c>
      <c r="M917" s="3">
        <v>67</v>
      </c>
      <c r="N917" s="3">
        <v>185</v>
      </c>
      <c r="O917" s="3">
        <v>8</v>
      </c>
      <c r="P917" s="3">
        <v>133</v>
      </c>
      <c r="Q917" s="3">
        <v>56</v>
      </c>
      <c r="R917" s="3">
        <v>56</v>
      </c>
      <c r="S917" s="3">
        <v>12</v>
      </c>
      <c r="T917" s="3">
        <v>2</v>
      </c>
      <c r="U917" s="3">
        <v>7</v>
      </c>
      <c r="V917" s="3">
        <v>1</v>
      </c>
      <c r="W917" s="3">
        <v>7</v>
      </c>
      <c r="X917" s="3">
        <v>7</v>
      </c>
    </row>
    <row r="918" spans="1:24" x14ac:dyDescent="0.35">
      <c r="A918">
        <v>438</v>
      </c>
      <c r="B918">
        <v>62010</v>
      </c>
      <c r="C918">
        <v>48</v>
      </c>
      <c r="D918">
        <v>1</v>
      </c>
      <c r="E918" s="28">
        <v>7.5972602739726032</v>
      </c>
      <c r="F918" s="28"/>
      <c r="G918" s="28"/>
      <c r="H918" s="28"/>
      <c r="I918" s="28"/>
      <c r="J918" s="28"/>
      <c r="L918" s="38">
        <v>438</v>
      </c>
      <c r="M918" s="2">
        <v>93</v>
      </c>
      <c r="N918" s="2">
        <v>371</v>
      </c>
      <c r="O918" s="2">
        <v>22</v>
      </c>
      <c r="P918" s="2">
        <v>39</v>
      </c>
      <c r="Q918" s="2">
        <v>6</v>
      </c>
      <c r="R918" s="2">
        <v>0</v>
      </c>
      <c r="S918" s="2">
        <v>92</v>
      </c>
      <c r="T918" s="2">
        <v>4</v>
      </c>
      <c r="U918" s="2">
        <v>6</v>
      </c>
      <c r="V918" s="2">
        <v>2</v>
      </c>
      <c r="W918" s="2">
        <v>7</v>
      </c>
      <c r="X918" s="2">
        <v>5</v>
      </c>
    </row>
    <row r="919" spans="1:24" x14ac:dyDescent="0.35">
      <c r="A919">
        <v>437</v>
      </c>
      <c r="B919">
        <v>57045</v>
      </c>
      <c r="C919">
        <v>70</v>
      </c>
      <c r="D919">
        <v>1</v>
      </c>
      <c r="E919" s="28">
        <v>7.720547945205479</v>
      </c>
      <c r="F919" s="28"/>
      <c r="G919" s="28"/>
      <c r="H919" s="28"/>
      <c r="I919" s="28"/>
      <c r="J919" s="28"/>
      <c r="L919" s="37">
        <v>437</v>
      </c>
      <c r="M919" s="3">
        <v>40</v>
      </c>
      <c r="N919" s="3">
        <v>296</v>
      </c>
      <c r="O919" s="3">
        <v>13</v>
      </c>
      <c r="P919" s="3">
        <v>104</v>
      </c>
      <c r="Q919" s="3">
        <v>11</v>
      </c>
      <c r="R919" s="3">
        <v>13</v>
      </c>
      <c r="S919" s="3">
        <v>17</v>
      </c>
      <c r="T919" s="3">
        <v>3</v>
      </c>
      <c r="U919" s="3">
        <v>4</v>
      </c>
      <c r="V919" s="3">
        <v>2</v>
      </c>
      <c r="W919" s="3">
        <v>9</v>
      </c>
      <c r="X919" s="3">
        <v>3</v>
      </c>
    </row>
    <row r="920" spans="1:24" x14ac:dyDescent="0.35">
      <c r="A920">
        <v>437</v>
      </c>
      <c r="B920">
        <v>53593</v>
      </c>
      <c r="C920">
        <v>67</v>
      </c>
      <c r="D920">
        <v>1</v>
      </c>
      <c r="E920" s="28">
        <v>7.8082191780821919</v>
      </c>
      <c r="F920" s="28"/>
      <c r="G920" s="28"/>
      <c r="H920" s="28"/>
      <c r="I920" s="28"/>
      <c r="J920" s="28"/>
      <c r="L920" s="38">
        <v>437</v>
      </c>
      <c r="M920" s="2">
        <v>60</v>
      </c>
      <c r="N920" s="2">
        <v>349</v>
      </c>
      <c r="O920" s="2">
        <v>4</v>
      </c>
      <c r="P920" s="2">
        <v>78</v>
      </c>
      <c r="Q920" s="2">
        <v>6</v>
      </c>
      <c r="R920" s="2">
        <v>0</v>
      </c>
      <c r="S920" s="2">
        <v>43</v>
      </c>
      <c r="T920" s="2">
        <v>8</v>
      </c>
      <c r="U920" s="2">
        <v>7</v>
      </c>
      <c r="V920" s="2">
        <v>2</v>
      </c>
      <c r="W920" s="2">
        <v>6</v>
      </c>
      <c r="X920" s="2">
        <v>8</v>
      </c>
    </row>
    <row r="921" spans="1:24" x14ac:dyDescent="0.35">
      <c r="A921">
        <v>437</v>
      </c>
      <c r="B921">
        <v>49681</v>
      </c>
      <c r="C921">
        <v>44</v>
      </c>
      <c r="D921">
        <v>1</v>
      </c>
      <c r="E921" s="28">
        <v>6.5643835616438357</v>
      </c>
      <c r="F921" s="28"/>
      <c r="G921" s="28"/>
      <c r="H921" s="28"/>
      <c r="I921" s="28"/>
      <c r="J921" s="28"/>
      <c r="L921" s="37">
        <v>437</v>
      </c>
      <c r="M921" s="3">
        <v>66</v>
      </c>
      <c r="N921" s="3">
        <v>411</v>
      </c>
      <c r="O921" s="3">
        <v>0</v>
      </c>
      <c r="P921" s="3">
        <v>26</v>
      </c>
      <c r="Q921" s="3">
        <v>0</v>
      </c>
      <c r="R921" s="3">
        <v>0</v>
      </c>
      <c r="S921" s="3">
        <v>21</v>
      </c>
      <c r="T921" s="3">
        <v>6</v>
      </c>
      <c r="U921" s="3">
        <v>7</v>
      </c>
      <c r="V921" s="3">
        <v>1</v>
      </c>
      <c r="W921" s="3">
        <v>7</v>
      </c>
      <c r="X921" s="3">
        <v>7</v>
      </c>
    </row>
    <row r="922" spans="1:24" x14ac:dyDescent="0.35">
      <c r="A922">
        <v>436</v>
      </c>
      <c r="B922">
        <v>64014</v>
      </c>
      <c r="C922">
        <v>74</v>
      </c>
      <c r="D922">
        <v>1</v>
      </c>
      <c r="E922" s="28">
        <v>5.9671232876712326</v>
      </c>
      <c r="F922" s="28"/>
      <c r="G922" s="28"/>
      <c r="H922" s="28"/>
      <c r="I922" s="28"/>
      <c r="J922" s="28"/>
      <c r="L922" s="38">
        <v>436</v>
      </c>
      <c r="M922" s="2">
        <v>56</v>
      </c>
      <c r="N922" s="2">
        <v>406</v>
      </c>
      <c r="O922" s="2">
        <v>0</v>
      </c>
      <c r="P922" s="2">
        <v>30</v>
      </c>
      <c r="Q922" s="2">
        <v>0</v>
      </c>
      <c r="R922" s="2">
        <v>0</v>
      </c>
      <c r="S922" s="2">
        <v>8</v>
      </c>
      <c r="T922" s="2">
        <v>7</v>
      </c>
      <c r="U922" s="2">
        <v>8</v>
      </c>
      <c r="V922" s="2">
        <v>2</v>
      </c>
      <c r="W922" s="2">
        <v>5</v>
      </c>
      <c r="X922" s="2">
        <v>7</v>
      </c>
    </row>
    <row r="923" spans="1:24" x14ac:dyDescent="0.35">
      <c r="A923">
        <v>435</v>
      </c>
      <c r="B923">
        <v>50664</v>
      </c>
      <c r="C923">
        <v>61</v>
      </c>
      <c r="D923">
        <v>1</v>
      </c>
      <c r="E923" s="28">
        <v>7.3643835616438356</v>
      </c>
      <c r="F923" s="28"/>
      <c r="G923" s="28"/>
      <c r="H923" s="28"/>
      <c r="I923" s="28"/>
      <c r="J923" s="28"/>
      <c r="L923" s="37">
        <v>435</v>
      </c>
      <c r="M923" s="3">
        <v>64</v>
      </c>
      <c r="N923" s="3">
        <v>313</v>
      </c>
      <c r="O923" s="3">
        <v>8</v>
      </c>
      <c r="P923" s="3">
        <v>104</v>
      </c>
      <c r="Q923" s="3">
        <v>6</v>
      </c>
      <c r="R923" s="3">
        <v>4</v>
      </c>
      <c r="S923" s="3">
        <v>126</v>
      </c>
      <c r="T923" s="3">
        <v>9</v>
      </c>
      <c r="U923" s="3">
        <v>8</v>
      </c>
      <c r="V923" s="3">
        <v>1</v>
      </c>
      <c r="W923" s="3">
        <v>6</v>
      </c>
      <c r="X923" s="3">
        <v>9</v>
      </c>
    </row>
    <row r="924" spans="1:24" x14ac:dyDescent="0.35">
      <c r="A924">
        <v>433</v>
      </c>
      <c r="B924">
        <v>51569</v>
      </c>
      <c r="C924">
        <v>71</v>
      </c>
      <c r="D924">
        <v>1</v>
      </c>
      <c r="E924" s="28">
        <v>7.2904109589041095</v>
      </c>
      <c r="F924" s="28"/>
      <c r="G924" s="28"/>
      <c r="H924" s="28"/>
      <c r="I924" s="28"/>
      <c r="J924" s="28"/>
      <c r="L924" s="38">
        <v>433</v>
      </c>
      <c r="M924" s="2">
        <v>39</v>
      </c>
      <c r="N924" s="2">
        <v>380</v>
      </c>
      <c r="O924" s="2">
        <v>0</v>
      </c>
      <c r="P924" s="2">
        <v>47</v>
      </c>
      <c r="Q924" s="2">
        <v>6</v>
      </c>
      <c r="R924" s="2">
        <v>0</v>
      </c>
      <c r="S924" s="2">
        <v>34</v>
      </c>
      <c r="T924" s="2">
        <v>4</v>
      </c>
      <c r="U924" s="2">
        <v>7</v>
      </c>
      <c r="V924" s="2">
        <v>1</v>
      </c>
      <c r="W924" s="2">
        <v>7</v>
      </c>
      <c r="X924" s="2">
        <v>8</v>
      </c>
    </row>
    <row r="925" spans="1:24" x14ac:dyDescent="0.35">
      <c r="A925">
        <v>433</v>
      </c>
      <c r="B925">
        <v>49094</v>
      </c>
      <c r="C925">
        <v>47</v>
      </c>
      <c r="D925">
        <v>1</v>
      </c>
      <c r="E925" s="28">
        <v>7.6849315068493151</v>
      </c>
      <c r="F925" s="28"/>
      <c r="G925" s="28"/>
      <c r="H925" s="28"/>
      <c r="I925" s="28"/>
      <c r="J925" s="28"/>
      <c r="L925" s="37">
        <v>433</v>
      </c>
      <c r="M925" s="3">
        <v>6</v>
      </c>
      <c r="N925" s="3">
        <v>376</v>
      </c>
      <c r="O925" s="3">
        <v>0</v>
      </c>
      <c r="P925" s="3">
        <v>38</v>
      </c>
      <c r="Q925" s="3">
        <v>11</v>
      </c>
      <c r="R925" s="3">
        <v>8</v>
      </c>
      <c r="S925" s="3">
        <v>69</v>
      </c>
      <c r="T925" s="3">
        <v>5</v>
      </c>
      <c r="U925" s="3">
        <v>6</v>
      </c>
      <c r="V925" s="3">
        <v>3</v>
      </c>
      <c r="W925" s="3">
        <v>6</v>
      </c>
      <c r="X925" s="3">
        <v>6</v>
      </c>
    </row>
    <row r="926" spans="1:24" x14ac:dyDescent="0.35">
      <c r="A926">
        <v>432</v>
      </c>
      <c r="B926">
        <v>65370</v>
      </c>
      <c r="C926">
        <v>36</v>
      </c>
      <c r="D926">
        <v>0</v>
      </c>
      <c r="E926" s="28">
        <v>6.8246575342465752</v>
      </c>
      <c r="F926" s="28"/>
      <c r="G926" s="28"/>
      <c r="H926" s="28"/>
      <c r="I926" s="28"/>
      <c r="J926" s="28"/>
      <c r="L926" s="38">
        <v>432</v>
      </c>
      <c r="M926" s="2">
        <v>1</v>
      </c>
      <c r="N926" s="2">
        <v>71</v>
      </c>
      <c r="O926" s="2">
        <v>22</v>
      </c>
      <c r="P926" s="2">
        <v>112</v>
      </c>
      <c r="Q926" s="2">
        <v>138</v>
      </c>
      <c r="R926" s="2">
        <v>89</v>
      </c>
      <c r="S926" s="2">
        <v>29</v>
      </c>
      <c r="T926" s="2">
        <v>1</v>
      </c>
      <c r="U926" s="2">
        <v>2</v>
      </c>
      <c r="V926" s="2">
        <v>3</v>
      </c>
      <c r="W926" s="2">
        <v>13</v>
      </c>
      <c r="X926" s="2">
        <v>1</v>
      </c>
    </row>
    <row r="927" spans="1:24" x14ac:dyDescent="0.35">
      <c r="A927">
        <v>432</v>
      </c>
      <c r="B927">
        <v>55801</v>
      </c>
      <c r="C927">
        <v>45</v>
      </c>
      <c r="D927">
        <v>1</v>
      </c>
      <c r="E927" s="28">
        <v>6.6821917808219178</v>
      </c>
      <c r="F927" s="28"/>
      <c r="G927" s="28"/>
      <c r="H927" s="28"/>
      <c r="I927" s="28"/>
      <c r="J927" s="28"/>
      <c r="L927" s="37">
        <v>432</v>
      </c>
      <c r="M927" s="3">
        <v>35</v>
      </c>
      <c r="N927" s="3">
        <v>367</v>
      </c>
      <c r="O927" s="3">
        <v>4</v>
      </c>
      <c r="P927" s="3">
        <v>51</v>
      </c>
      <c r="Q927" s="3">
        <v>6</v>
      </c>
      <c r="R927" s="3">
        <v>4</v>
      </c>
      <c r="S927" s="3">
        <v>95</v>
      </c>
      <c r="T927" s="3">
        <v>6</v>
      </c>
      <c r="U927" s="3">
        <v>7</v>
      </c>
      <c r="V927" s="3">
        <v>2</v>
      </c>
      <c r="W927" s="3">
        <v>6</v>
      </c>
      <c r="X927" s="3">
        <v>7</v>
      </c>
    </row>
    <row r="928" spans="1:24" x14ac:dyDescent="0.35">
      <c r="A928">
        <v>429</v>
      </c>
      <c r="B928">
        <v>51479</v>
      </c>
      <c r="C928">
        <v>53</v>
      </c>
      <c r="D928">
        <v>1</v>
      </c>
      <c r="E928" s="28">
        <v>7.4164383561643836</v>
      </c>
      <c r="F928" s="28"/>
      <c r="G928" s="28"/>
      <c r="H928" s="28"/>
      <c r="I928" s="28"/>
      <c r="J928" s="28"/>
      <c r="L928" s="38">
        <v>429</v>
      </c>
      <c r="M928" s="2">
        <v>67</v>
      </c>
      <c r="N928" s="2">
        <v>247</v>
      </c>
      <c r="O928" s="2">
        <v>8</v>
      </c>
      <c r="P928" s="2">
        <v>160</v>
      </c>
      <c r="Q928" s="2">
        <v>6</v>
      </c>
      <c r="R928" s="2">
        <v>8</v>
      </c>
      <c r="S928" s="2">
        <v>65</v>
      </c>
      <c r="T928" s="2">
        <v>7</v>
      </c>
      <c r="U928" s="2">
        <v>6</v>
      </c>
      <c r="V928" s="2">
        <v>3</v>
      </c>
      <c r="W928" s="2">
        <v>6</v>
      </c>
      <c r="X928" s="2">
        <v>7</v>
      </c>
    </row>
    <row r="929" spans="1:24" x14ac:dyDescent="0.35">
      <c r="A929">
        <v>429</v>
      </c>
      <c r="B929">
        <v>46374</v>
      </c>
      <c r="C929">
        <v>46</v>
      </c>
      <c r="D929">
        <v>1</v>
      </c>
      <c r="E929" s="28">
        <v>6.2</v>
      </c>
      <c r="F929" s="28"/>
      <c r="G929" s="28"/>
      <c r="H929" s="28"/>
      <c r="I929" s="28"/>
      <c r="J929" s="28"/>
      <c r="L929" s="37">
        <v>429</v>
      </c>
      <c r="M929" s="3">
        <v>1</v>
      </c>
      <c r="N929" s="3">
        <v>408</v>
      </c>
      <c r="O929" s="3">
        <v>0</v>
      </c>
      <c r="P929" s="3">
        <v>21</v>
      </c>
      <c r="Q929" s="3">
        <v>0</v>
      </c>
      <c r="R929" s="3">
        <v>0</v>
      </c>
      <c r="S929" s="3">
        <v>17</v>
      </c>
      <c r="T929" s="3">
        <v>3</v>
      </c>
      <c r="U929" s="3">
        <v>7</v>
      </c>
      <c r="V929" s="3">
        <v>1</v>
      </c>
      <c r="W929" s="3">
        <v>7</v>
      </c>
      <c r="X929" s="3">
        <v>8</v>
      </c>
    </row>
    <row r="930" spans="1:24" x14ac:dyDescent="0.35">
      <c r="A930">
        <v>422</v>
      </c>
      <c r="B930">
        <v>41039</v>
      </c>
      <c r="C930">
        <v>38</v>
      </c>
      <c r="D930">
        <v>0</v>
      </c>
      <c r="E930" s="28">
        <v>6.8438356164383558</v>
      </c>
      <c r="F930" s="28"/>
      <c r="G930" s="28"/>
      <c r="H930" s="28"/>
      <c r="I930" s="28"/>
      <c r="J930" s="28"/>
      <c r="L930" s="38">
        <v>422</v>
      </c>
      <c r="M930" s="2">
        <v>32</v>
      </c>
      <c r="N930" s="2">
        <v>34</v>
      </c>
      <c r="O930" s="2">
        <v>11</v>
      </c>
      <c r="P930" s="2">
        <v>137</v>
      </c>
      <c r="Q930" s="2">
        <v>179</v>
      </c>
      <c r="R930" s="2">
        <v>61</v>
      </c>
      <c r="S930" s="2">
        <v>45</v>
      </c>
      <c r="T930" s="2">
        <v>1</v>
      </c>
      <c r="U930" s="2">
        <v>8</v>
      </c>
      <c r="V930" s="2">
        <v>1</v>
      </c>
      <c r="W930" s="2">
        <v>5</v>
      </c>
      <c r="X930" s="2">
        <v>8</v>
      </c>
    </row>
    <row r="931" spans="1:24" x14ac:dyDescent="0.35">
      <c r="A931">
        <v>408</v>
      </c>
      <c r="B931">
        <v>70829</v>
      </c>
      <c r="C931">
        <v>40</v>
      </c>
      <c r="D931">
        <v>1</v>
      </c>
      <c r="E931" s="28">
        <v>6.4904109589041097</v>
      </c>
      <c r="F931" s="28"/>
      <c r="G931" s="28"/>
      <c r="H931" s="28"/>
      <c r="I931" s="28"/>
      <c r="J931" s="28"/>
      <c r="L931" s="37">
        <v>408</v>
      </c>
      <c r="M931" s="3">
        <v>87</v>
      </c>
      <c r="N931" s="3">
        <v>141</v>
      </c>
      <c r="O931" s="3">
        <v>70</v>
      </c>
      <c r="P931" s="3">
        <v>106</v>
      </c>
      <c r="Q931" s="3">
        <v>72</v>
      </c>
      <c r="R931" s="3">
        <v>19</v>
      </c>
      <c r="S931" s="3">
        <v>23</v>
      </c>
      <c r="T931" s="3">
        <v>2</v>
      </c>
      <c r="U931" s="3">
        <v>4</v>
      </c>
      <c r="V931" s="3">
        <v>2</v>
      </c>
      <c r="W931" s="3">
        <v>8</v>
      </c>
      <c r="X931" s="3">
        <v>3</v>
      </c>
    </row>
    <row r="932" spans="1:24" x14ac:dyDescent="0.35">
      <c r="A932">
        <v>407</v>
      </c>
      <c r="B932">
        <v>50353</v>
      </c>
      <c r="C932">
        <v>43</v>
      </c>
      <c r="D932">
        <v>0</v>
      </c>
      <c r="E932" s="28">
        <v>5.9726027397260273</v>
      </c>
      <c r="F932" s="28"/>
      <c r="G932" s="28"/>
      <c r="H932" s="28"/>
      <c r="I932" s="28"/>
      <c r="J932" s="28"/>
      <c r="L932" s="38">
        <v>407</v>
      </c>
      <c r="M932" s="2">
        <v>72</v>
      </c>
      <c r="N932" s="2">
        <v>141</v>
      </c>
      <c r="O932" s="2">
        <v>15</v>
      </c>
      <c r="P932" s="2">
        <v>153</v>
      </c>
      <c r="Q932" s="2">
        <v>67</v>
      </c>
      <c r="R932" s="2">
        <v>31</v>
      </c>
      <c r="S932" s="2">
        <v>35</v>
      </c>
      <c r="T932" s="2">
        <v>1</v>
      </c>
      <c r="U932" s="2">
        <v>4</v>
      </c>
      <c r="V932" s="2">
        <v>4</v>
      </c>
      <c r="W932" s="2">
        <v>6</v>
      </c>
      <c r="X932" s="2">
        <v>3</v>
      </c>
    </row>
    <row r="933" spans="1:24" x14ac:dyDescent="0.35">
      <c r="A933">
        <v>407</v>
      </c>
      <c r="B933">
        <v>58293</v>
      </c>
      <c r="C933">
        <v>39</v>
      </c>
      <c r="D933">
        <v>1</v>
      </c>
      <c r="E933" s="28">
        <v>6.3561643835616435</v>
      </c>
      <c r="F933" s="28"/>
      <c r="G933" s="28"/>
      <c r="H933" s="28"/>
      <c r="I933" s="28"/>
      <c r="J933" s="28"/>
      <c r="L933" s="37">
        <v>407</v>
      </c>
      <c r="M933" s="3">
        <v>94</v>
      </c>
      <c r="N933" s="3">
        <v>173</v>
      </c>
      <c r="O933" s="3">
        <v>43</v>
      </c>
      <c r="P933" s="3">
        <v>118</v>
      </c>
      <c r="Q933" s="3">
        <v>46</v>
      </c>
      <c r="R933" s="3">
        <v>27</v>
      </c>
      <c r="S933" s="3">
        <v>15</v>
      </c>
      <c r="T933" s="3">
        <v>5</v>
      </c>
      <c r="U933" s="3">
        <v>5</v>
      </c>
      <c r="V933" s="3">
        <v>3</v>
      </c>
      <c r="W933" s="3">
        <v>6</v>
      </c>
      <c r="X933" s="3">
        <v>5</v>
      </c>
    </row>
    <row r="934" spans="1:24" x14ac:dyDescent="0.35">
      <c r="A934">
        <v>405</v>
      </c>
      <c r="B934">
        <v>62998</v>
      </c>
      <c r="C934">
        <v>68</v>
      </c>
      <c r="D934">
        <v>1</v>
      </c>
      <c r="E934" s="28">
        <v>6.6602739726027398</v>
      </c>
      <c r="F934" s="28"/>
      <c r="G934" s="28"/>
      <c r="H934" s="28"/>
      <c r="I934" s="28"/>
      <c r="J934" s="28"/>
      <c r="L934" s="38">
        <v>405</v>
      </c>
      <c r="M934" s="2">
        <v>10</v>
      </c>
      <c r="N934" s="2">
        <v>120</v>
      </c>
      <c r="O934" s="2">
        <v>58</v>
      </c>
      <c r="P934" s="2">
        <v>73</v>
      </c>
      <c r="Q934" s="2">
        <v>65</v>
      </c>
      <c r="R934" s="2">
        <v>89</v>
      </c>
      <c r="S934" s="2">
        <v>58</v>
      </c>
      <c r="T934" s="2">
        <v>5</v>
      </c>
      <c r="U934" s="2">
        <v>5</v>
      </c>
      <c r="V934" s="2">
        <v>4</v>
      </c>
      <c r="W934" s="2">
        <v>5</v>
      </c>
      <c r="X934" s="2">
        <v>5</v>
      </c>
    </row>
    <row r="935" spans="1:24" x14ac:dyDescent="0.35">
      <c r="A935">
        <v>403</v>
      </c>
      <c r="B935">
        <v>59481</v>
      </c>
      <c r="C935">
        <v>45</v>
      </c>
      <c r="D935">
        <v>1</v>
      </c>
      <c r="E935" s="28">
        <v>6.5972602739726032</v>
      </c>
      <c r="F935" s="28"/>
      <c r="G935" s="28"/>
      <c r="H935" s="28"/>
      <c r="I935" s="28"/>
      <c r="J935" s="28"/>
      <c r="L935" s="37">
        <v>403</v>
      </c>
      <c r="M935" s="3">
        <v>47</v>
      </c>
      <c r="N935" s="3">
        <v>178</v>
      </c>
      <c r="O935" s="3">
        <v>3</v>
      </c>
      <c r="P935" s="3">
        <v>85</v>
      </c>
      <c r="Q935" s="3">
        <v>71</v>
      </c>
      <c r="R935" s="3">
        <v>66</v>
      </c>
      <c r="S935" s="3">
        <v>58</v>
      </c>
      <c r="T935" s="3">
        <v>2</v>
      </c>
      <c r="U935" s="3">
        <v>3</v>
      </c>
      <c r="V935" s="3">
        <v>3</v>
      </c>
      <c r="W935" s="3">
        <v>8</v>
      </c>
      <c r="X935" s="3">
        <v>2</v>
      </c>
    </row>
    <row r="936" spans="1:24" x14ac:dyDescent="0.35">
      <c r="A936">
        <v>399</v>
      </c>
      <c r="B936">
        <v>50150</v>
      </c>
      <c r="C936">
        <v>37</v>
      </c>
      <c r="D936">
        <v>0</v>
      </c>
      <c r="E936" s="28">
        <v>6.9397260273972599</v>
      </c>
      <c r="F936" s="28"/>
      <c r="G936" s="28"/>
      <c r="H936" s="28"/>
      <c r="I936" s="28"/>
      <c r="J936" s="28"/>
      <c r="L936" s="38">
        <v>399</v>
      </c>
      <c r="M936" s="2">
        <v>32</v>
      </c>
      <c r="N936" s="2">
        <v>135</v>
      </c>
      <c r="O936" s="2">
        <v>46</v>
      </c>
      <c r="P936" s="2">
        <v>92</v>
      </c>
      <c r="Q936" s="2">
        <v>65</v>
      </c>
      <c r="R936" s="2">
        <v>61</v>
      </c>
      <c r="S936" s="2">
        <v>11</v>
      </c>
      <c r="T936" s="2">
        <v>2</v>
      </c>
      <c r="U936" s="2">
        <v>5</v>
      </c>
      <c r="V936" s="2">
        <v>2</v>
      </c>
      <c r="W936" s="2">
        <v>7</v>
      </c>
      <c r="X936" s="2">
        <v>5</v>
      </c>
    </row>
    <row r="937" spans="1:24" x14ac:dyDescent="0.35">
      <c r="A937">
        <v>398</v>
      </c>
      <c r="B937">
        <v>37087</v>
      </c>
      <c r="C937">
        <v>46</v>
      </c>
      <c r="D937">
        <v>1</v>
      </c>
      <c r="E937" s="28">
        <v>6.7972602739726025</v>
      </c>
      <c r="F937" s="28"/>
      <c r="G937" s="28"/>
      <c r="H937" s="28"/>
      <c r="I937" s="28"/>
      <c r="J937" s="28"/>
      <c r="L937" s="37">
        <v>398</v>
      </c>
      <c r="M937" s="3">
        <v>50</v>
      </c>
      <c r="N937" s="3">
        <v>194</v>
      </c>
      <c r="O937" s="3">
        <v>55</v>
      </c>
      <c r="P937" s="3">
        <v>134</v>
      </c>
      <c r="Q937" s="3">
        <v>15</v>
      </c>
      <c r="R937" s="3">
        <v>0</v>
      </c>
      <c r="S937" s="3">
        <v>3</v>
      </c>
      <c r="T937" s="3">
        <v>3</v>
      </c>
      <c r="U937" s="3">
        <v>4</v>
      </c>
      <c r="V937" s="3">
        <v>2</v>
      </c>
      <c r="W937" s="3">
        <v>8</v>
      </c>
      <c r="X937" s="3">
        <v>6</v>
      </c>
    </row>
    <row r="938" spans="1:24" x14ac:dyDescent="0.35">
      <c r="A938">
        <v>397</v>
      </c>
      <c r="B938">
        <v>53034</v>
      </c>
      <c r="C938">
        <v>46</v>
      </c>
      <c r="D938">
        <v>1</v>
      </c>
      <c r="E938" s="28">
        <v>6.9972602739726026</v>
      </c>
      <c r="F938" s="28"/>
      <c r="G938" s="28"/>
      <c r="H938" s="28"/>
      <c r="I938" s="28"/>
      <c r="J938" s="28"/>
      <c r="L938" s="38">
        <v>397</v>
      </c>
      <c r="M938" s="2">
        <v>30</v>
      </c>
      <c r="N938" s="2">
        <v>160</v>
      </c>
      <c r="O938" s="2">
        <v>15</v>
      </c>
      <c r="P938" s="2">
        <v>196</v>
      </c>
      <c r="Q938" s="2">
        <v>15</v>
      </c>
      <c r="R938" s="2">
        <v>11</v>
      </c>
      <c r="S938" s="2">
        <v>50</v>
      </c>
      <c r="T938" s="2">
        <v>8</v>
      </c>
      <c r="U938" s="2">
        <v>6</v>
      </c>
      <c r="V938" s="2">
        <v>1</v>
      </c>
      <c r="W938" s="2">
        <v>7</v>
      </c>
      <c r="X938" s="2">
        <v>8</v>
      </c>
    </row>
    <row r="939" spans="1:24" x14ac:dyDescent="0.35">
      <c r="A939">
        <v>397</v>
      </c>
      <c r="B939">
        <v>61825</v>
      </c>
      <c r="C939">
        <v>41</v>
      </c>
      <c r="D939">
        <v>1</v>
      </c>
      <c r="E939" s="28">
        <v>6.8082191780821919</v>
      </c>
      <c r="F939" s="28"/>
      <c r="G939" s="28"/>
      <c r="H939" s="28"/>
      <c r="I939" s="28"/>
      <c r="J939" s="28"/>
      <c r="L939" s="37">
        <v>397</v>
      </c>
      <c r="M939" s="3">
        <v>56</v>
      </c>
      <c r="N939" s="3">
        <v>162</v>
      </c>
      <c r="O939" s="3">
        <v>50</v>
      </c>
      <c r="P939" s="3">
        <v>100</v>
      </c>
      <c r="Q939" s="3">
        <v>55</v>
      </c>
      <c r="R939" s="3">
        <v>30</v>
      </c>
      <c r="S939" s="3">
        <v>27</v>
      </c>
      <c r="T939" s="3">
        <v>1</v>
      </c>
      <c r="U939" s="3">
        <v>4</v>
      </c>
      <c r="V939" s="3">
        <v>2</v>
      </c>
      <c r="W939" s="3">
        <v>8</v>
      </c>
      <c r="X939" s="3">
        <v>4</v>
      </c>
    </row>
    <row r="940" spans="1:24" x14ac:dyDescent="0.35">
      <c r="A940">
        <v>395</v>
      </c>
      <c r="B940">
        <v>59412</v>
      </c>
      <c r="C940">
        <v>69</v>
      </c>
      <c r="D940">
        <v>0</v>
      </c>
      <c r="E940" s="28">
        <v>6.1095890410958908</v>
      </c>
      <c r="F940" s="28"/>
      <c r="G940" s="28"/>
      <c r="H940" s="28"/>
      <c r="I940" s="28"/>
      <c r="J940" s="28"/>
      <c r="L940" s="38">
        <v>395</v>
      </c>
      <c r="M940" s="2">
        <v>56</v>
      </c>
      <c r="N940" s="2">
        <v>90</v>
      </c>
      <c r="O940" s="2">
        <v>67</v>
      </c>
      <c r="P940" s="2">
        <v>165</v>
      </c>
      <c r="Q940" s="2">
        <v>30</v>
      </c>
      <c r="R940" s="2">
        <v>43</v>
      </c>
      <c r="S940" s="2">
        <v>11</v>
      </c>
      <c r="T940" s="2">
        <v>1</v>
      </c>
      <c r="U940" s="2">
        <v>4</v>
      </c>
      <c r="V940" s="2">
        <v>2</v>
      </c>
      <c r="W940" s="2">
        <v>8</v>
      </c>
      <c r="X940" s="2">
        <v>3</v>
      </c>
    </row>
    <row r="941" spans="1:24" x14ac:dyDescent="0.35">
      <c r="A941">
        <v>395</v>
      </c>
      <c r="B941">
        <v>65640</v>
      </c>
      <c r="C941">
        <v>46</v>
      </c>
      <c r="D941">
        <v>1</v>
      </c>
      <c r="E941" s="28">
        <v>6.2438356164383562</v>
      </c>
      <c r="F941" s="28"/>
      <c r="G941" s="28"/>
      <c r="H941" s="28"/>
      <c r="I941" s="28"/>
      <c r="J941" s="28"/>
      <c r="L941" s="37">
        <v>395</v>
      </c>
      <c r="M941" s="3">
        <v>74</v>
      </c>
      <c r="N941" s="3">
        <v>204</v>
      </c>
      <c r="O941" s="3">
        <v>7</v>
      </c>
      <c r="P941" s="3">
        <v>149</v>
      </c>
      <c r="Q941" s="3">
        <v>20</v>
      </c>
      <c r="R941" s="3">
        <v>15</v>
      </c>
      <c r="S941" s="3">
        <v>66</v>
      </c>
      <c r="T941" s="3">
        <v>1</v>
      </c>
      <c r="U941" s="3">
        <v>5</v>
      </c>
      <c r="V941" s="3">
        <v>1</v>
      </c>
      <c r="W941" s="3">
        <v>8</v>
      </c>
      <c r="X941" s="3">
        <v>2</v>
      </c>
    </row>
    <row r="942" spans="1:24" x14ac:dyDescent="0.35">
      <c r="A942">
        <v>395</v>
      </c>
      <c r="B942">
        <v>47320</v>
      </c>
      <c r="C942">
        <v>63</v>
      </c>
      <c r="D942">
        <v>1</v>
      </c>
      <c r="E942" s="28">
        <v>6.8246575342465752</v>
      </c>
      <c r="F942" s="28"/>
      <c r="G942" s="28"/>
      <c r="H942" s="28"/>
      <c r="I942" s="28"/>
      <c r="J942" s="28"/>
      <c r="L942" s="38">
        <v>395</v>
      </c>
      <c r="M942" s="2">
        <v>10</v>
      </c>
      <c r="N942" s="2">
        <v>200</v>
      </c>
      <c r="O942" s="2">
        <v>19</v>
      </c>
      <c r="P942" s="2">
        <v>111</v>
      </c>
      <c r="Q942" s="2">
        <v>50</v>
      </c>
      <c r="R942" s="2">
        <v>15</v>
      </c>
      <c r="S942" s="2">
        <v>19</v>
      </c>
      <c r="T942" s="2">
        <v>6</v>
      </c>
      <c r="U942" s="2">
        <v>5</v>
      </c>
      <c r="V942" s="2">
        <v>1</v>
      </c>
      <c r="W942" s="2">
        <v>8</v>
      </c>
      <c r="X942" s="2">
        <v>6</v>
      </c>
    </row>
    <row r="943" spans="1:24" x14ac:dyDescent="0.35">
      <c r="A943">
        <v>395</v>
      </c>
      <c r="B943">
        <v>55158</v>
      </c>
      <c r="C943">
        <v>50</v>
      </c>
      <c r="D943">
        <v>1</v>
      </c>
      <c r="E943" s="28">
        <v>7.8301369863013699</v>
      </c>
      <c r="F943" s="28"/>
      <c r="G943" s="28"/>
      <c r="H943" s="28"/>
      <c r="I943" s="28"/>
      <c r="J943" s="28"/>
      <c r="L943" s="37">
        <v>395</v>
      </c>
      <c r="M943" s="3">
        <v>72</v>
      </c>
      <c r="N943" s="3">
        <v>293</v>
      </c>
      <c r="O943" s="3">
        <v>0</v>
      </c>
      <c r="P943" s="3">
        <v>87</v>
      </c>
      <c r="Q943" s="3">
        <v>4</v>
      </c>
      <c r="R943" s="3">
        <v>11</v>
      </c>
      <c r="S943" s="3">
        <v>23</v>
      </c>
      <c r="T943" s="3">
        <v>4</v>
      </c>
      <c r="U943" s="3">
        <v>7</v>
      </c>
      <c r="V943" s="3">
        <v>2</v>
      </c>
      <c r="W943" s="3">
        <v>5</v>
      </c>
      <c r="X943" s="3">
        <v>7</v>
      </c>
    </row>
    <row r="944" spans="1:24" x14ac:dyDescent="0.35">
      <c r="A944">
        <v>395</v>
      </c>
      <c r="B944">
        <v>62972</v>
      </c>
      <c r="C944">
        <v>65</v>
      </c>
      <c r="D944">
        <v>1</v>
      </c>
      <c r="E944" s="28">
        <v>7.8191780821917805</v>
      </c>
      <c r="F944" s="28"/>
      <c r="G944" s="28"/>
      <c r="H944" s="28"/>
      <c r="I944" s="28"/>
      <c r="J944" s="28"/>
      <c r="L944" s="38">
        <v>395</v>
      </c>
      <c r="M944" s="2">
        <v>39</v>
      </c>
      <c r="N944" s="2">
        <v>313</v>
      </c>
      <c r="O944" s="2">
        <v>15</v>
      </c>
      <c r="P944" s="2">
        <v>47</v>
      </c>
      <c r="Q944" s="2">
        <v>20</v>
      </c>
      <c r="R944" s="2">
        <v>0</v>
      </c>
      <c r="S944" s="2">
        <v>192</v>
      </c>
      <c r="T944" s="2">
        <v>2</v>
      </c>
      <c r="U944" s="2">
        <v>7</v>
      </c>
      <c r="V944" s="2">
        <v>4</v>
      </c>
      <c r="W944" s="2">
        <v>3</v>
      </c>
      <c r="X944" s="2">
        <v>6</v>
      </c>
    </row>
    <row r="945" spans="1:24" x14ac:dyDescent="0.35">
      <c r="A945">
        <v>395</v>
      </c>
      <c r="B945">
        <v>62972</v>
      </c>
      <c r="C945">
        <v>65</v>
      </c>
      <c r="D945">
        <v>1</v>
      </c>
      <c r="E945" s="28">
        <v>7.8191780821917805</v>
      </c>
      <c r="F945" s="28"/>
      <c r="G945" s="28"/>
      <c r="H945" s="28"/>
      <c r="I945" s="28"/>
      <c r="J945" s="28"/>
      <c r="L945" s="37">
        <v>395</v>
      </c>
      <c r="M945" s="3">
        <v>39</v>
      </c>
      <c r="N945" s="3">
        <v>313</v>
      </c>
      <c r="O945" s="3">
        <v>15</v>
      </c>
      <c r="P945" s="3">
        <v>47</v>
      </c>
      <c r="Q945" s="3">
        <v>20</v>
      </c>
      <c r="R945" s="3">
        <v>0</v>
      </c>
      <c r="S945" s="3">
        <v>192</v>
      </c>
      <c r="T945" s="3">
        <v>2</v>
      </c>
      <c r="U945" s="3">
        <v>7</v>
      </c>
      <c r="V945" s="3">
        <v>4</v>
      </c>
      <c r="W945" s="3">
        <v>3</v>
      </c>
      <c r="X945" s="3">
        <v>6</v>
      </c>
    </row>
    <row r="946" spans="1:24" x14ac:dyDescent="0.35">
      <c r="A946">
        <v>394</v>
      </c>
      <c r="B946">
        <v>45736</v>
      </c>
      <c r="C946">
        <v>66</v>
      </c>
      <c r="D946">
        <v>1</v>
      </c>
      <c r="E946" s="28">
        <v>6.8465753424657532</v>
      </c>
      <c r="F946" s="28"/>
      <c r="G946" s="28"/>
      <c r="H946" s="28"/>
      <c r="I946" s="28"/>
      <c r="J946" s="28"/>
      <c r="L946" s="38">
        <v>394</v>
      </c>
      <c r="M946" s="2">
        <v>92</v>
      </c>
      <c r="N946" s="2">
        <v>188</v>
      </c>
      <c r="O946" s="2">
        <v>3</v>
      </c>
      <c r="P946" s="2">
        <v>180</v>
      </c>
      <c r="Q946" s="2">
        <v>20</v>
      </c>
      <c r="R946" s="2">
        <v>3</v>
      </c>
      <c r="S946" s="2">
        <v>43</v>
      </c>
      <c r="T946" s="2">
        <v>5</v>
      </c>
      <c r="U946" s="2">
        <v>7</v>
      </c>
      <c r="V946" s="2">
        <v>1</v>
      </c>
      <c r="W946" s="2">
        <v>6</v>
      </c>
      <c r="X946" s="2">
        <v>7</v>
      </c>
    </row>
    <row r="947" spans="1:24" x14ac:dyDescent="0.35">
      <c r="A947">
        <v>394</v>
      </c>
      <c r="B947">
        <v>37070</v>
      </c>
      <c r="C947">
        <v>54</v>
      </c>
      <c r="D947">
        <v>1</v>
      </c>
      <c r="E947" s="28">
        <v>7.1917808219178081</v>
      </c>
      <c r="F947" s="28"/>
      <c r="G947" s="28"/>
      <c r="H947" s="28"/>
      <c r="I947" s="28"/>
      <c r="J947" s="28"/>
      <c r="L947" s="37">
        <v>394</v>
      </c>
      <c r="M947" s="3">
        <v>30</v>
      </c>
      <c r="N947" s="3">
        <v>231</v>
      </c>
      <c r="O947" s="3">
        <v>7</v>
      </c>
      <c r="P947" s="3">
        <v>137</v>
      </c>
      <c r="Q947" s="3">
        <v>4</v>
      </c>
      <c r="R947" s="3">
        <v>15</v>
      </c>
      <c r="S947" s="3">
        <v>39</v>
      </c>
      <c r="T947" s="3">
        <v>9</v>
      </c>
      <c r="U947" s="3">
        <v>5</v>
      </c>
      <c r="V947" s="3">
        <v>1</v>
      </c>
      <c r="W947" s="3">
        <v>8</v>
      </c>
      <c r="X947" s="3">
        <v>7</v>
      </c>
    </row>
    <row r="948" spans="1:24" x14ac:dyDescent="0.35">
      <c r="A948">
        <v>394</v>
      </c>
      <c r="B948">
        <v>62551</v>
      </c>
      <c r="C948">
        <v>67</v>
      </c>
      <c r="D948">
        <v>0</v>
      </c>
      <c r="E948" s="28">
        <v>6.5260273972602736</v>
      </c>
      <c r="F948" s="28"/>
      <c r="G948" s="28"/>
      <c r="H948" s="28"/>
      <c r="I948" s="28"/>
      <c r="J948" s="28"/>
      <c r="L948" s="38">
        <v>394</v>
      </c>
      <c r="M948" s="2">
        <v>27</v>
      </c>
      <c r="N948" s="2">
        <v>125</v>
      </c>
      <c r="O948" s="2">
        <v>16</v>
      </c>
      <c r="P948" s="2">
        <v>98</v>
      </c>
      <c r="Q948" s="2">
        <v>134</v>
      </c>
      <c r="R948" s="2">
        <v>21</v>
      </c>
      <c r="S948" s="2">
        <v>27</v>
      </c>
      <c r="T948" s="2">
        <v>1</v>
      </c>
      <c r="U948" s="2">
        <v>6</v>
      </c>
      <c r="V948" s="2">
        <v>7</v>
      </c>
      <c r="W948" s="2">
        <v>4</v>
      </c>
      <c r="X948" s="2">
        <v>3</v>
      </c>
    </row>
    <row r="949" spans="1:24" x14ac:dyDescent="0.35">
      <c r="A949">
        <v>394</v>
      </c>
      <c r="B949">
        <v>37292</v>
      </c>
      <c r="C949">
        <v>37</v>
      </c>
      <c r="D949">
        <v>1</v>
      </c>
      <c r="E949" s="28">
        <v>7.1123287671232873</v>
      </c>
      <c r="F949" s="28"/>
      <c r="G949" s="28"/>
      <c r="H949" s="28"/>
      <c r="I949" s="28"/>
      <c r="J949" s="28"/>
      <c r="L949" s="37">
        <v>394</v>
      </c>
      <c r="M949" s="3">
        <v>32</v>
      </c>
      <c r="N949" s="3">
        <v>275</v>
      </c>
      <c r="O949" s="3">
        <v>0</v>
      </c>
      <c r="P949" s="3">
        <v>86</v>
      </c>
      <c r="Q949" s="3">
        <v>10</v>
      </c>
      <c r="R949" s="3">
        <v>23</v>
      </c>
      <c r="S949" s="3">
        <v>66</v>
      </c>
      <c r="T949" s="3">
        <v>5</v>
      </c>
      <c r="U949" s="3">
        <v>6</v>
      </c>
      <c r="V949" s="3">
        <v>3</v>
      </c>
      <c r="W949" s="3">
        <v>5</v>
      </c>
      <c r="X949" s="3">
        <v>8</v>
      </c>
    </row>
    <row r="950" spans="1:24" x14ac:dyDescent="0.35">
      <c r="A950">
        <v>394</v>
      </c>
      <c r="B950">
        <v>51369</v>
      </c>
      <c r="C950">
        <v>44</v>
      </c>
      <c r="D950">
        <v>1</v>
      </c>
      <c r="E950" s="28">
        <v>7.5917808219178085</v>
      </c>
      <c r="F950" s="28"/>
      <c r="G950" s="28"/>
      <c r="H950" s="28"/>
      <c r="I950" s="28"/>
      <c r="J950" s="28"/>
      <c r="L950" s="38">
        <v>394</v>
      </c>
      <c r="M950" s="2">
        <v>84</v>
      </c>
      <c r="N950" s="2">
        <v>297</v>
      </c>
      <c r="O950" s="2">
        <v>7</v>
      </c>
      <c r="P950" s="2">
        <v>79</v>
      </c>
      <c r="Q950" s="2">
        <v>0</v>
      </c>
      <c r="R950" s="2">
        <v>11</v>
      </c>
      <c r="S950" s="2">
        <v>182</v>
      </c>
      <c r="T950" s="2">
        <v>2</v>
      </c>
      <c r="U950" s="2">
        <v>8</v>
      </c>
      <c r="V950" s="2">
        <v>2</v>
      </c>
      <c r="W950" s="2">
        <v>4</v>
      </c>
      <c r="X950" s="2">
        <v>8</v>
      </c>
    </row>
    <row r="951" spans="1:24" x14ac:dyDescent="0.35">
      <c r="A951">
        <v>393</v>
      </c>
      <c r="B951">
        <v>41443</v>
      </c>
      <c r="C951">
        <v>43</v>
      </c>
      <c r="D951">
        <v>1</v>
      </c>
      <c r="E951" s="28">
        <v>6.1589041095890407</v>
      </c>
      <c r="F951" s="28"/>
      <c r="G951" s="28"/>
      <c r="H951" s="28"/>
      <c r="I951" s="28"/>
      <c r="J951" s="28"/>
      <c r="L951" s="37">
        <v>393</v>
      </c>
      <c r="M951" s="3">
        <v>79</v>
      </c>
      <c r="N951" s="3">
        <v>171</v>
      </c>
      <c r="O951" s="3">
        <v>7</v>
      </c>
      <c r="P951" s="3">
        <v>171</v>
      </c>
      <c r="Q951" s="3">
        <v>25</v>
      </c>
      <c r="R951" s="3">
        <v>19</v>
      </c>
      <c r="S951" s="3">
        <v>89</v>
      </c>
      <c r="T951" s="3">
        <v>6</v>
      </c>
      <c r="U951" s="3">
        <v>8</v>
      </c>
      <c r="V951" s="3">
        <v>1</v>
      </c>
      <c r="W951" s="3">
        <v>5</v>
      </c>
      <c r="X951" s="3">
        <v>8</v>
      </c>
    </row>
    <row r="952" spans="1:24" x14ac:dyDescent="0.35">
      <c r="A952">
        <v>393</v>
      </c>
      <c r="B952">
        <v>55707</v>
      </c>
      <c r="C952">
        <v>67</v>
      </c>
      <c r="D952">
        <v>1</v>
      </c>
      <c r="E952" s="28">
        <v>6.4328767123287669</v>
      </c>
      <c r="F952" s="28"/>
      <c r="G952" s="28"/>
      <c r="H952" s="28"/>
      <c r="I952" s="28"/>
      <c r="J952" s="28"/>
      <c r="L952" s="38">
        <v>393</v>
      </c>
      <c r="M952" s="2">
        <v>91</v>
      </c>
      <c r="N952" s="2">
        <v>208</v>
      </c>
      <c r="O952" s="2">
        <v>7</v>
      </c>
      <c r="P952" s="2">
        <v>82</v>
      </c>
      <c r="Q952" s="2">
        <v>30</v>
      </c>
      <c r="R952" s="2">
        <v>66</v>
      </c>
      <c r="S952" s="2">
        <v>35</v>
      </c>
      <c r="T952" s="2">
        <v>2</v>
      </c>
      <c r="U952" s="2">
        <v>3</v>
      </c>
      <c r="V952" s="2">
        <v>2</v>
      </c>
      <c r="W952" s="2">
        <v>9</v>
      </c>
      <c r="X952" s="2">
        <v>3</v>
      </c>
    </row>
    <row r="953" spans="1:24" x14ac:dyDescent="0.35">
      <c r="A953">
        <v>392</v>
      </c>
      <c r="B953">
        <v>58116</v>
      </c>
      <c r="C953">
        <v>64</v>
      </c>
      <c r="D953">
        <v>1</v>
      </c>
      <c r="E953" s="28">
        <v>6.1260273972602741</v>
      </c>
      <c r="F953" s="28"/>
      <c r="G953" s="28"/>
      <c r="H953" s="28"/>
      <c r="I953" s="28"/>
      <c r="J953" s="28"/>
      <c r="L953" s="37">
        <v>392</v>
      </c>
      <c r="M953" s="3">
        <v>38</v>
      </c>
      <c r="N953" s="3">
        <v>228</v>
      </c>
      <c r="O953" s="3">
        <v>19</v>
      </c>
      <c r="P953" s="3">
        <v>130</v>
      </c>
      <c r="Q953" s="3">
        <v>4</v>
      </c>
      <c r="R953" s="3">
        <v>11</v>
      </c>
      <c r="S953" s="3">
        <v>51</v>
      </c>
      <c r="T953" s="3">
        <v>2</v>
      </c>
      <c r="U953" s="3">
        <v>3</v>
      </c>
      <c r="V953" s="3">
        <v>3</v>
      </c>
      <c r="W953" s="3">
        <v>8</v>
      </c>
      <c r="X953" s="3">
        <v>2</v>
      </c>
    </row>
    <row r="954" spans="1:24" x14ac:dyDescent="0.35">
      <c r="A954">
        <v>392</v>
      </c>
      <c r="B954">
        <v>62058</v>
      </c>
      <c r="C954">
        <v>64</v>
      </c>
      <c r="D954">
        <v>1</v>
      </c>
      <c r="E954" s="28">
        <v>7.0082191780821921</v>
      </c>
      <c r="F954" s="28"/>
      <c r="G954" s="28"/>
      <c r="H954" s="28"/>
      <c r="I954" s="28"/>
      <c r="J954" s="28"/>
      <c r="L954" s="38">
        <v>392</v>
      </c>
      <c r="M954" s="2">
        <v>52</v>
      </c>
      <c r="N954" s="2">
        <v>301</v>
      </c>
      <c r="O954" s="2">
        <v>7</v>
      </c>
      <c r="P954" s="2">
        <v>74</v>
      </c>
      <c r="Q954" s="2">
        <v>10</v>
      </c>
      <c r="R954" s="2">
        <v>0</v>
      </c>
      <c r="S954" s="2">
        <v>58</v>
      </c>
      <c r="T954" s="2">
        <v>4</v>
      </c>
      <c r="U954" s="2">
        <v>6</v>
      </c>
      <c r="V954" s="2">
        <v>1</v>
      </c>
      <c r="W954" s="2">
        <v>7</v>
      </c>
      <c r="X954" s="2">
        <v>6</v>
      </c>
    </row>
    <row r="955" spans="1:24" x14ac:dyDescent="0.35">
      <c r="A955">
        <v>392</v>
      </c>
      <c r="B955">
        <v>57744</v>
      </c>
      <c r="C955">
        <v>66</v>
      </c>
      <c r="D955">
        <v>1</v>
      </c>
      <c r="E955" s="28">
        <v>6.5424657534246577</v>
      </c>
      <c r="F955" s="28"/>
      <c r="G955" s="28"/>
      <c r="H955" s="28"/>
      <c r="I955" s="28"/>
      <c r="J955" s="28"/>
      <c r="L955" s="37">
        <v>392</v>
      </c>
      <c r="M955" s="3">
        <v>91</v>
      </c>
      <c r="N955" s="3">
        <v>350</v>
      </c>
      <c r="O955" s="3">
        <v>3</v>
      </c>
      <c r="P955" s="3">
        <v>39</v>
      </c>
      <c r="Q955" s="3">
        <v>0</v>
      </c>
      <c r="R955" s="3">
        <v>0</v>
      </c>
      <c r="S955" s="3">
        <v>19</v>
      </c>
      <c r="T955" s="3">
        <v>2</v>
      </c>
      <c r="U955" s="3">
        <v>9</v>
      </c>
      <c r="V955" s="3">
        <v>1</v>
      </c>
      <c r="W955" s="3">
        <v>4</v>
      </c>
      <c r="X955" s="3">
        <v>8</v>
      </c>
    </row>
    <row r="956" spans="1:24" x14ac:dyDescent="0.35">
      <c r="A956">
        <v>391</v>
      </c>
      <c r="B956">
        <v>66726</v>
      </c>
      <c r="C956">
        <v>63</v>
      </c>
      <c r="D956">
        <v>1</v>
      </c>
      <c r="E956" s="28">
        <v>6.375342465753425</v>
      </c>
      <c r="F956" s="28"/>
      <c r="G956" s="28"/>
      <c r="H956" s="28"/>
      <c r="I956" s="28"/>
      <c r="J956" s="28"/>
      <c r="L956" s="38">
        <v>391</v>
      </c>
      <c r="M956" s="2">
        <v>61</v>
      </c>
      <c r="N956" s="2">
        <v>349</v>
      </c>
      <c r="O956" s="2">
        <v>7</v>
      </c>
      <c r="P956" s="2">
        <v>35</v>
      </c>
      <c r="Q956" s="2">
        <v>0</v>
      </c>
      <c r="R956" s="2">
        <v>0</v>
      </c>
      <c r="S956" s="2">
        <v>47</v>
      </c>
      <c r="T956" s="2">
        <v>3</v>
      </c>
      <c r="U956" s="2">
        <v>8</v>
      </c>
      <c r="V956" s="2">
        <v>2</v>
      </c>
      <c r="W956" s="2">
        <v>4</v>
      </c>
      <c r="X956" s="2">
        <v>7</v>
      </c>
    </row>
    <row r="957" spans="1:24" x14ac:dyDescent="0.35">
      <c r="A957">
        <v>390</v>
      </c>
      <c r="B957">
        <v>32644</v>
      </c>
      <c r="C957">
        <v>47</v>
      </c>
      <c r="D957">
        <v>1</v>
      </c>
      <c r="E957" s="28">
        <v>7.3643835616438356</v>
      </c>
      <c r="F957" s="28"/>
      <c r="G957" s="28"/>
      <c r="H957" s="28"/>
      <c r="I957" s="28"/>
      <c r="J957" s="28"/>
      <c r="L957" s="37">
        <v>390</v>
      </c>
      <c r="M957" s="3">
        <v>38</v>
      </c>
      <c r="N957" s="3">
        <v>239</v>
      </c>
      <c r="O957" s="3">
        <v>3</v>
      </c>
      <c r="P957" s="3">
        <v>141</v>
      </c>
      <c r="Q957" s="3">
        <v>0</v>
      </c>
      <c r="R957" s="3">
        <v>7</v>
      </c>
      <c r="S957" s="3">
        <v>23</v>
      </c>
      <c r="T957" s="3">
        <v>4</v>
      </c>
      <c r="U957" s="3">
        <v>7</v>
      </c>
      <c r="V957" s="3">
        <v>1</v>
      </c>
      <c r="W957" s="3">
        <v>6</v>
      </c>
      <c r="X957" s="3">
        <v>8</v>
      </c>
    </row>
    <row r="958" spans="1:24" x14ac:dyDescent="0.35">
      <c r="A958">
        <v>390</v>
      </c>
      <c r="B958">
        <v>60432</v>
      </c>
      <c r="C958">
        <v>47</v>
      </c>
      <c r="D958">
        <v>1</v>
      </c>
      <c r="E958" s="28">
        <v>6.2219178082191782</v>
      </c>
      <c r="F958" s="28"/>
      <c r="G958" s="28"/>
      <c r="H958" s="28"/>
      <c r="I958" s="28"/>
      <c r="J958" s="28"/>
      <c r="L958" s="38">
        <v>390</v>
      </c>
      <c r="M958" s="2">
        <v>61</v>
      </c>
      <c r="N958" s="2">
        <v>365</v>
      </c>
      <c r="O958" s="2">
        <v>3</v>
      </c>
      <c r="P958" s="2">
        <v>15</v>
      </c>
      <c r="Q958" s="2">
        <v>4</v>
      </c>
      <c r="R958" s="2">
        <v>3</v>
      </c>
      <c r="S958" s="2">
        <v>11</v>
      </c>
      <c r="T958" s="2">
        <v>5</v>
      </c>
      <c r="U958" s="2">
        <v>7</v>
      </c>
      <c r="V958" s="2">
        <v>2</v>
      </c>
      <c r="W958" s="2">
        <v>5</v>
      </c>
      <c r="X958" s="2">
        <v>6</v>
      </c>
    </row>
    <row r="959" spans="1:24" x14ac:dyDescent="0.35">
      <c r="A959">
        <v>389</v>
      </c>
      <c r="B959">
        <v>38508</v>
      </c>
      <c r="C959">
        <v>34</v>
      </c>
      <c r="D959">
        <v>1</v>
      </c>
      <c r="E959" s="28">
        <v>6.8219178082191778</v>
      </c>
      <c r="F959" s="28"/>
      <c r="G959" s="28"/>
      <c r="H959" s="28"/>
      <c r="I959" s="28"/>
      <c r="J959" s="28"/>
      <c r="L959" s="37">
        <v>389</v>
      </c>
      <c r="M959" s="3">
        <v>95</v>
      </c>
      <c r="N959" s="3">
        <v>120</v>
      </c>
      <c r="O959" s="3">
        <v>19</v>
      </c>
      <c r="P959" s="3">
        <v>206</v>
      </c>
      <c r="Q959" s="3">
        <v>25</v>
      </c>
      <c r="R959" s="3">
        <v>19</v>
      </c>
      <c r="S959" s="3">
        <v>54</v>
      </c>
      <c r="T959" s="3">
        <v>6</v>
      </c>
      <c r="U959" s="3">
        <v>7</v>
      </c>
      <c r="V959" s="3">
        <v>2</v>
      </c>
      <c r="W959" s="3">
        <v>5</v>
      </c>
      <c r="X959" s="3">
        <v>8</v>
      </c>
    </row>
    <row r="960" spans="1:24" x14ac:dyDescent="0.35">
      <c r="A960">
        <v>389</v>
      </c>
      <c r="B960">
        <v>53367</v>
      </c>
      <c r="C960">
        <v>46</v>
      </c>
      <c r="D960">
        <v>1</v>
      </c>
      <c r="E960" s="28">
        <v>6.7424657534246579</v>
      </c>
      <c r="F960" s="28"/>
      <c r="G960" s="28"/>
      <c r="H960" s="28"/>
      <c r="I960" s="28"/>
      <c r="J960" s="28"/>
      <c r="L960" s="38">
        <v>389</v>
      </c>
      <c r="M960" s="2">
        <v>2</v>
      </c>
      <c r="N960" s="2">
        <v>229</v>
      </c>
      <c r="O960" s="2">
        <v>7</v>
      </c>
      <c r="P960" s="2">
        <v>140</v>
      </c>
      <c r="Q960" s="2">
        <v>10</v>
      </c>
      <c r="R960" s="2">
        <v>3</v>
      </c>
      <c r="S960" s="2">
        <v>11</v>
      </c>
      <c r="T960" s="2">
        <v>7</v>
      </c>
      <c r="U960" s="2">
        <v>5</v>
      </c>
      <c r="V960" s="2">
        <v>1</v>
      </c>
      <c r="W960" s="2">
        <v>8</v>
      </c>
      <c r="X960" s="2">
        <v>7</v>
      </c>
    </row>
    <row r="961" spans="1:24" x14ac:dyDescent="0.35">
      <c r="A961">
        <v>389</v>
      </c>
      <c r="B961">
        <v>47025</v>
      </c>
      <c r="C961">
        <v>44</v>
      </c>
      <c r="D961">
        <v>1</v>
      </c>
      <c r="E961" s="28">
        <v>6.5561643835616437</v>
      </c>
      <c r="F961" s="28"/>
      <c r="G961" s="28"/>
      <c r="H961" s="28"/>
      <c r="I961" s="28"/>
      <c r="J961" s="28"/>
      <c r="L961" s="37">
        <v>389</v>
      </c>
      <c r="M961" s="3">
        <v>52</v>
      </c>
      <c r="N961" s="3">
        <v>254</v>
      </c>
      <c r="O961" s="3">
        <v>7</v>
      </c>
      <c r="P961" s="3">
        <v>108</v>
      </c>
      <c r="Q961" s="3">
        <v>20</v>
      </c>
      <c r="R961" s="3">
        <v>0</v>
      </c>
      <c r="S961" s="3">
        <v>26</v>
      </c>
      <c r="T961" s="3">
        <v>3</v>
      </c>
      <c r="U961" s="3">
        <v>6</v>
      </c>
      <c r="V961" s="3">
        <v>3</v>
      </c>
      <c r="W961" s="3">
        <v>5</v>
      </c>
      <c r="X961" s="3">
        <v>6</v>
      </c>
    </row>
    <row r="962" spans="1:24" x14ac:dyDescent="0.35">
      <c r="A962">
        <v>389</v>
      </c>
      <c r="B962">
        <v>56243</v>
      </c>
      <c r="C962">
        <v>45</v>
      </c>
      <c r="D962">
        <v>1</v>
      </c>
      <c r="E962" s="28">
        <v>6.4109589041095889</v>
      </c>
      <c r="F962" s="28"/>
      <c r="G962" s="28"/>
      <c r="H962" s="28"/>
      <c r="I962" s="28"/>
      <c r="J962" s="28"/>
      <c r="L962" s="38">
        <v>389</v>
      </c>
      <c r="M962" s="2">
        <v>26</v>
      </c>
      <c r="N962" s="2">
        <v>347</v>
      </c>
      <c r="O962" s="2">
        <v>0</v>
      </c>
      <c r="P962" s="2">
        <v>35</v>
      </c>
      <c r="Q962" s="2">
        <v>4</v>
      </c>
      <c r="R962" s="2">
        <v>3</v>
      </c>
      <c r="S962" s="2">
        <v>7</v>
      </c>
      <c r="T962" s="2">
        <v>6</v>
      </c>
      <c r="U962" s="2">
        <v>4</v>
      </c>
      <c r="V962" s="2">
        <v>2</v>
      </c>
      <c r="W962" s="2">
        <v>8</v>
      </c>
      <c r="X962" s="2">
        <v>5</v>
      </c>
    </row>
    <row r="963" spans="1:24" x14ac:dyDescent="0.35">
      <c r="A963">
        <v>389</v>
      </c>
      <c r="B963">
        <v>54456</v>
      </c>
      <c r="C963">
        <v>59</v>
      </c>
      <c r="D963">
        <v>1</v>
      </c>
      <c r="E963" s="28">
        <v>6.882191780821918</v>
      </c>
      <c r="F963" s="28"/>
      <c r="G963" s="28"/>
      <c r="H963" s="28"/>
      <c r="I963" s="28"/>
      <c r="J963" s="28"/>
      <c r="L963" s="37">
        <v>389</v>
      </c>
      <c r="M963" s="3">
        <v>23</v>
      </c>
      <c r="N963" s="3">
        <v>352</v>
      </c>
      <c r="O963" s="3">
        <v>0</v>
      </c>
      <c r="P963" s="3">
        <v>27</v>
      </c>
      <c r="Q963" s="3">
        <v>10</v>
      </c>
      <c r="R963" s="3">
        <v>0</v>
      </c>
      <c r="S963" s="3">
        <v>15</v>
      </c>
      <c r="T963" s="3">
        <v>3</v>
      </c>
      <c r="U963" s="3">
        <v>6</v>
      </c>
      <c r="V963" s="3">
        <v>1</v>
      </c>
      <c r="W963" s="3">
        <v>7</v>
      </c>
      <c r="X963" s="3">
        <v>6</v>
      </c>
    </row>
    <row r="964" spans="1:24" x14ac:dyDescent="0.35">
      <c r="A964">
        <v>388</v>
      </c>
      <c r="B964">
        <v>53201</v>
      </c>
      <c r="C964">
        <v>45</v>
      </c>
      <c r="D964">
        <v>1</v>
      </c>
      <c r="E964" s="28">
        <v>7.2904109589041095</v>
      </c>
      <c r="F964" s="28"/>
      <c r="G964" s="28"/>
      <c r="H964" s="28"/>
      <c r="I964" s="28"/>
      <c r="J964" s="28"/>
      <c r="L964" s="38">
        <v>388</v>
      </c>
      <c r="M964" s="2">
        <v>49</v>
      </c>
      <c r="N964" s="2">
        <v>280</v>
      </c>
      <c r="O964" s="2">
        <v>7</v>
      </c>
      <c r="P964" s="2">
        <v>81</v>
      </c>
      <c r="Q964" s="2">
        <v>20</v>
      </c>
      <c r="R964" s="2">
        <v>0</v>
      </c>
      <c r="S964" s="2">
        <v>27</v>
      </c>
      <c r="T964" s="2">
        <v>8</v>
      </c>
      <c r="U964" s="2">
        <v>6</v>
      </c>
      <c r="V964" s="2">
        <v>3</v>
      </c>
      <c r="W964" s="2">
        <v>5</v>
      </c>
      <c r="X964" s="2">
        <v>7</v>
      </c>
    </row>
    <row r="965" spans="1:24" x14ac:dyDescent="0.35">
      <c r="A965">
        <v>387</v>
      </c>
      <c r="B965">
        <v>71488</v>
      </c>
      <c r="C965">
        <v>55</v>
      </c>
      <c r="D965">
        <v>0</v>
      </c>
      <c r="E965" s="28">
        <v>7.2739726027397262</v>
      </c>
      <c r="F965" s="28"/>
      <c r="G965" s="28"/>
      <c r="H965" s="28"/>
      <c r="I965" s="28"/>
      <c r="J965" s="28"/>
      <c r="L965" s="37">
        <v>387</v>
      </c>
      <c r="M965" s="3">
        <v>87</v>
      </c>
      <c r="N965" s="3">
        <v>162</v>
      </c>
      <c r="O965" s="3">
        <v>33</v>
      </c>
      <c r="P965" s="3">
        <v>124</v>
      </c>
      <c r="Q965" s="3">
        <v>40</v>
      </c>
      <c r="R965" s="3">
        <v>28</v>
      </c>
      <c r="S965" s="3">
        <v>172</v>
      </c>
      <c r="T965" s="3">
        <v>2</v>
      </c>
      <c r="U965" s="3">
        <v>3</v>
      </c>
      <c r="V965" s="3">
        <v>4</v>
      </c>
      <c r="W965" s="3">
        <v>7</v>
      </c>
      <c r="X965" s="3">
        <v>1</v>
      </c>
    </row>
    <row r="966" spans="1:24" x14ac:dyDescent="0.35">
      <c r="A966">
        <v>387</v>
      </c>
      <c r="B966">
        <v>41124</v>
      </c>
      <c r="C966">
        <v>43</v>
      </c>
      <c r="D966">
        <v>1</v>
      </c>
      <c r="E966" s="28">
        <v>7.5753424657534243</v>
      </c>
      <c r="F966" s="28"/>
      <c r="G966" s="28"/>
      <c r="H966" s="28"/>
      <c r="I966" s="28"/>
      <c r="J966" s="28"/>
      <c r="L966" s="38">
        <v>387</v>
      </c>
      <c r="M966" s="2">
        <v>41</v>
      </c>
      <c r="N966" s="2">
        <v>281</v>
      </c>
      <c r="O966" s="2">
        <v>7</v>
      </c>
      <c r="P966" s="2">
        <v>84</v>
      </c>
      <c r="Q966" s="2">
        <v>15</v>
      </c>
      <c r="R966" s="2">
        <v>0</v>
      </c>
      <c r="S966" s="2">
        <v>119</v>
      </c>
      <c r="T966" s="2">
        <v>7</v>
      </c>
      <c r="U966" s="2">
        <v>7</v>
      </c>
      <c r="V966" s="2">
        <v>3</v>
      </c>
      <c r="W966" s="2">
        <v>4</v>
      </c>
      <c r="X966" s="2">
        <v>8</v>
      </c>
    </row>
    <row r="967" spans="1:24" x14ac:dyDescent="0.35">
      <c r="A967">
        <v>387</v>
      </c>
      <c r="B967">
        <v>46681</v>
      </c>
      <c r="C967">
        <v>72</v>
      </c>
      <c r="D967">
        <v>1</v>
      </c>
      <c r="E967" s="28">
        <v>6.6383561643835618</v>
      </c>
      <c r="F967" s="28"/>
      <c r="G967" s="28"/>
      <c r="H967" s="28"/>
      <c r="I967" s="28"/>
      <c r="J967" s="28"/>
      <c r="L967" s="37">
        <v>387</v>
      </c>
      <c r="M967" s="3">
        <v>52</v>
      </c>
      <c r="N967" s="3">
        <v>269</v>
      </c>
      <c r="O967" s="3">
        <v>15</v>
      </c>
      <c r="P967" s="3">
        <v>69</v>
      </c>
      <c r="Q967" s="3">
        <v>15</v>
      </c>
      <c r="R967" s="3">
        <v>19</v>
      </c>
      <c r="S967" s="3">
        <v>38</v>
      </c>
      <c r="T967" s="3">
        <v>2</v>
      </c>
      <c r="U967" s="3">
        <v>4</v>
      </c>
      <c r="V967" s="3">
        <v>6</v>
      </c>
      <c r="W967" s="3">
        <v>4</v>
      </c>
      <c r="X967" s="3">
        <v>5</v>
      </c>
    </row>
    <row r="968" spans="1:24" x14ac:dyDescent="0.35">
      <c r="A968">
        <v>386</v>
      </c>
      <c r="B968">
        <v>57906</v>
      </c>
      <c r="C968">
        <v>47</v>
      </c>
      <c r="D968">
        <v>1</v>
      </c>
      <c r="E968" s="28">
        <v>6.9643835616438352</v>
      </c>
      <c r="F968" s="28"/>
      <c r="G968" s="28"/>
      <c r="H968" s="28"/>
      <c r="I968" s="28"/>
      <c r="J968" s="28"/>
      <c r="L968" s="38">
        <v>386</v>
      </c>
      <c r="M968" s="2">
        <v>29</v>
      </c>
      <c r="N968" s="2">
        <v>243</v>
      </c>
      <c r="O968" s="2">
        <v>11</v>
      </c>
      <c r="P968" s="2">
        <v>119</v>
      </c>
      <c r="Q968" s="2">
        <v>10</v>
      </c>
      <c r="R968" s="2">
        <v>3</v>
      </c>
      <c r="S968" s="2">
        <v>15</v>
      </c>
      <c r="T968" s="2">
        <v>3</v>
      </c>
      <c r="U968" s="2">
        <v>4</v>
      </c>
      <c r="V968" s="2">
        <v>2</v>
      </c>
      <c r="W968" s="2">
        <v>8</v>
      </c>
      <c r="X968" s="2">
        <v>4</v>
      </c>
    </row>
    <row r="969" spans="1:24" x14ac:dyDescent="0.35">
      <c r="A969">
        <v>386</v>
      </c>
      <c r="B969">
        <v>42014</v>
      </c>
      <c r="C969">
        <v>43</v>
      </c>
      <c r="D969">
        <v>1</v>
      </c>
      <c r="E969" s="28">
        <v>7.7808219178082192</v>
      </c>
      <c r="F969" s="28"/>
      <c r="G969" s="28"/>
      <c r="H969" s="28"/>
      <c r="I969" s="28"/>
      <c r="J969" s="28"/>
      <c r="L969" s="37">
        <v>386</v>
      </c>
      <c r="M969" s="3">
        <v>56</v>
      </c>
      <c r="N969" s="3">
        <v>244</v>
      </c>
      <c r="O969" s="3">
        <v>15</v>
      </c>
      <c r="P969" s="3">
        <v>108</v>
      </c>
      <c r="Q969" s="3">
        <v>4</v>
      </c>
      <c r="R969" s="3">
        <v>15</v>
      </c>
      <c r="S969" s="3">
        <v>50</v>
      </c>
      <c r="T969" s="3">
        <v>6</v>
      </c>
      <c r="U969" s="3">
        <v>7</v>
      </c>
      <c r="V969" s="3">
        <v>1</v>
      </c>
      <c r="W969" s="3">
        <v>6</v>
      </c>
      <c r="X969" s="3">
        <v>8</v>
      </c>
    </row>
    <row r="970" spans="1:24" x14ac:dyDescent="0.35">
      <c r="A970">
        <v>386</v>
      </c>
      <c r="B970">
        <v>73395</v>
      </c>
      <c r="C970">
        <v>33</v>
      </c>
      <c r="D970">
        <v>0</v>
      </c>
      <c r="E970" s="28">
        <v>6.1972602739726028</v>
      </c>
      <c r="F970" s="28"/>
      <c r="G970" s="28"/>
      <c r="H970" s="28"/>
      <c r="I970" s="28"/>
      <c r="J970" s="28"/>
      <c r="L970" s="38">
        <v>386</v>
      </c>
      <c r="M970" s="2">
        <v>94</v>
      </c>
      <c r="N970" s="2">
        <v>272</v>
      </c>
      <c r="O970" s="2">
        <v>7</v>
      </c>
      <c r="P970" s="2">
        <v>80</v>
      </c>
      <c r="Q970" s="2">
        <v>20</v>
      </c>
      <c r="R970" s="2">
        <v>7</v>
      </c>
      <c r="S970" s="2">
        <v>11</v>
      </c>
      <c r="T970" s="2">
        <v>1</v>
      </c>
      <c r="U970" s="2">
        <v>4</v>
      </c>
      <c r="V970" s="2">
        <v>4</v>
      </c>
      <c r="W970" s="2">
        <v>6</v>
      </c>
      <c r="X970" s="2">
        <v>2</v>
      </c>
    </row>
    <row r="971" spans="1:24" x14ac:dyDescent="0.35">
      <c r="A971">
        <v>386</v>
      </c>
      <c r="B971">
        <v>43456</v>
      </c>
      <c r="C971">
        <v>54</v>
      </c>
      <c r="D971">
        <v>1</v>
      </c>
      <c r="E971" s="28">
        <v>7.1753424657534248</v>
      </c>
      <c r="F971" s="28"/>
      <c r="G971" s="28"/>
      <c r="H971" s="28"/>
      <c r="I971" s="28"/>
      <c r="J971" s="28"/>
      <c r="L971" s="37">
        <v>386</v>
      </c>
      <c r="M971" s="3">
        <v>0</v>
      </c>
      <c r="N971" s="3">
        <v>275</v>
      </c>
      <c r="O971" s="3">
        <v>11</v>
      </c>
      <c r="P971" s="3">
        <v>68</v>
      </c>
      <c r="Q971" s="3">
        <v>25</v>
      </c>
      <c r="R971" s="3">
        <v>7</v>
      </c>
      <c r="S971" s="3">
        <v>7</v>
      </c>
      <c r="T971" s="3">
        <v>3</v>
      </c>
      <c r="U971" s="3">
        <v>5</v>
      </c>
      <c r="V971" s="3">
        <v>1</v>
      </c>
      <c r="W971" s="3">
        <v>8</v>
      </c>
      <c r="X971" s="3">
        <v>5</v>
      </c>
    </row>
    <row r="972" spans="1:24" x14ac:dyDescent="0.35">
      <c r="A972">
        <v>385</v>
      </c>
      <c r="B972">
        <v>47958</v>
      </c>
      <c r="C972">
        <v>68</v>
      </c>
      <c r="D972">
        <v>1</v>
      </c>
      <c r="E972" s="28">
        <v>7.3561643835616435</v>
      </c>
      <c r="F972" s="28"/>
      <c r="G972" s="28"/>
      <c r="H972" s="28"/>
      <c r="I972" s="28"/>
      <c r="J972" s="28"/>
      <c r="L972" s="38">
        <v>385</v>
      </c>
      <c r="M972" s="2">
        <v>8</v>
      </c>
      <c r="N972" s="2">
        <v>268</v>
      </c>
      <c r="O972" s="2">
        <v>11</v>
      </c>
      <c r="P972" s="2">
        <v>88</v>
      </c>
      <c r="Q972" s="2">
        <v>15</v>
      </c>
      <c r="R972" s="2">
        <v>3</v>
      </c>
      <c r="S972" s="2">
        <v>22</v>
      </c>
      <c r="T972" s="2">
        <v>2</v>
      </c>
      <c r="U972" s="2">
        <v>6</v>
      </c>
      <c r="V972" s="2">
        <v>3</v>
      </c>
      <c r="W972" s="2">
        <v>5</v>
      </c>
      <c r="X972" s="2">
        <v>5</v>
      </c>
    </row>
    <row r="973" spans="1:24" x14ac:dyDescent="0.35">
      <c r="A973">
        <v>385</v>
      </c>
      <c r="B973">
        <v>56962</v>
      </c>
      <c r="C973">
        <v>55</v>
      </c>
      <c r="D973">
        <v>1</v>
      </c>
      <c r="E973" s="28">
        <v>6.6301369863013697</v>
      </c>
      <c r="F973" s="28"/>
      <c r="G973" s="28"/>
      <c r="H973" s="28"/>
      <c r="I973" s="28"/>
      <c r="J973" s="28"/>
      <c r="L973" s="37">
        <v>385</v>
      </c>
      <c r="M973" s="3">
        <v>60</v>
      </c>
      <c r="N973" s="3">
        <v>292</v>
      </c>
      <c r="O973" s="3">
        <v>3</v>
      </c>
      <c r="P973" s="3">
        <v>77</v>
      </c>
      <c r="Q973" s="3">
        <v>10</v>
      </c>
      <c r="R973" s="3">
        <v>3</v>
      </c>
      <c r="S973" s="3">
        <v>26</v>
      </c>
      <c r="T973" s="3">
        <v>7</v>
      </c>
      <c r="U973" s="3">
        <v>6</v>
      </c>
      <c r="V973" s="3">
        <v>3</v>
      </c>
      <c r="W973" s="3">
        <v>5</v>
      </c>
      <c r="X973" s="3">
        <v>7</v>
      </c>
    </row>
    <row r="974" spans="1:24" x14ac:dyDescent="0.35">
      <c r="A974">
        <v>385</v>
      </c>
      <c r="B974">
        <v>43795</v>
      </c>
      <c r="C974">
        <v>52</v>
      </c>
      <c r="D974">
        <v>1</v>
      </c>
      <c r="E974" s="28">
        <v>6.6164383561643838</v>
      </c>
      <c r="F974" s="28"/>
      <c r="G974" s="28"/>
      <c r="H974" s="28"/>
      <c r="I974" s="28"/>
      <c r="J974" s="28"/>
      <c r="L974" s="38">
        <v>385</v>
      </c>
      <c r="M974" s="2">
        <v>11</v>
      </c>
      <c r="N974" s="2">
        <v>314</v>
      </c>
      <c r="O974" s="2">
        <v>11</v>
      </c>
      <c r="P974" s="2">
        <v>53</v>
      </c>
      <c r="Q974" s="2">
        <v>4</v>
      </c>
      <c r="R974" s="2">
        <v>3</v>
      </c>
      <c r="S974" s="2">
        <v>107</v>
      </c>
      <c r="T974" s="2">
        <v>3</v>
      </c>
      <c r="U974" s="2">
        <v>7</v>
      </c>
      <c r="V974" s="2">
        <v>3</v>
      </c>
      <c r="W974" s="2">
        <v>4</v>
      </c>
      <c r="X974" s="2">
        <v>7</v>
      </c>
    </row>
    <row r="975" spans="1:24" x14ac:dyDescent="0.35">
      <c r="A975">
        <v>384</v>
      </c>
      <c r="B975">
        <v>65735</v>
      </c>
      <c r="C975">
        <v>55</v>
      </c>
      <c r="D975">
        <v>1</v>
      </c>
      <c r="E975" s="28">
        <v>6.4739726027397264</v>
      </c>
      <c r="F975" s="28"/>
      <c r="G975" s="28"/>
      <c r="H975" s="28"/>
      <c r="I975" s="28"/>
      <c r="J975" s="28"/>
      <c r="L975" s="37">
        <v>384</v>
      </c>
      <c r="M975" s="3">
        <v>37</v>
      </c>
      <c r="N975" s="3">
        <v>239</v>
      </c>
      <c r="O975" s="3">
        <v>7</v>
      </c>
      <c r="P975" s="3">
        <v>119</v>
      </c>
      <c r="Q975" s="3">
        <v>4</v>
      </c>
      <c r="R975" s="3">
        <v>15</v>
      </c>
      <c r="S975" s="3">
        <v>11</v>
      </c>
      <c r="T975" s="3">
        <v>5</v>
      </c>
      <c r="U975" s="3">
        <v>6</v>
      </c>
      <c r="V975" s="3">
        <v>2</v>
      </c>
      <c r="W975" s="3">
        <v>6</v>
      </c>
      <c r="X975" s="3">
        <v>7</v>
      </c>
    </row>
    <row r="976" spans="1:24" x14ac:dyDescent="0.35">
      <c r="A976">
        <v>384</v>
      </c>
      <c r="B976">
        <v>40794</v>
      </c>
      <c r="C976">
        <v>45</v>
      </c>
      <c r="D976">
        <v>1</v>
      </c>
      <c r="E976" s="28">
        <v>7.1424657534246574</v>
      </c>
      <c r="F976" s="28"/>
      <c r="G976" s="28"/>
      <c r="H976" s="28"/>
      <c r="I976" s="28"/>
      <c r="J976" s="28"/>
      <c r="L976" s="38">
        <v>384</v>
      </c>
      <c r="M976" s="2">
        <v>18</v>
      </c>
      <c r="N976" s="2">
        <v>261</v>
      </c>
      <c r="O976" s="2">
        <v>23</v>
      </c>
      <c r="P976" s="2">
        <v>73</v>
      </c>
      <c r="Q976" s="2">
        <v>4</v>
      </c>
      <c r="R976" s="2">
        <v>23</v>
      </c>
      <c r="S976" s="2">
        <v>50</v>
      </c>
      <c r="T976" s="2">
        <v>2</v>
      </c>
      <c r="U976" s="2">
        <v>6</v>
      </c>
      <c r="V976" s="2">
        <v>3</v>
      </c>
      <c r="W976" s="2">
        <v>5</v>
      </c>
      <c r="X976" s="2">
        <v>7</v>
      </c>
    </row>
    <row r="977" spans="1:24" x14ac:dyDescent="0.35">
      <c r="A977">
        <v>384</v>
      </c>
      <c r="B977">
        <v>58692</v>
      </c>
      <c r="C977">
        <v>55</v>
      </c>
      <c r="D977">
        <v>1</v>
      </c>
      <c r="E977" s="28">
        <v>6.1452054794520548</v>
      </c>
      <c r="F977" s="28"/>
      <c r="G977" s="28"/>
      <c r="H977" s="28"/>
      <c r="I977" s="28"/>
      <c r="J977" s="28"/>
      <c r="L977" s="37">
        <v>384</v>
      </c>
      <c r="M977" s="3">
        <v>21</v>
      </c>
      <c r="N977" s="3">
        <v>301</v>
      </c>
      <c r="O977" s="3">
        <v>11</v>
      </c>
      <c r="P977" s="3">
        <v>61</v>
      </c>
      <c r="Q977" s="3">
        <v>4</v>
      </c>
      <c r="R977" s="3">
        <v>7</v>
      </c>
      <c r="S977" s="3">
        <v>11</v>
      </c>
      <c r="T977" s="3">
        <v>1</v>
      </c>
      <c r="U977" s="3">
        <v>8</v>
      </c>
      <c r="V977" s="3">
        <v>2</v>
      </c>
      <c r="W977" s="3">
        <v>4</v>
      </c>
      <c r="X977" s="3">
        <v>7</v>
      </c>
    </row>
    <row r="978" spans="1:24" x14ac:dyDescent="0.35">
      <c r="A978">
        <v>382</v>
      </c>
      <c r="B978">
        <v>59973</v>
      </c>
      <c r="C978">
        <v>48</v>
      </c>
      <c r="D978">
        <v>0</v>
      </c>
      <c r="E978" s="28">
        <v>6.7123287671232879</v>
      </c>
      <c r="F978" s="28"/>
      <c r="G978" s="28"/>
      <c r="H978" s="28"/>
      <c r="I978" s="28"/>
      <c r="J978" s="28"/>
      <c r="L978" s="38">
        <v>382</v>
      </c>
      <c r="M978" s="2">
        <v>47</v>
      </c>
      <c r="N978" s="2">
        <v>130</v>
      </c>
      <c r="O978" s="2">
        <v>30</v>
      </c>
      <c r="P978" s="2">
        <v>168</v>
      </c>
      <c r="Q978" s="2">
        <v>20</v>
      </c>
      <c r="R978" s="2">
        <v>34</v>
      </c>
      <c r="S978" s="2">
        <v>0</v>
      </c>
      <c r="T978" s="2">
        <v>1</v>
      </c>
      <c r="U978" s="2">
        <v>3</v>
      </c>
      <c r="V978" s="2">
        <v>4</v>
      </c>
      <c r="W978" s="2">
        <v>7</v>
      </c>
      <c r="X978" s="2">
        <v>1</v>
      </c>
    </row>
    <row r="979" spans="1:24" x14ac:dyDescent="0.35">
      <c r="A979">
        <v>382</v>
      </c>
      <c r="B979">
        <v>65352</v>
      </c>
      <c r="C979">
        <v>46</v>
      </c>
      <c r="D979">
        <v>1</v>
      </c>
      <c r="E979" s="28">
        <v>6.7698630136986298</v>
      </c>
      <c r="F979" s="28"/>
      <c r="G979" s="28"/>
      <c r="H979" s="28"/>
      <c r="I979" s="28"/>
      <c r="J979" s="28"/>
      <c r="L979" s="37">
        <v>382</v>
      </c>
      <c r="M979" s="3">
        <v>43</v>
      </c>
      <c r="N979" s="3">
        <v>284</v>
      </c>
      <c r="O979" s="3">
        <v>3</v>
      </c>
      <c r="P979" s="3">
        <v>84</v>
      </c>
      <c r="Q979" s="3">
        <v>4</v>
      </c>
      <c r="R979" s="3">
        <v>7</v>
      </c>
      <c r="S979" s="3">
        <v>23</v>
      </c>
      <c r="T979" s="3">
        <v>2</v>
      </c>
      <c r="U979" s="3">
        <v>4</v>
      </c>
      <c r="V979" s="3">
        <v>2</v>
      </c>
      <c r="W979" s="3">
        <v>8</v>
      </c>
      <c r="X979" s="3">
        <v>4</v>
      </c>
    </row>
    <row r="980" spans="1:24" x14ac:dyDescent="0.35">
      <c r="A980">
        <v>382</v>
      </c>
      <c r="B980">
        <v>48432</v>
      </c>
      <c r="C980">
        <v>47</v>
      </c>
      <c r="D980">
        <v>1</v>
      </c>
      <c r="E980" s="28">
        <v>7.6109589041095891</v>
      </c>
      <c r="F980" s="28"/>
      <c r="G980" s="28"/>
      <c r="H980" s="28"/>
      <c r="I980" s="28"/>
      <c r="J980" s="28"/>
      <c r="L980" s="38">
        <v>382</v>
      </c>
      <c r="M980" s="2">
        <v>3</v>
      </c>
      <c r="N980" s="2">
        <v>322</v>
      </c>
      <c r="O980" s="2">
        <v>3</v>
      </c>
      <c r="P980" s="2">
        <v>50</v>
      </c>
      <c r="Q980" s="2">
        <v>4</v>
      </c>
      <c r="R980" s="2">
        <v>3</v>
      </c>
      <c r="S980" s="2">
        <v>42</v>
      </c>
      <c r="T980" s="2">
        <v>5</v>
      </c>
      <c r="U980" s="2">
        <v>7</v>
      </c>
      <c r="V980" s="2">
        <v>1</v>
      </c>
      <c r="W980" s="2">
        <v>6</v>
      </c>
      <c r="X980" s="2">
        <v>8</v>
      </c>
    </row>
    <row r="981" spans="1:24" x14ac:dyDescent="0.35">
      <c r="A981">
        <v>382</v>
      </c>
      <c r="B981">
        <v>48432</v>
      </c>
      <c r="C981">
        <v>47</v>
      </c>
      <c r="D981">
        <v>1</v>
      </c>
      <c r="E981" s="28">
        <v>7.6109589041095891</v>
      </c>
      <c r="F981" s="28"/>
      <c r="G981" s="28"/>
      <c r="H981" s="28"/>
      <c r="I981" s="28"/>
      <c r="J981" s="28"/>
      <c r="L981" s="37">
        <v>382</v>
      </c>
      <c r="M981" s="3">
        <v>3</v>
      </c>
      <c r="N981" s="3">
        <v>322</v>
      </c>
      <c r="O981" s="3">
        <v>3</v>
      </c>
      <c r="P981" s="3">
        <v>50</v>
      </c>
      <c r="Q981" s="3">
        <v>4</v>
      </c>
      <c r="R981" s="3">
        <v>3</v>
      </c>
      <c r="S981" s="3">
        <v>42</v>
      </c>
      <c r="T981" s="3">
        <v>5</v>
      </c>
      <c r="U981" s="3">
        <v>7</v>
      </c>
      <c r="V981" s="3">
        <v>1</v>
      </c>
      <c r="W981" s="3">
        <v>6</v>
      </c>
      <c r="X981" s="3">
        <v>8</v>
      </c>
    </row>
    <row r="982" spans="1:24" x14ac:dyDescent="0.35">
      <c r="A982">
        <v>381</v>
      </c>
      <c r="B982">
        <v>49544</v>
      </c>
      <c r="C982">
        <v>44</v>
      </c>
      <c r="D982">
        <v>1</v>
      </c>
      <c r="E982" s="28">
        <v>7.2904109589041095</v>
      </c>
      <c r="F982" s="28"/>
      <c r="G982" s="28"/>
      <c r="H982" s="28"/>
      <c r="I982" s="28"/>
      <c r="J982" s="28"/>
      <c r="L982" s="38">
        <v>381</v>
      </c>
      <c r="M982" s="2">
        <v>0</v>
      </c>
      <c r="N982" s="2">
        <v>308</v>
      </c>
      <c r="O982" s="2">
        <v>0</v>
      </c>
      <c r="P982" s="2">
        <v>73</v>
      </c>
      <c r="Q982" s="2">
        <v>0</v>
      </c>
      <c r="R982" s="2">
        <v>0</v>
      </c>
      <c r="S982" s="2">
        <v>23</v>
      </c>
      <c r="T982" s="2">
        <v>2</v>
      </c>
      <c r="U982" s="2">
        <v>5</v>
      </c>
      <c r="V982" s="2">
        <v>1</v>
      </c>
      <c r="W982" s="2">
        <v>8</v>
      </c>
      <c r="X982" s="2">
        <v>7</v>
      </c>
    </row>
    <row r="983" spans="1:24" x14ac:dyDescent="0.35">
      <c r="A983">
        <v>377</v>
      </c>
      <c r="B983">
        <v>57967</v>
      </c>
      <c r="C983">
        <v>58</v>
      </c>
      <c r="D983">
        <v>1</v>
      </c>
      <c r="E983" s="28">
        <v>7.2383561643835614</v>
      </c>
      <c r="F983" s="28"/>
      <c r="G983" s="28"/>
      <c r="H983" s="28"/>
      <c r="I983" s="28"/>
      <c r="J983" s="28"/>
      <c r="L983" s="37">
        <v>377</v>
      </c>
      <c r="M983" s="3">
        <v>39</v>
      </c>
      <c r="N983" s="3">
        <v>229</v>
      </c>
      <c r="O983" s="3">
        <v>7</v>
      </c>
      <c r="P983" s="3">
        <v>137</v>
      </c>
      <c r="Q983" s="3">
        <v>4</v>
      </c>
      <c r="R983" s="3">
        <v>0</v>
      </c>
      <c r="S983" s="3">
        <v>91</v>
      </c>
      <c r="T983" s="3">
        <v>5</v>
      </c>
      <c r="U983" s="3">
        <v>4</v>
      </c>
      <c r="V983" s="3">
        <v>2</v>
      </c>
      <c r="W983" s="3">
        <v>8</v>
      </c>
      <c r="X983" s="3">
        <v>5</v>
      </c>
    </row>
    <row r="984" spans="1:24" x14ac:dyDescent="0.35">
      <c r="A984">
        <v>377</v>
      </c>
      <c r="B984">
        <v>58494</v>
      </c>
      <c r="C984">
        <v>46</v>
      </c>
      <c r="D984">
        <v>1</v>
      </c>
      <c r="E984" s="28">
        <v>6.4602739726027396</v>
      </c>
      <c r="F984" s="28"/>
      <c r="G984" s="28"/>
      <c r="H984" s="28"/>
      <c r="I984" s="28"/>
      <c r="J984" s="28"/>
      <c r="L984" s="38">
        <v>377</v>
      </c>
      <c r="M984" s="2">
        <v>56</v>
      </c>
      <c r="N984" s="2">
        <v>298</v>
      </c>
      <c r="O984" s="2">
        <v>7</v>
      </c>
      <c r="P984" s="2">
        <v>68</v>
      </c>
      <c r="Q984" s="2">
        <v>4</v>
      </c>
      <c r="R984" s="2">
        <v>0</v>
      </c>
      <c r="S984" s="2">
        <v>19</v>
      </c>
      <c r="T984" s="2">
        <v>2</v>
      </c>
      <c r="U984" s="2">
        <v>6</v>
      </c>
      <c r="V984" s="2">
        <v>2</v>
      </c>
      <c r="W984" s="2">
        <v>6</v>
      </c>
      <c r="X984" s="2">
        <v>6</v>
      </c>
    </row>
    <row r="985" spans="1:24" x14ac:dyDescent="0.35">
      <c r="A985">
        <v>375</v>
      </c>
      <c r="B985">
        <v>31907</v>
      </c>
      <c r="C985">
        <v>48</v>
      </c>
      <c r="D985">
        <v>0</v>
      </c>
      <c r="E985" s="28">
        <v>7.2356164383561641</v>
      </c>
      <c r="F985" s="28"/>
      <c r="G985" s="28"/>
      <c r="H985" s="28"/>
      <c r="I985" s="28"/>
      <c r="J985" s="28"/>
      <c r="L985" s="37">
        <v>375</v>
      </c>
      <c r="M985" s="3">
        <v>75</v>
      </c>
      <c r="N985" s="3">
        <v>33</v>
      </c>
      <c r="O985" s="3">
        <v>87</v>
      </c>
      <c r="P985" s="3">
        <v>64</v>
      </c>
      <c r="Q985" s="3">
        <v>175</v>
      </c>
      <c r="R985" s="3">
        <v>16</v>
      </c>
      <c r="S985" s="3">
        <v>74</v>
      </c>
      <c r="T985" s="3">
        <v>1</v>
      </c>
      <c r="U985" s="3">
        <v>6</v>
      </c>
      <c r="V985" s="3">
        <v>1</v>
      </c>
      <c r="W985" s="3">
        <v>6</v>
      </c>
      <c r="X985" s="3">
        <v>7</v>
      </c>
    </row>
    <row r="986" spans="1:24" x14ac:dyDescent="0.35">
      <c r="A986">
        <v>372</v>
      </c>
      <c r="B986">
        <v>72967</v>
      </c>
      <c r="C986">
        <v>50</v>
      </c>
      <c r="D986">
        <v>1</v>
      </c>
      <c r="E986" s="28">
        <v>7.4520547945205475</v>
      </c>
      <c r="F986" s="28"/>
      <c r="G986" s="28"/>
      <c r="H986" s="28"/>
      <c r="I986" s="28"/>
      <c r="J986" s="28"/>
      <c r="L986" s="38">
        <v>372</v>
      </c>
      <c r="M986" s="2">
        <v>1</v>
      </c>
      <c r="N986" s="2">
        <v>158</v>
      </c>
      <c r="O986" s="2">
        <v>35</v>
      </c>
      <c r="P986" s="2">
        <v>179</v>
      </c>
      <c r="Q986" s="2">
        <v>0</v>
      </c>
      <c r="R986" s="2">
        <v>0</v>
      </c>
      <c r="S986" s="2">
        <v>125</v>
      </c>
      <c r="T986" s="2">
        <v>2</v>
      </c>
      <c r="U986" s="2">
        <v>7</v>
      </c>
      <c r="V986" s="2">
        <v>2</v>
      </c>
      <c r="W986" s="2">
        <v>8</v>
      </c>
      <c r="X986" s="2">
        <v>5</v>
      </c>
    </row>
    <row r="987" spans="1:24" x14ac:dyDescent="0.35">
      <c r="A987">
        <v>363</v>
      </c>
      <c r="B987">
        <v>46923</v>
      </c>
      <c r="C987">
        <v>33</v>
      </c>
      <c r="D987">
        <v>1</v>
      </c>
      <c r="E987" s="28">
        <v>7.7671232876712333</v>
      </c>
      <c r="F987" s="28"/>
      <c r="G987" s="28"/>
      <c r="H987" s="28"/>
      <c r="I987" s="28"/>
      <c r="J987" s="28"/>
      <c r="L987" s="37">
        <v>363</v>
      </c>
      <c r="M987" s="3">
        <v>90</v>
      </c>
      <c r="N987" s="3">
        <v>85</v>
      </c>
      <c r="O987" s="3">
        <v>44</v>
      </c>
      <c r="P987" s="3">
        <v>54</v>
      </c>
      <c r="Q987" s="3">
        <v>102</v>
      </c>
      <c r="R987" s="3">
        <v>78</v>
      </c>
      <c r="S987" s="3">
        <v>6</v>
      </c>
      <c r="T987" s="3">
        <v>3</v>
      </c>
      <c r="U987" s="3">
        <v>5</v>
      </c>
      <c r="V987" s="3">
        <v>1</v>
      </c>
      <c r="W987" s="3">
        <v>7</v>
      </c>
      <c r="X987" s="3">
        <v>7</v>
      </c>
    </row>
    <row r="988" spans="1:24" x14ac:dyDescent="0.35">
      <c r="A988">
        <v>361</v>
      </c>
      <c r="B988">
        <v>53172</v>
      </c>
      <c r="C988">
        <v>42</v>
      </c>
      <c r="D988">
        <v>1</v>
      </c>
      <c r="E988" s="28">
        <v>7.0630136986301366</v>
      </c>
      <c r="F988" s="28"/>
      <c r="G988" s="28"/>
      <c r="H988" s="28"/>
      <c r="I988" s="28"/>
      <c r="J988" s="28"/>
      <c r="L988" s="38">
        <v>361</v>
      </c>
      <c r="M988" s="2">
        <v>54</v>
      </c>
      <c r="N988" s="2">
        <v>121</v>
      </c>
      <c r="O988" s="2">
        <v>62</v>
      </c>
      <c r="P988" s="2">
        <v>90</v>
      </c>
      <c r="Q988" s="2">
        <v>68</v>
      </c>
      <c r="R988" s="2">
        <v>20</v>
      </c>
      <c r="S988" s="2">
        <v>125</v>
      </c>
      <c r="T988" s="2">
        <v>3</v>
      </c>
      <c r="U988" s="2">
        <v>2</v>
      </c>
      <c r="V988" s="2">
        <v>3</v>
      </c>
      <c r="W988" s="2">
        <v>8</v>
      </c>
      <c r="X988" s="2">
        <v>3</v>
      </c>
    </row>
    <row r="989" spans="1:24" x14ac:dyDescent="0.35">
      <c r="A989">
        <v>360</v>
      </c>
      <c r="B989">
        <v>55267</v>
      </c>
      <c r="C989">
        <v>63</v>
      </c>
      <c r="D989">
        <v>1</v>
      </c>
      <c r="E989" s="28">
        <v>6.602739726027397</v>
      </c>
      <c r="F989" s="28"/>
      <c r="G989" s="28"/>
      <c r="H989" s="28"/>
      <c r="I989" s="28"/>
      <c r="J989" s="28"/>
      <c r="L989" s="37">
        <v>360</v>
      </c>
      <c r="M989" s="3">
        <v>28</v>
      </c>
      <c r="N989" s="3">
        <v>161</v>
      </c>
      <c r="O989" s="3">
        <v>28</v>
      </c>
      <c r="P989" s="3">
        <v>136</v>
      </c>
      <c r="Q989" s="3">
        <v>32</v>
      </c>
      <c r="R989" s="3">
        <v>3</v>
      </c>
      <c r="S989" s="3">
        <v>45</v>
      </c>
      <c r="T989" s="3">
        <v>4</v>
      </c>
      <c r="U989" s="3">
        <v>3</v>
      </c>
      <c r="V989" s="3">
        <v>4</v>
      </c>
      <c r="W989" s="3">
        <v>6</v>
      </c>
      <c r="X989" s="3">
        <v>3</v>
      </c>
    </row>
    <row r="990" spans="1:24" x14ac:dyDescent="0.35">
      <c r="A990">
        <v>358</v>
      </c>
      <c r="B990">
        <v>47009</v>
      </c>
      <c r="C990">
        <v>55</v>
      </c>
      <c r="D990">
        <v>1</v>
      </c>
      <c r="E990" s="28">
        <v>6.6575342465753424</v>
      </c>
      <c r="F990" s="28"/>
      <c r="G990" s="28"/>
      <c r="H990" s="28"/>
      <c r="I990" s="28"/>
      <c r="J990" s="28"/>
      <c r="L990" s="38">
        <v>358</v>
      </c>
      <c r="M990" s="2">
        <v>89</v>
      </c>
      <c r="N990" s="2">
        <v>171</v>
      </c>
      <c r="O990" s="2">
        <v>45</v>
      </c>
      <c r="P990" s="2">
        <v>73</v>
      </c>
      <c r="Q990" s="2">
        <v>59</v>
      </c>
      <c r="R990" s="2">
        <v>10</v>
      </c>
      <c r="S990" s="2">
        <v>90</v>
      </c>
      <c r="T990" s="2">
        <v>4</v>
      </c>
      <c r="U990" s="2">
        <v>3</v>
      </c>
      <c r="V990" s="2">
        <v>2</v>
      </c>
      <c r="W990" s="2">
        <v>8</v>
      </c>
      <c r="X990" s="2">
        <v>4</v>
      </c>
    </row>
    <row r="991" spans="1:24" x14ac:dyDescent="0.35">
      <c r="A991">
        <v>355</v>
      </c>
      <c r="B991">
        <v>42081</v>
      </c>
      <c r="C991">
        <v>38</v>
      </c>
      <c r="D991">
        <v>1</v>
      </c>
      <c r="E991" s="28">
        <v>7.2520547945205482</v>
      </c>
      <c r="F991" s="28"/>
      <c r="G991" s="28"/>
      <c r="H991" s="28"/>
      <c r="I991" s="28"/>
      <c r="J991" s="28"/>
      <c r="L991" s="37">
        <v>355</v>
      </c>
      <c r="M991" s="3">
        <v>86</v>
      </c>
      <c r="N991" s="3">
        <v>175</v>
      </c>
      <c r="O991" s="3">
        <v>10</v>
      </c>
      <c r="P991" s="3">
        <v>110</v>
      </c>
      <c r="Q991" s="3">
        <v>54</v>
      </c>
      <c r="R991" s="3">
        <v>6</v>
      </c>
      <c r="S991" s="3">
        <v>27</v>
      </c>
      <c r="T991" s="3">
        <v>2</v>
      </c>
      <c r="U991" s="3">
        <v>6</v>
      </c>
      <c r="V991" s="3">
        <v>3</v>
      </c>
      <c r="W991" s="3">
        <v>4</v>
      </c>
      <c r="X991" s="3">
        <v>6</v>
      </c>
    </row>
    <row r="992" spans="1:24" x14ac:dyDescent="0.35">
      <c r="A992">
        <v>354</v>
      </c>
      <c r="B992">
        <v>50014</v>
      </c>
      <c r="C992">
        <v>52</v>
      </c>
      <c r="D992">
        <v>1</v>
      </c>
      <c r="E992" s="28">
        <v>6.3479452054794523</v>
      </c>
      <c r="F992" s="28"/>
      <c r="G992" s="28"/>
      <c r="H992" s="28"/>
      <c r="I992" s="28"/>
      <c r="J992" s="28"/>
      <c r="L992" s="38">
        <v>354</v>
      </c>
      <c r="M992" s="2">
        <v>9</v>
      </c>
      <c r="N992" s="2">
        <v>234</v>
      </c>
      <c r="O992" s="2">
        <v>14</v>
      </c>
      <c r="P992" s="2">
        <v>77</v>
      </c>
      <c r="Q992" s="2">
        <v>19</v>
      </c>
      <c r="R992" s="2">
        <v>10</v>
      </c>
      <c r="S992" s="2">
        <v>42</v>
      </c>
      <c r="T992" s="2">
        <v>2</v>
      </c>
      <c r="U992" s="2">
        <v>4</v>
      </c>
      <c r="V992" s="2">
        <v>1</v>
      </c>
      <c r="W992" s="2">
        <v>8</v>
      </c>
      <c r="X992" s="2">
        <v>5</v>
      </c>
    </row>
    <row r="993" spans="1:24" x14ac:dyDescent="0.35">
      <c r="A993">
        <v>354</v>
      </c>
      <c r="B993">
        <v>60905</v>
      </c>
      <c r="C993">
        <v>70</v>
      </c>
      <c r="D993">
        <v>1</v>
      </c>
      <c r="E993" s="28">
        <v>6.4794520547945202</v>
      </c>
      <c r="F993" s="28"/>
      <c r="G993" s="28"/>
      <c r="H993" s="28"/>
      <c r="I993" s="28"/>
      <c r="J993" s="28"/>
      <c r="L993" s="37">
        <v>354</v>
      </c>
      <c r="M993" s="3">
        <v>27</v>
      </c>
      <c r="N993" s="3">
        <v>208</v>
      </c>
      <c r="O993" s="3">
        <v>17</v>
      </c>
      <c r="P993" s="3">
        <v>76</v>
      </c>
      <c r="Q993" s="3">
        <v>36</v>
      </c>
      <c r="R993" s="3">
        <v>17</v>
      </c>
      <c r="S993" s="3">
        <v>38</v>
      </c>
      <c r="T993" s="3">
        <v>2</v>
      </c>
      <c r="U993" s="3">
        <v>3</v>
      </c>
      <c r="V993" s="3">
        <v>3</v>
      </c>
      <c r="W993" s="3">
        <v>7</v>
      </c>
      <c r="X993" s="3">
        <v>2</v>
      </c>
    </row>
    <row r="994" spans="1:24" x14ac:dyDescent="0.35">
      <c r="A994">
        <v>353</v>
      </c>
      <c r="B994">
        <v>40101</v>
      </c>
      <c r="C994">
        <v>35</v>
      </c>
      <c r="D994">
        <v>1</v>
      </c>
      <c r="E994" s="28">
        <v>7.6219178082191785</v>
      </c>
      <c r="F994" s="28"/>
      <c r="G994" s="28"/>
      <c r="H994" s="28"/>
      <c r="I994" s="28"/>
      <c r="J994" s="28"/>
      <c r="L994" s="38">
        <v>353</v>
      </c>
      <c r="M994" s="2">
        <v>73</v>
      </c>
      <c r="N994" s="2">
        <v>171</v>
      </c>
      <c r="O994" s="2">
        <v>3</v>
      </c>
      <c r="P994" s="2">
        <v>129</v>
      </c>
      <c r="Q994" s="2">
        <v>26</v>
      </c>
      <c r="R994" s="2">
        <v>24</v>
      </c>
      <c r="S994" s="2">
        <v>62</v>
      </c>
      <c r="T994" s="2">
        <v>4</v>
      </c>
      <c r="U994" s="2">
        <v>6</v>
      </c>
      <c r="V994" s="2">
        <v>1</v>
      </c>
      <c r="W994" s="2">
        <v>6</v>
      </c>
      <c r="X994" s="2">
        <v>7</v>
      </c>
    </row>
    <row r="995" spans="1:24" x14ac:dyDescent="0.35">
      <c r="A995">
        <v>352</v>
      </c>
      <c r="B995">
        <v>24401</v>
      </c>
      <c r="C995">
        <v>41</v>
      </c>
      <c r="D995">
        <v>0</v>
      </c>
      <c r="E995" s="28">
        <v>7.7424657534246579</v>
      </c>
      <c r="F995" s="28"/>
      <c r="G995" s="28"/>
      <c r="H995" s="28"/>
      <c r="I995" s="28"/>
      <c r="J995" s="28"/>
      <c r="L995" s="37">
        <v>352</v>
      </c>
      <c r="M995" s="3">
        <v>98</v>
      </c>
      <c r="N995" s="3">
        <v>73</v>
      </c>
      <c r="O995" s="3">
        <v>28</v>
      </c>
      <c r="P995" s="3">
        <v>217</v>
      </c>
      <c r="Q995" s="3">
        <v>10</v>
      </c>
      <c r="R995" s="3">
        <v>24</v>
      </c>
      <c r="S995" s="3">
        <v>115</v>
      </c>
      <c r="T995" s="3">
        <v>3</v>
      </c>
      <c r="U995" s="3">
        <v>6</v>
      </c>
      <c r="V995" s="3">
        <v>1</v>
      </c>
      <c r="W995" s="3">
        <v>6</v>
      </c>
      <c r="X995" s="3">
        <v>8</v>
      </c>
    </row>
    <row r="996" spans="1:24" x14ac:dyDescent="0.35">
      <c r="A996">
        <v>352</v>
      </c>
      <c r="B996">
        <v>54984</v>
      </c>
      <c r="C996">
        <v>61</v>
      </c>
      <c r="D996">
        <v>1</v>
      </c>
      <c r="E996" s="28">
        <v>6.0136986301369859</v>
      </c>
      <c r="F996" s="28"/>
      <c r="G996" s="28"/>
      <c r="H996" s="28"/>
      <c r="I996" s="28"/>
      <c r="J996" s="28"/>
      <c r="L996" s="38">
        <v>352</v>
      </c>
      <c r="M996" s="2">
        <v>51</v>
      </c>
      <c r="N996" s="2">
        <v>173</v>
      </c>
      <c r="O996" s="2">
        <v>13</v>
      </c>
      <c r="P996" s="2">
        <v>131</v>
      </c>
      <c r="Q996" s="2">
        <v>32</v>
      </c>
      <c r="R996" s="2">
        <v>3</v>
      </c>
      <c r="S996" s="2">
        <v>6</v>
      </c>
      <c r="T996" s="2">
        <v>4</v>
      </c>
      <c r="U996" s="2">
        <v>6</v>
      </c>
      <c r="V996" s="2">
        <v>1</v>
      </c>
      <c r="W996" s="2">
        <v>6</v>
      </c>
      <c r="X996" s="2">
        <v>7</v>
      </c>
    </row>
    <row r="997" spans="1:24" x14ac:dyDescent="0.35">
      <c r="A997">
        <v>351</v>
      </c>
      <c r="B997">
        <v>66503</v>
      </c>
      <c r="C997">
        <v>35</v>
      </c>
      <c r="D997">
        <v>1</v>
      </c>
      <c r="E997" s="28">
        <v>7.7890410958904113</v>
      </c>
      <c r="F997" s="28"/>
      <c r="G997" s="28"/>
      <c r="H997" s="28"/>
      <c r="I997" s="28"/>
      <c r="J997" s="28"/>
      <c r="L997" s="37">
        <v>351</v>
      </c>
      <c r="M997" s="3">
        <v>30</v>
      </c>
      <c r="N997" s="3">
        <v>91</v>
      </c>
      <c r="O997" s="3">
        <v>64</v>
      </c>
      <c r="P997" s="3">
        <v>128</v>
      </c>
      <c r="Q997" s="3">
        <v>65</v>
      </c>
      <c r="R997" s="3">
        <v>3</v>
      </c>
      <c r="S997" s="3">
        <v>50</v>
      </c>
      <c r="T997" s="3">
        <v>2</v>
      </c>
      <c r="U997" s="3">
        <v>4</v>
      </c>
      <c r="V997" s="3">
        <v>3</v>
      </c>
      <c r="W997" s="3">
        <v>6</v>
      </c>
      <c r="X997" s="3">
        <v>3</v>
      </c>
    </row>
    <row r="998" spans="1:24" x14ac:dyDescent="0.35">
      <c r="A998">
        <v>351</v>
      </c>
      <c r="B998">
        <v>37150</v>
      </c>
      <c r="C998">
        <v>49</v>
      </c>
      <c r="D998">
        <v>1</v>
      </c>
      <c r="E998" s="28">
        <v>7.7123287671232879</v>
      </c>
      <c r="F998" s="28"/>
      <c r="G998" s="28"/>
      <c r="H998" s="28"/>
      <c r="I998" s="28"/>
      <c r="J998" s="28"/>
      <c r="L998" s="38">
        <v>351</v>
      </c>
      <c r="M998" s="2">
        <v>80</v>
      </c>
      <c r="N998" s="2">
        <v>167</v>
      </c>
      <c r="O998" s="2">
        <v>37</v>
      </c>
      <c r="P998" s="2">
        <v>64</v>
      </c>
      <c r="Q998" s="2">
        <v>49</v>
      </c>
      <c r="R998" s="2">
        <v>34</v>
      </c>
      <c r="S998" s="2">
        <v>116</v>
      </c>
      <c r="T998" s="2">
        <v>8</v>
      </c>
      <c r="U998" s="2">
        <v>4</v>
      </c>
      <c r="V998" s="2">
        <v>3</v>
      </c>
      <c r="W998" s="2">
        <v>6</v>
      </c>
      <c r="X998" s="2">
        <v>7</v>
      </c>
    </row>
    <row r="999" spans="1:24" x14ac:dyDescent="0.35">
      <c r="A999">
        <v>350</v>
      </c>
      <c r="B999">
        <v>49854</v>
      </c>
      <c r="C999">
        <v>48</v>
      </c>
      <c r="D999">
        <v>1</v>
      </c>
      <c r="E999" s="28">
        <v>6.5479452054794525</v>
      </c>
      <c r="F999" s="28"/>
      <c r="G999" s="28"/>
      <c r="H999" s="28"/>
      <c r="I999" s="28"/>
      <c r="J999" s="28"/>
      <c r="L999" s="37">
        <v>350</v>
      </c>
      <c r="M999" s="3">
        <v>63</v>
      </c>
      <c r="N999" s="3">
        <v>123</v>
      </c>
      <c r="O999" s="3">
        <v>17</v>
      </c>
      <c r="P999" s="3">
        <v>171</v>
      </c>
      <c r="Q999" s="3">
        <v>39</v>
      </c>
      <c r="R999" s="3">
        <v>0</v>
      </c>
      <c r="S999" s="3">
        <v>30</v>
      </c>
      <c r="T999" s="3">
        <v>5</v>
      </c>
      <c r="U999" s="3">
        <v>6</v>
      </c>
      <c r="V999" s="3">
        <v>2</v>
      </c>
      <c r="W999" s="3">
        <v>5</v>
      </c>
      <c r="X999" s="3">
        <v>6</v>
      </c>
    </row>
    <row r="1000" spans="1:24" x14ac:dyDescent="0.35">
      <c r="A1000">
        <v>350</v>
      </c>
      <c r="B1000">
        <v>46998</v>
      </c>
      <c r="C1000">
        <v>64</v>
      </c>
      <c r="D1000">
        <v>1</v>
      </c>
      <c r="E1000" s="28">
        <v>7.6</v>
      </c>
      <c r="F1000" s="28"/>
      <c r="G1000" s="28"/>
      <c r="H1000" s="28"/>
      <c r="I1000" s="28"/>
      <c r="J1000" s="28"/>
      <c r="L1000" s="38">
        <v>350</v>
      </c>
      <c r="M1000" s="2">
        <v>55</v>
      </c>
      <c r="N1000" s="2">
        <v>172</v>
      </c>
      <c r="O1000" s="2">
        <v>41</v>
      </c>
      <c r="P1000" s="2">
        <v>86</v>
      </c>
      <c r="Q1000" s="2">
        <v>45</v>
      </c>
      <c r="R1000" s="2">
        <v>6</v>
      </c>
      <c r="S1000" s="2">
        <v>27</v>
      </c>
      <c r="T1000" s="2">
        <v>5</v>
      </c>
      <c r="U1000" s="2">
        <v>5</v>
      </c>
      <c r="V1000" s="2">
        <v>3</v>
      </c>
      <c r="W1000" s="2">
        <v>5</v>
      </c>
      <c r="X1000" s="2">
        <v>7</v>
      </c>
    </row>
    <row r="1001" spans="1:24" x14ac:dyDescent="0.35">
      <c r="A1001">
        <v>350</v>
      </c>
      <c r="B1001">
        <v>41638</v>
      </c>
      <c r="C1001">
        <v>56</v>
      </c>
      <c r="D1001">
        <v>1</v>
      </c>
      <c r="E1001" s="28">
        <v>7.2876712328767121</v>
      </c>
      <c r="F1001" s="28"/>
      <c r="G1001" s="28"/>
      <c r="H1001" s="28"/>
      <c r="I1001" s="28"/>
      <c r="J1001" s="28"/>
      <c r="L1001" s="37">
        <v>350</v>
      </c>
      <c r="M1001" s="3">
        <v>68</v>
      </c>
      <c r="N1001" s="3">
        <v>315</v>
      </c>
      <c r="O1001" s="3">
        <v>0</v>
      </c>
      <c r="P1001" s="3">
        <v>31</v>
      </c>
      <c r="Q1001" s="3">
        <v>4</v>
      </c>
      <c r="R1001" s="3">
        <v>0</v>
      </c>
      <c r="S1001" s="3">
        <v>91</v>
      </c>
      <c r="T1001" s="3">
        <v>4</v>
      </c>
      <c r="U1001" s="3">
        <v>5</v>
      </c>
      <c r="V1001" s="3">
        <v>5</v>
      </c>
      <c r="W1001" s="3">
        <v>3</v>
      </c>
      <c r="X1001" s="3">
        <v>8</v>
      </c>
    </row>
    <row r="1002" spans="1:24" x14ac:dyDescent="0.35">
      <c r="A1002">
        <v>349</v>
      </c>
      <c r="B1002">
        <v>45837</v>
      </c>
      <c r="C1002">
        <v>46</v>
      </c>
      <c r="D1002">
        <v>1</v>
      </c>
      <c r="E1002" s="28">
        <v>6.8410958904109593</v>
      </c>
      <c r="F1002" s="28"/>
      <c r="G1002" s="28"/>
      <c r="H1002" s="28"/>
      <c r="I1002" s="28"/>
      <c r="J1002" s="28"/>
      <c r="L1002" s="38">
        <v>349</v>
      </c>
      <c r="M1002" s="2">
        <v>88</v>
      </c>
      <c r="N1002" s="2">
        <v>215</v>
      </c>
      <c r="O1002" s="2">
        <v>13</v>
      </c>
      <c r="P1002" s="2">
        <v>87</v>
      </c>
      <c r="Q1002" s="2">
        <v>17</v>
      </c>
      <c r="R1002" s="2">
        <v>17</v>
      </c>
      <c r="S1002" s="2">
        <v>24</v>
      </c>
      <c r="T1002" s="2">
        <v>5</v>
      </c>
      <c r="U1002" s="2">
        <v>6</v>
      </c>
      <c r="V1002" s="2">
        <v>2</v>
      </c>
      <c r="W1002" s="2">
        <v>5</v>
      </c>
      <c r="X1002" s="2">
        <v>7</v>
      </c>
    </row>
    <row r="1003" spans="1:24" x14ac:dyDescent="0.35">
      <c r="A1003">
        <v>349</v>
      </c>
      <c r="B1003">
        <v>54730</v>
      </c>
      <c r="C1003">
        <v>45</v>
      </c>
      <c r="D1003">
        <v>1</v>
      </c>
      <c r="E1003" s="28">
        <v>6.7863013698630139</v>
      </c>
      <c r="F1003" s="28"/>
      <c r="G1003" s="28"/>
      <c r="H1003" s="28"/>
      <c r="I1003" s="28"/>
      <c r="J1003" s="28"/>
      <c r="L1003" s="37">
        <v>349</v>
      </c>
      <c r="M1003" s="3">
        <v>64</v>
      </c>
      <c r="N1003" s="3">
        <v>318</v>
      </c>
      <c r="O1003" s="3">
        <v>3</v>
      </c>
      <c r="P1003" s="3">
        <v>17</v>
      </c>
      <c r="Q1003" s="3">
        <v>4</v>
      </c>
      <c r="R1003" s="3">
        <v>7</v>
      </c>
      <c r="S1003" s="3">
        <v>56</v>
      </c>
      <c r="T1003" s="3">
        <v>5</v>
      </c>
      <c r="U1003" s="3">
        <v>4</v>
      </c>
      <c r="V1003" s="3">
        <v>1</v>
      </c>
      <c r="W1003" s="3">
        <v>8</v>
      </c>
      <c r="X1003" s="3">
        <v>4</v>
      </c>
    </row>
    <row r="1004" spans="1:24" x14ac:dyDescent="0.35">
      <c r="A1004">
        <v>348</v>
      </c>
      <c r="B1004">
        <v>49431</v>
      </c>
      <c r="C1004">
        <v>65</v>
      </c>
      <c r="D1004">
        <v>1</v>
      </c>
      <c r="E1004" s="28">
        <v>7.8191780821917805</v>
      </c>
      <c r="F1004" s="28"/>
      <c r="G1004" s="28"/>
      <c r="H1004" s="28"/>
      <c r="I1004" s="28"/>
      <c r="J1004" s="28"/>
      <c r="L1004" s="38">
        <v>348</v>
      </c>
      <c r="M1004" s="2">
        <v>9</v>
      </c>
      <c r="N1004" s="2">
        <v>219</v>
      </c>
      <c r="O1004" s="2">
        <v>3</v>
      </c>
      <c r="P1004" s="2">
        <v>100</v>
      </c>
      <c r="Q1004" s="2">
        <v>26</v>
      </c>
      <c r="R1004" s="2">
        <v>0</v>
      </c>
      <c r="S1004" s="2">
        <v>17</v>
      </c>
      <c r="T1004" s="2">
        <v>2</v>
      </c>
      <c r="U1004" s="2">
        <v>7</v>
      </c>
      <c r="V1004" s="2">
        <v>1</v>
      </c>
      <c r="W1004" s="2">
        <v>5</v>
      </c>
      <c r="X1004" s="2">
        <v>8</v>
      </c>
    </row>
    <row r="1005" spans="1:24" x14ac:dyDescent="0.35">
      <c r="A1005">
        <v>348</v>
      </c>
      <c r="B1005">
        <v>52914</v>
      </c>
      <c r="C1005">
        <v>49</v>
      </c>
      <c r="D1005">
        <v>1</v>
      </c>
      <c r="E1005" s="28">
        <v>7.3890410958904109</v>
      </c>
      <c r="F1005" s="28"/>
      <c r="G1005" s="28"/>
      <c r="H1005" s="28"/>
      <c r="I1005" s="28"/>
      <c r="J1005" s="28"/>
      <c r="L1005" s="37">
        <v>348</v>
      </c>
      <c r="M1005" s="3">
        <v>32</v>
      </c>
      <c r="N1005" s="3">
        <v>254</v>
      </c>
      <c r="O1005" s="3">
        <v>10</v>
      </c>
      <c r="P1005" s="3">
        <v>44</v>
      </c>
      <c r="Q1005" s="3">
        <v>30</v>
      </c>
      <c r="R1005" s="3">
        <v>10</v>
      </c>
      <c r="S1005" s="3">
        <v>227</v>
      </c>
      <c r="T1005" s="3">
        <v>2</v>
      </c>
      <c r="U1005" s="3">
        <v>7</v>
      </c>
      <c r="V1005" s="3">
        <v>3</v>
      </c>
      <c r="W1005" s="3">
        <v>3</v>
      </c>
      <c r="X1005" s="3">
        <v>7</v>
      </c>
    </row>
    <row r="1006" spans="1:24" x14ac:dyDescent="0.35">
      <c r="A1006">
        <v>348</v>
      </c>
      <c r="B1006">
        <v>50501</v>
      </c>
      <c r="C1006">
        <v>66</v>
      </c>
      <c r="D1006">
        <v>1</v>
      </c>
      <c r="E1006" s="28">
        <v>6.9452054794520546</v>
      </c>
      <c r="F1006" s="28"/>
      <c r="G1006" s="28"/>
      <c r="H1006" s="28"/>
      <c r="I1006" s="28"/>
      <c r="J1006" s="28"/>
      <c r="L1006" s="38">
        <v>348</v>
      </c>
      <c r="M1006" s="2">
        <v>10</v>
      </c>
      <c r="N1006" s="2">
        <v>297</v>
      </c>
      <c r="O1006" s="2">
        <v>0</v>
      </c>
      <c r="P1006" s="2">
        <v>38</v>
      </c>
      <c r="Q1006" s="2">
        <v>13</v>
      </c>
      <c r="R1006" s="2">
        <v>0</v>
      </c>
      <c r="S1006" s="2">
        <v>152</v>
      </c>
      <c r="T1006" s="2">
        <v>7</v>
      </c>
      <c r="U1006" s="2">
        <v>5</v>
      </c>
      <c r="V1006" s="2">
        <v>4</v>
      </c>
      <c r="W1006" s="2">
        <v>4</v>
      </c>
      <c r="X1006" s="2">
        <v>6</v>
      </c>
    </row>
    <row r="1007" spans="1:24" x14ac:dyDescent="0.35">
      <c r="A1007">
        <v>347</v>
      </c>
      <c r="B1007">
        <v>30538</v>
      </c>
      <c r="C1007">
        <v>49</v>
      </c>
      <c r="D1007">
        <v>1</v>
      </c>
      <c r="E1007" s="28">
        <v>7.6575342465753424</v>
      </c>
      <c r="F1007" s="28"/>
      <c r="G1007" s="28"/>
      <c r="H1007" s="28"/>
      <c r="I1007" s="28"/>
      <c r="J1007" s="28"/>
      <c r="L1007" s="37">
        <v>347</v>
      </c>
      <c r="M1007" s="3">
        <v>27</v>
      </c>
      <c r="N1007" s="3">
        <v>284</v>
      </c>
      <c r="O1007" s="3">
        <v>0</v>
      </c>
      <c r="P1007" s="3">
        <v>52</v>
      </c>
      <c r="Q1007" s="3">
        <v>8</v>
      </c>
      <c r="R1007" s="3">
        <v>3</v>
      </c>
      <c r="S1007" s="3">
        <v>20</v>
      </c>
      <c r="T1007" s="3">
        <v>4</v>
      </c>
      <c r="U1007" s="3">
        <v>9</v>
      </c>
      <c r="V1007" s="3">
        <v>0</v>
      </c>
      <c r="W1007" s="3">
        <v>4</v>
      </c>
      <c r="X1007" s="3">
        <v>10</v>
      </c>
    </row>
    <row r="1008" spans="1:24" x14ac:dyDescent="0.35">
      <c r="A1008">
        <v>346</v>
      </c>
      <c r="B1008">
        <v>62535</v>
      </c>
      <c r="C1008">
        <v>65</v>
      </c>
      <c r="D1008">
        <v>1</v>
      </c>
      <c r="E1008" s="28">
        <v>6.6520547945205477</v>
      </c>
      <c r="F1008" s="28"/>
      <c r="G1008" s="28"/>
      <c r="H1008" s="28"/>
      <c r="I1008" s="28"/>
      <c r="J1008" s="28"/>
      <c r="L1008" s="38">
        <v>346</v>
      </c>
      <c r="M1008" s="2">
        <v>13</v>
      </c>
      <c r="N1008" s="2">
        <v>163</v>
      </c>
      <c r="O1008" s="2">
        <v>48</v>
      </c>
      <c r="P1008" s="2">
        <v>90</v>
      </c>
      <c r="Q1008" s="2">
        <v>0</v>
      </c>
      <c r="R1008" s="2">
        <v>45</v>
      </c>
      <c r="S1008" s="2">
        <v>52</v>
      </c>
      <c r="T1008" s="2">
        <v>1</v>
      </c>
      <c r="U1008" s="2">
        <v>3</v>
      </c>
      <c r="V1008" s="2">
        <v>2</v>
      </c>
      <c r="W1008" s="2">
        <v>8</v>
      </c>
      <c r="X1008" s="2">
        <v>3</v>
      </c>
    </row>
    <row r="1009" spans="1:24" x14ac:dyDescent="0.35">
      <c r="A1009">
        <v>345</v>
      </c>
      <c r="B1009">
        <v>67472</v>
      </c>
      <c r="C1009">
        <v>73</v>
      </c>
      <c r="D1009">
        <v>1</v>
      </c>
      <c r="E1009" s="28">
        <v>6.6657534246575345</v>
      </c>
      <c r="F1009" s="28"/>
      <c r="G1009" s="28"/>
      <c r="H1009" s="28"/>
      <c r="I1009" s="28"/>
      <c r="J1009" s="28"/>
      <c r="L1009" s="37">
        <v>345</v>
      </c>
      <c r="M1009" s="3">
        <v>93</v>
      </c>
      <c r="N1009" s="3">
        <v>162</v>
      </c>
      <c r="O1009" s="3">
        <v>31</v>
      </c>
      <c r="P1009" s="3">
        <v>127</v>
      </c>
      <c r="Q1009" s="3">
        <v>8</v>
      </c>
      <c r="R1009" s="3">
        <v>17</v>
      </c>
      <c r="S1009" s="3">
        <v>69</v>
      </c>
      <c r="T1009" s="3">
        <v>2</v>
      </c>
      <c r="U1009" s="3">
        <v>4</v>
      </c>
      <c r="V1009" s="3">
        <v>2</v>
      </c>
      <c r="W1009" s="3">
        <v>7</v>
      </c>
      <c r="X1009" s="3">
        <v>3</v>
      </c>
    </row>
    <row r="1010" spans="1:24" x14ac:dyDescent="0.35">
      <c r="A1010">
        <v>345</v>
      </c>
      <c r="B1010">
        <v>56181</v>
      </c>
      <c r="C1010">
        <v>58</v>
      </c>
      <c r="D1010">
        <v>1</v>
      </c>
      <c r="E1010" s="28">
        <v>7.3863013698630136</v>
      </c>
      <c r="F1010" s="28"/>
      <c r="G1010" s="28"/>
      <c r="H1010" s="28"/>
      <c r="I1010" s="28"/>
      <c r="J1010" s="28"/>
      <c r="L1010" s="38">
        <v>345</v>
      </c>
      <c r="M1010" s="2">
        <v>6</v>
      </c>
      <c r="N1010" s="2">
        <v>121</v>
      </c>
      <c r="O1010" s="2">
        <v>103</v>
      </c>
      <c r="P1010" s="2">
        <v>69</v>
      </c>
      <c r="Q1010" s="2">
        <v>8</v>
      </c>
      <c r="R1010" s="2">
        <v>44</v>
      </c>
      <c r="S1010" s="2">
        <v>48</v>
      </c>
      <c r="T1010" s="2">
        <v>1</v>
      </c>
      <c r="U1010" s="2">
        <v>4</v>
      </c>
      <c r="V1010" s="2">
        <v>2</v>
      </c>
      <c r="W1010" s="2">
        <v>7</v>
      </c>
      <c r="X1010" s="2">
        <v>4</v>
      </c>
    </row>
    <row r="1011" spans="1:24" x14ac:dyDescent="0.35">
      <c r="A1011">
        <v>345</v>
      </c>
      <c r="B1011">
        <v>44124</v>
      </c>
      <c r="C1011">
        <v>74</v>
      </c>
      <c r="D1011">
        <v>1</v>
      </c>
      <c r="E1011" s="28">
        <v>7.0493150684931507</v>
      </c>
      <c r="F1011" s="28"/>
      <c r="G1011" s="28"/>
      <c r="H1011" s="28"/>
      <c r="I1011" s="28"/>
      <c r="J1011" s="28"/>
      <c r="L1011" s="37">
        <v>345</v>
      </c>
      <c r="M1011" s="3">
        <v>62</v>
      </c>
      <c r="N1011" s="3">
        <v>284</v>
      </c>
      <c r="O1011" s="3">
        <v>0</v>
      </c>
      <c r="P1011" s="3">
        <v>55</v>
      </c>
      <c r="Q1011" s="3">
        <v>0</v>
      </c>
      <c r="R1011" s="3">
        <v>6</v>
      </c>
      <c r="S1011" s="3">
        <v>52</v>
      </c>
      <c r="T1011" s="3">
        <v>4</v>
      </c>
      <c r="U1011" s="3">
        <v>6</v>
      </c>
      <c r="V1011" s="3">
        <v>2</v>
      </c>
      <c r="W1011" s="3">
        <v>5</v>
      </c>
      <c r="X1011" s="3">
        <v>8</v>
      </c>
    </row>
    <row r="1012" spans="1:24" x14ac:dyDescent="0.35">
      <c r="A1012">
        <v>345</v>
      </c>
      <c r="B1012">
        <v>40689</v>
      </c>
      <c r="C1012">
        <v>69</v>
      </c>
      <c r="D1012">
        <v>1</v>
      </c>
      <c r="E1012" s="28">
        <v>7.1972602739726028</v>
      </c>
      <c r="F1012" s="28"/>
      <c r="G1012" s="28"/>
      <c r="H1012" s="28"/>
      <c r="I1012" s="28"/>
      <c r="J1012" s="28"/>
      <c r="L1012" s="38">
        <v>345</v>
      </c>
      <c r="M1012" s="2">
        <v>69</v>
      </c>
      <c r="N1012" s="2">
        <v>270</v>
      </c>
      <c r="O1012" s="2">
        <v>3</v>
      </c>
      <c r="P1012" s="2">
        <v>27</v>
      </c>
      <c r="Q1012" s="2">
        <v>39</v>
      </c>
      <c r="R1012" s="2">
        <v>6</v>
      </c>
      <c r="S1012" s="2">
        <v>99</v>
      </c>
      <c r="T1012" s="2">
        <v>7</v>
      </c>
      <c r="U1012" s="2">
        <v>7</v>
      </c>
      <c r="V1012" s="2">
        <v>1</v>
      </c>
      <c r="W1012" s="2">
        <v>5</v>
      </c>
      <c r="X1012" s="2">
        <v>8</v>
      </c>
    </row>
    <row r="1013" spans="1:24" x14ac:dyDescent="0.35">
      <c r="A1013">
        <v>344</v>
      </c>
      <c r="B1013">
        <v>48904</v>
      </c>
      <c r="C1013">
        <v>60</v>
      </c>
      <c r="D1013">
        <v>1</v>
      </c>
      <c r="E1013" s="28">
        <v>7.4876712328767123</v>
      </c>
      <c r="F1013" s="28"/>
      <c r="G1013" s="28"/>
      <c r="H1013" s="28"/>
      <c r="I1013" s="28"/>
      <c r="J1013" s="28"/>
      <c r="L1013" s="37">
        <v>344</v>
      </c>
      <c r="M1013" s="3">
        <v>1</v>
      </c>
      <c r="N1013" s="3">
        <v>283</v>
      </c>
      <c r="O1013" s="3">
        <v>10</v>
      </c>
      <c r="P1013" s="3">
        <v>38</v>
      </c>
      <c r="Q1013" s="3">
        <v>0</v>
      </c>
      <c r="R1013" s="3">
        <v>13</v>
      </c>
      <c r="S1013" s="3">
        <v>27</v>
      </c>
      <c r="T1013" s="3">
        <v>4</v>
      </c>
      <c r="U1013" s="3">
        <v>7</v>
      </c>
      <c r="V1013" s="3">
        <v>2</v>
      </c>
      <c r="W1013" s="3">
        <v>4</v>
      </c>
      <c r="X1013" s="3">
        <v>8</v>
      </c>
    </row>
    <row r="1014" spans="1:24" x14ac:dyDescent="0.35">
      <c r="A1014">
        <v>343</v>
      </c>
      <c r="B1014">
        <v>39552</v>
      </c>
      <c r="C1014">
        <v>58</v>
      </c>
      <c r="D1014">
        <v>1</v>
      </c>
      <c r="E1014" s="28">
        <v>7.4438356164383563</v>
      </c>
      <c r="F1014" s="28"/>
      <c r="G1014" s="28"/>
      <c r="H1014" s="28"/>
      <c r="I1014" s="28"/>
      <c r="J1014" s="28"/>
      <c r="L1014" s="38">
        <v>343</v>
      </c>
      <c r="M1014" s="2">
        <v>54</v>
      </c>
      <c r="N1014" s="2">
        <v>165</v>
      </c>
      <c r="O1014" s="2">
        <v>3</v>
      </c>
      <c r="P1014" s="2">
        <v>147</v>
      </c>
      <c r="Q1014" s="2">
        <v>4</v>
      </c>
      <c r="R1014" s="2">
        <v>24</v>
      </c>
      <c r="S1014" s="2">
        <v>41</v>
      </c>
      <c r="T1014" s="2">
        <v>7</v>
      </c>
      <c r="U1014" s="2">
        <v>6</v>
      </c>
      <c r="V1014" s="2">
        <v>2</v>
      </c>
      <c r="W1014" s="2">
        <v>5</v>
      </c>
      <c r="X1014" s="2">
        <v>8</v>
      </c>
    </row>
    <row r="1015" spans="1:24" x14ac:dyDescent="0.35">
      <c r="A1015">
        <v>343</v>
      </c>
      <c r="B1015">
        <v>40780</v>
      </c>
      <c r="C1015">
        <v>44</v>
      </c>
      <c r="D1015">
        <v>1</v>
      </c>
      <c r="E1015" s="28">
        <v>7.720547945205479</v>
      </c>
      <c r="F1015" s="28"/>
      <c r="G1015" s="28"/>
      <c r="H1015" s="28"/>
      <c r="I1015" s="28"/>
      <c r="J1015" s="28"/>
      <c r="L1015" s="37">
        <v>343</v>
      </c>
      <c r="M1015" s="3">
        <v>30</v>
      </c>
      <c r="N1015" s="3">
        <v>229</v>
      </c>
      <c r="O1015" s="3">
        <v>27</v>
      </c>
      <c r="P1015" s="3">
        <v>71</v>
      </c>
      <c r="Q1015" s="3">
        <v>13</v>
      </c>
      <c r="R1015" s="3">
        <v>3</v>
      </c>
      <c r="S1015" s="3">
        <v>34</v>
      </c>
      <c r="T1015" s="3">
        <v>4</v>
      </c>
      <c r="U1015" s="3">
        <v>7</v>
      </c>
      <c r="V1015" s="3">
        <v>1</v>
      </c>
      <c r="W1015" s="3">
        <v>5</v>
      </c>
      <c r="X1015" s="3">
        <v>9</v>
      </c>
    </row>
    <row r="1016" spans="1:24" x14ac:dyDescent="0.35">
      <c r="A1016">
        <v>343</v>
      </c>
      <c r="B1016">
        <v>42213</v>
      </c>
      <c r="C1016">
        <v>63</v>
      </c>
      <c r="D1016">
        <v>1</v>
      </c>
      <c r="E1016" s="28">
        <v>6.6273972602739724</v>
      </c>
      <c r="F1016" s="28"/>
      <c r="G1016" s="28"/>
      <c r="H1016" s="28"/>
      <c r="I1016" s="28"/>
      <c r="J1016" s="28"/>
      <c r="L1016" s="38">
        <v>343</v>
      </c>
      <c r="M1016" s="2">
        <v>96</v>
      </c>
      <c r="N1016" s="2">
        <v>309</v>
      </c>
      <c r="O1016" s="2">
        <v>3</v>
      </c>
      <c r="P1016" s="2">
        <v>24</v>
      </c>
      <c r="Q1016" s="2">
        <v>4</v>
      </c>
      <c r="R1016" s="2">
        <v>3</v>
      </c>
      <c r="S1016" s="2">
        <v>20</v>
      </c>
      <c r="T1016" s="2">
        <v>2</v>
      </c>
      <c r="U1016" s="2">
        <v>5</v>
      </c>
      <c r="V1016" s="2">
        <v>1</v>
      </c>
      <c r="W1016" s="2">
        <v>7</v>
      </c>
      <c r="X1016" s="2">
        <v>7</v>
      </c>
    </row>
    <row r="1017" spans="1:24" x14ac:dyDescent="0.35">
      <c r="A1017">
        <v>342</v>
      </c>
      <c r="B1017">
        <v>46610</v>
      </c>
      <c r="C1017">
        <v>62</v>
      </c>
      <c r="D1017">
        <v>0</v>
      </c>
      <c r="E1017" s="28">
        <v>6.8630136986301373</v>
      </c>
      <c r="F1017" s="28"/>
      <c r="G1017" s="28"/>
      <c r="H1017" s="28"/>
      <c r="I1017" s="28"/>
      <c r="J1017" s="28"/>
      <c r="L1017" s="37">
        <v>342</v>
      </c>
      <c r="M1017" s="3">
        <v>4</v>
      </c>
      <c r="N1017" s="3">
        <v>288</v>
      </c>
      <c r="O1017" s="3">
        <v>10</v>
      </c>
      <c r="P1017" s="3">
        <v>30</v>
      </c>
      <c r="Q1017" s="3">
        <v>4</v>
      </c>
      <c r="R1017" s="3">
        <v>10</v>
      </c>
      <c r="S1017" s="3">
        <v>125</v>
      </c>
      <c r="T1017" s="3">
        <v>1</v>
      </c>
      <c r="U1017" s="3">
        <v>6</v>
      </c>
      <c r="V1017" s="3">
        <v>1</v>
      </c>
      <c r="W1017" s="3">
        <v>6</v>
      </c>
      <c r="X1017" s="3">
        <v>6</v>
      </c>
    </row>
    <row r="1018" spans="1:24" x14ac:dyDescent="0.35">
      <c r="A1018">
        <v>342</v>
      </c>
      <c r="B1018">
        <v>45906</v>
      </c>
      <c r="C1018">
        <v>56</v>
      </c>
      <c r="D1018">
        <v>1</v>
      </c>
      <c r="E1018" s="28">
        <v>7.0602739726027401</v>
      </c>
      <c r="F1018" s="28"/>
      <c r="G1018" s="28"/>
      <c r="H1018" s="28"/>
      <c r="I1018" s="28"/>
      <c r="J1018" s="28"/>
      <c r="L1018" s="38">
        <v>342</v>
      </c>
      <c r="M1018" s="2">
        <v>20</v>
      </c>
      <c r="N1018" s="2">
        <v>305</v>
      </c>
      <c r="O1018" s="2">
        <v>3</v>
      </c>
      <c r="P1018" s="2">
        <v>27</v>
      </c>
      <c r="Q1018" s="2">
        <v>4</v>
      </c>
      <c r="R1018" s="2">
        <v>3</v>
      </c>
      <c r="S1018" s="2">
        <v>144</v>
      </c>
      <c r="T1018" s="2">
        <v>2</v>
      </c>
      <c r="U1018" s="2">
        <v>5</v>
      </c>
      <c r="V1018" s="2">
        <v>4</v>
      </c>
      <c r="W1018" s="2">
        <v>4</v>
      </c>
      <c r="X1018" s="2">
        <v>5</v>
      </c>
    </row>
    <row r="1019" spans="1:24" x14ac:dyDescent="0.35">
      <c r="A1019">
        <v>341</v>
      </c>
      <c r="B1019">
        <v>36715</v>
      </c>
      <c r="C1019">
        <v>49</v>
      </c>
      <c r="D1019">
        <v>1</v>
      </c>
      <c r="E1019" s="28">
        <v>7.5287671232876709</v>
      </c>
      <c r="F1019" s="28"/>
      <c r="G1019" s="28"/>
      <c r="H1019" s="28"/>
      <c r="I1019" s="28"/>
      <c r="J1019" s="28"/>
      <c r="L1019" s="37">
        <v>341</v>
      </c>
      <c r="M1019" s="3">
        <v>16</v>
      </c>
      <c r="N1019" s="3">
        <v>172</v>
      </c>
      <c r="O1019" s="3">
        <v>10</v>
      </c>
      <c r="P1019" s="3">
        <v>125</v>
      </c>
      <c r="Q1019" s="3">
        <v>21</v>
      </c>
      <c r="R1019" s="3">
        <v>13</v>
      </c>
      <c r="S1019" s="3">
        <v>16</v>
      </c>
      <c r="T1019" s="3">
        <v>6</v>
      </c>
      <c r="U1019" s="3">
        <v>7</v>
      </c>
      <c r="V1019" s="3">
        <v>2</v>
      </c>
      <c r="W1019" s="3">
        <v>4</v>
      </c>
      <c r="X1019" s="3">
        <v>9</v>
      </c>
    </row>
    <row r="1020" spans="1:24" x14ac:dyDescent="0.35">
      <c r="A1020">
        <v>341</v>
      </c>
      <c r="B1020">
        <v>48920</v>
      </c>
      <c r="C1020">
        <v>56</v>
      </c>
      <c r="D1020">
        <v>1</v>
      </c>
      <c r="E1020" s="28">
        <v>6.6054794520547944</v>
      </c>
      <c r="F1020" s="28"/>
      <c r="G1020" s="28"/>
      <c r="H1020" s="28"/>
      <c r="I1020" s="28"/>
      <c r="J1020" s="28"/>
      <c r="L1020" s="38">
        <v>341</v>
      </c>
      <c r="M1020" s="2">
        <v>93</v>
      </c>
      <c r="N1020" s="2">
        <v>238</v>
      </c>
      <c r="O1020" s="2">
        <v>17</v>
      </c>
      <c r="P1020" s="2">
        <v>68</v>
      </c>
      <c r="Q1020" s="2">
        <v>8</v>
      </c>
      <c r="R1020" s="2">
        <v>10</v>
      </c>
      <c r="S1020" s="2">
        <v>6</v>
      </c>
      <c r="T1020" s="2">
        <v>3</v>
      </c>
      <c r="U1020" s="2">
        <v>6</v>
      </c>
      <c r="V1020" s="2">
        <v>2</v>
      </c>
      <c r="W1020" s="2">
        <v>5</v>
      </c>
      <c r="X1020" s="2">
        <v>7</v>
      </c>
    </row>
    <row r="1021" spans="1:24" x14ac:dyDescent="0.35">
      <c r="A1021">
        <v>341</v>
      </c>
      <c r="B1021">
        <v>51651</v>
      </c>
      <c r="C1021">
        <v>60</v>
      </c>
      <c r="D1021">
        <v>1</v>
      </c>
      <c r="E1021" s="28">
        <v>7.5561643835616437</v>
      </c>
      <c r="F1021" s="28"/>
      <c r="G1021" s="28"/>
      <c r="H1021" s="28"/>
      <c r="I1021" s="28"/>
      <c r="J1021" s="28"/>
      <c r="L1021" s="37">
        <v>341</v>
      </c>
      <c r="M1021" s="3">
        <v>32</v>
      </c>
      <c r="N1021" s="3">
        <v>293</v>
      </c>
      <c r="O1021" s="3">
        <v>6</v>
      </c>
      <c r="P1021" s="3">
        <v>23</v>
      </c>
      <c r="Q1021" s="3">
        <v>13</v>
      </c>
      <c r="R1021" s="3">
        <v>6</v>
      </c>
      <c r="S1021" s="3">
        <v>92</v>
      </c>
      <c r="T1021" s="3">
        <v>4</v>
      </c>
      <c r="U1021" s="3">
        <v>6</v>
      </c>
      <c r="V1021" s="3">
        <v>2</v>
      </c>
      <c r="W1021" s="3">
        <v>5</v>
      </c>
      <c r="X1021" s="3">
        <v>8</v>
      </c>
    </row>
    <row r="1022" spans="1:24" x14ac:dyDescent="0.35">
      <c r="A1022">
        <v>340</v>
      </c>
      <c r="B1022">
        <v>49154</v>
      </c>
      <c r="C1022">
        <v>60</v>
      </c>
      <c r="D1022">
        <v>1</v>
      </c>
      <c r="E1022" s="28">
        <v>6.5671232876712331</v>
      </c>
      <c r="F1022" s="28"/>
      <c r="G1022" s="28"/>
      <c r="H1022" s="28"/>
      <c r="I1022" s="28"/>
      <c r="J1022" s="28"/>
      <c r="L1022" s="38">
        <v>340</v>
      </c>
      <c r="M1022" s="2">
        <v>69</v>
      </c>
      <c r="N1022" s="2">
        <v>206</v>
      </c>
      <c r="O1022" s="2">
        <v>10</v>
      </c>
      <c r="P1022" s="2">
        <v>67</v>
      </c>
      <c r="Q1022" s="2">
        <v>30</v>
      </c>
      <c r="R1022" s="2">
        <v>27</v>
      </c>
      <c r="S1022" s="2">
        <v>71</v>
      </c>
      <c r="T1022" s="2">
        <v>6</v>
      </c>
      <c r="U1022" s="2">
        <v>4</v>
      </c>
      <c r="V1022" s="2">
        <v>1</v>
      </c>
      <c r="W1022" s="2">
        <v>8</v>
      </c>
      <c r="X1022" s="2">
        <v>6</v>
      </c>
    </row>
    <row r="1023" spans="1:24" x14ac:dyDescent="0.35">
      <c r="A1023">
        <v>339</v>
      </c>
      <c r="B1023">
        <v>35416</v>
      </c>
      <c r="C1023">
        <v>71</v>
      </c>
      <c r="D1023">
        <v>0</v>
      </c>
      <c r="E1023" s="28">
        <v>6.9589041095890414</v>
      </c>
      <c r="F1023" s="28"/>
      <c r="G1023" s="28"/>
      <c r="H1023" s="28"/>
      <c r="I1023" s="28"/>
      <c r="J1023" s="28"/>
      <c r="L1023" s="37">
        <v>339</v>
      </c>
      <c r="M1023" s="3">
        <v>62</v>
      </c>
      <c r="N1023" s="3">
        <v>248</v>
      </c>
      <c r="O1023" s="3">
        <v>3</v>
      </c>
      <c r="P1023" s="3">
        <v>81</v>
      </c>
      <c r="Q1023" s="3">
        <v>4</v>
      </c>
      <c r="R1023" s="3">
        <v>3</v>
      </c>
      <c r="S1023" s="3">
        <v>51</v>
      </c>
      <c r="T1023" s="3">
        <v>3</v>
      </c>
      <c r="U1023" s="3">
        <v>7</v>
      </c>
      <c r="V1023" s="3">
        <v>1</v>
      </c>
      <c r="W1023" s="3">
        <v>5</v>
      </c>
      <c r="X1023" s="3">
        <v>8</v>
      </c>
    </row>
    <row r="1024" spans="1:24" x14ac:dyDescent="0.35">
      <c r="A1024">
        <v>339</v>
      </c>
      <c r="B1024">
        <v>43263</v>
      </c>
      <c r="C1024">
        <v>43</v>
      </c>
      <c r="D1024">
        <v>1</v>
      </c>
      <c r="E1024" s="28">
        <v>7.5178082191780824</v>
      </c>
      <c r="F1024" s="28"/>
      <c r="G1024" s="28"/>
      <c r="H1024" s="28"/>
      <c r="I1024" s="28"/>
      <c r="J1024" s="28"/>
      <c r="L1024" s="38">
        <v>339</v>
      </c>
      <c r="M1024" s="2">
        <v>2</v>
      </c>
      <c r="N1024" s="2">
        <v>262</v>
      </c>
      <c r="O1024" s="2">
        <v>6</v>
      </c>
      <c r="P1024" s="2">
        <v>61</v>
      </c>
      <c r="Q1024" s="2">
        <v>0</v>
      </c>
      <c r="R1024" s="2">
        <v>10</v>
      </c>
      <c r="S1024" s="2">
        <v>102</v>
      </c>
      <c r="T1024" s="2">
        <v>3</v>
      </c>
      <c r="U1024" s="2">
        <v>5</v>
      </c>
      <c r="V1024" s="2">
        <v>2</v>
      </c>
      <c r="W1024" s="2">
        <v>6</v>
      </c>
      <c r="X1024" s="2">
        <v>5</v>
      </c>
    </row>
    <row r="1025" spans="1:24" x14ac:dyDescent="0.35">
      <c r="A1025">
        <v>338</v>
      </c>
      <c r="B1025">
        <v>46344</v>
      </c>
      <c r="C1025">
        <v>48</v>
      </c>
      <c r="D1025">
        <v>1</v>
      </c>
      <c r="E1025" s="28">
        <v>7.4547945205479449</v>
      </c>
      <c r="F1025" s="28"/>
      <c r="G1025" s="28"/>
      <c r="H1025" s="28"/>
      <c r="I1025" s="28"/>
      <c r="J1025" s="28"/>
      <c r="L1025" s="37">
        <v>338</v>
      </c>
      <c r="M1025" s="3">
        <v>28</v>
      </c>
      <c r="N1025" s="3">
        <v>233</v>
      </c>
      <c r="O1025" s="3">
        <v>20</v>
      </c>
      <c r="P1025" s="3">
        <v>57</v>
      </c>
      <c r="Q1025" s="3">
        <v>8</v>
      </c>
      <c r="R1025" s="3">
        <v>20</v>
      </c>
      <c r="S1025" s="3">
        <v>91</v>
      </c>
      <c r="T1025" s="3">
        <v>4</v>
      </c>
      <c r="U1025" s="3">
        <v>7</v>
      </c>
      <c r="V1025" s="3">
        <v>1</v>
      </c>
      <c r="W1025" s="3">
        <v>5</v>
      </c>
      <c r="X1025" s="3">
        <v>7</v>
      </c>
    </row>
    <row r="1026" spans="1:24" x14ac:dyDescent="0.35">
      <c r="A1026">
        <v>338</v>
      </c>
      <c r="B1026">
        <v>54111</v>
      </c>
      <c r="C1026">
        <v>55</v>
      </c>
      <c r="D1026">
        <v>1</v>
      </c>
      <c r="E1026" s="28">
        <v>6.7589041095890412</v>
      </c>
      <c r="F1026" s="28"/>
      <c r="G1026" s="28"/>
      <c r="H1026" s="28"/>
      <c r="I1026" s="28"/>
      <c r="J1026" s="28"/>
      <c r="L1026" s="38">
        <v>338</v>
      </c>
      <c r="M1026" s="2">
        <v>97</v>
      </c>
      <c r="N1026" s="2">
        <v>267</v>
      </c>
      <c r="O1026" s="2">
        <v>6</v>
      </c>
      <c r="P1026" s="2">
        <v>54</v>
      </c>
      <c r="Q1026" s="2">
        <v>8</v>
      </c>
      <c r="R1026" s="2">
        <v>3</v>
      </c>
      <c r="S1026" s="2">
        <v>50</v>
      </c>
      <c r="T1026" s="2">
        <v>2</v>
      </c>
      <c r="U1026" s="2">
        <v>5</v>
      </c>
      <c r="V1026" s="2">
        <v>2</v>
      </c>
      <c r="W1026" s="2">
        <v>6</v>
      </c>
      <c r="X1026" s="2">
        <v>5</v>
      </c>
    </row>
    <row r="1027" spans="1:24" x14ac:dyDescent="0.35">
      <c r="A1027">
        <v>338</v>
      </c>
      <c r="B1027">
        <v>50388</v>
      </c>
      <c r="C1027">
        <v>63</v>
      </c>
      <c r="D1027">
        <v>1</v>
      </c>
      <c r="E1027" s="28">
        <v>6.0027397260273974</v>
      </c>
      <c r="F1027" s="28"/>
      <c r="G1027" s="28"/>
      <c r="H1027" s="28"/>
      <c r="I1027" s="28"/>
      <c r="J1027" s="28"/>
      <c r="L1027" s="37">
        <v>338</v>
      </c>
      <c r="M1027" s="3">
        <v>3</v>
      </c>
      <c r="N1027" s="3">
        <v>292</v>
      </c>
      <c r="O1027" s="3">
        <v>6</v>
      </c>
      <c r="P1027" s="3">
        <v>37</v>
      </c>
      <c r="Q1027" s="3">
        <v>0</v>
      </c>
      <c r="R1027" s="3">
        <v>3</v>
      </c>
      <c r="S1027" s="3">
        <v>34</v>
      </c>
      <c r="T1027" s="3">
        <v>4</v>
      </c>
      <c r="U1027" s="3">
        <v>6</v>
      </c>
      <c r="V1027" s="3">
        <v>1</v>
      </c>
      <c r="W1027" s="3">
        <v>6</v>
      </c>
      <c r="X1027" s="3">
        <v>7</v>
      </c>
    </row>
    <row r="1028" spans="1:24" x14ac:dyDescent="0.35">
      <c r="A1028">
        <v>337</v>
      </c>
      <c r="B1028">
        <v>50200</v>
      </c>
      <c r="C1028">
        <v>44</v>
      </c>
      <c r="D1028">
        <v>1</v>
      </c>
      <c r="E1028" s="28">
        <v>7.1534246575342468</v>
      </c>
      <c r="F1028" s="28"/>
      <c r="G1028" s="28"/>
      <c r="H1028" s="28"/>
      <c r="I1028" s="28"/>
      <c r="J1028" s="28"/>
      <c r="L1028" s="38">
        <v>337</v>
      </c>
      <c r="M1028" s="2">
        <v>70</v>
      </c>
      <c r="N1028" s="2">
        <v>266</v>
      </c>
      <c r="O1028" s="2">
        <v>6</v>
      </c>
      <c r="P1028" s="2">
        <v>51</v>
      </c>
      <c r="Q1028" s="2">
        <v>8</v>
      </c>
      <c r="R1028" s="2">
        <v>6</v>
      </c>
      <c r="S1028" s="2">
        <v>64</v>
      </c>
      <c r="T1028" s="2">
        <v>6</v>
      </c>
      <c r="U1028" s="2">
        <v>7</v>
      </c>
      <c r="V1028" s="2">
        <v>1</v>
      </c>
      <c r="W1028" s="2">
        <v>5</v>
      </c>
      <c r="X1028" s="2">
        <v>8</v>
      </c>
    </row>
    <row r="1029" spans="1:24" x14ac:dyDescent="0.35">
      <c r="A1029">
        <v>336</v>
      </c>
      <c r="B1029">
        <v>59754</v>
      </c>
      <c r="C1029">
        <v>55</v>
      </c>
      <c r="D1029">
        <v>1</v>
      </c>
      <c r="E1029" s="28">
        <v>7.4904109589041097</v>
      </c>
      <c r="F1029" s="28"/>
      <c r="G1029" s="28"/>
      <c r="H1029" s="28"/>
      <c r="I1029" s="28"/>
      <c r="J1029" s="28"/>
      <c r="L1029" s="37">
        <v>336</v>
      </c>
      <c r="M1029" s="3">
        <v>96</v>
      </c>
      <c r="N1029" s="3">
        <v>115</v>
      </c>
      <c r="O1029" s="3">
        <v>27</v>
      </c>
      <c r="P1029" s="3">
        <v>44</v>
      </c>
      <c r="Q1029" s="3">
        <v>4</v>
      </c>
      <c r="R1029" s="3">
        <v>146</v>
      </c>
      <c r="S1029" s="3">
        <v>139</v>
      </c>
      <c r="T1029" s="3">
        <v>3</v>
      </c>
      <c r="U1029" s="3">
        <v>5</v>
      </c>
      <c r="V1029" s="3">
        <v>2</v>
      </c>
      <c r="W1029" s="3">
        <v>6</v>
      </c>
      <c r="X1029" s="3">
        <v>5</v>
      </c>
    </row>
    <row r="1030" spans="1:24" x14ac:dyDescent="0.35">
      <c r="A1030">
        <v>335</v>
      </c>
      <c r="B1030">
        <v>46149</v>
      </c>
      <c r="C1030">
        <v>45</v>
      </c>
      <c r="D1030">
        <v>1</v>
      </c>
      <c r="E1030" s="28">
        <v>6.4958904109589044</v>
      </c>
      <c r="F1030" s="28"/>
      <c r="G1030" s="28"/>
      <c r="H1030" s="28"/>
      <c r="I1030" s="28"/>
      <c r="J1030" s="28"/>
      <c r="L1030" s="38">
        <v>335</v>
      </c>
      <c r="M1030" s="2">
        <v>36</v>
      </c>
      <c r="N1030" s="2">
        <v>254</v>
      </c>
      <c r="O1030" s="2">
        <v>6</v>
      </c>
      <c r="P1030" s="2">
        <v>71</v>
      </c>
      <c r="Q1030" s="2">
        <v>4</v>
      </c>
      <c r="R1030" s="2">
        <v>0</v>
      </c>
      <c r="S1030" s="2">
        <v>27</v>
      </c>
      <c r="T1030" s="2">
        <v>5</v>
      </c>
      <c r="U1030" s="2">
        <v>5</v>
      </c>
      <c r="V1030" s="2">
        <v>1</v>
      </c>
      <c r="W1030" s="2">
        <v>7</v>
      </c>
      <c r="X1030" s="2">
        <v>5</v>
      </c>
    </row>
    <row r="1031" spans="1:24" x14ac:dyDescent="0.35">
      <c r="A1031">
        <v>322</v>
      </c>
      <c r="B1031">
        <v>54210</v>
      </c>
      <c r="C1031">
        <v>41</v>
      </c>
      <c r="D1031">
        <v>1</v>
      </c>
      <c r="E1031" s="28">
        <v>7.0246575342465754</v>
      </c>
      <c r="F1031" s="28"/>
      <c r="G1031" s="28"/>
      <c r="H1031" s="28"/>
      <c r="I1031" s="28"/>
      <c r="J1031" s="28"/>
      <c r="L1031" s="37">
        <v>322</v>
      </c>
      <c r="M1031" s="3">
        <v>18</v>
      </c>
      <c r="N1031" s="3">
        <v>70</v>
      </c>
      <c r="O1031" s="3">
        <v>54</v>
      </c>
      <c r="P1031" s="3">
        <v>109</v>
      </c>
      <c r="Q1031" s="3">
        <v>80</v>
      </c>
      <c r="R1031" s="3">
        <v>9</v>
      </c>
      <c r="S1031" s="3">
        <v>45</v>
      </c>
      <c r="T1031" s="3">
        <v>2</v>
      </c>
      <c r="U1031" s="3">
        <v>4</v>
      </c>
      <c r="V1031" s="3">
        <v>1</v>
      </c>
      <c r="W1031" s="3">
        <v>7</v>
      </c>
      <c r="X1031" s="3">
        <v>5</v>
      </c>
    </row>
    <row r="1032" spans="1:24" x14ac:dyDescent="0.35">
      <c r="A1032">
        <v>316</v>
      </c>
      <c r="B1032">
        <v>48752</v>
      </c>
      <c r="C1032">
        <v>51</v>
      </c>
      <c r="D1032">
        <v>1</v>
      </c>
      <c r="E1032" s="28">
        <v>7.4602739726027396</v>
      </c>
      <c r="F1032" s="28"/>
      <c r="G1032" s="28"/>
      <c r="H1032" s="28"/>
      <c r="I1032" s="28"/>
      <c r="J1032" s="28"/>
      <c r="L1032" s="38">
        <v>316</v>
      </c>
      <c r="M1032" s="2">
        <v>8</v>
      </c>
      <c r="N1032" s="2">
        <v>73</v>
      </c>
      <c r="O1032" s="2">
        <v>57</v>
      </c>
      <c r="P1032" s="2">
        <v>100</v>
      </c>
      <c r="Q1032" s="2">
        <v>71</v>
      </c>
      <c r="R1032" s="2">
        <v>15</v>
      </c>
      <c r="S1032" s="2">
        <v>0</v>
      </c>
      <c r="T1032" s="2">
        <v>5</v>
      </c>
      <c r="U1032" s="2">
        <v>6</v>
      </c>
      <c r="V1032" s="2">
        <v>1</v>
      </c>
      <c r="W1032" s="2">
        <v>5</v>
      </c>
      <c r="X1032" s="2">
        <v>9</v>
      </c>
    </row>
    <row r="1033" spans="1:24" x14ac:dyDescent="0.35">
      <c r="A1033">
        <v>313</v>
      </c>
      <c r="B1033">
        <v>57100</v>
      </c>
      <c r="C1033">
        <v>47</v>
      </c>
      <c r="D1033">
        <v>0</v>
      </c>
      <c r="E1033" s="28">
        <v>6.4821917808219176</v>
      </c>
      <c r="F1033" s="28"/>
      <c r="G1033" s="28"/>
      <c r="H1033" s="28"/>
      <c r="I1033" s="28"/>
      <c r="J1033" s="28"/>
      <c r="L1033" s="37">
        <v>313</v>
      </c>
      <c r="M1033" s="3">
        <v>19</v>
      </c>
      <c r="N1033" s="3">
        <v>181</v>
      </c>
      <c r="O1033" s="3">
        <v>21</v>
      </c>
      <c r="P1033" s="3">
        <v>69</v>
      </c>
      <c r="Q1033" s="3">
        <v>39</v>
      </c>
      <c r="R1033" s="3">
        <v>3</v>
      </c>
      <c r="S1033" s="3">
        <v>96</v>
      </c>
      <c r="T1033" s="3">
        <v>1</v>
      </c>
      <c r="U1033" s="3">
        <v>3</v>
      </c>
      <c r="V1033" s="3">
        <v>3</v>
      </c>
      <c r="W1033" s="3">
        <v>6</v>
      </c>
      <c r="X1033" s="3">
        <v>3</v>
      </c>
    </row>
    <row r="1034" spans="1:24" x14ac:dyDescent="0.35">
      <c r="A1034">
        <v>313</v>
      </c>
      <c r="B1034">
        <v>70545</v>
      </c>
      <c r="C1034">
        <v>68</v>
      </c>
      <c r="D1034">
        <v>1</v>
      </c>
      <c r="E1034" s="28">
        <v>5.9863013698630141</v>
      </c>
      <c r="F1034" s="28"/>
      <c r="G1034" s="28"/>
      <c r="H1034" s="28"/>
      <c r="I1034" s="28"/>
      <c r="J1034" s="28"/>
      <c r="L1034" s="38">
        <v>313</v>
      </c>
      <c r="M1034" s="2">
        <v>29</v>
      </c>
      <c r="N1034" s="2">
        <v>138</v>
      </c>
      <c r="O1034" s="2">
        <v>39</v>
      </c>
      <c r="P1034" s="2">
        <v>63</v>
      </c>
      <c r="Q1034" s="2">
        <v>55</v>
      </c>
      <c r="R1034" s="2">
        <v>18</v>
      </c>
      <c r="S1034" s="2">
        <v>21</v>
      </c>
      <c r="T1034" s="2">
        <v>1</v>
      </c>
      <c r="U1034" s="2">
        <v>4</v>
      </c>
      <c r="V1034" s="2">
        <v>1</v>
      </c>
      <c r="W1034" s="2">
        <v>7</v>
      </c>
      <c r="X1034" s="2">
        <v>2</v>
      </c>
    </row>
    <row r="1035" spans="1:24" x14ac:dyDescent="0.35">
      <c r="A1035">
        <v>311</v>
      </c>
      <c r="B1035">
        <v>53253</v>
      </c>
      <c r="C1035">
        <v>45</v>
      </c>
      <c r="D1035">
        <v>1</v>
      </c>
      <c r="E1035" s="28">
        <v>7.2931506849315069</v>
      </c>
      <c r="F1035" s="28"/>
      <c r="G1035" s="28"/>
      <c r="H1035" s="28"/>
      <c r="I1035" s="28"/>
      <c r="J1035" s="28"/>
      <c r="L1035" s="37">
        <v>311</v>
      </c>
      <c r="M1035" s="3">
        <v>61</v>
      </c>
      <c r="N1035" s="3">
        <v>216</v>
      </c>
      <c r="O1035" s="3">
        <v>9</v>
      </c>
      <c r="P1035" s="3">
        <v>57</v>
      </c>
      <c r="Q1035" s="3">
        <v>20</v>
      </c>
      <c r="R1035" s="3">
        <v>9</v>
      </c>
      <c r="S1035" s="3">
        <v>125</v>
      </c>
      <c r="T1035" s="3">
        <v>7</v>
      </c>
      <c r="U1035" s="3">
        <v>4</v>
      </c>
      <c r="V1035" s="3">
        <v>3</v>
      </c>
      <c r="W1035" s="3">
        <v>5</v>
      </c>
      <c r="X1035" s="3">
        <v>5</v>
      </c>
    </row>
    <row r="1036" spans="1:24" x14ac:dyDescent="0.35">
      <c r="A1036">
        <v>310</v>
      </c>
      <c r="B1036">
        <v>35196</v>
      </c>
      <c r="C1036">
        <v>36</v>
      </c>
      <c r="D1036">
        <v>1</v>
      </c>
      <c r="E1036" s="28">
        <v>7.5397260273972604</v>
      </c>
      <c r="F1036" s="28"/>
      <c r="G1036" s="28"/>
      <c r="H1036" s="28"/>
      <c r="I1036" s="28"/>
      <c r="J1036" s="28"/>
      <c r="L1036" s="38">
        <v>310</v>
      </c>
      <c r="M1036" s="2">
        <v>68</v>
      </c>
      <c r="N1036" s="2">
        <v>75</v>
      </c>
      <c r="O1036" s="2">
        <v>12</v>
      </c>
      <c r="P1036" s="2">
        <v>141</v>
      </c>
      <c r="Q1036" s="2">
        <v>43</v>
      </c>
      <c r="R1036" s="2">
        <v>39</v>
      </c>
      <c r="S1036" s="2">
        <v>187</v>
      </c>
      <c r="T1036" s="2">
        <v>6</v>
      </c>
      <c r="U1036" s="2">
        <v>6</v>
      </c>
      <c r="V1036" s="2">
        <v>1</v>
      </c>
      <c r="W1036" s="2">
        <v>5</v>
      </c>
      <c r="X1036" s="2">
        <v>8</v>
      </c>
    </row>
    <row r="1037" spans="1:24" x14ac:dyDescent="0.35">
      <c r="A1037">
        <v>310</v>
      </c>
      <c r="B1037">
        <v>35196</v>
      </c>
      <c r="C1037">
        <v>36</v>
      </c>
      <c r="D1037">
        <v>1</v>
      </c>
      <c r="E1037" s="28">
        <v>7.5397260273972604</v>
      </c>
      <c r="F1037" s="28"/>
      <c r="G1037" s="28"/>
      <c r="H1037" s="28"/>
      <c r="I1037" s="28"/>
      <c r="J1037" s="28"/>
      <c r="L1037" s="37">
        <v>310</v>
      </c>
      <c r="M1037" s="3">
        <v>68</v>
      </c>
      <c r="N1037" s="3">
        <v>75</v>
      </c>
      <c r="O1037" s="3">
        <v>12</v>
      </c>
      <c r="P1037" s="3">
        <v>141</v>
      </c>
      <c r="Q1037" s="3">
        <v>43</v>
      </c>
      <c r="R1037" s="3">
        <v>39</v>
      </c>
      <c r="S1037" s="3">
        <v>187</v>
      </c>
      <c r="T1037" s="3">
        <v>6</v>
      </c>
      <c r="U1037" s="3">
        <v>6</v>
      </c>
      <c r="V1037" s="3">
        <v>1</v>
      </c>
      <c r="W1037" s="3">
        <v>5</v>
      </c>
      <c r="X1037" s="3">
        <v>8</v>
      </c>
    </row>
    <row r="1038" spans="1:24" x14ac:dyDescent="0.35">
      <c r="A1038">
        <v>310</v>
      </c>
      <c r="B1038">
        <v>45989</v>
      </c>
      <c r="C1038">
        <v>56</v>
      </c>
      <c r="D1038">
        <v>1</v>
      </c>
      <c r="E1038" s="28">
        <v>7.6</v>
      </c>
      <c r="F1038" s="28"/>
      <c r="G1038" s="28"/>
      <c r="H1038" s="28"/>
      <c r="I1038" s="28"/>
      <c r="J1038" s="28"/>
      <c r="L1038" s="38">
        <v>310</v>
      </c>
      <c r="M1038" s="2">
        <v>97</v>
      </c>
      <c r="N1038" s="2">
        <v>138</v>
      </c>
      <c r="O1038" s="2">
        <v>33</v>
      </c>
      <c r="P1038" s="2">
        <v>87</v>
      </c>
      <c r="Q1038" s="2">
        <v>28</v>
      </c>
      <c r="R1038" s="2">
        <v>24</v>
      </c>
      <c r="S1038" s="2">
        <v>12</v>
      </c>
      <c r="T1038" s="2">
        <v>4</v>
      </c>
      <c r="U1038" s="2">
        <v>3</v>
      </c>
      <c r="V1038" s="2">
        <v>2</v>
      </c>
      <c r="W1038" s="2">
        <v>7</v>
      </c>
      <c r="X1038" s="2">
        <v>3</v>
      </c>
    </row>
    <row r="1039" spans="1:24" x14ac:dyDescent="0.35">
      <c r="A1039">
        <v>309</v>
      </c>
      <c r="B1039">
        <v>46692</v>
      </c>
      <c r="C1039">
        <v>62</v>
      </c>
      <c r="D1039">
        <v>1</v>
      </c>
      <c r="E1039" s="28">
        <v>6.978082191780822</v>
      </c>
      <c r="F1039" s="28"/>
      <c r="G1039" s="28"/>
      <c r="H1039" s="28"/>
      <c r="I1039" s="28"/>
      <c r="J1039" s="28"/>
      <c r="L1039" s="37">
        <v>309</v>
      </c>
      <c r="M1039" s="3">
        <v>37</v>
      </c>
      <c r="N1039" s="3">
        <v>170</v>
      </c>
      <c r="O1039" s="3">
        <v>6</v>
      </c>
      <c r="P1039" s="3">
        <v>97</v>
      </c>
      <c r="Q1039" s="3">
        <v>24</v>
      </c>
      <c r="R1039" s="3">
        <v>12</v>
      </c>
      <c r="S1039" s="3">
        <v>88</v>
      </c>
      <c r="T1039" s="3">
        <v>3</v>
      </c>
      <c r="U1039" s="3">
        <v>6</v>
      </c>
      <c r="V1039" s="3">
        <v>1</v>
      </c>
      <c r="W1039" s="3">
        <v>5</v>
      </c>
      <c r="X1039" s="3">
        <v>6</v>
      </c>
    </row>
    <row r="1040" spans="1:24" x14ac:dyDescent="0.35">
      <c r="A1040">
        <v>308</v>
      </c>
      <c r="B1040">
        <v>71322</v>
      </c>
      <c r="C1040">
        <v>44</v>
      </c>
      <c r="D1040">
        <v>1</v>
      </c>
      <c r="E1040" s="28">
        <v>6.0739726027397261</v>
      </c>
      <c r="F1040" s="28"/>
      <c r="G1040" s="28"/>
      <c r="H1040" s="28"/>
      <c r="I1040" s="28"/>
      <c r="J1040" s="28"/>
      <c r="L1040" s="38">
        <v>308</v>
      </c>
      <c r="M1040" s="2">
        <v>31</v>
      </c>
      <c r="N1040" s="2">
        <v>121</v>
      </c>
      <c r="O1040" s="2">
        <v>24</v>
      </c>
      <c r="P1040" s="2">
        <v>124</v>
      </c>
      <c r="Q1040" s="2">
        <v>24</v>
      </c>
      <c r="R1040" s="2">
        <v>15</v>
      </c>
      <c r="S1040" s="2">
        <v>42</v>
      </c>
      <c r="T1040" s="2">
        <v>1</v>
      </c>
      <c r="U1040" s="2">
        <v>4</v>
      </c>
      <c r="V1040" s="2">
        <v>1</v>
      </c>
      <c r="W1040" s="2">
        <v>7</v>
      </c>
      <c r="X1040" s="2">
        <v>2</v>
      </c>
    </row>
    <row r="1041" spans="1:24" x14ac:dyDescent="0.35">
      <c r="A1041">
        <v>308</v>
      </c>
      <c r="B1041">
        <v>51039</v>
      </c>
      <c r="C1041">
        <v>51</v>
      </c>
      <c r="D1041">
        <v>1</v>
      </c>
      <c r="E1041" s="28">
        <v>7.4657534246575343</v>
      </c>
      <c r="F1041" s="28"/>
      <c r="G1041" s="28"/>
      <c r="H1041" s="28"/>
      <c r="I1041" s="28"/>
      <c r="J1041" s="28"/>
      <c r="L1041" s="37">
        <v>308</v>
      </c>
      <c r="M1041" s="3">
        <v>11</v>
      </c>
      <c r="N1041" s="3">
        <v>100</v>
      </c>
      <c r="O1041" s="3">
        <v>64</v>
      </c>
      <c r="P1041" s="3">
        <v>79</v>
      </c>
      <c r="Q1041" s="3">
        <v>65</v>
      </c>
      <c r="R1041" s="3">
        <v>0</v>
      </c>
      <c r="S1041" s="3">
        <v>109</v>
      </c>
      <c r="T1041" s="3">
        <v>2</v>
      </c>
      <c r="U1041" s="3">
        <v>6</v>
      </c>
      <c r="V1041" s="3">
        <v>2</v>
      </c>
      <c r="W1041" s="3">
        <v>4</v>
      </c>
      <c r="X1041" s="3">
        <v>7</v>
      </c>
    </row>
    <row r="1042" spans="1:24" x14ac:dyDescent="0.35">
      <c r="A1042">
        <v>307</v>
      </c>
      <c r="B1042">
        <v>48799</v>
      </c>
      <c r="C1042">
        <v>57</v>
      </c>
      <c r="D1042">
        <v>1</v>
      </c>
      <c r="E1042" s="28">
        <v>6.5616438356164384</v>
      </c>
      <c r="F1042" s="28"/>
      <c r="G1042" s="28"/>
      <c r="H1042" s="28"/>
      <c r="I1042" s="28"/>
      <c r="J1042" s="28"/>
      <c r="L1042" s="38">
        <v>307</v>
      </c>
      <c r="M1042" s="2">
        <v>9</v>
      </c>
      <c r="N1042" s="2">
        <v>174</v>
      </c>
      <c r="O1042" s="2">
        <v>18</v>
      </c>
      <c r="P1042" s="2">
        <v>81</v>
      </c>
      <c r="Q1042" s="2">
        <v>28</v>
      </c>
      <c r="R1042" s="2">
        <v>6</v>
      </c>
      <c r="S1042" s="2">
        <v>24</v>
      </c>
      <c r="T1042" s="2">
        <v>3</v>
      </c>
      <c r="U1042" s="2">
        <v>3</v>
      </c>
      <c r="V1042" s="2">
        <v>2</v>
      </c>
      <c r="W1042" s="2">
        <v>7</v>
      </c>
      <c r="X1042" s="2">
        <v>3</v>
      </c>
    </row>
    <row r="1043" spans="1:24" x14ac:dyDescent="0.35">
      <c r="A1043">
        <v>306</v>
      </c>
      <c r="B1043">
        <v>27683</v>
      </c>
      <c r="C1043">
        <v>42</v>
      </c>
      <c r="D1043">
        <v>1</v>
      </c>
      <c r="E1043" s="28">
        <v>7.816438356164384</v>
      </c>
      <c r="F1043" s="28"/>
      <c r="G1043" s="28"/>
      <c r="H1043" s="28"/>
      <c r="I1043" s="28"/>
      <c r="J1043" s="28"/>
      <c r="L1043" s="37">
        <v>306</v>
      </c>
      <c r="M1043" s="3">
        <v>90</v>
      </c>
      <c r="N1043" s="3">
        <v>152</v>
      </c>
      <c r="O1043" s="3">
        <v>9</v>
      </c>
      <c r="P1043" s="3">
        <v>121</v>
      </c>
      <c r="Q1043" s="3">
        <v>12</v>
      </c>
      <c r="R1043" s="3">
        <v>12</v>
      </c>
      <c r="S1043" s="3">
        <v>45</v>
      </c>
      <c r="T1043" s="3">
        <v>4</v>
      </c>
      <c r="U1043" s="3">
        <v>6</v>
      </c>
      <c r="V1043" s="3">
        <v>2</v>
      </c>
      <c r="W1043" s="3">
        <v>4</v>
      </c>
      <c r="X1043" s="3">
        <v>8</v>
      </c>
    </row>
    <row r="1044" spans="1:24" x14ac:dyDescent="0.35">
      <c r="A1044">
        <v>306</v>
      </c>
      <c r="B1044">
        <v>38513</v>
      </c>
      <c r="C1044">
        <v>38</v>
      </c>
      <c r="D1044">
        <v>1</v>
      </c>
      <c r="E1044" s="28">
        <v>6.3315068493150681</v>
      </c>
      <c r="F1044" s="28"/>
      <c r="G1044" s="28"/>
      <c r="H1044" s="28"/>
      <c r="I1044" s="28"/>
      <c r="J1044" s="28"/>
      <c r="L1044" s="38">
        <v>306</v>
      </c>
      <c r="M1044" s="2">
        <v>20</v>
      </c>
      <c r="N1044" s="2">
        <v>172</v>
      </c>
      <c r="O1044" s="2">
        <v>3</v>
      </c>
      <c r="P1044" s="2">
        <v>115</v>
      </c>
      <c r="Q1044" s="2">
        <v>16</v>
      </c>
      <c r="R1044" s="2">
        <v>0</v>
      </c>
      <c r="S1044" s="2">
        <v>18</v>
      </c>
      <c r="T1044" s="2">
        <v>5</v>
      </c>
      <c r="U1044" s="2">
        <v>6</v>
      </c>
      <c r="V1044" s="2">
        <v>1</v>
      </c>
      <c r="W1044" s="2">
        <v>5</v>
      </c>
      <c r="X1044" s="2">
        <v>8</v>
      </c>
    </row>
    <row r="1045" spans="1:24" x14ac:dyDescent="0.35">
      <c r="A1045">
        <v>306</v>
      </c>
      <c r="B1045">
        <v>38988</v>
      </c>
      <c r="C1045">
        <v>48</v>
      </c>
      <c r="D1045">
        <v>1</v>
      </c>
      <c r="E1045" s="28">
        <v>7.7726027397260271</v>
      </c>
      <c r="F1045" s="28"/>
      <c r="G1045" s="28"/>
      <c r="H1045" s="28"/>
      <c r="I1045" s="28"/>
      <c r="J1045" s="28"/>
      <c r="L1045" s="37">
        <v>306</v>
      </c>
      <c r="M1045" s="3">
        <v>90</v>
      </c>
      <c r="N1045" s="3">
        <v>164</v>
      </c>
      <c r="O1045" s="3">
        <v>24</v>
      </c>
      <c r="P1045" s="3">
        <v>103</v>
      </c>
      <c r="Q1045" s="3">
        <v>12</v>
      </c>
      <c r="R1045" s="3">
        <v>3</v>
      </c>
      <c r="S1045" s="3">
        <v>42</v>
      </c>
      <c r="T1045" s="3">
        <v>7</v>
      </c>
      <c r="U1045" s="3">
        <v>5</v>
      </c>
      <c r="V1045" s="3">
        <v>1</v>
      </c>
      <c r="W1045" s="3">
        <v>6</v>
      </c>
      <c r="X1045" s="3">
        <v>8</v>
      </c>
    </row>
    <row r="1046" spans="1:24" x14ac:dyDescent="0.35">
      <c r="A1046">
        <v>306</v>
      </c>
      <c r="B1046">
        <v>66480</v>
      </c>
      <c r="C1046">
        <v>55</v>
      </c>
      <c r="D1046">
        <v>1</v>
      </c>
      <c r="E1046" s="28">
        <v>5.9945205479452053</v>
      </c>
      <c r="F1046" s="28"/>
      <c r="G1046" s="28"/>
      <c r="H1046" s="28"/>
      <c r="I1046" s="28"/>
      <c r="J1046" s="28"/>
      <c r="L1046" s="38">
        <v>306</v>
      </c>
      <c r="M1046" s="2">
        <v>71</v>
      </c>
      <c r="N1046" s="2">
        <v>199</v>
      </c>
      <c r="O1046" s="2">
        <v>9</v>
      </c>
      <c r="P1046" s="2">
        <v>57</v>
      </c>
      <c r="Q1046" s="2">
        <v>20</v>
      </c>
      <c r="R1046" s="2">
        <v>21</v>
      </c>
      <c r="S1046" s="2">
        <v>6</v>
      </c>
      <c r="T1046" s="2">
        <v>7</v>
      </c>
      <c r="U1046" s="2">
        <v>4</v>
      </c>
      <c r="V1046" s="2">
        <v>1</v>
      </c>
      <c r="W1046" s="2">
        <v>7</v>
      </c>
      <c r="X1046" s="2">
        <v>4</v>
      </c>
    </row>
    <row r="1047" spans="1:24" x14ac:dyDescent="0.35">
      <c r="A1047">
        <v>305</v>
      </c>
      <c r="B1047">
        <v>36634</v>
      </c>
      <c r="C1047">
        <v>66</v>
      </c>
      <c r="D1047">
        <v>1</v>
      </c>
      <c r="E1047" s="28">
        <v>7.0027397260273974</v>
      </c>
      <c r="F1047" s="28"/>
      <c r="G1047" s="28"/>
      <c r="H1047" s="28"/>
      <c r="I1047" s="28"/>
      <c r="J1047" s="28"/>
      <c r="L1047" s="37">
        <v>305</v>
      </c>
      <c r="M1047" s="3">
        <v>0</v>
      </c>
      <c r="N1047" s="3">
        <v>213</v>
      </c>
      <c r="O1047" s="3">
        <v>9</v>
      </c>
      <c r="P1047" s="3">
        <v>76</v>
      </c>
      <c r="Q1047" s="3">
        <v>4</v>
      </c>
      <c r="R1047" s="3">
        <v>3</v>
      </c>
      <c r="S1047" s="3">
        <v>30</v>
      </c>
      <c r="T1047" s="3">
        <v>3</v>
      </c>
      <c r="U1047" s="3">
        <v>5</v>
      </c>
      <c r="V1047" s="3">
        <v>2</v>
      </c>
      <c r="W1047" s="3">
        <v>5</v>
      </c>
      <c r="X1047" s="3">
        <v>7</v>
      </c>
    </row>
    <row r="1048" spans="1:24" x14ac:dyDescent="0.35">
      <c r="A1048">
        <v>305</v>
      </c>
      <c r="B1048">
        <v>50127</v>
      </c>
      <c r="C1048">
        <v>58</v>
      </c>
      <c r="D1048">
        <v>1</v>
      </c>
      <c r="E1048" s="28">
        <v>6</v>
      </c>
      <c r="F1048" s="28"/>
      <c r="G1048" s="28"/>
      <c r="H1048" s="28"/>
      <c r="I1048" s="28"/>
      <c r="J1048" s="28"/>
      <c r="L1048" s="38">
        <v>305</v>
      </c>
      <c r="M1048" s="2">
        <v>88</v>
      </c>
      <c r="N1048" s="2">
        <v>274</v>
      </c>
      <c r="O1048" s="2">
        <v>0</v>
      </c>
      <c r="P1048" s="2">
        <v>21</v>
      </c>
      <c r="Q1048" s="2">
        <v>4</v>
      </c>
      <c r="R1048" s="2">
        <v>6</v>
      </c>
      <c r="S1048" s="2">
        <v>15</v>
      </c>
      <c r="T1048" s="2">
        <v>1</v>
      </c>
      <c r="U1048" s="2">
        <v>5</v>
      </c>
      <c r="V1048" s="2">
        <v>1</v>
      </c>
      <c r="W1048" s="2">
        <v>6</v>
      </c>
      <c r="X1048" s="2">
        <v>6</v>
      </c>
    </row>
    <row r="1049" spans="1:24" x14ac:dyDescent="0.35">
      <c r="A1049">
        <v>304</v>
      </c>
      <c r="B1049">
        <v>47352</v>
      </c>
      <c r="C1049">
        <v>69</v>
      </c>
      <c r="D1049">
        <v>1</v>
      </c>
      <c r="E1049" s="28">
        <v>7.1315068493150688</v>
      </c>
      <c r="F1049" s="28"/>
      <c r="G1049" s="28"/>
      <c r="H1049" s="28"/>
      <c r="I1049" s="28"/>
      <c r="J1049" s="28"/>
      <c r="L1049" s="37">
        <v>304</v>
      </c>
      <c r="M1049" s="3">
        <v>70</v>
      </c>
      <c r="N1049" s="3">
        <v>172</v>
      </c>
      <c r="O1049" s="3">
        <v>12</v>
      </c>
      <c r="P1049" s="3">
        <v>112</v>
      </c>
      <c r="Q1049" s="3">
        <v>8</v>
      </c>
      <c r="R1049" s="3">
        <v>0</v>
      </c>
      <c r="S1049" s="3">
        <v>15</v>
      </c>
      <c r="T1049" s="3">
        <v>4</v>
      </c>
      <c r="U1049" s="3">
        <v>6</v>
      </c>
      <c r="V1049" s="3">
        <v>1</v>
      </c>
      <c r="W1049" s="3">
        <v>5</v>
      </c>
      <c r="X1049" s="3">
        <v>7</v>
      </c>
    </row>
    <row r="1050" spans="1:24" x14ac:dyDescent="0.35">
      <c r="A1050">
        <v>304</v>
      </c>
      <c r="B1050">
        <v>51876</v>
      </c>
      <c r="C1050">
        <v>62</v>
      </c>
      <c r="D1050">
        <v>0</v>
      </c>
      <c r="E1050" s="28">
        <v>6.6191780821917812</v>
      </c>
      <c r="F1050" s="28"/>
      <c r="G1050" s="28"/>
      <c r="H1050" s="28"/>
      <c r="I1050" s="28"/>
      <c r="J1050" s="28"/>
      <c r="L1050" s="38">
        <v>304</v>
      </c>
      <c r="M1050" s="2">
        <v>88</v>
      </c>
      <c r="N1050" s="2">
        <v>99</v>
      </c>
      <c r="O1050" s="2">
        <v>27</v>
      </c>
      <c r="P1050" s="2">
        <v>102</v>
      </c>
      <c r="Q1050" s="2">
        <v>28</v>
      </c>
      <c r="R1050" s="2">
        <v>48</v>
      </c>
      <c r="S1050" s="2">
        <v>6</v>
      </c>
      <c r="T1050" s="2">
        <v>1</v>
      </c>
      <c r="U1050" s="2">
        <v>2</v>
      </c>
      <c r="V1050" s="2">
        <v>2</v>
      </c>
      <c r="W1050" s="2">
        <v>8</v>
      </c>
      <c r="X1050" s="2">
        <v>1</v>
      </c>
    </row>
    <row r="1051" spans="1:24" x14ac:dyDescent="0.35">
      <c r="A1051">
        <v>304</v>
      </c>
      <c r="B1051">
        <v>42710</v>
      </c>
      <c r="C1051">
        <v>36</v>
      </c>
      <c r="D1051">
        <v>1</v>
      </c>
      <c r="E1051" s="28">
        <v>7.4986301369863018</v>
      </c>
      <c r="F1051" s="28"/>
      <c r="G1051" s="28"/>
      <c r="H1051" s="28"/>
      <c r="I1051" s="28"/>
      <c r="J1051" s="28"/>
      <c r="L1051" s="37">
        <v>304</v>
      </c>
      <c r="M1051" s="3">
        <v>38</v>
      </c>
      <c r="N1051" s="3">
        <v>252</v>
      </c>
      <c r="O1051" s="3">
        <v>3</v>
      </c>
      <c r="P1051" s="3">
        <v>42</v>
      </c>
      <c r="Q1051" s="3">
        <v>4</v>
      </c>
      <c r="R1051" s="3">
        <v>3</v>
      </c>
      <c r="S1051" s="3">
        <v>102</v>
      </c>
      <c r="T1051" s="3">
        <v>2</v>
      </c>
      <c r="U1051" s="3">
        <v>4</v>
      </c>
      <c r="V1051" s="3">
        <v>5</v>
      </c>
      <c r="W1051" s="3">
        <v>3</v>
      </c>
      <c r="X1051" s="3">
        <v>6</v>
      </c>
    </row>
    <row r="1052" spans="1:24" x14ac:dyDescent="0.35">
      <c r="A1052">
        <v>304</v>
      </c>
      <c r="B1052">
        <v>54237</v>
      </c>
      <c r="C1052">
        <v>63</v>
      </c>
      <c r="D1052">
        <v>1</v>
      </c>
      <c r="E1052" s="28">
        <v>7.087671232876712</v>
      </c>
      <c r="F1052" s="28"/>
      <c r="G1052" s="28"/>
      <c r="H1052" s="28"/>
      <c r="I1052" s="28"/>
      <c r="J1052" s="28"/>
      <c r="L1052" s="38">
        <v>304</v>
      </c>
      <c r="M1052" s="2">
        <v>48</v>
      </c>
      <c r="N1052" s="2">
        <v>267</v>
      </c>
      <c r="O1052" s="2">
        <v>3</v>
      </c>
      <c r="P1052" s="2">
        <v>30</v>
      </c>
      <c r="Q1052" s="2">
        <v>4</v>
      </c>
      <c r="R1052" s="2">
        <v>0</v>
      </c>
      <c r="S1052" s="2">
        <v>57</v>
      </c>
      <c r="T1052" s="2">
        <v>4</v>
      </c>
      <c r="U1052" s="2">
        <v>5</v>
      </c>
      <c r="V1052" s="2">
        <v>2</v>
      </c>
      <c r="W1052" s="2">
        <v>5</v>
      </c>
      <c r="X1052" s="2">
        <v>6</v>
      </c>
    </row>
    <row r="1053" spans="1:24" x14ac:dyDescent="0.35">
      <c r="A1053">
        <v>303</v>
      </c>
      <c r="B1053">
        <v>49494</v>
      </c>
      <c r="C1053">
        <v>48</v>
      </c>
      <c r="D1053">
        <v>1</v>
      </c>
      <c r="E1053" s="28">
        <v>7.0931506849315067</v>
      </c>
      <c r="F1053" s="28"/>
      <c r="G1053" s="28"/>
      <c r="H1053" s="28"/>
      <c r="I1053" s="28"/>
      <c r="J1053" s="28"/>
      <c r="L1053" s="37">
        <v>303</v>
      </c>
      <c r="M1053" s="3">
        <v>46</v>
      </c>
      <c r="N1053" s="3">
        <v>191</v>
      </c>
      <c r="O1053" s="3">
        <v>9</v>
      </c>
      <c r="P1053" s="3">
        <v>97</v>
      </c>
      <c r="Q1053" s="3">
        <v>0</v>
      </c>
      <c r="R1053" s="3">
        <v>6</v>
      </c>
      <c r="S1053" s="3">
        <v>82</v>
      </c>
      <c r="T1053" s="3">
        <v>2</v>
      </c>
      <c r="U1053" s="3">
        <v>6</v>
      </c>
      <c r="V1053" s="3">
        <v>1</v>
      </c>
      <c r="W1053" s="3">
        <v>5</v>
      </c>
      <c r="X1053" s="3">
        <v>7</v>
      </c>
    </row>
    <row r="1054" spans="1:24" x14ac:dyDescent="0.35">
      <c r="A1054">
        <v>303</v>
      </c>
      <c r="B1054">
        <v>49967</v>
      </c>
      <c r="C1054">
        <v>62</v>
      </c>
      <c r="D1054">
        <v>1</v>
      </c>
      <c r="E1054" s="28">
        <v>6.8904109589041092</v>
      </c>
      <c r="F1054" s="28"/>
      <c r="G1054" s="28"/>
      <c r="H1054" s="28"/>
      <c r="I1054" s="28"/>
      <c r="J1054" s="28"/>
      <c r="L1054" s="38">
        <v>303</v>
      </c>
      <c r="M1054" s="2">
        <v>4</v>
      </c>
      <c r="N1054" s="2">
        <v>212</v>
      </c>
      <c r="O1054" s="2">
        <v>6</v>
      </c>
      <c r="P1054" s="2">
        <v>69</v>
      </c>
      <c r="Q1054" s="2">
        <v>4</v>
      </c>
      <c r="R1054" s="2">
        <v>12</v>
      </c>
      <c r="S1054" s="2">
        <v>3</v>
      </c>
      <c r="T1054" s="2">
        <v>3</v>
      </c>
      <c r="U1054" s="2">
        <v>6</v>
      </c>
      <c r="V1054" s="2">
        <v>1</v>
      </c>
      <c r="W1054" s="2">
        <v>5</v>
      </c>
      <c r="X1054" s="2">
        <v>7</v>
      </c>
    </row>
    <row r="1055" spans="1:24" x14ac:dyDescent="0.35">
      <c r="A1055">
        <v>303</v>
      </c>
      <c r="B1055">
        <v>34600</v>
      </c>
      <c r="C1055">
        <v>49</v>
      </c>
      <c r="D1055">
        <v>1</v>
      </c>
      <c r="E1055" s="28">
        <v>7.4054794520547942</v>
      </c>
      <c r="F1055" s="28"/>
      <c r="G1055" s="28"/>
      <c r="H1055" s="28"/>
      <c r="I1055" s="28"/>
      <c r="J1055" s="28"/>
      <c r="L1055" s="37">
        <v>303</v>
      </c>
      <c r="M1055" s="3">
        <v>8</v>
      </c>
      <c r="N1055" s="3">
        <v>199</v>
      </c>
      <c r="O1055" s="3">
        <v>33</v>
      </c>
      <c r="P1055" s="3">
        <v>60</v>
      </c>
      <c r="Q1055" s="3">
        <v>8</v>
      </c>
      <c r="R1055" s="3">
        <v>3</v>
      </c>
      <c r="S1055" s="3">
        <v>15</v>
      </c>
      <c r="T1055" s="3">
        <v>5</v>
      </c>
      <c r="U1055" s="3">
        <v>5</v>
      </c>
      <c r="V1055" s="3">
        <v>2</v>
      </c>
      <c r="W1055" s="3">
        <v>5</v>
      </c>
      <c r="X1055" s="3">
        <v>8</v>
      </c>
    </row>
    <row r="1056" spans="1:24" x14ac:dyDescent="0.35">
      <c r="A1056">
        <v>303</v>
      </c>
      <c r="B1056">
        <v>45183</v>
      </c>
      <c r="C1056">
        <v>58</v>
      </c>
      <c r="D1056">
        <v>0</v>
      </c>
      <c r="E1056" s="28">
        <v>7.353424657534247</v>
      </c>
      <c r="F1056" s="28"/>
      <c r="G1056" s="28"/>
      <c r="H1056" s="28"/>
      <c r="I1056" s="28"/>
      <c r="J1056" s="28"/>
      <c r="L1056" s="38">
        <v>303</v>
      </c>
      <c r="M1056" s="2">
        <v>33</v>
      </c>
      <c r="N1056" s="2">
        <v>219</v>
      </c>
      <c r="O1056" s="2">
        <v>3</v>
      </c>
      <c r="P1056" s="2">
        <v>60</v>
      </c>
      <c r="Q1056" s="2">
        <v>12</v>
      </c>
      <c r="R1056" s="2">
        <v>9</v>
      </c>
      <c r="S1056" s="2">
        <v>12</v>
      </c>
      <c r="T1056" s="2">
        <v>1</v>
      </c>
      <c r="U1056" s="2">
        <v>4</v>
      </c>
      <c r="V1056" s="2">
        <v>1</v>
      </c>
      <c r="W1056" s="2">
        <v>7</v>
      </c>
      <c r="X1056" s="2">
        <v>7</v>
      </c>
    </row>
    <row r="1057" spans="1:24" x14ac:dyDescent="0.35">
      <c r="A1057">
        <v>303</v>
      </c>
      <c r="B1057">
        <v>42607</v>
      </c>
      <c r="C1057">
        <v>66</v>
      </c>
      <c r="D1057">
        <v>1</v>
      </c>
      <c r="E1057" s="28">
        <v>6.5287671232876709</v>
      </c>
      <c r="F1057" s="28"/>
      <c r="G1057" s="28"/>
      <c r="H1057" s="28"/>
      <c r="I1057" s="28"/>
      <c r="J1057" s="28"/>
      <c r="L1057" s="37">
        <v>303</v>
      </c>
      <c r="M1057" s="3">
        <v>30</v>
      </c>
      <c r="N1057" s="3">
        <v>156</v>
      </c>
      <c r="O1057" s="3">
        <v>29</v>
      </c>
      <c r="P1057" s="3">
        <v>56</v>
      </c>
      <c r="Q1057" s="3">
        <v>30</v>
      </c>
      <c r="R1057" s="3">
        <v>32</v>
      </c>
      <c r="S1057" s="3">
        <v>47</v>
      </c>
      <c r="T1057" s="3">
        <v>2</v>
      </c>
      <c r="U1057" s="3">
        <v>3</v>
      </c>
      <c r="V1057" s="3">
        <v>2</v>
      </c>
      <c r="W1057" s="3">
        <v>7</v>
      </c>
      <c r="X1057" s="3">
        <v>3</v>
      </c>
    </row>
    <row r="1058" spans="1:24" x14ac:dyDescent="0.35">
      <c r="A1058">
        <v>303</v>
      </c>
      <c r="B1058">
        <v>51148</v>
      </c>
      <c r="C1058">
        <v>47</v>
      </c>
      <c r="D1058">
        <v>1</v>
      </c>
      <c r="E1058" s="28">
        <v>7.2739726027397262</v>
      </c>
      <c r="F1058" s="28"/>
      <c r="G1058" s="28"/>
      <c r="H1058" s="28"/>
      <c r="I1058" s="28"/>
      <c r="J1058" s="28"/>
      <c r="L1058" s="38">
        <v>303</v>
      </c>
      <c r="M1058" s="2">
        <v>38</v>
      </c>
      <c r="N1058" s="2">
        <v>235</v>
      </c>
      <c r="O1058" s="2">
        <v>6</v>
      </c>
      <c r="P1058" s="2">
        <v>45</v>
      </c>
      <c r="Q1058" s="2">
        <v>8</v>
      </c>
      <c r="R1058" s="2">
        <v>9</v>
      </c>
      <c r="S1058" s="2">
        <v>12</v>
      </c>
      <c r="T1058" s="2">
        <v>4</v>
      </c>
      <c r="U1058" s="2">
        <v>5</v>
      </c>
      <c r="V1058" s="2">
        <v>1</v>
      </c>
      <c r="W1058" s="2">
        <v>6</v>
      </c>
      <c r="X1058" s="2">
        <v>6</v>
      </c>
    </row>
    <row r="1059" spans="1:24" x14ac:dyDescent="0.35">
      <c r="A1059">
        <v>301</v>
      </c>
      <c r="B1059">
        <v>46734</v>
      </c>
      <c r="C1059">
        <v>66</v>
      </c>
      <c r="D1059">
        <v>1</v>
      </c>
      <c r="E1059" s="28">
        <v>7.5260273972602736</v>
      </c>
      <c r="F1059" s="28"/>
      <c r="G1059" s="28"/>
      <c r="H1059" s="28"/>
      <c r="I1059" s="28"/>
      <c r="J1059" s="28"/>
      <c r="L1059" s="37">
        <v>301</v>
      </c>
      <c r="M1059" s="3">
        <v>40</v>
      </c>
      <c r="N1059" s="3">
        <v>110</v>
      </c>
      <c r="O1059" s="3">
        <v>5</v>
      </c>
      <c r="P1059" s="3">
        <v>137</v>
      </c>
      <c r="Q1059" s="3">
        <v>26</v>
      </c>
      <c r="R1059" s="3">
        <v>23</v>
      </c>
      <c r="S1059" s="3">
        <v>29</v>
      </c>
      <c r="T1059" s="3">
        <v>2</v>
      </c>
      <c r="U1059" s="3">
        <v>6</v>
      </c>
      <c r="V1059" s="3">
        <v>1</v>
      </c>
      <c r="W1059" s="3">
        <v>5</v>
      </c>
      <c r="X1059" s="3">
        <v>7</v>
      </c>
    </row>
    <row r="1060" spans="1:24" x14ac:dyDescent="0.35">
      <c r="A1060">
        <v>300</v>
      </c>
      <c r="B1060">
        <v>30522</v>
      </c>
      <c r="C1060">
        <v>60</v>
      </c>
      <c r="D1060">
        <v>1</v>
      </c>
      <c r="E1060" s="28">
        <v>7.7808219178082192</v>
      </c>
      <c r="F1060" s="28"/>
      <c r="G1060" s="28"/>
      <c r="H1060" s="28"/>
      <c r="I1060" s="28"/>
      <c r="J1060" s="28"/>
      <c r="L1060" s="38">
        <v>300</v>
      </c>
      <c r="M1060" s="2">
        <v>6</v>
      </c>
      <c r="N1060" s="2">
        <v>179</v>
      </c>
      <c r="O1060" s="2">
        <v>8</v>
      </c>
      <c r="P1060" s="2">
        <v>83</v>
      </c>
      <c r="Q1060" s="2">
        <v>19</v>
      </c>
      <c r="R1060" s="2">
        <v>11</v>
      </c>
      <c r="S1060" s="2">
        <v>26</v>
      </c>
      <c r="T1060" s="2">
        <v>5</v>
      </c>
      <c r="U1060" s="2">
        <v>1</v>
      </c>
      <c r="V1060" s="2">
        <v>2</v>
      </c>
      <c r="W1060" s="2">
        <v>9</v>
      </c>
      <c r="X1060" s="2">
        <v>2</v>
      </c>
    </row>
    <row r="1061" spans="1:24" x14ac:dyDescent="0.35">
      <c r="A1061">
        <v>300</v>
      </c>
      <c r="B1061">
        <v>42691</v>
      </c>
      <c r="C1061">
        <v>29</v>
      </c>
      <c r="D1061">
        <v>0</v>
      </c>
      <c r="E1061" s="28">
        <v>6.7835616438356166</v>
      </c>
      <c r="F1061" s="28"/>
      <c r="G1061" s="28"/>
      <c r="H1061" s="28"/>
      <c r="I1061" s="28"/>
      <c r="J1061" s="28"/>
      <c r="L1061" s="37">
        <v>300</v>
      </c>
      <c r="M1061" s="3">
        <v>48</v>
      </c>
      <c r="N1061" s="3">
        <v>179</v>
      </c>
      <c r="O1061" s="3">
        <v>2</v>
      </c>
      <c r="P1061" s="3">
        <v>64</v>
      </c>
      <c r="Q1061" s="3">
        <v>38</v>
      </c>
      <c r="R1061" s="3">
        <v>17</v>
      </c>
      <c r="S1061" s="3">
        <v>58</v>
      </c>
      <c r="T1061" s="3">
        <v>1</v>
      </c>
      <c r="U1061" s="3">
        <v>5</v>
      </c>
      <c r="V1061" s="3">
        <v>1</v>
      </c>
      <c r="W1061" s="3">
        <v>6</v>
      </c>
      <c r="X1061" s="3">
        <v>5</v>
      </c>
    </row>
    <row r="1062" spans="1:24" x14ac:dyDescent="0.35">
      <c r="A1062">
        <v>300</v>
      </c>
      <c r="B1062">
        <v>62994</v>
      </c>
      <c r="C1062">
        <v>40</v>
      </c>
      <c r="D1062">
        <v>1</v>
      </c>
      <c r="E1062" s="28">
        <v>6.2356164383561641</v>
      </c>
      <c r="F1062" s="28"/>
      <c r="G1062" s="28"/>
      <c r="H1062" s="28"/>
      <c r="I1062" s="28"/>
      <c r="J1062" s="28"/>
      <c r="L1062" s="38">
        <v>300</v>
      </c>
      <c r="M1062" s="2">
        <v>74</v>
      </c>
      <c r="N1062" s="2">
        <v>224</v>
      </c>
      <c r="O1062" s="2">
        <v>12</v>
      </c>
      <c r="P1062" s="2">
        <v>48</v>
      </c>
      <c r="Q1062" s="2">
        <v>4</v>
      </c>
      <c r="R1062" s="2">
        <v>12</v>
      </c>
      <c r="S1062" s="2">
        <v>12</v>
      </c>
      <c r="T1062" s="2">
        <v>1</v>
      </c>
      <c r="U1062" s="2">
        <v>6</v>
      </c>
      <c r="V1062" s="2">
        <v>2</v>
      </c>
      <c r="W1062" s="2">
        <v>4</v>
      </c>
      <c r="X1062" s="2">
        <v>6</v>
      </c>
    </row>
    <row r="1063" spans="1:24" x14ac:dyDescent="0.35">
      <c r="A1063">
        <v>298</v>
      </c>
      <c r="B1063">
        <v>57420</v>
      </c>
      <c r="C1063">
        <v>49</v>
      </c>
      <c r="D1063">
        <v>1</v>
      </c>
      <c r="E1063" s="28">
        <v>6.9260273972602739</v>
      </c>
      <c r="F1063" s="28"/>
      <c r="G1063" s="28"/>
      <c r="H1063" s="28"/>
      <c r="I1063" s="28"/>
      <c r="J1063" s="28"/>
      <c r="L1063" s="37">
        <v>298</v>
      </c>
      <c r="M1063" s="3">
        <v>22</v>
      </c>
      <c r="N1063" s="3">
        <v>280</v>
      </c>
      <c r="O1063" s="3">
        <v>0</v>
      </c>
      <c r="P1063" s="3">
        <v>18</v>
      </c>
      <c r="Q1063" s="3">
        <v>0</v>
      </c>
      <c r="R1063" s="3">
        <v>0</v>
      </c>
      <c r="S1063" s="3">
        <v>24</v>
      </c>
      <c r="T1063" s="3">
        <v>3</v>
      </c>
      <c r="U1063" s="3">
        <v>5</v>
      </c>
      <c r="V1063" s="3">
        <v>1</v>
      </c>
      <c r="W1063" s="3">
        <v>6</v>
      </c>
      <c r="X1063" s="3">
        <v>7</v>
      </c>
    </row>
    <row r="1064" spans="1:24" x14ac:dyDescent="0.35">
      <c r="A1064">
        <v>297</v>
      </c>
      <c r="B1064">
        <v>37774</v>
      </c>
      <c r="C1064">
        <v>43</v>
      </c>
      <c r="D1064">
        <v>1</v>
      </c>
      <c r="E1064" s="28">
        <v>7.7342465753424658</v>
      </c>
      <c r="F1064" s="28"/>
      <c r="G1064" s="28"/>
      <c r="H1064" s="28"/>
      <c r="I1064" s="28"/>
      <c r="J1064" s="28"/>
      <c r="L1064" s="38">
        <v>297</v>
      </c>
      <c r="M1064" s="2">
        <v>28</v>
      </c>
      <c r="N1064" s="2">
        <v>173</v>
      </c>
      <c r="O1064" s="2">
        <v>8</v>
      </c>
      <c r="P1064" s="2">
        <v>107</v>
      </c>
      <c r="Q1064" s="2">
        <v>7</v>
      </c>
      <c r="R1064" s="2">
        <v>2</v>
      </c>
      <c r="S1064" s="2">
        <v>176</v>
      </c>
      <c r="T1064" s="2">
        <v>4</v>
      </c>
      <c r="U1064" s="2">
        <v>7</v>
      </c>
      <c r="V1064" s="2">
        <v>2</v>
      </c>
      <c r="W1064" s="2">
        <v>3</v>
      </c>
      <c r="X1064" s="2">
        <v>9</v>
      </c>
    </row>
    <row r="1065" spans="1:24" x14ac:dyDescent="0.35">
      <c r="A1065">
        <v>297</v>
      </c>
      <c r="B1065">
        <v>49669</v>
      </c>
      <c r="C1065">
        <v>46</v>
      </c>
      <c r="D1065">
        <v>1</v>
      </c>
      <c r="E1065" s="28">
        <v>6.0136986301369859</v>
      </c>
      <c r="F1065" s="28"/>
      <c r="G1065" s="28"/>
      <c r="H1065" s="28"/>
      <c r="I1065" s="28"/>
      <c r="J1065" s="28"/>
      <c r="L1065" s="37">
        <v>297</v>
      </c>
      <c r="M1065" s="3">
        <v>97</v>
      </c>
      <c r="N1065" s="3">
        <v>166</v>
      </c>
      <c r="O1065" s="3">
        <v>5</v>
      </c>
      <c r="P1065" s="3">
        <v>107</v>
      </c>
      <c r="Q1065" s="3">
        <v>11</v>
      </c>
      <c r="R1065" s="3">
        <v>8</v>
      </c>
      <c r="S1065" s="3">
        <v>29</v>
      </c>
      <c r="T1065" s="3">
        <v>2</v>
      </c>
      <c r="U1065" s="3">
        <v>5</v>
      </c>
      <c r="V1065" s="3">
        <v>1</v>
      </c>
      <c r="W1065" s="3">
        <v>6</v>
      </c>
      <c r="X1065" s="3">
        <v>6</v>
      </c>
    </row>
    <row r="1066" spans="1:24" x14ac:dyDescent="0.35">
      <c r="A1066">
        <v>297</v>
      </c>
      <c r="B1066">
        <v>45143</v>
      </c>
      <c r="C1066">
        <v>55</v>
      </c>
      <c r="D1066">
        <v>1</v>
      </c>
      <c r="E1066" s="28">
        <v>6.7561643835616438</v>
      </c>
      <c r="F1066" s="28"/>
      <c r="G1066" s="28"/>
      <c r="H1066" s="28"/>
      <c r="I1066" s="28"/>
      <c r="J1066" s="28"/>
      <c r="L1066" s="38">
        <v>297</v>
      </c>
      <c r="M1066" s="2">
        <v>74</v>
      </c>
      <c r="N1066" s="2">
        <v>202</v>
      </c>
      <c r="O1066" s="2">
        <v>5</v>
      </c>
      <c r="P1066" s="2">
        <v>74</v>
      </c>
      <c r="Q1066" s="2">
        <v>11</v>
      </c>
      <c r="R1066" s="2">
        <v>5</v>
      </c>
      <c r="S1066" s="2">
        <v>14</v>
      </c>
      <c r="T1066" s="2">
        <v>3</v>
      </c>
      <c r="U1066" s="2">
        <v>6</v>
      </c>
      <c r="V1066" s="2">
        <v>1</v>
      </c>
      <c r="W1066" s="2">
        <v>5</v>
      </c>
      <c r="X1066" s="2">
        <v>7</v>
      </c>
    </row>
    <row r="1067" spans="1:24" x14ac:dyDescent="0.35">
      <c r="A1067">
        <v>297</v>
      </c>
      <c r="B1067">
        <v>51390</v>
      </c>
      <c r="C1067">
        <v>55</v>
      </c>
      <c r="D1067">
        <v>1</v>
      </c>
      <c r="E1067" s="28">
        <v>7.720547945205479</v>
      </c>
      <c r="F1067" s="28"/>
      <c r="G1067" s="28"/>
      <c r="H1067" s="28"/>
      <c r="I1067" s="28"/>
      <c r="J1067" s="28"/>
      <c r="L1067" s="37">
        <v>297</v>
      </c>
      <c r="M1067" s="3">
        <v>54</v>
      </c>
      <c r="N1067" s="3">
        <v>205</v>
      </c>
      <c r="O1067" s="3">
        <v>20</v>
      </c>
      <c r="P1067" s="3">
        <v>47</v>
      </c>
      <c r="Q1067" s="3">
        <v>23</v>
      </c>
      <c r="R1067" s="3">
        <v>2</v>
      </c>
      <c r="S1067" s="3">
        <v>56</v>
      </c>
      <c r="T1067" s="3">
        <v>6</v>
      </c>
      <c r="U1067" s="3">
        <v>5</v>
      </c>
      <c r="V1067" s="3">
        <v>2</v>
      </c>
      <c r="W1067" s="3">
        <v>5</v>
      </c>
      <c r="X1067" s="3">
        <v>5</v>
      </c>
    </row>
    <row r="1068" spans="1:24" x14ac:dyDescent="0.35">
      <c r="A1068">
        <v>297</v>
      </c>
      <c r="B1068">
        <v>45688</v>
      </c>
      <c r="C1068">
        <v>52</v>
      </c>
      <c r="D1068">
        <v>1</v>
      </c>
      <c r="E1068" s="28">
        <v>6.3397260273972602</v>
      </c>
      <c r="F1068" s="28"/>
      <c r="G1068" s="28"/>
      <c r="H1068" s="28"/>
      <c r="I1068" s="28"/>
      <c r="J1068" s="28"/>
      <c r="L1068" s="38">
        <v>297</v>
      </c>
      <c r="M1068" s="2">
        <v>20</v>
      </c>
      <c r="N1068" s="2">
        <v>279</v>
      </c>
      <c r="O1068" s="2">
        <v>0</v>
      </c>
      <c r="P1068" s="2">
        <v>18</v>
      </c>
      <c r="Q1068" s="2">
        <v>0</v>
      </c>
      <c r="R1068" s="2">
        <v>0</v>
      </c>
      <c r="S1068" s="2">
        <v>9</v>
      </c>
      <c r="T1068" s="2">
        <v>2</v>
      </c>
      <c r="U1068" s="2">
        <v>3</v>
      </c>
      <c r="V1068" s="2">
        <v>1</v>
      </c>
      <c r="W1068" s="2">
        <v>8</v>
      </c>
      <c r="X1068" s="2">
        <v>4</v>
      </c>
    </row>
    <row r="1069" spans="1:24" x14ac:dyDescent="0.35">
      <c r="A1069">
        <v>296</v>
      </c>
      <c r="B1069">
        <v>59354</v>
      </c>
      <c r="C1069">
        <v>68</v>
      </c>
      <c r="D1069">
        <v>1</v>
      </c>
      <c r="E1069" s="28">
        <v>6.5342465753424657</v>
      </c>
      <c r="F1069" s="28"/>
      <c r="G1069" s="28"/>
      <c r="H1069" s="28"/>
      <c r="I1069" s="28"/>
      <c r="J1069" s="28"/>
      <c r="L1069" s="37">
        <v>296</v>
      </c>
      <c r="M1069" s="3">
        <v>53</v>
      </c>
      <c r="N1069" s="3">
        <v>233</v>
      </c>
      <c r="O1069" s="3">
        <v>2</v>
      </c>
      <c r="P1069" s="3">
        <v>53</v>
      </c>
      <c r="Q1069" s="3">
        <v>3</v>
      </c>
      <c r="R1069" s="3">
        <v>5</v>
      </c>
      <c r="S1069" s="3">
        <v>14</v>
      </c>
      <c r="T1069" s="3">
        <v>3</v>
      </c>
      <c r="U1069" s="3">
        <v>6</v>
      </c>
      <c r="V1069" s="3">
        <v>1</v>
      </c>
      <c r="W1069" s="3">
        <v>5</v>
      </c>
      <c r="X1069" s="3">
        <v>6</v>
      </c>
    </row>
    <row r="1070" spans="1:24" x14ac:dyDescent="0.35">
      <c r="A1070">
        <v>295</v>
      </c>
      <c r="B1070">
        <v>63516</v>
      </c>
      <c r="C1070">
        <v>47</v>
      </c>
      <c r="D1070">
        <v>1</v>
      </c>
      <c r="E1070" s="28">
        <v>6.8958904109589039</v>
      </c>
      <c r="F1070" s="28"/>
      <c r="G1070" s="28"/>
      <c r="H1070" s="28"/>
      <c r="I1070" s="28"/>
      <c r="J1070" s="28"/>
      <c r="L1070" s="38">
        <v>295</v>
      </c>
      <c r="M1070" s="2">
        <v>30</v>
      </c>
      <c r="N1070" s="2">
        <v>141</v>
      </c>
      <c r="O1070" s="2">
        <v>11</v>
      </c>
      <c r="P1070" s="2">
        <v>114</v>
      </c>
      <c r="Q1070" s="2">
        <v>15</v>
      </c>
      <c r="R1070" s="2">
        <v>14</v>
      </c>
      <c r="S1070" s="2">
        <v>5</v>
      </c>
      <c r="T1070" s="2">
        <v>4</v>
      </c>
      <c r="U1070" s="2">
        <v>4</v>
      </c>
      <c r="V1070" s="2">
        <v>1</v>
      </c>
      <c r="W1070" s="2">
        <v>7</v>
      </c>
      <c r="X1070" s="2">
        <v>5</v>
      </c>
    </row>
    <row r="1071" spans="1:24" x14ac:dyDescent="0.35">
      <c r="A1071">
        <v>295</v>
      </c>
      <c r="B1071">
        <v>46310</v>
      </c>
      <c r="C1071">
        <v>44</v>
      </c>
      <c r="D1071">
        <v>1</v>
      </c>
      <c r="E1071" s="28">
        <v>7.484931506849315</v>
      </c>
      <c r="F1071" s="28"/>
      <c r="G1071" s="28"/>
      <c r="H1071" s="28"/>
      <c r="I1071" s="28"/>
      <c r="J1071" s="28"/>
      <c r="L1071" s="37">
        <v>295</v>
      </c>
      <c r="M1071" s="3">
        <v>99</v>
      </c>
      <c r="N1071" s="3">
        <v>185</v>
      </c>
      <c r="O1071" s="3">
        <v>2</v>
      </c>
      <c r="P1071" s="3">
        <v>88</v>
      </c>
      <c r="Q1071" s="3">
        <v>15</v>
      </c>
      <c r="R1071" s="3">
        <v>5</v>
      </c>
      <c r="S1071" s="3">
        <v>14</v>
      </c>
      <c r="T1071" s="3">
        <v>2</v>
      </c>
      <c r="U1071" s="3">
        <v>6</v>
      </c>
      <c r="V1071" s="3">
        <v>1</v>
      </c>
      <c r="W1071" s="3">
        <v>5</v>
      </c>
      <c r="X1071" s="3">
        <v>8</v>
      </c>
    </row>
    <row r="1072" spans="1:24" x14ac:dyDescent="0.35">
      <c r="A1072">
        <v>295</v>
      </c>
      <c r="B1072">
        <v>49678</v>
      </c>
      <c r="C1072">
        <v>59</v>
      </c>
      <c r="D1072">
        <v>1</v>
      </c>
      <c r="E1072" s="28">
        <v>7.3178082191780822</v>
      </c>
      <c r="F1072" s="28"/>
      <c r="G1072" s="28"/>
      <c r="H1072" s="28"/>
      <c r="I1072" s="28"/>
      <c r="J1072" s="28"/>
      <c r="L1072" s="38">
        <v>295</v>
      </c>
      <c r="M1072" s="2">
        <v>81</v>
      </c>
      <c r="N1072" s="2">
        <v>229</v>
      </c>
      <c r="O1072" s="2">
        <v>5</v>
      </c>
      <c r="P1072" s="2">
        <v>56</v>
      </c>
      <c r="Q1072" s="2">
        <v>3</v>
      </c>
      <c r="R1072" s="2">
        <v>2</v>
      </c>
      <c r="S1072" s="2">
        <v>20</v>
      </c>
      <c r="T1072" s="2">
        <v>2</v>
      </c>
      <c r="U1072" s="2">
        <v>6</v>
      </c>
      <c r="V1072" s="2">
        <v>2</v>
      </c>
      <c r="W1072" s="2">
        <v>4</v>
      </c>
      <c r="X1072" s="2">
        <v>7</v>
      </c>
    </row>
    <row r="1073" spans="1:24" x14ac:dyDescent="0.35">
      <c r="A1073">
        <v>294</v>
      </c>
      <c r="B1073">
        <v>57100</v>
      </c>
      <c r="C1073">
        <v>33</v>
      </c>
      <c r="D1073">
        <v>1</v>
      </c>
      <c r="E1073" s="28">
        <v>6.0301369863013701</v>
      </c>
      <c r="F1073" s="28"/>
      <c r="G1073" s="28"/>
      <c r="H1073" s="28"/>
      <c r="I1073" s="28"/>
      <c r="J1073" s="28"/>
      <c r="L1073" s="37">
        <v>294</v>
      </c>
      <c r="M1073" s="3">
        <v>9</v>
      </c>
      <c r="N1073" s="3">
        <v>158</v>
      </c>
      <c r="O1073" s="3">
        <v>11</v>
      </c>
      <c r="P1073" s="3">
        <v>99</v>
      </c>
      <c r="Q1073" s="3">
        <v>15</v>
      </c>
      <c r="R1073" s="3">
        <v>11</v>
      </c>
      <c r="S1073" s="3">
        <v>17</v>
      </c>
      <c r="T1073" s="3">
        <v>2</v>
      </c>
      <c r="U1073" s="3">
        <v>3</v>
      </c>
      <c r="V1073" s="3">
        <v>2</v>
      </c>
      <c r="W1073" s="3">
        <v>7</v>
      </c>
      <c r="X1073" s="3">
        <v>3</v>
      </c>
    </row>
    <row r="1074" spans="1:24" x14ac:dyDescent="0.35">
      <c r="A1074">
        <v>293</v>
      </c>
      <c r="B1074">
        <v>46086</v>
      </c>
      <c r="C1074">
        <v>64</v>
      </c>
      <c r="D1074">
        <v>1</v>
      </c>
      <c r="E1074" s="28">
        <v>6.5671232876712331</v>
      </c>
      <c r="F1074" s="28"/>
      <c r="G1074" s="28"/>
      <c r="H1074" s="28"/>
      <c r="I1074" s="28"/>
      <c r="J1074" s="28"/>
      <c r="L1074" s="38">
        <v>293</v>
      </c>
      <c r="M1074" s="2">
        <v>34</v>
      </c>
      <c r="N1074" s="2">
        <v>244</v>
      </c>
      <c r="O1074" s="2">
        <v>8</v>
      </c>
      <c r="P1074" s="2">
        <v>32</v>
      </c>
      <c r="Q1074" s="2">
        <v>7</v>
      </c>
      <c r="R1074" s="2">
        <v>2</v>
      </c>
      <c r="S1074" s="2">
        <v>50</v>
      </c>
      <c r="T1074" s="2">
        <v>4</v>
      </c>
      <c r="U1074" s="2">
        <v>3</v>
      </c>
      <c r="V1074" s="2">
        <v>1</v>
      </c>
      <c r="W1074" s="2">
        <v>8</v>
      </c>
      <c r="X1074" s="2">
        <v>4</v>
      </c>
    </row>
    <row r="1075" spans="1:24" x14ac:dyDescent="0.35">
      <c r="A1075">
        <v>292</v>
      </c>
      <c r="B1075">
        <v>36108</v>
      </c>
      <c r="C1075">
        <v>36</v>
      </c>
      <c r="D1075">
        <v>1</v>
      </c>
      <c r="E1075" s="28">
        <v>6.6191780821917812</v>
      </c>
      <c r="F1075" s="28"/>
      <c r="G1075" s="28"/>
      <c r="H1075" s="28"/>
      <c r="I1075" s="28"/>
      <c r="J1075" s="28"/>
      <c r="L1075" s="37">
        <v>292</v>
      </c>
      <c r="M1075" s="3">
        <v>68</v>
      </c>
      <c r="N1075" s="3">
        <v>141</v>
      </c>
      <c r="O1075" s="3">
        <v>8</v>
      </c>
      <c r="P1075" s="3">
        <v>129</v>
      </c>
      <c r="Q1075" s="3">
        <v>3</v>
      </c>
      <c r="R1075" s="3">
        <v>11</v>
      </c>
      <c r="S1075" s="3">
        <v>47</v>
      </c>
      <c r="T1075" s="3">
        <v>3</v>
      </c>
      <c r="U1075" s="3">
        <v>7</v>
      </c>
      <c r="V1075" s="3">
        <v>1</v>
      </c>
      <c r="W1075" s="3">
        <v>4</v>
      </c>
      <c r="X1075" s="3">
        <v>9</v>
      </c>
    </row>
    <row r="1076" spans="1:24" x14ac:dyDescent="0.35">
      <c r="A1076">
        <v>292</v>
      </c>
      <c r="B1076">
        <v>70844</v>
      </c>
      <c r="C1076">
        <v>53</v>
      </c>
      <c r="D1076">
        <v>1</v>
      </c>
      <c r="E1076" s="28">
        <v>6.5780821917808217</v>
      </c>
      <c r="F1076" s="28"/>
      <c r="G1076" s="28"/>
      <c r="H1076" s="28"/>
      <c r="I1076" s="28"/>
      <c r="J1076" s="28"/>
      <c r="L1076" s="38">
        <v>292</v>
      </c>
      <c r="M1076" s="2">
        <v>16</v>
      </c>
      <c r="N1076" s="2">
        <v>129</v>
      </c>
      <c r="O1076" s="2">
        <v>26</v>
      </c>
      <c r="P1076" s="2">
        <v>67</v>
      </c>
      <c r="Q1076" s="2">
        <v>3</v>
      </c>
      <c r="R1076" s="2">
        <v>67</v>
      </c>
      <c r="S1076" s="2">
        <v>2</v>
      </c>
      <c r="T1076" s="2">
        <v>5</v>
      </c>
      <c r="U1076" s="2">
        <v>6</v>
      </c>
      <c r="V1076" s="2">
        <v>1</v>
      </c>
      <c r="W1076" s="2">
        <v>5</v>
      </c>
      <c r="X1076" s="2">
        <v>7</v>
      </c>
    </row>
    <row r="1077" spans="1:24" x14ac:dyDescent="0.35">
      <c r="A1077">
        <v>290</v>
      </c>
      <c r="B1077">
        <v>26997</v>
      </c>
      <c r="C1077">
        <v>69</v>
      </c>
      <c r="D1077">
        <v>0</v>
      </c>
      <c r="E1077" s="28">
        <v>7.5616438356164384</v>
      </c>
      <c r="F1077" s="28"/>
      <c r="G1077" s="28"/>
      <c r="H1077" s="28"/>
      <c r="I1077" s="28"/>
      <c r="J1077" s="28"/>
      <c r="L1077" s="37">
        <v>290</v>
      </c>
      <c r="M1077" s="3">
        <v>89</v>
      </c>
      <c r="N1077" s="3">
        <v>7</v>
      </c>
      <c r="O1077" s="3">
        <v>23</v>
      </c>
      <c r="P1077" s="3">
        <v>78</v>
      </c>
      <c r="Q1077" s="3">
        <v>133</v>
      </c>
      <c r="R1077" s="3">
        <v>49</v>
      </c>
      <c r="S1077" s="3">
        <v>144</v>
      </c>
      <c r="T1077" s="3">
        <v>2</v>
      </c>
      <c r="U1077" s="3">
        <v>4</v>
      </c>
      <c r="V1077" s="3">
        <v>2</v>
      </c>
      <c r="W1077" s="3">
        <v>5</v>
      </c>
      <c r="X1077" s="3">
        <v>7</v>
      </c>
    </row>
    <row r="1078" spans="1:24" x14ac:dyDescent="0.35">
      <c r="A1078">
        <v>289</v>
      </c>
      <c r="B1078">
        <v>37760</v>
      </c>
      <c r="C1078">
        <v>74</v>
      </c>
      <c r="D1078">
        <v>0</v>
      </c>
      <c r="E1078" s="28">
        <v>7.7424657534246579</v>
      </c>
      <c r="F1078" s="28"/>
      <c r="G1078" s="28"/>
      <c r="H1078" s="28"/>
      <c r="I1078" s="28"/>
      <c r="J1078" s="28"/>
      <c r="L1078" s="38">
        <v>289</v>
      </c>
      <c r="M1078" s="2">
        <v>20</v>
      </c>
      <c r="N1078" s="2">
        <v>84</v>
      </c>
      <c r="O1078" s="2">
        <v>5</v>
      </c>
      <c r="P1078" s="2">
        <v>38</v>
      </c>
      <c r="Q1078" s="2">
        <v>150</v>
      </c>
      <c r="R1078" s="2">
        <v>12</v>
      </c>
      <c r="S1078" s="2">
        <v>28</v>
      </c>
      <c r="T1078" s="2">
        <v>2</v>
      </c>
      <c r="U1078" s="2">
        <v>4</v>
      </c>
      <c r="V1078" s="2">
        <v>1</v>
      </c>
      <c r="W1078" s="2">
        <v>6</v>
      </c>
      <c r="X1078" s="2">
        <v>7</v>
      </c>
    </row>
    <row r="1079" spans="1:24" x14ac:dyDescent="0.35">
      <c r="A1079">
        <v>279</v>
      </c>
      <c r="B1079">
        <v>57107</v>
      </c>
      <c r="C1079">
        <v>52</v>
      </c>
      <c r="D1079">
        <v>1</v>
      </c>
      <c r="E1079" s="28">
        <v>7.7616438356164386</v>
      </c>
      <c r="F1079" s="28"/>
      <c r="G1079" s="28"/>
      <c r="H1079" s="28"/>
      <c r="I1079" s="28"/>
      <c r="J1079" s="28"/>
      <c r="L1079" s="37">
        <v>279</v>
      </c>
      <c r="M1079" s="3">
        <v>44</v>
      </c>
      <c r="N1079" s="3">
        <v>159</v>
      </c>
      <c r="O1079" s="3">
        <v>0</v>
      </c>
      <c r="P1079" s="3">
        <v>120</v>
      </c>
      <c r="Q1079" s="3">
        <v>0</v>
      </c>
      <c r="R1079" s="3">
        <v>0</v>
      </c>
      <c r="S1079" s="3">
        <v>137</v>
      </c>
      <c r="T1079" s="3">
        <v>7</v>
      </c>
      <c r="U1079" s="3">
        <v>4</v>
      </c>
      <c r="V1079" s="3">
        <v>4</v>
      </c>
      <c r="W1079" s="3">
        <v>8</v>
      </c>
      <c r="X1079" s="3">
        <v>8</v>
      </c>
    </row>
    <row r="1080" spans="1:24" x14ac:dyDescent="0.35">
      <c r="A1080">
        <v>276</v>
      </c>
      <c r="B1080">
        <v>51373</v>
      </c>
      <c r="C1080">
        <v>29</v>
      </c>
      <c r="D1080">
        <v>0</v>
      </c>
      <c r="E1080" s="28">
        <v>6.934246575342466</v>
      </c>
      <c r="F1080" s="28"/>
      <c r="G1080" s="28"/>
      <c r="H1080" s="28"/>
      <c r="I1080" s="28"/>
      <c r="J1080" s="28"/>
      <c r="L1080" s="38">
        <v>276</v>
      </c>
      <c r="M1080" s="2">
        <v>37</v>
      </c>
      <c r="N1080" s="2">
        <v>83</v>
      </c>
      <c r="O1080" s="2">
        <v>2</v>
      </c>
      <c r="P1080" s="2">
        <v>101</v>
      </c>
      <c r="Q1080" s="2">
        <v>64</v>
      </c>
      <c r="R1080" s="2">
        <v>26</v>
      </c>
      <c r="S1080" s="2">
        <v>117</v>
      </c>
      <c r="T1080" s="2">
        <v>1</v>
      </c>
      <c r="U1080" s="2">
        <v>3</v>
      </c>
      <c r="V1080" s="2">
        <v>5</v>
      </c>
      <c r="W1080" s="2">
        <v>3</v>
      </c>
      <c r="X1080" s="2">
        <v>4</v>
      </c>
    </row>
    <row r="1081" spans="1:24" x14ac:dyDescent="0.35">
      <c r="A1081">
        <v>276</v>
      </c>
      <c r="B1081">
        <v>49514</v>
      </c>
      <c r="C1081">
        <v>45</v>
      </c>
      <c r="D1081">
        <v>1</v>
      </c>
      <c r="E1081" s="28">
        <v>6.4465753424657537</v>
      </c>
      <c r="F1081" s="28"/>
      <c r="G1081" s="28"/>
      <c r="H1081" s="28"/>
      <c r="I1081" s="28"/>
      <c r="J1081" s="28"/>
      <c r="L1081" s="37">
        <v>276</v>
      </c>
      <c r="M1081" s="3">
        <v>61</v>
      </c>
      <c r="N1081" s="3">
        <v>88</v>
      </c>
      <c r="O1081" s="3">
        <v>39</v>
      </c>
      <c r="P1081" s="3">
        <v>78</v>
      </c>
      <c r="Q1081" s="3">
        <v>58</v>
      </c>
      <c r="R1081" s="3">
        <v>13</v>
      </c>
      <c r="S1081" s="3">
        <v>93</v>
      </c>
      <c r="T1081" s="3">
        <v>2</v>
      </c>
      <c r="U1081" s="3">
        <v>6</v>
      </c>
      <c r="V1081" s="3">
        <v>1</v>
      </c>
      <c r="W1081" s="3">
        <v>4</v>
      </c>
      <c r="X1081" s="3">
        <v>7</v>
      </c>
    </row>
    <row r="1082" spans="1:24" x14ac:dyDescent="0.35">
      <c r="A1082">
        <v>275</v>
      </c>
      <c r="B1082">
        <v>38683</v>
      </c>
      <c r="C1082">
        <v>31</v>
      </c>
      <c r="D1082">
        <v>1</v>
      </c>
      <c r="E1082" s="28">
        <v>7.6493150684931503</v>
      </c>
      <c r="F1082" s="28"/>
      <c r="G1082" s="28"/>
      <c r="H1082" s="28"/>
      <c r="I1082" s="28"/>
      <c r="J1082" s="28"/>
      <c r="L1082" s="38">
        <v>275</v>
      </c>
      <c r="M1082" s="2">
        <v>80</v>
      </c>
      <c r="N1082" s="2">
        <v>46</v>
      </c>
      <c r="O1082" s="2">
        <v>35</v>
      </c>
      <c r="P1082" s="2">
        <v>69</v>
      </c>
      <c r="Q1082" s="2">
        <v>84</v>
      </c>
      <c r="R1082" s="2">
        <v>41</v>
      </c>
      <c r="S1082" s="2">
        <v>66</v>
      </c>
      <c r="T1082" s="2">
        <v>6</v>
      </c>
      <c r="U1082" s="2">
        <v>4</v>
      </c>
      <c r="V1082" s="2">
        <v>1</v>
      </c>
      <c r="W1082" s="2">
        <v>6</v>
      </c>
      <c r="X1082" s="2">
        <v>7</v>
      </c>
    </row>
    <row r="1083" spans="1:24" x14ac:dyDescent="0.35">
      <c r="A1083">
        <v>274</v>
      </c>
      <c r="B1083">
        <v>113734</v>
      </c>
      <c r="C1083">
        <v>75</v>
      </c>
      <c r="D1083">
        <v>0</v>
      </c>
      <c r="E1083" s="28">
        <v>6.0027397260273974</v>
      </c>
      <c r="F1083" s="28"/>
      <c r="G1083" s="28"/>
      <c r="H1083" s="28"/>
      <c r="I1083" s="28"/>
      <c r="J1083" s="28"/>
      <c r="L1083" s="37">
        <v>274</v>
      </c>
      <c r="M1083" s="3">
        <v>9</v>
      </c>
      <c r="N1083" s="3">
        <v>6</v>
      </c>
      <c r="O1083" s="3">
        <v>2</v>
      </c>
      <c r="P1083" s="3">
        <v>3</v>
      </c>
      <c r="Q1083" s="3">
        <v>1</v>
      </c>
      <c r="R1083" s="3">
        <v>262</v>
      </c>
      <c r="S1083" s="3">
        <v>3</v>
      </c>
      <c r="T1083" s="3">
        <v>0</v>
      </c>
      <c r="U1083" s="3">
        <v>27</v>
      </c>
      <c r="V1083" s="3">
        <v>0</v>
      </c>
      <c r="W1083" s="3">
        <v>0</v>
      </c>
      <c r="X1083" s="3">
        <v>1</v>
      </c>
    </row>
    <row r="1084" spans="1:24" x14ac:dyDescent="0.35">
      <c r="A1084">
        <v>273</v>
      </c>
      <c r="B1084">
        <v>36262</v>
      </c>
      <c r="C1084">
        <v>37</v>
      </c>
      <c r="D1084">
        <v>0</v>
      </c>
      <c r="E1084" s="28">
        <v>6.6876712328767125</v>
      </c>
      <c r="F1084" s="28"/>
      <c r="G1084" s="28"/>
      <c r="H1084" s="28"/>
      <c r="I1084" s="28"/>
      <c r="J1084" s="28"/>
      <c r="L1084" s="38">
        <v>273</v>
      </c>
      <c r="M1084" s="2">
        <v>24</v>
      </c>
      <c r="N1084" s="2">
        <v>88</v>
      </c>
      <c r="O1084" s="2">
        <v>39</v>
      </c>
      <c r="P1084" s="2">
        <v>54</v>
      </c>
      <c r="Q1084" s="2">
        <v>64</v>
      </c>
      <c r="R1084" s="2">
        <v>28</v>
      </c>
      <c r="S1084" s="2">
        <v>153</v>
      </c>
      <c r="T1084" s="2">
        <v>1</v>
      </c>
      <c r="U1084" s="2">
        <v>3</v>
      </c>
      <c r="V1084" s="2">
        <v>5</v>
      </c>
      <c r="W1084" s="2">
        <v>3</v>
      </c>
      <c r="X1084" s="2">
        <v>6</v>
      </c>
    </row>
    <row r="1085" spans="1:24" x14ac:dyDescent="0.35">
      <c r="A1085">
        <v>272</v>
      </c>
      <c r="B1085">
        <v>48721</v>
      </c>
      <c r="C1085">
        <v>57</v>
      </c>
      <c r="D1085">
        <v>1</v>
      </c>
      <c r="E1085" s="28">
        <v>7.043835616438356</v>
      </c>
      <c r="F1085" s="28"/>
      <c r="G1085" s="28"/>
      <c r="H1085" s="28"/>
      <c r="I1085" s="28"/>
      <c r="J1085" s="28"/>
      <c r="L1085" s="37">
        <v>272</v>
      </c>
      <c r="M1085" s="3">
        <v>50</v>
      </c>
      <c r="N1085" s="3">
        <v>81</v>
      </c>
      <c r="O1085" s="3">
        <v>18</v>
      </c>
      <c r="P1085" s="3">
        <v>113</v>
      </c>
      <c r="Q1085" s="3">
        <v>47</v>
      </c>
      <c r="R1085" s="3">
        <v>13</v>
      </c>
      <c r="S1085" s="3">
        <v>21</v>
      </c>
      <c r="T1085" s="3">
        <v>6</v>
      </c>
      <c r="U1085" s="3">
        <v>4</v>
      </c>
      <c r="V1085" s="3">
        <v>2</v>
      </c>
      <c r="W1085" s="3">
        <v>5</v>
      </c>
      <c r="X1085" s="3">
        <v>6</v>
      </c>
    </row>
    <row r="1086" spans="1:24" x14ac:dyDescent="0.35">
      <c r="A1086">
        <v>270</v>
      </c>
      <c r="B1086">
        <v>51948</v>
      </c>
      <c r="C1086">
        <v>45</v>
      </c>
      <c r="D1086">
        <v>1</v>
      </c>
      <c r="E1086" s="28">
        <v>6.6958904109589037</v>
      </c>
      <c r="F1086" s="28"/>
      <c r="G1086" s="28"/>
      <c r="H1086" s="28"/>
      <c r="I1086" s="28"/>
      <c r="J1086" s="28"/>
      <c r="L1086" s="38">
        <v>270</v>
      </c>
      <c r="M1086" s="2">
        <v>51</v>
      </c>
      <c r="N1086" s="2">
        <v>82</v>
      </c>
      <c r="O1086" s="2">
        <v>33</v>
      </c>
      <c r="P1086" s="2">
        <v>54</v>
      </c>
      <c r="Q1086" s="2">
        <v>71</v>
      </c>
      <c r="R1086" s="2">
        <v>30</v>
      </c>
      <c r="S1086" s="2">
        <v>41</v>
      </c>
      <c r="T1086" s="2">
        <v>2</v>
      </c>
      <c r="U1086" s="2">
        <v>5</v>
      </c>
      <c r="V1086" s="2">
        <v>2</v>
      </c>
      <c r="W1086" s="2">
        <v>4</v>
      </c>
      <c r="X1086" s="2">
        <v>5</v>
      </c>
    </row>
    <row r="1087" spans="1:24" x14ac:dyDescent="0.35">
      <c r="A1087">
        <v>269</v>
      </c>
      <c r="B1087">
        <v>28071</v>
      </c>
      <c r="C1087">
        <v>40</v>
      </c>
      <c r="D1087">
        <v>0</v>
      </c>
      <c r="E1087" s="28">
        <v>7.7479452054794518</v>
      </c>
      <c r="F1087" s="28"/>
      <c r="G1087" s="28"/>
      <c r="H1087" s="28"/>
      <c r="I1087" s="28"/>
      <c r="J1087" s="28"/>
      <c r="L1087" s="37">
        <v>269</v>
      </c>
      <c r="M1087" s="3">
        <v>65</v>
      </c>
      <c r="N1087" s="3">
        <v>39</v>
      </c>
      <c r="O1087" s="3">
        <v>33</v>
      </c>
      <c r="P1087" s="3">
        <v>130</v>
      </c>
      <c r="Q1087" s="3">
        <v>41</v>
      </c>
      <c r="R1087" s="3">
        <v>26</v>
      </c>
      <c r="S1087" s="3">
        <v>44</v>
      </c>
      <c r="T1087" s="3">
        <v>2</v>
      </c>
      <c r="U1087" s="3">
        <v>5</v>
      </c>
      <c r="V1087" s="3">
        <v>1</v>
      </c>
      <c r="W1087" s="3">
        <v>5</v>
      </c>
      <c r="X1087" s="3">
        <v>8</v>
      </c>
    </row>
    <row r="1088" spans="1:24" x14ac:dyDescent="0.35">
      <c r="A1088">
        <v>269</v>
      </c>
      <c r="B1088">
        <v>27421</v>
      </c>
      <c r="C1088">
        <v>66</v>
      </c>
      <c r="D1088">
        <v>0</v>
      </c>
      <c r="E1088" s="28">
        <v>7.4602739726027396</v>
      </c>
      <c r="F1088" s="28"/>
      <c r="G1088" s="28"/>
      <c r="H1088" s="28"/>
      <c r="I1088" s="28"/>
      <c r="J1088" s="28"/>
      <c r="L1088" s="38">
        <v>269</v>
      </c>
      <c r="M1088" s="2">
        <v>14</v>
      </c>
      <c r="N1088" s="2">
        <v>43</v>
      </c>
      <c r="O1088" s="2">
        <v>12</v>
      </c>
      <c r="P1088" s="2">
        <v>96</v>
      </c>
      <c r="Q1088" s="2">
        <v>78</v>
      </c>
      <c r="R1088" s="2">
        <v>40</v>
      </c>
      <c r="S1088" s="2">
        <v>55</v>
      </c>
      <c r="T1088" s="2">
        <v>3</v>
      </c>
      <c r="U1088" s="2">
        <v>4</v>
      </c>
      <c r="V1088" s="2">
        <v>1</v>
      </c>
      <c r="W1088" s="2">
        <v>6</v>
      </c>
      <c r="X1088" s="2">
        <v>7</v>
      </c>
    </row>
    <row r="1089" spans="1:24" x14ac:dyDescent="0.35">
      <c r="A1089">
        <v>269</v>
      </c>
      <c r="B1089">
        <v>40059</v>
      </c>
      <c r="C1089">
        <v>36</v>
      </c>
      <c r="D1089">
        <v>1</v>
      </c>
      <c r="E1089" s="28">
        <v>6.6657534246575345</v>
      </c>
      <c r="F1089" s="28"/>
      <c r="G1089" s="28"/>
      <c r="H1089" s="28"/>
      <c r="I1089" s="28"/>
      <c r="J1089" s="28"/>
      <c r="L1089" s="37">
        <v>269</v>
      </c>
      <c r="M1089" s="3">
        <v>82</v>
      </c>
      <c r="N1089" s="3">
        <v>110</v>
      </c>
      <c r="O1089" s="3">
        <v>29</v>
      </c>
      <c r="P1089" s="3">
        <v>92</v>
      </c>
      <c r="Q1089" s="3">
        <v>28</v>
      </c>
      <c r="R1089" s="3">
        <v>10</v>
      </c>
      <c r="S1089" s="3">
        <v>145</v>
      </c>
      <c r="T1089" s="3">
        <v>1</v>
      </c>
      <c r="U1089" s="3">
        <v>6</v>
      </c>
      <c r="V1089" s="3">
        <v>2</v>
      </c>
      <c r="W1089" s="3">
        <v>3</v>
      </c>
      <c r="X1089" s="3">
        <v>8</v>
      </c>
    </row>
    <row r="1090" spans="1:24" x14ac:dyDescent="0.35">
      <c r="A1090">
        <v>269</v>
      </c>
      <c r="B1090">
        <v>59686</v>
      </c>
      <c r="C1090">
        <v>55</v>
      </c>
      <c r="D1090">
        <v>1</v>
      </c>
      <c r="E1090" s="28">
        <v>6.3397260273972602</v>
      </c>
      <c r="F1090" s="28"/>
      <c r="G1090" s="28"/>
      <c r="H1090" s="28"/>
      <c r="I1090" s="28"/>
      <c r="J1090" s="28"/>
      <c r="L1090" s="38">
        <v>269</v>
      </c>
      <c r="M1090" s="2">
        <v>78</v>
      </c>
      <c r="N1090" s="2">
        <v>89</v>
      </c>
      <c r="O1090" s="2">
        <v>15</v>
      </c>
      <c r="P1090" s="2">
        <v>89</v>
      </c>
      <c r="Q1090" s="2">
        <v>34</v>
      </c>
      <c r="R1090" s="2">
        <v>42</v>
      </c>
      <c r="S1090" s="2">
        <v>5</v>
      </c>
      <c r="T1090" s="2">
        <v>1</v>
      </c>
      <c r="U1090" s="2">
        <v>4</v>
      </c>
      <c r="V1090" s="2">
        <v>1</v>
      </c>
      <c r="W1090" s="2">
        <v>6</v>
      </c>
      <c r="X1090" s="2">
        <v>4</v>
      </c>
    </row>
    <row r="1091" spans="1:24" x14ac:dyDescent="0.35">
      <c r="A1091">
        <v>268</v>
      </c>
      <c r="B1091">
        <v>37040</v>
      </c>
      <c r="C1091">
        <v>38</v>
      </c>
      <c r="D1091">
        <v>0</v>
      </c>
      <c r="E1091" s="28">
        <v>7.8054794520547945</v>
      </c>
      <c r="F1091" s="28"/>
      <c r="G1091" s="28"/>
      <c r="H1091" s="28"/>
      <c r="I1091" s="28"/>
      <c r="J1091" s="28"/>
      <c r="L1091" s="37">
        <v>268</v>
      </c>
      <c r="M1091" s="3">
        <v>41</v>
      </c>
      <c r="N1091" s="3">
        <v>86</v>
      </c>
      <c r="O1091" s="3">
        <v>2</v>
      </c>
      <c r="P1091" s="3">
        <v>73</v>
      </c>
      <c r="Q1091" s="3">
        <v>69</v>
      </c>
      <c r="R1091" s="3">
        <v>38</v>
      </c>
      <c r="S1091" s="3">
        <v>48</v>
      </c>
      <c r="T1091" s="3">
        <v>1</v>
      </c>
      <c r="U1091" s="3">
        <v>4</v>
      </c>
      <c r="V1091" s="3">
        <v>2</v>
      </c>
      <c r="W1091" s="3">
        <v>5</v>
      </c>
      <c r="X1091" s="3">
        <v>8</v>
      </c>
    </row>
    <row r="1092" spans="1:24" x14ac:dyDescent="0.35">
      <c r="A1092">
        <v>268</v>
      </c>
      <c r="B1092">
        <v>44159</v>
      </c>
      <c r="C1092">
        <v>50</v>
      </c>
      <c r="D1092">
        <v>1</v>
      </c>
      <c r="E1092" s="28">
        <v>5.9479452054794519</v>
      </c>
      <c r="F1092" s="28"/>
      <c r="G1092" s="28"/>
      <c r="H1092" s="28"/>
      <c r="I1092" s="28"/>
      <c r="J1092" s="28"/>
      <c r="L1092" s="38">
        <v>268</v>
      </c>
      <c r="M1092" s="2">
        <v>85</v>
      </c>
      <c r="N1092" s="2">
        <v>167</v>
      </c>
      <c r="O1092" s="2">
        <v>2</v>
      </c>
      <c r="P1092" s="2">
        <v>62</v>
      </c>
      <c r="Q1092" s="2">
        <v>24</v>
      </c>
      <c r="R1092" s="2">
        <v>13</v>
      </c>
      <c r="S1092" s="2">
        <v>7</v>
      </c>
      <c r="T1092" s="2">
        <v>4</v>
      </c>
      <c r="U1092" s="2">
        <v>4</v>
      </c>
      <c r="V1092" s="2">
        <v>1</v>
      </c>
      <c r="W1092" s="2">
        <v>6</v>
      </c>
      <c r="X1092" s="2">
        <v>5</v>
      </c>
    </row>
    <row r="1093" spans="1:24" x14ac:dyDescent="0.35">
      <c r="A1093">
        <v>265</v>
      </c>
      <c r="B1093">
        <v>50300</v>
      </c>
      <c r="C1093">
        <v>68</v>
      </c>
      <c r="D1093">
        <v>1</v>
      </c>
      <c r="E1093" s="28">
        <v>6.0109589041095894</v>
      </c>
      <c r="F1093" s="28"/>
      <c r="G1093" s="28"/>
      <c r="H1093" s="28"/>
      <c r="I1093" s="28"/>
      <c r="J1093" s="28"/>
      <c r="L1093" s="37">
        <v>265</v>
      </c>
      <c r="M1093" s="3">
        <v>52</v>
      </c>
      <c r="N1093" s="3">
        <v>143</v>
      </c>
      <c r="O1093" s="3">
        <v>15</v>
      </c>
      <c r="P1093" s="3">
        <v>60</v>
      </c>
      <c r="Q1093" s="3">
        <v>24</v>
      </c>
      <c r="R1093" s="3">
        <v>23</v>
      </c>
      <c r="S1093" s="3">
        <v>5</v>
      </c>
      <c r="T1093" s="3">
        <v>2</v>
      </c>
      <c r="U1093" s="3">
        <v>2</v>
      </c>
      <c r="V1093" s="3">
        <v>1</v>
      </c>
      <c r="W1093" s="3">
        <v>8</v>
      </c>
      <c r="X1093" s="3">
        <v>2</v>
      </c>
    </row>
    <row r="1094" spans="1:24" x14ac:dyDescent="0.35">
      <c r="A1094">
        <v>265</v>
      </c>
      <c r="B1094">
        <v>36864</v>
      </c>
      <c r="C1094">
        <v>63</v>
      </c>
      <c r="D1094">
        <v>1</v>
      </c>
      <c r="E1094" s="28">
        <v>7.7917808219178086</v>
      </c>
      <c r="F1094" s="28"/>
      <c r="G1094" s="28"/>
      <c r="H1094" s="28"/>
      <c r="I1094" s="28"/>
      <c r="J1094" s="28"/>
      <c r="L1094" s="38">
        <v>265</v>
      </c>
      <c r="M1094" s="2">
        <v>53</v>
      </c>
      <c r="N1094" s="2">
        <v>204</v>
      </c>
      <c r="O1094" s="2">
        <v>5</v>
      </c>
      <c r="P1094" s="2">
        <v>39</v>
      </c>
      <c r="Q1094" s="2">
        <v>17</v>
      </c>
      <c r="R1094" s="2">
        <v>0</v>
      </c>
      <c r="S1094" s="2">
        <v>89</v>
      </c>
      <c r="T1094" s="2">
        <v>3</v>
      </c>
      <c r="U1094" s="2">
        <v>5</v>
      </c>
      <c r="V1094" s="2">
        <v>2</v>
      </c>
      <c r="W1094" s="2">
        <v>4</v>
      </c>
      <c r="X1094" s="2">
        <v>8</v>
      </c>
    </row>
    <row r="1095" spans="1:24" x14ac:dyDescent="0.35">
      <c r="A1095">
        <v>264</v>
      </c>
      <c r="B1095">
        <v>23331</v>
      </c>
      <c r="C1095">
        <v>32</v>
      </c>
      <c r="D1095">
        <v>1</v>
      </c>
      <c r="E1095" s="28">
        <v>7.646575342465753</v>
      </c>
      <c r="F1095" s="28"/>
      <c r="G1095" s="28"/>
      <c r="H1095" s="28"/>
      <c r="I1095" s="28"/>
      <c r="J1095" s="28"/>
      <c r="L1095" s="37">
        <v>264</v>
      </c>
      <c r="M1095" s="3">
        <v>97</v>
      </c>
      <c r="N1095" s="3">
        <v>104</v>
      </c>
      <c r="O1095" s="3">
        <v>20</v>
      </c>
      <c r="P1095" s="3">
        <v>101</v>
      </c>
      <c r="Q1095" s="3">
        <v>24</v>
      </c>
      <c r="R1095" s="3">
        <v>15</v>
      </c>
      <c r="S1095" s="3">
        <v>5</v>
      </c>
      <c r="T1095" s="3">
        <v>6</v>
      </c>
      <c r="U1095" s="3">
        <v>5</v>
      </c>
      <c r="V1095" s="3">
        <v>1</v>
      </c>
      <c r="W1095" s="3">
        <v>5</v>
      </c>
      <c r="X1095" s="3">
        <v>9</v>
      </c>
    </row>
    <row r="1096" spans="1:24" x14ac:dyDescent="0.35">
      <c r="A1096">
        <v>264</v>
      </c>
      <c r="B1096">
        <v>67506</v>
      </c>
      <c r="C1096">
        <v>40</v>
      </c>
      <c r="D1096">
        <v>1</v>
      </c>
      <c r="E1096" s="28">
        <v>6.4027397260273968</v>
      </c>
      <c r="F1096" s="28"/>
      <c r="G1096" s="28"/>
      <c r="H1096" s="28"/>
      <c r="I1096" s="28"/>
      <c r="J1096" s="28"/>
      <c r="L1096" s="38">
        <v>264</v>
      </c>
      <c r="M1096" s="2">
        <v>73</v>
      </c>
      <c r="N1096" s="2">
        <v>90</v>
      </c>
      <c r="O1096" s="2">
        <v>38</v>
      </c>
      <c r="P1096" s="2">
        <v>67</v>
      </c>
      <c r="Q1096" s="2">
        <v>33</v>
      </c>
      <c r="R1096" s="2">
        <v>36</v>
      </c>
      <c r="S1096" s="2">
        <v>67</v>
      </c>
      <c r="T1096" s="2">
        <v>1</v>
      </c>
      <c r="U1096" s="2">
        <v>4</v>
      </c>
      <c r="V1096" s="2">
        <v>1</v>
      </c>
      <c r="W1096" s="2">
        <v>6</v>
      </c>
      <c r="X1096" s="2">
        <v>3</v>
      </c>
    </row>
    <row r="1097" spans="1:24" x14ac:dyDescent="0.35">
      <c r="A1097">
        <v>263</v>
      </c>
      <c r="B1097">
        <v>44989</v>
      </c>
      <c r="C1097">
        <v>46</v>
      </c>
      <c r="D1097">
        <v>1</v>
      </c>
      <c r="E1097" s="28">
        <v>7.7095890410958905</v>
      </c>
      <c r="F1097" s="28"/>
      <c r="G1097" s="28"/>
      <c r="H1097" s="28"/>
      <c r="I1097" s="28"/>
      <c r="J1097" s="28"/>
      <c r="L1097" s="37">
        <v>263</v>
      </c>
      <c r="M1097" s="3">
        <v>26</v>
      </c>
      <c r="N1097" s="3">
        <v>98</v>
      </c>
      <c r="O1097" s="3">
        <v>0</v>
      </c>
      <c r="P1097" s="3">
        <v>106</v>
      </c>
      <c r="Q1097" s="3">
        <v>49</v>
      </c>
      <c r="R1097" s="3">
        <v>10</v>
      </c>
      <c r="S1097" s="3">
        <v>106</v>
      </c>
      <c r="T1097" s="3">
        <v>5</v>
      </c>
      <c r="U1097" s="3">
        <v>5</v>
      </c>
      <c r="V1097" s="3">
        <v>1</v>
      </c>
      <c r="W1097" s="3">
        <v>5</v>
      </c>
      <c r="X1097" s="3">
        <v>6</v>
      </c>
    </row>
    <row r="1098" spans="1:24" x14ac:dyDescent="0.35">
      <c r="A1098">
        <v>263</v>
      </c>
      <c r="B1098">
        <v>39660</v>
      </c>
      <c r="C1098">
        <v>38</v>
      </c>
      <c r="D1098">
        <v>1</v>
      </c>
      <c r="E1098" s="28">
        <v>7.8054794520547945</v>
      </c>
      <c r="F1098" s="28"/>
      <c r="G1098" s="28"/>
      <c r="H1098" s="28"/>
      <c r="I1098" s="28"/>
      <c r="J1098" s="28"/>
      <c r="L1098" s="38">
        <v>263</v>
      </c>
      <c r="M1098" s="2">
        <v>36</v>
      </c>
      <c r="N1098" s="2">
        <v>139</v>
      </c>
      <c r="O1098" s="2">
        <v>13</v>
      </c>
      <c r="P1098" s="2">
        <v>78</v>
      </c>
      <c r="Q1098" s="2">
        <v>20</v>
      </c>
      <c r="R1098" s="2">
        <v>13</v>
      </c>
      <c r="S1098" s="2">
        <v>36</v>
      </c>
      <c r="T1098" s="2">
        <v>3</v>
      </c>
      <c r="U1098" s="2">
        <v>7</v>
      </c>
      <c r="V1098" s="2">
        <v>1</v>
      </c>
      <c r="W1098" s="2">
        <v>3</v>
      </c>
      <c r="X1098" s="2">
        <v>9</v>
      </c>
    </row>
    <row r="1099" spans="1:24" x14ac:dyDescent="0.35">
      <c r="A1099">
        <v>263</v>
      </c>
      <c r="B1099">
        <v>68805</v>
      </c>
      <c r="C1099">
        <v>61</v>
      </c>
      <c r="D1099">
        <v>1</v>
      </c>
      <c r="E1099" s="28">
        <v>6.6958904109589037</v>
      </c>
      <c r="F1099" s="28"/>
      <c r="G1099" s="28"/>
      <c r="H1099" s="28"/>
      <c r="I1099" s="28"/>
      <c r="J1099" s="28"/>
      <c r="L1099" s="37">
        <v>263</v>
      </c>
      <c r="M1099" s="3">
        <v>73</v>
      </c>
      <c r="N1099" s="3">
        <v>182</v>
      </c>
      <c r="O1099" s="3">
        <v>2</v>
      </c>
      <c r="P1099" s="3">
        <v>49</v>
      </c>
      <c r="Q1099" s="3">
        <v>17</v>
      </c>
      <c r="R1099" s="3">
        <v>13</v>
      </c>
      <c r="S1099" s="3">
        <v>20</v>
      </c>
      <c r="T1099" s="3">
        <v>1</v>
      </c>
      <c r="U1099" s="3">
        <v>3</v>
      </c>
      <c r="V1099" s="3">
        <v>1</v>
      </c>
      <c r="W1099" s="3">
        <v>7</v>
      </c>
      <c r="X1099" s="3">
        <v>2</v>
      </c>
    </row>
    <row r="1100" spans="1:24" x14ac:dyDescent="0.35">
      <c r="A1100">
        <v>262</v>
      </c>
      <c r="B1100">
        <v>59060</v>
      </c>
      <c r="C1100">
        <v>31</v>
      </c>
      <c r="D1100">
        <v>1</v>
      </c>
      <c r="E1100" s="28">
        <v>6.3780821917808215</v>
      </c>
      <c r="F1100" s="28"/>
      <c r="G1100" s="28"/>
      <c r="H1100" s="28"/>
      <c r="I1100" s="28"/>
      <c r="J1100" s="28"/>
      <c r="L1100" s="38">
        <v>262</v>
      </c>
      <c r="M1100" s="2">
        <v>77</v>
      </c>
      <c r="N1100" s="2">
        <v>35</v>
      </c>
      <c r="O1100" s="2">
        <v>40</v>
      </c>
      <c r="P1100" s="2">
        <v>111</v>
      </c>
      <c r="Q1100" s="2">
        <v>36</v>
      </c>
      <c r="R1100" s="2">
        <v>40</v>
      </c>
      <c r="S1100" s="2">
        <v>12</v>
      </c>
      <c r="T1100" s="2">
        <v>3</v>
      </c>
      <c r="U1100" s="2">
        <v>3</v>
      </c>
      <c r="V1100" s="2">
        <v>1</v>
      </c>
      <c r="W1100" s="2">
        <v>7</v>
      </c>
      <c r="X1100" s="2">
        <v>4</v>
      </c>
    </row>
    <row r="1101" spans="1:24" x14ac:dyDescent="0.35">
      <c r="A1101">
        <v>262</v>
      </c>
      <c r="B1101">
        <v>65808</v>
      </c>
      <c r="C1101">
        <v>49</v>
      </c>
      <c r="D1101">
        <v>1</v>
      </c>
      <c r="E1101" s="28">
        <v>5.9972602739726026</v>
      </c>
      <c r="F1101" s="28"/>
      <c r="G1101" s="28"/>
      <c r="H1101" s="28"/>
      <c r="I1101" s="28"/>
      <c r="J1101" s="28"/>
      <c r="L1101" s="37">
        <v>262</v>
      </c>
      <c r="M1101" s="3">
        <v>1</v>
      </c>
      <c r="N1101" s="3">
        <v>155</v>
      </c>
      <c r="O1101" s="3">
        <v>7</v>
      </c>
      <c r="P1101" s="3">
        <v>80</v>
      </c>
      <c r="Q1101" s="3">
        <v>13</v>
      </c>
      <c r="R1101" s="3">
        <v>7</v>
      </c>
      <c r="S1101" s="3">
        <v>10</v>
      </c>
      <c r="T1101" s="3">
        <v>3</v>
      </c>
      <c r="U1101" s="3">
        <v>5</v>
      </c>
      <c r="V1101" s="3">
        <v>1</v>
      </c>
      <c r="W1101" s="3">
        <v>5</v>
      </c>
      <c r="X1101" s="3">
        <v>6</v>
      </c>
    </row>
    <row r="1102" spans="1:24" x14ac:dyDescent="0.35">
      <c r="A1102">
        <v>262</v>
      </c>
      <c r="B1102">
        <v>40049</v>
      </c>
      <c r="C1102">
        <v>46</v>
      </c>
      <c r="D1102">
        <v>1</v>
      </c>
      <c r="E1102" s="28">
        <v>7.4958904109589044</v>
      </c>
      <c r="F1102" s="28"/>
      <c r="G1102" s="28"/>
      <c r="H1102" s="28"/>
      <c r="I1102" s="28"/>
      <c r="J1102" s="28"/>
      <c r="L1102" s="38">
        <v>262</v>
      </c>
      <c r="M1102" s="2">
        <v>61</v>
      </c>
      <c r="N1102" s="2">
        <v>91</v>
      </c>
      <c r="O1102" s="2">
        <v>65</v>
      </c>
      <c r="P1102" s="2">
        <v>52</v>
      </c>
      <c r="Q1102" s="2">
        <v>10</v>
      </c>
      <c r="R1102" s="2">
        <v>44</v>
      </c>
      <c r="S1102" s="2">
        <v>28</v>
      </c>
      <c r="T1102" s="2">
        <v>3</v>
      </c>
      <c r="U1102" s="2">
        <v>3</v>
      </c>
      <c r="V1102" s="2">
        <v>2</v>
      </c>
      <c r="W1102" s="2">
        <v>6</v>
      </c>
      <c r="X1102" s="2">
        <v>5</v>
      </c>
    </row>
    <row r="1103" spans="1:24" x14ac:dyDescent="0.35">
      <c r="A1103">
        <v>261</v>
      </c>
      <c r="B1103">
        <v>44267</v>
      </c>
      <c r="C1103">
        <v>50</v>
      </c>
      <c r="D1103">
        <v>1</v>
      </c>
      <c r="E1103" s="28">
        <v>7.2547945205479456</v>
      </c>
      <c r="F1103" s="28"/>
      <c r="G1103" s="28"/>
      <c r="H1103" s="28"/>
      <c r="I1103" s="28"/>
      <c r="J1103" s="28"/>
      <c r="L1103" s="37">
        <v>261</v>
      </c>
      <c r="M1103" s="3">
        <v>48</v>
      </c>
      <c r="N1103" s="3">
        <v>183</v>
      </c>
      <c r="O1103" s="3">
        <v>5</v>
      </c>
      <c r="P1103" s="3">
        <v>65</v>
      </c>
      <c r="Q1103" s="3">
        <v>3</v>
      </c>
      <c r="R1103" s="3">
        <v>5</v>
      </c>
      <c r="S1103" s="3">
        <v>49</v>
      </c>
      <c r="T1103" s="3">
        <v>5</v>
      </c>
      <c r="U1103" s="3">
        <v>5</v>
      </c>
      <c r="V1103" s="3">
        <v>2</v>
      </c>
      <c r="W1103" s="3">
        <v>4</v>
      </c>
      <c r="X1103" s="3">
        <v>9</v>
      </c>
    </row>
    <row r="1104" spans="1:24" x14ac:dyDescent="0.35">
      <c r="A1104">
        <v>261</v>
      </c>
      <c r="B1104">
        <v>43057</v>
      </c>
      <c r="C1104">
        <v>45</v>
      </c>
      <c r="D1104">
        <v>1</v>
      </c>
      <c r="E1104" s="28">
        <v>6.5780821917808217</v>
      </c>
      <c r="F1104" s="28"/>
      <c r="G1104" s="28"/>
      <c r="H1104" s="28"/>
      <c r="I1104" s="28"/>
      <c r="J1104" s="28"/>
      <c r="L1104" s="38">
        <v>261</v>
      </c>
      <c r="M1104" s="2">
        <v>30</v>
      </c>
      <c r="N1104" s="2">
        <v>213</v>
      </c>
      <c r="O1104" s="2">
        <v>2</v>
      </c>
      <c r="P1104" s="2">
        <v>44</v>
      </c>
      <c r="Q1104" s="2">
        <v>0</v>
      </c>
      <c r="R1104" s="2">
        <v>2</v>
      </c>
      <c r="S1104" s="2">
        <v>5</v>
      </c>
      <c r="T1104" s="2">
        <v>4</v>
      </c>
      <c r="U1104" s="2">
        <v>4</v>
      </c>
      <c r="V1104" s="2">
        <v>2</v>
      </c>
      <c r="W1104" s="2">
        <v>5</v>
      </c>
      <c r="X1104" s="2">
        <v>5</v>
      </c>
    </row>
    <row r="1105" spans="1:24" x14ac:dyDescent="0.35">
      <c r="A1105">
        <v>260</v>
      </c>
      <c r="B1105">
        <v>33955</v>
      </c>
      <c r="C1105">
        <v>45</v>
      </c>
      <c r="D1105">
        <v>1</v>
      </c>
      <c r="E1105" s="28">
        <v>6.8027397260273972</v>
      </c>
      <c r="F1105" s="28"/>
      <c r="G1105" s="28"/>
      <c r="H1105" s="28"/>
      <c r="I1105" s="28"/>
      <c r="J1105" s="28"/>
      <c r="L1105" s="37">
        <v>260</v>
      </c>
      <c r="M1105" s="3">
        <v>92</v>
      </c>
      <c r="N1105" s="3">
        <v>100</v>
      </c>
      <c r="O1105" s="3">
        <v>2</v>
      </c>
      <c r="P1105" s="3">
        <v>128</v>
      </c>
      <c r="Q1105" s="3">
        <v>23</v>
      </c>
      <c r="R1105" s="3">
        <v>7</v>
      </c>
      <c r="S1105" s="3">
        <v>10</v>
      </c>
      <c r="T1105" s="3">
        <v>4</v>
      </c>
      <c r="U1105" s="3">
        <v>5</v>
      </c>
      <c r="V1105" s="3">
        <v>1</v>
      </c>
      <c r="W1105" s="3">
        <v>5</v>
      </c>
      <c r="X1105" s="3">
        <v>8</v>
      </c>
    </row>
    <row r="1106" spans="1:24" x14ac:dyDescent="0.35">
      <c r="A1106">
        <v>260</v>
      </c>
      <c r="B1106">
        <v>48195</v>
      </c>
      <c r="C1106">
        <v>64</v>
      </c>
      <c r="D1106">
        <v>1</v>
      </c>
      <c r="E1106" s="28">
        <v>6.3506849315068497</v>
      </c>
      <c r="F1106" s="28"/>
      <c r="G1106" s="28"/>
      <c r="H1106" s="28"/>
      <c r="I1106" s="28"/>
      <c r="J1106" s="28"/>
      <c r="L1106" s="38">
        <v>260</v>
      </c>
      <c r="M1106" s="2">
        <v>53</v>
      </c>
      <c r="N1106" s="2">
        <v>106</v>
      </c>
      <c r="O1106" s="2">
        <v>27</v>
      </c>
      <c r="P1106" s="2">
        <v>68</v>
      </c>
      <c r="Q1106" s="2">
        <v>52</v>
      </c>
      <c r="R1106" s="2">
        <v>7</v>
      </c>
      <c r="S1106" s="2">
        <v>5</v>
      </c>
      <c r="T1106" s="2">
        <v>6</v>
      </c>
      <c r="U1106" s="2">
        <v>4</v>
      </c>
      <c r="V1106" s="2">
        <v>2</v>
      </c>
      <c r="W1106" s="2">
        <v>5</v>
      </c>
      <c r="X1106" s="2">
        <v>6</v>
      </c>
    </row>
    <row r="1107" spans="1:24" x14ac:dyDescent="0.35">
      <c r="A1107">
        <v>260</v>
      </c>
      <c r="B1107">
        <v>44375</v>
      </c>
      <c r="C1107">
        <v>55</v>
      </c>
      <c r="D1107">
        <v>1</v>
      </c>
      <c r="E1107" s="28">
        <v>6.183561643835616</v>
      </c>
      <c r="F1107" s="28"/>
      <c r="G1107" s="28"/>
      <c r="H1107" s="28"/>
      <c r="I1107" s="28"/>
      <c r="J1107" s="28"/>
      <c r="L1107" s="37">
        <v>260</v>
      </c>
      <c r="M1107" s="3">
        <v>73</v>
      </c>
      <c r="N1107" s="3">
        <v>213</v>
      </c>
      <c r="O1107" s="3">
        <v>5</v>
      </c>
      <c r="P1107" s="3">
        <v>28</v>
      </c>
      <c r="Q1107" s="3">
        <v>7</v>
      </c>
      <c r="R1107" s="3">
        <v>7</v>
      </c>
      <c r="S1107" s="3">
        <v>41</v>
      </c>
      <c r="T1107" s="3">
        <v>1</v>
      </c>
      <c r="U1107" s="3">
        <v>4</v>
      </c>
      <c r="V1107" s="3">
        <v>1</v>
      </c>
      <c r="W1107" s="3">
        <v>6</v>
      </c>
      <c r="X1107" s="3">
        <v>5</v>
      </c>
    </row>
    <row r="1108" spans="1:24" x14ac:dyDescent="0.35">
      <c r="A1108">
        <v>259</v>
      </c>
      <c r="B1108">
        <v>52117</v>
      </c>
      <c r="C1108">
        <v>55</v>
      </c>
      <c r="D1108">
        <v>1</v>
      </c>
      <c r="E1108" s="28">
        <v>7.7835616438356166</v>
      </c>
      <c r="F1108" s="28"/>
      <c r="G1108" s="28"/>
      <c r="H1108" s="28"/>
      <c r="I1108" s="28"/>
      <c r="J1108" s="28"/>
      <c r="L1108" s="38">
        <v>259</v>
      </c>
      <c r="M1108" s="2">
        <v>55</v>
      </c>
      <c r="N1108" s="2">
        <v>112</v>
      </c>
      <c r="O1108" s="2">
        <v>10</v>
      </c>
      <c r="P1108" s="2">
        <v>107</v>
      </c>
      <c r="Q1108" s="2">
        <v>30</v>
      </c>
      <c r="R1108" s="2">
        <v>0</v>
      </c>
      <c r="S1108" s="2">
        <v>20</v>
      </c>
      <c r="T1108" s="2">
        <v>2</v>
      </c>
      <c r="U1108" s="2">
        <v>5</v>
      </c>
      <c r="V1108" s="2">
        <v>2</v>
      </c>
      <c r="W1108" s="2">
        <v>4</v>
      </c>
      <c r="X1108" s="2">
        <v>7</v>
      </c>
    </row>
    <row r="1109" spans="1:24" x14ac:dyDescent="0.35">
      <c r="A1109">
        <v>259</v>
      </c>
      <c r="B1109">
        <v>46610</v>
      </c>
      <c r="C1109">
        <v>68</v>
      </c>
      <c r="D1109">
        <v>1</v>
      </c>
      <c r="E1109" s="28">
        <v>7.580821917808219</v>
      </c>
      <c r="F1109" s="28"/>
      <c r="G1109" s="28"/>
      <c r="H1109" s="28"/>
      <c r="I1109" s="28"/>
      <c r="J1109" s="28"/>
      <c r="L1109" s="37">
        <v>259</v>
      </c>
      <c r="M1109" s="3">
        <v>8</v>
      </c>
      <c r="N1109" s="3">
        <v>96</v>
      </c>
      <c r="O1109" s="3">
        <v>12</v>
      </c>
      <c r="P1109" s="3">
        <v>96</v>
      </c>
      <c r="Q1109" s="3">
        <v>33</v>
      </c>
      <c r="R1109" s="3">
        <v>22</v>
      </c>
      <c r="S1109" s="3">
        <v>43</v>
      </c>
      <c r="T1109" s="3">
        <v>6</v>
      </c>
      <c r="U1109" s="3">
        <v>4</v>
      </c>
      <c r="V1109" s="3">
        <v>1</v>
      </c>
      <c r="W1109" s="3">
        <v>6</v>
      </c>
      <c r="X1109" s="3">
        <v>6</v>
      </c>
    </row>
    <row r="1110" spans="1:24" x14ac:dyDescent="0.35">
      <c r="A1110">
        <v>259</v>
      </c>
      <c r="B1110">
        <v>52034</v>
      </c>
      <c r="C1110">
        <v>47</v>
      </c>
      <c r="D1110">
        <v>1</v>
      </c>
      <c r="E1110" s="28">
        <v>7.0328767123287674</v>
      </c>
      <c r="F1110" s="28"/>
      <c r="G1110" s="28"/>
      <c r="H1110" s="28"/>
      <c r="I1110" s="28"/>
      <c r="J1110" s="28"/>
      <c r="L1110" s="38">
        <v>259</v>
      </c>
      <c r="M1110" s="2">
        <v>67</v>
      </c>
      <c r="N1110" s="2">
        <v>146</v>
      </c>
      <c r="O1110" s="2">
        <v>0</v>
      </c>
      <c r="P1110" s="2">
        <v>93</v>
      </c>
      <c r="Q1110" s="2">
        <v>7</v>
      </c>
      <c r="R1110" s="2">
        <v>13</v>
      </c>
      <c r="S1110" s="2">
        <v>73</v>
      </c>
      <c r="T1110" s="2">
        <v>5</v>
      </c>
      <c r="U1110" s="2">
        <v>4</v>
      </c>
      <c r="V1110" s="2">
        <v>2</v>
      </c>
      <c r="W1110" s="2">
        <v>5</v>
      </c>
      <c r="X1110" s="2">
        <v>7</v>
      </c>
    </row>
    <row r="1111" spans="1:24" x14ac:dyDescent="0.35">
      <c r="A1111">
        <v>259</v>
      </c>
      <c r="B1111">
        <v>68274</v>
      </c>
      <c r="C1111">
        <v>41</v>
      </c>
      <c r="D1111">
        <v>1</v>
      </c>
      <c r="E1111" s="28">
        <v>6.6602739726027398</v>
      </c>
      <c r="F1111" s="28"/>
      <c r="G1111" s="28"/>
      <c r="H1111" s="28"/>
      <c r="I1111" s="28"/>
      <c r="J1111" s="28"/>
      <c r="L1111" s="37">
        <v>259</v>
      </c>
      <c r="M1111" s="3">
        <v>83</v>
      </c>
      <c r="N1111" s="3">
        <v>135</v>
      </c>
      <c r="O1111" s="3">
        <v>25</v>
      </c>
      <c r="P1111" s="3">
        <v>51</v>
      </c>
      <c r="Q1111" s="3">
        <v>23</v>
      </c>
      <c r="R1111" s="3">
        <v>25</v>
      </c>
      <c r="S1111" s="3">
        <v>46</v>
      </c>
      <c r="T1111" s="3">
        <v>2</v>
      </c>
      <c r="U1111" s="3">
        <v>4</v>
      </c>
      <c r="V1111" s="3">
        <v>2</v>
      </c>
      <c r="W1111" s="3">
        <v>5</v>
      </c>
      <c r="X1111" s="3">
        <v>3</v>
      </c>
    </row>
    <row r="1112" spans="1:24" x14ac:dyDescent="0.35">
      <c r="A1112">
        <v>259</v>
      </c>
      <c r="B1112">
        <v>64413</v>
      </c>
      <c r="C1112">
        <v>50</v>
      </c>
      <c r="D1112">
        <v>1</v>
      </c>
      <c r="E1112" s="28">
        <v>6.8246575342465752</v>
      </c>
      <c r="F1112" s="28"/>
      <c r="G1112" s="28"/>
      <c r="H1112" s="28"/>
      <c r="I1112" s="28"/>
      <c r="J1112" s="28"/>
      <c r="L1112" s="38">
        <v>259</v>
      </c>
      <c r="M1112" s="2">
        <v>27</v>
      </c>
      <c r="N1112" s="2">
        <v>200</v>
      </c>
      <c r="O1112" s="2">
        <v>5</v>
      </c>
      <c r="P1112" s="2">
        <v>44</v>
      </c>
      <c r="Q1112" s="2">
        <v>0</v>
      </c>
      <c r="R1112" s="2">
        <v>10</v>
      </c>
      <c r="S1112" s="2">
        <v>20</v>
      </c>
      <c r="T1112" s="2">
        <v>1</v>
      </c>
      <c r="U1112" s="2">
        <v>5</v>
      </c>
      <c r="V1112" s="2">
        <v>1</v>
      </c>
      <c r="W1112" s="2">
        <v>5</v>
      </c>
      <c r="X1112" s="2">
        <v>5</v>
      </c>
    </row>
    <row r="1113" spans="1:24" x14ac:dyDescent="0.35">
      <c r="A1113">
        <v>258</v>
      </c>
      <c r="B1113">
        <v>44602</v>
      </c>
      <c r="C1113">
        <v>51</v>
      </c>
      <c r="D1113">
        <v>1</v>
      </c>
      <c r="E1113" s="28">
        <v>6.2821917808219174</v>
      </c>
      <c r="F1113" s="28"/>
      <c r="G1113" s="28"/>
      <c r="H1113" s="28"/>
      <c r="I1113" s="28"/>
      <c r="J1113" s="28"/>
      <c r="L1113" s="37">
        <v>258</v>
      </c>
      <c r="M1113" s="3">
        <v>35</v>
      </c>
      <c r="N1113" s="3">
        <v>167</v>
      </c>
      <c r="O1113" s="3">
        <v>2</v>
      </c>
      <c r="P1113" s="3">
        <v>89</v>
      </c>
      <c r="Q1113" s="3">
        <v>0</v>
      </c>
      <c r="R1113" s="3">
        <v>0</v>
      </c>
      <c r="S1113" s="3">
        <v>34</v>
      </c>
      <c r="T1113" s="3">
        <v>6</v>
      </c>
      <c r="U1113" s="3">
        <v>6</v>
      </c>
      <c r="V1113" s="3">
        <v>1</v>
      </c>
      <c r="W1113" s="3">
        <v>4</v>
      </c>
      <c r="X1113" s="3">
        <v>8</v>
      </c>
    </row>
    <row r="1114" spans="1:24" x14ac:dyDescent="0.35">
      <c r="A1114">
        <v>258</v>
      </c>
      <c r="B1114">
        <v>51267</v>
      </c>
      <c r="C1114">
        <v>42</v>
      </c>
      <c r="D1114">
        <v>1</v>
      </c>
      <c r="E1114" s="28">
        <v>6.580821917808219</v>
      </c>
      <c r="F1114" s="28"/>
      <c r="G1114" s="28"/>
      <c r="H1114" s="28"/>
      <c r="I1114" s="28"/>
      <c r="J1114" s="28"/>
      <c r="L1114" s="38">
        <v>258</v>
      </c>
      <c r="M1114" s="2">
        <v>37</v>
      </c>
      <c r="N1114" s="2">
        <v>183</v>
      </c>
      <c r="O1114" s="2">
        <v>2</v>
      </c>
      <c r="P1114" s="2">
        <v>64</v>
      </c>
      <c r="Q1114" s="2">
        <v>7</v>
      </c>
      <c r="R1114" s="2">
        <v>2</v>
      </c>
      <c r="S1114" s="2">
        <v>12</v>
      </c>
      <c r="T1114" s="2">
        <v>4</v>
      </c>
      <c r="U1114" s="2">
        <v>3</v>
      </c>
      <c r="V1114" s="2">
        <v>3</v>
      </c>
      <c r="W1114" s="2">
        <v>5</v>
      </c>
      <c r="X1114" s="2">
        <v>4</v>
      </c>
    </row>
    <row r="1115" spans="1:24" x14ac:dyDescent="0.35">
      <c r="A1115">
        <v>258</v>
      </c>
      <c r="B1115">
        <v>49413</v>
      </c>
      <c r="C1115">
        <v>68</v>
      </c>
      <c r="D1115">
        <v>1</v>
      </c>
      <c r="E1115" s="28">
        <v>6.5917808219178085</v>
      </c>
      <c r="F1115" s="28"/>
      <c r="G1115" s="28"/>
      <c r="H1115" s="28"/>
      <c r="I1115" s="28"/>
      <c r="J1115" s="28"/>
      <c r="L1115" s="37">
        <v>258</v>
      </c>
      <c r="M1115" s="3">
        <v>88</v>
      </c>
      <c r="N1115" s="3">
        <v>205</v>
      </c>
      <c r="O1115" s="3">
        <v>7</v>
      </c>
      <c r="P1115" s="3">
        <v>41</v>
      </c>
      <c r="Q1115" s="3">
        <v>3</v>
      </c>
      <c r="R1115" s="3">
        <v>2</v>
      </c>
      <c r="S1115" s="3">
        <v>46</v>
      </c>
      <c r="T1115" s="3">
        <v>2</v>
      </c>
      <c r="U1115" s="3">
        <v>4</v>
      </c>
      <c r="V1115" s="3">
        <v>2</v>
      </c>
      <c r="W1115" s="3">
        <v>5</v>
      </c>
      <c r="X1115" s="3">
        <v>5</v>
      </c>
    </row>
    <row r="1116" spans="1:24" x14ac:dyDescent="0.35">
      <c r="A1116">
        <v>258</v>
      </c>
      <c r="B1116">
        <v>53083</v>
      </c>
      <c r="C1116">
        <v>62</v>
      </c>
      <c r="D1116">
        <v>1</v>
      </c>
      <c r="E1116" s="28">
        <v>7.0383561643835613</v>
      </c>
      <c r="F1116" s="28"/>
      <c r="G1116" s="28"/>
      <c r="H1116" s="28"/>
      <c r="I1116" s="28"/>
      <c r="J1116" s="28"/>
      <c r="L1116" s="38">
        <v>258</v>
      </c>
      <c r="M1116" s="2">
        <v>65</v>
      </c>
      <c r="N1116" s="2">
        <v>215</v>
      </c>
      <c r="O1116" s="2">
        <v>7</v>
      </c>
      <c r="P1116" s="2">
        <v>33</v>
      </c>
      <c r="Q1116" s="2">
        <v>3</v>
      </c>
      <c r="R1116" s="2">
        <v>0</v>
      </c>
      <c r="S1116" s="2">
        <v>13</v>
      </c>
      <c r="T1116" s="2">
        <v>6</v>
      </c>
      <c r="U1116" s="2">
        <v>5</v>
      </c>
      <c r="V1116" s="2">
        <v>1</v>
      </c>
      <c r="W1116" s="2">
        <v>5</v>
      </c>
      <c r="X1116" s="2">
        <v>7</v>
      </c>
    </row>
    <row r="1117" spans="1:24" x14ac:dyDescent="0.35">
      <c r="A1117">
        <v>258</v>
      </c>
      <c r="B1117">
        <v>36930</v>
      </c>
      <c r="C1117">
        <v>66</v>
      </c>
      <c r="D1117">
        <v>1</v>
      </c>
      <c r="E1117" s="28">
        <v>7.0328767123287674</v>
      </c>
      <c r="F1117" s="28"/>
      <c r="G1117" s="28"/>
      <c r="H1117" s="28"/>
      <c r="I1117" s="28"/>
      <c r="J1117" s="28"/>
      <c r="L1117" s="37">
        <v>258</v>
      </c>
      <c r="M1117" s="3">
        <v>50</v>
      </c>
      <c r="N1117" s="3">
        <v>223</v>
      </c>
      <c r="O1117" s="3">
        <v>2</v>
      </c>
      <c r="P1117" s="3">
        <v>31</v>
      </c>
      <c r="Q1117" s="3">
        <v>0</v>
      </c>
      <c r="R1117" s="3">
        <v>2</v>
      </c>
      <c r="S1117" s="3">
        <v>39</v>
      </c>
      <c r="T1117" s="3">
        <v>5</v>
      </c>
      <c r="U1117" s="3">
        <v>5</v>
      </c>
      <c r="V1117" s="3">
        <v>2</v>
      </c>
      <c r="W1117" s="3">
        <v>4</v>
      </c>
      <c r="X1117" s="3">
        <v>8</v>
      </c>
    </row>
    <row r="1118" spans="1:24" x14ac:dyDescent="0.35">
      <c r="A1118">
        <v>258</v>
      </c>
      <c r="B1118">
        <v>49166</v>
      </c>
      <c r="C1118">
        <v>46</v>
      </c>
      <c r="D1118">
        <v>1</v>
      </c>
      <c r="E1118" s="28">
        <v>6.9589041095890414</v>
      </c>
      <c r="F1118" s="28"/>
      <c r="G1118" s="28"/>
      <c r="H1118" s="28"/>
      <c r="I1118" s="28"/>
      <c r="J1118" s="28"/>
      <c r="L1118" s="38">
        <v>258</v>
      </c>
      <c r="M1118" s="2">
        <v>17</v>
      </c>
      <c r="N1118" s="2">
        <v>224</v>
      </c>
      <c r="O1118" s="2">
        <v>2</v>
      </c>
      <c r="P1118" s="2">
        <v>25</v>
      </c>
      <c r="Q1118" s="2">
        <v>7</v>
      </c>
      <c r="R1118" s="2">
        <v>0</v>
      </c>
      <c r="S1118" s="2">
        <v>110</v>
      </c>
      <c r="T1118" s="2">
        <v>2</v>
      </c>
      <c r="U1118" s="2">
        <v>5</v>
      </c>
      <c r="V1118" s="2">
        <v>3</v>
      </c>
      <c r="W1118" s="2">
        <v>3</v>
      </c>
      <c r="X1118" s="2">
        <v>6</v>
      </c>
    </row>
    <row r="1119" spans="1:24" x14ac:dyDescent="0.35">
      <c r="A1119">
        <v>257</v>
      </c>
      <c r="B1119">
        <v>28973</v>
      </c>
      <c r="C1119">
        <v>43</v>
      </c>
      <c r="D1119">
        <v>0</v>
      </c>
      <c r="E1119" s="28">
        <v>7.624657534246575</v>
      </c>
      <c r="F1119" s="28"/>
      <c r="G1119" s="28"/>
      <c r="H1119" s="28"/>
      <c r="I1119" s="28"/>
      <c r="J1119" s="28"/>
      <c r="L1119" s="37">
        <v>257</v>
      </c>
      <c r="M1119" s="3">
        <v>59</v>
      </c>
      <c r="N1119" s="3">
        <v>206</v>
      </c>
      <c r="O1119" s="3">
        <v>0</v>
      </c>
      <c r="P1119" s="3">
        <v>46</v>
      </c>
      <c r="Q1119" s="3">
        <v>3</v>
      </c>
      <c r="R1119" s="3">
        <v>2</v>
      </c>
      <c r="S1119" s="3">
        <v>12</v>
      </c>
      <c r="T1119" s="3">
        <v>2</v>
      </c>
      <c r="U1119" s="3">
        <v>5</v>
      </c>
      <c r="V1119" s="3">
        <v>1</v>
      </c>
      <c r="W1119" s="3">
        <v>5</v>
      </c>
      <c r="X1119" s="3">
        <v>8</v>
      </c>
    </row>
    <row r="1120" spans="1:24" x14ac:dyDescent="0.35">
      <c r="A1120">
        <v>257</v>
      </c>
      <c r="B1120">
        <v>52332</v>
      </c>
      <c r="C1120">
        <v>61</v>
      </c>
      <c r="D1120">
        <v>0</v>
      </c>
      <c r="E1120" s="28">
        <v>6.7506849315068491</v>
      </c>
      <c r="F1120" s="28"/>
      <c r="G1120" s="28"/>
      <c r="H1120" s="28"/>
      <c r="I1120" s="28"/>
      <c r="J1120" s="28"/>
      <c r="L1120" s="38">
        <v>257</v>
      </c>
      <c r="M1120" s="2">
        <v>63</v>
      </c>
      <c r="N1120" s="2">
        <v>212</v>
      </c>
      <c r="O1120" s="2">
        <v>5</v>
      </c>
      <c r="P1120" s="2">
        <v>33</v>
      </c>
      <c r="Q1120" s="2">
        <v>7</v>
      </c>
      <c r="R1120" s="2">
        <v>0</v>
      </c>
      <c r="S1120" s="2">
        <v>2</v>
      </c>
      <c r="T1120" s="2">
        <v>1</v>
      </c>
      <c r="U1120" s="2">
        <v>3</v>
      </c>
      <c r="V1120" s="2">
        <v>2</v>
      </c>
      <c r="W1120" s="2">
        <v>6</v>
      </c>
      <c r="X1120" s="2">
        <v>4</v>
      </c>
    </row>
    <row r="1121" spans="1:24" x14ac:dyDescent="0.35">
      <c r="A1121">
        <v>257</v>
      </c>
      <c r="B1121">
        <v>54222</v>
      </c>
      <c r="C1121">
        <v>47</v>
      </c>
      <c r="D1121">
        <v>1</v>
      </c>
      <c r="E1121" s="28">
        <v>6.2438356164383562</v>
      </c>
      <c r="F1121" s="28"/>
      <c r="G1121" s="28"/>
      <c r="H1121" s="28"/>
      <c r="I1121" s="28"/>
      <c r="J1121" s="28"/>
      <c r="L1121" s="37">
        <v>257</v>
      </c>
      <c r="M1121" s="3">
        <v>98</v>
      </c>
      <c r="N1121" s="3">
        <v>199</v>
      </c>
      <c r="O1121" s="3">
        <v>12</v>
      </c>
      <c r="P1121" s="3">
        <v>31</v>
      </c>
      <c r="Q1121" s="3">
        <v>3</v>
      </c>
      <c r="R1121" s="3">
        <v>12</v>
      </c>
      <c r="S1121" s="3">
        <v>7</v>
      </c>
      <c r="T1121" s="3">
        <v>1</v>
      </c>
      <c r="U1121" s="3">
        <v>3</v>
      </c>
      <c r="V1121" s="3">
        <v>3</v>
      </c>
      <c r="W1121" s="3">
        <v>5</v>
      </c>
      <c r="X1121" s="3">
        <v>3</v>
      </c>
    </row>
    <row r="1122" spans="1:24" x14ac:dyDescent="0.35">
      <c r="A1122">
        <v>257</v>
      </c>
      <c r="B1122">
        <v>53187</v>
      </c>
      <c r="C1122">
        <v>50</v>
      </c>
      <c r="D1122">
        <v>1</v>
      </c>
      <c r="E1122" s="28">
        <v>6.5890410958904111</v>
      </c>
      <c r="F1122" s="28"/>
      <c r="G1122" s="28"/>
      <c r="H1122" s="28"/>
      <c r="I1122" s="28"/>
      <c r="J1122" s="28"/>
      <c r="L1122" s="38">
        <v>257</v>
      </c>
      <c r="M1122" s="2">
        <v>66</v>
      </c>
      <c r="N1122" s="2">
        <v>211</v>
      </c>
      <c r="O1122" s="2">
        <v>2</v>
      </c>
      <c r="P1122" s="2">
        <v>30</v>
      </c>
      <c r="Q1122" s="2">
        <v>7</v>
      </c>
      <c r="R1122" s="2">
        <v>7</v>
      </c>
      <c r="S1122" s="2">
        <v>10</v>
      </c>
      <c r="T1122" s="2">
        <v>2</v>
      </c>
      <c r="U1122" s="2">
        <v>4</v>
      </c>
      <c r="V1122" s="2">
        <v>1</v>
      </c>
      <c r="W1122" s="2">
        <v>6</v>
      </c>
      <c r="X1122" s="2">
        <v>5</v>
      </c>
    </row>
    <row r="1123" spans="1:24" x14ac:dyDescent="0.35">
      <c r="A1123">
        <v>256</v>
      </c>
      <c r="B1123">
        <v>61482</v>
      </c>
      <c r="C1123">
        <v>55</v>
      </c>
      <c r="D1123">
        <v>0</v>
      </c>
      <c r="E1123" s="28">
        <v>5.9205479452054792</v>
      </c>
      <c r="F1123" s="28"/>
      <c r="G1123" s="28"/>
      <c r="H1123" s="28"/>
      <c r="I1123" s="28"/>
      <c r="J1123" s="28"/>
      <c r="L1123" s="37">
        <v>256</v>
      </c>
      <c r="M1123" s="3">
        <v>39</v>
      </c>
      <c r="N1123" s="3">
        <v>48</v>
      </c>
      <c r="O1123" s="3">
        <v>58</v>
      </c>
      <c r="P1123" s="3">
        <v>68</v>
      </c>
      <c r="Q1123" s="3">
        <v>16</v>
      </c>
      <c r="R1123" s="3">
        <v>66</v>
      </c>
      <c r="S1123" s="3">
        <v>43</v>
      </c>
      <c r="T1123" s="3">
        <v>1</v>
      </c>
      <c r="U1123" s="3">
        <v>3</v>
      </c>
      <c r="V1123" s="3">
        <v>2</v>
      </c>
      <c r="W1123" s="3">
        <v>6</v>
      </c>
      <c r="X1123" s="3">
        <v>2</v>
      </c>
    </row>
    <row r="1124" spans="1:24" x14ac:dyDescent="0.35">
      <c r="A1124">
        <v>256</v>
      </c>
      <c r="B1124">
        <v>45006</v>
      </c>
      <c r="C1124">
        <v>76</v>
      </c>
      <c r="D1124">
        <v>0</v>
      </c>
      <c r="E1124" s="28">
        <v>6.8630136986301373</v>
      </c>
      <c r="F1124" s="28"/>
      <c r="G1124" s="28"/>
      <c r="H1124" s="28"/>
      <c r="I1124" s="28"/>
      <c r="J1124" s="28"/>
      <c r="L1124" s="38">
        <v>256</v>
      </c>
      <c r="M1124" s="2">
        <v>90</v>
      </c>
      <c r="N1124" s="2">
        <v>162</v>
      </c>
      <c r="O1124" s="2">
        <v>25</v>
      </c>
      <c r="P1124" s="2">
        <v>53</v>
      </c>
      <c r="Q1124" s="2">
        <v>16</v>
      </c>
      <c r="R1124" s="2">
        <v>0</v>
      </c>
      <c r="S1124" s="2">
        <v>10</v>
      </c>
      <c r="T1124" s="2">
        <v>1</v>
      </c>
      <c r="U1124" s="2">
        <v>3</v>
      </c>
      <c r="V1124" s="2">
        <v>1</v>
      </c>
      <c r="W1124" s="2">
        <v>7</v>
      </c>
      <c r="X1124" s="2">
        <v>3</v>
      </c>
    </row>
    <row r="1125" spans="1:24" x14ac:dyDescent="0.35">
      <c r="A1125">
        <v>256</v>
      </c>
      <c r="B1125">
        <v>41551</v>
      </c>
      <c r="C1125">
        <v>56</v>
      </c>
      <c r="D1125">
        <v>1</v>
      </c>
      <c r="E1125" s="28">
        <v>6.7890410958904113</v>
      </c>
      <c r="F1125" s="28"/>
      <c r="G1125" s="28"/>
      <c r="H1125" s="28"/>
      <c r="I1125" s="28"/>
      <c r="J1125" s="28"/>
      <c r="L1125" s="37">
        <v>256</v>
      </c>
      <c r="M1125" s="3">
        <v>51</v>
      </c>
      <c r="N1125" s="3">
        <v>220</v>
      </c>
      <c r="O1125" s="3">
        <v>0</v>
      </c>
      <c r="P1125" s="3">
        <v>33</v>
      </c>
      <c r="Q1125" s="3">
        <v>3</v>
      </c>
      <c r="R1125" s="3">
        <v>0</v>
      </c>
      <c r="S1125" s="3">
        <v>23</v>
      </c>
      <c r="T1125" s="3">
        <v>5</v>
      </c>
      <c r="U1125" s="3">
        <v>5</v>
      </c>
      <c r="V1125" s="3">
        <v>1</v>
      </c>
      <c r="W1125" s="3">
        <v>5</v>
      </c>
      <c r="X1125" s="3">
        <v>8</v>
      </c>
    </row>
    <row r="1126" spans="1:24" x14ac:dyDescent="0.35">
      <c r="A1126">
        <v>256</v>
      </c>
      <c r="B1126">
        <v>38201</v>
      </c>
      <c r="C1126">
        <v>60</v>
      </c>
      <c r="D1126">
        <v>1</v>
      </c>
      <c r="E1126" s="28">
        <v>7.1671232876712327</v>
      </c>
      <c r="F1126" s="28"/>
      <c r="G1126" s="28"/>
      <c r="H1126" s="28"/>
      <c r="I1126" s="28"/>
      <c r="J1126" s="28"/>
      <c r="L1126" s="38">
        <v>256</v>
      </c>
      <c r="M1126" s="2">
        <v>19</v>
      </c>
      <c r="N1126" s="2">
        <v>233</v>
      </c>
      <c r="O1126" s="2">
        <v>0</v>
      </c>
      <c r="P1126" s="2">
        <v>23</v>
      </c>
      <c r="Q1126" s="2">
        <v>0</v>
      </c>
      <c r="R1126" s="2">
        <v>0</v>
      </c>
      <c r="S1126" s="2">
        <v>12</v>
      </c>
      <c r="T1126" s="2">
        <v>4</v>
      </c>
      <c r="U1126" s="2">
        <v>5</v>
      </c>
      <c r="V1126" s="2">
        <v>1</v>
      </c>
      <c r="W1126" s="2">
        <v>5</v>
      </c>
      <c r="X1126" s="2">
        <v>8</v>
      </c>
    </row>
    <row r="1127" spans="1:24" x14ac:dyDescent="0.35">
      <c r="A1127">
        <v>255</v>
      </c>
      <c r="B1127">
        <v>43776</v>
      </c>
      <c r="C1127">
        <v>68</v>
      </c>
      <c r="D1127">
        <v>1</v>
      </c>
      <c r="E1127" s="28">
        <v>7.3150684931506849</v>
      </c>
      <c r="F1127" s="28"/>
      <c r="G1127" s="28"/>
      <c r="H1127" s="28"/>
      <c r="I1127" s="28"/>
      <c r="J1127" s="28"/>
      <c r="L1127" s="37">
        <v>255</v>
      </c>
      <c r="M1127" s="3">
        <v>9</v>
      </c>
      <c r="N1127" s="3">
        <v>177</v>
      </c>
      <c r="O1127" s="3">
        <v>2</v>
      </c>
      <c r="P1127" s="3">
        <v>71</v>
      </c>
      <c r="Q1127" s="3">
        <v>3</v>
      </c>
      <c r="R1127" s="3">
        <v>2</v>
      </c>
      <c r="S1127" s="3">
        <v>20</v>
      </c>
      <c r="T1127" s="3">
        <v>6</v>
      </c>
      <c r="U1127" s="3">
        <v>5</v>
      </c>
      <c r="V1127" s="3">
        <v>2</v>
      </c>
      <c r="W1127" s="3">
        <v>4</v>
      </c>
      <c r="X1127" s="3">
        <v>8</v>
      </c>
    </row>
    <row r="1128" spans="1:24" x14ac:dyDescent="0.35">
      <c r="A1128">
        <v>255</v>
      </c>
      <c r="B1128">
        <v>42557</v>
      </c>
      <c r="C1128">
        <v>46</v>
      </c>
      <c r="D1128">
        <v>1</v>
      </c>
      <c r="E1128" s="28">
        <v>7.7479452054794518</v>
      </c>
      <c r="F1128" s="28"/>
      <c r="G1128" s="28"/>
      <c r="H1128" s="28"/>
      <c r="I1128" s="28"/>
      <c r="J1128" s="28"/>
      <c r="L1128" s="38">
        <v>255</v>
      </c>
      <c r="M1128" s="2">
        <v>98</v>
      </c>
      <c r="N1128" s="2">
        <v>192</v>
      </c>
      <c r="O1128" s="2">
        <v>5</v>
      </c>
      <c r="P1128" s="2">
        <v>53</v>
      </c>
      <c r="Q1128" s="2">
        <v>0</v>
      </c>
      <c r="R1128" s="2">
        <v>5</v>
      </c>
      <c r="S1128" s="2">
        <v>15</v>
      </c>
      <c r="T1128" s="2">
        <v>4</v>
      </c>
      <c r="U1128" s="2">
        <v>6</v>
      </c>
      <c r="V1128" s="2">
        <v>1</v>
      </c>
      <c r="W1128" s="2">
        <v>4</v>
      </c>
      <c r="X1128" s="2">
        <v>8</v>
      </c>
    </row>
    <row r="1129" spans="1:24" x14ac:dyDescent="0.35">
      <c r="A1129">
        <v>255</v>
      </c>
      <c r="B1129">
        <v>37929</v>
      </c>
      <c r="C1129">
        <v>35</v>
      </c>
      <c r="D1129">
        <v>0</v>
      </c>
      <c r="E1129" s="28">
        <v>6.8301369863013699</v>
      </c>
      <c r="F1129" s="28"/>
      <c r="G1129" s="28"/>
      <c r="H1129" s="28"/>
      <c r="I1129" s="28"/>
      <c r="J1129" s="28"/>
      <c r="L1129" s="37">
        <v>255</v>
      </c>
      <c r="M1129" s="3">
        <v>49</v>
      </c>
      <c r="N1129" s="3">
        <v>202</v>
      </c>
      <c r="O1129" s="3">
        <v>2</v>
      </c>
      <c r="P1129" s="3">
        <v>46</v>
      </c>
      <c r="Q1129" s="3">
        <v>3</v>
      </c>
      <c r="R1129" s="3">
        <v>2</v>
      </c>
      <c r="S1129" s="3">
        <v>10</v>
      </c>
      <c r="T1129" s="3">
        <v>2</v>
      </c>
      <c r="U1129" s="3">
        <v>4</v>
      </c>
      <c r="V1129" s="3">
        <v>2</v>
      </c>
      <c r="W1129" s="3">
        <v>5</v>
      </c>
      <c r="X1129" s="3">
        <v>7</v>
      </c>
    </row>
    <row r="1130" spans="1:24" x14ac:dyDescent="0.35">
      <c r="A1130">
        <v>255</v>
      </c>
      <c r="B1130">
        <v>47743</v>
      </c>
      <c r="C1130">
        <v>63</v>
      </c>
      <c r="D1130">
        <v>1</v>
      </c>
      <c r="E1130" s="28">
        <v>7.1863013698630134</v>
      </c>
      <c r="F1130" s="28"/>
      <c r="G1130" s="28"/>
      <c r="H1130" s="28"/>
      <c r="I1130" s="28"/>
      <c r="J1130" s="28"/>
      <c r="L1130" s="38">
        <v>255</v>
      </c>
      <c r="M1130" s="2">
        <v>56</v>
      </c>
      <c r="N1130" s="2">
        <v>198</v>
      </c>
      <c r="O1130" s="2">
        <v>2</v>
      </c>
      <c r="P1130" s="2">
        <v>43</v>
      </c>
      <c r="Q1130" s="2">
        <v>0</v>
      </c>
      <c r="R1130" s="2">
        <v>12</v>
      </c>
      <c r="S1130" s="2">
        <v>20</v>
      </c>
      <c r="T1130" s="2">
        <v>3</v>
      </c>
      <c r="U1130" s="2">
        <v>4</v>
      </c>
      <c r="V1130" s="2">
        <v>1</v>
      </c>
      <c r="W1130" s="2">
        <v>6</v>
      </c>
      <c r="X1130" s="2">
        <v>6</v>
      </c>
    </row>
    <row r="1131" spans="1:24" x14ac:dyDescent="0.35">
      <c r="A1131">
        <v>254</v>
      </c>
      <c r="B1131">
        <v>45072</v>
      </c>
      <c r="C1131">
        <v>72</v>
      </c>
      <c r="D1131">
        <v>1</v>
      </c>
      <c r="E1131" s="28">
        <v>6.6164383561643838</v>
      </c>
      <c r="F1131" s="28"/>
      <c r="G1131" s="28"/>
      <c r="H1131" s="28"/>
      <c r="I1131" s="28"/>
      <c r="J1131" s="28"/>
      <c r="L1131" s="37">
        <v>254</v>
      </c>
      <c r="M1131" s="3">
        <v>74</v>
      </c>
      <c r="N1131" s="3">
        <v>144</v>
      </c>
      <c r="O1131" s="3">
        <v>2</v>
      </c>
      <c r="P1131" s="3">
        <v>99</v>
      </c>
      <c r="Q1131" s="3">
        <v>7</v>
      </c>
      <c r="R1131" s="3">
        <v>2</v>
      </c>
      <c r="S1131" s="3">
        <v>30</v>
      </c>
      <c r="T1131" s="3">
        <v>5</v>
      </c>
      <c r="U1131" s="3">
        <v>6</v>
      </c>
      <c r="V1131" s="3">
        <v>1</v>
      </c>
      <c r="W1131" s="3">
        <v>4</v>
      </c>
      <c r="X1131" s="3">
        <v>8</v>
      </c>
    </row>
    <row r="1132" spans="1:24" x14ac:dyDescent="0.35">
      <c r="A1132">
        <v>254</v>
      </c>
      <c r="B1132">
        <v>58917</v>
      </c>
      <c r="C1132">
        <v>51</v>
      </c>
      <c r="D1132">
        <v>1</v>
      </c>
      <c r="E1132" s="28">
        <v>7.1808219178082195</v>
      </c>
      <c r="F1132" s="28"/>
      <c r="G1132" s="28"/>
      <c r="H1132" s="28"/>
      <c r="I1132" s="28"/>
      <c r="J1132" s="28"/>
      <c r="L1132" s="38">
        <v>254</v>
      </c>
      <c r="M1132" s="2">
        <v>10</v>
      </c>
      <c r="N1132" s="2">
        <v>151</v>
      </c>
      <c r="O1132" s="2">
        <v>7</v>
      </c>
      <c r="P1132" s="2">
        <v>89</v>
      </c>
      <c r="Q1132" s="2">
        <v>0</v>
      </c>
      <c r="R1132" s="2">
        <v>7</v>
      </c>
      <c r="S1132" s="2">
        <v>28</v>
      </c>
      <c r="T1132" s="2">
        <v>5</v>
      </c>
      <c r="U1132" s="2">
        <v>4</v>
      </c>
      <c r="V1132" s="2">
        <v>1</v>
      </c>
      <c r="W1132" s="2">
        <v>6</v>
      </c>
      <c r="X1132" s="2">
        <v>5</v>
      </c>
    </row>
    <row r="1133" spans="1:24" x14ac:dyDescent="0.35">
      <c r="A1133">
        <v>254</v>
      </c>
      <c r="B1133">
        <v>53761</v>
      </c>
      <c r="C1133">
        <v>48</v>
      </c>
      <c r="D1133">
        <v>1</v>
      </c>
      <c r="E1133" s="28">
        <v>6.6301369863013697</v>
      </c>
      <c r="F1133" s="28"/>
      <c r="G1133" s="28"/>
      <c r="H1133" s="28"/>
      <c r="I1133" s="28"/>
      <c r="J1133" s="28"/>
      <c r="L1133" s="37">
        <v>254</v>
      </c>
      <c r="M1133" s="3">
        <v>7</v>
      </c>
      <c r="N1133" s="3">
        <v>158</v>
      </c>
      <c r="O1133" s="3">
        <v>0</v>
      </c>
      <c r="P1133" s="3">
        <v>76</v>
      </c>
      <c r="Q1133" s="3">
        <v>13</v>
      </c>
      <c r="R1133" s="3">
        <v>7</v>
      </c>
      <c r="S1133" s="3">
        <v>71</v>
      </c>
      <c r="T1133" s="3">
        <v>6</v>
      </c>
      <c r="U1133" s="3">
        <v>4</v>
      </c>
      <c r="V1133" s="3">
        <v>4</v>
      </c>
      <c r="W1133" s="3">
        <v>3</v>
      </c>
      <c r="X1133" s="3">
        <v>5</v>
      </c>
    </row>
    <row r="1134" spans="1:24" x14ac:dyDescent="0.35">
      <c r="A1134">
        <v>254</v>
      </c>
      <c r="B1134">
        <v>60544</v>
      </c>
      <c r="C1134">
        <v>59</v>
      </c>
      <c r="D1134">
        <v>1</v>
      </c>
      <c r="E1134" s="28">
        <v>7.7589041095890412</v>
      </c>
      <c r="F1134" s="28"/>
      <c r="G1134" s="28"/>
      <c r="H1134" s="28"/>
      <c r="I1134" s="28"/>
      <c r="J1134" s="28"/>
      <c r="L1134" s="38">
        <v>254</v>
      </c>
      <c r="M1134" s="2">
        <v>92</v>
      </c>
      <c r="N1134" s="2">
        <v>201</v>
      </c>
      <c r="O1134" s="2">
        <v>2</v>
      </c>
      <c r="P1134" s="2">
        <v>43</v>
      </c>
      <c r="Q1134" s="2">
        <v>3</v>
      </c>
      <c r="R1134" s="2">
        <v>5</v>
      </c>
      <c r="S1134" s="2">
        <v>35</v>
      </c>
      <c r="T1134" s="2">
        <v>4</v>
      </c>
      <c r="U1134" s="2">
        <v>5</v>
      </c>
      <c r="V1134" s="2">
        <v>1</v>
      </c>
      <c r="W1134" s="2">
        <v>5</v>
      </c>
      <c r="X1134" s="2">
        <v>6</v>
      </c>
    </row>
    <row r="1135" spans="1:24" x14ac:dyDescent="0.35">
      <c r="A1135">
        <v>254</v>
      </c>
      <c r="B1135">
        <v>42873</v>
      </c>
      <c r="C1135">
        <v>70</v>
      </c>
      <c r="D1135">
        <v>1</v>
      </c>
      <c r="E1135" s="28">
        <v>7.3506849315068497</v>
      </c>
      <c r="F1135" s="28"/>
      <c r="G1135" s="28"/>
      <c r="H1135" s="28"/>
      <c r="I1135" s="28"/>
      <c r="J1135" s="28"/>
      <c r="L1135" s="37">
        <v>254</v>
      </c>
      <c r="M1135" s="3">
        <v>11</v>
      </c>
      <c r="N1135" s="3">
        <v>209</v>
      </c>
      <c r="O1135" s="3">
        <v>0</v>
      </c>
      <c r="P1135" s="3">
        <v>40</v>
      </c>
      <c r="Q1135" s="3">
        <v>3</v>
      </c>
      <c r="R1135" s="3">
        <v>2</v>
      </c>
      <c r="S1135" s="3">
        <v>15</v>
      </c>
      <c r="T1135" s="3">
        <v>4</v>
      </c>
      <c r="U1135" s="3">
        <v>6</v>
      </c>
      <c r="V1135" s="3">
        <v>1</v>
      </c>
      <c r="W1135" s="3">
        <v>4</v>
      </c>
      <c r="X1135" s="3">
        <v>8</v>
      </c>
    </row>
    <row r="1136" spans="1:24" x14ac:dyDescent="0.35">
      <c r="A1136">
        <v>254</v>
      </c>
      <c r="B1136">
        <v>44377</v>
      </c>
      <c r="C1136">
        <v>52</v>
      </c>
      <c r="D1136">
        <v>1</v>
      </c>
      <c r="E1136" s="28">
        <v>7.646575342465753</v>
      </c>
      <c r="F1136" s="28"/>
      <c r="G1136" s="28"/>
      <c r="H1136" s="28"/>
      <c r="I1136" s="28"/>
      <c r="J1136" s="28"/>
      <c r="L1136" s="38">
        <v>254</v>
      </c>
      <c r="M1136" s="2">
        <v>70</v>
      </c>
      <c r="N1136" s="2">
        <v>224</v>
      </c>
      <c r="O1136" s="2">
        <v>0</v>
      </c>
      <c r="P1136" s="2">
        <v>30</v>
      </c>
      <c r="Q1136" s="2">
        <v>0</v>
      </c>
      <c r="R1136" s="2">
        <v>0</v>
      </c>
      <c r="S1136" s="2">
        <v>10</v>
      </c>
      <c r="T1136" s="2">
        <v>8</v>
      </c>
      <c r="U1136" s="2">
        <v>5</v>
      </c>
      <c r="V1136" s="2">
        <v>1</v>
      </c>
      <c r="W1136" s="2">
        <v>5</v>
      </c>
      <c r="X1136" s="2">
        <v>8</v>
      </c>
    </row>
    <row r="1137" spans="1:24" x14ac:dyDescent="0.35">
      <c r="A1137">
        <v>253</v>
      </c>
      <c r="B1137">
        <v>53312</v>
      </c>
      <c r="C1137">
        <v>69</v>
      </c>
      <c r="D1137">
        <v>0</v>
      </c>
      <c r="E1137" s="28">
        <v>6.8027397260273972</v>
      </c>
      <c r="F1137" s="28"/>
      <c r="G1137" s="28"/>
      <c r="H1137" s="28"/>
      <c r="I1137" s="28"/>
      <c r="J1137" s="28"/>
      <c r="L1137" s="37">
        <v>253</v>
      </c>
      <c r="M1137" s="3">
        <v>32</v>
      </c>
      <c r="N1137" s="3">
        <v>241</v>
      </c>
      <c r="O1137" s="3">
        <v>0</v>
      </c>
      <c r="P1137" s="3">
        <v>12</v>
      </c>
      <c r="Q1137" s="3">
        <v>0</v>
      </c>
      <c r="R1137" s="3">
        <v>0</v>
      </c>
      <c r="S1137" s="3">
        <v>25</v>
      </c>
      <c r="T1137" s="3">
        <v>1</v>
      </c>
      <c r="U1137" s="3">
        <v>5</v>
      </c>
      <c r="V1137" s="3">
        <v>1</v>
      </c>
      <c r="W1137" s="3">
        <v>5</v>
      </c>
      <c r="X1137" s="3">
        <v>7</v>
      </c>
    </row>
    <row r="1138" spans="1:24" x14ac:dyDescent="0.35">
      <c r="A1138">
        <v>252</v>
      </c>
      <c r="B1138">
        <v>30168</v>
      </c>
      <c r="C1138">
        <v>42</v>
      </c>
      <c r="D1138">
        <v>1</v>
      </c>
      <c r="E1138" s="28">
        <v>7.2273972602739729</v>
      </c>
      <c r="F1138" s="28"/>
      <c r="G1138" s="28"/>
      <c r="H1138" s="28"/>
      <c r="I1138" s="28"/>
      <c r="J1138" s="28"/>
      <c r="L1138" s="38">
        <v>252</v>
      </c>
      <c r="M1138" s="2">
        <v>51</v>
      </c>
      <c r="N1138" s="2">
        <v>154</v>
      </c>
      <c r="O1138" s="2">
        <v>20</v>
      </c>
      <c r="P1138" s="2">
        <v>66</v>
      </c>
      <c r="Q1138" s="2">
        <v>0</v>
      </c>
      <c r="R1138" s="2">
        <v>12</v>
      </c>
      <c r="S1138" s="2">
        <v>27</v>
      </c>
      <c r="T1138" s="2">
        <v>7</v>
      </c>
      <c r="U1138" s="2">
        <v>6</v>
      </c>
      <c r="V1138" s="2">
        <v>1</v>
      </c>
      <c r="W1138" s="2">
        <v>4</v>
      </c>
      <c r="X1138" s="2">
        <v>9</v>
      </c>
    </row>
    <row r="1139" spans="1:24" x14ac:dyDescent="0.35">
      <c r="A1139">
        <v>252</v>
      </c>
      <c r="B1139">
        <v>42586</v>
      </c>
      <c r="C1139">
        <v>65</v>
      </c>
      <c r="D1139">
        <v>1</v>
      </c>
      <c r="E1139" s="28">
        <v>7.580821917808219</v>
      </c>
      <c r="F1139" s="28"/>
      <c r="G1139" s="28"/>
      <c r="H1139" s="28"/>
      <c r="I1139" s="28"/>
      <c r="J1139" s="28"/>
      <c r="L1139" s="37">
        <v>252</v>
      </c>
      <c r="M1139" s="3">
        <v>7</v>
      </c>
      <c r="N1139" s="3">
        <v>194</v>
      </c>
      <c r="O1139" s="3">
        <v>2</v>
      </c>
      <c r="P1139" s="3">
        <v>56</v>
      </c>
      <c r="Q1139" s="3">
        <v>0</v>
      </c>
      <c r="R1139" s="3">
        <v>0</v>
      </c>
      <c r="S1139" s="3">
        <v>0</v>
      </c>
      <c r="T1139" s="3">
        <v>5</v>
      </c>
      <c r="U1139" s="3">
        <v>4</v>
      </c>
      <c r="V1139" s="3">
        <v>1</v>
      </c>
      <c r="W1139" s="3">
        <v>6</v>
      </c>
      <c r="X1139" s="3">
        <v>8</v>
      </c>
    </row>
    <row r="1140" spans="1:24" x14ac:dyDescent="0.35">
      <c r="A1140">
        <v>251</v>
      </c>
      <c r="B1140">
        <v>46231</v>
      </c>
      <c r="C1140">
        <v>67</v>
      </c>
      <c r="D1140">
        <v>1</v>
      </c>
      <c r="E1140" s="28">
        <v>7.5041095890410956</v>
      </c>
      <c r="F1140" s="28"/>
      <c r="G1140" s="28"/>
      <c r="H1140" s="28"/>
      <c r="I1140" s="28"/>
      <c r="J1140" s="28"/>
      <c r="L1140" s="38">
        <v>251</v>
      </c>
      <c r="M1140" s="2">
        <v>87</v>
      </c>
      <c r="N1140" s="2">
        <v>189</v>
      </c>
      <c r="O1140" s="2">
        <v>2</v>
      </c>
      <c r="P1140" s="2">
        <v>55</v>
      </c>
      <c r="Q1140" s="2">
        <v>0</v>
      </c>
      <c r="R1140" s="2">
        <v>5</v>
      </c>
      <c r="S1140" s="2">
        <v>12</v>
      </c>
      <c r="T1140" s="2">
        <v>4</v>
      </c>
      <c r="U1140" s="2">
        <v>6</v>
      </c>
      <c r="V1140" s="2">
        <v>1</v>
      </c>
      <c r="W1140" s="2">
        <v>4</v>
      </c>
      <c r="X1140" s="2">
        <v>9</v>
      </c>
    </row>
    <row r="1141" spans="1:24" x14ac:dyDescent="0.35">
      <c r="A1141">
        <v>233</v>
      </c>
      <c r="B1141">
        <v>30507</v>
      </c>
      <c r="C1141">
        <v>60</v>
      </c>
      <c r="D1141">
        <v>0</v>
      </c>
      <c r="E1141" s="28">
        <v>7.2164383561643834</v>
      </c>
      <c r="F1141" s="28"/>
      <c r="G1141" s="28"/>
      <c r="H1141" s="28"/>
      <c r="I1141" s="28"/>
      <c r="J1141" s="28"/>
      <c r="L1141" s="37">
        <v>233</v>
      </c>
      <c r="M1141" s="3">
        <v>29</v>
      </c>
      <c r="N1141" s="3">
        <v>65</v>
      </c>
      <c r="O1141" s="3">
        <v>36</v>
      </c>
      <c r="P1141" s="3">
        <v>74</v>
      </c>
      <c r="Q1141" s="3">
        <v>38</v>
      </c>
      <c r="R1141" s="3">
        <v>20</v>
      </c>
      <c r="S1141" s="3">
        <v>110</v>
      </c>
      <c r="T1141" s="3">
        <v>1</v>
      </c>
      <c r="U1141" s="3">
        <v>5</v>
      </c>
      <c r="V1141" s="3">
        <v>1</v>
      </c>
      <c r="W1141" s="3">
        <v>4</v>
      </c>
      <c r="X1141" s="3">
        <v>7</v>
      </c>
    </row>
    <row r="1142" spans="1:24" x14ac:dyDescent="0.35">
      <c r="A1142">
        <v>233</v>
      </c>
      <c r="B1142">
        <v>46097</v>
      </c>
      <c r="C1142">
        <v>64</v>
      </c>
      <c r="D1142">
        <v>1</v>
      </c>
      <c r="E1142" s="28">
        <v>7.161643835616438</v>
      </c>
      <c r="F1142" s="28"/>
      <c r="G1142" s="28"/>
      <c r="H1142" s="28"/>
      <c r="I1142" s="28"/>
      <c r="J1142" s="28"/>
      <c r="L1142" s="38">
        <v>233</v>
      </c>
      <c r="M1142" s="2">
        <v>11</v>
      </c>
      <c r="N1142" s="2">
        <v>72</v>
      </c>
      <c r="O1142" s="2">
        <v>24</v>
      </c>
      <c r="P1142" s="2">
        <v>68</v>
      </c>
      <c r="Q1142" s="2">
        <v>65</v>
      </c>
      <c r="R1142" s="2">
        <v>4</v>
      </c>
      <c r="S1142" s="2">
        <v>8</v>
      </c>
      <c r="T1142" s="2">
        <v>5</v>
      </c>
      <c r="U1142" s="2">
        <v>3</v>
      </c>
      <c r="V1142" s="2">
        <v>1</v>
      </c>
      <c r="W1142" s="2">
        <v>6</v>
      </c>
      <c r="X1142" s="2">
        <v>4</v>
      </c>
    </row>
    <row r="1143" spans="1:24" x14ac:dyDescent="0.35">
      <c r="A1143">
        <v>229</v>
      </c>
      <c r="B1143">
        <v>27573</v>
      </c>
      <c r="C1143">
        <v>45</v>
      </c>
      <c r="D1143">
        <v>1</v>
      </c>
      <c r="E1143" s="28">
        <v>7.1780821917808222</v>
      </c>
      <c r="F1143" s="28"/>
      <c r="G1143" s="28"/>
      <c r="H1143" s="28"/>
      <c r="I1143" s="28"/>
      <c r="J1143" s="28"/>
      <c r="L1143" s="37">
        <v>229</v>
      </c>
      <c r="M1143" s="3">
        <v>45</v>
      </c>
      <c r="N1143" s="3">
        <v>50</v>
      </c>
      <c r="O1143" s="3">
        <v>15</v>
      </c>
      <c r="P1143" s="3">
        <v>110</v>
      </c>
      <c r="Q1143" s="3">
        <v>39</v>
      </c>
      <c r="R1143" s="3">
        <v>15</v>
      </c>
      <c r="S1143" s="3">
        <v>15</v>
      </c>
      <c r="T1143" s="3">
        <v>4</v>
      </c>
      <c r="U1143" s="3">
        <v>5</v>
      </c>
      <c r="V1143" s="3">
        <v>1</v>
      </c>
      <c r="W1143" s="3">
        <v>4</v>
      </c>
      <c r="X1143" s="3">
        <v>8</v>
      </c>
    </row>
    <row r="1144" spans="1:24" x14ac:dyDescent="0.35">
      <c r="A1144">
        <v>229</v>
      </c>
      <c r="B1144">
        <v>50272</v>
      </c>
      <c r="C1144">
        <v>38</v>
      </c>
      <c r="D1144">
        <v>1</v>
      </c>
      <c r="E1144" s="28">
        <v>6.8082191780821919</v>
      </c>
      <c r="F1144" s="28"/>
      <c r="G1144" s="28"/>
      <c r="H1144" s="28"/>
      <c r="I1144" s="28"/>
      <c r="J1144" s="28"/>
      <c r="L1144" s="38">
        <v>229</v>
      </c>
      <c r="M1144" s="2">
        <v>75</v>
      </c>
      <c r="N1144" s="2">
        <v>99</v>
      </c>
      <c r="O1144" s="2">
        <v>13</v>
      </c>
      <c r="P1144" s="2">
        <v>66</v>
      </c>
      <c r="Q1144" s="2">
        <v>43</v>
      </c>
      <c r="R1144" s="2">
        <v>8</v>
      </c>
      <c r="S1144" s="2">
        <v>4</v>
      </c>
      <c r="T1144" s="2">
        <v>3</v>
      </c>
      <c r="U1144" s="2">
        <v>4</v>
      </c>
      <c r="V1144" s="2">
        <v>1</v>
      </c>
      <c r="W1144" s="2">
        <v>5</v>
      </c>
      <c r="X1144" s="2">
        <v>7</v>
      </c>
    </row>
    <row r="1145" spans="1:24" x14ac:dyDescent="0.35">
      <c r="A1145">
        <v>229</v>
      </c>
      <c r="B1145">
        <v>38620</v>
      </c>
      <c r="C1145">
        <v>57</v>
      </c>
      <c r="D1145">
        <v>0</v>
      </c>
      <c r="E1145" s="28">
        <v>7.0493150684931507</v>
      </c>
      <c r="F1145" s="28"/>
      <c r="G1145" s="28"/>
      <c r="H1145" s="28"/>
      <c r="I1145" s="28"/>
      <c r="J1145" s="28"/>
      <c r="L1145" s="37">
        <v>229</v>
      </c>
      <c r="M1145" s="3">
        <v>56</v>
      </c>
      <c r="N1145" s="3">
        <v>112</v>
      </c>
      <c r="O1145" s="3">
        <v>17</v>
      </c>
      <c r="P1145" s="3">
        <v>44</v>
      </c>
      <c r="Q1145" s="3">
        <v>34</v>
      </c>
      <c r="R1145" s="3">
        <v>22</v>
      </c>
      <c r="S1145" s="3">
        <v>89</v>
      </c>
      <c r="T1145" s="3">
        <v>1</v>
      </c>
      <c r="U1145" s="3">
        <v>2</v>
      </c>
      <c r="V1145" s="3">
        <v>5</v>
      </c>
      <c r="W1145" s="3">
        <v>3</v>
      </c>
      <c r="X1145" s="3">
        <v>3</v>
      </c>
    </row>
    <row r="1146" spans="1:24" x14ac:dyDescent="0.35">
      <c r="A1146">
        <v>228</v>
      </c>
      <c r="B1146">
        <v>26877</v>
      </c>
      <c r="C1146">
        <v>51</v>
      </c>
      <c r="D1146">
        <v>0</v>
      </c>
      <c r="E1146" s="28">
        <v>6.7753424657534245</v>
      </c>
      <c r="F1146" s="28"/>
      <c r="G1146" s="28"/>
      <c r="H1146" s="28"/>
      <c r="I1146" s="28"/>
      <c r="J1146" s="28"/>
      <c r="L1146" s="38">
        <v>228</v>
      </c>
      <c r="M1146" s="2">
        <v>74</v>
      </c>
      <c r="N1146" s="2">
        <v>101</v>
      </c>
      <c r="O1146" s="2">
        <v>13</v>
      </c>
      <c r="P1146" s="2">
        <v>76</v>
      </c>
      <c r="Q1146" s="2">
        <v>20</v>
      </c>
      <c r="R1146" s="2">
        <v>18</v>
      </c>
      <c r="S1146" s="2">
        <v>40</v>
      </c>
      <c r="T1146" s="2">
        <v>2</v>
      </c>
      <c r="U1146" s="2">
        <v>3</v>
      </c>
      <c r="V1146" s="2">
        <v>1</v>
      </c>
      <c r="W1146" s="2">
        <v>6</v>
      </c>
      <c r="X1146" s="2">
        <v>6</v>
      </c>
    </row>
    <row r="1147" spans="1:24" x14ac:dyDescent="0.35">
      <c r="A1147">
        <v>226</v>
      </c>
      <c r="B1147">
        <v>42670</v>
      </c>
      <c r="C1147">
        <v>28</v>
      </c>
      <c r="D1147">
        <v>0</v>
      </c>
      <c r="E1147" s="28">
        <v>7.087671232876712</v>
      </c>
      <c r="F1147" s="28"/>
      <c r="G1147" s="28"/>
      <c r="H1147" s="28"/>
      <c r="I1147" s="28"/>
      <c r="J1147" s="28"/>
      <c r="L1147" s="37">
        <v>226</v>
      </c>
      <c r="M1147" s="3">
        <v>12</v>
      </c>
      <c r="N1147" s="3">
        <v>154</v>
      </c>
      <c r="O1147" s="3">
        <v>2</v>
      </c>
      <c r="P1147" s="3">
        <v>46</v>
      </c>
      <c r="Q1147" s="3">
        <v>20</v>
      </c>
      <c r="R1147" s="3">
        <v>4</v>
      </c>
      <c r="S1147" s="3">
        <v>15</v>
      </c>
      <c r="T1147" s="3">
        <v>1</v>
      </c>
      <c r="U1147" s="3">
        <v>4</v>
      </c>
      <c r="V1147" s="3">
        <v>2</v>
      </c>
      <c r="W1147" s="3">
        <v>4</v>
      </c>
      <c r="X1147" s="3">
        <v>4</v>
      </c>
    </row>
    <row r="1148" spans="1:24" x14ac:dyDescent="0.35">
      <c r="A1148">
        <v>226</v>
      </c>
      <c r="B1148">
        <v>57247</v>
      </c>
      <c r="C1148">
        <v>68</v>
      </c>
      <c r="D1148">
        <v>1</v>
      </c>
      <c r="E1148" s="28">
        <v>6.8054794520547945</v>
      </c>
      <c r="F1148" s="28"/>
      <c r="G1148" s="28"/>
      <c r="H1148" s="28"/>
      <c r="I1148" s="28"/>
      <c r="J1148" s="28"/>
      <c r="L1148" s="38">
        <v>226</v>
      </c>
      <c r="M1148" s="2">
        <v>50</v>
      </c>
      <c r="N1148" s="2">
        <v>99</v>
      </c>
      <c r="O1148" s="2">
        <v>4</v>
      </c>
      <c r="P1148" s="2">
        <v>32</v>
      </c>
      <c r="Q1148" s="2">
        <v>37</v>
      </c>
      <c r="R1148" s="2">
        <v>54</v>
      </c>
      <c r="S1148" s="2">
        <v>6</v>
      </c>
      <c r="T1148" s="2">
        <v>2</v>
      </c>
      <c r="U1148" s="2">
        <v>2</v>
      </c>
      <c r="V1148" s="2">
        <v>1</v>
      </c>
      <c r="W1148" s="2">
        <v>7</v>
      </c>
      <c r="X1148" s="2">
        <v>2</v>
      </c>
    </row>
    <row r="1149" spans="1:24" x14ac:dyDescent="0.35">
      <c r="A1149">
        <v>225</v>
      </c>
      <c r="B1149">
        <v>43462</v>
      </c>
      <c r="C1149">
        <v>68</v>
      </c>
      <c r="D1149">
        <v>1</v>
      </c>
      <c r="E1149" s="28">
        <v>7.7095890410958905</v>
      </c>
      <c r="F1149" s="28"/>
      <c r="G1149" s="28"/>
      <c r="H1149" s="28"/>
      <c r="I1149" s="28"/>
      <c r="J1149" s="28"/>
      <c r="L1149" s="37">
        <v>225</v>
      </c>
      <c r="M1149" s="3">
        <v>50</v>
      </c>
      <c r="N1149" s="3">
        <v>90</v>
      </c>
      <c r="O1149" s="3">
        <v>17</v>
      </c>
      <c r="P1149" s="3">
        <v>97</v>
      </c>
      <c r="Q1149" s="3">
        <v>15</v>
      </c>
      <c r="R1149" s="3">
        <v>6</v>
      </c>
      <c r="S1149" s="3">
        <v>15</v>
      </c>
      <c r="T1149" s="3">
        <v>6</v>
      </c>
      <c r="U1149" s="3">
        <v>4</v>
      </c>
      <c r="V1149" s="3">
        <v>1</v>
      </c>
      <c r="W1149" s="3">
        <v>5</v>
      </c>
      <c r="X1149" s="3">
        <v>8</v>
      </c>
    </row>
    <row r="1150" spans="1:24" x14ac:dyDescent="0.35">
      <c r="A1150">
        <v>225</v>
      </c>
      <c r="B1150">
        <v>54165</v>
      </c>
      <c r="C1150">
        <v>51</v>
      </c>
      <c r="D1150">
        <v>0</v>
      </c>
      <c r="E1150" s="28">
        <v>7.0027397260273974</v>
      </c>
      <c r="F1150" s="28"/>
      <c r="G1150" s="28"/>
      <c r="H1150" s="28"/>
      <c r="I1150" s="28"/>
      <c r="J1150" s="28"/>
      <c r="L1150" s="38">
        <v>225</v>
      </c>
      <c r="M1150" s="2">
        <v>72</v>
      </c>
      <c r="N1150" s="2">
        <v>127</v>
      </c>
      <c r="O1150" s="2">
        <v>4</v>
      </c>
      <c r="P1150" s="2">
        <v>73</v>
      </c>
      <c r="Q1150" s="2">
        <v>15</v>
      </c>
      <c r="R1150" s="2">
        <v>6</v>
      </c>
      <c r="S1150" s="2">
        <v>11</v>
      </c>
      <c r="T1150" s="2">
        <v>1</v>
      </c>
      <c r="U1150" s="2">
        <v>2</v>
      </c>
      <c r="V1150" s="2">
        <v>1</v>
      </c>
      <c r="W1150" s="2">
        <v>7</v>
      </c>
      <c r="X1150" s="2">
        <v>2</v>
      </c>
    </row>
    <row r="1151" spans="1:24" x14ac:dyDescent="0.35">
      <c r="A1151">
        <v>225</v>
      </c>
      <c r="B1151">
        <v>52157</v>
      </c>
      <c r="C1151">
        <v>70</v>
      </c>
      <c r="D1151">
        <v>1</v>
      </c>
      <c r="E1151" s="28">
        <v>5.9753424657534246</v>
      </c>
      <c r="F1151" s="28"/>
      <c r="G1151" s="28"/>
      <c r="H1151" s="28"/>
      <c r="I1151" s="28"/>
      <c r="J1151" s="28"/>
      <c r="L1151" s="37">
        <v>225</v>
      </c>
      <c r="M1151" s="3">
        <v>48</v>
      </c>
      <c r="N1151" s="3">
        <v>189</v>
      </c>
      <c r="O1151" s="3">
        <v>2</v>
      </c>
      <c r="P1151" s="3">
        <v>29</v>
      </c>
      <c r="Q1151" s="3">
        <v>3</v>
      </c>
      <c r="R1151" s="3">
        <v>2</v>
      </c>
      <c r="S1151" s="3">
        <v>40</v>
      </c>
      <c r="T1151" s="3">
        <v>2</v>
      </c>
      <c r="U1151" s="3">
        <v>3</v>
      </c>
      <c r="V1151" s="3">
        <v>2</v>
      </c>
      <c r="W1151" s="3">
        <v>5</v>
      </c>
      <c r="X1151" s="3">
        <v>4</v>
      </c>
    </row>
    <row r="1152" spans="1:24" x14ac:dyDescent="0.35">
      <c r="A1152">
        <v>224</v>
      </c>
      <c r="B1152">
        <v>51766</v>
      </c>
      <c r="C1152">
        <v>40</v>
      </c>
      <c r="D1152">
        <v>1</v>
      </c>
      <c r="E1152" s="28">
        <v>6.2164383561643834</v>
      </c>
      <c r="F1152" s="28"/>
      <c r="G1152" s="28"/>
      <c r="H1152" s="28"/>
      <c r="I1152" s="28"/>
      <c r="J1152" s="28"/>
      <c r="L1152" s="38">
        <v>224</v>
      </c>
      <c r="M1152" s="2">
        <v>74</v>
      </c>
      <c r="N1152" s="2">
        <v>60</v>
      </c>
      <c r="O1152" s="2">
        <v>51</v>
      </c>
      <c r="P1152" s="2">
        <v>87</v>
      </c>
      <c r="Q1152" s="2">
        <v>6</v>
      </c>
      <c r="R1152" s="2">
        <v>20</v>
      </c>
      <c r="S1152" s="2">
        <v>51</v>
      </c>
      <c r="T1152" s="2">
        <v>2</v>
      </c>
      <c r="U1152" s="2">
        <v>4</v>
      </c>
      <c r="V1152" s="2">
        <v>2</v>
      </c>
      <c r="W1152" s="2">
        <v>4</v>
      </c>
      <c r="X1152" s="2">
        <v>5</v>
      </c>
    </row>
    <row r="1153" spans="1:24" x14ac:dyDescent="0.35">
      <c r="A1153">
        <v>224</v>
      </c>
      <c r="B1153">
        <v>43140</v>
      </c>
      <c r="C1153">
        <v>63</v>
      </c>
      <c r="D1153">
        <v>1</v>
      </c>
      <c r="E1153" s="28">
        <v>7.3945205479452056</v>
      </c>
      <c r="F1153" s="28"/>
      <c r="G1153" s="28"/>
      <c r="H1153" s="28"/>
      <c r="I1153" s="28"/>
      <c r="J1153" s="28"/>
      <c r="L1153" s="37">
        <v>224</v>
      </c>
      <c r="M1153" s="3">
        <v>68</v>
      </c>
      <c r="N1153" s="3">
        <v>134</v>
      </c>
      <c r="O1153" s="3">
        <v>8</v>
      </c>
      <c r="P1153" s="3">
        <v>76</v>
      </c>
      <c r="Q1153" s="3">
        <v>6</v>
      </c>
      <c r="R1153" s="3">
        <v>0</v>
      </c>
      <c r="S1153" s="3">
        <v>11</v>
      </c>
      <c r="T1153" s="3">
        <v>1</v>
      </c>
      <c r="U1153" s="3">
        <v>4</v>
      </c>
      <c r="V1153" s="3">
        <v>1</v>
      </c>
      <c r="W1153" s="3">
        <v>5</v>
      </c>
      <c r="X1153" s="3">
        <v>6</v>
      </c>
    </row>
    <row r="1154" spans="1:24" x14ac:dyDescent="0.35">
      <c r="A1154">
        <v>224</v>
      </c>
      <c r="B1154">
        <v>46463</v>
      </c>
      <c r="C1154">
        <v>49</v>
      </c>
      <c r="D1154">
        <v>1</v>
      </c>
      <c r="E1154" s="28">
        <v>6.7780821917808218</v>
      </c>
      <c r="F1154" s="28"/>
      <c r="G1154" s="28"/>
      <c r="H1154" s="28"/>
      <c r="I1154" s="28"/>
      <c r="J1154" s="28"/>
      <c r="L1154" s="38">
        <v>224</v>
      </c>
      <c r="M1154" s="2">
        <v>56</v>
      </c>
      <c r="N1154" s="2">
        <v>163</v>
      </c>
      <c r="O1154" s="2">
        <v>2</v>
      </c>
      <c r="P1154" s="2">
        <v>40</v>
      </c>
      <c r="Q1154" s="2">
        <v>8</v>
      </c>
      <c r="R1154" s="2">
        <v>11</v>
      </c>
      <c r="S1154" s="2">
        <v>11</v>
      </c>
      <c r="T1154" s="2">
        <v>7</v>
      </c>
      <c r="U1154" s="2">
        <v>3</v>
      </c>
      <c r="V1154" s="2">
        <v>1</v>
      </c>
      <c r="W1154" s="2">
        <v>6</v>
      </c>
      <c r="X1154" s="2">
        <v>6</v>
      </c>
    </row>
    <row r="1155" spans="1:24" x14ac:dyDescent="0.35">
      <c r="A1155">
        <v>224</v>
      </c>
      <c r="B1155">
        <v>54197</v>
      </c>
      <c r="C1155">
        <v>60</v>
      </c>
      <c r="D1155">
        <v>1</v>
      </c>
      <c r="E1155" s="28">
        <v>6.1534246575342468</v>
      </c>
      <c r="F1155" s="28"/>
      <c r="G1155" s="28"/>
      <c r="H1155" s="28"/>
      <c r="I1155" s="28"/>
      <c r="J1155" s="28"/>
      <c r="L1155" s="37">
        <v>224</v>
      </c>
      <c r="M1155" s="3">
        <v>16</v>
      </c>
      <c r="N1155" s="3">
        <v>162</v>
      </c>
      <c r="O1155" s="3">
        <v>6</v>
      </c>
      <c r="P1155" s="3">
        <v>37</v>
      </c>
      <c r="Q1155" s="3">
        <v>6</v>
      </c>
      <c r="R1155" s="3">
        <v>13</v>
      </c>
      <c r="S1155" s="3">
        <v>13</v>
      </c>
      <c r="T1155" s="3">
        <v>2</v>
      </c>
      <c r="U1155" s="3">
        <v>1</v>
      </c>
      <c r="V1155" s="3">
        <v>3</v>
      </c>
      <c r="W1155" s="3">
        <v>6</v>
      </c>
      <c r="X1155" s="3">
        <v>1</v>
      </c>
    </row>
    <row r="1156" spans="1:24" x14ac:dyDescent="0.35">
      <c r="A1156">
        <v>224</v>
      </c>
      <c r="B1156">
        <v>32233</v>
      </c>
      <c r="C1156">
        <v>46</v>
      </c>
      <c r="D1156">
        <v>1</v>
      </c>
      <c r="E1156" s="28">
        <v>7.7753424657534245</v>
      </c>
      <c r="F1156" s="28"/>
      <c r="G1156" s="28"/>
      <c r="H1156" s="28"/>
      <c r="I1156" s="28"/>
      <c r="J1156" s="28"/>
      <c r="L1156" s="38">
        <v>224</v>
      </c>
      <c r="M1156" s="2">
        <v>26</v>
      </c>
      <c r="N1156" s="2">
        <v>138</v>
      </c>
      <c r="O1156" s="2">
        <v>15</v>
      </c>
      <c r="P1156" s="2">
        <v>35</v>
      </c>
      <c r="Q1156" s="2">
        <v>25</v>
      </c>
      <c r="R1156" s="2">
        <v>11</v>
      </c>
      <c r="S1156" s="2">
        <v>72</v>
      </c>
      <c r="T1156" s="2">
        <v>2</v>
      </c>
      <c r="U1156" s="2">
        <v>6</v>
      </c>
      <c r="V1156" s="2">
        <v>2</v>
      </c>
      <c r="W1156" s="2">
        <v>2</v>
      </c>
      <c r="X1156" s="2">
        <v>9</v>
      </c>
    </row>
    <row r="1157" spans="1:24" x14ac:dyDescent="0.35">
      <c r="A1157">
        <v>224</v>
      </c>
      <c r="B1157">
        <v>54549</v>
      </c>
      <c r="C1157">
        <v>68</v>
      </c>
      <c r="D1157">
        <v>1</v>
      </c>
      <c r="E1157" s="28">
        <v>6.2383561643835614</v>
      </c>
      <c r="F1157" s="28"/>
      <c r="G1157" s="28"/>
      <c r="H1157" s="28"/>
      <c r="I1157" s="28"/>
      <c r="J1157" s="28"/>
      <c r="L1157" s="37">
        <v>224</v>
      </c>
      <c r="M1157" s="3">
        <v>8</v>
      </c>
      <c r="N1157" s="3">
        <v>216</v>
      </c>
      <c r="O1157" s="3">
        <v>2</v>
      </c>
      <c r="P1157" s="3">
        <v>6</v>
      </c>
      <c r="Q1157" s="3">
        <v>0</v>
      </c>
      <c r="R1157" s="3">
        <v>0</v>
      </c>
      <c r="S1157" s="3">
        <v>9</v>
      </c>
      <c r="T1157" s="3">
        <v>2</v>
      </c>
      <c r="U1157" s="3">
        <v>5</v>
      </c>
      <c r="V1157" s="3">
        <v>1</v>
      </c>
      <c r="W1157" s="3">
        <v>4</v>
      </c>
      <c r="X1157" s="3">
        <v>7</v>
      </c>
    </row>
    <row r="1158" spans="1:24" x14ac:dyDescent="0.35">
      <c r="A1158">
        <v>223</v>
      </c>
      <c r="B1158">
        <v>54603</v>
      </c>
      <c r="C1158">
        <v>64</v>
      </c>
      <c r="D1158">
        <v>1</v>
      </c>
      <c r="E1158" s="28">
        <v>6.8876712328767127</v>
      </c>
      <c r="F1158" s="28"/>
      <c r="G1158" s="28"/>
      <c r="H1158" s="28"/>
      <c r="I1158" s="28"/>
      <c r="J1158" s="28"/>
      <c r="L1158" s="38">
        <v>223</v>
      </c>
      <c r="M1158" s="2">
        <v>85</v>
      </c>
      <c r="N1158" s="2">
        <v>145</v>
      </c>
      <c r="O1158" s="2">
        <v>13</v>
      </c>
      <c r="P1158" s="2">
        <v>46</v>
      </c>
      <c r="Q1158" s="2">
        <v>17</v>
      </c>
      <c r="R1158" s="2">
        <v>2</v>
      </c>
      <c r="S1158" s="2">
        <v>4</v>
      </c>
      <c r="T1158" s="2">
        <v>6</v>
      </c>
      <c r="U1158" s="2">
        <v>4</v>
      </c>
      <c r="V1158" s="2">
        <v>2</v>
      </c>
      <c r="W1158" s="2">
        <v>4</v>
      </c>
      <c r="X1158" s="2">
        <v>7</v>
      </c>
    </row>
    <row r="1159" spans="1:24" x14ac:dyDescent="0.35">
      <c r="A1159">
        <v>222</v>
      </c>
      <c r="B1159">
        <v>65316</v>
      </c>
      <c r="C1159">
        <v>58</v>
      </c>
      <c r="D1159">
        <v>1</v>
      </c>
      <c r="E1159" s="28">
        <v>7.095890410958904</v>
      </c>
      <c r="F1159" s="28"/>
      <c r="G1159" s="28"/>
      <c r="H1159" s="28"/>
      <c r="I1159" s="28"/>
      <c r="J1159" s="28"/>
      <c r="L1159" s="37">
        <v>222</v>
      </c>
      <c r="M1159" s="3">
        <v>65</v>
      </c>
      <c r="N1159" s="3">
        <v>112</v>
      </c>
      <c r="O1159" s="3">
        <v>6</v>
      </c>
      <c r="P1159" s="3">
        <v>92</v>
      </c>
      <c r="Q1159" s="3">
        <v>3</v>
      </c>
      <c r="R1159" s="3">
        <v>9</v>
      </c>
      <c r="S1159" s="3">
        <v>38</v>
      </c>
      <c r="T1159" s="3">
        <v>2</v>
      </c>
      <c r="U1159" s="3">
        <v>3</v>
      </c>
      <c r="V1159" s="3">
        <v>2</v>
      </c>
      <c r="W1159" s="3">
        <v>5</v>
      </c>
      <c r="X1159" s="3">
        <v>4</v>
      </c>
    </row>
    <row r="1160" spans="1:24" x14ac:dyDescent="0.35">
      <c r="A1160">
        <v>222</v>
      </c>
      <c r="B1160">
        <v>46904</v>
      </c>
      <c r="C1160">
        <v>53</v>
      </c>
      <c r="D1160">
        <v>1</v>
      </c>
      <c r="E1160" s="28">
        <v>7.5671232876712331</v>
      </c>
      <c r="F1160" s="28"/>
      <c r="G1160" s="28"/>
      <c r="H1160" s="28"/>
      <c r="I1160" s="28"/>
      <c r="J1160" s="28"/>
      <c r="L1160" s="38">
        <v>222</v>
      </c>
      <c r="M1160" s="2">
        <v>20</v>
      </c>
      <c r="N1160" s="2">
        <v>153</v>
      </c>
      <c r="O1160" s="2">
        <v>4</v>
      </c>
      <c r="P1160" s="2">
        <v>56</v>
      </c>
      <c r="Q1160" s="2">
        <v>0</v>
      </c>
      <c r="R1160" s="2">
        <v>9</v>
      </c>
      <c r="S1160" s="2">
        <v>31</v>
      </c>
      <c r="T1160" s="2">
        <v>4</v>
      </c>
      <c r="U1160" s="2">
        <v>5</v>
      </c>
      <c r="V1160" s="2">
        <v>1</v>
      </c>
      <c r="W1160" s="2">
        <v>4</v>
      </c>
      <c r="X1160" s="2">
        <v>8</v>
      </c>
    </row>
    <row r="1161" spans="1:24" x14ac:dyDescent="0.35">
      <c r="A1161">
        <v>221</v>
      </c>
      <c r="B1161">
        <v>39747</v>
      </c>
      <c r="C1161">
        <v>32</v>
      </c>
      <c r="D1161">
        <v>1</v>
      </c>
      <c r="E1161" s="28">
        <v>6.1260273972602741</v>
      </c>
      <c r="F1161" s="28"/>
      <c r="G1161" s="28"/>
      <c r="H1161" s="28"/>
      <c r="I1161" s="28"/>
      <c r="J1161" s="28"/>
      <c r="L1161" s="37">
        <v>221</v>
      </c>
      <c r="M1161" s="3">
        <v>43</v>
      </c>
      <c r="N1161" s="3">
        <v>80</v>
      </c>
      <c r="O1161" s="3">
        <v>15</v>
      </c>
      <c r="P1161" s="3">
        <v>93</v>
      </c>
      <c r="Q1161" s="3">
        <v>20</v>
      </c>
      <c r="R1161" s="3">
        <v>13</v>
      </c>
      <c r="S1161" s="3">
        <v>52</v>
      </c>
      <c r="T1161" s="3">
        <v>3</v>
      </c>
      <c r="U1161" s="3">
        <v>5</v>
      </c>
      <c r="V1161" s="3">
        <v>1</v>
      </c>
      <c r="W1161" s="3">
        <v>4</v>
      </c>
      <c r="X1161" s="3">
        <v>8</v>
      </c>
    </row>
    <row r="1162" spans="1:24" x14ac:dyDescent="0.35">
      <c r="A1162">
        <v>221</v>
      </c>
      <c r="B1162">
        <v>69139</v>
      </c>
      <c r="C1162">
        <v>55</v>
      </c>
      <c r="D1162">
        <v>1</v>
      </c>
      <c r="E1162" s="28">
        <v>6.3342465753424655</v>
      </c>
      <c r="F1162" s="28"/>
      <c r="G1162" s="28"/>
      <c r="H1162" s="28"/>
      <c r="I1162" s="28"/>
      <c r="J1162" s="28"/>
      <c r="L1162" s="38">
        <v>221</v>
      </c>
      <c r="M1162" s="2">
        <v>23</v>
      </c>
      <c r="N1162" s="2">
        <v>86</v>
      </c>
      <c r="O1162" s="2">
        <v>12</v>
      </c>
      <c r="P1162" s="2">
        <v>75</v>
      </c>
      <c r="Q1162" s="2">
        <v>33</v>
      </c>
      <c r="R1162" s="2">
        <v>15</v>
      </c>
      <c r="S1162" s="2">
        <v>6</v>
      </c>
      <c r="T1162" s="2">
        <v>1</v>
      </c>
      <c r="U1162" s="2">
        <v>4</v>
      </c>
      <c r="V1162" s="2">
        <v>1</v>
      </c>
      <c r="W1162" s="2">
        <v>5</v>
      </c>
      <c r="X1162" s="2">
        <v>4</v>
      </c>
    </row>
    <row r="1163" spans="1:24" x14ac:dyDescent="0.35">
      <c r="A1163">
        <v>221</v>
      </c>
      <c r="B1163">
        <v>67267</v>
      </c>
      <c r="C1163">
        <v>62</v>
      </c>
      <c r="D1163">
        <v>1</v>
      </c>
      <c r="E1163" s="28">
        <v>6.043835616438356</v>
      </c>
      <c r="F1163" s="28"/>
      <c r="G1163" s="28"/>
      <c r="H1163" s="28"/>
      <c r="I1163" s="28"/>
      <c r="J1163" s="28"/>
      <c r="L1163" s="37">
        <v>221</v>
      </c>
      <c r="M1163" s="3">
        <v>0</v>
      </c>
      <c r="N1163" s="3">
        <v>134</v>
      </c>
      <c r="O1163" s="3">
        <v>11</v>
      </c>
      <c r="P1163" s="3">
        <v>59</v>
      </c>
      <c r="Q1163" s="3">
        <v>15</v>
      </c>
      <c r="R1163" s="3">
        <v>2</v>
      </c>
      <c r="S1163" s="3">
        <v>30</v>
      </c>
      <c r="T1163" s="3">
        <v>1</v>
      </c>
      <c r="U1163" s="3">
        <v>3</v>
      </c>
      <c r="V1163" s="3">
        <v>2</v>
      </c>
      <c r="W1163" s="3">
        <v>5</v>
      </c>
      <c r="X1163" s="3">
        <v>2</v>
      </c>
    </row>
    <row r="1164" spans="1:24" x14ac:dyDescent="0.35">
      <c r="A1164">
        <v>221</v>
      </c>
      <c r="B1164">
        <v>40590</v>
      </c>
      <c r="C1164">
        <v>51</v>
      </c>
      <c r="D1164">
        <v>1</v>
      </c>
      <c r="E1164" s="28">
        <v>6.6547945205479451</v>
      </c>
      <c r="F1164" s="28"/>
      <c r="G1164" s="28"/>
      <c r="H1164" s="28"/>
      <c r="I1164" s="28"/>
      <c r="J1164" s="28"/>
      <c r="L1164" s="38">
        <v>221</v>
      </c>
      <c r="M1164" s="2">
        <v>30</v>
      </c>
      <c r="N1164" s="2">
        <v>154</v>
      </c>
      <c r="O1164" s="2">
        <v>0</v>
      </c>
      <c r="P1164" s="2">
        <v>50</v>
      </c>
      <c r="Q1164" s="2">
        <v>6</v>
      </c>
      <c r="R1164" s="2">
        <v>11</v>
      </c>
      <c r="S1164" s="2">
        <v>37</v>
      </c>
      <c r="T1164" s="2">
        <v>5</v>
      </c>
      <c r="U1164" s="2">
        <v>3</v>
      </c>
      <c r="V1164" s="2">
        <v>4</v>
      </c>
      <c r="W1164" s="2">
        <v>3</v>
      </c>
      <c r="X1164" s="2">
        <v>6</v>
      </c>
    </row>
    <row r="1165" spans="1:24" x14ac:dyDescent="0.35">
      <c r="A1165">
        <v>221</v>
      </c>
      <c r="B1165">
        <v>47175</v>
      </c>
      <c r="C1165">
        <v>58</v>
      </c>
      <c r="D1165">
        <v>1</v>
      </c>
      <c r="E1165" s="28">
        <v>7.5835616438356164</v>
      </c>
      <c r="F1165" s="28"/>
      <c r="G1165" s="28"/>
      <c r="H1165" s="28"/>
      <c r="I1165" s="28"/>
      <c r="J1165" s="28"/>
      <c r="L1165" s="37">
        <v>221</v>
      </c>
      <c r="M1165" s="3">
        <v>81</v>
      </c>
      <c r="N1165" s="3">
        <v>167</v>
      </c>
      <c r="O1165" s="3">
        <v>2</v>
      </c>
      <c r="P1165" s="3">
        <v>44</v>
      </c>
      <c r="Q1165" s="3">
        <v>6</v>
      </c>
      <c r="R1165" s="3">
        <v>2</v>
      </c>
      <c r="S1165" s="3">
        <v>19</v>
      </c>
      <c r="T1165" s="3">
        <v>7</v>
      </c>
      <c r="U1165" s="3">
        <v>4</v>
      </c>
      <c r="V1165" s="3">
        <v>2</v>
      </c>
      <c r="W1165" s="3">
        <v>4</v>
      </c>
      <c r="X1165" s="3">
        <v>8</v>
      </c>
    </row>
    <row r="1166" spans="1:24" x14ac:dyDescent="0.35">
      <c r="A1166">
        <v>221</v>
      </c>
      <c r="B1166">
        <v>49160</v>
      </c>
      <c r="C1166">
        <v>71</v>
      </c>
      <c r="D1166">
        <v>1</v>
      </c>
      <c r="E1166" s="28">
        <v>6.6054794520547944</v>
      </c>
      <c r="F1166" s="28"/>
      <c r="G1166" s="28"/>
      <c r="H1166" s="28"/>
      <c r="I1166" s="28"/>
      <c r="J1166" s="28"/>
      <c r="L1166" s="38">
        <v>221</v>
      </c>
      <c r="M1166" s="2">
        <v>29</v>
      </c>
      <c r="N1166" s="2">
        <v>122</v>
      </c>
      <c r="O1166" s="2">
        <v>21</v>
      </c>
      <c r="P1166" s="2">
        <v>43</v>
      </c>
      <c r="Q1166" s="2">
        <v>25</v>
      </c>
      <c r="R1166" s="2">
        <v>10</v>
      </c>
      <c r="S1166" s="2">
        <v>15</v>
      </c>
      <c r="T1166" s="2">
        <v>2</v>
      </c>
      <c r="U1166" s="2">
        <v>3</v>
      </c>
      <c r="V1166" s="2">
        <v>1</v>
      </c>
      <c r="W1166" s="2">
        <v>6</v>
      </c>
      <c r="X1166" s="2">
        <v>6</v>
      </c>
    </row>
    <row r="1167" spans="1:24" x14ac:dyDescent="0.35">
      <c r="A1167">
        <v>221</v>
      </c>
      <c r="B1167">
        <v>56721</v>
      </c>
      <c r="C1167">
        <v>48</v>
      </c>
      <c r="D1167">
        <v>1</v>
      </c>
      <c r="E1167" s="28">
        <v>7.5753424657534243</v>
      </c>
      <c r="F1167" s="28"/>
      <c r="G1167" s="28"/>
      <c r="H1167" s="28"/>
      <c r="I1167" s="28"/>
      <c r="J1167" s="28"/>
      <c r="L1167" s="37">
        <v>221</v>
      </c>
      <c r="M1167" s="3">
        <v>64</v>
      </c>
      <c r="N1167" s="3">
        <v>157</v>
      </c>
      <c r="O1167" s="3">
        <v>6</v>
      </c>
      <c r="P1167" s="3">
        <v>39</v>
      </c>
      <c r="Q1167" s="3">
        <v>6</v>
      </c>
      <c r="R1167" s="3">
        <v>13</v>
      </c>
      <c r="S1167" s="3">
        <v>75</v>
      </c>
      <c r="T1167" s="3">
        <v>5</v>
      </c>
      <c r="U1167" s="3">
        <v>4</v>
      </c>
      <c r="V1167" s="3">
        <v>1</v>
      </c>
      <c r="W1167" s="3">
        <v>5</v>
      </c>
      <c r="X1167" s="3">
        <v>6</v>
      </c>
    </row>
    <row r="1168" spans="1:24" x14ac:dyDescent="0.35">
      <c r="A1168">
        <v>221</v>
      </c>
      <c r="B1168">
        <v>57113</v>
      </c>
      <c r="C1168">
        <v>42</v>
      </c>
      <c r="D1168">
        <v>1</v>
      </c>
      <c r="E1168" s="28">
        <v>7.3068493150684928</v>
      </c>
      <c r="F1168" s="28"/>
      <c r="G1168" s="28"/>
      <c r="H1168" s="28"/>
      <c r="I1168" s="28"/>
      <c r="J1168" s="28"/>
      <c r="L1168" s="38">
        <v>221</v>
      </c>
      <c r="M1168" s="2">
        <v>45</v>
      </c>
      <c r="N1168" s="2">
        <v>182</v>
      </c>
      <c r="O1168" s="2">
        <v>4</v>
      </c>
      <c r="P1168" s="2">
        <v>33</v>
      </c>
      <c r="Q1168" s="2">
        <v>0</v>
      </c>
      <c r="R1168" s="2">
        <v>2</v>
      </c>
      <c r="S1168" s="2">
        <v>42</v>
      </c>
      <c r="T1168" s="2">
        <v>6</v>
      </c>
      <c r="U1168" s="2">
        <v>4</v>
      </c>
      <c r="V1168" s="2">
        <v>1</v>
      </c>
      <c r="W1168" s="2">
        <v>5</v>
      </c>
      <c r="X1168" s="2">
        <v>7</v>
      </c>
    </row>
    <row r="1169" spans="1:24" x14ac:dyDescent="0.35">
      <c r="A1169">
        <v>221</v>
      </c>
      <c r="B1169">
        <v>47353</v>
      </c>
      <c r="C1169">
        <v>60</v>
      </c>
      <c r="D1169">
        <v>1</v>
      </c>
      <c r="E1169" s="28">
        <v>6.5397260273972604</v>
      </c>
      <c r="F1169" s="28"/>
      <c r="G1169" s="28"/>
      <c r="H1169" s="28"/>
      <c r="I1169" s="28"/>
      <c r="J1169" s="28"/>
      <c r="L1169" s="37">
        <v>221</v>
      </c>
      <c r="M1169" s="3">
        <v>93</v>
      </c>
      <c r="N1169" s="3">
        <v>184</v>
      </c>
      <c r="O1169" s="3">
        <v>2</v>
      </c>
      <c r="P1169" s="3">
        <v>19</v>
      </c>
      <c r="Q1169" s="3">
        <v>8</v>
      </c>
      <c r="R1169" s="3">
        <v>8</v>
      </c>
      <c r="S1169" s="3">
        <v>4</v>
      </c>
      <c r="T1169" s="3">
        <v>3</v>
      </c>
      <c r="U1169" s="3">
        <v>2</v>
      </c>
      <c r="V1169" s="3">
        <v>2</v>
      </c>
      <c r="W1169" s="3">
        <v>6</v>
      </c>
      <c r="X1169" s="3">
        <v>5</v>
      </c>
    </row>
    <row r="1170" spans="1:24" x14ac:dyDescent="0.35">
      <c r="A1170">
        <v>220</v>
      </c>
      <c r="B1170">
        <v>57338</v>
      </c>
      <c r="C1170">
        <v>45</v>
      </c>
      <c r="D1170">
        <v>1</v>
      </c>
      <c r="E1170" s="28">
        <v>6.0821917808219181</v>
      </c>
      <c r="F1170" s="28"/>
      <c r="G1170" s="28"/>
      <c r="H1170" s="28"/>
      <c r="I1170" s="28"/>
      <c r="J1170" s="28"/>
      <c r="L1170" s="38">
        <v>220</v>
      </c>
      <c r="M1170" s="2">
        <v>96</v>
      </c>
      <c r="N1170" s="2">
        <v>143</v>
      </c>
      <c r="O1170" s="2">
        <v>6</v>
      </c>
      <c r="P1170" s="2">
        <v>52</v>
      </c>
      <c r="Q1170" s="2">
        <v>11</v>
      </c>
      <c r="R1170" s="2">
        <v>8</v>
      </c>
      <c r="S1170" s="2">
        <v>17</v>
      </c>
      <c r="T1170" s="2">
        <v>2</v>
      </c>
      <c r="U1170" s="2">
        <v>4</v>
      </c>
      <c r="V1170" s="2">
        <v>1</v>
      </c>
      <c r="W1170" s="2">
        <v>5</v>
      </c>
      <c r="X1170" s="2">
        <v>5</v>
      </c>
    </row>
    <row r="1171" spans="1:24" x14ac:dyDescent="0.35">
      <c r="A1171">
        <v>220</v>
      </c>
      <c r="B1171">
        <v>42731</v>
      </c>
      <c r="C1171">
        <v>51</v>
      </c>
      <c r="D1171">
        <v>1</v>
      </c>
      <c r="E1171" s="28">
        <v>6.602739726027397</v>
      </c>
      <c r="F1171" s="28"/>
      <c r="G1171" s="28"/>
      <c r="H1171" s="28"/>
      <c r="I1171" s="28"/>
      <c r="J1171" s="28"/>
      <c r="L1171" s="37">
        <v>220</v>
      </c>
      <c r="M1171" s="3">
        <v>64</v>
      </c>
      <c r="N1171" s="3">
        <v>159</v>
      </c>
      <c r="O1171" s="3">
        <v>2</v>
      </c>
      <c r="P1171" s="3">
        <v>51</v>
      </c>
      <c r="Q1171" s="3">
        <v>6</v>
      </c>
      <c r="R1171" s="3">
        <v>2</v>
      </c>
      <c r="S1171" s="3">
        <v>24</v>
      </c>
      <c r="T1171" s="3">
        <v>3</v>
      </c>
      <c r="U1171" s="3">
        <v>4</v>
      </c>
      <c r="V1171" s="3">
        <v>1</v>
      </c>
      <c r="W1171" s="3">
        <v>5</v>
      </c>
      <c r="X1171" s="3">
        <v>5</v>
      </c>
    </row>
    <row r="1172" spans="1:24" x14ac:dyDescent="0.35">
      <c r="A1172">
        <v>220</v>
      </c>
      <c r="B1172">
        <v>54252</v>
      </c>
      <c r="C1172">
        <v>64</v>
      </c>
      <c r="D1172">
        <v>1</v>
      </c>
      <c r="E1172" s="28">
        <v>7.0027397260273974</v>
      </c>
      <c r="F1172" s="28"/>
      <c r="G1172" s="28"/>
      <c r="H1172" s="28"/>
      <c r="I1172" s="28"/>
      <c r="J1172" s="28"/>
      <c r="L1172" s="38">
        <v>220</v>
      </c>
      <c r="M1172" s="2">
        <v>25</v>
      </c>
      <c r="N1172" s="2">
        <v>178</v>
      </c>
      <c r="O1172" s="2">
        <v>4</v>
      </c>
      <c r="P1172" s="2">
        <v>26</v>
      </c>
      <c r="Q1172" s="2">
        <v>8</v>
      </c>
      <c r="R1172" s="2">
        <v>4</v>
      </c>
      <c r="S1172" s="2">
        <v>44</v>
      </c>
      <c r="T1172" s="2">
        <v>5</v>
      </c>
      <c r="U1172" s="2">
        <v>4</v>
      </c>
      <c r="V1172" s="2">
        <v>1</v>
      </c>
      <c r="W1172" s="2">
        <v>5</v>
      </c>
      <c r="X1172" s="2">
        <v>6</v>
      </c>
    </row>
    <row r="1173" spans="1:24" x14ac:dyDescent="0.35">
      <c r="A1173">
        <v>219</v>
      </c>
      <c r="B1173">
        <v>42207</v>
      </c>
      <c r="C1173">
        <v>36</v>
      </c>
      <c r="D1173">
        <v>1</v>
      </c>
      <c r="E1173" s="28">
        <v>7.1589041095890407</v>
      </c>
      <c r="F1173" s="28"/>
      <c r="G1173" s="28"/>
      <c r="H1173" s="28"/>
      <c r="I1173" s="28"/>
      <c r="J1173" s="28"/>
      <c r="L1173" s="37">
        <v>219</v>
      </c>
      <c r="M1173" s="3">
        <v>71</v>
      </c>
      <c r="N1173" s="3">
        <v>116</v>
      </c>
      <c r="O1173" s="3">
        <v>11</v>
      </c>
      <c r="P1173" s="3">
        <v>72</v>
      </c>
      <c r="Q1173" s="3">
        <v>3</v>
      </c>
      <c r="R1173" s="3">
        <v>17</v>
      </c>
      <c r="S1173" s="3">
        <v>46</v>
      </c>
      <c r="T1173" s="3">
        <v>4</v>
      </c>
      <c r="U1173" s="3">
        <v>4</v>
      </c>
      <c r="V1173" s="3">
        <v>1</v>
      </c>
      <c r="W1173" s="3">
        <v>5</v>
      </c>
      <c r="X1173" s="3">
        <v>6</v>
      </c>
    </row>
    <row r="1174" spans="1:24" x14ac:dyDescent="0.35">
      <c r="A1174">
        <v>219</v>
      </c>
      <c r="B1174">
        <v>34968</v>
      </c>
      <c r="C1174">
        <v>40</v>
      </c>
      <c r="D1174">
        <v>1</v>
      </c>
      <c r="E1174" s="28">
        <v>7.1342465753424653</v>
      </c>
      <c r="F1174" s="28"/>
      <c r="G1174" s="28"/>
      <c r="H1174" s="28"/>
      <c r="I1174" s="28"/>
      <c r="J1174" s="28"/>
      <c r="L1174" s="38">
        <v>219</v>
      </c>
      <c r="M1174" s="2">
        <v>11</v>
      </c>
      <c r="N1174" s="2">
        <v>158</v>
      </c>
      <c r="O1174" s="2">
        <v>6</v>
      </c>
      <c r="P1174" s="2">
        <v>45</v>
      </c>
      <c r="Q1174" s="2">
        <v>8</v>
      </c>
      <c r="R1174" s="2">
        <v>2</v>
      </c>
      <c r="S1174" s="2">
        <v>2</v>
      </c>
      <c r="T1174" s="2">
        <v>7</v>
      </c>
      <c r="U1174" s="2">
        <v>3</v>
      </c>
      <c r="V1174" s="2">
        <v>2</v>
      </c>
      <c r="W1174" s="2">
        <v>5</v>
      </c>
      <c r="X1174" s="2">
        <v>7</v>
      </c>
    </row>
    <row r="1175" spans="1:24" x14ac:dyDescent="0.35">
      <c r="A1175">
        <v>219</v>
      </c>
      <c r="B1175">
        <v>48150</v>
      </c>
      <c r="C1175">
        <v>71</v>
      </c>
      <c r="D1175">
        <v>1</v>
      </c>
      <c r="E1175" s="28">
        <v>6.9726027397260273</v>
      </c>
      <c r="F1175" s="28"/>
      <c r="G1175" s="28"/>
      <c r="H1175" s="28"/>
      <c r="I1175" s="28"/>
      <c r="J1175" s="28"/>
      <c r="L1175" s="37">
        <v>219</v>
      </c>
      <c r="M1175" s="3">
        <v>24</v>
      </c>
      <c r="N1175" s="3">
        <v>173</v>
      </c>
      <c r="O1175" s="3">
        <v>2</v>
      </c>
      <c r="P1175" s="3">
        <v>39</v>
      </c>
      <c r="Q1175" s="3">
        <v>3</v>
      </c>
      <c r="R1175" s="3">
        <v>2</v>
      </c>
      <c r="S1175" s="3">
        <v>47</v>
      </c>
      <c r="T1175" s="3">
        <v>3</v>
      </c>
      <c r="U1175" s="3">
        <v>5</v>
      </c>
      <c r="V1175" s="3">
        <v>1</v>
      </c>
      <c r="W1175" s="3">
        <v>4</v>
      </c>
      <c r="X1175" s="3">
        <v>7</v>
      </c>
    </row>
    <row r="1176" spans="1:24" x14ac:dyDescent="0.35">
      <c r="A1176">
        <v>219</v>
      </c>
      <c r="B1176">
        <v>44551</v>
      </c>
      <c r="C1176">
        <v>66</v>
      </c>
      <c r="D1176">
        <v>1</v>
      </c>
      <c r="E1176" s="28">
        <v>6.7424657534246579</v>
      </c>
      <c r="F1176" s="28"/>
      <c r="G1176" s="28"/>
      <c r="H1176" s="28"/>
      <c r="I1176" s="28"/>
      <c r="J1176" s="28"/>
      <c r="L1176" s="38">
        <v>219</v>
      </c>
      <c r="M1176" s="2">
        <v>24</v>
      </c>
      <c r="N1176" s="2">
        <v>182</v>
      </c>
      <c r="O1176" s="2">
        <v>4</v>
      </c>
      <c r="P1176" s="2">
        <v>33</v>
      </c>
      <c r="Q1176" s="2">
        <v>0</v>
      </c>
      <c r="R1176" s="2">
        <v>0</v>
      </c>
      <c r="S1176" s="2">
        <v>66</v>
      </c>
      <c r="T1176" s="2">
        <v>2</v>
      </c>
      <c r="U1176" s="2">
        <v>4</v>
      </c>
      <c r="V1176" s="2">
        <v>1</v>
      </c>
      <c r="W1176" s="2">
        <v>5</v>
      </c>
      <c r="X1176" s="2">
        <v>7</v>
      </c>
    </row>
    <row r="1177" spans="1:24" x14ac:dyDescent="0.35">
      <c r="A1177">
        <v>218</v>
      </c>
      <c r="B1177">
        <v>62499</v>
      </c>
      <c r="C1177">
        <v>41</v>
      </c>
      <c r="D1177">
        <v>1</v>
      </c>
      <c r="E1177" s="28">
        <v>6.4684931506849317</v>
      </c>
      <c r="F1177" s="28"/>
      <c r="G1177" s="28"/>
      <c r="H1177" s="28"/>
      <c r="I1177" s="28"/>
      <c r="J1177" s="28"/>
      <c r="L1177" s="37">
        <v>218</v>
      </c>
      <c r="M1177" s="3">
        <v>0</v>
      </c>
      <c r="N1177" s="3">
        <v>140</v>
      </c>
      <c r="O1177" s="3">
        <v>4</v>
      </c>
      <c r="P1177" s="3">
        <v>61</v>
      </c>
      <c r="Q1177" s="3">
        <v>0</v>
      </c>
      <c r="R1177" s="3">
        <v>13</v>
      </c>
      <c r="S1177" s="3">
        <v>4</v>
      </c>
      <c r="T1177" s="3">
        <v>2</v>
      </c>
      <c r="U1177" s="3">
        <v>3</v>
      </c>
      <c r="V1177" s="3">
        <v>1</v>
      </c>
      <c r="W1177" s="3">
        <v>6</v>
      </c>
      <c r="X1177" s="3">
        <v>4</v>
      </c>
    </row>
    <row r="1178" spans="1:24" x14ac:dyDescent="0.35">
      <c r="A1178">
        <v>218</v>
      </c>
      <c r="B1178">
        <v>61905</v>
      </c>
      <c r="C1178">
        <v>45</v>
      </c>
      <c r="D1178">
        <v>1</v>
      </c>
      <c r="E1178" s="28">
        <v>6.3123287671232875</v>
      </c>
      <c r="F1178" s="28"/>
      <c r="G1178" s="28"/>
      <c r="H1178" s="28"/>
      <c r="I1178" s="28"/>
      <c r="J1178" s="28"/>
      <c r="L1178" s="38">
        <v>218</v>
      </c>
      <c r="M1178" s="2">
        <v>2</v>
      </c>
      <c r="N1178" s="2">
        <v>167</v>
      </c>
      <c r="O1178" s="2">
        <v>0</v>
      </c>
      <c r="P1178" s="2">
        <v>43</v>
      </c>
      <c r="Q1178" s="2">
        <v>6</v>
      </c>
      <c r="R1178" s="2">
        <v>2</v>
      </c>
      <c r="S1178" s="2">
        <v>13</v>
      </c>
      <c r="T1178" s="2">
        <v>2</v>
      </c>
      <c r="U1178" s="2">
        <v>4</v>
      </c>
      <c r="V1178" s="2">
        <v>2</v>
      </c>
      <c r="W1178" s="2">
        <v>4</v>
      </c>
      <c r="X1178" s="2">
        <v>5</v>
      </c>
    </row>
    <row r="1179" spans="1:24" x14ac:dyDescent="0.35">
      <c r="A1179">
        <v>218</v>
      </c>
      <c r="B1179">
        <v>54198</v>
      </c>
      <c r="C1179">
        <v>54</v>
      </c>
      <c r="D1179">
        <v>1</v>
      </c>
      <c r="E1179" s="28">
        <v>6.4465753424657537</v>
      </c>
      <c r="F1179" s="28"/>
      <c r="G1179" s="28"/>
      <c r="H1179" s="28"/>
      <c r="I1179" s="28"/>
      <c r="J1179" s="28"/>
      <c r="L1179" s="37">
        <v>218</v>
      </c>
      <c r="M1179" s="3">
        <v>13</v>
      </c>
      <c r="N1179" s="3">
        <v>185</v>
      </c>
      <c r="O1179" s="3">
        <v>0</v>
      </c>
      <c r="P1179" s="3">
        <v>28</v>
      </c>
      <c r="Q1179" s="3">
        <v>3</v>
      </c>
      <c r="R1179" s="3">
        <v>2</v>
      </c>
      <c r="S1179" s="3">
        <v>17</v>
      </c>
      <c r="T1179" s="3">
        <v>6</v>
      </c>
      <c r="U1179" s="3">
        <v>3</v>
      </c>
      <c r="V1179" s="3">
        <v>1</v>
      </c>
      <c r="W1179" s="3">
        <v>6</v>
      </c>
      <c r="X1179" s="3">
        <v>4</v>
      </c>
    </row>
    <row r="1180" spans="1:24" x14ac:dyDescent="0.35">
      <c r="A1180">
        <v>216</v>
      </c>
      <c r="B1180">
        <v>50183</v>
      </c>
      <c r="C1180">
        <v>40</v>
      </c>
      <c r="D1180">
        <v>1</v>
      </c>
      <c r="E1180" s="28">
        <v>5.9260273972602739</v>
      </c>
      <c r="F1180" s="28"/>
      <c r="G1180" s="28"/>
      <c r="H1180" s="28"/>
      <c r="I1180" s="28"/>
      <c r="J1180" s="28"/>
      <c r="L1180" s="38">
        <v>216</v>
      </c>
      <c r="M1180" s="2">
        <v>47</v>
      </c>
      <c r="N1180" s="2">
        <v>97</v>
      </c>
      <c r="O1180" s="2">
        <v>12</v>
      </c>
      <c r="P1180" s="2">
        <v>84</v>
      </c>
      <c r="Q1180" s="2">
        <v>13</v>
      </c>
      <c r="R1180" s="2">
        <v>10</v>
      </c>
      <c r="S1180" s="2">
        <v>15</v>
      </c>
      <c r="T1180" s="2">
        <v>7</v>
      </c>
      <c r="U1180" s="2">
        <v>3</v>
      </c>
      <c r="V1180" s="2">
        <v>1</v>
      </c>
      <c r="W1180" s="2">
        <v>6</v>
      </c>
      <c r="X1180" s="2">
        <v>5</v>
      </c>
    </row>
    <row r="1181" spans="1:24" x14ac:dyDescent="0.35">
      <c r="A1181">
        <v>216</v>
      </c>
      <c r="B1181">
        <v>38946</v>
      </c>
      <c r="C1181">
        <v>65</v>
      </c>
      <c r="D1181">
        <v>1</v>
      </c>
      <c r="E1181" s="28">
        <v>6.5945205479452058</v>
      </c>
      <c r="F1181" s="28"/>
      <c r="G1181" s="28"/>
      <c r="H1181" s="28"/>
      <c r="I1181" s="28"/>
      <c r="J1181" s="28"/>
      <c r="L1181" s="37">
        <v>216</v>
      </c>
      <c r="M1181" s="3">
        <v>84</v>
      </c>
      <c r="N1181" s="3">
        <v>116</v>
      </c>
      <c r="O1181" s="3">
        <v>6</v>
      </c>
      <c r="P1181" s="3">
        <v>82</v>
      </c>
      <c r="Q1181" s="3">
        <v>6</v>
      </c>
      <c r="R1181" s="3">
        <v>6</v>
      </c>
      <c r="S1181" s="3">
        <v>41</v>
      </c>
      <c r="T1181" s="3">
        <v>2</v>
      </c>
      <c r="U1181" s="3">
        <v>3</v>
      </c>
      <c r="V1181" s="3">
        <v>1</v>
      </c>
      <c r="W1181" s="3">
        <v>6</v>
      </c>
      <c r="X1181" s="3">
        <v>5</v>
      </c>
    </row>
    <row r="1182" spans="1:24" x14ac:dyDescent="0.35">
      <c r="A1182">
        <v>216</v>
      </c>
      <c r="B1182">
        <v>55282</v>
      </c>
      <c r="C1182">
        <v>50</v>
      </c>
      <c r="D1182">
        <v>1</v>
      </c>
      <c r="E1182" s="28">
        <v>6.4575342465753423</v>
      </c>
      <c r="F1182" s="28"/>
      <c r="G1182" s="28"/>
      <c r="H1182" s="28"/>
      <c r="I1182" s="28"/>
      <c r="J1182" s="28"/>
      <c r="L1182" s="38">
        <v>216</v>
      </c>
      <c r="M1182" s="2">
        <v>9</v>
      </c>
      <c r="N1182" s="2">
        <v>125</v>
      </c>
      <c r="O1182" s="2">
        <v>6</v>
      </c>
      <c r="P1182" s="2">
        <v>73</v>
      </c>
      <c r="Q1182" s="2">
        <v>8</v>
      </c>
      <c r="R1182" s="2">
        <v>4</v>
      </c>
      <c r="S1182" s="2">
        <v>19</v>
      </c>
      <c r="T1182" s="2">
        <v>1</v>
      </c>
      <c r="U1182" s="2">
        <v>3</v>
      </c>
      <c r="V1182" s="2">
        <v>1</v>
      </c>
      <c r="W1182" s="2">
        <v>6</v>
      </c>
      <c r="X1182" s="2">
        <v>4</v>
      </c>
    </row>
    <row r="1183" spans="1:24" x14ac:dyDescent="0.35">
      <c r="A1183">
        <v>216</v>
      </c>
      <c r="B1183">
        <v>38808</v>
      </c>
      <c r="C1183">
        <v>48</v>
      </c>
      <c r="D1183">
        <v>1</v>
      </c>
      <c r="E1183" s="28">
        <v>7.7561643835616438</v>
      </c>
      <c r="F1183" s="28"/>
      <c r="G1183" s="28"/>
      <c r="H1183" s="28"/>
      <c r="I1183" s="28"/>
      <c r="J1183" s="28"/>
      <c r="L1183" s="37">
        <v>216</v>
      </c>
      <c r="M1183" s="3">
        <v>21</v>
      </c>
      <c r="N1183" s="3">
        <v>125</v>
      </c>
      <c r="O1183" s="3">
        <v>17</v>
      </c>
      <c r="P1183" s="3">
        <v>52</v>
      </c>
      <c r="Q1183" s="3">
        <v>3</v>
      </c>
      <c r="R1183" s="3">
        <v>19</v>
      </c>
      <c r="S1183" s="3">
        <v>30</v>
      </c>
      <c r="T1183" s="3">
        <v>4</v>
      </c>
      <c r="U1183" s="3">
        <v>5</v>
      </c>
      <c r="V1183" s="3">
        <v>1</v>
      </c>
      <c r="W1183" s="3">
        <v>4</v>
      </c>
      <c r="X1183" s="3">
        <v>8</v>
      </c>
    </row>
    <row r="1184" spans="1:24" x14ac:dyDescent="0.35">
      <c r="A1184">
        <v>216</v>
      </c>
      <c r="B1184">
        <v>48178</v>
      </c>
      <c r="C1184">
        <v>45</v>
      </c>
      <c r="D1184">
        <v>1</v>
      </c>
      <c r="E1184" s="28">
        <v>7.5835616438356164</v>
      </c>
      <c r="F1184" s="28"/>
      <c r="G1184" s="28"/>
      <c r="H1184" s="28"/>
      <c r="I1184" s="28"/>
      <c r="J1184" s="28"/>
      <c r="L1184" s="38">
        <v>216</v>
      </c>
      <c r="M1184" s="2">
        <v>69</v>
      </c>
      <c r="N1184" s="2">
        <v>159</v>
      </c>
      <c r="O1184" s="2">
        <v>4</v>
      </c>
      <c r="P1184" s="2">
        <v>45</v>
      </c>
      <c r="Q1184" s="2">
        <v>6</v>
      </c>
      <c r="R1184" s="2">
        <v>2</v>
      </c>
      <c r="S1184" s="2">
        <v>38</v>
      </c>
      <c r="T1184" s="2">
        <v>6</v>
      </c>
      <c r="U1184" s="2">
        <v>5</v>
      </c>
      <c r="V1184" s="2">
        <v>1</v>
      </c>
      <c r="W1184" s="2">
        <v>4</v>
      </c>
      <c r="X1184" s="2">
        <v>8</v>
      </c>
    </row>
    <row r="1185" spans="1:24" x14ac:dyDescent="0.35">
      <c r="A1185">
        <v>216</v>
      </c>
      <c r="B1185">
        <v>53359</v>
      </c>
      <c r="C1185">
        <v>44</v>
      </c>
      <c r="D1185">
        <v>1</v>
      </c>
      <c r="E1185" s="28">
        <v>7.0054794520547947</v>
      </c>
      <c r="F1185" s="28"/>
      <c r="G1185" s="28"/>
      <c r="H1185" s="28"/>
      <c r="I1185" s="28"/>
      <c r="J1185" s="28"/>
      <c r="L1185" s="37">
        <v>216</v>
      </c>
      <c r="M1185" s="3">
        <v>4</v>
      </c>
      <c r="N1185" s="3">
        <v>173</v>
      </c>
      <c r="O1185" s="3">
        <v>4</v>
      </c>
      <c r="P1185" s="3">
        <v>30</v>
      </c>
      <c r="Q1185" s="3">
        <v>3</v>
      </c>
      <c r="R1185" s="3">
        <v>6</v>
      </c>
      <c r="S1185" s="3">
        <v>41</v>
      </c>
      <c r="T1185" s="3">
        <v>4</v>
      </c>
      <c r="U1185" s="3">
        <v>5</v>
      </c>
      <c r="V1185" s="3">
        <v>1</v>
      </c>
      <c r="W1185" s="3">
        <v>4</v>
      </c>
      <c r="X1185" s="3">
        <v>7</v>
      </c>
    </row>
    <row r="1186" spans="1:24" x14ac:dyDescent="0.35">
      <c r="A1186">
        <v>216</v>
      </c>
      <c r="B1186">
        <v>40344</v>
      </c>
      <c r="C1186">
        <v>46</v>
      </c>
      <c r="D1186">
        <v>1</v>
      </c>
      <c r="E1186" s="28">
        <v>6.624657534246575</v>
      </c>
      <c r="F1186" s="28"/>
      <c r="G1186" s="28"/>
      <c r="H1186" s="28"/>
      <c r="I1186" s="28"/>
      <c r="J1186" s="28"/>
      <c r="L1186" s="38">
        <v>216</v>
      </c>
      <c r="M1186" s="2">
        <v>48</v>
      </c>
      <c r="N1186" s="2">
        <v>210</v>
      </c>
      <c r="O1186" s="2">
        <v>0</v>
      </c>
      <c r="P1186" s="2">
        <v>6</v>
      </c>
      <c r="Q1186" s="2">
        <v>0</v>
      </c>
      <c r="R1186" s="2">
        <v>0</v>
      </c>
      <c r="S1186" s="2">
        <v>2</v>
      </c>
      <c r="T1186" s="2">
        <v>2</v>
      </c>
      <c r="U1186" s="2">
        <v>4</v>
      </c>
      <c r="V1186" s="2">
        <v>1</v>
      </c>
      <c r="W1186" s="2">
        <v>5</v>
      </c>
      <c r="X1186" s="2">
        <v>7</v>
      </c>
    </row>
    <row r="1187" spans="1:24" x14ac:dyDescent="0.35">
      <c r="A1187">
        <v>213</v>
      </c>
      <c r="B1187">
        <v>45207</v>
      </c>
      <c r="C1187">
        <v>46</v>
      </c>
      <c r="D1187">
        <v>1</v>
      </c>
      <c r="E1187" s="28">
        <v>7.5479452054794525</v>
      </c>
      <c r="F1187" s="28"/>
      <c r="G1187" s="28"/>
      <c r="H1187" s="28"/>
      <c r="I1187" s="28"/>
      <c r="J1187" s="28"/>
      <c r="L1187" s="37">
        <v>213</v>
      </c>
      <c r="M1187" s="3">
        <v>64</v>
      </c>
      <c r="N1187" s="3">
        <v>203</v>
      </c>
      <c r="O1187" s="3">
        <v>0</v>
      </c>
      <c r="P1187" s="3">
        <v>10</v>
      </c>
      <c r="Q1187" s="3">
        <v>0</v>
      </c>
      <c r="R1187" s="3">
        <v>0</v>
      </c>
      <c r="S1187" s="3">
        <v>2</v>
      </c>
      <c r="T1187" s="3">
        <v>5</v>
      </c>
      <c r="U1187" s="3">
        <v>3</v>
      </c>
      <c r="V1187" s="3">
        <v>1</v>
      </c>
      <c r="W1187" s="3">
        <v>6</v>
      </c>
      <c r="X1187" s="3">
        <v>6</v>
      </c>
    </row>
    <row r="1188" spans="1:24" x14ac:dyDescent="0.35">
      <c r="A1188">
        <v>196</v>
      </c>
      <c r="B1188">
        <v>41883</v>
      </c>
      <c r="C1188">
        <v>32</v>
      </c>
      <c r="D1188">
        <v>1</v>
      </c>
      <c r="E1188" s="28">
        <v>7.1945205479452055</v>
      </c>
      <c r="F1188" s="28"/>
      <c r="G1188" s="28"/>
      <c r="H1188" s="28"/>
      <c r="I1188" s="28"/>
      <c r="J1188" s="28"/>
      <c r="L1188" s="38">
        <v>196</v>
      </c>
      <c r="M1188" s="2">
        <v>13</v>
      </c>
      <c r="N1188" s="2">
        <v>32</v>
      </c>
      <c r="O1188" s="2">
        <v>34</v>
      </c>
      <c r="P1188" s="2">
        <v>41</v>
      </c>
      <c r="Q1188" s="2">
        <v>73</v>
      </c>
      <c r="R1188" s="2">
        <v>16</v>
      </c>
      <c r="S1188" s="2">
        <v>116</v>
      </c>
      <c r="T1188" s="2">
        <v>3</v>
      </c>
      <c r="U1188" s="2">
        <v>4</v>
      </c>
      <c r="V1188" s="2">
        <v>2</v>
      </c>
      <c r="W1188" s="2">
        <v>3</v>
      </c>
      <c r="X1188" s="2">
        <v>7</v>
      </c>
    </row>
    <row r="1189" spans="1:24" x14ac:dyDescent="0.35">
      <c r="A1189">
        <v>193</v>
      </c>
      <c r="B1189">
        <v>54414</v>
      </c>
      <c r="C1189">
        <v>57</v>
      </c>
      <c r="D1189">
        <v>1</v>
      </c>
      <c r="E1189" s="28">
        <v>7.3452054794520549</v>
      </c>
      <c r="F1189" s="28"/>
      <c r="G1189" s="28"/>
      <c r="H1189" s="28"/>
      <c r="I1189" s="28"/>
      <c r="J1189" s="28"/>
      <c r="L1189" s="37">
        <v>193</v>
      </c>
      <c r="M1189" s="3">
        <v>49</v>
      </c>
      <c r="N1189" s="3">
        <v>109</v>
      </c>
      <c r="O1189" s="3">
        <v>18</v>
      </c>
      <c r="P1189" s="3">
        <v>16</v>
      </c>
      <c r="Q1189" s="3">
        <v>24</v>
      </c>
      <c r="R1189" s="3">
        <v>26</v>
      </c>
      <c r="S1189" s="3">
        <v>18</v>
      </c>
      <c r="T1189" s="3">
        <v>4</v>
      </c>
      <c r="U1189" s="3">
        <v>3</v>
      </c>
      <c r="V1189" s="3">
        <v>1</v>
      </c>
      <c r="W1189" s="3">
        <v>5</v>
      </c>
      <c r="X1189" s="3">
        <v>4</v>
      </c>
    </row>
    <row r="1190" spans="1:24" x14ac:dyDescent="0.35">
      <c r="A1190">
        <v>191</v>
      </c>
      <c r="B1190">
        <v>28457</v>
      </c>
      <c r="C1190">
        <v>68</v>
      </c>
      <c r="D1190">
        <v>0</v>
      </c>
      <c r="E1190" s="28">
        <v>7.5835616438356164</v>
      </c>
      <c r="F1190" s="28"/>
      <c r="G1190" s="28"/>
      <c r="H1190" s="28"/>
      <c r="I1190" s="28"/>
      <c r="J1190" s="28"/>
      <c r="L1190" s="38">
        <v>191</v>
      </c>
      <c r="M1190" s="2">
        <v>96</v>
      </c>
      <c r="N1190" s="2">
        <v>24</v>
      </c>
      <c r="O1190" s="2">
        <v>1</v>
      </c>
      <c r="P1190" s="2">
        <v>108</v>
      </c>
      <c r="Q1190" s="2">
        <v>29</v>
      </c>
      <c r="R1190" s="2">
        <v>29</v>
      </c>
      <c r="S1190" s="2">
        <v>14</v>
      </c>
      <c r="T1190" s="2">
        <v>1</v>
      </c>
      <c r="U1190" s="2">
        <v>4</v>
      </c>
      <c r="V1190" s="2">
        <v>1</v>
      </c>
      <c r="W1190" s="2">
        <v>4</v>
      </c>
      <c r="X1190" s="2">
        <v>8</v>
      </c>
    </row>
    <row r="1191" spans="1:24" x14ac:dyDescent="0.35">
      <c r="A1191">
        <v>190</v>
      </c>
      <c r="B1191">
        <v>42315</v>
      </c>
      <c r="C1191">
        <v>62</v>
      </c>
      <c r="D1191">
        <v>1</v>
      </c>
      <c r="E1191" s="28">
        <v>6.8794520547945206</v>
      </c>
      <c r="F1191" s="28"/>
      <c r="G1191" s="28"/>
      <c r="H1191" s="28"/>
      <c r="I1191" s="28"/>
      <c r="J1191" s="28"/>
      <c r="L1191" s="37">
        <v>190</v>
      </c>
      <c r="M1191" s="3">
        <v>90</v>
      </c>
      <c r="N1191" s="3">
        <v>67</v>
      </c>
      <c r="O1191" s="3">
        <v>15</v>
      </c>
      <c r="P1191" s="3">
        <v>80</v>
      </c>
      <c r="Q1191" s="3">
        <v>17</v>
      </c>
      <c r="R1191" s="3">
        <v>11</v>
      </c>
      <c r="S1191" s="3">
        <v>80</v>
      </c>
      <c r="T1191" s="3">
        <v>3</v>
      </c>
      <c r="U1191" s="3">
        <v>1</v>
      </c>
      <c r="V1191" s="3">
        <v>4</v>
      </c>
      <c r="W1191" s="3">
        <v>4</v>
      </c>
      <c r="X1191" s="3">
        <v>3</v>
      </c>
    </row>
    <row r="1192" spans="1:24" x14ac:dyDescent="0.35">
      <c r="A1192">
        <v>189</v>
      </c>
      <c r="B1192">
        <v>34916</v>
      </c>
      <c r="C1192">
        <v>52</v>
      </c>
      <c r="D1192">
        <v>1</v>
      </c>
      <c r="E1192" s="28">
        <v>7.0383561643835613</v>
      </c>
      <c r="F1192" s="28"/>
      <c r="G1192" s="28"/>
      <c r="H1192" s="28"/>
      <c r="I1192" s="28"/>
      <c r="J1192" s="28"/>
      <c r="L1192" s="38">
        <v>189</v>
      </c>
      <c r="M1192" s="2">
        <v>89</v>
      </c>
      <c r="N1192" s="2">
        <v>51</v>
      </c>
      <c r="O1192" s="2">
        <v>23</v>
      </c>
      <c r="P1192" s="2">
        <v>82</v>
      </c>
      <c r="Q1192" s="2">
        <v>33</v>
      </c>
      <c r="R1192" s="2">
        <v>0</v>
      </c>
      <c r="S1192" s="2">
        <v>42</v>
      </c>
      <c r="T1192" s="2">
        <v>4</v>
      </c>
      <c r="U1192" s="2">
        <v>5</v>
      </c>
      <c r="V1192" s="2">
        <v>1</v>
      </c>
      <c r="W1192" s="2">
        <v>3</v>
      </c>
      <c r="X1192" s="2">
        <v>9</v>
      </c>
    </row>
    <row r="1193" spans="1:24" x14ac:dyDescent="0.35">
      <c r="A1193">
        <v>188</v>
      </c>
      <c r="B1193">
        <v>28769</v>
      </c>
      <c r="C1193">
        <v>43</v>
      </c>
      <c r="D1193">
        <v>1</v>
      </c>
      <c r="E1193" s="28">
        <v>7.4438356164383563</v>
      </c>
      <c r="F1193" s="28"/>
      <c r="G1193" s="28"/>
      <c r="H1193" s="28"/>
      <c r="I1193" s="28"/>
      <c r="J1193" s="28"/>
      <c r="L1193" s="37">
        <v>188</v>
      </c>
      <c r="M1193" s="3">
        <v>76</v>
      </c>
      <c r="N1193" s="3">
        <v>41</v>
      </c>
      <c r="O1193" s="3">
        <v>5</v>
      </c>
      <c r="P1193" s="3">
        <v>129</v>
      </c>
      <c r="Q1193" s="3">
        <v>10</v>
      </c>
      <c r="R1193" s="3">
        <v>3</v>
      </c>
      <c r="S1193" s="3">
        <v>3</v>
      </c>
      <c r="T1193" s="3">
        <v>3</v>
      </c>
      <c r="U1193" s="3">
        <v>4</v>
      </c>
      <c r="V1193" s="3">
        <v>1</v>
      </c>
      <c r="W1193" s="3">
        <v>4</v>
      </c>
      <c r="X1193" s="3">
        <v>9</v>
      </c>
    </row>
    <row r="1194" spans="1:24" x14ac:dyDescent="0.35">
      <c r="A1194">
        <v>188</v>
      </c>
      <c r="B1194">
        <v>34074</v>
      </c>
      <c r="C1194">
        <v>68</v>
      </c>
      <c r="D1194">
        <v>1</v>
      </c>
      <c r="E1194" s="28">
        <v>6.8767123287671232</v>
      </c>
      <c r="F1194" s="28"/>
      <c r="G1194" s="28"/>
      <c r="H1194" s="28"/>
      <c r="I1194" s="28"/>
      <c r="J1194" s="28"/>
      <c r="L1194" s="38">
        <v>188</v>
      </c>
      <c r="M1194" s="2">
        <v>69</v>
      </c>
      <c r="N1194" s="2">
        <v>135</v>
      </c>
      <c r="O1194" s="2">
        <v>1</v>
      </c>
      <c r="P1194" s="2">
        <v>41</v>
      </c>
      <c r="Q1194" s="2">
        <v>10</v>
      </c>
      <c r="R1194" s="2">
        <v>1</v>
      </c>
      <c r="S1194" s="2">
        <v>67</v>
      </c>
      <c r="T1194" s="2">
        <v>5</v>
      </c>
      <c r="U1194" s="2">
        <v>3</v>
      </c>
      <c r="V1194" s="2">
        <v>3</v>
      </c>
      <c r="W1194" s="2">
        <v>3</v>
      </c>
      <c r="X1194" s="2">
        <v>6</v>
      </c>
    </row>
    <row r="1195" spans="1:24" x14ac:dyDescent="0.35">
      <c r="A1195">
        <v>187</v>
      </c>
      <c r="B1195">
        <v>45921</v>
      </c>
      <c r="C1195">
        <v>34</v>
      </c>
      <c r="D1195">
        <v>0</v>
      </c>
      <c r="E1195" s="28">
        <v>6.2191780821917808</v>
      </c>
      <c r="F1195" s="28"/>
      <c r="G1195" s="28"/>
      <c r="H1195" s="28"/>
      <c r="I1195" s="28"/>
      <c r="J1195" s="28"/>
      <c r="L1195" s="37">
        <v>187</v>
      </c>
      <c r="M1195" s="3">
        <v>23</v>
      </c>
      <c r="N1195" s="3">
        <v>102</v>
      </c>
      <c r="O1195" s="3">
        <v>9</v>
      </c>
      <c r="P1195" s="3">
        <v>49</v>
      </c>
      <c r="Q1195" s="3">
        <v>24</v>
      </c>
      <c r="R1195" s="3">
        <v>3</v>
      </c>
      <c r="S1195" s="3">
        <v>12</v>
      </c>
      <c r="T1195" s="3">
        <v>1</v>
      </c>
      <c r="U1195" s="3">
        <v>2</v>
      </c>
      <c r="V1195" s="3">
        <v>1</v>
      </c>
      <c r="W1195" s="3">
        <v>6</v>
      </c>
      <c r="X1195" s="3">
        <v>4</v>
      </c>
    </row>
    <row r="1196" spans="1:24" x14ac:dyDescent="0.35">
      <c r="A1196">
        <v>187</v>
      </c>
      <c r="B1196">
        <v>54178</v>
      </c>
      <c r="C1196">
        <v>53</v>
      </c>
      <c r="D1196">
        <v>1</v>
      </c>
      <c r="E1196" s="28">
        <v>6.3506849315068497</v>
      </c>
      <c r="F1196" s="28"/>
      <c r="G1196" s="28"/>
      <c r="H1196" s="28"/>
      <c r="I1196" s="28"/>
      <c r="J1196" s="28"/>
      <c r="L1196" s="38">
        <v>187</v>
      </c>
      <c r="M1196" s="2">
        <v>79</v>
      </c>
      <c r="N1196" s="2">
        <v>135</v>
      </c>
      <c r="O1196" s="2">
        <v>9</v>
      </c>
      <c r="P1196" s="2">
        <v>39</v>
      </c>
      <c r="Q1196" s="2">
        <v>4</v>
      </c>
      <c r="R1196" s="2">
        <v>0</v>
      </c>
      <c r="S1196" s="2">
        <v>7</v>
      </c>
      <c r="T1196" s="2">
        <v>1</v>
      </c>
      <c r="U1196" s="2">
        <v>2</v>
      </c>
      <c r="V1196" s="2">
        <v>2</v>
      </c>
      <c r="W1196" s="2">
        <v>5</v>
      </c>
      <c r="X1196" s="2">
        <v>2</v>
      </c>
    </row>
    <row r="1197" spans="1:24" x14ac:dyDescent="0.35">
      <c r="A1197">
        <v>185</v>
      </c>
      <c r="B1197">
        <v>48186</v>
      </c>
      <c r="C1197">
        <v>46</v>
      </c>
      <c r="D1197">
        <v>1</v>
      </c>
      <c r="E1197" s="28">
        <v>6.1917808219178081</v>
      </c>
      <c r="F1197" s="28"/>
      <c r="G1197" s="28"/>
      <c r="H1197" s="28"/>
      <c r="I1197" s="28"/>
      <c r="J1197" s="28"/>
      <c r="L1197" s="37">
        <v>185</v>
      </c>
      <c r="M1197" s="3">
        <v>39</v>
      </c>
      <c r="N1197" s="3">
        <v>97</v>
      </c>
      <c r="O1197" s="3">
        <v>3</v>
      </c>
      <c r="P1197" s="3">
        <v>66</v>
      </c>
      <c r="Q1197" s="3">
        <v>12</v>
      </c>
      <c r="R1197" s="3">
        <v>7</v>
      </c>
      <c r="S1197" s="3">
        <v>34</v>
      </c>
      <c r="T1197" s="3">
        <v>3</v>
      </c>
      <c r="U1197" s="3">
        <v>4</v>
      </c>
      <c r="V1197" s="3">
        <v>1</v>
      </c>
      <c r="W1197" s="3">
        <v>4</v>
      </c>
      <c r="X1197" s="3">
        <v>7</v>
      </c>
    </row>
    <row r="1198" spans="1:24" x14ac:dyDescent="0.35">
      <c r="A1198">
        <v>185</v>
      </c>
      <c r="B1198">
        <v>51012</v>
      </c>
      <c r="C1198">
        <v>74</v>
      </c>
      <c r="D1198">
        <v>0</v>
      </c>
      <c r="E1198" s="28">
        <v>7.1123287671232873</v>
      </c>
      <c r="F1198" s="28"/>
      <c r="G1198" s="28"/>
      <c r="H1198" s="28"/>
      <c r="I1198" s="28"/>
      <c r="J1198" s="28"/>
      <c r="L1198" s="38">
        <v>185</v>
      </c>
      <c r="M1198" s="2">
        <v>86</v>
      </c>
      <c r="N1198" s="2">
        <v>102</v>
      </c>
      <c r="O1198" s="2">
        <v>9</v>
      </c>
      <c r="P1198" s="2">
        <v>63</v>
      </c>
      <c r="Q1198" s="2">
        <v>2</v>
      </c>
      <c r="R1198" s="2">
        <v>9</v>
      </c>
      <c r="S1198" s="2">
        <v>24</v>
      </c>
      <c r="T1198" s="2">
        <v>1</v>
      </c>
      <c r="U1198" s="2">
        <v>4</v>
      </c>
      <c r="V1198" s="2">
        <v>1</v>
      </c>
      <c r="W1198" s="2">
        <v>4</v>
      </c>
      <c r="X1198" s="2">
        <v>6</v>
      </c>
    </row>
    <row r="1199" spans="1:24" x14ac:dyDescent="0.35">
      <c r="A1199">
        <v>185</v>
      </c>
      <c r="B1199">
        <v>39665</v>
      </c>
      <c r="C1199">
        <v>39</v>
      </c>
      <c r="D1199">
        <v>1</v>
      </c>
      <c r="E1199" s="28">
        <v>7.0109589041095894</v>
      </c>
      <c r="F1199" s="28"/>
      <c r="G1199" s="28"/>
      <c r="H1199" s="28"/>
      <c r="I1199" s="28"/>
      <c r="J1199" s="28"/>
      <c r="L1199" s="37">
        <v>185</v>
      </c>
      <c r="M1199" s="3">
        <v>97</v>
      </c>
      <c r="N1199" s="3">
        <v>127</v>
      </c>
      <c r="O1199" s="3">
        <v>1</v>
      </c>
      <c r="P1199" s="3">
        <v>56</v>
      </c>
      <c r="Q1199" s="3">
        <v>0</v>
      </c>
      <c r="R1199" s="3">
        <v>1</v>
      </c>
      <c r="S1199" s="3">
        <v>31</v>
      </c>
      <c r="T1199" s="3">
        <v>3</v>
      </c>
      <c r="U1199" s="3">
        <v>4</v>
      </c>
      <c r="V1199" s="3">
        <v>2</v>
      </c>
      <c r="W1199" s="3">
        <v>3</v>
      </c>
      <c r="X1199" s="3">
        <v>7</v>
      </c>
    </row>
    <row r="1200" spans="1:24" x14ac:dyDescent="0.35">
      <c r="A1200">
        <v>185</v>
      </c>
      <c r="B1200">
        <v>26490</v>
      </c>
      <c r="C1200">
        <v>62</v>
      </c>
      <c r="D1200">
        <v>0</v>
      </c>
      <c r="E1200" s="28">
        <v>7.6821917808219178</v>
      </c>
      <c r="F1200" s="28"/>
      <c r="G1200" s="28"/>
      <c r="H1200" s="28"/>
      <c r="I1200" s="28"/>
      <c r="J1200" s="28"/>
      <c r="L1200" s="38">
        <v>185</v>
      </c>
      <c r="M1200" s="2">
        <v>92</v>
      </c>
      <c r="N1200" s="2">
        <v>45</v>
      </c>
      <c r="O1200" s="2">
        <v>47</v>
      </c>
      <c r="P1200" s="2">
        <v>52</v>
      </c>
      <c r="Q1200" s="2">
        <v>21</v>
      </c>
      <c r="R1200" s="2">
        <v>20</v>
      </c>
      <c r="S1200" s="2">
        <v>25</v>
      </c>
      <c r="T1200" s="2">
        <v>2</v>
      </c>
      <c r="U1200" s="2">
        <v>3</v>
      </c>
      <c r="V1200" s="2">
        <v>1</v>
      </c>
      <c r="W1200" s="2">
        <v>5</v>
      </c>
      <c r="X1200" s="2">
        <v>6</v>
      </c>
    </row>
    <row r="1201" spans="1:24" x14ac:dyDescent="0.35">
      <c r="A1201">
        <v>184</v>
      </c>
      <c r="B1201">
        <v>46053</v>
      </c>
      <c r="C1201">
        <v>48</v>
      </c>
      <c r="D1201">
        <v>1</v>
      </c>
      <c r="E1201" s="28">
        <v>7.2767123287671236</v>
      </c>
      <c r="F1201" s="28"/>
      <c r="G1201" s="28"/>
      <c r="H1201" s="28"/>
      <c r="I1201" s="28"/>
      <c r="J1201" s="28"/>
      <c r="L1201" s="37">
        <v>184</v>
      </c>
      <c r="M1201" s="3">
        <v>46</v>
      </c>
      <c r="N1201" s="3">
        <v>56</v>
      </c>
      <c r="O1201" s="3">
        <v>10</v>
      </c>
      <c r="P1201" s="3">
        <v>92</v>
      </c>
      <c r="Q1201" s="3">
        <v>19</v>
      </c>
      <c r="R1201" s="3">
        <v>7</v>
      </c>
      <c r="S1201" s="3">
        <v>25</v>
      </c>
      <c r="T1201" s="3">
        <v>3</v>
      </c>
      <c r="U1201" s="3">
        <v>3</v>
      </c>
      <c r="V1201" s="3">
        <v>2</v>
      </c>
      <c r="W1201" s="3">
        <v>4</v>
      </c>
      <c r="X1201" s="3">
        <v>5</v>
      </c>
    </row>
    <row r="1202" spans="1:24" x14ac:dyDescent="0.35">
      <c r="A1202">
        <v>184</v>
      </c>
      <c r="B1202">
        <v>46854</v>
      </c>
      <c r="C1202">
        <v>47</v>
      </c>
      <c r="D1202">
        <v>1</v>
      </c>
      <c r="E1202" s="28">
        <v>6.161643835616438</v>
      </c>
      <c r="F1202" s="28"/>
      <c r="G1202" s="28"/>
      <c r="H1202" s="28"/>
      <c r="I1202" s="28"/>
      <c r="J1202" s="28"/>
      <c r="L1202" s="38">
        <v>184</v>
      </c>
      <c r="M1202" s="2">
        <v>81</v>
      </c>
      <c r="N1202" s="2">
        <v>96</v>
      </c>
      <c r="O1202" s="2">
        <v>1</v>
      </c>
      <c r="P1202" s="2">
        <v>79</v>
      </c>
      <c r="Q1202" s="2">
        <v>7</v>
      </c>
      <c r="R1202" s="2">
        <v>1</v>
      </c>
      <c r="S1202" s="2">
        <v>79</v>
      </c>
      <c r="T1202" s="2">
        <v>6</v>
      </c>
      <c r="U1202" s="2">
        <v>5</v>
      </c>
      <c r="V1202" s="2">
        <v>1</v>
      </c>
      <c r="W1202" s="2">
        <v>3</v>
      </c>
      <c r="X1202" s="2">
        <v>8</v>
      </c>
    </row>
    <row r="1203" spans="1:24" x14ac:dyDescent="0.35">
      <c r="A1203">
        <v>184</v>
      </c>
      <c r="B1203">
        <v>46390</v>
      </c>
      <c r="C1203">
        <v>65</v>
      </c>
      <c r="D1203">
        <v>1</v>
      </c>
      <c r="E1203" s="28">
        <v>6.065753424657534</v>
      </c>
      <c r="F1203" s="28"/>
      <c r="G1203" s="28"/>
      <c r="H1203" s="28"/>
      <c r="I1203" s="28"/>
      <c r="J1203" s="28"/>
      <c r="L1203" s="37">
        <v>184</v>
      </c>
      <c r="M1203" s="3">
        <v>56</v>
      </c>
      <c r="N1203" s="3">
        <v>95</v>
      </c>
      <c r="O1203" s="3">
        <v>14</v>
      </c>
      <c r="P1203" s="3">
        <v>64</v>
      </c>
      <c r="Q1203" s="3">
        <v>2</v>
      </c>
      <c r="R1203" s="3">
        <v>9</v>
      </c>
      <c r="S1203" s="3">
        <v>38</v>
      </c>
      <c r="T1203" s="3">
        <v>1</v>
      </c>
      <c r="U1203" s="3">
        <v>4</v>
      </c>
      <c r="V1203" s="3">
        <v>2</v>
      </c>
      <c r="W1203" s="3">
        <v>3</v>
      </c>
      <c r="X1203" s="3">
        <v>7</v>
      </c>
    </row>
    <row r="1204" spans="1:24" x14ac:dyDescent="0.35">
      <c r="A1204">
        <v>184</v>
      </c>
      <c r="B1204">
        <v>44911</v>
      </c>
      <c r="C1204">
        <v>61</v>
      </c>
      <c r="D1204">
        <v>1</v>
      </c>
      <c r="E1204" s="28">
        <v>7.2054794520547949</v>
      </c>
      <c r="F1204" s="28"/>
      <c r="G1204" s="28"/>
      <c r="H1204" s="28"/>
      <c r="I1204" s="28"/>
      <c r="J1204" s="28"/>
      <c r="L1204" s="38">
        <v>184</v>
      </c>
      <c r="M1204" s="2">
        <v>11</v>
      </c>
      <c r="N1204" s="2">
        <v>159</v>
      </c>
      <c r="O1204" s="2">
        <v>0</v>
      </c>
      <c r="P1204" s="2">
        <v>22</v>
      </c>
      <c r="Q1204" s="2">
        <v>2</v>
      </c>
      <c r="R1204" s="2">
        <v>1</v>
      </c>
      <c r="S1204" s="2">
        <v>31</v>
      </c>
      <c r="T1204" s="2">
        <v>3</v>
      </c>
      <c r="U1204" s="2">
        <v>4</v>
      </c>
      <c r="V1204" s="2">
        <v>1</v>
      </c>
      <c r="W1204" s="2">
        <v>4</v>
      </c>
      <c r="X1204" s="2">
        <v>7</v>
      </c>
    </row>
    <row r="1205" spans="1:24" x14ac:dyDescent="0.35">
      <c r="A1205">
        <v>184</v>
      </c>
      <c r="B1205">
        <v>51650</v>
      </c>
      <c r="C1205">
        <v>44</v>
      </c>
      <c r="D1205">
        <v>1</v>
      </c>
      <c r="E1205" s="28">
        <v>6.0493150684931507</v>
      </c>
      <c r="F1205" s="28"/>
      <c r="G1205" s="28"/>
      <c r="H1205" s="28"/>
      <c r="I1205" s="28"/>
      <c r="J1205" s="28"/>
      <c r="L1205" s="37">
        <v>184</v>
      </c>
      <c r="M1205" s="3">
        <v>81</v>
      </c>
      <c r="N1205" s="3">
        <v>152</v>
      </c>
      <c r="O1205" s="3">
        <v>3</v>
      </c>
      <c r="P1205" s="3">
        <v>22</v>
      </c>
      <c r="Q1205" s="3">
        <v>2</v>
      </c>
      <c r="R1205" s="3">
        <v>5</v>
      </c>
      <c r="S1205" s="3">
        <v>7</v>
      </c>
      <c r="T1205" s="3">
        <v>1</v>
      </c>
      <c r="U1205" s="3">
        <v>4</v>
      </c>
      <c r="V1205" s="3">
        <v>1</v>
      </c>
      <c r="W1205" s="3">
        <v>4</v>
      </c>
      <c r="X1205" s="3">
        <v>5</v>
      </c>
    </row>
    <row r="1206" spans="1:24" x14ac:dyDescent="0.35">
      <c r="A1206">
        <v>183</v>
      </c>
      <c r="B1206">
        <v>48726</v>
      </c>
      <c r="C1206">
        <v>65</v>
      </c>
      <c r="D1206">
        <v>1</v>
      </c>
      <c r="E1206" s="28">
        <v>7.087671232876712</v>
      </c>
      <c r="F1206" s="28"/>
      <c r="G1206" s="28"/>
      <c r="H1206" s="28"/>
      <c r="I1206" s="28"/>
      <c r="J1206" s="28"/>
      <c r="L1206" s="38">
        <v>183</v>
      </c>
      <c r="M1206" s="2">
        <v>90</v>
      </c>
      <c r="N1206" s="2">
        <v>138</v>
      </c>
      <c r="O1206" s="2">
        <v>3</v>
      </c>
      <c r="P1206" s="2">
        <v>38</v>
      </c>
      <c r="Q1206" s="2">
        <v>4</v>
      </c>
      <c r="R1206" s="2">
        <v>0</v>
      </c>
      <c r="S1206" s="2">
        <v>59</v>
      </c>
      <c r="T1206" s="2">
        <v>3</v>
      </c>
      <c r="U1206" s="2">
        <v>3</v>
      </c>
      <c r="V1206" s="2">
        <v>2</v>
      </c>
      <c r="W1206" s="2">
        <v>4</v>
      </c>
      <c r="X1206" s="2">
        <v>6</v>
      </c>
    </row>
    <row r="1207" spans="1:24" x14ac:dyDescent="0.35">
      <c r="A1207">
        <v>183</v>
      </c>
      <c r="B1207">
        <v>54137</v>
      </c>
      <c r="C1207">
        <v>50</v>
      </c>
      <c r="D1207">
        <v>1</v>
      </c>
      <c r="E1207" s="28">
        <v>6.7835616438356166</v>
      </c>
      <c r="F1207" s="28"/>
      <c r="G1207" s="28"/>
      <c r="H1207" s="28"/>
      <c r="I1207" s="28"/>
      <c r="J1207" s="28"/>
      <c r="L1207" s="37">
        <v>183</v>
      </c>
      <c r="M1207" s="3">
        <v>46</v>
      </c>
      <c r="N1207" s="3">
        <v>171</v>
      </c>
      <c r="O1207" s="3">
        <v>0</v>
      </c>
      <c r="P1207" s="3">
        <v>11</v>
      </c>
      <c r="Q1207" s="3">
        <v>0</v>
      </c>
      <c r="R1207" s="3">
        <v>1</v>
      </c>
      <c r="S1207" s="3">
        <v>20</v>
      </c>
      <c r="T1207" s="3">
        <v>2</v>
      </c>
      <c r="U1207" s="3">
        <v>4</v>
      </c>
      <c r="V1207" s="3">
        <v>1</v>
      </c>
      <c r="W1207" s="3">
        <v>4</v>
      </c>
      <c r="X1207" s="3">
        <v>6</v>
      </c>
    </row>
    <row r="1208" spans="1:24" x14ac:dyDescent="0.35">
      <c r="A1208">
        <v>182</v>
      </c>
      <c r="B1208">
        <v>43638</v>
      </c>
      <c r="C1208">
        <v>51</v>
      </c>
      <c r="D1208">
        <v>1</v>
      </c>
      <c r="E1208" s="28">
        <v>7.8109589041095893</v>
      </c>
      <c r="F1208" s="28"/>
      <c r="G1208" s="28"/>
      <c r="H1208" s="28"/>
      <c r="I1208" s="28"/>
      <c r="J1208" s="28"/>
      <c r="L1208" s="38">
        <v>182</v>
      </c>
      <c r="M1208" s="2">
        <v>37</v>
      </c>
      <c r="N1208" s="2">
        <v>63</v>
      </c>
      <c r="O1208" s="2">
        <v>10</v>
      </c>
      <c r="P1208" s="2">
        <v>83</v>
      </c>
      <c r="Q1208" s="2">
        <v>7</v>
      </c>
      <c r="R1208" s="2">
        <v>19</v>
      </c>
      <c r="S1208" s="2">
        <v>19</v>
      </c>
      <c r="T1208" s="2">
        <v>2</v>
      </c>
      <c r="U1208" s="2">
        <v>4</v>
      </c>
      <c r="V1208" s="2">
        <v>1</v>
      </c>
      <c r="W1208" s="2">
        <v>4</v>
      </c>
      <c r="X1208" s="2">
        <v>7</v>
      </c>
    </row>
    <row r="1209" spans="1:24" x14ac:dyDescent="0.35">
      <c r="A1209">
        <v>182</v>
      </c>
      <c r="B1209">
        <v>42618</v>
      </c>
      <c r="C1209">
        <v>48</v>
      </c>
      <c r="D1209">
        <v>1</v>
      </c>
      <c r="E1209" s="28">
        <v>6.6356164383561644</v>
      </c>
      <c r="F1209" s="28"/>
      <c r="G1209" s="28"/>
      <c r="H1209" s="28"/>
      <c r="I1209" s="28"/>
      <c r="J1209" s="28"/>
      <c r="L1209" s="37">
        <v>182</v>
      </c>
      <c r="M1209" s="3">
        <v>92</v>
      </c>
      <c r="N1209" s="3">
        <v>76</v>
      </c>
      <c r="O1209" s="3">
        <v>14</v>
      </c>
      <c r="P1209" s="3">
        <v>74</v>
      </c>
      <c r="Q1209" s="3">
        <v>13</v>
      </c>
      <c r="R1209" s="3">
        <v>5</v>
      </c>
      <c r="S1209" s="3">
        <v>10</v>
      </c>
      <c r="T1209" s="3">
        <v>2</v>
      </c>
      <c r="U1209" s="3">
        <v>5</v>
      </c>
      <c r="V1209" s="3">
        <v>0</v>
      </c>
      <c r="W1209" s="3">
        <v>4</v>
      </c>
      <c r="X1209" s="3">
        <v>8</v>
      </c>
    </row>
    <row r="1210" spans="1:24" x14ac:dyDescent="0.35">
      <c r="A1210">
        <v>182</v>
      </c>
      <c r="B1210">
        <v>44392</v>
      </c>
      <c r="C1210">
        <v>46</v>
      </c>
      <c r="D1210">
        <v>1</v>
      </c>
      <c r="E1210" s="28">
        <v>6.7287671232876711</v>
      </c>
      <c r="F1210" s="28"/>
      <c r="G1210" s="28"/>
      <c r="H1210" s="28"/>
      <c r="I1210" s="28"/>
      <c r="J1210" s="28"/>
      <c r="L1210" s="38">
        <v>182</v>
      </c>
      <c r="M1210" s="2">
        <v>71</v>
      </c>
      <c r="N1210" s="2">
        <v>87</v>
      </c>
      <c r="O1210" s="2">
        <v>5</v>
      </c>
      <c r="P1210" s="2">
        <v>71</v>
      </c>
      <c r="Q1210" s="2">
        <v>7</v>
      </c>
      <c r="R1210" s="2">
        <v>12</v>
      </c>
      <c r="S1210" s="2">
        <v>29</v>
      </c>
      <c r="T1210" s="2">
        <v>5</v>
      </c>
      <c r="U1210" s="2">
        <v>4</v>
      </c>
      <c r="V1210" s="2">
        <v>1</v>
      </c>
      <c r="W1210" s="2">
        <v>4</v>
      </c>
      <c r="X1210" s="2">
        <v>7</v>
      </c>
    </row>
    <row r="1211" spans="1:24" x14ac:dyDescent="0.35">
      <c r="A1211">
        <v>182</v>
      </c>
      <c r="B1211">
        <v>44421</v>
      </c>
      <c r="C1211">
        <v>49</v>
      </c>
      <c r="D1211">
        <v>1</v>
      </c>
      <c r="E1211" s="28">
        <v>7.2821917808219174</v>
      </c>
      <c r="F1211" s="28"/>
      <c r="G1211" s="28"/>
      <c r="H1211" s="28"/>
      <c r="I1211" s="28"/>
      <c r="J1211" s="28"/>
      <c r="L1211" s="37">
        <v>182</v>
      </c>
      <c r="M1211" s="3">
        <v>53</v>
      </c>
      <c r="N1211" s="3">
        <v>110</v>
      </c>
      <c r="O1211" s="3">
        <v>5</v>
      </c>
      <c r="P1211" s="3">
        <v>59</v>
      </c>
      <c r="Q1211" s="3">
        <v>7</v>
      </c>
      <c r="R1211" s="3">
        <v>1</v>
      </c>
      <c r="S1211" s="3">
        <v>7</v>
      </c>
      <c r="T1211" s="3">
        <v>5</v>
      </c>
      <c r="U1211" s="3">
        <v>5</v>
      </c>
      <c r="V1211" s="3">
        <v>0</v>
      </c>
      <c r="W1211" s="3">
        <v>4</v>
      </c>
      <c r="X1211" s="3">
        <v>8</v>
      </c>
    </row>
    <row r="1212" spans="1:24" x14ac:dyDescent="0.35">
      <c r="A1212">
        <v>182</v>
      </c>
      <c r="B1212">
        <v>45579</v>
      </c>
      <c r="C1212">
        <v>72</v>
      </c>
      <c r="D1212">
        <v>1</v>
      </c>
      <c r="E1212" s="28">
        <v>6.7726027397260271</v>
      </c>
      <c r="F1212" s="28"/>
      <c r="G1212" s="28"/>
      <c r="H1212" s="28"/>
      <c r="I1212" s="28"/>
      <c r="J1212" s="28"/>
      <c r="L1212" s="38">
        <v>182</v>
      </c>
      <c r="M1212" s="2">
        <v>10</v>
      </c>
      <c r="N1212" s="2">
        <v>145</v>
      </c>
      <c r="O1212" s="2">
        <v>1</v>
      </c>
      <c r="P1212" s="2">
        <v>33</v>
      </c>
      <c r="Q1212" s="2">
        <v>2</v>
      </c>
      <c r="R1212" s="2">
        <v>1</v>
      </c>
      <c r="S1212" s="2">
        <v>1</v>
      </c>
      <c r="T1212" s="2">
        <v>1</v>
      </c>
      <c r="U1212" s="2">
        <v>4</v>
      </c>
      <c r="V1212" s="2">
        <v>1</v>
      </c>
      <c r="W1212" s="2">
        <v>4</v>
      </c>
      <c r="X1212" s="2">
        <v>6</v>
      </c>
    </row>
    <row r="1213" spans="1:24" x14ac:dyDescent="0.35">
      <c r="A1213">
        <v>182</v>
      </c>
      <c r="B1213">
        <v>30732</v>
      </c>
      <c r="C1213">
        <v>40</v>
      </c>
      <c r="D1213">
        <v>1</v>
      </c>
      <c r="E1213" s="28">
        <v>7.3945205479452056</v>
      </c>
      <c r="F1213" s="28"/>
      <c r="G1213" s="28"/>
      <c r="H1213" s="28"/>
      <c r="I1213" s="28"/>
      <c r="J1213" s="28"/>
      <c r="L1213" s="37">
        <v>182</v>
      </c>
      <c r="M1213" s="3">
        <v>44</v>
      </c>
      <c r="N1213" s="3">
        <v>155</v>
      </c>
      <c r="O1213" s="3">
        <v>1</v>
      </c>
      <c r="P1213" s="3">
        <v>25</v>
      </c>
      <c r="Q1213" s="3">
        <v>0</v>
      </c>
      <c r="R1213" s="3">
        <v>1</v>
      </c>
      <c r="S1213" s="3">
        <v>3</v>
      </c>
      <c r="T1213" s="3">
        <v>4</v>
      </c>
      <c r="U1213" s="3">
        <v>4</v>
      </c>
      <c r="V1213" s="3">
        <v>1</v>
      </c>
      <c r="W1213" s="3">
        <v>4</v>
      </c>
      <c r="X1213" s="3">
        <v>8</v>
      </c>
    </row>
    <row r="1214" spans="1:24" x14ac:dyDescent="0.35">
      <c r="A1214">
        <v>182</v>
      </c>
      <c r="B1214">
        <v>41335</v>
      </c>
      <c r="C1214">
        <v>52</v>
      </c>
      <c r="D1214">
        <v>1</v>
      </c>
      <c r="E1214" s="28">
        <v>6.4219178082191783</v>
      </c>
      <c r="F1214" s="28"/>
      <c r="G1214" s="28"/>
      <c r="H1214" s="28"/>
      <c r="I1214" s="28"/>
      <c r="J1214" s="28"/>
      <c r="L1214" s="38">
        <v>182</v>
      </c>
      <c r="M1214" s="2">
        <v>24</v>
      </c>
      <c r="N1214" s="2">
        <v>112</v>
      </c>
      <c r="O1214" s="2">
        <v>19</v>
      </c>
      <c r="P1214" s="2">
        <v>21</v>
      </c>
      <c r="Q1214" s="2">
        <v>16</v>
      </c>
      <c r="R1214" s="2">
        <v>14</v>
      </c>
      <c r="S1214" s="2">
        <v>5</v>
      </c>
      <c r="T1214" s="2">
        <v>3</v>
      </c>
      <c r="U1214" s="2">
        <v>4</v>
      </c>
      <c r="V1214" s="2">
        <v>1</v>
      </c>
      <c r="W1214" s="2">
        <v>4</v>
      </c>
      <c r="X1214" s="2">
        <v>7</v>
      </c>
    </row>
    <row r="1215" spans="1:24" x14ac:dyDescent="0.35">
      <c r="A1215">
        <v>181</v>
      </c>
      <c r="B1215">
        <v>41020</v>
      </c>
      <c r="C1215">
        <v>33</v>
      </c>
      <c r="D1215">
        <v>0</v>
      </c>
      <c r="E1215" s="28">
        <v>6.5835616438356164</v>
      </c>
      <c r="F1215" s="28"/>
      <c r="G1215" s="28"/>
      <c r="H1215" s="28"/>
      <c r="I1215" s="28"/>
      <c r="J1215" s="28"/>
      <c r="L1215" s="37">
        <v>181</v>
      </c>
      <c r="M1215" s="3">
        <v>68</v>
      </c>
      <c r="N1215" s="3">
        <v>112</v>
      </c>
      <c r="O1215" s="3">
        <v>1</v>
      </c>
      <c r="P1215" s="3">
        <v>54</v>
      </c>
      <c r="Q1215" s="3">
        <v>7</v>
      </c>
      <c r="R1215" s="3">
        <v>7</v>
      </c>
      <c r="S1215" s="3">
        <v>36</v>
      </c>
      <c r="T1215" s="3">
        <v>1</v>
      </c>
      <c r="U1215" s="3">
        <v>3</v>
      </c>
      <c r="V1215" s="3">
        <v>2</v>
      </c>
      <c r="W1215" s="3">
        <v>4</v>
      </c>
      <c r="X1215" s="3">
        <v>3</v>
      </c>
    </row>
    <row r="1216" spans="1:24" x14ac:dyDescent="0.35">
      <c r="A1216">
        <v>181</v>
      </c>
      <c r="B1216">
        <v>49980</v>
      </c>
      <c r="C1216">
        <v>57</v>
      </c>
      <c r="D1216">
        <v>1</v>
      </c>
      <c r="E1216" s="28">
        <v>6.5972602739726032</v>
      </c>
      <c r="F1216" s="28"/>
      <c r="G1216" s="28"/>
      <c r="H1216" s="28"/>
      <c r="I1216" s="28"/>
      <c r="J1216" s="28"/>
      <c r="L1216" s="38">
        <v>181</v>
      </c>
      <c r="M1216" s="2">
        <v>79</v>
      </c>
      <c r="N1216" s="2">
        <v>104</v>
      </c>
      <c r="O1216" s="2">
        <v>1</v>
      </c>
      <c r="P1216" s="2">
        <v>54</v>
      </c>
      <c r="Q1216" s="2">
        <v>13</v>
      </c>
      <c r="R1216" s="2">
        <v>9</v>
      </c>
      <c r="S1216" s="2">
        <v>14</v>
      </c>
      <c r="T1216" s="2">
        <v>2</v>
      </c>
      <c r="U1216" s="2">
        <v>3</v>
      </c>
      <c r="V1216" s="2">
        <v>1</v>
      </c>
      <c r="W1216" s="2">
        <v>5</v>
      </c>
      <c r="X1216" s="2">
        <v>5</v>
      </c>
    </row>
    <row r="1217" spans="1:24" x14ac:dyDescent="0.35">
      <c r="A1217">
        <v>181</v>
      </c>
      <c r="B1217">
        <v>51315</v>
      </c>
      <c r="C1217">
        <v>72</v>
      </c>
      <c r="D1217">
        <v>0</v>
      </c>
      <c r="E1217" s="28">
        <v>6.2602739726027394</v>
      </c>
      <c r="F1217" s="28"/>
      <c r="G1217" s="28"/>
      <c r="H1217" s="28"/>
      <c r="I1217" s="28"/>
      <c r="J1217" s="28"/>
      <c r="L1217" s="37">
        <v>181</v>
      </c>
      <c r="M1217" s="3">
        <v>45</v>
      </c>
      <c r="N1217" s="3">
        <v>68</v>
      </c>
      <c r="O1217" s="3">
        <v>28</v>
      </c>
      <c r="P1217" s="3">
        <v>39</v>
      </c>
      <c r="Q1217" s="3">
        <v>16</v>
      </c>
      <c r="R1217" s="3">
        <v>30</v>
      </c>
      <c r="S1217" s="3">
        <v>41</v>
      </c>
      <c r="T1217" s="3">
        <v>1</v>
      </c>
      <c r="U1217" s="3">
        <v>2</v>
      </c>
      <c r="V1217" s="3">
        <v>2</v>
      </c>
      <c r="W1217" s="3">
        <v>5</v>
      </c>
      <c r="X1217" s="3">
        <v>2</v>
      </c>
    </row>
    <row r="1218" spans="1:24" x14ac:dyDescent="0.35">
      <c r="A1218">
        <v>181</v>
      </c>
      <c r="B1218">
        <v>51412</v>
      </c>
      <c r="C1218">
        <v>62</v>
      </c>
      <c r="D1218">
        <v>1</v>
      </c>
      <c r="E1218" s="28">
        <v>6.4082191780821915</v>
      </c>
      <c r="F1218" s="28"/>
      <c r="G1218" s="28"/>
      <c r="H1218" s="28"/>
      <c r="I1218" s="28"/>
      <c r="J1218" s="28"/>
      <c r="L1218" s="38">
        <v>181</v>
      </c>
      <c r="M1218" s="2">
        <v>42</v>
      </c>
      <c r="N1218" s="2">
        <v>140</v>
      </c>
      <c r="O1218" s="2">
        <v>3</v>
      </c>
      <c r="P1218" s="2">
        <v>29</v>
      </c>
      <c r="Q1218" s="2">
        <v>4</v>
      </c>
      <c r="R1218" s="2">
        <v>5</v>
      </c>
      <c r="S1218" s="2">
        <v>14</v>
      </c>
      <c r="T1218" s="2">
        <v>2</v>
      </c>
      <c r="U1218" s="2">
        <v>3</v>
      </c>
      <c r="V1218" s="2">
        <v>2</v>
      </c>
      <c r="W1218" s="2">
        <v>4</v>
      </c>
      <c r="X1218" s="2">
        <v>4</v>
      </c>
    </row>
    <row r="1219" spans="1:24" x14ac:dyDescent="0.35">
      <c r="A1219">
        <v>181</v>
      </c>
      <c r="B1219">
        <v>35893</v>
      </c>
      <c r="C1219">
        <v>52</v>
      </c>
      <c r="D1219">
        <v>1</v>
      </c>
      <c r="E1219" s="28">
        <v>7.6191780821917812</v>
      </c>
      <c r="F1219" s="28"/>
      <c r="G1219" s="28"/>
      <c r="H1219" s="28"/>
      <c r="I1219" s="28"/>
      <c r="J1219" s="28"/>
      <c r="L1219" s="37">
        <v>181</v>
      </c>
      <c r="M1219" s="3">
        <v>80</v>
      </c>
      <c r="N1219" s="3">
        <v>158</v>
      </c>
      <c r="O1219" s="3">
        <v>0</v>
      </c>
      <c r="P1219" s="3">
        <v>23</v>
      </c>
      <c r="Q1219" s="3">
        <v>0</v>
      </c>
      <c r="R1219" s="3">
        <v>0</v>
      </c>
      <c r="S1219" s="3">
        <v>18</v>
      </c>
      <c r="T1219" s="3">
        <v>6</v>
      </c>
      <c r="U1219" s="3">
        <v>3</v>
      </c>
      <c r="V1219" s="3">
        <v>1</v>
      </c>
      <c r="W1219" s="3">
        <v>5</v>
      </c>
      <c r="X1219" s="3">
        <v>8</v>
      </c>
    </row>
    <row r="1220" spans="1:24" x14ac:dyDescent="0.35">
      <c r="A1220">
        <v>180</v>
      </c>
      <c r="B1220">
        <v>43020</v>
      </c>
      <c r="C1220">
        <v>50</v>
      </c>
      <c r="D1220">
        <v>1</v>
      </c>
      <c r="E1220" s="28">
        <v>6.493150684931507</v>
      </c>
      <c r="F1220" s="28"/>
      <c r="G1220" s="28"/>
      <c r="H1220" s="28"/>
      <c r="I1220" s="28"/>
      <c r="J1220" s="28"/>
      <c r="L1220" s="38">
        <v>180</v>
      </c>
      <c r="M1220" s="2">
        <v>79</v>
      </c>
      <c r="N1220" s="2">
        <v>45</v>
      </c>
      <c r="O1220" s="2">
        <v>7</v>
      </c>
      <c r="P1220" s="2">
        <v>99</v>
      </c>
      <c r="Q1220" s="2">
        <v>4</v>
      </c>
      <c r="R1220" s="2">
        <v>25</v>
      </c>
      <c r="S1220" s="2">
        <v>43</v>
      </c>
      <c r="T1220" s="2">
        <v>3</v>
      </c>
      <c r="U1220" s="2">
        <v>4</v>
      </c>
      <c r="V1220" s="2">
        <v>1</v>
      </c>
      <c r="W1220" s="2">
        <v>4</v>
      </c>
      <c r="X1220" s="2">
        <v>6</v>
      </c>
    </row>
    <row r="1221" spans="1:24" x14ac:dyDescent="0.35">
      <c r="A1221">
        <v>180</v>
      </c>
      <c r="B1221">
        <v>62637</v>
      </c>
      <c r="C1221">
        <v>66</v>
      </c>
      <c r="D1221">
        <v>1</v>
      </c>
      <c r="E1221" s="28">
        <v>6.2438356164383562</v>
      </c>
      <c r="F1221" s="28"/>
      <c r="G1221" s="28"/>
      <c r="H1221" s="28"/>
      <c r="I1221" s="28"/>
      <c r="J1221" s="28"/>
      <c r="L1221" s="37">
        <v>180</v>
      </c>
      <c r="M1221" s="3">
        <v>76</v>
      </c>
      <c r="N1221" s="3">
        <v>104</v>
      </c>
      <c r="O1221" s="3">
        <v>12</v>
      </c>
      <c r="P1221" s="3">
        <v>48</v>
      </c>
      <c r="Q1221" s="3">
        <v>4</v>
      </c>
      <c r="R1221" s="3">
        <v>12</v>
      </c>
      <c r="S1221" s="3">
        <v>5</v>
      </c>
      <c r="T1221" s="3">
        <v>1</v>
      </c>
      <c r="U1221" s="3">
        <v>2</v>
      </c>
      <c r="V1221" s="3">
        <v>2</v>
      </c>
      <c r="W1221" s="3">
        <v>5</v>
      </c>
      <c r="X1221" s="3">
        <v>2</v>
      </c>
    </row>
    <row r="1222" spans="1:24" x14ac:dyDescent="0.35">
      <c r="A1222">
        <v>180</v>
      </c>
      <c r="B1222">
        <v>54690</v>
      </c>
      <c r="C1222">
        <v>49</v>
      </c>
      <c r="D1222">
        <v>1</v>
      </c>
      <c r="E1222" s="28">
        <v>6.5561643835616437</v>
      </c>
      <c r="F1222" s="28"/>
      <c r="G1222" s="28"/>
      <c r="H1222" s="28"/>
      <c r="I1222" s="28"/>
      <c r="J1222" s="28"/>
      <c r="L1222" s="38">
        <v>180</v>
      </c>
      <c r="M1222" s="2">
        <v>76</v>
      </c>
      <c r="N1222" s="2">
        <v>111</v>
      </c>
      <c r="O1222" s="2">
        <v>16</v>
      </c>
      <c r="P1222" s="2">
        <v>37</v>
      </c>
      <c r="Q1222" s="2">
        <v>7</v>
      </c>
      <c r="R1222" s="2">
        <v>9</v>
      </c>
      <c r="S1222" s="2">
        <v>18</v>
      </c>
      <c r="T1222" s="2">
        <v>3</v>
      </c>
      <c r="U1222" s="2">
        <v>3</v>
      </c>
      <c r="V1222" s="2">
        <v>1</v>
      </c>
      <c r="W1222" s="2">
        <v>5</v>
      </c>
      <c r="X1222" s="2">
        <v>3</v>
      </c>
    </row>
    <row r="1223" spans="1:24" x14ac:dyDescent="0.35">
      <c r="A1223">
        <v>180</v>
      </c>
      <c r="B1223">
        <v>49096</v>
      </c>
      <c r="C1223">
        <v>56</v>
      </c>
      <c r="D1223">
        <v>1</v>
      </c>
      <c r="E1223" s="28">
        <v>6.6767123287671231</v>
      </c>
      <c r="F1223" s="28"/>
      <c r="G1223" s="28"/>
      <c r="H1223" s="28"/>
      <c r="I1223" s="28"/>
      <c r="J1223" s="28"/>
      <c r="L1223" s="37">
        <v>180</v>
      </c>
      <c r="M1223" s="3">
        <v>15</v>
      </c>
      <c r="N1223" s="3">
        <v>144</v>
      </c>
      <c r="O1223" s="3">
        <v>1</v>
      </c>
      <c r="P1223" s="3">
        <v>32</v>
      </c>
      <c r="Q1223" s="3">
        <v>2</v>
      </c>
      <c r="R1223" s="3">
        <v>1</v>
      </c>
      <c r="S1223" s="3">
        <v>7</v>
      </c>
      <c r="T1223" s="3">
        <v>4</v>
      </c>
      <c r="U1223" s="3">
        <v>4</v>
      </c>
      <c r="V1223" s="3">
        <v>1</v>
      </c>
      <c r="W1223" s="3">
        <v>4</v>
      </c>
      <c r="X1223" s="3">
        <v>7</v>
      </c>
    </row>
    <row r="1224" spans="1:24" x14ac:dyDescent="0.35">
      <c r="A1224">
        <v>179</v>
      </c>
      <c r="B1224">
        <v>35688</v>
      </c>
      <c r="C1224">
        <v>47</v>
      </c>
      <c r="D1224">
        <v>1</v>
      </c>
      <c r="E1224" s="28">
        <v>7.7671232876712333</v>
      </c>
      <c r="F1224" s="28"/>
      <c r="G1224" s="28"/>
      <c r="H1224" s="28"/>
      <c r="I1224" s="28"/>
      <c r="J1224" s="28"/>
      <c r="L1224" s="38">
        <v>179</v>
      </c>
      <c r="M1224" s="2">
        <v>94</v>
      </c>
      <c r="N1224" s="2">
        <v>73</v>
      </c>
      <c r="O1224" s="2">
        <v>3</v>
      </c>
      <c r="P1224" s="2">
        <v>90</v>
      </c>
      <c r="Q1224" s="2">
        <v>12</v>
      </c>
      <c r="R1224" s="2">
        <v>1</v>
      </c>
      <c r="S1224" s="2">
        <v>32</v>
      </c>
      <c r="T1224" s="2">
        <v>7</v>
      </c>
      <c r="U1224" s="2">
        <v>4</v>
      </c>
      <c r="V1224" s="2">
        <v>1</v>
      </c>
      <c r="W1224" s="2">
        <v>4</v>
      </c>
      <c r="X1224" s="2">
        <v>8</v>
      </c>
    </row>
    <row r="1225" spans="1:24" x14ac:dyDescent="0.35">
      <c r="A1225">
        <v>176</v>
      </c>
      <c r="B1225">
        <v>8028</v>
      </c>
      <c r="C1225">
        <v>29</v>
      </c>
      <c r="D1225">
        <v>0</v>
      </c>
      <c r="E1225" s="28">
        <v>7.6931506849315072</v>
      </c>
      <c r="F1225" s="28"/>
      <c r="G1225" s="28"/>
      <c r="H1225" s="28"/>
      <c r="I1225" s="28"/>
      <c r="J1225" s="28"/>
      <c r="L1225" s="37">
        <v>176</v>
      </c>
      <c r="M1225" s="3">
        <v>62</v>
      </c>
      <c r="N1225" s="3">
        <v>73</v>
      </c>
      <c r="O1225" s="3">
        <v>18</v>
      </c>
      <c r="P1225" s="3">
        <v>66</v>
      </c>
      <c r="Q1225" s="3">
        <v>7</v>
      </c>
      <c r="R1225" s="3">
        <v>12</v>
      </c>
      <c r="S1225" s="3">
        <v>2</v>
      </c>
      <c r="T1225" s="3">
        <v>15</v>
      </c>
      <c r="U1225" s="3">
        <v>0</v>
      </c>
      <c r="V1225" s="3">
        <v>1</v>
      </c>
      <c r="W1225" s="3">
        <v>0</v>
      </c>
      <c r="X1225" s="3">
        <v>19</v>
      </c>
    </row>
    <row r="1226" spans="1:24" x14ac:dyDescent="0.35">
      <c r="A1226">
        <v>157</v>
      </c>
      <c r="B1226">
        <v>42395</v>
      </c>
      <c r="C1226">
        <v>39</v>
      </c>
      <c r="D1226">
        <v>1</v>
      </c>
      <c r="E1226" s="28">
        <v>6.1506849315068495</v>
      </c>
      <c r="F1226" s="28"/>
      <c r="G1226" s="28"/>
      <c r="H1226" s="28"/>
      <c r="I1226" s="28"/>
      <c r="J1226" s="28"/>
      <c r="L1226" s="38">
        <v>157</v>
      </c>
      <c r="M1226" s="2">
        <v>35</v>
      </c>
      <c r="N1226" s="2">
        <v>48</v>
      </c>
      <c r="O1226" s="2">
        <v>13</v>
      </c>
      <c r="P1226" s="2">
        <v>57</v>
      </c>
      <c r="Q1226" s="2">
        <v>24</v>
      </c>
      <c r="R1226" s="2">
        <v>15</v>
      </c>
      <c r="S1226" s="2">
        <v>25</v>
      </c>
      <c r="T1226" s="2">
        <v>4</v>
      </c>
      <c r="U1226" s="2">
        <v>3</v>
      </c>
      <c r="V1226" s="2">
        <v>1</v>
      </c>
      <c r="W1226" s="2">
        <v>4</v>
      </c>
      <c r="X1226" s="2">
        <v>7</v>
      </c>
    </row>
    <row r="1227" spans="1:24" x14ac:dyDescent="0.35">
      <c r="A1227">
        <v>156</v>
      </c>
      <c r="B1227">
        <v>40442</v>
      </c>
      <c r="C1227">
        <v>68</v>
      </c>
      <c r="D1227">
        <v>1</v>
      </c>
      <c r="E1227" s="28">
        <v>7.7753424657534245</v>
      </c>
      <c r="F1227" s="28"/>
      <c r="G1227" s="28"/>
      <c r="H1227" s="28"/>
      <c r="I1227" s="28"/>
      <c r="J1227" s="28"/>
      <c r="L1227" s="37">
        <v>156</v>
      </c>
      <c r="M1227" s="3">
        <v>52</v>
      </c>
      <c r="N1227" s="3">
        <v>45</v>
      </c>
      <c r="O1227" s="3">
        <v>12</v>
      </c>
      <c r="P1227" s="3">
        <v>52</v>
      </c>
      <c r="Q1227" s="3">
        <v>25</v>
      </c>
      <c r="R1227" s="3">
        <v>22</v>
      </c>
      <c r="S1227" s="3">
        <v>13</v>
      </c>
      <c r="T1227" s="3">
        <v>4</v>
      </c>
      <c r="U1227" s="3">
        <v>3</v>
      </c>
      <c r="V1227" s="3">
        <v>1</v>
      </c>
      <c r="W1227" s="3">
        <v>4</v>
      </c>
      <c r="X1227" s="3">
        <v>7</v>
      </c>
    </row>
    <row r="1228" spans="1:24" x14ac:dyDescent="0.35">
      <c r="A1228">
        <v>155</v>
      </c>
      <c r="B1228">
        <v>24279</v>
      </c>
      <c r="C1228">
        <v>30</v>
      </c>
      <c r="D1228">
        <v>0</v>
      </c>
      <c r="E1228" s="28">
        <v>7.4136986301369863</v>
      </c>
      <c r="F1228" s="28"/>
      <c r="G1228" s="28"/>
      <c r="H1228" s="28"/>
      <c r="I1228" s="28"/>
      <c r="J1228" s="28"/>
      <c r="L1228" s="38">
        <v>155</v>
      </c>
      <c r="M1228" s="2">
        <v>6</v>
      </c>
      <c r="N1228" s="2">
        <v>16</v>
      </c>
      <c r="O1228" s="2">
        <v>36</v>
      </c>
      <c r="P1228" s="2">
        <v>21</v>
      </c>
      <c r="Q1228" s="2">
        <v>20</v>
      </c>
      <c r="R1228" s="2">
        <v>62</v>
      </c>
      <c r="S1228" s="2">
        <v>108</v>
      </c>
      <c r="T1228" s="2">
        <v>1</v>
      </c>
      <c r="U1228" s="2">
        <v>4</v>
      </c>
      <c r="V1228" s="2">
        <v>1</v>
      </c>
      <c r="W1228" s="2">
        <v>3</v>
      </c>
      <c r="X1228" s="2">
        <v>8</v>
      </c>
    </row>
    <row r="1229" spans="1:24" x14ac:dyDescent="0.35">
      <c r="A1229">
        <v>154</v>
      </c>
      <c r="B1229">
        <v>36145</v>
      </c>
      <c r="C1229">
        <v>35</v>
      </c>
      <c r="D1229">
        <v>1</v>
      </c>
      <c r="E1229" s="28">
        <v>6.9506849315068493</v>
      </c>
      <c r="F1229" s="28"/>
      <c r="G1229" s="28"/>
      <c r="H1229" s="28"/>
      <c r="I1229" s="28"/>
      <c r="J1229" s="28"/>
      <c r="L1229" s="37">
        <v>154</v>
      </c>
      <c r="M1229" s="3">
        <v>13</v>
      </c>
      <c r="N1229" s="3">
        <v>56</v>
      </c>
      <c r="O1229" s="3">
        <v>4</v>
      </c>
      <c r="P1229" s="3">
        <v>76</v>
      </c>
      <c r="Q1229" s="3">
        <v>17</v>
      </c>
      <c r="R1229" s="3">
        <v>1</v>
      </c>
      <c r="S1229" s="3">
        <v>18</v>
      </c>
      <c r="T1229" s="3">
        <v>4</v>
      </c>
      <c r="U1229" s="3">
        <v>4</v>
      </c>
      <c r="V1229" s="3">
        <v>1</v>
      </c>
      <c r="W1229" s="3">
        <v>3</v>
      </c>
      <c r="X1229" s="3">
        <v>9</v>
      </c>
    </row>
    <row r="1230" spans="1:24" x14ac:dyDescent="0.35">
      <c r="A1230">
        <v>154</v>
      </c>
      <c r="B1230">
        <v>34412</v>
      </c>
      <c r="C1230">
        <v>30</v>
      </c>
      <c r="D1230">
        <v>1</v>
      </c>
      <c r="E1230" s="28">
        <v>7.2876712328767121</v>
      </c>
      <c r="F1230" s="28"/>
      <c r="G1230" s="28"/>
      <c r="H1230" s="28"/>
      <c r="I1230" s="28"/>
      <c r="J1230" s="28"/>
      <c r="L1230" s="38">
        <v>154</v>
      </c>
      <c r="M1230" s="2">
        <v>62</v>
      </c>
      <c r="N1230" s="2">
        <v>52</v>
      </c>
      <c r="O1230" s="2">
        <v>12</v>
      </c>
      <c r="P1230" s="2">
        <v>50</v>
      </c>
      <c r="Q1230" s="2">
        <v>4</v>
      </c>
      <c r="R1230" s="2">
        <v>36</v>
      </c>
      <c r="S1230" s="2">
        <v>55</v>
      </c>
      <c r="T1230" s="2">
        <v>3</v>
      </c>
      <c r="U1230" s="2">
        <v>5</v>
      </c>
      <c r="V1230" s="2">
        <v>0</v>
      </c>
      <c r="W1230" s="2">
        <v>3</v>
      </c>
      <c r="X1230" s="2">
        <v>9</v>
      </c>
    </row>
    <row r="1231" spans="1:24" x14ac:dyDescent="0.35">
      <c r="A1231">
        <v>154</v>
      </c>
      <c r="B1231">
        <v>43824</v>
      </c>
      <c r="C1231">
        <v>49</v>
      </c>
      <c r="D1231">
        <v>1</v>
      </c>
      <c r="E1231" s="28">
        <v>7.7013698630136984</v>
      </c>
      <c r="F1231" s="28"/>
      <c r="G1231" s="28"/>
      <c r="H1231" s="28"/>
      <c r="I1231" s="28"/>
      <c r="J1231" s="28"/>
      <c r="L1231" s="37">
        <v>154</v>
      </c>
      <c r="M1231" s="3">
        <v>18</v>
      </c>
      <c r="N1231" s="3">
        <v>96</v>
      </c>
      <c r="O1231" s="3">
        <v>1</v>
      </c>
      <c r="P1231" s="3">
        <v>42</v>
      </c>
      <c r="Q1231" s="3">
        <v>12</v>
      </c>
      <c r="R1231" s="3">
        <v>3</v>
      </c>
      <c r="S1231" s="3">
        <v>32</v>
      </c>
      <c r="T1231" s="3">
        <v>4</v>
      </c>
      <c r="U1231" s="3">
        <v>3</v>
      </c>
      <c r="V1231" s="3">
        <v>1</v>
      </c>
      <c r="W1231" s="3">
        <v>4</v>
      </c>
      <c r="X1231" s="3">
        <v>8</v>
      </c>
    </row>
    <row r="1232" spans="1:24" x14ac:dyDescent="0.35">
      <c r="A1232">
        <v>153</v>
      </c>
      <c r="B1232">
        <v>44051</v>
      </c>
      <c r="C1232">
        <v>47</v>
      </c>
      <c r="D1232">
        <v>1</v>
      </c>
      <c r="E1232" s="28">
        <v>7.3287671232876717</v>
      </c>
      <c r="F1232" s="28"/>
      <c r="G1232" s="28"/>
      <c r="H1232" s="28"/>
      <c r="I1232" s="28"/>
      <c r="J1232" s="28"/>
      <c r="L1232" s="38">
        <v>153</v>
      </c>
      <c r="M1232" s="2">
        <v>20</v>
      </c>
      <c r="N1232" s="2">
        <v>79</v>
      </c>
      <c r="O1232" s="2">
        <v>7</v>
      </c>
      <c r="P1232" s="2">
        <v>58</v>
      </c>
      <c r="Q1232" s="2">
        <v>6</v>
      </c>
      <c r="R1232" s="2">
        <v>3</v>
      </c>
      <c r="S1232" s="2">
        <v>18</v>
      </c>
      <c r="T1232" s="2">
        <v>4</v>
      </c>
      <c r="U1232" s="2">
        <v>3</v>
      </c>
      <c r="V1232" s="2">
        <v>1</v>
      </c>
      <c r="W1232" s="2">
        <v>4</v>
      </c>
      <c r="X1232" s="2">
        <v>6</v>
      </c>
    </row>
    <row r="1233" spans="1:24" x14ac:dyDescent="0.35">
      <c r="A1233">
        <v>153</v>
      </c>
      <c r="B1233">
        <v>38593</v>
      </c>
      <c r="C1233">
        <v>42</v>
      </c>
      <c r="D1233">
        <v>1</v>
      </c>
      <c r="E1233" s="28">
        <v>6.7068493150684931</v>
      </c>
      <c r="F1233" s="28"/>
      <c r="G1233" s="28"/>
      <c r="H1233" s="28"/>
      <c r="I1233" s="28"/>
      <c r="J1233" s="28"/>
      <c r="L1233" s="37">
        <v>153</v>
      </c>
      <c r="M1233" s="3">
        <v>42</v>
      </c>
      <c r="N1233" s="3">
        <v>51</v>
      </c>
      <c r="O1233" s="3">
        <v>12</v>
      </c>
      <c r="P1233" s="3">
        <v>49</v>
      </c>
      <c r="Q1233" s="3">
        <v>17</v>
      </c>
      <c r="R1233" s="3">
        <v>24</v>
      </c>
      <c r="S1233" s="3">
        <v>24</v>
      </c>
      <c r="T1233" s="3">
        <v>3</v>
      </c>
      <c r="U1233" s="3">
        <v>4</v>
      </c>
      <c r="V1233" s="3">
        <v>1</v>
      </c>
      <c r="W1233" s="3">
        <v>3</v>
      </c>
      <c r="X1233" s="3">
        <v>8</v>
      </c>
    </row>
    <row r="1234" spans="1:24" x14ac:dyDescent="0.35">
      <c r="A1234">
        <v>153</v>
      </c>
      <c r="B1234">
        <v>39146</v>
      </c>
      <c r="C1234">
        <v>34</v>
      </c>
      <c r="D1234">
        <v>1</v>
      </c>
      <c r="E1234" s="28">
        <v>7.2849315068493148</v>
      </c>
      <c r="F1234" s="28"/>
      <c r="G1234" s="28"/>
      <c r="H1234" s="28"/>
      <c r="I1234" s="28"/>
      <c r="J1234" s="28"/>
      <c r="L1234" s="38">
        <v>153</v>
      </c>
      <c r="M1234" s="2">
        <v>1</v>
      </c>
      <c r="N1234" s="2">
        <v>94</v>
      </c>
      <c r="O1234" s="2">
        <v>1</v>
      </c>
      <c r="P1234" s="2">
        <v>33</v>
      </c>
      <c r="Q1234" s="2">
        <v>13</v>
      </c>
      <c r="R1234" s="2">
        <v>12</v>
      </c>
      <c r="S1234" s="2">
        <v>12</v>
      </c>
      <c r="T1234" s="2">
        <v>3</v>
      </c>
      <c r="U1234" s="2">
        <v>4</v>
      </c>
      <c r="V1234" s="2">
        <v>0</v>
      </c>
      <c r="W1234" s="2">
        <v>4</v>
      </c>
      <c r="X1234" s="2">
        <v>8</v>
      </c>
    </row>
    <row r="1235" spans="1:24" x14ac:dyDescent="0.35">
      <c r="A1235">
        <v>153</v>
      </c>
      <c r="B1235">
        <v>39791</v>
      </c>
      <c r="C1235">
        <v>49</v>
      </c>
      <c r="D1235">
        <v>1</v>
      </c>
      <c r="E1235" s="28">
        <v>7.1698630136986301</v>
      </c>
      <c r="F1235" s="28"/>
      <c r="G1235" s="28"/>
      <c r="H1235" s="28"/>
      <c r="I1235" s="28"/>
      <c r="J1235" s="28"/>
      <c r="L1235" s="37">
        <v>153</v>
      </c>
      <c r="M1235" s="3">
        <v>89</v>
      </c>
      <c r="N1235" s="3">
        <v>85</v>
      </c>
      <c r="O1235" s="3">
        <v>15</v>
      </c>
      <c r="P1235" s="3">
        <v>27</v>
      </c>
      <c r="Q1235" s="3">
        <v>13</v>
      </c>
      <c r="R1235" s="3">
        <v>13</v>
      </c>
      <c r="S1235" s="3">
        <v>21</v>
      </c>
      <c r="T1235" s="3">
        <v>2</v>
      </c>
      <c r="U1235" s="3">
        <v>3</v>
      </c>
      <c r="V1235" s="3">
        <v>1</v>
      </c>
      <c r="W1235" s="3">
        <v>4</v>
      </c>
      <c r="X1235" s="3">
        <v>7</v>
      </c>
    </row>
    <row r="1236" spans="1:24" x14ac:dyDescent="0.35">
      <c r="A1236">
        <v>152</v>
      </c>
      <c r="B1236">
        <v>54809</v>
      </c>
      <c r="C1236">
        <v>43</v>
      </c>
      <c r="D1236">
        <v>1</v>
      </c>
      <c r="E1236" s="28">
        <v>6.7123287671232879</v>
      </c>
      <c r="F1236" s="28"/>
      <c r="G1236" s="28"/>
      <c r="H1236" s="28"/>
      <c r="I1236" s="28"/>
      <c r="J1236" s="28"/>
      <c r="L1236" s="38">
        <v>152</v>
      </c>
      <c r="M1236" s="2">
        <v>0</v>
      </c>
      <c r="N1236" s="2">
        <v>63</v>
      </c>
      <c r="O1236" s="2">
        <v>6</v>
      </c>
      <c r="P1236" s="2">
        <v>57</v>
      </c>
      <c r="Q1236" s="2">
        <v>13</v>
      </c>
      <c r="R1236" s="2">
        <v>13</v>
      </c>
      <c r="S1236" s="2">
        <v>22</v>
      </c>
      <c r="T1236" s="2">
        <v>4</v>
      </c>
      <c r="U1236" s="2">
        <v>2</v>
      </c>
      <c r="V1236" s="2">
        <v>1</v>
      </c>
      <c r="W1236" s="2">
        <v>5</v>
      </c>
      <c r="X1236" s="2">
        <v>4</v>
      </c>
    </row>
    <row r="1237" spans="1:24" x14ac:dyDescent="0.35">
      <c r="A1237">
        <v>152</v>
      </c>
      <c r="B1237">
        <v>54809</v>
      </c>
      <c r="C1237">
        <v>43</v>
      </c>
      <c r="D1237">
        <v>1</v>
      </c>
      <c r="E1237" s="28">
        <v>6.7123287671232879</v>
      </c>
      <c r="F1237" s="28"/>
      <c r="G1237" s="28"/>
      <c r="H1237" s="28"/>
      <c r="I1237" s="28"/>
      <c r="J1237" s="28"/>
      <c r="L1237" s="37">
        <v>152</v>
      </c>
      <c r="M1237" s="3">
        <v>0</v>
      </c>
      <c r="N1237" s="3">
        <v>63</v>
      </c>
      <c r="O1237" s="3">
        <v>6</v>
      </c>
      <c r="P1237" s="3">
        <v>57</v>
      </c>
      <c r="Q1237" s="3">
        <v>13</v>
      </c>
      <c r="R1237" s="3">
        <v>13</v>
      </c>
      <c r="S1237" s="3">
        <v>22</v>
      </c>
      <c r="T1237" s="3">
        <v>4</v>
      </c>
      <c r="U1237" s="3">
        <v>2</v>
      </c>
      <c r="V1237" s="3">
        <v>1</v>
      </c>
      <c r="W1237" s="3">
        <v>5</v>
      </c>
      <c r="X1237" s="3">
        <v>4</v>
      </c>
    </row>
    <row r="1238" spans="1:24" x14ac:dyDescent="0.35">
      <c r="A1238">
        <v>152</v>
      </c>
      <c r="B1238">
        <v>32313</v>
      </c>
      <c r="C1238">
        <v>38</v>
      </c>
      <c r="D1238">
        <v>1</v>
      </c>
      <c r="E1238" s="28">
        <v>7.2931506849315069</v>
      </c>
      <c r="F1238" s="28"/>
      <c r="G1238" s="28"/>
      <c r="H1238" s="28"/>
      <c r="I1238" s="28"/>
      <c r="J1238" s="28"/>
      <c r="L1238" s="38">
        <v>152</v>
      </c>
      <c r="M1238" s="2">
        <v>60</v>
      </c>
      <c r="N1238" s="2">
        <v>86</v>
      </c>
      <c r="O1238" s="2">
        <v>4</v>
      </c>
      <c r="P1238" s="2">
        <v>56</v>
      </c>
      <c r="Q1238" s="2">
        <v>2</v>
      </c>
      <c r="R1238" s="2">
        <v>4</v>
      </c>
      <c r="S1238" s="2">
        <v>7</v>
      </c>
      <c r="T1238" s="2">
        <v>3</v>
      </c>
      <c r="U1238" s="2">
        <v>4</v>
      </c>
      <c r="V1238" s="2">
        <v>0</v>
      </c>
      <c r="W1238" s="2">
        <v>4</v>
      </c>
      <c r="X1238" s="2">
        <v>9</v>
      </c>
    </row>
    <row r="1239" spans="1:24" x14ac:dyDescent="0.35">
      <c r="A1239">
        <v>152</v>
      </c>
      <c r="B1239">
        <v>45503</v>
      </c>
      <c r="C1239">
        <v>45</v>
      </c>
      <c r="D1239">
        <v>1</v>
      </c>
      <c r="E1239" s="28">
        <v>6.6739726027397257</v>
      </c>
      <c r="F1239" s="28"/>
      <c r="G1239" s="28"/>
      <c r="H1239" s="28"/>
      <c r="I1239" s="28"/>
      <c r="J1239" s="28"/>
      <c r="L1239" s="37">
        <v>152</v>
      </c>
      <c r="M1239" s="3">
        <v>54</v>
      </c>
      <c r="N1239" s="3">
        <v>97</v>
      </c>
      <c r="O1239" s="3">
        <v>4</v>
      </c>
      <c r="P1239" s="3">
        <v>44</v>
      </c>
      <c r="Q1239" s="3">
        <v>6</v>
      </c>
      <c r="R1239" s="3">
        <v>1</v>
      </c>
      <c r="S1239" s="3">
        <v>18</v>
      </c>
      <c r="T1239" s="3">
        <v>1</v>
      </c>
      <c r="U1239" s="3">
        <v>3</v>
      </c>
      <c r="V1239" s="3">
        <v>1</v>
      </c>
      <c r="W1239" s="3">
        <v>4</v>
      </c>
      <c r="X1239" s="3">
        <v>5</v>
      </c>
    </row>
    <row r="1240" spans="1:24" x14ac:dyDescent="0.35">
      <c r="A1240">
        <v>152</v>
      </c>
      <c r="B1240">
        <v>56223</v>
      </c>
      <c r="C1240">
        <v>72</v>
      </c>
      <c r="D1240">
        <v>1</v>
      </c>
      <c r="E1240" s="28">
        <v>6.4383561643835616</v>
      </c>
      <c r="F1240" s="28"/>
      <c r="G1240" s="28"/>
      <c r="H1240" s="28"/>
      <c r="I1240" s="28"/>
      <c r="J1240" s="28"/>
      <c r="L1240" s="38">
        <v>152</v>
      </c>
      <c r="M1240" s="2">
        <v>72</v>
      </c>
      <c r="N1240" s="2">
        <v>77</v>
      </c>
      <c r="O1240" s="2">
        <v>28</v>
      </c>
      <c r="P1240" s="2">
        <v>31</v>
      </c>
      <c r="Q1240" s="2">
        <v>16</v>
      </c>
      <c r="R1240" s="2">
        <v>0</v>
      </c>
      <c r="S1240" s="2">
        <v>4</v>
      </c>
      <c r="T1240" s="2">
        <v>2</v>
      </c>
      <c r="U1240" s="2">
        <v>2</v>
      </c>
      <c r="V1240" s="2">
        <v>1</v>
      </c>
      <c r="W1240" s="2">
        <v>5</v>
      </c>
      <c r="X1240" s="2">
        <v>4</v>
      </c>
    </row>
    <row r="1241" spans="1:24" x14ac:dyDescent="0.35">
      <c r="A1241">
        <v>152</v>
      </c>
      <c r="B1241">
        <v>47808</v>
      </c>
      <c r="C1241">
        <v>45</v>
      </c>
      <c r="D1241">
        <v>1</v>
      </c>
      <c r="E1241" s="28">
        <v>6.6054794520547944</v>
      </c>
      <c r="F1241" s="28"/>
      <c r="G1241" s="28"/>
      <c r="H1241" s="28"/>
      <c r="I1241" s="28"/>
      <c r="J1241" s="28"/>
      <c r="L1241" s="37">
        <v>152</v>
      </c>
      <c r="M1241" s="3">
        <v>30</v>
      </c>
      <c r="N1241" s="3">
        <v>123</v>
      </c>
      <c r="O1241" s="3">
        <v>1</v>
      </c>
      <c r="P1241" s="3">
        <v>26</v>
      </c>
      <c r="Q1241" s="3">
        <v>2</v>
      </c>
      <c r="R1241" s="3">
        <v>0</v>
      </c>
      <c r="S1241" s="3">
        <v>72</v>
      </c>
      <c r="T1241" s="3">
        <v>2</v>
      </c>
      <c r="U1241" s="3">
        <v>3</v>
      </c>
      <c r="V1241" s="3">
        <v>2</v>
      </c>
      <c r="W1241" s="3">
        <v>3</v>
      </c>
      <c r="X1241" s="3">
        <v>7</v>
      </c>
    </row>
    <row r="1242" spans="1:24" x14ac:dyDescent="0.35">
      <c r="A1242">
        <v>152</v>
      </c>
      <c r="B1242">
        <v>51287</v>
      </c>
      <c r="C1242">
        <v>52</v>
      </c>
      <c r="D1242">
        <v>1</v>
      </c>
      <c r="E1242" s="28">
        <v>6.1589041095890407</v>
      </c>
      <c r="F1242" s="28"/>
      <c r="G1242" s="28"/>
      <c r="H1242" s="28"/>
      <c r="I1242" s="28"/>
      <c r="J1242" s="28"/>
      <c r="L1242" s="38">
        <v>152</v>
      </c>
      <c r="M1242" s="2">
        <v>10</v>
      </c>
      <c r="N1242" s="2">
        <v>117</v>
      </c>
      <c r="O1242" s="2">
        <v>0</v>
      </c>
      <c r="P1242" s="2">
        <v>22</v>
      </c>
      <c r="Q1242" s="2">
        <v>13</v>
      </c>
      <c r="R1242" s="2">
        <v>0</v>
      </c>
      <c r="S1242" s="2">
        <v>30</v>
      </c>
      <c r="T1242" s="2">
        <v>3</v>
      </c>
      <c r="U1242" s="2">
        <v>4</v>
      </c>
      <c r="V1242" s="2">
        <v>1</v>
      </c>
      <c r="W1242" s="2">
        <v>3</v>
      </c>
      <c r="X1242" s="2">
        <v>7</v>
      </c>
    </row>
    <row r="1243" spans="1:24" x14ac:dyDescent="0.35">
      <c r="A1243">
        <v>152</v>
      </c>
      <c r="B1243">
        <v>55761</v>
      </c>
      <c r="C1243">
        <v>56</v>
      </c>
      <c r="D1243">
        <v>1</v>
      </c>
      <c r="E1243" s="28">
        <v>6.095890410958904</v>
      </c>
      <c r="F1243" s="28"/>
      <c r="G1243" s="28"/>
      <c r="H1243" s="28"/>
      <c r="I1243" s="28"/>
      <c r="J1243" s="28"/>
      <c r="L1243" s="37">
        <v>152</v>
      </c>
      <c r="M1243" s="3">
        <v>97</v>
      </c>
      <c r="N1243" s="3">
        <v>136</v>
      </c>
      <c r="O1243" s="3">
        <v>1</v>
      </c>
      <c r="P1243" s="3">
        <v>12</v>
      </c>
      <c r="Q1243" s="3">
        <v>0</v>
      </c>
      <c r="R1243" s="3">
        <v>3</v>
      </c>
      <c r="S1243" s="3">
        <v>32</v>
      </c>
      <c r="T1243" s="3">
        <v>2</v>
      </c>
      <c r="U1243" s="3">
        <v>4</v>
      </c>
      <c r="V1243" s="3">
        <v>1</v>
      </c>
      <c r="W1243" s="3">
        <v>3</v>
      </c>
      <c r="X1243" s="3">
        <v>6</v>
      </c>
    </row>
    <row r="1244" spans="1:24" x14ac:dyDescent="0.35">
      <c r="A1244">
        <v>151</v>
      </c>
      <c r="B1244">
        <v>52869</v>
      </c>
      <c r="C1244">
        <v>66</v>
      </c>
      <c r="D1244">
        <v>1</v>
      </c>
      <c r="E1244" s="28">
        <v>7.6191780821917812</v>
      </c>
      <c r="F1244" s="28"/>
      <c r="G1244" s="28"/>
      <c r="H1244" s="28"/>
      <c r="I1244" s="28"/>
      <c r="J1244" s="28"/>
      <c r="L1244" s="38">
        <v>151</v>
      </c>
      <c r="M1244" s="2">
        <v>40</v>
      </c>
      <c r="N1244" s="2">
        <v>84</v>
      </c>
      <c r="O1244" s="2">
        <v>3</v>
      </c>
      <c r="P1244" s="2">
        <v>61</v>
      </c>
      <c r="Q1244" s="2">
        <v>2</v>
      </c>
      <c r="R1244" s="2">
        <v>1</v>
      </c>
      <c r="S1244" s="2">
        <v>21</v>
      </c>
      <c r="T1244" s="2">
        <v>3</v>
      </c>
      <c r="U1244" s="2">
        <v>3</v>
      </c>
      <c r="V1244" s="2">
        <v>1</v>
      </c>
      <c r="W1244" s="2">
        <v>4</v>
      </c>
      <c r="X1244" s="2">
        <v>7</v>
      </c>
    </row>
    <row r="1245" spans="1:24" x14ac:dyDescent="0.35">
      <c r="A1245">
        <v>151</v>
      </c>
      <c r="B1245">
        <v>39763</v>
      </c>
      <c r="C1245">
        <v>49</v>
      </c>
      <c r="D1245">
        <v>1</v>
      </c>
      <c r="E1245" s="28">
        <v>6.816438356164384</v>
      </c>
      <c r="F1245" s="28"/>
      <c r="G1245" s="28"/>
      <c r="H1245" s="28"/>
      <c r="I1245" s="28"/>
      <c r="J1245" s="28"/>
      <c r="L1245" s="37">
        <v>151</v>
      </c>
      <c r="M1245" s="3">
        <v>9</v>
      </c>
      <c r="N1245" s="3">
        <v>80</v>
      </c>
      <c r="O1245" s="3">
        <v>1</v>
      </c>
      <c r="P1245" s="3">
        <v>60</v>
      </c>
      <c r="Q1245" s="3">
        <v>4</v>
      </c>
      <c r="R1245" s="3">
        <v>6</v>
      </c>
      <c r="S1245" s="3">
        <v>16</v>
      </c>
      <c r="T1245" s="3">
        <v>2</v>
      </c>
      <c r="U1245" s="3">
        <v>5</v>
      </c>
      <c r="V1245" s="3">
        <v>1</v>
      </c>
      <c r="W1245" s="3">
        <v>2</v>
      </c>
      <c r="X1245" s="3">
        <v>9</v>
      </c>
    </row>
    <row r="1246" spans="1:24" x14ac:dyDescent="0.35">
      <c r="A1246">
        <v>151</v>
      </c>
      <c r="B1246">
        <v>34380</v>
      </c>
      <c r="C1246">
        <v>43</v>
      </c>
      <c r="D1246">
        <v>1</v>
      </c>
      <c r="E1246" s="28">
        <v>7.0739726027397261</v>
      </c>
      <c r="F1246" s="28"/>
      <c r="G1246" s="28"/>
      <c r="H1246" s="28"/>
      <c r="I1246" s="28"/>
      <c r="J1246" s="28"/>
      <c r="L1246" s="38">
        <v>151</v>
      </c>
      <c r="M1246" s="2">
        <v>68</v>
      </c>
      <c r="N1246" s="2">
        <v>72</v>
      </c>
      <c r="O1246" s="2">
        <v>7</v>
      </c>
      <c r="P1246" s="2">
        <v>58</v>
      </c>
      <c r="Q1246" s="2">
        <v>13</v>
      </c>
      <c r="R1246" s="2">
        <v>1</v>
      </c>
      <c r="S1246" s="2">
        <v>24</v>
      </c>
      <c r="T1246" s="2">
        <v>4</v>
      </c>
      <c r="U1246" s="2">
        <v>4</v>
      </c>
      <c r="V1246" s="2">
        <v>1</v>
      </c>
      <c r="W1246" s="2">
        <v>3</v>
      </c>
      <c r="X1246" s="2">
        <v>8</v>
      </c>
    </row>
    <row r="1247" spans="1:24" x14ac:dyDescent="0.35">
      <c r="A1247">
        <v>151</v>
      </c>
      <c r="B1247">
        <v>31497</v>
      </c>
      <c r="C1247">
        <v>58</v>
      </c>
      <c r="D1247">
        <v>1</v>
      </c>
      <c r="E1247" s="28">
        <v>7.4767123287671229</v>
      </c>
      <c r="F1247" s="28"/>
      <c r="G1247" s="28"/>
      <c r="H1247" s="28"/>
      <c r="I1247" s="28"/>
      <c r="J1247" s="28"/>
      <c r="L1247" s="37">
        <v>151</v>
      </c>
      <c r="M1247" s="3">
        <v>22</v>
      </c>
      <c r="N1247" s="3">
        <v>108</v>
      </c>
      <c r="O1247" s="3">
        <v>1</v>
      </c>
      <c r="P1247" s="3">
        <v>28</v>
      </c>
      <c r="Q1247" s="3">
        <v>13</v>
      </c>
      <c r="R1247" s="3">
        <v>1</v>
      </c>
      <c r="S1247" s="3">
        <v>4</v>
      </c>
      <c r="T1247" s="3">
        <v>2</v>
      </c>
      <c r="U1247" s="3">
        <v>3</v>
      </c>
      <c r="V1247" s="3">
        <v>1</v>
      </c>
      <c r="W1247" s="3">
        <v>4</v>
      </c>
      <c r="X1247" s="3">
        <v>8</v>
      </c>
    </row>
    <row r="1248" spans="1:24" x14ac:dyDescent="0.35">
      <c r="A1248">
        <v>151</v>
      </c>
      <c r="B1248">
        <v>53154</v>
      </c>
      <c r="C1248">
        <v>61</v>
      </c>
      <c r="D1248">
        <v>1</v>
      </c>
      <c r="E1248" s="28">
        <v>5.9698630136986299</v>
      </c>
      <c r="F1248" s="28"/>
      <c r="G1248" s="28"/>
      <c r="H1248" s="28"/>
      <c r="I1248" s="28"/>
      <c r="J1248" s="28"/>
      <c r="L1248" s="38">
        <v>151</v>
      </c>
      <c r="M1248" s="2">
        <v>50</v>
      </c>
      <c r="N1248" s="2">
        <v>129</v>
      </c>
      <c r="O1248" s="2">
        <v>0</v>
      </c>
      <c r="P1248" s="2">
        <v>21</v>
      </c>
      <c r="Q1248" s="2">
        <v>0</v>
      </c>
      <c r="R1248" s="2">
        <v>1</v>
      </c>
      <c r="S1248" s="2">
        <v>7</v>
      </c>
      <c r="T1248" s="2">
        <v>1</v>
      </c>
      <c r="U1248" s="2">
        <v>3</v>
      </c>
      <c r="V1248" s="2">
        <v>1</v>
      </c>
      <c r="W1248" s="2">
        <v>4</v>
      </c>
      <c r="X1248" s="2">
        <v>4</v>
      </c>
    </row>
    <row r="1249" spans="1:24" x14ac:dyDescent="0.35">
      <c r="A1249">
        <v>151</v>
      </c>
      <c r="B1249">
        <v>51141</v>
      </c>
      <c r="C1249">
        <v>80</v>
      </c>
      <c r="D1249">
        <v>0</v>
      </c>
      <c r="E1249" s="28">
        <v>6.8904109589041092</v>
      </c>
      <c r="F1249" s="28"/>
      <c r="G1249" s="28"/>
      <c r="H1249" s="28"/>
      <c r="I1249" s="28"/>
      <c r="J1249" s="28"/>
      <c r="L1249" s="37">
        <v>151</v>
      </c>
      <c r="M1249" s="3">
        <v>96</v>
      </c>
      <c r="N1249" s="3">
        <v>144</v>
      </c>
      <c r="O1249" s="3">
        <v>0</v>
      </c>
      <c r="P1249" s="3">
        <v>7</v>
      </c>
      <c r="Q1249" s="3">
        <v>0</v>
      </c>
      <c r="R1249" s="3">
        <v>0</v>
      </c>
      <c r="S1249" s="3">
        <v>6</v>
      </c>
      <c r="T1249" s="3">
        <v>1</v>
      </c>
      <c r="U1249" s="3">
        <v>3</v>
      </c>
      <c r="V1249" s="3">
        <v>1</v>
      </c>
      <c r="W1249" s="3">
        <v>4</v>
      </c>
      <c r="X1249" s="3">
        <v>5</v>
      </c>
    </row>
    <row r="1250" spans="1:24" x14ac:dyDescent="0.35">
      <c r="A1250">
        <v>150</v>
      </c>
      <c r="B1250">
        <v>38175</v>
      </c>
      <c r="C1250">
        <v>36</v>
      </c>
      <c r="D1250">
        <v>1</v>
      </c>
      <c r="E1250" s="28">
        <v>6.6794520547945204</v>
      </c>
      <c r="F1250" s="28"/>
      <c r="G1250" s="28"/>
      <c r="H1250" s="28"/>
      <c r="I1250" s="28"/>
      <c r="J1250" s="28"/>
      <c r="L1250" s="38">
        <v>150</v>
      </c>
      <c r="M1250" s="2">
        <v>6</v>
      </c>
      <c r="N1250" s="2">
        <v>70</v>
      </c>
      <c r="O1250" s="2">
        <v>6</v>
      </c>
      <c r="P1250" s="2">
        <v>69</v>
      </c>
      <c r="Q1250" s="2">
        <v>2</v>
      </c>
      <c r="R1250" s="2">
        <v>3</v>
      </c>
      <c r="S1250" s="2">
        <v>3</v>
      </c>
      <c r="T1250" s="2">
        <v>3</v>
      </c>
      <c r="U1250" s="2">
        <v>3</v>
      </c>
      <c r="V1250" s="2">
        <v>1</v>
      </c>
      <c r="W1250" s="2">
        <v>4</v>
      </c>
      <c r="X1250" s="2">
        <v>7</v>
      </c>
    </row>
    <row r="1251" spans="1:24" x14ac:dyDescent="0.35">
      <c r="A1251">
        <v>150</v>
      </c>
      <c r="B1251">
        <v>35641</v>
      </c>
      <c r="C1251">
        <v>48</v>
      </c>
      <c r="D1251">
        <v>1</v>
      </c>
      <c r="E1251" s="28">
        <v>6.8739726027397259</v>
      </c>
      <c r="F1251" s="28"/>
      <c r="G1251" s="28"/>
      <c r="H1251" s="28"/>
      <c r="I1251" s="28"/>
      <c r="J1251" s="28"/>
      <c r="L1251" s="37">
        <v>150</v>
      </c>
      <c r="M1251" s="3">
        <v>11</v>
      </c>
      <c r="N1251" s="3">
        <v>63</v>
      </c>
      <c r="O1251" s="3">
        <v>3</v>
      </c>
      <c r="P1251" s="3">
        <v>67</v>
      </c>
      <c r="Q1251" s="3">
        <v>8</v>
      </c>
      <c r="R1251" s="3">
        <v>9</v>
      </c>
      <c r="S1251" s="3">
        <v>28</v>
      </c>
      <c r="T1251" s="3">
        <v>2</v>
      </c>
      <c r="U1251" s="3">
        <v>3</v>
      </c>
      <c r="V1251" s="3">
        <v>1</v>
      </c>
      <c r="W1251" s="3">
        <v>4</v>
      </c>
      <c r="X1251" s="3">
        <v>7</v>
      </c>
    </row>
    <row r="1252" spans="1:24" x14ac:dyDescent="0.35">
      <c r="A1252">
        <v>150</v>
      </c>
      <c r="B1252">
        <v>60033</v>
      </c>
      <c r="C1252">
        <v>66</v>
      </c>
      <c r="D1252">
        <v>1</v>
      </c>
      <c r="E1252" s="28">
        <v>6.1671232876712327</v>
      </c>
      <c r="F1252" s="28"/>
      <c r="G1252" s="28"/>
      <c r="H1252" s="28"/>
      <c r="I1252" s="28"/>
      <c r="J1252" s="28"/>
      <c r="L1252" s="38">
        <v>150</v>
      </c>
      <c r="M1252" s="2">
        <v>28</v>
      </c>
      <c r="N1252" s="2">
        <v>62</v>
      </c>
      <c r="O1252" s="2">
        <v>1</v>
      </c>
      <c r="P1252" s="2">
        <v>57</v>
      </c>
      <c r="Q1252" s="2">
        <v>19</v>
      </c>
      <c r="R1252" s="2">
        <v>11</v>
      </c>
      <c r="S1252" s="2">
        <v>48</v>
      </c>
      <c r="T1252" s="2">
        <v>2</v>
      </c>
      <c r="U1252" s="2">
        <v>2</v>
      </c>
      <c r="V1252" s="2">
        <v>1</v>
      </c>
      <c r="W1252" s="2">
        <v>5</v>
      </c>
      <c r="X1252" s="2">
        <v>2</v>
      </c>
    </row>
    <row r="1253" spans="1:24" x14ac:dyDescent="0.35">
      <c r="A1253">
        <v>150</v>
      </c>
      <c r="B1253">
        <v>62307</v>
      </c>
      <c r="C1253">
        <v>68</v>
      </c>
      <c r="D1253">
        <v>1</v>
      </c>
      <c r="E1253" s="28">
        <v>6.2767123287671236</v>
      </c>
      <c r="F1253" s="28"/>
      <c r="G1253" s="28"/>
      <c r="H1253" s="28"/>
      <c r="I1253" s="28"/>
      <c r="J1253" s="28"/>
      <c r="L1253" s="37">
        <v>150</v>
      </c>
      <c r="M1253" s="3">
        <v>94</v>
      </c>
      <c r="N1253" s="3">
        <v>87</v>
      </c>
      <c r="O1253" s="3">
        <v>13</v>
      </c>
      <c r="P1253" s="3">
        <v>34</v>
      </c>
      <c r="Q1253" s="3">
        <v>10</v>
      </c>
      <c r="R1253" s="3">
        <v>6</v>
      </c>
      <c r="S1253" s="3">
        <v>10</v>
      </c>
      <c r="T1253" s="3">
        <v>1</v>
      </c>
      <c r="U1253" s="3">
        <v>4</v>
      </c>
      <c r="V1253" s="3">
        <v>0</v>
      </c>
      <c r="W1253" s="3">
        <v>4</v>
      </c>
      <c r="X1253" s="3">
        <v>5</v>
      </c>
    </row>
    <row r="1254" spans="1:24" x14ac:dyDescent="0.35">
      <c r="A1254">
        <v>150</v>
      </c>
      <c r="B1254">
        <v>61278</v>
      </c>
      <c r="C1254">
        <v>67</v>
      </c>
      <c r="D1254">
        <v>1</v>
      </c>
      <c r="E1254" s="28">
        <v>6.397260273972603</v>
      </c>
      <c r="F1254" s="28"/>
      <c r="G1254" s="28"/>
      <c r="H1254" s="28"/>
      <c r="I1254" s="28"/>
      <c r="J1254" s="28"/>
      <c r="L1254" s="38">
        <v>150</v>
      </c>
      <c r="M1254" s="2">
        <v>87</v>
      </c>
      <c r="N1254" s="2">
        <v>111</v>
      </c>
      <c r="O1254" s="2">
        <v>3</v>
      </c>
      <c r="P1254" s="2">
        <v>28</v>
      </c>
      <c r="Q1254" s="2">
        <v>2</v>
      </c>
      <c r="R1254" s="2">
        <v>6</v>
      </c>
      <c r="S1254" s="2">
        <v>15</v>
      </c>
      <c r="T1254" s="2">
        <v>2</v>
      </c>
      <c r="U1254" s="2">
        <v>3</v>
      </c>
      <c r="V1254" s="2">
        <v>1</v>
      </c>
      <c r="W1254" s="2">
        <v>4</v>
      </c>
      <c r="X1254" s="2">
        <v>6</v>
      </c>
    </row>
    <row r="1255" spans="1:24" x14ac:dyDescent="0.35">
      <c r="A1255">
        <v>150</v>
      </c>
      <c r="B1255">
        <v>42011</v>
      </c>
      <c r="C1255">
        <v>42</v>
      </c>
      <c r="D1255">
        <v>1</v>
      </c>
      <c r="E1255" s="28">
        <v>7.1753424657534248</v>
      </c>
      <c r="F1255" s="28"/>
      <c r="G1255" s="28"/>
      <c r="H1255" s="28"/>
      <c r="I1255" s="28"/>
      <c r="J1255" s="28"/>
      <c r="L1255" s="37">
        <v>150</v>
      </c>
      <c r="M1255" s="3">
        <v>46</v>
      </c>
      <c r="N1255" s="3">
        <v>131</v>
      </c>
      <c r="O1255" s="3">
        <v>0</v>
      </c>
      <c r="P1255" s="3">
        <v>16</v>
      </c>
      <c r="Q1255" s="3">
        <v>2</v>
      </c>
      <c r="R1255" s="3">
        <v>1</v>
      </c>
      <c r="S1255" s="3">
        <v>39</v>
      </c>
      <c r="T1255" s="3">
        <v>4</v>
      </c>
      <c r="U1255" s="3">
        <v>3</v>
      </c>
      <c r="V1255" s="3">
        <v>1</v>
      </c>
      <c r="W1255" s="3">
        <v>4</v>
      </c>
      <c r="X1255" s="3">
        <v>8</v>
      </c>
    </row>
    <row r="1256" spans="1:24" x14ac:dyDescent="0.35">
      <c r="A1256">
        <v>149</v>
      </c>
      <c r="B1256">
        <v>24570</v>
      </c>
      <c r="C1256">
        <v>36</v>
      </c>
      <c r="D1256">
        <v>1</v>
      </c>
      <c r="E1256" s="28">
        <v>7.2493150684931509</v>
      </c>
      <c r="F1256" s="28"/>
      <c r="G1256" s="28"/>
      <c r="H1256" s="28"/>
      <c r="I1256" s="28"/>
      <c r="J1256" s="28"/>
      <c r="L1256" s="38">
        <v>149</v>
      </c>
      <c r="M1256" s="2">
        <v>97</v>
      </c>
      <c r="N1256" s="2">
        <v>28</v>
      </c>
      <c r="O1256" s="2">
        <v>34</v>
      </c>
      <c r="P1256" s="2">
        <v>62</v>
      </c>
      <c r="Q1256" s="2">
        <v>11</v>
      </c>
      <c r="R1256" s="2">
        <v>14</v>
      </c>
      <c r="S1256" s="2">
        <v>44</v>
      </c>
      <c r="T1256" s="2">
        <v>3</v>
      </c>
      <c r="U1256" s="2">
        <v>4</v>
      </c>
      <c r="V1256" s="2">
        <v>0</v>
      </c>
      <c r="W1256" s="2">
        <v>4</v>
      </c>
      <c r="X1256" s="2">
        <v>9</v>
      </c>
    </row>
    <row r="1257" spans="1:24" x14ac:dyDescent="0.35">
      <c r="A1257">
        <v>149</v>
      </c>
      <c r="B1257">
        <v>29999</v>
      </c>
      <c r="C1257">
        <v>34</v>
      </c>
      <c r="D1257">
        <v>1</v>
      </c>
      <c r="E1257" s="28">
        <v>7.2876712328767121</v>
      </c>
      <c r="F1257" s="28"/>
      <c r="G1257" s="28"/>
      <c r="H1257" s="28"/>
      <c r="I1257" s="28"/>
      <c r="J1257" s="28"/>
      <c r="L1257" s="37">
        <v>149</v>
      </c>
      <c r="M1257" s="3">
        <v>22</v>
      </c>
      <c r="N1257" s="3">
        <v>68</v>
      </c>
      <c r="O1257" s="3">
        <v>7</v>
      </c>
      <c r="P1257" s="3">
        <v>59</v>
      </c>
      <c r="Q1257" s="3">
        <v>10</v>
      </c>
      <c r="R1257" s="3">
        <v>5</v>
      </c>
      <c r="S1257" s="3">
        <v>11</v>
      </c>
      <c r="T1257" s="3">
        <v>4</v>
      </c>
      <c r="U1257" s="3">
        <v>3</v>
      </c>
      <c r="V1257" s="3">
        <v>1</v>
      </c>
      <c r="W1257" s="3">
        <v>4</v>
      </c>
      <c r="X1257" s="3">
        <v>8</v>
      </c>
    </row>
    <row r="1258" spans="1:24" x14ac:dyDescent="0.35">
      <c r="A1258">
        <v>149</v>
      </c>
      <c r="B1258">
        <v>43300</v>
      </c>
      <c r="C1258">
        <v>49</v>
      </c>
      <c r="D1258">
        <v>1</v>
      </c>
      <c r="E1258" s="28">
        <v>7.624657534246575</v>
      </c>
      <c r="F1258" s="28"/>
      <c r="G1258" s="28"/>
      <c r="H1258" s="28"/>
      <c r="I1258" s="28"/>
      <c r="J1258" s="28"/>
      <c r="L1258" s="38">
        <v>149</v>
      </c>
      <c r="M1258" s="2">
        <v>87</v>
      </c>
      <c r="N1258" s="2">
        <v>91</v>
      </c>
      <c r="O1258" s="2">
        <v>3</v>
      </c>
      <c r="P1258" s="2">
        <v>52</v>
      </c>
      <c r="Q1258" s="2">
        <v>2</v>
      </c>
      <c r="R1258" s="2">
        <v>1</v>
      </c>
      <c r="S1258" s="2">
        <v>31</v>
      </c>
      <c r="T1258" s="2">
        <v>3</v>
      </c>
      <c r="U1258" s="2">
        <v>4</v>
      </c>
      <c r="V1258" s="2">
        <v>0</v>
      </c>
      <c r="W1258" s="2">
        <v>4</v>
      </c>
      <c r="X1258" s="2">
        <v>8</v>
      </c>
    </row>
    <row r="1259" spans="1:24" x14ac:dyDescent="0.35">
      <c r="A1259">
        <v>149</v>
      </c>
      <c r="B1259">
        <v>21888</v>
      </c>
      <c r="C1259">
        <v>34</v>
      </c>
      <c r="D1259">
        <v>1</v>
      </c>
      <c r="E1259" s="28">
        <v>7.4136986301369863</v>
      </c>
      <c r="F1259" s="28"/>
      <c r="G1259" s="28"/>
      <c r="H1259" s="28"/>
      <c r="I1259" s="28"/>
      <c r="J1259" s="28"/>
      <c r="L1259" s="37">
        <v>149</v>
      </c>
      <c r="M1259" s="3">
        <v>15</v>
      </c>
      <c r="N1259" s="3">
        <v>88</v>
      </c>
      <c r="O1259" s="3">
        <v>10</v>
      </c>
      <c r="P1259" s="3">
        <v>46</v>
      </c>
      <c r="Q1259" s="3">
        <v>2</v>
      </c>
      <c r="R1259" s="3">
        <v>3</v>
      </c>
      <c r="S1259" s="3">
        <v>64</v>
      </c>
      <c r="T1259" s="3">
        <v>4</v>
      </c>
      <c r="U1259" s="3">
        <v>5</v>
      </c>
      <c r="V1259" s="3">
        <v>1</v>
      </c>
      <c r="W1259" s="3">
        <v>2</v>
      </c>
      <c r="X1259" s="3">
        <v>10</v>
      </c>
    </row>
    <row r="1260" spans="1:24" x14ac:dyDescent="0.35">
      <c r="A1260">
        <v>149</v>
      </c>
      <c r="B1260">
        <v>41713</v>
      </c>
      <c r="C1260">
        <v>56</v>
      </c>
      <c r="D1260">
        <v>1</v>
      </c>
      <c r="E1260" s="28">
        <v>6.0821917808219181</v>
      </c>
      <c r="F1260" s="28"/>
      <c r="G1260" s="28"/>
      <c r="H1260" s="28"/>
      <c r="I1260" s="28"/>
      <c r="J1260" s="28"/>
      <c r="L1260" s="38">
        <v>149</v>
      </c>
      <c r="M1260" s="2">
        <v>57</v>
      </c>
      <c r="N1260" s="2">
        <v>77</v>
      </c>
      <c r="O1260" s="2">
        <v>8</v>
      </c>
      <c r="P1260" s="2">
        <v>44</v>
      </c>
      <c r="Q1260" s="2">
        <v>10</v>
      </c>
      <c r="R1260" s="2">
        <v>10</v>
      </c>
      <c r="S1260" s="2">
        <v>25</v>
      </c>
      <c r="T1260" s="2">
        <v>5</v>
      </c>
      <c r="U1260" s="2">
        <v>3</v>
      </c>
      <c r="V1260" s="2">
        <v>1</v>
      </c>
      <c r="W1260" s="2">
        <v>4</v>
      </c>
      <c r="X1260" s="2">
        <v>6</v>
      </c>
    </row>
    <row r="1261" spans="1:24" x14ac:dyDescent="0.35">
      <c r="A1261">
        <v>149</v>
      </c>
      <c r="B1261">
        <v>54342</v>
      </c>
      <c r="C1261">
        <v>64</v>
      </c>
      <c r="D1261">
        <v>1</v>
      </c>
      <c r="E1261" s="28">
        <v>6.904109589041096</v>
      </c>
      <c r="F1261" s="28"/>
      <c r="G1261" s="28"/>
      <c r="H1261" s="28"/>
      <c r="I1261" s="28"/>
      <c r="J1261" s="28"/>
      <c r="L1261" s="37">
        <v>149</v>
      </c>
      <c r="M1261" s="3">
        <v>74</v>
      </c>
      <c r="N1261" s="3">
        <v>84</v>
      </c>
      <c r="O1261" s="3">
        <v>10</v>
      </c>
      <c r="P1261" s="3">
        <v>34</v>
      </c>
      <c r="Q1261" s="3">
        <v>11</v>
      </c>
      <c r="R1261" s="3">
        <v>10</v>
      </c>
      <c r="S1261" s="3">
        <v>28</v>
      </c>
      <c r="T1261" s="3">
        <v>4</v>
      </c>
      <c r="U1261" s="3">
        <v>3</v>
      </c>
      <c r="V1261" s="3">
        <v>1</v>
      </c>
      <c r="W1261" s="3">
        <v>4</v>
      </c>
      <c r="X1261" s="3">
        <v>6</v>
      </c>
    </row>
    <row r="1262" spans="1:24" x14ac:dyDescent="0.35">
      <c r="A1262">
        <v>149</v>
      </c>
      <c r="B1262">
        <v>59385</v>
      </c>
      <c r="C1262">
        <v>69</v>
      </c>
      <c r="D1262">
        <v>1</v>
      </c>
      <c r="E1262" s="28">
        <v>7.0849315068493155</v>
      </c>
      <c r="F1262" s="28"/>
      <c r="G1262" s="28"/>
      <c r="H1262" s="28"/>
      <c r="I1262" s="28"/>
      <c r="J1262" s="28"/>
      <c r="L1262" s="38">
        <v>149</v>
      </c>
      <c r="M1262" s="2">
        <v>85</v>
      </c>
      <c r="N1262" s="2">
        <v>135</v>
      </c>
      <c r="O1262" s="2">
        <v>0</v>
      </c>
      <c r="P1262" s="2">
        <v>10</v>
      </c>
      <c r="Q1262" s="2">
        <v>0</v>
      </c>
      <c r="R1262" s="2">
        <v>4</v>
      </c>
      <c r="S1262" s="2">
        <v>36</v>
      </c>
      <c r="T1262" s="2">
        <v>2</v>
      </c>
      <c r="U1262" s="2">
        <v>3</v>
      </c>
      <c r="V1262" s="2">
        <v>1</v>
      </c>
      <c r="W1262" s="2">
        <v>4</v>
      </c>
      <c r="X1262" s="2">
        <v>5</v>
      </c>
    </row>
    <row r="1263" spans="1:24" x14ac:dyDescent="0.35">
      <c r="A1263">
        <v>148</v>
      </c>
      <c r="B1263">
        <v>29760</v>
      </c>
      <c r="C1263">
        <v>35</v>
      </c>
      <c r="D1263">
        <v>1</v>
      </c>
      <c r="E1263" s="28">
        <v>7.7479452054794518</v>
      </c>
      <c r="F1263" s="28"/>
      <c r="G1263" s="28"/>
      <c r="H1263" s="28"/>
      <c r="I1263" s="28"/>
      <c r="J1263" s="28"/>
      <c r="L1263" s="37">
        <v>148</v>
      </c>
      <c r="M1263" s="3">
        <v>87</v>
      </c>
      <c r="N1263" s="3">
        <v>64</v>
      </c>
      <c r="O1263" s="3">
        <v>4</v>
      </c>
      <c r="P1263" s="3">
        <v>68</v>
      </c>
      <c r="Q1263" s="3">
        <v>7</v>
      </c>
      <c r="R1263" s="3">
        <v>5</v>
      </c>
      <c r="S1263" s="3">
        <v>17</v>
      </c>
      <c r="T1263" s="3">
        <v>4</v>
      </c>
      <c r="U1263" s="3">
        <v>3</v>
      </c>
      <c r="V1263" s="3">
        <v>1</v>
      </c>
      <c r="W1263" s="3">
        <v>4</v>
      </c>
      <c r="X1263" s="3">
        <v>8</v>
      </c>
    </row>
    <row r="1264" spans="1:24" x14ac:dyDescent="0.35">
      <c r="A1264">
        <v>148</v>
      </c>
      <c r="B1264">
        <v>55375</v>
      </c>
      <c r="C1264">
        <v>43</v>
      </c>
      <c r="D1264">
        <v>1</v>
      </c>
      <c r="E1264" s="28">
        <v>6.6136986301369864</v>
      </c>
      <c r="F1264" s="28"/>
      <c r="G1264" s="28"/>
      <c r="H1264" s="28"/>
      <c r="I1264" s="28"/>
      <c r="J1264" s="28"/>
      <c r="L1264" s="38">
        <v>148</v>
      </c>
      <c r="M1264" s="2">
        <v>3</v>
      </c>
      <c r="N1264" s="2">
        <v>42</v>
      </c>
      <c r="O1264" s="2">
        <v>11</v>
      </c>
      <c r="P1264" s="2">
        <v>57</v>
      </c>
      <c r="Q1264" s="2">
        <v>10</v>
      </c>
      <c r="R1264" s="2">
        <v>28</v>
      </c>
      <c r="S1264" s="2">
        <v>14</v>
      </c>
      <c r="T1264" s="2">
        <v>1</v>
      </c>
      <c r="U1264" s="2">
        <v>1</v>
      </c>
      <c r="V1264" s="2">
        <v>1</v>
      </c>
      <c r="W1264" s="2">
        <v>6</v>
      </c>
      <c r="X1264" s="2">
        <v>2</v>
      </c>
    </row>
    <row r="1265" spans="1:24" x14ac:dyDescent="0.35">
      <c r="A1265">
        <v>148</v>
      </c>
      <c r="B1265">
        <v>33629</v>
      </c>
      <c r="C1265">
        <v>57</v>
      </c>
      <c r="D1265">
        <v>1</v>
      </c>
      <c r="E1265" s="28">
        <v>7.8054794520547945</v>
      </c>
      <c r="F1265" s="28"/>
      <c r="G1265" s="28"/>
      <c r="H1265" s="28"/>
      <c r="I1265" s="28"/>
      <c r="J1265" s="28"/>
      <c r="L1265" s="37">
        <v>148</v>
      </c>
      <c r="M1265" s="3">
        <v>49</v>
      </c>
      <c r="N1265" s="3">
        <v>132</v>
      </c>
      <c r="O1265" s="3">
        <v>0</v>
      </c>
      <c r="P1265" s="3">
        <v>16</v>
      </c>
      <c r="Q1265" s="3">
        <v>0</v>
      </c>
      <c r="R1265" s="3">
        <v>0</v>
      </c>
      <c r="S1265" s="3">
        <v>4</v>
      </c>
      <c r="T1265" s="3">
        <v>5</v>
      </c>
      <c r="U1265" s="3">
        <v>3</v>
      </c>
      <c r="V1265" s="3">
        <v>1</v>
      </c>
      <c r="W1265" s="3">
        <v>4</v>
      </c>
      <c r="X1265" s="3">
        <v>9</v>
      </c>
    </row>
    <row r="1266" spans="1:24" x14ac:dyDescent="0.35">
      <c r="A1266">
        <v>147</v>
      </c>
      <c r="B1266">
        <v>40233</v>
      </c>
      <c r="C1266">
        <v>45</v>
      </c>
      <c r="D1266">
        <v>1</v>
      </c>
      <c r="E1266" s="28">
        <v>6.6219178082191785</v>
      </c>
      <c r="F1266" s="28"/>
      <c r="G1266" s="28"/>
      <c r="H1266" s="28"/>
      <c r="I1266" s="28"/>
      <c r="J1266" s="28"/>
      <c r="L1266" s="38">
        <v>147</v>
      </c>
      <c r="M1266" s="2">
        <v>84</v>
      </c>
      <c r="N1266" s="2">
        <v>80</v>
      </c>
      <c r="O1266" s="2">
        <v>4</v>
      </c>
      <c r="P1266" s="2">
        <v>46</v>
      </c>
      <c r="Q1266" s="2">
        <v>0</v>
      </c>
      <c r="R1266" s="2">
        <v>17</v>
      </c>
      <c r="S1266" s="2">
        <v>2</v>
      </c>
      <c r="T1266" s="2">
        <v>5</v>
      </c>
      <c r="U1266" s="2">
        <v>2</v>
      </c>
      <c r="V1266" s="2">
        <v>1</v>
      </c>
      <c r="W1266" s="2">
        <v>5</v>
      </c>
      <c r="X1266" s="2">
        <v>6</v>
      </c>
    </row>
    <row r="1267" spans="1:24" x14ac:dyDescent="0.35">
      <c r="A1267">
        <v>147</v>
      </c>
      <c r="B1267">
        <v>37716</v>
      </c>
      <c r="C1267">
        <v>67</v>
      </c>
      <c r="D1267">
        <v>1</v>
      </c>
      <c r="E1267" s="28">
        <v>6.1041095890410961</v>
      </c>
      <c r="F1267" s="28"/>
      <c r="G1267" s="28"/>
      <c r="H1267" s="28"/>
      <c r="I1267" s="28"/>
      <c r="J1267" s="28"/>
      <c r="L1267" s="37">
        <v>147</v>
      </c>
      <c r="M1267" s="3">
        <v>4</v>
      </c>
      <c r="N1267" s="3">
        <v>97</v>
      </c>
      <c r="O1267" s="3">
        <v>1</v>
      </c>
      <c r="P1267" s="3">
        <v>41</v>
      </c>
      <c r="Q1267" s="3">
        <v>6</v>
      </c>
      <c r="R1267" s="3">
        <v>2</v>
      </c>
      <c r="S1267" s="3">
        <v>41</v>
      </c>
      <c r="T1267" s="3">
        <v>2</v>
      </c>
      <c r="U1267" s="3">
        <v>4</v>
      </c>
      <c r="V1267" s="3">
        <v>1</v>
      </c>
      <c r="W1267" s="3">
        <v>3</v>
      </c>
      <c r="X1267" s="3">
        <v>7</v>
      </c>
    </row>
    <row r="1268" spans="1:24" x14ac:dyDescent="0.35">
      <c r="A1268">
        <v>147</v>
      </c>
      <c r="B1268">
        <v>46734</v>
      </c>
      <c r="C1268">
        <v>54</v>
      </c>
      <c r="D1268">
        <v>1</v>
      </c>
      <c r="E1268" s="28">
        <v>6.602739726027397</v>
      </c>
      <c r="F1268" s="28"/>
      <c r="G1268" s="28"/>
      <c r="H1268" s="28"/>
      <c r="I1268" s="28"/>
      <c r="J1268" s="28"/>
      <c r="L1268" s="38">
        <v>147</v>
      </c>
      <c r="M1268" s="2">
        <v>86</v>
      </c>
      <c r="N1268" s="2">
        <v>100</v>
      </c>
      <c r="O1268" s="2">
        <v>1</v>
      </c>
      <c r="P1268" s="2">
        <v>39</v>
      </c>
      <c r="Q1268" s="2">
        <v>6</v>
      </c>
      <c r="R1268" s="2">
        <v>1</v>
      </c>
      <c r="S1268" s="2">
        <v>76</v>
      </c>
      <c r="T1268" s="2">
        <v>4</v>
      </c>
      <c r="U1268" s="2">
        <v>3</v>
      </c>
      <c r="V1268" s="2">
        <v>2</v>
      </c>
      <c r="W1268" s="2">
        <v>3</v>
      </c>
      <c r="X1268" s="2">
        <v>6</v>
      </c>
    </row>
    <row r="1269" spans="1:24" x14ac:dyDescent="0.35">
      <c r="A1269">
        <v>146</v>
      </c>
      <c r="B1269">
        <v>33454</v>
      </c>
      <c r="C1269">
        <v>35</v>
      </c>
      <c r="D1269">
        <v>1</v>
      </c>
      <c r="E1269" s="28">
        <v>7.0575342465753428</v>
      </c>
      <c r="F1269" s="28"/>
      <c r="G1269" s="28"/>
      <c r="H1269" s="28"/>
      <c r="I1269" s="28"/>
      <c r="J1269" s="28"/>
      <c r="L1269" s="37">
        <v>146</v>
      </c>
      <c r="M1269" s="3">
        <v>32</v>
      </c>
      <c r="N1269" s="3">
        <v>76</v>
      </c>
      <c r="O1269" s="3">
        <v>10</v>
      </c>
      <c r="P1269" s="3">
        <v>56</v>
      </c>
      <c r="Q1269" s="3">
        <v>3</v>
      </c>
      <c r="R1269" s="3">
        <v>1</v>
      </c>
      <c r="S1269" s="3">
        <v>23</v>
      </c>
      <c r="T1269" s="3">
        <v>2</v>
      </c>
      <c r="U1269" s="3">
        <v>4</v>
      </c>
      <c r="V1269" s="3">
        <v>0</v>
      </c>
      <c r="W1269" s="3">
        <v>4</v>
      </c>
      <c r="X1269" s="3">
        <v>8</v>
      </c>
    </row>
    <row r="1270" spans="1:24" x14ac:dyDescent="0.35">
      <c r="A1270">
        <v>146</v>
      </c>
      <c r="B1270">
        <v>36138</v>
      </c>
      <c r="C1270">
        <v>50</v>
      </c>
      <c r="D1270">
        <v>1</v>
      </c>
      <c r="E1270" s="28">
        <v>6.8684931506849312</v>
      </c>
      <c r="F1270" s="28"/>
      <c r="G1270" s="28"/>
      <c r="H1270" s="28"/>
      <c r="I1270" s="28"/>
      <c r="J1270" s="28"/>
      <c r="L1270" s="38">
        <v>146</v>
      </c>
      <c r="M1270" s="2">
        <v>48</v>
      </c>
      <c r="N1270" s="2">
        <v>130</v>
      </c>
      <c r="O1270" s="2">
        <v>0</v>
      </c>
      <c r="P1270" s="2">
        <v>16</v>
      </c>
      <c r="Q1270" s="2">
        <v>0</v>
      </c>
      <c r="R1270" s="2">
        <v>0</v>
      </c>
      <c r="S1270" s="2">
        <v>5</v>
      </c>
      <c r="T1270" s="2">
        <v>5</v>
      </c>
      <c r="U1270" s="2">
        <v>3</v>
      </c>
      <c r="V1270" s="2">
        <v>1</v>
      </c>
      <c r="W1270" s="2">
        <v>4</v>
      </c>
      <c r="X1270" s="2">
        <v>7</v>
      </c>
    </row>
    <row r="1271" spans="1:24" x14ac:dyDescent="0.35">
      <c r="A1271">
        <v>145</v>
      </c>
      <c r="B1271">
        <v>44213</v>
      </c>
      <c r="C1271">
        <v>68</v>
      </c>
      <c r="D1271">
        <v>1</v>
      </c>
      <c r="E1271" s="28">
        <v>6.4958904109589044</v>
      </c>
      <c r="F1271" s="28"/>
      <c r="G1271" s="28"/>
      <c r="H1271" s="28"/>
      <c r="I1271" s="28"/>
      <c r="J1271" s="28"/>
      <c r="L1271" s="37">
        <v>145</v>
      </c>
      <c r="M1271" s="3">
        <v>48</v>
      </c>
      <c r="N1271" s="3">
        <v>95</v>
      </c>
      <c r="O1271" s="3">
        <v>11</v>
      </c>
      <c r="P1271" s="3">
        <v>35</v>
      </c>
      <c r="Q1271" s="3">
        <v>0</v>
      </c>
      <c r="R1271" s="3">
        <v>4</v>
      </c>
      <c r="S1271" s="3">
        <v>7</v>
      </c>
      <c r="T1271" s="3">
        <v>4</v>
      </c>
      <c r="U1271" s="3">
        <v>2</v>
      </c>
      <c r="V1271" s="3">
        <v>1</v>
      </c>
      <c r="W1271" s="3">
        <v>5</v>
      </c>
      <c r="X1271" s="3">
        <v>6</v>
      </c>
    </row>
    <row r="1272" spans="1:24" x14ac:dyDescent="0.35">
      <c r="A1272">
        <v>145</v>
      </c>
      <c r="B1272">
        <v>50616</v>
      </c>
      <c r="C1272">
        <v>52</v>
      </c>
      <c r="D1272">
        <v>1</v>
      </c>
      <c r="E1272" s="28">
        <v>6.1123287671232873</v>
      </c>
      <c r="F1272" s="28"/>
      <c r="G1272" s="28"/>
      <c r="H1272" s="28"/>
      <c r="I1272" s="28"/>
      <c r="J1272" s="28"/>
      <c r="L1272" s="38">
        <v>145</v>
      </c>
      <c r="M1272" s="2">
        <v>56</v>
      </c>
      <c r="N1272" s="2">
        <v>128</v>
      </c>
      <c r="O1272" s="2">
        <v>0</v>
      </c>
      <c r="P1272" s="2">
        <v>16</v>
      </c>
      <c r="Q1272" s="2">
        <v>0</v>
      </c>
      <c r="R1272" s="2">
        <v>1</v>
      </c>
      <c r="S1272" s="2">
        <v>4</v>
      </c>
      <c r="T1272" s="2">
        <v>2</v>
      </c>
      <c r="U1272" s="2">
        <v>4</v>
      </c>
      <c r="V1272" s="2">
        <v>0</v>
      </c>
      <c r="W1272" s="2">
        <v>4</v>
      </c>
      <c r="X1272" s="2">
        <v>7</v>
      </c>
    </row>
    <row r="1273" spans="1:24" x14ac:dyDescent="0.35">
      <c r="A1273">
        <v>144</v>
      </c>
      <c r="B1273">
        <v>42373</v>
      </c>
      <c r="C1273">
        <v>46</v>
      </c>
      <c r="D1273">
        <v>1</v>
      </c>
      <c r="E1273" s="28">
        <v>6.7863013698630139</v>
      </c>
      <c r="F1273" s="28"/>
      <c r="G1273" s="28"/>
      <c r="H1273" s="28"/>
      <c r="I1273" s="28"/>
      <c r="J1273" s="28"/>
      <c r="L1273" s="37">
        <v>144</v>
      </c>
      <c r="M1273" s="3">
        <v>83</v>
      </c>
      <c r="N1273" s="3">
        <v>67</v>
      </c>
      <c r="O1273" s="3">
        <v>5</v>
      </c>
      <c r="P1273" s="3">
        <v>61</v>
      </c>
      <c r="Q1273" s="3">
        <v>3</v>
      </c>
      <c r="R1273" s="3">
        <v>8</v>
      </c>
      <c r="S1273" s="3">
        <v>19</v>
      </c>
      <c r="T1273" s="3">
        <v>5</v>
      </c>
      <c r="U1273" s="3">
        <v>2</v>
      </c>
      <c r="V1273" s="3">
        <v>1</v>
      </c>
      <c r="W1273" s="3">
        <v>5</v>
      </c>
      <c r="X1273" s="3">
        <v>5</v>
      </c>
    </row>
    <row r="1274" spans="1:24" x14ac:dyDescent="0.35">
      <c r="A1274">
        <v>127</v>
      </c>
      <c r="B1274">
        <v>27803</v>
      </c>
      <c r="C1274">
        <v>47</v>
      </c>
      <c r="D1274">
        <v>1</v>
      </c>
      <c r="E1274" s="28">
        <v>7.7561643835616438</v>
      </c>
      <c r="F1274" s="28"/>
      <c r="G1274" s="28"/>
      <c r="H1274" s="28"/>
      <c r="I1274" s="28"/>
      <c r="J1274" s="28"/>
      <c r="L1274" s="38">
        <v>127</v>
      </c>
      <c r="M1274" s="2">
        <v>40</v>
      </c>
      <c r="N1274" s="2">
        <v>8</v>
      </c>
      <c r="O1274" s="2">
        <v>26</v>
      </c>
      <c r="P1274" s="2">
        <v>46</v>
      </c>
      <c r="Q1274" s="2">
        <v>38</v>
      </c>
      <c r="R1274" s="2">
        <v>9</v>
      </c>
      <c r="S1274" s="2">
        <v>49</v>
      </c>
      <c r="T1274" s="2">
        <v>2</v>
      </c>
      <c r="U1274" s="2">
        <v>3</v>
      </c>
      <c r="V1274" s="2">
        <v>0</v>
      </c>
      <c r="W1274" s="2">
        <v>4</v>
      </c>
      <c r="X1274" s="2">
        <v>8</v>
      </c>
    </row>
    <row r="1275" spans="1:24" x14ac:dyDescent="0.35">
      <c r="A1275">
        <v>126</v>
      </c>
      <c r="B1275">
        <v>48526</v>
      </c>
      <c r="C1275">
        <v>41</v>
      </c>
      <c r="D1275">
        <v>1</v>
      </c>
      <c r="E1275" s="28">
        <v>6.4273972602739722</v>
      </c>
      <c r="F1275" s="28"/>
      <c r="G1275" s="28"/>
      <c r="H1275" s="28"/>
      <c r="I1275" s="28"/>
      <c r="J1275" s="28"/>
      <c r="L1275" s="37">
        <v>126</v>
      </c>
      <c r="M1275" s="3">
        <v>32</v>
      </c>
      <c r="N1275" s="3">
        <v>23</v>
      </c>
      <c r="O1275" s="3">
        <v>17</v>
      </c>
      <c r="P1275" s="3">
        <v>23</v>
      </c>
      <c r="Q1275" s="3">
        <v>43</v>
      </c>
      <c r="R1275" s="3">
        <v>20</v>
      </c>
      <c r="S1275" s="3">
        <v>9</v>
      </c>
      <c r="T1275" s="3">
        <v>1</v>
      </c>
      <c r="U1275" s="3">
        <v>2</v>
      </c>
      <c r="V1275" s="3">
        <v>1</v>
      </c>
      <c r="W1275" s="3">
        <v>4</v>
      </c>
      <c r="X1275" s="3">
        <v>3</v>
      </c>
    </row>
    <row r="1276" spans="1:24" x14ac:dyDescent="0.35">
      <c r="A1276">
        <v>125</v>
      </c>
      <c r="B1276">
        <v>25545</v>
      </c>
      <c r="C1276">
        <v>33</v>
      </c>
      <c r="D1276">
        <v>1</v>
      </c>
      <c r="E1276" s="28">
        <v>7.720547945205479</v>
      </c>
      <c r="F1276" s="28"/>
      <c r="G1276" s="28"/>
      <c r="H1276" s="28"/>
      <c r="I1276" s="28"/>
      <c r="J1276" s="28"/>
      <c r="L1276" s="38">
        <v>125</v>
      </c>
      <c r="M1276" s="2">
        <v>35</v>
      </c>
      <c r="N1276" s="2">
        <v>32</v>
      </c>
      <c r="O1276" s="2">
        <v>1</v>
      </c>
      <c r="P1276" s="2">
        <v>64</v>
      </c>
      <c r="Q1276" s="2">
        <v>16</v>
      </c>
      <c r="R1276" s="2">
        <v>12</v>
      </c>
      <c r="S1276" s="2">
        <v>85</v>
      </c>
      <c r="T1276" s="2">
        <v>3</v>
      </c>
      <c r="U1276" s="2">
        <v>2</v>
      </c>
      <c r="V1276" s="2">
        <v>2</v>
      </c>
      <c r="W1276" s="2">
        <v>3</v>
      </c>
      <c r="X1276" s="2">
        <v>6</v>
      </c>
    </row>
    <row r="1277" spans="1:24" x14ac:dyDescent="0.35">
      <c r="A1277">
        <v>125</v>
      </c>
      <c r="B1277">
        <v>22669</v>
      </c>
      <c r="C1277">
        <v>45</v>
      </c>
      <c r="D1277">
        <v>1</v>
      </c>
      <c r="E1277" s="28">
        <v>7.0191780821917806</v>
      </c>
      <c r="F1277" s="28"/>
      <c r="G1277" s="28"/>
      <c r="H1277" s="28"/>
      <c r="I1277" s="28"/>
      <c r="J1277" s="28"/>
      <c r="L1277" s="37">
        <v>125</v>
      </c>
      <c r="M1277" s="3">
        <v>30</v>
      </c>
      <c r="N1277" s="3">
        <v>16</v>
      </c>
      <c r="O1277" s="3">
        <v>14</v>
      </c>
      <c r="P1277" s="3">
        <v>36</v>
      </c>
      <c r="Q1277" s="3">
        <v>37</v>
      </c>
      <c r="R1277" s="3">
        <v>22</v>
      </c>
      <c r="S1277" s="3">
        <v>48</v>
      </c>
      <c r="T1277" s="3">
        <v>3</v>
      </c>
      <c r="U1277" s="3">
        <v>4</v>
      </c>
      <c r="V1277" s="3">
        <v>1</v>
      </c>
      <c r="W1277" s="3">
        <v>2</v>
      </c>
      <c r="X1277" s="3">
        <v>9</v>
      </c>
    </row>
    <row r="1278" spans="1:24" x14ac:dyDescent="0.35">
      <c r="A1278">
        <v>125</v>
      </c>
      <c r="B1278">
        <v>46524</v>
      </c>
      <c r="C1278">
        <v>59</v>
      </c>
      <c r="D1278">
        <v>1</v>
      </c>
      <c r="E1278" s="28">
        <v>7.1479452054794521</v>
      </c>
      <c r="F1278" s="28"/>
      <c r="G1278" s="28"/>
      <c r="H1278" s="28"/>
      <c r="I1278" s="28"/>
      <c r="J1278" s="28"/>
      <c r="L1278" s="38">
        <v>125</v>
      </c>
      <c r="M1278" s="2">
        <v>70</v>
      </c>
      <c r="N1278" s="2">
        <v>31</v>
      </c>
      <c r="O1278" s="2">
        <v>19</v>
      </c>
      <c r="P1278" s="2">
        <v>35</v>
      </c>
      <c r="Q1278" s="2">
        <v>26</v>
      </c>
      <c r="R1278" s="2">
        <v>14</v>
      </c>
      <c r="S1278" s="2">
        <v>52</v>
      </c>
      <c r="T1278" s="2">
        <v>2</v>
      </c>
      <c r="U1278" s="2">
        <v>1</v>
      </c>
      <c r="V1278" s="2">
        <v>1</v>
      </c>
      <c r="W1278" s="2">
        <v>5</v>
      </c>
      <c r="X1278" s="2">
        <v>3</v>
      </c>
    </row>
    <row r="1279" spans="1:24" x14ac:dyDescent="0.35">
      <c r="A1279">
        <v>125</v>
      </c>
      <c r="B1279">
        <v>7144</v>
      </c>
      <c r="C1279">
        <v>54</v>
      </c>
      <c r="D1279">
        <v>1</v>
      </c>
      <c r="E1279" s="28">
        <v>6.4739726027397264</v>
      </c>
      <c r="F1279" s="28"/>
      <c r="G1279" s="28"/>
      <c r="H1279" s="28"/>
      <c r="I1279" s="28"/>
      <c r="J1279" s="28"/>
      <c r="L1279" s="37">
        <v>125</v>
      </c>
      <c r="M1279" s="3">
        <v>92</v>
      </c>
      <c r="N1279" s="3">
        <v>81</v>
      </c>
      <c r="O1279" s="3">
        <v>4</v>
      </c>
      <c r="P1279" s="3">
        <v>33</v>
      </c>
      <c r="Q1279" s="3">
        <v>5</v>
      </c>
      <c r="R1279" s="3">
        <v>2</v>
      </c>
      <c r="S1279" s="3">
        <v>291</v>
      </c>
      <c r="T1279" s="3">
        <v>0</v>
      </c>
      <c r="U1279" s="3">
        <v>23</v>
      </c>
      <c r="V1279" s="3">
        <v>1</v>
      </c>
      <c r="W1279" s="3">
        <v>1</v>
      </c>
      <c r="X1279" s="3">
        <v>0</v>
      </c>
    </row>
    <row r="1280" spans="1:24" x14ac:dyDescent="0.35">
      <c r="A1280">
        <v>125</v>
      </c>
      <c r="B1280">
        <v>6835</v>
      </c>
      <c r="C1280">
        <v>63</v>
      </c>
      <c r="D1280">
        <v>1</v>
      </c>
      <c r="E1280" s="28">
        <v>7.4712328767123291</v>
      </c>
      <c r="F1280" s="28"/>
      <c r="G1280" s="28"/>
      <c r="H1280" s="28"/>
      <c r="I1280" s="28"/>
      <c r="J1280" s="28"/>
      <c r="L1280" s="38">
        <v>125</v>
      </c>
      <c r="M1280" s="2">
        <v>76</v>
      </c>
      <c r="N1280" s="2">
        <v>107</v>
      </c>
      <c r="O1280" s="2">
        <v>2</v>
      </c>
      <c r="P1280" s="2">
        <v>12</v>
      </c>
      <c r="Q1280" s="2">
        <v>2</v>
      </c>
      <c r="R1280" s="2">
        <v>2</v>
      </c>
      <c r="S1280" s="2">
        <v>12</v>
      </c>
      <c r="T1280" s="2">
        <v>0</v>
      </c>
      <c r="U1280" s="2">
        <v>0</v>
      </c>
      <c r="V1280" s="2">
        <v>0</v>
      </c>
      <c r="W1280" s="2">
        <v>1</v>
      </c>
      <c r="X1280" s="2">
        <v>20</v>
      </c>
    </row>
    <row r="1281" spans="1:24" x14ac:dyDescent="0.35">
      <c r="A1281">
        <v>124</v>
      </c>
      <c r="B1281">
        <v>47850</v>
      </c>
      <c r="C1281">
        <v>40</v>
      </c>
      <c r="D1281">
        <v>1</v>
      </c>
      <c r="E1281" s="28">
        <v>6.484931506849315</v>
      </c>
      <c r="F1281" s="28"/>
      <c r="G1281" s="28"/>
      <c r="H1281" s="28"/>
      <c r="I1281" s="28"/>
      <c r="J1281" s="28"/>
      <c r="L1281" s="37">
        <v>124</v>
      </c>
      <c r="M1281" s="3">
        <v>72</v>
      </c>
      <c r="N1281" s="3">
        <v>42</v>
      </c>
      <c r="O1281" s="3">
        <v>7</v>
      </c>
      <c r="P1281" s="3">
        <v>43</v>
      </c>
      <c r="Q1281" s="3">
        <v>20</v>
      </c>
      <c r="R1281" s="3">
        <v>12</v>
      </c>
      <c r="S1281" s="3">
        <v>10</v>
      </c>
      <c r="T1281" s="3">
        <v>1</v>
      </c>
      <c r="U1281" s="3">
        <v>3</v>
      </c>
      <c r="V1281" s="3">
        <v>0</v>
      </c>
      <c r="W1281" s="3">
        <v>4</v>
      </c>
      <c r="X1281" s="3">
        <v>6</v>
      </c>
    </row>
    <row r="1282" spans="1:24" x14ac:dyDescent="0.35">
      <c r="A1282">
        <v>123</v>
      </c>
      <c r="B1282">
        <v>45203</v>
      </c>
      <c r="C1282">
        <v>38</v>
      </c>
      <c r="D1282">
        <v>1</v>
      </c>
      <c r="E1282" s="28">
        <v>6.183561643835616</v>
      </c>
      <c r="F1282" s="28"/>
      <c r="G1282" s="28"/>
      <c r="H1282" s="28"/>
      <c r="I1282" s="28"/>
      <c r="J1282" s="28"/>
      <c r="L1282" s="38">
        <v>123</v>
      </c>
      <c r="M1282" s="2">
        <v>4</v>
      </c>
      <c r="N1282" s="2">
        <v>35</v>
      </c>
      <c r="O1282" s="2">
        <v>3</v>
      </c>
      <c r="P1282" s="2">
        <v>67</v>
      </c>
      <c r="Q1282" s="2">
        <v>10</v>
      </c>
      <c r="R1282" s="2">
        <v>8</v>
      </c>
      <c r="S1282" s="2">
        <v>24</v>
      </c>
      <c r="T1282" s="2">
        <v>1</v>
      </c>
      <c r="U1282" s="2">
        <v>3</v>
      </c>
      <c r="V1282" s="2">
        <v>1</v>
      </c>
      <c r="W1282" s="2">
        <v>3</v>
      </c>
      <c r="X1282" s="2">
        <v>6</v>
      </c>
    </row>
    <row r="1283" spans="1:24" x14ac:dyDescent="0.35">
      <c r="A1283">
        <v>123</v>
      </c>
      <c r="B1283">
        <v>38361</v>
      </c>
      <c r="C1283">
        <v>51</v>
      </c>
      <c r="D1283">
        <v>1</v>
      </c>
      <c r="E1283" s="28">
        <v>6.419178082191781</v>
      </c>
      <c r="F1283" s="28"/>
      <c r="G1283" s="28"/>
      <c r="H1283" s="28"/>
      <c r="I1283" s="28"/>
      <c r="J1283" s="28"/>
      <c r="L1283" s="37">
        <v>123</v>
      </c>
      <c r="M1283" s="3">
        <v>74</v>
      </c>
      <c r="N1283" s="3">
        <v>39</v>
      </c>
      <c r="O1283" s="3">
        <v>0</v>
      </c>
      <c r="P1283" s="3">
        <v>56</v>
      </c>
      <c r="Q1283" s="3">
        <v>20</v>
      </c>
      <c r="R1283" s="3">
        <v>8</v>
      </c>
      <c r="S1283" s="3">
        <v>14</v>
      </c>
      <c r="T1283" s="3">
        <v>3</v>
      </c>
      <c r="U1283" s="3">
        <v>3</v>
      </c>
      <c r="V1283" s="3">
        <v>1</v>
      </c>
      <c r="W1283" s="3">
        <v>3</v>
      </c>
      <c r="X1283" s="3">
        <v>7</v>
      </c>
    </row>
    <row r="1284" spans="1:24" x14ac:dyDescent="0.35">
      <c r="A1284">
        <v>123</v>
      </c>
      <c r="B1284">
        <v>43322</v>
      </c>
      <c r="C1284">
        <v>46</v>
      </c>
      <c r="D1284">
        <v>0</v>
      </c>
      <c r="E1284" s="28">
        <v>6.1041095890410961</v>
      </c>
      <c r="F1284" s="28"/>
      <c r="G1284" s="28"/>
      <c r="H1284" s="28"/>
      <c r="I1284" s="28"/>
      <c r="J1284" s="28"/>
      <c r="L1284" s="38">
        <v>123</v>
      </c>
      <c r="M1284" s="2">
        <v>25</v>
      </c>
      <c r="N1284" s="2">
        <v>56</v>
      </c>
      <c r="O1284" s="2">
        <v>7</v>
      </c>
      <c r="P1284" s="2">
        <v>48</v>
      </c>
      <c r="Q1284" s="2">
        <v>10</v>
      </c>
      <c r="R1284" s="2">
        <v>2</v>
      </c>
      <c r="S1284" s="2">
        <v>18</v>
      </c>
      <c r="T1284" s="2">
        <v>1</v>
      </c>
      <c r="U1284" s="2">
        <v>3</v>
      </c>
      <c r="V1284" s="2">
        <v>0</v>
      </c>
      <c r="W1284" s="2">
        <v>4</v>
      </c>
      <c r="X1284" s="2">
        <v>7</v>
      </c>
    </row>
    <row r="1285" spans="1:24" x14ac:dyDescent="0.35">
      <c r="A1285">
        <v>123</v>
      </c>
      <c r="B1285">
        <v>34838</v>
      </c>
      <c r="C1285">
        <v>69</v>
      </c>
      <c r="D1285">
        <v>1</v>
      </c>
      <c r="E1285" s="28">
        <v>7.3561643835616435</v>
      </c>
      <c r="F1285" s="28"/>
      <c r="G1285" s="28"/>
      <c r="H1285" s="28"/>
      <c r="I1285" s="28"/>
      <c r="J1285" s="28"/>
      <c r="L1285" s="37">
        <v>123</v>
      </c>
      <c r="M1285" s="3">
        <v>62</v>
      </c>
      <c r="N1285" s="3">
        <v>28</v>
      </c>
      <c r="O1285" s="3">
        <v>23</v>
      </c>
      <c r="P1285" s="3">
        <v>29</v>
      </c>
      <c r="Q1285" s="3">
        <v>29</v>
      </c>
      <c r="R1285" s="3">
        <v>14</v>
      </c>
      <c r="S1285" s="3">
        <v>47</v>
      </c>
      <c r="T1285" s="3">
        <v>3</v>
      </c>
      <c r="U1285" s="3">
        <v>2</v>
      </c>
      <c r="V1285" s="3">
        <v>1</v>
      </c>
      <c r="W1285" s="3">
        <v>4</v>
      </c>
      <c r="X1285" s="3">
        <v>6</v>
      </c>
    </row>
    <row r="1286" spans="1:24" x14ac:dyDescent="0.35">
      <c r="A1286">
        <v>122</v>
      </c>
      <c r="B1286">
        <v>56551</v>
      </c>
      <c r="C1286">
        <v>70</v>
      </c>
      <c r="D1286">
        <v>1</v>
      </c>
      <c r="E1286" s="28">
        <v>6.0602739726027401</v>
      </c>
      <c r="F1286" s="28"/>
      <c r="G1286" s="28"/>
      <c r="H1286" s="28"/>
      <c r="I1286" s="28"/>
      <c r="J1286" s="28"/>
      <c r="L1286" s="38">
        <v>122</v>
      </c>
      <c r="M1286" s="2">
        <v>48</v>
      </c>
      <c r="N1286" s="2">
        <v>67</v>
      </c>
      <c r="O1286" s="2">
        <v>4</v>
      </c>
      <c r="P1286" s="2">
        <v>32</v>
      </c>
      <c r="Q1286" s="2">
        <v>17</v>
      </c>
      <c r="R1286" s="2">
        <v>2</v>
      </c>
      <c r="S1286" s="2">
        <v>16</v>
      </c>
      <c r="T1286" s="2">
        <v>3</v>
      </c>
      <c r="U1286" s="2">
        <v>2</v>
      </c>
      <c r="V1286" s="2">
        <v>1</v>
      </c>
      <c r="W1286" s="2">
        <v>4</v>
      </c>
      <c r="X1286" s="2">
        <v>4</v>
      </c>
    </row>
    <row r="1287" spans="1:24" x14ac:dyDescent="0.35">
      <c r="A1287">
        <v>122</v>
      </c>
      <c r="B1287">
        <v>39898</v>
      </c>
      <c r="C1287">
        <v>66</v>
      </c>
      <c r="D1287">
        <v>1</v>
      </c>
      <c r="E1287" s="28">
        <v>7.2904109589041095</v>
      </c>
      <c r="F1287" s="28"/>
      <c r="G1287" s="28"/>
      <c r="H1287" s="28"/>
      <c r="I1287" s="28"/>
      <c r="J1287" s="28"/>
      <c r="L1287" s="37">
        <v>122</v>
      </c>
      <c r="M1287" s="3">
        <v>20</v>
      </c>
      <c r="N1287" s="3">
        <v>69</v>
      </c>
      <c r="O1287" s="3">
        <v>8</v>
      </c>
      <c r="P1287" s="3">
        <v>26</v>
      </c>
      <c r="Q1287" s="3">
        <v>12</v>
      </c>
      <c r="R1287" s="3">
        <v>7</v>
      </c>
      <c r="S1287" s="3">
        <v>12</v>
      </c>
      <c r="T1287" s="3">
        <v>2</v>
      </c>
      <c r="U1287" s="3">
        <v>3</v>
      </c>
      <c r="V1287" s="3">
        <v>0</v>
      </c>
      <c r="W1287" s="3">
        <v>4</v>
      </c>
      <c r="X1287" s="3">
        <v>7</v>
      </c>
    </row>
    <row r="1288" spans="1:24" x14ac:dyDescent="0.35">
      <c r="A1288">
        <v>122</v>
      </c>
      <c r="B1288">
        <v>46891</v>
      </c>
      <c r="C1288">
        <v>55</v>
      </c>
      <c r="D1288">
        <v>1</v>
      </c>
      <c r="E1288" s="28">
        <v>6.7397260273972606</v>
      </c>
      <c r="F1288" s="28"/>
      <c r="G1288" s="28"/>
      <c r="H1288" s="28"/>
      <c r="I1288" s="28"/>
      <c r="J1288" s="28"/>
      <c r="L1288" s="38">
        <v>122</v>
      </c>
      <c r="M1288" s="2">
        <v>91</v>
      </c>
      <c r="N1288" s="2">
        <v>43</v>
      </c>
      <c r="O1288" s="2">
        <v>12</v>
      </c>
      <c r="P1288" s="2">
        <v>23</v>
      </c>
      <c r="Q1288" s="2">
        <v>29</v>
      </c>
      <c r="R1288" s="2">
        <v>15</v>
      </c>
      <c r="S1288" s="2">
        <v>61</v>
      </c>
      <c r="T1288" s="2">
        <v>1</v>
      </c>
      <c r="U1288" s="2">
        <v>2</v>
      </c>
      <c r="V1288" s="2">
        <v>1</v>
      </c>
      <c r="W1288" s="2">
        <v>4</v>
      </c>
      <c r="X1288" s="2">
        <v>4</v>
      </c>
    </row>
    <row r="1289" spans="1:24" x14ac:dyDescent="0.35">
      <c r="A1289">
        <v>121</v>
      </c>
      <c r="B1289">
        <v>38360</v>
      </c>
      <c r="C1289">
        <v>31</v>
      </c>
      <c r="D1289">
        <v>1</v>
      </c>
      <c r="E1289" s="28">
        <v>6.9945205479452053</v>
      </c>
      <c r="F1289" s="28"/>
      <c r="G1289" s="28"/>
      <c r="H1289" s="28"/>
      <c r="I1289" s="28"/>
      <c r="J1289" s="28"/>
      <c r="L1289" s="37">
        <v>121</v>
      </c>
      <c r="M1289" s="3">
        <v>26</v>
      </c>
      <c r="N1289" s="3">
        <v>36</v>
      </c>
      <c r="O1289" s="3">
        <v>2</v>
      </c>
      <c r="P1289" s="3">
        <v>42</v>
      </c>
      <c r="Q1289" s="3">
        <v>20</v>
      </c>
      <c r="R1289" s="3">
        <v>21</v>
      </c>
      <c r="S1289" s="3">
        <v>10</v>
      </c>
      <c r="T1289" s="3">
        <v>2</v>
      </c>
      <c r="U1289" s="3">
        <v>2</v>
      </c>
      <c r="V1289" s="3">
        <v>1</v>
      </c>
      <c r="W1289" s="3">
        <v>4</v>
      </c>
      <c r="X1289" s="3">
        <v>3</v>
      </c>
    </row>
    <row r="1290" spans="1:24" x14ac:dyDescent="0.35">
      <c r="A1290">
        <v>121</v>
      </c>
      <c r="B1290">
        <v>17117</v>
      </c>
      <c r="C1290">
        <v>42</v>
      </c>
      <c r="D1290">
        <v>1</v>
      </c>
      <c r="E1290" s="28">
        <v>7.3616438356164382</v>
      </c>
      <c r="F1290" s="28"/>
      <c r="G1290" s="28"/>
      <c r="H1290" s="28"/>
      <c r="I1290" s="28"/>
      <c r="J1290" s="28"/>
      <c r="L1290" s="38">
        <v>121</v>
      </c>
      <c r="M1290" s="2">
        <v>96</v>
      </c>
      <c r="N1290" s="2">
        <v>12</v>
      </c>
      <c r="O1290" s="2">
        <v>23</v>
      </c>
      <c r="P1290" s="2">
        <v>38</v>
      </c>
      <c r="Q1290" s="2">
        <v>30</v>
      </c>
      <c r="R1290" s="2">
        <v>18</v>
      </c>
      <c r="S1290" s="2">
        <v>7</v>
      </c>
      <c r="T1290" s="2">
        <v>4</v>
      </c>
      <c r="U1290" s="2">
        <v>3</v>
      </c>
      <c r="V1290" s="2">
        <v>1</v>
      </c>
      <c r="W1290" s="2">
        <v>3</v>
      </c>
      <c r="X1290" s="2">
        <v>9</v>
      </c>
    </row>
    <row r="1291" spans="1:24" x14ac:dyDescent="0.35">
      <c r="A1291">
        <v>121</v>
      </c>
      <c r="B1291">
        <v>34529</v>
      </c>
      <c r="C1291">
        <v>44</v>
      </c>
      <c r="D1291">
        <v>1</v>
      </c>
      <c r="E1291" s="28">
        <v>7.7041095890410958</v>
      </c>
      <c r="F1291" s="28"/>
      <c r="G1291" s="28"/>
      <c r="H1291" s="28"/>
      <c r="I1291" s="28"/>
      <c r="J1291" s="28"/>
      <c r="L1291" s="37">
        <v>121</v>
      </c>
      <c r="M1291" s="3">
        <v>94</v>
      </c>
      <c r="N1291" s="3">
        <v>68</v>
      </c>
      <c r="O1291" s="3">
        <v>6</v>
      </c>
      <c r="P1291" s="3">
        <v>38</v>
      </c>
      <c r="Q1291" s="3">
        <v>3</v>
      </c>
      <c r="R1291" s="3">
        <v>6</v>
      </c>
      <c r="S1291" s="3">
        <v>41</v>
      </c>
      <c r="T1291" s="3">
        <v>2</v>
      </c>
      <c r="U1291" s="3">
        <v>2</v>
      </c>
      <c r="V1291" s="3">
        <v>2</v>
      </c>
      <c r="W1291" s="3">
        <v>3</v>
      </c>
      <c r="X1291" s="3">
        <v>7</v>
      </c>
    </row>
    <row r="1292" spans="1:24" x14ac:dyDescent="0.35">
      <c r="A1292">
        <v>121</v>
      </c>
      <c r="B1292">
        <v>41411</v>
      </c>
      <c r="C1292">
        <v>34</v>
      </c>
      <c r="D1292">
        <v>0</v>
      </c>
      <c r="E1292" s="28">
        <v>6.4739726027397264</v>
      </c>
      <c r="F1292" s="28"/>
      <c r="G1292" s="28"/>
      <c r="H1292" s="28"/>
      <c r="I1292" s="28"/>
      <c r="J1292" s="28"/>
      <c r="L1292" s="38">
        <v>121</v>
      </c>
      <c r="M1292" s="2">
        <v>11</v>
      </c>
      <c r="N1292" s="2">
        <v>37</v>
      </c>
      <c r="O1292" s="2">
        <v>32</v>
      </c>
      <c r="P1292" s="2">
        <v>38</v>
      </c>
      <c r="Q1292" s="2">
        <v>11</v>
      </c>
      <c r="R1292" s="2">
        <v>3</v>
      </c>
      <c r="S1292" s="2">
        <v>18</v>
      </c>
      <c r="T1292" s="2">
        <v>1</v>
      </c>
      <c r="U1292" s="2">
        <v>2</v>
      </c>
      <c r="V1292" s="2">
        <v>1</v>
      </c>
      <c r="W1292" s="2">
        <v>4</v>
      </c>
      <c r="X1292" s="2">
        <v>6</v>
      </c>
    </row>
    <row r="1293" spans="1:24" x14ac:dyDescent="0.35">
      <c r="A1293">
        <v>121</v>
      </c>
      <c r="B1293">
        <v>50447</v>
      </c>
      <c r="C1293">
        <v>50</v>
      </c>
      <c r="D1293">
        <v>1</v>
      </c>
      <c r="E1293" s="28">
        <v>6.1041095890410961</v>
      </c>
      <c r="F1293" s="28"/>
      <c r="G1293" s="28"/>
      <c r="H1293" s="28"/>
      <c r="I1293" s="28"/>
      <c r="J1293" s="28"/>
      <c r="L1293" s="37">
        <v>121</v>
      </c>
      <c r="M1293" s="3">
        <v>4</v>
      </c>
      <c r="N1293" s="3">
        <v>85</v>
      </c>
      <c r="O1293" s="3">
        <v>7</v>
      </c>
      <c r="P1293" s="3">
        <v>24</v>
      </c>
      <c r="Q1293" s="3">
        <v>2</v>
      </c>
      <c r="R1293" s="3">
        <v>3</v>
      </c>
      <c r="S1293" s="3">
        <v>27</v>
      </c>
      <c r="T1293" s="3">
        <v>1</v>
      </c>
      <c r="U1293" s="3">
        <v>3</v>
      </c>
      <c r="V1293" s="3">
        <v>1</v>
      </c>
      <c r="W1293" s="3">
        <v>3</v>
      </c>
      <c r="X1293" s="3">
        <v>6</v>
      </c>
    </row>
    <row r="1294" spans="1:24" x14ac:dyDescent="0.35">
      <c r="A1294">
        <v>121</v>
      </c>
      <c r="B1294">
        <v>39190</v>
      </c>
      <c r="C1294">
        <v>46</v>
      </c>
      <c r="D1294">
        <v>1</v>
      </c>
      <c r="E1294" s="28">
        <v>6.0904109589041093</v>
      </c>
      <c r="F1294" s="28"/>
      <c r="G1294" s="28"/>
      <c r="H1294" s="28"/>
      <c r="I1294" s="28"/>
      <c r="J1294" s="28"/>
      <c r="L1294" s="38">
        <v>121</v>
      </c>
      <c r="M1294" s="2">
        <v>91</v>
      </c>
      <c r="N1294" s="2">
        <v>68</v>
      </c>
      <c r="O1294" s="2">
        <v>8</v>
      </c>
      <c r="P1294" s="2">
        <v>18</v>
      </c>
      <c r="Q1294" s="2">
        <v>19</v>
      </c>
      <c r="R1294" s="2">
        <v>8</v>
      </c>
      <c r="S1294" s="2">
        <v>12</v>
      </c>
      <c r="T1294" s="2">
        <v>2</v>
      </c>
      <c r="U1294" s="2">
        <v>2</v>
      </c>
      <c r="V1294" s="2">
        <v>1</v>
      </c>
      <c r="W1294" s="2">
        <v>4</v>
      </c>
      <c r="X1294" s="2">
        <v>5</v>
      </c>
    </row>
    <row r="1295" spans="1:24" x14ac:dyDescent="0.35">
      <c r="A1295">
        <v>121</v>
      </c>
      <c r="B1295">
        <v>36957</v>
      </c>
      <c r="C1295">
        <v>67</v>
      </c>
      <c r="D1295">
        <v>1</v>
      </c>
      <c r="E1295" s="28">
        <v>7.7260273972602738</v>
      </c>
      <c r="F1295" s="28"/>
      <c r="G1295" s="28"/>
      <c r="H1295" s="28"/>
      <c r="I1295" s="28"/>
      <c r="J1295" s="28"/>
      <c r="L1295" s="37">
        <v>121</v>
      </c>
      <c r="M1295" s="3">
        <v>43</v>
      </c>
      <c r="N1295" s="3">
        <v>100</v>
      </c>
      <c r="O1295" s="3">
        <v>2</v>
      </c>
      <c r="P1295" s="3">
        <v>16</v>
      </c>
      <c r="Q1295" s="3">
        <v>2</v>
      </c>
      <c r="R1295" s="3">
        <v>1</v>
      </c>
      <c r="S1295" s="3">
        <v>31</v>
      </c>
      <c r="T1295" s="3">
        <v>4</v>
      </c>
      <c r="U1295" s="3">
        <v>3</v>
      </c>
      <c r="V1295" s="3">
        <v>2</v>
      </c>
      <c r="W1295" s="3">
        <v>2</v>
      </c>
      <c r="X1295" s="3">
        <v>9</v>
      </c>
    </row>
    <row r="1296" spans="1:24" x14ac:dyDescent="0.35">
      <c r="A1296">
        <v>121</v>
      </c>
      <c r="B1296">
        <v>50520</v>
      </c>
      <c r="C1296">
        <v>62</v>
      </c>
      <c r="D1296">
        <v>1</v>
      </c>
      <c r="E1296" s="28">
        <v>6.3315068493150681</v>
      </c>
      <c r="F1296" s="28"/>
      <c r="G1296" s="28"/>
      <c r="H1296" s="28"/>
      <c r="I1296" s="28"/>
      <c r="J1296" s="28"/>
      <c r="L1296" s="38">
        <v>121</v>
      </c>
      <c r="M1296" s="2">
        <v>25</v>
      </c>
      <c r="N1296" s="2">
        <v>112</v>
      </c>
      <c r="O1296" s="2">
        <v>0</v>
      </c>
      <c r="P1296" s="2">
        <v>6</v>
      </c>
      <c r="Q1296" s="2">
        <v>2</v>
      </c>
      <c r="R1296" s="2">
        <v>1</v>
      </c>
      <c r="S1296" s="2">
        <v>14</v>
      </c>
      <c r="T1296" s="2">
        <v>2</v>
      </c>
      <c r="U1296" s="2">
        <v>3</v>
      </c>
      <c r="V1296" s="2">
        <v>1</v>
      </c>
      <c r="W1296" s="2">
        <v>3</v>
      </c>
      <c r="X1296" s="2">
        <v>6</v>
      </c>
    </row>
    <row r="1297" spans="1:24" x14ac:dyDescent="0.35">
      <c r="A1297">
        <v>120</v>
      </c>
      <c r="B1297">
        <v>39922</v>
      </c>
      <c r="C1297">
        <v>37</v>
      </c>
      <c r="D1297">
        <v>1</v>
      </c>
      <c r="E1297" s="28">
        <v>7.2849315068493148</v>
      </c>
      <c r="F1297" s="28"/>
      <c r="G1297" s="28"/>
      <c r="H1297" s="28"/>
      <c r="I1297" s="28"/>
      <c r="J1297" s="28"/>
      <c r="L1297" s="37">
        <v>120</v>
      </c>
      <c r="M1297" s="3">
        <v>30</v>
      </c>
      <c r="N1297" s="3">
        <v>29</v>
      </c>
      <c r="O1297" s="3">
        <v>12</v>
      </c>
      <c r="P1297" s="3">
        <v>59</v>
      </c>
      <c r="Q1297" s="3">
        <v>19</v>
      </c>
      <c r="R1297" s="3">
        <v>1</v>
      </c>
      <c r="S1297" s="3">
        <v>36</v>
      </c>
      <c r="T1297" s="3">
        <v>2</v>
      </c>
      <c r="U1297" s="3">
        <v>3</v>
      </c>
      <c r="V1297" s="3">
        <v>0</v>
      </c>
      <c r="W1297" s="3">
        <v>4</v>
      </c>
      <c r="X1297" s="3">
        <v>8</v>
      </c>
    </row>
    <row r="1298" spans="1:24" x14ac:dyDescent="0.35">
      <c r="A1298">
        <v>120</v>
      </c>
      <c r="B1298">
        <v>22419</v>
      </c>
      <c r="C1298">
        <v>57</v>
      </c>
      <c r="D1298">
        <v>0</v>
      </c>
      <c r="E1298" s="28">
        <v>7.1123287671232873</v>
      </c>
      <c r="F1298" s="28"/>
      <c r="G1298" s="28"/>
      <c r="H1298" s="28"/>
      <c r="I1298" s="28"/>
      <c r="J1298" s="28"/>
      <c r="L1298" s="38">
        <v>120</v>
      </c>
      <c r="M1298" s="2">
        <v>74</v>
      </c>
      <c r="N1298" s="2">
        <v>30</v>
      </c>
      <c r="O1298" s="2">
        <v>3</v>
      </c>
      <c r="P1298" s="2">
        <v>47</v>
      </c>
      <c r="Q1298" s="2">
        <v>19</v>
      </c>
      <c r="R1298" s="2">
        <v>21</v>
      </c>
      <c r="S1298" s="2">
        <v>42</v>
      </c>
      <c r="T1298" s="2">
        <v>1</v>
      </c>
      <c r="U1298" s="2">
        <v>3</v>
      </c>
      <c r="V1298" s="2">
        <v>2</v>
      </c>
      <c r="W1298" s="2">
        <v>2</v>
      </c>
      <c r="X1298" s="2">
        <v>8</v>
      </c>
    </row>
    <row r="1299" spans="1:24" x14ac:dyDescent="0.35">
      <c r="A1299">
        <v>120</v>
      </c>
      <c r="B1299">
        <v>42160</v>
      </c>
      <c r="C1299">
        <v>45</v>
      </c>
      <c r="D1299">
        <v>1</v>
      </c>
      <c r="E1299" s="28">
        <v>6.9178082191780819</v>
      </c>
      <c r="F1299" s="28"/>
      <c r="G1299" s="28"/>
      <c r="H1299" s="28"/>
      <c r="I1299" s="28"/>
      <c r="J1299" s="28"/>
      <c r="L1299" s="37">
        <v>120</v>
      </c>
      <c r="M1299" s="3">
        <v>26</v>
      </c>
      <c r="N1299" s="3">
        <v>48</v>
      </c>
      <c r="O1299" s="3">
        <v>9</v>
      </c>
      <c r="P1299" s="3">
        <v>45</v>
      </c>
      <c r="Q1299" s="3">
        <v>3</v>
      </c>
      <c r="R1299" s="3">
        <v>15</v>
      </c>
      <c r="S1299" s="3">
        <v>20</v>
      </c>
      <c r="T1299" s="3">
        <v>4</v>
      </c>
      <c r="U1299" s="3">
        <v>2</v>
      </c>
      <c r="V1299" s="3">
        <v>1</v>
      </c>
      <c r="W1299" s="3">
        <v>4</v>
      </c>
      <c r="X1299" s="3">
        <v>6</v>
      </c>
    </row>
    <row r="1300" spans="1:24" x14ac:dyDescent="0.35">
      <c r="A1300">
        <v>120</v>
      </c>
      <c r="B1300">
        <v>45576</v>
      </c>
      <c r="C1300">
        <v>75</v>
      </c>
      <c r="D1300">
        <v>0</v>
      </c>
      <c r="E1300" s="28">
        <v>6.0027397260273974</v>
      </c>
      <c r="F1300" s="28"/>
      <c r="G1300" s="28"/>
      <c r="H1300" s="28"/>
      <c r="I1300" s="28"/>
      <c r="J1300" s="28"/>
      <c r="L1300" s="38">
        <v>120</v>
      </c>
      <c r="M1300" s="2">
        <v>9</v>
      </c>
      <c r="N1300" s="2">
        <v>56</v>
      </c>
      <c r="O1300" s="2">
        <v>19</v>
      </c>
      <c r="P1300" s="2">
        <v>29</v>
      </c>
      <c r="Q1300" s="2">
        <v>2</v>
      </c>
      <c r="R1300" s="2">
        <v>14</v>
      </c>
      <c r="S1300" s="2">
        <v>25</v>
      </c>
      <c r="T1300" s="2">
        <v>1</v>
      </c>
      <c r="U1300" s="2">
        <v>3</v>
      </c>
      <c r="V1300" s="2">
        <v>1</v>
      </c>
      <c r="W1300" s="2">
        <v>3</v>
      </c>
      <c r="X1300" s="2">
        <v>8</v>
      </c>
    </row>
    <row r="1301" spans="1:24" x14ac:dyDescent="0.35">
      <c r="A1301">
        <v>120</v>
      </c>
      <c r="B1301">
        <v>36317</v>
      </c>
      <c r="C1301">
        <v>55</v>
      </c>
      <c r="D1301">
        <v>1</v>
      </c>
      <c r="E1301" s="28">
        <v>7.0191780821917806</v>
      </c>
      <c r="F1301" s="28"/>
      <c r="G1301" s="28"/>
      <c r="H1301" s="28"/>
      <c r="I1301" s="28"/>
      <c r="J1301" s="28"/>
      <c r="L1301" s="37">
        <v>120</v>
      </c>
      <c r="M1301" s="3">
        <v>53</v>
      </c>
      <c r="N1301" s="3">
        <v>87</v>
      </c>
      <c r="O1301" s="3">
        <v>3</v>
      </c>
      <c r="P1301" s="3">
        <v>25</v>
      </c>
      <c r="Q1301" s="3">
        <v>3</v>
      </c>
      <c r="R1301" s="3">
        <v>2</v>
      </c>
      <c r="S1301" s="3">
        <v>13</v>
      </c>
      <c r="T1301" s="3">
        <v>2</v>
      </c>
      <c r="U1301" s="3">
        <v>3</v>
      </c>
      <c r="V1301" s="3">
        <v>0</v>
      </c>
      <c r="W1301" s="3">
        <v>4</v>
      </c>
      <c r="X1301" s="3">
        <v>7</v>
      </c>
    </row>
    <row r="1302" spans="1:24" x14ac:dyDescent="0.35">
      <c r="A1302">
        <v>120</v>
      </c>
      <c r="B1302">
        <v>61923</v>
      </c>
      <c r="C1302">
        <v>59</v>
      </c>
      <c r="D1302">
        <v>1</v>
      </c>
      <c r="E1302" s="28">
        <v>6.8410958904109593</v>
      </c>
      <c r="F1302" s="28"/>
      <c r="G1302" s="28"/>
      <c r="H1302" s="28"/>
      <c r="I1302" s="28"/>
      <c r="J1302" s="28"/>
      <c r="L1302" s="38">
        <v>120</v>
      </c>
      <c r="M1302" s="2">
        <v>94</v>
      </c>
      <c r="N1302" s="2">
        <v>92</v>
      </c>
      <c r="O1302" s="2">
        <v>4</v>
      </c>
      <c r="P1302" s="2">
        <v>18</v>
      </c>
      <c r="Q1302" s="2">
        <v>3</v>
      </c>
      <c r="R1302" s="2">
        <v>3</v>
      </c>
      <c r="S1302" s="2">
        <v>6</v>
      </c>
      <c r="T1302" s="2">
        <v>1</v>
      </c>
      <c r="U1302" s="2">
        <v>2</v>
      </c>
      <c r="V1302" s="2">
        <v>1</v>
      </c>
      <c r="W1302" s="2">
        <v>4</v>
      </c>
      <c r="X1302" s="2">
        <v>3</v>
      </c>
    </row>
    <row r="1303" spans="1:24" x14ac:dyDescent="0.35">
      <c r="A1303">
        <v>120</v>
      </c>
      <c r="B1303">
        <v>48877</v>
      </c>
      <c r="C1303">
        <v>54</v>
      </c>
      <c r="D1303">
        <v>1</v>
      </c>
      <c r="E1303" s="28">
        <v>6.3945205479452056</v>
      </c>
      <c r="F1303" s="28"/>
      <c r="G1303" s="28"/>
      <c r="H1303" s="28"/>
      <c r="I1303" s="28"/>
      <c r="J1303" s="28"/>
      <c r="L1303" s="37">
        <v>120</v>
      </c>
      <c r="M1303" s="3">
        <v>27</v>
      </c>
      <c r="N1303" s="3">
        <v>102</v>
      </c>
      <c r="O1303" s="3">
        <v>1</v>
      </c>
      <c r="P1303" s="3">
        <v>15</v>
      </c>
      <c r="Q1303" s="3">
        <v>2</v>
      </c>
      <c r="R1303" s="3">
        <v>0</v>
      </c>
      <c r="S1303" s="3">
        <v>24</v>
      </c>
      <c r="T1303" s="3">
        <v>1</v>
      </c>
      <c r="U1303" s="3">
        <v>3</v>
      </c>
      <c r="V1303" s="3">
        <v>0</v>
      </c>
      <c r="W1303" s="3">
        <v>4</v>
      </c>
      <c r="X1303" s="3">
        <v>7</v>
      </c>
    </row>
    <row r="1304" spans="1:24" x14ac:dyDescent="0.35">
      <c r="A1304">
        <v>119</v>
      </c>
      <c r="B1304">
        <v>31605</v>
      </c>
      <c r="C1304">
        <v>41</v>
      </c>
      <c r="D1304">
        <v>1</v>
      </c>
      <c r="E1304" s="28">
        <v>7.515068493150685</v>
      </c>
      <c r="F1304" s="28"/>
      <c r="G1304" s="28"/>
      <c r="H1304" s="28"/>
      <c r="I1304" s="28"/>
      <c r="J1304" s="28"/>
      <c r="L1304" s="38">
        <v>119</v>
      </c>
      <c r="M1304" s="2">
        <v>15</v>
      </c>
      <c r="N1304" s="2">
        <v>74</v>
      </c>
      <c r="O1304" s="2">
        <v>0</v>
      </c>
      <c r="P1304" s="2">
        <v>42</v>
      </c>
      <c r="Q1304" s="2">
        <v>2</v>
      </c>
      <c r="R1304" s="2">
        <v>1</v>
      </c>
      <c r="S1304" s="2">
        <v>6</v>
      </c>
      <c r="T1304" s="2">
        <v>2</v>
      </c>
      <c r="U1304" s="2">
        <v>2</v>
      </c>
      <c r="V1304" s="2">
        <v>1</v>
      </c>
      <c r="W1304" s="2">
        <v>4</v>
      </c>
      <c r="X1304" s="2">
        <v>7</v>
      </c>
    </row>
    <row r="1305" spans="1:24" x14ac:dyDescent="0.35">
      <c r="A1305">
        <v>119</v>
      </c>
      <c r="B1305">
        <v>33168</v>
      </c>
      <c r="C1305">
        <v>55</v>
      </c>
      <c r="D1305">
        <v>1</v>
      </c>
      <c r="E1305" s="28">
        <v>7.624657534246575</v>
      </c>
      <c r="F1305" s="28"/>
      <c r="G1305" s="28"/>
      <c r="H1305" s="28"/>
      <c r="I1305" s="28"/>
      <c r="J1305" s="28"/>
      <c r="L1305" s="37">
        <v>119</v>
      </c>
      <c r="M1305" s="3">
        <v>0</v>
      </c>
      <c r="N1305" s="3">
        <v>80</v>
      </c>
      <c r="O1305" s="3">
        <v>1</v>
      </c>
      <c r="P1305" s="3">
        <v>37</v>
      </c>
      <c r="Q1305" s="3">
        <v>0</v>
      </c>
      <c r="R1305" s="3">
        <v>1</v>
      </c>
      <c r="S1305" s="3">
        <v>3</v>
      </c>
      <c r="T1305" s="3">
        <v>3</v>
      </c>
      <c r="U1305" s="3">
        <v>2</v>
      </c>
      <c r="V1305" s="3">
        <v>1</v>
      </c>
      <c r="W1305" s="3">
        <v>4</v>
      </c>
      <c r="X1305" s="3">
        <v>7</v>
      </c>
    </row>
    <row r="1306" spans="1:24" x14ac:dyDescent="0.35">
      <c r="A1306">
        <v>119</v>
      </c>
      <c r="B1306">
        <v>33316</v>
      </c>
      <c r="C1306">
        <v>49</v>
      </c>
      <c r="D1306">
        <v>1</v>
      </c>
      <c r="E1306" s="28">
        <v>6.6493150684931503</v>
      </c>
      <c r="F1306" s="28"/>
      <c r="G1306" s="28"/>
      <c r="H1306" s="28"/>
      <c r="I1306" s="28"/>
      <c r="J1306" s="28"/>
      <c r="L1306" s="38">
        <v>119</v>
      </c>
      <c r="M1306" s="2">
        <v>34</v>
      </c>
      <c r="N1306" s="2">
        <v>79</v>
      </c>
      <c r="O1306" s="2">
        <v>1</v>
      </c>
      <c r="P1306" s="2">
        <v>31</v>
      </c>
      <c r="Q1306" s="2">
        <v>4</v>
      </c>
      <c r="R1306" s="2">
        <v>4</v>
      </c>
      <c r="S1306" s="2">
        <v>12</v>
      </c>
      <c r="T1306" s="2">
        <v>3</v>
      </c>
      <c r="U1306" s="2">
        <v>2</v>
      </c>
      <c r="V1306" s="2">
        <v>1</v>
      </c>
      <c r="W1306" s="2">
        <v>4</v>
      </c>
      <c r="X1306" s="2">
        <v>6</v>
      </c>
    </row>
    <row r="1307" spans="1:24" x14ac:dyDescent="0.35">
      <c r="A1307">
        <v>119</v>
      </c>
      <c r="B1307">
        <v>49605</v>
      </c>
      <c r="C1307">
        <v>54</v>
      </c>
      <c r="D1307">
        <v>0</v>
      </c>
      <c r="E1307" s="28">
        <v>5.9369863013698634</v>
      </c>
      <c r="F1307" s="28"/>
      <c r="G1307" s="28"/>
      <c r="H1307" s="28"/>
      <c r="I1307" s="28"/>
      <c r="J1307" s="28"/>
      <c r="L1307" s="37">
        <v>119</v>
      </c>
      <c r="M1307" s="3">
        <v>65</v>
      </c>
      <c r="N1307" s="3">
        <v>42</v>
      </c>
      <c r="O1307" s="3">
        <v>16</v>
      </c>
      <c r="P1307" s="3">
        <v>29</v>
      </c>
      <c r="Q1307" s="3">
        <v>12</v>
      </c>
      <c r="R1307" s="3">
        <v>20</v>
      </c>
      <c r="S1307" s="3">
        <v>8</v>
      </c>
      <c r="T1307" s="3">
        <v>1</v>
      </c>
      <c r="U1307" s="3">
        <v>2</v>
      </c>
      <c r="V1307" s="3">
        <v>1</v>
      </c>
      <c r="W1307" s="3">
        <v>4</v>
      </c>
      <c r="X1307" s="3">
        <v>3</v>
      </c>
    </row>
    <row r="1308" spans="1:24" x14ac:dyDescent="0.35">
      <c r="A1308">
        <v>119</v>
      </c>
      <c r="B1308">
        <v>20180</v>
      </c>
      <c r="C1308">
        <v>44</v>
      </c>
      <c r="D1308">
        <v>0</v>
      </c>
      <c r="E1308" s="28">
        <v>7.2684931506849315</v>
      </c>
      <c r="F1308" s="28"/>
      <c r="G1308" s="28"/>
      <c r="H1308" s="28"/>
      <c r="I1308" s="28"/>
      <c r="J1308" s="28"/>
      <c r="L1308" s="38">
        <v>119</v>
      </c>
      <c r="M1308" s="2">
        <v>27</v>
      </c>
      <c r="N1308" s="2">
        <v>18</v>
      </c>
      <c r="O1308" s="2">
        <v>42</v>
      </c>
      <c r="P1308" s="2">
        <v>24</v>
      </c>
      <c r="Q1308" s="2">
        <v>15</v>
      </c>
      <c r="R1308" s="2">
        <v>20</v>
      </c>
      <c r="S1308" s="2">
        <v>18</v>
      </c>
      <c r="T1308" s="2">
        <v>1</v>
      </c>
      <c r="U1308" s="2">
        <v>2</v>
      </c>
      <c r="V1308" s="2">
        <v>1</v>
      </c>
      <c r="W1308" s="2">
        <v>4</v>
      </c>
      <c r="X1308" s="2">
        <v>7</v>
      </c>
    </row>
    <row r="1309" spans="1:24" x14ac:dyDescent="0.35">
      <c r="A1309">
        <v>119</v>
      </c>
      <c r="B1309">
        <v>42473</v>
      </c>
      <c r="C1309">
        <v>44</v>
      </c>
      <c r="D1309">
        <v>1</v>
      </c>
      <c r="E1309" s="28">
        <v>6.2767123287671236</v>
      </c>
      <c r="F1309" s="28"/>
      <c r="G1309" s="28"/>
      <c r="H1309" s="28"/>
      <c r="I1309" s="28"/>
      <c r="J1309" s="28"/>
      <c r="L1309" s="37">
        <v>119</v>
      </c>
      <c r="M1309" s="3">
        <v>72</v>
      </c>
      <c r="N1309" s="3">
        <v>93</v>
      </c>
      <c r="O1309" s="3">
        <v>1</v>
      </c>
      <c r="P1309" s="3">
        <v>21</v>
      </c>
      <c r="Q1309" s="3">
        <v>0</v>
      </c>
      <c r="R1309" s="3">
        <v>4</v>
      </c>
      <c r="S1309" s="3">
        <v>25</v>
      </c>
      <c r="T1309" s="3">
        <v>3</v>
      </c>
      <c r="U1309" s="3">
        <v>2</v>
      </c>
      <c r="V1309" s="3">
        <v>1</v>
      </c>
      <c r="W1309" s="3">
        <v>4</v>
      </c>
      <c r="X1309" s="3">
        <v>5</v>
      </c>
    </row>
    <row r="1310" spans="1:24" x14ac:dyDescent="0.35">
      <c r="A1310">
        <v>119</v>
      </c>
      <c r="B1310">
        <v>55249</v>
      </c>
      <c r="C1310">
        <v>64</v>
      </c>
      <c r="D1310">
        <v>1</v>
      </c>
      <c r="E1310" s="28">
        <v>6.1150684931506847</v>
      </c>
      <c r="F1310" s="28"/>
      <c r="G1310" s="28"/>
      <c r="H1310" s="28"/>
      <c r="I1310" s="28"/>
      <c r="J1310" s="28"/>
      <c r="L1310" s="38">
        <v>119</v>
      </c>
      <c r="M1310" s="2">
        <v>81</v>
      </c>
      <c r="N1310" s="2">
        <v>97</v>
      </c>
      <c r="O1310" s="2">
        <v>1</v>
      </c>
      <c r="P1310" s="2">
        <v>19</v>
      </c>
      <c r="Q1310" s="2">
        <v>2</v>
      </c>
      <c r="R1310" s="2">
        <v>0</v>
      </c>
      <c r="S1310" s="2">
        <v>11</v>
      </c>
      <c r="T1310" s="2">
        <v>1</v>
      </c>
      <c r="U1310" s="2">
        <v>2</v>
      </c>
      <c r="V1310" s="2">
        <v>1</v>
      </c>
      <c r="W1310" s="2">
        <v>4</v>
      </c>
      <c r="X1310" s="2">
        <v>3</v>
      </c>
    </row>
    <row r="1311" spans="1:24" x14ac:dyDescent="0.35">
      <c r="A1311">
        <v>118</v>
      </c>
      <c r="B1311">
        <v>42162</v>
      </c>
      <c r="C1311">
        <v>39</v>
      </c>
      <c r="D1311">
        <v>1</v>
      </c>
      <c r="E1311" s="28">
        <v>6.5232876712328771</v>
      </c>
      <c r="F1311" s="28"/>
      <c r="G1311" s="28"/>
      <c r="H1311" s="28"/>
      <c r="I1311" s="28"/>
      <c r="J1311" s="28"/>
      <c r="L1311" s="37">
        <v>118</v>
      </c>
      <c r="M1311" s="3">
        <v>31</v>
      </c>
      <c r="N1311" s="3">
        <v>46</v>
      </c>
      <c r="O1311" s="3">
        <v>7</v>
      </c>
      <c r="P1311" s="3">
        <v>59</v>
      </c>
      <c r="Q1311" s="3">
        <v>2</v>
      </c>
      <c r="R1311" s="3">
        <v>4</v>
      </c>
      <c r="S1311" s="3">
        <v>27</v>
      </c>
      <c r="T1311" s="3">
        <v>2</v>
      </c>
      <c r="U1311" s="3">
        <v>3</v>
      </c>
      <c r="V1311" s="3">
        <v>1</v>
      </c>
      <c r="W1311" s="3">
        <v>3</v>
      </c>
      <c r="X1311" s="3">
        <v>6</v>
      </c>
    </row>
    <row r="1312" spans="1:24" x14ac:dyDescent="0.35">
      <c r="A1312">
        <v>118</v>
      </c>
      <c r="B1312">
        <v>37509</v>
      </c>
      <c r="C1312">
        <v>44</v>
      </c>
      <c r="D1312">
        <v>1</v>
      </c>
      <c r="E1312" s="28">
        <v>7.7095890410958905</v>
      </c>
      <c r="F1312" s="28"/>
      <c r="G1312" s="28"/>
      <c r="H1312" s="28"/>
      <c r="I1312" s="28"/>
      <c r="J1312" s="28"/>
      <c r="L1312" s="38">
        <v>118</v>
      </c>
      <c r="M1312" s="2">
        <v>24</v>
      </c>
      <c r="N1312" s="2">
        <v>37</v>
      </c>
      <c r="O1312" s="2">
        <v>5</v>
      </c>
      <c r="P1312" s="2">
        <v>56</v>
      </c>
      <c r="Q1312" s="2">
        <v>12</v>
      </c>
      <c r="R1312" s="2">
        <v>8</v>
      </c>
      <c r="S1312" s="2">
        <v>5</v>
      </c>
      <c r="T1312" s="2">
        <v>2</v>
      </c>
      <c r="U1312" s="2">
        <v>3</v>
      </c>
      <c r="V1312" s="2">
        <v>0</v>
      </c>
      <c r="W1312" s="2">
        <v>4</v>
      </c>
      <c r="X1312" s="2">
        <v>7</v>
      </c>
    </row>
    <row r="1313" spans="1:24" x14ac:dyDescent="0.35">
      <c r="A1313">
        <v>118</v>
      </c>
      <c r="B1313">
        <v>23477</v>
      </c>
      <c r="C1313">
        <v>34</v>
      </c>
      <c r="D1313">
        <v>1</v>
      </c>
      <c r="E1313" s="28">
        <v>6.602739726027397</v>
      </c>
      <c r="F1313" s="28"/>
      <c r="G1313" s="28"/>
      <c r="H1313" s="28"/>
      <c r="I1313" s="28"/>
      <c r="J1313" s="28"/>
      <c r="L1313" s="37">
        <v>118</v>
      </c>
      <c r="M1313" s="3">
        <v>39</v>
      </c>
      <c r="N1313" s="3">
        <v>38</v>
      </c>
      <c r="O1313" s="3">
        <v>15</v>
      </c>
      <c r="P1313" s="3">
        <v>54</v>
      </c>
      <c r="Q1313" s="3">
        <v>3</v>
      </c>
      <c r="R1313" s="3">
        <v>8</v>
      </c>
      <c r="S1313" s="3">
        <v>29</v>
      </c>
      <c r="T1313" s="3">
        <v>3</v>
      </c>
      <c r="U1313" s="3">
        <v>3</v>
      </c>
      <c r="V1313" s="3">
        <v>0</v>
      </c>
      <c r="W1313" s="3">
        <v>4</v>
      </c>
      <c r="X1313" s="3">
        <v>8</v>
      </c>
    </row>
    <row r="1314" spans="1:24" x14ac:dyDescent="0.35">
      <c r="A1314">
        <v>118</v>
      </c>
      <c r="B1314">
        <v>30983</v>
      </c>
      <c r="C1314">
        <v>57</v>
      </c>
      <c r="D1314">
        <v>0</v>
      </c>
      <c r="E1314" s="28">
        <v>7.5506849315068489</v>
      </c>
      <c r="F1314" s="28"/>
      <c r="G1314" s="28"/>
      <c r="H1314" s="28"/>
      <c r="I1314" s="28"/>
      <c r="J1314" s="28"/>
      <c r="L1314" s="38">
        <v>118</v>
      </c>
      <c r="M1314" s="2">
        <v>50</v>
      </c>
      <c r="N1314" s="2">
        <v>51</v>
      </c>
      <c r="O1314" s="2">
        <v>4</v>
      </c>
      <c r="P1314" s="2">
        <v>50</v>
      </c>
      <c r="Q1314" s="2">
        <v>12</v>
      </c>
      <c r="R1314" s="2">
        <v>1</v>
      </c>
      <c r="S1314" s="2">
        <v>49</v>
      </c>
      <c r="T1314" s="2">
        <v>1</v>
      </c>
      <c r="U1314" s="2">
        <v>4</v>
      </c>
      <c r="V1314" s="2">
        <v>0</v>
      </c>
      <c r="W1314" s="2">
        <v>3</v>
      </c>
      <c r="X1314" s="2">
        <v>8</v>
      </c>
    </row>
    <row r="1315" spans="1:24" x14ac:dyDescent="0.35">
      <c r="A1315">
        <v>118</v>
      </c>
      <c r="B1315">
        <v>36443</v>
      </c>
      <c r="C1315">
        <v>59</v>
      </c>
      <c r="D1315">
        <v>1</v>
      </c>
      <c r="E1315" s="28">
        <v>7.3150684931506849</v>
      </c>
      <c r="F1315" s="28"/>
      <c r="G1315" s="28"/>
      <c r="H1315" s="28"/>
      <c r="I1315" s="28"/>
      <c r="J1315" s="28"/>
      <c r="L1315" s="37">
        <v>118</v>
      </c>
      <c r="M1315" s="3">
        <v>9</v>
      </c>
      <c r="N1315" s="3">
        <v>65</v>
      </c>
      <c r="O1315" s="3">
        <v>0</v>
      </c>
      <c r="P1315" s="3">
        <v>46</v>
      </c>
      <c r="Q1315" s="3">
        <v>4</v>
      </c>
      <c r="R1315" s="3">
        <v>3</v>
      </c>
      <c r="S1315" s="3">
        <v>20</v>
      </c>
      <c r="T1315" s="3">
        <v>4</v>
      </c>
      <c r="U1315" s="3">
        <v>3</v>
      </c>
      <c r="V1315" s="3">
        <v>1</v>
      </c>
      <c r="W1315" s="3">
        <v>3</v>
      </c>
      <c r="X1315" s="3">
        <v>8</v>
      </c>
    </row>
    <row r="1316" spans="1:24" x14ac:dyDescent="0.35">
      <c r="A1316">
        <v>118</v>
      </c>
      <c r="B1316">
        <v>40887</v>
      </c>
      <c r="C1316">
        <v>68</v>
      </c>
      <c r="D1316">
        <v>1</v>
      </c>
      <c r="E1316" s="28">
        <v>7.0630136986301366</v>
      </c>
      <c r="F1316" s="28"/>
      <c r="G1316" s="28"/>
      <c r="H1316" s="28"/>
      <c r="I1316" s="28"/>
      <c r="J1316" s="28"/>
      <c r="L1316" s="38">
        <v>118</v>
      </c>
      <c r="M1316" s="2">
        <v>32</v>
      </c>
      <c r="N1316" s="2">
        <v>50</v>
      </c>
      <c r="O1316" s="2">
        <v>4</v>
      </c>
      <c r="P1316" s="2">
        <v>44</v>
      </c>
      <c r="Q1316" s="2">
        <v>10</v>
      </c>
      <c r="R1316" s="2">
        <v>10</v>
      </c>
      <c r="S1316" s="2">
        <v>43</v>
      </c>
      <c r="T1316" s="2">
        <v>3</v>
      </c>
      <c r="U1316" s="2">
        <v>3</v>
      </c>
      <c r="V1316" s="2">
        <v>1</v>
      </c>
      <c r="W1316" s="2">
        <v>3</v>
      </c>
      <c r="X1316" s="2">
        <v>9</v>
      </c>
    </row>
    <row r="1317" spans="1:24" x14ac:dyDescent="0.35">
      <c r="A1317">
        <v>118</v>
      </c>
      <c r="B1317">
        <v>58646</v>
      </c>
      <c r="C1317">
        <v>58</v>
      </c>
      <c r="D1317">
        <v>1</v>
      </c>
      <c r="E1317" s="28">
        <v>6.9671232876712326</v>
      </c>
      <c r="F1317" s="28"/>
      <c r="G1317" s="28"/>
      <c r="H1317" s="28"/>
      <c r="I1317" s="28"/>
      <c r="J1317" s="28"/>
      <c r="L1317" s="37">
        <v>118</v>
      </c>
      <c r="M1317" s="3">
        <v>3</v>
      </c>
      <c r="N1317" s="3">
        <v>62</v>
      </c>
      <c r="O1317" s="3">
        <v>1</v>
      </c>
      <c r="P1317" s="3">
        <v>44</v>
      </c>
      <c r="Q1317" s="3">
        <v>6</v>
      </c>
      <c r="R1317" s="3">
        <v>5</v>
      </c>
      <c r="S1317" s="3">
        <v>22</v>
      </c>
      <c r="T1317" s="3">
        <v>1</v>
      </c>
      <c r="U1317" s="3">
        <v>2</v>
      </c>
      <c r="V1317" s="3">
        <v>1</v>
      </c>
      <c r="W1317" s="3">
        <v>4</v>
      </c>
      <c r="X1317" s="3">
        <v>4</v>
      </c>
    </row>
    <row r="1318" spans="1:24" x14ac:dyDescent="0.35">
      <c r="A1318">
        <v>118</v>
      </c>
      <c r="B1318">
        <v>38557</v>
      </c>
      <c r="C1318">
        <v>42</v>
      </c>
      <c r="D1318">
        <v>1</v>
      </c>
      <c r="E1318" s="28">
        <v>7.441095890410959</v>
      </c>
      <c r="F1318" s="28"/>
      <c r="G1318" s="28"/>
      <c r="H1318" s="28"/>
      <c r="I1318" s="28"/>
      <c r="J1318" s="28"/>
      <c r="L1318" s="38">
        <v>118</v>
      </c>
      <c r="M1318" s="2">
        <v>17</v>
      </c>
      <c r="N1318" s="2">
        <v>76</v>
      </c>
      <c r="O1318" s="2">
        <v>3</v>
      </c>
      <c r="P1318" s="2">
        <v>31</v>
      </c>
      <c r="Q1318" s="2">
        <v>4</v>
      </c>
      <c r="R1318" s="2">
        <v>4</v>
      </c>
      <c r="S1318" s="2">
        <v>27</v>
      </c>
      <c r="T1318" s="2">
        <v>2</v>
      </c>
      <c r="U1318" s="2">
        <v>3</v>
      </c>
      <c r="V1318" s="2">
        <v>1</v>
      </c>
      <c r="W1318" s="2">
        <v>3</v>
      </c>
      <c r="X1318" s="2">
        <v>7</v>
      </c>
    </row>
    <row r="1319" spans="1:24" x14ac:dyDescent="0.35">
      <c r="A1319">
        <v>117</v>
      </c>
      <c r="B1319">
        <v>34935</v>
      </c>
      <c r="C1319">
        <v>28</v>
      </c>
      <c r="D1319">
        <v>0</v>
      </c>
      <c r="E1319" s="28">
        <v>6.9369863013698634</v>
      </c>
      <c r="F1319" s="28"/>
      <c r="G1319" s="28"/>
      <c r="H1319" s="28"/>
      <c r="I1319" s="28"/>
      <c r="J1319" s="28"/>
      <c r="L1319" s="37">
        <v>117</v>
      </c>
      <c r="M1319" s="3">
        <v>71</v>
      </c>
      <c r="N1319" s="3">
        <v>34</v>
      </c>
      <c r="O1319" s="3">
        <v>4</v>
      </c>
      <c r="P1319" s="3">
        <v>66</v>
      </c>
      <c r="Q1319" s="3">
        <v>3</v>
      </c>
      <c r="R1319" s="3">
        <v>10</v>
      </c>
      <c r="S1319" s="3">
        <v>20</v>
      </c>
      <c r="T1319" s="3">
        <v>1</v>
      </c>
      <c r="U1319" s="3">
        <v>2</v>
      </c>
      <c r="V1319" s="3">
        <v>1</v>
      </c>
      <c r="W1319" s="3">
        <v>4</v>
      </c>
      <c r="X1319" s="3">
        <v>7</v>
      </c>
    </row>
    <row r="1320" spans="1:24" x14ac:dyDescent="0.35">
      <c r="A1320">
        <v>117</v>
      </c>
      <c r="B1320">
        <v>36947</v>
      </c>
      <c r="C1320">
        <v>53</v>
      </c>
      <c r="D1320">
        <v>1</v>
      </c>
      <c r="E1320" s="28">
        <v>7.8082191780821919</v>
      </c>
      <c r="F1320" s="28"/>
      <c r="G1320" s="28"/>
      <c r="H1320" s="28"/>
      <c r="I1320" s="28"/>
      <c r="J1320" s="28"/>
      <c r="L1320" s="38">
        <v>117</v>
      </c>
      <c r="M1320" s="2">
        <v>49</v>
      </c>
      <c r="N1320" s="2">
        <v>88</v>
      </c>
      <c r="O1320" s="2">
        <v>3</v>
      </c>
      <c r="P1320" s="2">
        <v>21</v>
      </c>
      <c r="Q1320" s="2">
        <v>4</v>
      </c>
      <c r="R1320" s="2">
        <v>1</v>
      </c>
      <c r="S1320" s="2">
        <v>29</v>
      </c>
      <c r="T1320" s="2">
        <v>4</v>
      </c>
      <c r="U1320" s="2">
        <v>3</v>
      </c>
      <c r="V1320" s="2">
        <v>0</v>
      </c>
      <c r="W1320" s="2">
        <v>4</v>
      </c>
      <c r="X1320" s="2">
        <v>9</v>
      </c>
    </row>
    <row r="1321" spans="1:24" x14ac:dyDescent="0.35">
      <c r="A1321">
        <v>117</v>
      </c>
      <c r="B1321">
        <v>51717</v>
      </c>
      <c r="C1321">
        <v>55</v>
      </c>
      <c r="D1321">
        <v>1</v>
      </c>
      <c r="E1321" s="28">
        <v>6.7726027397260271</v>
      </c>
      <c r="F1321" s="28"/>
      <c r="G1321" s="28"/>
      <c r="H1321" s="28"/>
      <c r="I1321" s="28"/>
      <c r="J1321" s="28"/>
      <c r="L1321" s="37">
        <v>117</v>
      </c>
      <c r="M1321" s="3">
        <v>55</v>
      </c>
      <c r="N1321" s="3">
        <v>98</v>
      </c>
      <c r="O1321" s="3">
        <v>1</v>
      </c>
      <c r="P1321" s="3">
        <v>17</v>
      </c>
      <c r="Q1321" s="3">
        <v>0</v>
      </c>
      <c r="R1321" s="3">
        <v>1</v>
      </c>
      <c r="S1321" s="3">
        <v>5</v>
      </c>
      <c r="T1321" s="3">
        <v>1</v>
      </c>
      <c r="U1321" s="3">
        <v>3</v>
      </c>
      <c r="V1321" s="3">
        <v>0</v>
      </c>
      <c r="W1321" s="3">
        <v>4</v>
      </c>
      <c r="X1321" s="3">
        <v>7</v>
      </c>
    </row>
    <row r="1322" spans="1:24" x14ac:dyDescent="0.35">
      <c r="A1322">
        <v>117</v>
      </c>
      <c r="B1322">
        <v>32011</v>
      </c>
      <c r="C1322">
        <v>49</v>
      </c>
      <c r="D1322">
        <v>1</v>
      </c>
      <c r="E1322" s="28">
        <v>6.7671232876712333</v>
      </c>
      <c r="F1322" s="28"/>
      <c r="G1322" s="28"/>
      <c r="H1322" s="28"/>
      <c r="I1322" s="28"/>
      <c r="J1322" s="28"/>
      <c r="L1322" s="38">
        <v>117</v>
      </c>
      <c r="M1322" s="2">
        <v>89</v>
      </c>
      <c r="N1322" s="2">
        <v>99</v>
      </c>
      <c r="O1322" s="2">
        <v>0</v>
      </c>
      <c r="P1322" s="2">
        <v>15</v>
      </c>
      <c r="Q1322" s="2">
        <v>2</v>
      </c>
      <c r="R1322" s="2">
        <v>1</v>
      </c>
      <c r="S1322" s="2">
        <v>5</v>
      </c>
      <c r="T1322" s="2">
        <v>3</v>
      </c>
      <c r="U1322" s="2">
        <v>2</v>
      </c>
      <c r="V1322" s="2">
        <v>1</v>
      </c>
      <c r="W1322" s="2">
        <v>4</v>
      </c>
      <c r="X1322" s="2">
        <v>7</v>
      </c>
    </row>
    <row r="1323" spans="1:24" x14ac:dyDescent="0.35">
      <c r="A1323">
        <v>117</v>
      </c>
      <c r="B1323">
        <v>57236</v>
      </c>
      <c r="C1323">
        <v>55</v>
      </c>
      <c r="D1323">
        <v>1</v>
      </c>
      <c r="E1323" s="28">
        <v>6.2136986301369861</v>
      </c>
      <c r="F1323" s="28"/>
      <c r="G1323" s="28"/>
      <c r="H1323" s="28"/>
      <c r="I1323" s="28"/>
      <c r="J1323" s="28"/>
      <c r="L1323" s="37">
        <v>117</v>
      </c>
      <c r="M1323" s="3">
        <v>22</v>
      </c>
      <c r="N1323" s="3">
        <v>105</v>
      </c>
      <c r="O1323" s="3">
        <v>0</v>
      </c>
      <c r="P1323" s="3">
        <v>9</v>
      </c>
      <c r="Q1323" s="3">
        <v>2</v>
      </c>
      <c r="R1323" s="3">
        <v>1</v>
      </c>
      <c r="S1323" s="3">
        <v>4</v>
      </c>
      <c r="T1323" s="3">
        <v>3</v>
      </c>
      <c r="U1323" s="3">
        <v>2</v>
      </c>
      <c r="V1323" s="3">
        <v>1</v>
      </c>
      <c r="W1323" s="3">
        <v>4</v>
      </c>
      <c r="X1323" s="3">
        <v>3</v>
      </c>
    </row>
    <row r="1324" spans="1:24" x14ac:dyDescent="0.35">
      <c r="A1324">
        <v>117</v>
      </c>
      <c r="B1324">
        <v>40548</v>
      </c>
      <c r="C1324">
        <v>50</v>
      </c>
      <c r="D1324">
        <v>1</v>
      </c>
      <c r="E1324" s="28">
        <v>7.6328767123287671</v>
      </c>
      <c r="F1324" s="28"/>
      <c r="G1324" s="28"/>
      <c r="H1324" s="28"/>
      <c r="I1324" s="28"/>
      <c r="J1324" s="28"/>
      <c r="L1324" s="38">
        <v>117</v>
      </c>
      <c r="M1324" s="2">
        <v>31</v>
      </c>
      <c r="N1324" s="2">
        <v>110</v>
      </c>
      <c r="O1324" s="2">
        <v>0</v>
      </c>
      <c r="P1324" s="2">
        <v>5</v>
      </c>
      <c r="Q1324" s="2">
        <v>2</v>
      </c>
      <c r="R1324" s="2">
        <v>0</v>
      </c>
      <c r="S1324" s="2">
        <v>3</v>
      </c>
      <c r="T1324" s="2">
        <v>2</v>
      </c>
      <c r="U1324" s="2">
        <v>2</v>
      </c>
      <c r="V1324" s="2">
        <v>1</v>
      </c>
      <c r="W1324" s="2">
        <v>4</v>
      </c>
      <c r="X1324" s="2">
        <v>5</v>
      </c>
    </row>
    <row r="1325" spans="1:24" x14ac:dyDescent="0.35">
      <c r="A1325">
        <v>116</v>
      </c>
      <c r="B1325">
        <v>43641</v>
      </c>
      <c r="C1325">
        <v>51</v>
      </c>
      <c r="D1325">
        <v>1</v>
      </c>
      <c r="E1325" s="28">
        <v>7.1013698630136988</v>
      </c>
      <c r="F1325" s="28"/>
      <c r="G1325" s="28"/>
      <c r="H1325" s="28"/>
      <c r="I1325" s="28"/>
      <c r="J1325" s="28"/>
      <c r="L1325" s="37">
        <v>116</v>
      </c>
      <c r="M1325" s="3">
        <v>50</v>
      </c>
      <c r="N1325" s="3">
        <v>57</v>
      </c>
      <c r="O1325" s="3">
        <v>2</v>
      </c>
      <c r="P1325" s="3">
        <v>51</v>
      </c>
      <c r="Q1325" s="3">
        <v>4</v>
      </c>
      <c r="R1325" s="3">
        <v>2</v>
      </c>
      <c r="S1325" s="3">
        <v>23</v>
      </c>
      <c r="T1325" s="3">
        <v>3</v>
      </c>
      <c r="U1325" s="3">
        <v>2</v>
      </c>
      <c r="V1325" s="3">
        <v>1</v>
      </c>
      <c r="W1325" s="3">
        <v>4</v>
      </c>
      <c r="X1325" s="3">
        <v>6</v>
      </c>
    </row>
    <row r="1326" spans="1:24" x14ac:dyDescent="0.35">
      <c r="A1326">
        <v>116</v>
      </c>
      <c r="B1326">
        <v>23228</v>
      </c>
      <c r="C1326">
        <v>36</v>
      </c>
      <c r="D1326">
        <v>1</v>
      </c>
      <c r="E1326" s="28">
        <v>6.3945205479452056</v>
      </c>
      <c r="F1326" s="28"/>
      <c r="G1326" s="28"/>
      <c r="H1326" s="28"/>
      <c r="I1326" s="28"/>
      <c r="J1326" s="28"/>
      <c r="L1326" s="38">
        <v>116</v>
      </c>
      <c r="M1326" s="2">
        <v>91</v>
      </c>
      <c r="N1326" s="2">
        <v>53</v>
      </c>
      <c r="O1326" s="2">
        <v>3</v>
      </c>
      <c r="P1326" s="2">
        <v>49</v>
      </c>
      <c r="Q1326" s="2">
        <v>7</v>
      </c>
      <c r="R1326" s="2">
        <v>4</v>
      </c>
      <c r="S1326" s="2">
        <v>5</v>
      </c>
      <c r="T1326" s="2">
        <v>4</v>
      </c>
      <c r="U1326" s="2">
        <v>3</v>
      </c>
      <c r="V1326" s="2">
        <v>0</v>
      </c>
      <c r="W1326" s="2">
        <v>4</v>
      </c>
      <c r="X1326" s="2">
        <v>8</v>
      </c>
    </row>
    <row r="1327" spans="1:24" x14ac:dyDescent="0.35">
      <c r="A1327">
        <v>116</v>
      </c>
      <c r="B1327">
        <v>29435</v>
      </c>
      <c r="C1327">
        <v>54</v>
      </c>
      <c r="D1327">
        <v>1</v>
      </c>
      <c r="E1327" s="28">
        <v>7.8109589041095893</v>
      </c>
      <c r="F1327" s="28"/>
      <c r="G1327" s="28"/>
      <c r="H1327" s="28"/>
      <c r="I1327" s="28"/>
      <c r="J1327" s="28"/>
      <c r="L1327" s="37">
        <v>116</v>
      </c>
      <c r="M1327" s="3">
        <v>11</v>
      </c>
      <c r="N1327" s="3">
        <v>70</v>
      </c>
      <c r="O1327" s="3">
        <v>3</v>
      </c>
      <c r="P1327" s="3">
        <v>37</v>
      </c>
      <c r="Q1327" s="3">
        <v>4</v>
      </c>
      <c r="R1327" s="3">
        <v>2</v>
      </c>
      <c r="S1327" s="3">
        <v>64</v>
      </c>
      <c r="T1327" s="3">
        <v>4</v>
      </c>
      <c r="U1327" s="3">
        <v>3</v>
      </c>
      <c r="V1327" s="3">
        <v>2</v>
      </c>
      <c r="W1327" s="3">
        <v>2</v>
      </c>
      <c r="X1327" s="3">
        <v>9</v>
      </c>
    </row>
    <row r="1328" spans="1:24" x14ac:dyDescent="0.35">
      <c r="A1328">
        <v>116</v>
      </c>
      <c r="B1328">
        <v>49187</v>
      </c>
      <c r="C1328">
        <v>44</v>
      </c>
      <c r="D1328">
        <v>1</v>
      </c>
      <c r="E1328" s="28">
        <v>6.3780821917808215</v>
      </c>
      <c r="F1328" s="28"/>
      <c r="G1328" s="28"/>
      <c r="H1328" s="28"/>
      <c r="I1328" s="28"/>
      <c r="J1328" s="28"/>
      <c r="L1328" s="38">
        <v>116</v>
      </c>
      <c r="M1328" s="2">
        <v>63</v>
      </c>
      <c r="N1328" s="2">
        <v>81</v>
      </c>
      <c r="O1328" s="2">
        <v>1</v>
      </c>
      <c r="P1328" s="2">
        <v>31</v>
      </c>
      <c r="Q1328" s="2">
        <v>2</v>
      </c>
      <c r="R1328" s="2">
        <v>1</v>
      </c>
      <c r="S1328" s="2">
        <v>0</v>
      </c>
      <c r="T1328" s="2">
        <v>1</v>
      </c>
      <c r="U1328" s="2">
        <v>1</v>
      </c>
      <c r="V1328" s="2">
        <v>1</v>
      </c>
      <c r="W1328" s="2">
        <v>5</v>
      </c>
      <c r="X1328" s="2">
        <v>2</v>
      </c>
    </row>
    <row r="1329" spans="1:24" x14ac:dyDescent="0.35">
      <c r="A1329">
        <v>116</v>
      </c>
      <c r="B1329">
        <v>43586</v>
      </c>
      <c r="C1329">
        <v>40</v>
      </c>
      <c r="D1329">
        <v>1</v>
      </c>
      <c r="E1329" s="28">
        <v>7.7452054794520544</v>
      </c>
      <c r="F1329" s="28"/>
      <c r="G1329" s="28"/>
      <c r="H1329" s="28"/>
      <c r="I1329" s="28"/>
      <c r="J1329" s="28"/>
      <c r="L1329" s="37">
        <v>116</v>
      </c>
      <c r="M1329" s="3">
        <v>26</v>
      </c>
      <c r="N1329" s="3">
        <v>99</v>
      </c>
      <c r="O1329" s="3">
        <v>2</v>
      </c>
      <c r="P1329" s="3">
        <v>11</v>
      </c>
      <c r="Q1329" s="3">
        <v>4</v>
      </c>
      <c r="R1329" s="3">
        <v>0</v>
      </c>
      <c r="S1329" s="3">
        <v>16</v>
      </c>
      <c r="T1329" s="3">
        <v>3</v>
      </c>
      <c r="U1329" s="3">
        <v>3</v>
      </c>
      <c r="V1329" s="3">
        <v>0</v>
      </c>
      <c r="W1329" s="3">
        <v>4</v>
      </c>
      <c r="X1329" s="3">
        <v>8</v>
      </c>
    </row>
    <row r="1330" spans="1:24" x14ac:dyDescent="0.35">
      <c r="A1330">
        <v>116</v>
      </c>
      <c r="B1330">
        <v>52854</v>
      </c>
      <c r="C1330">
        <v>61</v>
      </c>
      <c r="D1330">
        <v>1</v>
      </c>
      <c r="E1330" s="28">
        <v>6.1808219178082195</v>
      </c>
      <c r="F1330" s="28"/>
      <c r="G1330" s="28"/>
      <c r="H1330" s="28"/>
      <c r="I1330" s="28"/>
      <c r="J1330" s="28"/>
      <c r="L1330" s="38">
        <v>116</v>
      </c>
      <c r="M1330" s="2">
        <v>43</v>
      </c>
      <c r="N1330" s="2">
        <v>105</v>
      </c>
      <c r="O1330" s="2">
        <v>0</v>
      </c>
      <c r="P1330" s="2">
        <v>10</v>
      </c>
      <c r="Q1330" s="2">
        <v>0</v>
      </c>
      <c r="R1330" s="2">
        <v>1</v>
      </c>
      <c r="S1330" s="2">
        <v>0</v>
      </c>
      <c r="T1330" s="2">
        <v>2</v>
      </c>
      <c r="U1330" s="2">
        <v>2</v>
      </c>
      <c r="V1330" s="2">
        <v>1</v>
      </c>
      <c r="W1330" s="2">
        <v>4</v>
      </c>
      <c r="X1330" s="2">
        <v>5</v>
      </c>
    </row>
    <row r="1331" spans="1:24" x14ac:dyDescent="0.35">
      <c r="A1331">
        <v>115</v>
      </c>
      <c r="B1331">
        <v>35876</v>
      </c>
      <c r="C1331">
        <v>37</v>
      </c>
      <c r="D1331">
        <v>0</v>
      </c>
      <c r="E1331" s="28">
        <v>6.1068493150684935</v>
      </c>
      <c r="F1331" s="28"/>
      <c r="G1331" s="28"/>
      <c r="H1331" s="28"/>
      <c r="I1331" s="28"/>
      <c r="J1331" s="28"/>
      <c r="L1331" s="37">
        <v>115</v>
      </c>
      <c r="M1331" s="3">
        <v>13</v>
      </c>
      <c r="N1331" s="3">
        <v>66</v>
      </c>
      <c r="O1331" s="3">
        <v>2</v>
      </c>
      <c r="P1331" s="3">
        <v>40</v>
      </c>
      <c r="Q1331" s="3">
        <v>4</v>
      </c>
      <c r="R1331" s="3">
        <v>3</v>
      </c>
      <c r="S1331" s="3">
        <v>14</v>
      </c>
      <c r="T1331" s="3">
        <v>1</v>
      </c>
      <c r="U1331" s="3">
        <v>3</v>
      </c>
      <c r="V1331" s="3">
        <v>1</v>
      </c>
      <c r="W1331" s="3">
        <v>3</v>
      </c>
      <c r="X1331" s="3">
        <v>6</v>
      </c>
    </row>
    <row r="1332" spans="1:24" x14ac:dyDescent="0.35">
      <c r="A1332">
        <v>115</v>
      </c>
      <c r="B1332">
        <v>38097</v>
      </c>
      <c r="C1332">
        <v>50</v>
      </c>
      <c r="D1332">
        <v>1</v>
      </c>
      <c r="E1332" s="28">
        <v>7.6191780821917812</v>
      </c>
      <c r="F1332" s="28"/>
      <c r="G1332" s="28"/>
      <c r="H1332" s="28"/>
      <c r="I1332" s="28"/>
      <c r="J1332" s="28"/>
      <c r="L1332" s="38">
        <v>115</v>
      </c>
      <c r="M1332" s="2">
        <v>70</v>
      </c>
      <c r="N1332" s="2">
        <v>77</v>
      </c>
      <c r="O1332" s="2">
        <v>2</v>
      </c>
      <c r="P1332" s="2">
        <v>35</v>
      </c>
      <c r="Q1332" s="2">
        <v>0</v>
      </c>
      <c r="R1332" s="2">
        <v>1</v>
      </c>
      <c r="S1332" s="2">
        <v>69</v>
      </c>
      <c r="T1332" s="2">
        <v>4</v>
      </c>
      <c r="U1332" s="2">
        <v>3</v>
      </c>
      <c r="V1332" s="2">
        <v>2</v>
      </c>
      <c r="W1332" s="2">
        <v>2</v>
      </c>
      <c r="X1332" s="2">
        <v>7</v>
      </c>
    </row>
    <row r="1333" spans="1:24" x14ac:dyDescent="0.35">
      <c r="A1333">
        <v>115</v>
      </c>
      <c r="B1333">
        <v>49618</v>
      </c>
      <c r="C1333">
        <v>54</v>
      </c>
      <c r="D1333">
        <v>1</v>
      </c>
      <c r="E1333" s="28">
        <v>7.3369863013698629</v>
      </c>
      <c r="F1333" s="28"/>
      <c r="G1333" s="28"/>
      <c r="H1333" s="28"/>
      <c r="I1333" s="28"/>
      <c r="J1333" s="28"/>
      <c r="L1333" s="37">
        <v>115</v>
      </c>
      <c r="M1333" s="3">
        <v>77</v>
      </c>
      <c r="N1333" s="3">
        <v>80</v>
      </c>
      <c r="O1333" s="3">
        <v>3</v>
      </c>
      <c r="P1333" s="3">
        <v>26</v>
      </c>
      <c r="Q1333" s="3">
        <v>4</v>
      </c>
      <c r="R1333" s="3">
        <v>2</v>
      </c>
      <c r="S1333" s="3">
        <v>14</v>
      </c>
      <c r="T1333" s="3">
        <v>4</v>
      </c>
      <c r="U1333" s="3">
        <v>3</v>
      </c>
      <c r="V1333" s="3">
        <v>1</v>
      </c>
      <c r="W1333" s="3">
        <v>3</v>
      </c>
      <c r="X1333" s="3">
        <v>7</v>
      </c>
    </row>
    <row r="1334" spans="1:24" x14ac:dyDescent="0.35">
      <c r="A1334">
        <v>111</v>
      </c>
      <c r="B1334">
        <v>6560</v>
      </c>
      <c r="C1334">
        <v>38</v>
      </c>
      <c r="D1334">
        <v>0</v>
      </c>
      <c r="E1334" s="28">
        <v>6.4602739726027396</v>
      </c>
      <c r="F1334" s="28"/>
      <c r="G1334" s="28"/>
      <c r="H1334" s="28"/>
      <c r="I1334" s="28"/>
      <c r="J1334" s="28"/>
      <c r="L1334" s="38">
        <v>111</v>
      </c>
      <c r="M1334" s="2">
        <v>2</v>
      </c>
      <c r="N1334" s="2">
        <v>67</v>
      </c>
      <c r="O1334" s="2">
        <v>11</v>
      </c>
      <c r="P1334" s="2">
        <v>26</v>
      </c>
      <c r="Q1334" s="2">
        <v>4</v>
      </c>
      <c r="R1334" s="2">
        <v>3</v>
      </c>
      <c r="S1334" s="2">
        <v>262</v>
      </c>
      <c r="T1334" s="2">
        <v>0</v>
      </c>
      <c r="U1334" s="2">
        <v>1</v>
      </c>
      <c r="V1334" s="2">
        <v>0</v>
      </c>
      <c r="W1334" s="2">
        <v>1</v>
      </c>
      <c r="X1334" s="2">
        <v>17</v>
      </c>
    </row>
    <row r="1335" spans="1:24" x14ac:dyDescent="0.35">
      <c r="A1335">
        <v>96</v>
      </c>
      <c r="B1335">
        <v>45204</v>
      </c>
      <c r="C1335">
        <v>32</v>
      </c>
      <c r="D1335">
        <v>1</v>
      </c>
      <c r="E1335" s="28">
        <v>6.1315068493150688</v>
      </c>
      <c r="F1335" s="28"/>
      <c r="G1335" s="28"/>
      <c r="H1335" s="28"/>
      <c r="I1335" s="28"/>
      <c r="J1335" s="28"/>
      <c r="L1335" s="37">
        <v>96</v>
      </c>
      <c r="M1335" s="3">
        <v>93</v>
      </c>
      <c r="N1335" s="3">
        <v>30</v>
      </c>
      <c r="O1335" s="3">
        <v>11</v>
      </c>
      <c r="P1335" s="3">
        <v>25</v>
      </c>
      <c r="Q1335" s="3">
        <v>29</v>
      </c>
      <c r="R1335" s="3">
        <v>1</v>
      </c>
      <c r="S1335" s="3">
        <v>18</v>
      </c>
      <c r="T1335" s="3">
        <v>1</v>
      </c>
      <c r="U1335" s="3">
        <v>1</v>
      </c>
      <c r="V1335" s="3">
        <v>1</v>
      </c>
      <c r="W1335" s="3">
        <v>4</v>
      </c>
      <c r="X1335" s="3">
        <v>3</v>
      </c>
    </row>
    <row r="1336" spans="1:24" x14ac:dyDescent="0.35">
      <c r="A1336">
        <v>95</v>
      </c>
      <c r="B1336">
        <v>34487</v>
      </c>
      <c r="C1336">
        <v>43</v>
      </c>
      <c r="D1336">
        <v>1</v>
      </c>
      <c r="E1336" s="28">
        <v>7.7260273972602738</v>
      </c>
      <c r="F1336" s="28"/>
      <c r="G1336" s="28"/>
      <c r="H1336" s="28"/>
      <c r="I1336" s="28"/>
      <c r="J1336" s="28"/>
      <c r="L1336" s="38">
        <v>95</v>
      </c>
      <c r="M1336" s="2">
        <v>94</v>
      </c>
      <c r="N1336" s="2">
        <v>19</v>
      </c>
      <c r="O1336" s="2">
        <v>18</v>
      </c>
      <c r="P1336" s="2">
        <v>33</v>
      </c>
      <c r="Q1336" s="2">
        <v>24</v>
      </c>
      <c r="R1336" s="2">
        <v>1</v>
      </c>
      <c r="S1336" s="2">
        <v>8</v>
      </c>
      <c r="T1336" s="2">
        <v>3</v>
      </c>
      <c r="U1336" s="2">
        <v>3</v>
      </c>
      <c r="V1336" s="2">
        <v>0</v>
      </c>
      <c r="W1336" s="2">
        <v>3</v>
      </c>
      <c r="X1336" s="2">
        <v>9</v>
      </c>
    </row>
    <row r="1337" spans="1:24" x14ac:dyDescent="0.35">
      <c r="A1337">
        <v>94</v>
      </c>
      <c r="B1337">
        <v>33812</v>
      </c>
      <c r="C1337">
        <v>35</v>
      </c>
      <c r="D1337">
        <v>1</v>
      </c>
      <c r="E1337" s="28">
        <v>7.5671232876712331</v>
      </c>
      <c r="F1337" s="28"/>
      <c r="G1337" s="28"/>
      <c r="H1337" s="28"/>
      <c r="I1337" s="28"/>
      <c r="J1337" s="28"/>
      <c r="L1337" s="37">
        <v>94</v>
      </c>
      <c r="M1337" s="3">
        <v>86</v>
      </c>
      <c r="N1337" s="3">
        <v>4</v>
      </c>
      <c r="O1337" s="3">
        <v>17</v>
      </c>
      <c r="P1337" s="3">
        <v>19</v>
      </c>
      <c r="Q1337" s="3">
        <v>30</v>
      </c>
      <c r="R1337" s="3">
        <v>24</v>
      </c>
      <c r="S1337" s="3">
        <v>39</v>
      </c>
      <c r="T1337" s="3">
        <v>2</v>
      </c>
      <c r="U1337" s="3">
        <v>2</v>
      </c>
      <c r="V1337" s="3">
        <v>1</v>
      </c>
      <c r="W1337" s="3">
        <v>3</v>
      </c>
      <c r="X1337" s="3">
        <v>6</v>
      </c>
    </row>
    <row r="1338" spans="1:24" x14ac:dyDescent="0.35">
      <c r="A1338">
        <v>93</v>
      </c>
      <c r="B1338">
        <v>42767</v>
      </c>
      <c r="C1338">
        <v>49</v>
      </c>
      <c r="D1338">
        <v>1</v>
      </c>
      <c r="E1338" s="28">
        <v>7.0493150684931507</v>
      </c>
      <c r="F1338" s="28"/>
      <c r="G1338" s="28"/>
      <c r="H1338" s="28"/>
      <c r="I1338" s="28"/>
      <c r="J1338" s="28"/>
      <c r="L1338" s="38">
        <v>93</v>
      </c>
      <c r="M1338" s="2">
        <v>53</v>
      </c>
      <c r="N1338" s="2">
        <v>20</v>
      </c>
      <c r="O1338" s="2">
        <v>6</v>
      </c>
      <c r="P1338" s="2">
        <v>43</v>
      </c>
      <c r="Q1338" s="2">
        <v>19</v>
      </c>
      <c r="R1338" s="2">
        <v>5</v>
      </c>
      <c r="S1338" s="2">
        <v>38</v>
      </c>
      <c r="T1338" s="2">
        <v>1</v>
      </c>
      <c r="U1338" s="2">
        <v>3</v>
      </c>
      <c r="V1338" s="2">
        <v>1</v>
      </c>
      <c r="W1338" s="2">
        <v>2</v>
      </c>
      <c r="X1338" s="2">
        <v>8</v>
      </c>
    </row>
    <row r="1339" spans="1:24" x14ac:dyDescent="0.35">
      <c r="A1339">
        <v>93</v>
      </c>
      <c r="B1339">
        <v>35322</v>
      </c>
      <c r="C1339">
        <v>52</v>
      </c>
      <c r="D1339">
        <v>1</v>
      </c>
      <c r="E1339" s="28">
        <v>7.7671232876712333</v>
      </c>
      <c r="F1339" s="28"/>
      <c r="G1339" s="28"/>
      <c r="H1339" s="28"/>
      <c r="I1339" s="28"/>
      <c r="J1339" s="28"/>
      <c r="L1339" s="37">
        <v>93</v>
      </c>
      <c r="M1339" s="3">
        <v>34</v>
      </c>
      <c r="N1339" s="3">
        <v>28</v>
      </c>
      <c r="O1339" s="3">
        <v>9</v>
      </c>
      <c r="P1339" s="3">
        <v>37</v>
      </c>
      <c r="Q1339" s="3">
        <v>12</v>
      </c>
      <c r="R1339" s="3">
        <v>7</v>
      </c>
      <c r="S1339" s="3">
        <v>13</v>
      </c>
      <c r="T1339" s="3">
        <v>3</v>
      </c>
      <c r="U1339" s="3">
        <v>2</v>
      </c>
      <c r="V1339" s="3">
        <v>0</v>
      </c>
      <c r="W1339" s="3">
        <v>4</v>
      </c>
      <c r="X1339" s="3">
        <v>8</v>
      </c>
    </row>
    <row r="1340" spans="1:24" x14ac:dyDescent="0.35">
      <c r="A1340">
        <v>93</v>
      </c>
      <c r="B1340">
        <v>33585</v>
      </c>
      <c r="C1340">
        <v>54</v>
      </c>
      <c r="D1340">
        <v>1</v>
      </c>
      <c r="E1340" s="28">
        <v>6.6739726027397257</v>
      </c>
      <c r="F1340" s="28"/>
      <c r="G1340" s="28"/>
      <c r="H1340" s="28"/>
      <c r="I1340" s="28"/>
      <c r="J1340" s="28"/>
      <c r="L1340" s="38">
        <v>93</v>
      </c>
      <c r="M1340" s="2">
        <v>91</v>
      </c>
      <c r="N1340" s="2">
        <v>30</v>
      </c>
      <c r="O1340" s="2">
        <v>11</v>
      </c>
      <c r="P1340" s="2">
        <v>33</v>
      </c>
      <c r="Q1340" s="2">
        <v>13</v>
      </c>
      <c r="R1340" s="2">
        <v>6</v>
      </c>
      <c r="S1340" s="2">
        <v>29</v>
      </c>
      <c r="T1340" s="2">
        <v>1</v>
      </c>
      <c r="U1340" s="2">
        <v>2</v>
      </c>
      <c r="V1340" s="2">
        <v>0</v>
      </c>
      <c r="W1340" s="2">
        <v>4</v>
      </c>
      <c r="X1340" s="2">
        <v>4</v>
      </c>
    </row>
    <row r="1341" spans="1:24" x14ac:dyDescent="0.35">
      <c r="A1341">
        <v>93</v>
      </c>
      <c r="B1341">
        <v>22979</v>
      </c>
      <c r="C1341">
        <v>50</v>
      </c>
      <c r="D1341">
        <v>1</v>
      </c>
      <c r="E1341" s="28">
        <v>7.7260273972602738</v>
      </c>
      <c r="F1341" s="28"/>
      <c r="G1341" s="28"/>
      <c r="H1341" s="28"/>
      <c r="I1341" s="28"/>
      <c r="J1341" s="28"/>
      <c r="L1341" s="37">
        <v>93</v>
      </c>
      <c r="M1341" s="3">
        <v>29</v>
      </c>
      <c r="N1341" s="3">
        <v>16</v>
      </c>
      <c r="O1341" s="3">
        <v>17</v>
      </c>
      <c r="P1341" s="3">
        <v>19</v>
      </c>
      <c r="Q1341" s="3">
        <v>20</v>
      </c>
      <c r="R1341" s="3">
        <v>21</v>
      </c>
      <c r="S1341" s="3">
        <v>22</v>
      </c>
      <c r="T1341" s="3">
        <v>3</v>
      </c>
      <c r="U1341" s="3">
        <v>3</v>
      </c>
      <c r="V1341" s="3">
        <v>2</v>
      </c>
      <c r="W1341" s="3">
        <v>2</v>
      </c>
      <c r="X1341" s="3">
        <v>8</v>
      </c>
    </row>
    <row r="1342" spans="1:24" x14ac:dyDescent="0.35">
      <c r="A1342">
        <v>93</v>
      </c>
      <c r="B1342">
        <v>42192</v>
      </c>
      <c r="C1342">
        <v>72</v>
      </c>
      <c r="D1342">
        <v>0</v>
      </c>
      <c r="E1342" s="28">
        <v>6.7260273972602738</v>
      </c>
      <c r="F1342" s="28"/>
      <c r="G1342" s="28"/>
      <c r="H1342" s="28"/>
      <c r="I1342" s="28"/>
      <c r="J1342" s="28"/>
      <c r="L1342" s="38">
        <v>93</v>
      </c>
      <c r="M1342" s="2">
        <v>40</v>
      </c>
      <c r="N1342" s="2">
        <v>40</v>
      </c>
      <c r="O1342" s="2">
        <v>15</v>
      </c>
      <c r="P1342" s="2">
        <v>15</v>
      </c>
      <c r="Q1342" s="2">
        <v>17</v>
      </c>
      <c r="R1342" s="2">
        <v>6</v>
      </c>
      <c r="S1342" s="2">
        <v>7</v>
      </c>
      <c r="T1342" s="2">
        <v>1</v>
      </c>
      <c r="U1342" s="2">
        <v>2</v>
      </c>
      <c r="V1342" s="2">
        <v>1</v>
      </c>
      <c r="W1342" s="2">
        <v>3</v>
      </c>
      <c r="X1342" s="2">
        <v>4</v>
      </c>
    </row>
    <row r="1343" spans="1:24" x14ac:dyDescent="0.35">
      <c r="A1343">
        <v>92</v>
      </c>
      <c r="B1343">
        <v>46107</v>
      </c>
      <c r="C1343">
        <v>31</v>
      </c>
      <c r="D1343">
        <v>1</v>
      </c>
      <c r="E1343" s="28">
        <v>6.2958904109589042</v>
      </c>
      <c r="F1343" s="28"/>
      <c r="G1343" s="28"/>
      <c r="H1343" s="28"/>
      <c r="I1343" s="28"/>
      <c r="J1343" s="28"/>
      <c r="L1343" s="37">
        <v>92</v>
      </c>
      <c r="M1343" s="3">
        <v>78</v>
      </c>
      <c r="N1343" s="3">
        <v>31</v>
      </c>
      <c r="O1343" s="3">
        <v>9</v>
      </c>
      <c r="P1343" s="3">
        <v>27</v>
      </c>
      <c r="Q1343" s="3">
        <v>16</v>
      </c>
      <c r="R1343" s="3">
        <v>9</v>
      </c>
      <c r="S1343" s="3">
        <v>33</v>
      </c>
      <c r="T1343" s="3">
        <v>1</v>
      </c>
      <c r="U1343" s="3">
        <v>1</v>
      </c>
      <c r="V1343" s="3">
        <v>1</v>
      </c>
      <c r="W1343" s="3">
        <v>4</v>
      </c>
      <c r="X1343" s="3">
        <v>3</v>
      </c>
    </row>
    <row r="1344" spans="1:24" x14ac:dyDescent="0.35">
      <c r="A1344">
        <v>92</v>
      </c>
      <c r="B1344">
        <v>27038</v>
      </c>
      <c r="C1344">
        <v>54</v>
      </c>
      <c r="D1344">
        <v>0</v>
      </c>
      <c r="E1344" s="28">
        <v>7.6931506849315072</v>
      </c>
      <c r="F1344" s="28"/>
      <c r="G1344" s="28"/>
      <c r="H1344" s="28"/>
      <c r="I1344" s="28"/>
      <c r="J1344" s="28"/>
      <c r="L1344" s="38">
        <v>92</v>
      </c>
      <c r="M1344" s="2">
        <v>64</v>
      </c>
      <c r="N1344" s="2">
        <v>1</v>
      </c>
      <c r="O1344" s="2">
        <v>26</v>
      </c>
      <c r="P1344" s="2">
        <v>25</v>
      </c>
      <c r="Q1344" s="2">
        <v>17</v>
      </c>
      <c r="R1344" s="2">
        <v>23</v>
      </c>
      <c r="S1344" s="2">
        <v>15</v>
      </c>
      <c r="T1344" s="2">
        <v>1</v>
      </c>
      <c r="U1344" s="2">
        <v>3</v>
      </c>
      <c r="V1344" s="2">
        <v>0</v>
      </c>
      <c r="W1344" s="2">
        <v>3</v>
      </c>
      <c r="X1344" s="2">
        <v>9</v>
      </c>
    </row>
    <row r="1345" spans="1:24" x14ac:dyDescent="0.35">
      <c r="A1345">
        <v>92</v>
      </c>
      <c r="B1345">
        <v>41850</v>
      </c>
      <c r="C1345">
        <v>40</v>
      </c>
      <c r="D1345">
        <v>1</v>
      </c>
      <c r="E1345" s="28">
        <v>7.4273972602739722</v>
      </c>
      <c r="F1345" s="28"/>
      <c r="G1345" s="28"/>
      <c r="H1345" s="28"/>
      <c r="I1345" s="28"/>
      <c r="J1345" s="28"/>
      <c r="L1345" s="37">
        <v>92</v>
      </c>
      <c r="M1345" s="3">
        <v>51</v>
      </c>
      <c r="N1345" s="3">
        <v>53</v>
      </c>
      <c r="O1345" s="3">
        <v>5</v>
      </c>
      <c r="P1345" s="3">
        <v>19</v>
      </c>
      <c r="Q1345" s="3">
        <v>2</v>
      </c>
      <c r="R1345" s="3">
        <v>13</v>
      </c>
      <c r="S1345" s="3">
        <v>4</v>
      </c>
      <c r="T1345" s="3">
        <v>3</v>
      </c>
      <c r="U1345" s="3">
        <v>3</v>
      </c>
      <c r="V1345" s="3">
        <v>0</v>
      </c>
      <c r="W1345" s="3">
        <v>3</v>
      </c>
      <c r="X1345" s="3">
        <v>8</v>
      </c>
    </row>
    <row r="1346" spans="1:24" x14ac:dyDescent="0.35">
      <c r="A1346">
        <v>91</v>
      </c>
      <c r="B1346">
        <v>34213</v>
      </c>
      <c r="C1346">
        <v>57</v>
      </c>
      <c r="D1346">
        <v>1</v>
      </c>
      <c r="E1346" s="28">
        <v>7.7232876712328764</v>
      </c>
      <c r="F1346" s="28"/>
      <c r="G1346" s="28"/>
      <c r="H1346" s="28"/>
      <c r="I1346" s="28"/>
      <c r="J1346" s="28"/>
      <c r="L1346" s="38">
        <v>91</v>
      </c>
      <c r="M1346" s="2">
        <v>2</v>
      </c>
      <c r="N1346" s="2">
        <v>50</v>
      </c>
      <c r="O1346" s="2">
        <v>4</v>
      </c>
      <c r="P1346" s="2">
        <v>28</v>
      </c>
      <c r="Q1346" s="2">
        <v>6</v>
      </c>
      <c r="R1346" s="2">
        <v>3</v>
      </c>
      <c r="S1346" s="2">
        <v>26</v>
      </c>
      <c r="T1346" s="2">
        <v>3</v>
      </c>
      <c r="U1346" s="2">
        <v>3</v>
      </c>
      <c r="V1346" s="2">
        <v>1</v>
      </c>
      <c r="W1346" s="2">
        <v>2</v>
      </c>
      <c r="X1346" s="2">
        <v>9</v>
      </c>
    </row>
    <row r="1347" spans="1:24" x14ac:dyDescent="0.35">
      <c r="A1347">
        <v>91</v>
      </c>
      <c r="B1347">
        <v>57530</v>
      </c>
      <c r="C1347">
        <v>69</v>
      </c>
      <c r="D1347">
        <v>1</v>
      </c>
      <c r="E1347" s="28">
        <v>6.6273972602739724</v>
      </c>
      <c r="F1347" s="28"/>
      <c r="G1347" s="28"/>
      <c r="H1347" s="28"/>
      <c r="I1347" s="28"/>
      <c r="J1347" s="28"/>
      <c r="L1347" s="37">
        <v>91</v>
      </c>
      <c r="M1347" s="3">
        <v>68</v>
      </c>
      <c r="N1347" s="3">
        <v>50</v>
      </c>
      <c r="O1347" s="3">
        <v>1</v>
      </c>
      <c r="P1347" s="3">
        <v>27</v>
      </c>
      <c r="Q1347" s="3">
        <v>6</v>
      </c>
      <c r="R1347" s="3">
        <v>7</v>
      </c>
      <c r="S1347" s="3">
        <v>1</v>
      </c>
      <c r="T1347" s="3">
        <v>1</v>
      </c>
      <c r="U1347" s="3">
        <v>1</v>
      </c>
      <c r="V1347" s="3">
        <v>1</v>
      </c>
      <c r="W1347" s="3">
        <v>4</v>
      </c>
      <c r="X1347" s="3">
        <v>1</v>
      </c>
    </row>
    <row r="1348" spans="1:24" x14ac:dyDescent="0.35">
      <c r="A1348">
        <v>91</v>
      </c>
      <c r="B1348">
        <v>27450</v>
      </c>
      <c r="C1348">
        <v>69</v>
      </c>
      <c r="D1348">
        <v>0</v>
      </c>
      <c r="E1348" s="28">
        <v>7.1205479452054794</v>
      </c>
      <c r="F1348" s="28"/>
      <c r="G1348" s="28"/>
      <c r="H1348" s="28"/>
      <c r="I1348" s="28"/>
      <c r="J1348" s="28"/>
      <c r="L1348" s="38">
        <v>91</v>
      </c>
      <c r="M1348" s="2">
        <v>57</v>
      </c>
      <c r="N1348" s="2">
        <v>37</v>
      </c>
      <c r="O1348" s="2">
        <v>12</v>
      </c>
      <c r="P1348" s="2">
        <v>23</v>
      </c>
      <c r="Q1348" s="2">
        <v>8</v>
      </c>
      <c r="R1348" s="2">
        <v>11</v>
      </c>
      <c r="S1348" s="2">
        <v>52</v>
      </c>
      <c r="T1348" s="2">
        <v>1</v>
      </c>
      <c r="U1348" s="2">
        <v>2</v>
      </c>
      <c r="V1348" s="2">
        <v>1</v>
      </c>
      <c r="W1348" s="2">
        <v>3</v>
      </c>
      <c r="X1348" s="2">
        <v>7</v>
      </c>
    </row>
    <row r="1349" spans="1:24" x14ac:dyDescent="0.35">
      <c r="A1349">
        <v>91</v>
      </c>
      <c r="B1349">
        <v>34053</v>
      </c>
      <c r="C1349">
        <v>52</v>
      </c>
      <c r="D1349">
        <v>1</v>
      </c>
      <c r="E1349" s="28">
        <v>7.7150684931506852</v>
      </c>
      <c r="F1349" s="28"/>
      <c r="G1349" s="28"/>
      <c r="H1349" s="28"/>
      <c r="I1349" s="28"/>
      <c r="J1349" s="28"/>
      <c r="L1349" s="37">
        <v>91</v>
      </c>
      <c r="M1349" s="3">
        <v>14</v>
      </c>
      <c r="N1349" s="3">
        <v>63</v>
      </c>
      <c r="O1349" s="3">
        <v>0</v>
      </c>
      <c r="P1349" s="3">
        <v>21</v>
      </c>
      <c r="Q1349" s="3">
        <v>7</v>
      </c>
      <c r="R1349" s="3">
        <v>0</v>
      </c>
      <c r="S1349" s="3">
        <v>12</v>
      </c>
      <c r="T1349" s="3">
        <v>1</v>
      </c>
      <c r="U1349" s="3">
        <v>3</v>
      </c>
      <c r="V1349" s="3">
        <v>0</v>
      </c>
      <c r="W1349" s="3">
        <v>3</v>
      </c>
      <c r="X1349" s="3">
        <v>8</v>
      </c>
    </row>
    <row r="1350" spans="1:24" x14ac:dyDescent="0.35">
      <c r="A1350">
        <v>91</v>
      </c>
      <c r="B1350">
        <v>28087</v>
      </c>
      <c r="C1350">
        <v>62</v>
      </c>
      <c r="D1350">
        <v>1</v>
      </c>
      <c r="E1350" s="28">
        <v>7.463013698630137</v>
      </c>
      <c r="F1350" s="28"/>
      <c r="G1350" s="28"/>
      <c r="H1350" s="28"/>
      <c r="I1350" s="28"/>
      <c r="J1350" s="28"/>
      <c r="L1350" s="38">
        <v>91</v>
      </c>
      <c r="M1350" s="2">
        <v>77</v>
      </c>
      <c r="N1350" s="2">
        <v>53</v>
      </c>
      <c r="O1350" s="2">
        <v>8</v>
      </c>
      <c r="P1350" s="2">
        <v>17</v>
      </c>
      <c r="Q1350" s="2">
        <v>13</v>
      </c>
      <c r="R1350" s="2">
        <v>0</v>
      </c>
      <c r="S1350" s="2">
        <v>21</v>
      </c>
      <c r="T1350" s="2">
        <v>3</v>
      </c>
      <c r="U1350" s="2">
        <v>2</v>
      </c>
      <c r="V1350" s="2">
        <v>2</v>
      </c>
      <c r="W1350" s="2">
        <v>2</v>
      </c>
      <c r="X1350" s="2">
        <v>7</v>
      </c>
    </row>
    <row r="1351" spans="1:24" x14ac:dyDescent="0.35">
      <c r="A1351">
        <v>91</v>
      </c>
      <c r="B1351">
        <v>38823</v>
      </c>
      <c r="C1351">
        <v>71</v>
      </c>
      <c r="D1351">
        <v>1</v>
      </c>
      <c r="E1351" s="28">
        <v>7.7452054794520544</v>
      </c>
      <c r="F1351" s="28"/>
      <c r="G1351" s="28"/>
      <c r="H1351" s="28"/>
      <c r="I1351" s="28"/>
      <c r="J1351" s="28"/>
      <c r="L1351" s="37">
        <v>91</v>
      </c>
      <c r="M1351" s="3">
        <v>56</v>
      </c>
      <c r="N1351" s="3">
        <v>70</v>
      </c>
      <c r="O1351" s="3">
        <v>0</v>
      </c>
      <c r="P1351" s="3">
        <v>11</v>
      </c>
      <c r="Q1351" s="3">
        <v>2</v>
      </c>
      <c r="R1351" s="3">
        <v>8</v>
      </c>
      <c r="S1351" s="3">
        <v>23</v>
      </c>
      <c r="T1351" s="3">
        <v>1</v>
      </c>
      <c r="U1351" s="3">
        <v>2</v>
      </c>
      <c r="V1351" s="3">
        <v>1</v>
      </c>
      <c r="W1351" s="3">
        <v>3</v>
      </c>
      <c r="X1351" s="3">
        <v>6</v>
      </c>
    </row>
    <row r="1352" spans="1:24" x14ac:dyDescent="0.35">
      <c r="A1352">
        <v>90</v>
      </c>
      <c r="B1352">
        <v>46377</v>
      </c>
      <c r="C1352">
        <v>42</v>
      </c>
      <c r="D1352">
        <v>1</v>
      </c>
      <c r="E1352" s="28">
        <v>6.2438356164383562</v>
      </c>
      <c r="F1352" s="28"/>
      <c r="G1352" s="28"/>
      <c r="H1352" s="28"/>
      <c r="I1352" s="28"/>
      <c r="J1352" s="28"/>
      <c r="L1352" s="38">
        <v>90</v>
      </c>
      <c r="M1352" s="2">
        <v>89</v>
      </c>
      <c r="N1352" s="2">
        <v>37</v>
      </c>
      <c r="O1352" s="2">
        <v>0</v>
      </c>
      <c r="P1352" s="2">
        <v>46</v>
      </c>
      <c r="Q1352" s="2">
        <v>4</v>
      </c>
      <c r="R1352" s="2">
        <v>3</v>
      </c>
      <c r="S1352" s="2">
        <v>0</v>
      </c>
      <c r="T1352" s="2">
        <v>1</v>
      </c>
      <c r="U1352" s="2">
        <v>2</v>
      </c>
      <c r="V1352" s="2">
        <v>1</v>
      </c>
      <c r="W1352" s="2">
        <v>3</v>
      </c>
      <c r="X1352" s="2">
        <v>4</v>
      </c>
    </row>
    <row r="1353" spans="1:24" x14ac:dyDescent="0.35">
      <c r="A1353">
        <v>90</v>
      </c>
      <c r="B1353">
        <v>61917</v>
      </c>
      <c r="C1353">
        <v>46</v>
      </c>
      <c r="D1353">
        <v>1</v>
      </c>
      <c r="E1353" s="28">
        <v>6.5205479452054798</v>
      </c>
      <c r="F1353" s="28"/>
      <c r="G1353" s="28"/>
      <c r="H1353" s="28"/>
      <c r="I1353" s="28"/>
      <c r="J1353" s="28"/>
      <c r="L1353" s="37">
        <v>90</v>
      </c>
      <c r="M1353" s="3">
        <v>83</v>
      </c>
      <c r="N1353" s="3">
        <v>46</v>
      </c>
      <c r="O1353" s="3">
        <v>4</v>
      </c>
      <c r="P1353" s="3">
        <v>36</v>
      </c>
      <c r="Q1353" s="3">
        <v>2</v>
      </c>
      <c r="R1353" s="3">
        <v>2</v>
      </c>
      <c r="S1353" s="3">
        <v>1</v>
      </c>
      <c r="T1353" s="3">
        <v>1</v>
      </c>
      <c r="U1353" s="3">
        <v>2</v>
      </c>
      <c r="V1353" s="3">
        <v>0</v>
      </c>
      <c r="W1353" s="3">
        <v>4</v>
      </c>
      <c r="X1353" s="3">
        <v>5</v>
      </c>
    </row>
    <row r="1354" spans="1:24" x14ac:dyDescent="0.35">
      <c r="A1354">
        <v>90</v>
      </c>
      <c r="B1354">
        <v>33762</v>
      </c>
      <c r="C1354">
        <v>61</v>
      </c>
      <c r="D1354">
        <v>1</v>
      </c>
      <c r="E1354" s="28">
        <v>6.8931506849315065</v>
      </c>
      <c r="F1354" s="28"/>
      <c r="G1354" s="28"/>
      <c r="H1354" s="28"/>
      <c r="I1354" s="28"/>
      <c r="J1354" s="28"/>
      <c r="L1354" s="38">
        <v>90</v>
      </c>
      <c r="M1354" s="2">
        <v>61</v>
      </c>
      <c r="N1354" s="2">
        <v>53</v>
      </c>
      <c r="O1354" s="2">
        <v>1</v>
      </c>
      <c r="P1354" s="2">
        <v>34</v>
      </c>
      <c r="Q1354" s="2">
        <v>2</v>
      </c>
      <c r="R1354" s="2">
        <v>0</v>
      </c>
      <c r="S1354" s="2">
        <v>16</v>
      </c>
      <c r="T1354" s="2">
        <v>3</v>
      </c>
      <c r="U1354" s="2">
        <v>2</v>
      </c>
      <c r="V1354" s="2">
        <v>2</v>
      </c>
      <c r="W1354" s="2">
        <v>2</v>
      </c>
      <c r="X1354" s="2">
        <v>8</v>
      </c>
    </row>
    <row r="1355" spans="1:24" x14ac:dyDescent="0.35">
      <c r="A1355">
        <v>90</v>
      </c>
      <c r="B1355">
        <v>25509</v>
      </c>
      <c r="C1355">
        <v>46</v>
      </c>
      <c r="D1355">
        <v>1</v>
      </c>
      <c r="E1355" s="28">
        <v>7.6931506849315072</v>
      </c>
      <c r="F1355" s="28"/>
      <c r="G1355" s="28"/>
      <c r="H1355" s="28"/>
      <c r="I1355" s="28"/>
      <c r="J1355" s="28"/>
      <c r="L1355" s="37">
        <v>90</v>
      </c>
      <c r="M1355" s="3">
        <v>15</v>
      </c>
      <c r="N1355" s="3">
        <v>40</v>
      </c>
      <c r="O1355" s="3">
        <v>3</v>
      </c>
      <c r="P1355" s="3">
        <v>30</v>
      </c>
      <c r="Q1355" s="3">
        <v>10</v>
      </c>
      <c r="R1355" s="3">
        <v>7</v>
      </c>
      <c r="S1355" s="3">
        <v>11</v>
      </c>
      <c r="T1355" s="3">
        <v>3</v>
      </c>
      <c r="U1355" s="3">
        <v>3</v>
      </c>
      <c r="V1355" s="3">
        <v>0</v>
      </c>
      <c r="W1355" s="3">
        <v>3</v>
      </c>
      <c r="X1355" s="3">
        <v>9</v>
      </c>
    </row>
    <row r="1356" spans="1:24" x14ac:dyDescent="0.35">
      <c r="A1356">
        <v>90</v>
      </c>
      <c r="B1356">
        <v>23478</v>
      </c>
      <c r="C1356">
        <v>55</v>
      </c>
      <c r="D1356">
        <v>0</v>
      </c>
      <c r="E1356" s="28">
        <v>7.1945205479452055</v>
      </c>
      <c r="F1356" s="28"/>
      <c r="G1356" s="28"/>
      <c r="H1356" s="28"/>
      <c r="I1356" s="28"/>
      <c r="J1356" s="28"/>
      <c r="L1356" s="38">
        <v>90</v>
      </c>
      <c r="M1356" s="2">
        <v>51</v>
      </c>
      <c r="N1356" s="2">
        <v>28</v>
      </c>
      <c r="O1356" s="2">
        <v>6</v>
      </c>
      <c r="P1356" s="2">
        <v>27</v>
      </c>
      <c r="Q1356" s="2">
        <v>12</v>
      </c>
      <c r="R1356" s="2">
        <v>17</v>
      </c>
      <c r="S1356" s="2">
        <v>39</v>
      </c>
      <c r="T1356" s="2">
        <v>1</v>
      </c>
      <c r="U1356" s="2">
        <v>3</v>
      </c>
      <c r="V1356" s="2">
        <v>0</v>
      </c>
      <c r="W1356" s="2">
        <v>3</v>
      </c>
      <c r="X1356" s="2">
        <v>8</v>
      </c>
    </row>
    <row r="1357" spans="1:24" x14ac:dyDescent="0.35">
      <c r="A1357">
        <v>90</v>
      </c>
      <c r="B1357">
        <v>29236</v>
      </c>
      <c r="C1357">
        <v>33</v>
      </c>
      <c r="D1357">
        <v>1</v>
      </c>
      <c r="E1357" s="28">
        <v>6.6383561643835618</v>
      </c>
      <c r="F1357" s="28"/>
      <c r="G1357" s="28"/>
      <c r="H1357" s="28"/>
      <c r="I1357" s="28"/>
      <c r="J1357" s="28"/>
      <c r="L1357" s="37">
        <v>90</v>
      </c>
      <c r="M1357" s="3">
        <v>30</v>
      </c>
      <c r="N1357" s="3">
        <v>37</v>
      </c>
      <c r="O1357" s="3">
        <v>4</v>
      </c>
      <c r="P1357" s="3">
        <v>24</v>
      </c>
      <c r="Q1357" s="3">
        <v>16</v>
      </c>
      <c r="R1357" s="3">
        <v>9</v>
      </c>
      <c r="S1357" s="3">
        <v>9</v>
      </c>
      <c r="T1357" s="3">
        <v>2</v>
      </c>
      <c r="U1357" s="3">
        <v>4</v>
      </c>
      <c r="V1357" s="3">
        <v>0</v>
      </c>
      <c r="W1357" s="3">
        <v>3</v>
      </c>
      <c r="X1357" s="3">
        <v>9</v>
      </c>
    </row>
    <row r="1358" spans="1:24" x14ac:dyDescent="0.35">
      <c r="A1358">
        <v>90</v>
      </c>
      <c r="B1358">
        <v>50523</v>
      </c>
      <c r="C1358">
        <v>60</v>
      </c>
      <c r="D1358">
        <v>1</v>
      </c>
      <c r="E1358" s="28">
        <v>6.4246575342465757</v>
      </c>
      <c r="F1358" s="28"/>
      <c r="G1358" s="28"/>
      <c r="H1358" s="28"/>
      <c r="I1358" s="28"/>
      <c r="J1358" s="28"/>
      <c r="L1358" s="38">
        <v>90</v>
      </c>
      <c r="M1358" s="2">
        <v>89</v>
      </c>
      <c r="N1358" s="2">
        <v>51</v>
      </c>
      <c r="O1358" s="2">
        <v>4</v>
      </c>
      <c r="P1358" s="2">
        <v>24</v>
      </c>
      <c r="Q1358" s="2">
        <v>4</v>
      </c>
      <c r="R1358" s="2">
        <v>7</v>
      </c>
      <c r="S1358" s="2">
        <v>1</v>
      </c>
      <c r="T1358" s="2">
        <v>2</v>
      </c>
      <c r="U1358" s="2">
        <v>2</v>
      </c>
      <c r="V1358" s="2">
        <v>0</v>
      </c>
      <c r="W1358" s="2">
        <v>4</v>
      </c>
      <c r="X1358" s="2">
        <v>6</v>
      </c>
    </row>
    <row r="1359" spans="1:24" x14ac:dyDescent="0.35">
      <c r="A1359">
        <v>90</v>
      </c>
      <c r="B1359">
        <v>47570</v>
      </c>
      <c r="C1359">
        <v>71</v>
      </c>
      <c r="D1359">
        <v>1</v>
      </c>
      <c r="E1359" s="28">
        <v>7</v>
      </c>
      <c r="F1359" s="28"/>
      <c r="G1359" s="28"/>
      <c r="H1359" s="28"/>
      <c r="I1359" s="28"/>
      <c r="J1359" s="28"/>
      <c r="L1359" s="37">
        <v>90</v>
      </c>
      <c r="M1359" s="3">
        <v>3</v>
      </c>
      <c r="N1359" s="3">
        <v>67</v>
      </c>
      <c r="O1359" s="3">
        <v>1</v>
      </c>
      <c r="P1359" s="3">
        <v>20</v>
      </c>
      <c r="Q1359" s="3">
        <v>0</v>
      </c>
      <c r="R1359" s="3">
        <v>2</v>
      </c>
      <c r="S1359" s="3">
        <v>31</v>
      </c>
      <c r="T1359" s="3">
        <v>3</v>
      </c>
      <c r="U1359" s="3">
        <v>2</v>
      </c>
      <c r="V1359" s="3">
        <v>2</v>
      </c>
      <c r="W1359" s="3">
        <v>2</v>
      </c>
      <c r="X1359" s="3">
        <v>7</v>
      </c>
    </row>
    <row r="1360" spans="1:24" x14ac:dyDescent="0.35">
      <c r="A1360">
        <v>90</v>
      </c>
      <c r="B1360">
        <v>59041</v>
      </c>
      <c r="C1360">
        <v>47</v>
      </c>
      <c r="D1360">
        <v>1</v>
      </c>
      <c r="E1360" s="28">
        <v>6.0602739726027401</v>
      </c>
      <c r="F1360" s="28"/>
      <c r="G1360" s="28"/>
      <c r="H1360" s="28"/>
      <c r="I1360" s="28"/>
      <c r="J1360" s="28"/>
      <c r="L1360" s="38">
        <v>90</v>
      </c>
      <c r="M1360" s="2">
        <v>25</v>
      </c>
      <c r="N1360" s="2">
        <v>69</v>
      </c>
      <c r="O1360" s="2">
        <v>2</v>
      </c>
      <c r="P1360" s="2">
        <v>15</v>
      </c>
      <c r="Q1360" s="2">
        <v>2</v>
      </c>
      <c r="R1360" s="2">
        <v>2</v>
      </c>
      <c r="S1360" s="2">
        <v>6</v>
      </c>
      <c r="T1360" s="2">
        <v>2</v>
      </c>
      <c r="U1360" s="2">
        <v>2</v>
      </c>
      <c r="V1360" s="2">
        <v>0</v>
      </c>
      <c r="W1360" s="2">
        <v>4</v>
      </c>
      <c r="X1360" s="2">
        <v>5</v>
      </c>
    </row>
    <row r="1361" spans="1:24" x14ac:dyDescent="0.35">
      <c r="A1361">
        <v>90</v>
      </c>
      <c r="B1361">
        <v>58217</v>
      </c>
      <c r="C1361">
        <v>69</v>
      </c>
      <c r="D1361">
        <v>1</v>
      </c>
      <c r="E1361" s="28">
        <v>7.5287671232876709</v>
      </c>
      <c r="F1361" s="28"/>
      <c r="G1361" s="28"/>
      <c r="H1361" s="28"/>
      <c r="I1361" s="28"/>
      <c r="J1361" s="28"/>
      <c r="L1361" s="37">
        <v>90</v>
      </c>
      <c r="M1361" s="3">
        <v>84</v>
      </c>
      <c r="N1361" s="3">
        <v>68</v>
      </c>
      <c r="O1361" s="3">
        <v>1</v>
      </c>
      <c r="P1361" s="3">
        <v>13</v>
      </c>
      <c r="Q1361" s="3">
        <v>3</v>
      </c>
      <c r="R1361" s="3">
        <v>5</v>
      </c>
      <c r="S1361" s="3">
        <v>13</v>
      </c>
      <c r="T1361" s="3">
        <v>1</v>
      </c>
      <c r="U1361" s="3">
        <v>2</v>
      </c>
      <c r="V1361" s="3">
        <v>0</v>
      </c>
      <c r="W1361" s="3">
        <v>4</v>
      </c>
      <c r="X1361" s="3">
        <v>6</v>
      </c>
    </row>
    <row r="1362" spans="1:24" x14ac:dyDescent="0.35">
      <c r="A1362">
        <v>90</v>
      </c>
      <c r="B1362">
        <v>42523</v>
      </c>
      <c r="C1362">
        <v>56</v>
      </c>
      <c r="D1362">
        <v>0</v>
      </c>
      <c r="E1362" s="28">
        <v>6.0986301369863014</v>
      </c>
      <c r="F1362" s="28"/>
      <c r="G1362" s="28"/>
      <c r="H1362" s="28"/>
      <c r="I1362" s="28"/>
      <c r="J1362" s="28"/>
      <c r="L1362" s="38">
        <v>90</v>
      </c>
      <c r="M1362" s="2">
        <v>96</v>
      </c>
      <c r="N1362" s="2">
        <v>14</v>
      </c>
      <c r="O1362" s="2">
        <v>36</v>
      </c>
      <c r="P1362" s="2">
        <v>11</v>
      </c>
      <c r="Q1362" s="2">
        <v>3</v>
      </c>
      <c r="R1362" s="2">
        <v>26</v>
      </c>
      <c r="S1362" s="2">
        <v>35</v>
      </c>
      <c r="T1362" s="2">
        <v>1</v>
      </c>
      <c r="U1362" s="2">
        <v>1</v>
      </c>
      <c r="V1362" s="2">
        <v>1</v>
      </c>
      <c r="W1362" s="2">
        <v>4</v>
      </c>
      <c r="X1362" s="2">
        <v>2</v>
      </c>
    </row>
    <row r="1363" spans="1:24" x14ac:dyDescent="0.35">
      <c r="A1363">
        <v>89</v>
      </c>
      <c r="B1363">
        <v>33378</v>
      </c>
      <c r="C1363">
        <v>57</v>
      </c>
      <c r="D1363">
        <v>1</v>
      </c>
      <c r="E1363" s="28">
        <v>7.3068493150684928</v>
      </c>
      <c r="F1363" s="28"/>
      <c r="G1363" s="28"/>
      <c r="H1363" s="28"/>
      <c r="I1363" s="28"/>
      <c r="J1363" s="28"/>
      <c r="L1363" s="37">
        <v>89</v>
      </c>
      <c r="M1363" s="3">
        <v>38</v>
      </c>
      <c r="N1363" s="3">
        <v>33</v>
      </c>
      <c r="O1363" s="3">
        <v>6</v>
      </c>
      <c r="P1363" s="3">
        <v>40</v>
      </c>
      <c r="Q1363" s="3">
        <v>3</v>
      </c>
      <c r="R1363" s="3">
        <v>7</v>
      </c>
      <c r="S1363" s="3">
        <v>10</v>
      </c>
      <c r="T1363" s="3">
        <v>3</v>
      </c>
      <c r="U1363" s="3">
        <v>2</v>
      </c>
      <c r="V1363" s="3">
        <v>0</v>
      </c>
      <c r="W1363" s="3">
        <v>4</v>
      </c>
      <c r="X1363" s="3">
        <v>7</v>
      </c>
    </row>
    <row r="1364" spans="1:24" x14ac:dyDescent="0.35">
      <c r="A1364">
        <v>89</v>
      </c>
      <c r="B1364">
        <v>44322</v>
      </c>
      <c r="C1364">
        <v>35</v>
      </c>
      <c r="D1364">
        <v>1</v>
      </c>
      <c r="E1364" s="28">
        <v>5.9506849315068493</v>
      </c>
      <c r="F1364" s="28"/>
      <c r="G1364" s="28"/>
      <c r="H1364" s="28"/>
      <c r="I1364" s="28"/>
      <c r="J1364" s="28"/>
      <c r="L1364" s="38">
        <v>89</v>
      </c>
      <c r="M1364" s="2">
        <v>30</v>
      </c>
      <c r="N1364" s="2">
        <v>46</v>
      </c>
      <c r="O1364" s="2">
        <v>0</v>
      </c>
      <c r="P1364" s="2">
        <v>40</v>
      </c>
      <c r="Q1364" s="2">
        <v>3</v>
      </c>
      <c r="R1364" s="2">
        <v>0</v>
      </c>
      <c r="S1364" s="2">
        <v>3</v>
      </c>
      <c r="T1364" s="2">
        <v>2</v>
      </c>
      <c r="U1364" s="2">
        <v>3</v>
      </c>
      <c r="V1364" s="2">
        <v>0</v>
      </c>
      <c r="W1364" s="2">
        <v>3</v>
      </c>
      <c r="X1364" s="2">
        <v>8</v>
      </c>
    </row>
    <row r="1365" spans="1:24" x14ac:dyDescent="0.35">
      <c r="A1365">
        <v>89</v>
      </c>
      <c r="B1365">
        <v>36075</v>
      </c>
      <c r="C1365">
        <v>37</v>
      </c>
      <c r="D1365">
        <v>1</v>
      </c>
      <c r="E1365" s="28">
        <v>6.4684931506849317</v>
      </c>
      <c r="F1365" s="28"/>
      <c r="G1365" s="28"/>
      <c r="H1365" s="28"/>
      <c r="I1365" s="28"/>
      <c r="J1365" s="28"/>
      <c r="L1365" s="37">
        <v>89</v>
      </c>
      <c r="M1365" s="3">
        <v>54</v>
      </c>
      <c r="N1365" s="3">
        <v>46</v>
      </c>
      <c r="O1365" s="3">
        <v>0</v>
      </c>
      <c r="P1365" s="3">
        <v>30</v>
      </c>
      <c r="Q1365" s="3">
        <v>12</v>
      </c>
      <c r="R1365" s="3">
        <v>1</v>
      </c>
      <c r="S1365" s="3">
        <v>30</v>
      </c>
      <c r="T1365" s="3">
        <v>1</v>
      </c>
      <c r="U1365" s="3">
        <v>2</v>
      </c>
      <c r="V1365" s="3">
        <v>0</v>
      </c>
      <c r="W1365" s="3">
        <v>4</v>
      </c>
      <c r="X1365" s="3">
        <v>6</v>
      </c>
    </row>
    <row r="1366" spans="1:24" x14ac:dyDescent="0.35">
      <c r="A1366">
        <v>89</v>
      </c>
      <c r="B1366">
        <v>38232</v>
      </c>
      <c r="C1366">
        <v>49</v>
      </c>
      <c r="D1366">
        <v>1</v>
      </c>
      <c r="E1366" s="28">
        <v>6.3616438356164382</v>
      </c>
      <c r="F1366" s="28"/>
      <c r="G1366" s="28"/>
      <c r="H1366" s="28"/>
      <c r="I1366" s="28"/>
      <c r="J1366" s="28"/>
      <c r="L1366" s="38">
        <v>89</v>
      </c>
      <c r="M1366" s="2">
        <v>84</v>
      </c>
      <c r="N1366" s="2">
        <v>43</v>
      </c>
      <c r="O1366" s="2">
        <v>5</v>
      </c>
      <c r="P1366" s="2">
        <v>28</v>
      </c>
      <c r="Q1366" s="2">
        <v>7</v>
      </c>
      <c r="R1366" s="2">
        <v>6</v>
      </c>
      <c r="S1366" s="2">
        <v>33</v>
      </c>
      <c r="T1366" s="2">
        <v>4</v>
      </c>
      <c r="U1366" s="2">
        <v>3</v>
      </c>
      <c r="V1366" s="2">
        <v>1</v>
      </c>
      <c r="W1366" s="2">
        <v>3</v>
      </c>
      <c r="X1366" s="2">
        <v>5</v>
      </c>
    </row>
    <row r="1367" spans="1:24" x14ac:dyDescent="0.35">
      <c r="A1367">
        <v>89</v>
      </c>
      <c r="B1367">
        <v>40800</v>
      </c>
      <c r="C1367">
        <v>56</v>
      </c>
      <c r="D1367">
        <v>1</v>
      </c>
      <c r="E1367" s="28">
        <v>7.4054794520547942</v>
      </c>
      <c r="F1367" s="28"/>
      <c r="G1367" s="28"/>
      <c r="H1367" s="28"/>
      <c r="I1367" s="28"/>
      <c r="J1367" s="28"/>
      <c r="L1367" s="37">
        <v>89</v>
      </c>
      <c r="M1367" s="3">
        <v>77</v>
      </c>
      <c r="N1367" s="3">
        <v>24</v>
      </c>
      <c r="O1367" s="3">
        <v>0</v>
      </c>
      <c r="P1367" s="3">
        <v>27</v>
      </c>
      <c r="Q1367" s="3">
        <v>8</v>
      </c>
      <c r="R1367" s="3">
        <v>30</v>
      </c>
      <c r="S1367" s="3">
        <v>10</v>
      </c>
      <c r="T1367" s="3">
        <v>2</v>
      </c>
      <c r="U1367" s="3">
        <v>3</v>
      </c>
      <c r="V1367" s="3">
        <v>0</v>
      </c>
      <c r="W1367" s="3">
        <v>3</v>
      </c>
      <c r="X1367" s="3">
        <v>7</v>
      </c>
    </row>
    <row r="1368" spans="1:24" x14ac:dyDescent="0.35">
      <c r="A1368">
        <v>89</v>
      </c>
      <c r="B1368">
        <v>41580</v>
      </c>
      <c r="C1368">
        <v>42</v>
      </c>
      <c r="D1368">
        <v>1</v>
      </c>
      <c r="E1368" s="28">
        <v>7.4657534246575343</v>
      </c>
      <c r="F1368" s="28"/>
      <c r="G1368" s="28"/>
      <c r="H1368" s="28"/>
      <c r="I1368" s="28"/>
      <c r="J1368" s="28"/>
      <c r="L1368" s="38">
        <v>89</v>
      </c>
      <c r="M1368" s="2">
        <v>15</v>
      </c>
      <c r="N1368" s="2">
        <v>56</v>
      </c>
      <c r="O1368" s="2">
        <v>5</v>
      </c>
      <c r="P1368" s="2">
        <v>24</v>
      </c>
      <c r="Q1368" s="2">
        <v>4</v>
      </c>
      <c r="R1368" s="2">
        <v>0</v>
      </c>
      <c r="S1368" s="2">
        <v>3</v>
      </c>
      <c r="T1368" s="2">
        <v>3</v>
      </c>
      <c r="U1368" s="2">
        <v>2</v>
      </c>
      <c r="V1368" s="2">
        <v>1</v>
      </c>
      <c r="W1368" s="2">
        <v>3</v>
      </c>
      <c r="X1368" s="2">
        <v>5</v>
      </c>
    </row>
    <row r="1369" spans="1:24" x14ac:dyDescent="0.35">
      <c r="A1369">
        <v>89</v>
      </c>
      <c r="B1369">
        <v>39435</v>
      </c>
      <c r="C1369">
        <v>47</v>
      </c>
      <c r="D1369">
        <v>1</v>
      </c>
      <c r="E1369" s="28">
        <v>6.8109589041095893</v>
      </c>
      <c r="F1369" s="28"/>
      <c r="G1369" s="28"/>
      <c r="H1369" s="28"/>
      <c r="I1369" s="28"/>
      <c r="J1369" s="28"/>
      <c r="L1369" s="37">
        <v>89</v>
      </c>
      <c r="M1369" s="3">
        <v>16</v>
      </c>
      <c r="N1369" s="3">
        <v>71</v>
      </c>
      <c r="O1369" s="3">
        <v>0</v>
      </c>
      <c r="P1369" s="3">
        <v>18</v>
      </c>
      <c r="Q1369" s="3">
        <v>0</v>
      </c>
      <c r="R1369" s="3">
        <v>0</v>
      </c>
      <c r="S1369" s="3">
        <v>13</v>
      </c>
      <c r="T1369" s="3">
        <v>1</v>
      </c>
      <c r="U1369" s="3">
        <v>3</v>
      </c>
      <c r="V1369" s="3">
        <v>1</v>
      </c>
      <c r="W1369" s="3">
        <v>2</v>
      </c>
      <c r="X1369" s="3">
        <v>7</v>
      </c>
    </row>
    <row r="1370" spans="1:24" x14ac:dyDescent="0.35">
      <c r="A1370">
        <v>89</v>
      </c>
      <c r="B1370">
        <v>42386</v>
      </c>
      <c r="C1370">
        <v>34</v>
      </c>
      <c r="D1370">
        <v>1</v>
      </c>
      <c r="E1370" s="28">
        <v>7.3726027397260276</v>
      </c>
      <c r="F1370" s="28"/>
      <c r="G1370" s="28"/>
      <c r="H1370" s="28"/>
      <c r="I1370" s="28"/>
      <c r="J1370" s="28"/>
      <c r="L1370" s="38">
        <v>89</v>
      </c>
      <c r="M1370" s="2">
        <v>43</v>
      </c>
      <c r="N1370" s="2">
        <v>65</v>
      </c>
      <c r="O1370" s="2">
        <v>4</v>
      </c>
      <c r="P1370" s="2">
        <v>16</v>
      </c>
      <c r="Q1370" s="2">
        <v>0</v>
      </c>
      <c r="R1370" s="2">
        <v>4</v>
      </c>
      <c r="S1370" s="2">
        <v>11</v>
      </c>
      <c r="T1370" s="2">
        <v>1</v>
      </c>
      <c r="U1370" s="2">
        <v>3</v>
      </c>
      <c r="V1370" s="2">
        <v>0</v>
      </c>
      <c r="W1370" s="2">
        <v>3</v>
      </c>
      <c r="X1370" s="2">
        <v>8</v>
      </c>
    </row>
    <row r="1371" spans="1:24" x14ac:dyDescent="0.35">
      <c r="A1371">
        <v>89</v>
      </c>
      <c r="B1371">
        <v>44931</v>
      </c>
      <c r="C1371">
        <v>53</v>
      </c>
      <c r="D1371">
        <v>1</v>
      </c>
      <c r="E1371" s="28">
        <v>6.3589041095890408</v>
      </c>
      <c r="F1371" s="28"/>
      <c r="G1371" s="28"/>
      <c r="H1371" s="28"/>
      <c r="I1371" s="28"/>
      <c r="J1371" s="28"/>
      <c r="L1371" s="37">
        <v>89</v>
      </c>
      <c r="M1371" s="3">
        <v>0</v>
      </c>
      <c r="N1371" s="3">
        <v>78</v>
      </c>
      <c r="O1371" s="3">
        <v>0</v>
      </c>
      <c r="P1371" s="3">
        <v>11</v>
      </c>
      <c r="Q1371" s="3">
        <v>0</v>
      </c>
      <c r="R1371" s="3">
        <v>0</v>
      </c>
      <c r="S1371" s="3">
        <v>7</v>
      </c>
      <c r="T1371" s="3">
        <v>1</v>
      </c>
      <c r="U1371" s="3">
        <v>2</v>
      </c>
      <c r="V1371" s="3">
        <v>1</v>
      </c>
      <c r="W1371" s="3">
        <v>3</v>
      </c>
      <c r="X1371" s="3">
        <v>5</v>
      </c>
    </row>
    <row r="1372" spans="1:24" x14ac:dyDescent="0.35">
      <c r="A1372">
        <v>89</v>
      </c>
      <c r="B1372">
        <v>50737</v>
      </c>
      <c r="C1372">
        <v>65</v>
      </c>
      <c r="D1372">
        <v>1</v>
      </c>
      <c r="E1372" s="28">
        <v>7.0493150684931507</v>
      </c>
      <c r="F1372" s="28"/>
      <c r="G1372" s="28"/>
      <c r="H1372" s="28"/>
      <c r="I1372" s="28"/>
      <c r="J1372" s="28"/>
      <c r="L1372" s="38">
        <v>89</v>
      </c>
      <c r="M1372" s="2">
        <v>61</v>
      </c>
      <c r="N1372" s="2">
        <v>78</v>
      </c>
      <c r="O1372" s="2">
        <v>0</v>
      </c>
      <c r="P1372" s="2">
        <v>11</v>
      </c>
      <c r="Q1372" s="2">
        <v>0</v>
      </c>
      <c r="R1372" s="2">
        <v>0</v>
      </c>
      <c r="S1372" s="2">
        <v>10</v>
      </c>
      <c r="T1372" s="2">
        <v>1</v>
      </c>
      <c r="U1372" s="2">
        <v>2</v>
      </c>
      <c r="V1372" s="2">
        <v>0</v>
      </c>
      <c r="W1372" s="2">
        <v>4</v>
      </c>
      <c r="X1372" s="2">
        <v>6</v>
      </c>
    </row>
    <row r="1373" spans="1:24" x14ac:dyDescent="0.35">
      <c r="A1373">
        <v>88</v>
      </c>
      <c r="B1373">
        <v>37787</v>
      </c>
      <c r="C1373">
        <v>48</v>
      </c>
      <c r="D1373">
        <v>1</v>
      </c>
      <c r="E1373" s="28">
        <v>6.6876712328767125</v>
      </c>
      <c r="F1373" s="28"/>
      <c r="G1373" s="28"/>
      <c r="H1373" s="28"/>
      <c r="I1373" s="28"/>
      <c r="J1373" s="28"/>
      <c r="L1373" s="37">
        <v>88</v>
      </c>
      <c r="M1373" s="3">
        <v>50</v>
      </c>
      <c r="N1373" s="3">
        <v>40</v>
      </c>
      <c r="O1373" s="3">
        <v>1</v>
      </c>
      <c r="P1373" s="3">
        <v>40</v>
      </c>
      <c r="Q1373" s="3">
        <v>4</v>
      </c>
      <c r="R1373" s="3">
        <v>3</v>
      </c>
      <c r="S1373" s="3">
        <v>18</v>
      </c>
      <c r="T1373" s="3">
        <v>1</v>
      </c>
      <c r="U1373" s="3">
        <v>3</v>
      </c>
      <c r="V1373" s="3">
        <v>0</v>
      </c>
      <c r="W1373" s="3">
        <v>3</v>
      </c>
      <c r="X1373" s="3">
        <v>8</v>
      </c>
    </row>
    <row r="1374" spans="1:24" x14ac:dyDescent="0.35">
      <c r="A1374">
        <v>88</v>
      </c>
      <c r="B1374">
        <v>34377</v>
      </c>
      <c r="C1374">
        <v>57</v>
      </c>
      <c r="D1374">
        <v>1</v>
      </c>
      <c r="E1374" s="28">
        <v>7.3561643835616435</v>
      </c>
      <c r="F1374" s="28"/>
      <c r="G1374" s="28"/>
      <c r="H1374" s="28"/>
      <c r="I1374" s="28"/>
      <c r="J1374" s="28"/>
      <c r="L1374" s="38">
        <v>88</v>
      </c>
      <c r="M1374" s="2">
        <v>55</v>
      </c>
      <c r="N1374" s="2">
        <v>62</v>
      </c>
      <c r="O1374" s="2">
        <v>0</v>
      </c>
      <c r="P1374" s="2">
        <v>22</v>
      </c>
      <c r="Q1374" s="2">
        <v>3</v>
      </c>
      <c r="R1374" s="2">
        <v>1</v>
      </c>
      <c r="S1374" s="2">
        <v>26</v>
      </c>
      <c r="T1374" s="2">
        <v>2</v>
      </c>
      <c r="U1374" s="2">
        <v>2</v>
      </c>
      <c r="V1374" s="2">
        <v>2</v>
      </c>
      <c r="W1374" s="2">
        <v>2</v>
      </c>
      <c r="X1374" s="2">
        <v>7</v>
      </c>
    </row>
    <row r="1375" spans="1:24" x14ac:dyDescent="0.35">
      <c r="A1375">
        <v>88</v>
      </c>
      <c r="B1375">
        <v>64587</v>
      </c>
      <c r="C1375">
        <v>66</v>
      </c>
      <c r="D1375">
        <v>1</v>
      </c>
      <c r="E1375" s="28">
        <v>5.934246575342466</v>
      </c>
      <c r="F1375" s="28"/>
      <c r="G1375" s="28"/>
      <c r="H1375" s="28"/>
      <c r="I1375" s="28"/>
      <c r="J1375" s="28"/>
      <c r="L1375" s="37">
        <v>88</v>
      </c>
      <c r="M1375" s="3">
        <v>49</v>
      </c>
      <c r="N1375" s="3">
        <v>66</v>
      </c>
      <c r="O1375" s="3">
        <v>0</v>
      </c>
      <c r="P1375" s="3">
        <v>16</v>
      </c>
      <c r="Q1375" s="3">
        <v>0</v>
      </c>
      <c r="R1375" s="3">
        <v>6</v>
      </c>
      <c r="S1375" s="3">
        <v>20</v>
      </c>
      <c r="T1375" s="3">
        <v>2</v>
      </c>
      <c r="U1375" s="3">
        <v>1</v>
      </c>
      <c r="V1375" s="3">
        <v>1</v>
      </c>
      <c r="W1375" s="3">
        <v>4</v>
      </c>
      <c r="X1375" s="3">
        <v>3</v>
      </c>
    </row>
    <row r="1376" spans="1:24" x14ac:dyDescent="0.35">
      <c r="A1376">
        <v>88</v>
      </c>
      <c r="B1376">
        <v>42769</v>
      </c>
      <c r="C1376">
        <v>58</v>
      </c>
      <c r="D1376">
        <v>1</v>
      </c>
      <c r="E1376" s="28">
        <v>6.6273972602739724</v>
      </c>
      <c r="F1376" s="28"/>
      <c r="G1376" s="28"/>
      <c r="H1376" s="28"/>
      <c r="I1376" s="28"/>
      <c r="J1376" s="28"/>
      <c r="L1376" s="38">
        <v>88</v>
      </c>
      <c r="M1376" s="2">
        <v>15</v>
      </c>
      <c r="N1376" s="2">
        <v>71</v>
      </c>
      <c r="O1376" s="2">
        <v>0</v>
      </c>
      <c r="P1376" s="2">
        <v>13</v>
      </c>
      <c r="Q1376" s="2">
        <v>3</v>
      </c>
      <c r="R1376" s="2">
        <v>1</v>
      </c>
      <c r="S1376" s="2">
        <v>0</v>
      </c>
      <c r="T1376" s="2">
        <v>2</v>
      </c>
      <c r="U1376" s="2">
        <v>1</v>
      </c>
      <c r="V1376" s="2">
        <v>1</v>
      </c>
      <c r="W1376" s="2">
        <v>4</v>
      </c>
      <c r="X1376" s="2">
        <v>4</v>
      </c>
    </row>
    <row r="1377" spans="1:24" x14ac:dyDescent="0.35">
      <c r="A1377">
        <v>88</v>
      </c>
      <c r="B1377">
        <v>52569</v>
      </c>
      <c r="C1377">
        <v>53</v>
      </c>
      <c r="D1377">
        <v>1</v>
      </c>
      <c r="E1377" s="28">
        <v>6.1479452054794521</v>
      </c>
      <c r="F1377" s="28"/>
      <c r="G1377" s="28"/>
      <c r="H1377" s="28"/>
      <c r="I1377" s="28"/>
      <c r="J1377" s="28"/>
      <c r="L1377" s="37">
        <v>88</v>
      </c>
      <c r="M1377" s="3">
        <v>54</v>
      </c>
      <c r="N1377" s="3">
        <v>85</v>
      </c>
      <c r="O1377" s="3">
        <v>0</v>
      </c>
      <c r="P1377" s="3">
        <v>3</v>
      </c>
      <c r="Q1377" s="3">
        <v>0</v>
      </c>
      <c r="R1377" s="3">
        <v>0</v>
      </c>
      <c r="S1377" s="3">
        <v>7</v>
      </c>
      <c r="T1377" s="3">
        <v>1</v>
      </c>
      <c r="U1377" s="3">
        <v>2</v>
      </c>
      <c r="V1377" s="3">
        <v>0</v>
      </c>
      <c r="W1377" s="3">
        <v>4</v>
      </c>
      <c r="X1377" s="3">
        <v>3</v>
      </c>
    </row>
    <row r="1378" spans="1:24" x14ac:dyDescent="0.35">
      <c r="A1378">
        <v>87</v>
      </c>
      <c r="B1378">
        <v>50785</v>
      </c>
      <c r="C1378">
        <v>58</v>
      </c>
      <c r="D1378">
        <v>1</v>
      </c>
      <c r="E1378" s="28">
        <v>6.7150684931506852</v>
      </c>
      <c r="F1378" s="28"/>
      <c r="G1378" s="28"/>
      <c r="H1378" s="28"/>
      <c r="I1378" s="28"/>
      <c r="J1378" s="28"/>
      <c r="L1378" s="38">
        <v>87</v>
      </c>
      <c r="M1378" s="2">
        <v>27</v>
      </c>
      <c r="N1378" s="2">
        <v>64</v>
      </c>
      <c r="O1378" s="2">
        <v>1</v>
      </c>
      <c r="P1378" s="2">
        <v>21</v>
      </c>
      <c r="Q1378" s="2">
        <v>0</v>
      </c>
      <c r="R1378" s="2">
        <v>1</v>
      </c>
      <c r="S1378" s="2">
        <v>27</v>
      </c>
      <c r="T1378" s="2">
        <v>2</v>
      </c>
      <c r="U1378" s="2">
        <v>2</v>
      </c>
      <c r="V1378" s="2">
        <v>1</v>
      </c>
      <c r="W1378" s="2">
        <v>3</v>
      </c>
      <c r="X1378" s="2">
        <v>6</v>
      </c>
    </row>
    <row r="1379" spans="1:24" x14ac:dyDescent="0.35">
      <c r="A1379">
        <v>87</v>
      </c>
      <c r="B1379">
        <v>31560</v>
      </c>
      <c r="C1379">
        <v>46</v>
      </c>
      <c r="D1379">
        <v>1</v>
      </c>
      <c r="E1379" s="28">
        <v>6.9287671232876713</v>
      </c>
      <c r="F1379" s="28"/>
      <c r="G1379" s="28"/>
      <c r="H1379" s="28"/>
      <c r="I1379" s="28"/>
      <c r="J1379" s="28"/>
      <c r="L1379" s="37">
        <v>87</v>
      </c>
      <c r="M1379" s="3">
        <v>98</v>
      </c>
      <c r="N1379" s="3">
        <v>62</v>
      </c>
      <c r="O1379" s="3">
        <v>1</v>
      </c>
      <c r="P1379" s="3">
        <v>20</v>
      </c>
      <c r="Q1379" s="3">
        <v>4</v>
      </c>
      <c r="R1379" s="3">
        <v>0</v>
      </c>
      <c r="S1379" s="3">
        <v>7</v>
      </c>
      <c r="T1379" s="3">
        <v>2</v>
      </c>
      <c r="U1379" s="3">
        <v>2</v>
      </c>
      <c r="V1379" s="3">
        <v>1</v>
      </c>
      <c r="W1379" s="3">
        <v>3</v>
      </c>
      <c r="X1379" s="3">
        <v>8</v>
      </c>
    </row>
    <row r="1380" spans="1:24" x14ac:dyDescent="0.35">
      <c r="A1380">
        <v>87</v>
      </c>
      <c r="B1380">
        <v>40760</v>
      </c>
      <c r="C1380">
        <v>55</v>
      </c>
      <c r="D1380">
        <v>1</v>
      </c>
      <c r="E1380" s="28">
        <v>6.7452054794520544</v>
      </c>
      <c r="F1380" s="28"/>
      <c r="G1380" s="28"/>
      <c r="H1380" s="28"/>
      <c r="I1380" s="28"/>
      <c r="J1380" s="28"/>
      <c r="L1380" s="38">
        <v>87</v>
      </c>
      <c r="M1380" s="2">
        <v>64</v>
      </c>
      <c r="N1380" s="2">
        <v>70</v>
      </c>
      <c r="O1380" s="2">
        <v>0</v>
      </c>
      <c r="P1380" s="2">
        <v>17</v>
      </c>
      <c r="Q1380" s="2">
        <v>0</v>
      </c>
      <c r="R1380" s="2">
        <v>0</v>
      </c>
      <c r="S1380" s="2">
        <v>6</v>
      </c>
      <c r="T1380" s="2">
        <v>2</v>
      </c>
      <c r="U1380" s="2">
        <v>2</v>
      </c>
      <c r="V1380" s="2">
        <v>1</v>
      </c>
      <c r="W1380" s="2">
        <v>3</v>
      </c>
      <c r="X1380" s="2">
        <v>6</v>
      </c>
    </row>
    <row r="1381" spans="1:24" x14ac:dyDescent="0.35">
      <c r="A1381">
        <v>87</v>
      </c>
      <c r="B1381">
        <v>59892</v>
      </c>
      <c r="C1381">
        <v>50</v>
      </c>
      <c r="D1381">
        <v>1</v>
      </c>
      <c r="E1381" s="28">
        <v>6.5698630136986305</v>
      </c>
      <c r="F1381" s="28"/>
      <c r="G1381" s="28"/>
      <c r="H1381" s="28"/>
      <c r="I1381" s="28"/>
      <c r="J1381" s="28"/>
      <c r="L1381" s="37">
        <v>87</v>
      </c>
      <c r="M1381" s="3">
        <v>26</v>
      </c>
      <c r="N1381" s="3">
        <v>73</v>
      </c>
      <c r="O1381" s="3">
        <v>0</v>
      </c>
      <c r="P1381" s="3">
        <v>13</v>
      </c>
      <c r="Q1381" s="3">
        <v>0</v>
      </c>
      <c r="R1381" s="3">
        <v>1</v>
      </c>
      <c r="S1381" s="3">
        <v>0</v>
      </c>
      <c r="T1381" s="3">
        <v>1</v>
      </c>
      <c r="U1381" s="3">
        <v>2</v>
      </c>
      <c r="V1381" s="3">
        <v>1</v>
      </c>
      <c r="W1381" s="3">
        <v>3</v>
      </c>
      <c r="X1381" s="3">
        <v>3</v>
      </c>
    </row>
    <row r="1382" spans="1:24" x14ac:dyDescent="0.35">
      <c r="A1382">
        <v>87</v>
      </c>
      <c r="B1382">
        <v>53537</v>
      </c>
      <c r="C1382">
        <v>61</v>
      </c>
      <c r="D1382">
        <v>1</v>
      </c>
      <c r="E1382" s="28">
        <v>6.3260273972602743</v>
      </c>
      <c r="F1382" s="28"/>
      <c r="G1382" s="28"/>
      <c r="H1382" s="28"/>
      <c r="I1382" s="28"/>
      <c r="J1382" s="28"/>
      <c r="L1382" s="38">
        <v>87</v>
      </c>
      <c r="M1382" s="2">
        <v>17</v>
      </c>
      <c r="N1382" s="2">
        <v>81</v>
      </c>
      <c r="O1382" s="2">
        <v>0</v>
      </c>
      <c r="P1382" s="2">
        <v>6</v>
      </c>
      <c r="Q1382" s="2">
        <v>0</v>
      </c>
      <c r="R1382" s="2">
        <v>0</v>
      </c>
      <c r="S1382" s="2">
        <v>6</v>
      </c>
      <c r="T1382" s="2">
        <v>2</v>
      </c>
      <c r="U1382" s="2">
        <v>2</v>
      </c>
      <c r="V1382" s="2">
        <v>1</v>
      </c>
      <c r="W1382" s="2">
        <v>3</v>
      </c>
      <c r="X1382" s="2">
        <v>5</v>
      </c>
    </row>
    <row r="1383" spans="1:24" x14ac:dyDescent="0.35">
      <c r="A1383">
        <v>86</v>
      </c>
      <c r="B1383">
        <v>54348</v>
      </c>
      <c r="C1383">
        <v>67</v>
      </c>
      <c r="D1383">
        <v>1</v>
      </c>
      <c r="E1383" s="28">
        <v>5.9726027397260273</v>
      </c>
      <c r="F1383" s="28"/>
      <c r="G1383" s="28"/>
      <c r="H1383" s="28"/>
      <c r="I1383" s="28"/>
      <c r="J1383" s="28"/>
      <c r="L1383" s="37">
        <v>86</v>
      </c>
      <c r="M1383" s="3">
        <v>51</v>
      </c>
      <c r="N1383" s="3">
        <v>70</v>
      </c>
      <c r="O1383" s="3">
        <v>0</v>
      </c>
      <c r="P1383" s="3">
        <v>16</v>
      </c>
      <c r="Q1383" s="3">
        <v>0</v>
      </c>
      <c r="R1383" s="3">
        <v>0</v>
      </c>
      <c r="S1383" s="3">
        <v>4</v>
      </c>
      <c r="T1383" s="3">
        <v>2</v>
      </c>
      <c r="U1383" s="3">
        <v>2</v>
      </c>
      <c r="V1383" s="3">
        <v>0</v>
      </c>
      <c r="W1383" s="3">
        <v>4</v>
      </c>
      <c r="X1383" s="3">
        <v>6</v>
      </c>
    </row>
    <row r="1384" spans="1:24" x14ac:dyDescent="0.35">
      <c r="A1384">
        <v>85</v>
      </c>
      <c r="B1384">
        <v>24480</v>
      </c>
      <c r="C1384">
        <v>39</v>
      </c>
      <c r="D1384">
        <v>1</v>
      </c>
      <c r="E1384" s="28">
        <v>7.2931506849315069</v>
      </c>
      <c r="F1384" s="28"/>
      <c r="G1384" s="28"/>
      <c r="H1384" s="28"/>
      <c r="I1384" s="28"/>
      <c r="J1384" s="28"/>
      <c r="L1384" s="38">
        <v>85</v>
      </c>
      <c r="M1384" s="2">
        <v>46</v>
      </c>
      <c r="N1384" s="2">
        <v>4</v>
      </c>
      <c r="O1384" s="2">
        <v>19</v>
      </c>
      <c r="P1384" s="2">
        <v>9</v>
      </c>
      <c r="Q1384" s="2">
        <v>28</v>
      </c>
      <c r="R1384" s="2">
        <v>25</v>
      </c>
      <c r="S1384" s="2">
        <v>17</v>
      </c>
      <c r="T1384" s="2">
        <v>3</v>
      </c>
      <c r="U1384" s="2">
        <v>3</v>
      </c>
      <c r="V1384" s="2">
        <v>0</v>
      </c>
      <c r="W1384" s="2">
        <v>4</v>
      </c>
      <c r="X1384" s="2">
        <v>7</v>
      </c>
    </row>
    <row r="1385" spans="1:24" x14ac:dyDescent="0.35">
      <c r="A1385">
        <v>84</v>
      </c>
      <c r="B1385">
        <v>46098</v>
      </c>
      <c r="C1385">
        <v>45</v>
      </c>
      <c r="D1385">
        <v>1</v>
      </c>
      <c r="E1385" s="28">
        <v>7.7780821917808218</v>
      </c>
      <c r="F1385" s="28"/>
      <c r="G1385" s="28"/>
      <c r="H1385" s="28"/>
      <c r="I1385" s="28"/>
      <c r="J1385" s="28"/>
      <c r="L1385" s="37">
        <v>84</v>
      </c>
      <c r="M1385" s="3">
        <v>86</v>
      </c>
      <c r="N1385" s="3">
        <v>57</v>
      </c>
      <c r="O1385" s="3">
        <v>0</v>
      </c>
      <c r="P1385" s="3">
        <v>27</v>
      </c>
      <c r="Q1385" s="3">
        <v>0</v>
      </c>
      <c r="R1385" s="3">
        <v>0</v>
      </c>
      <c r="S1385" s="3">
        <v>36</v>
      </c>
      <c r="T1385" s="3">
        <v>4</v>
      </c>
      <c r="U1385" s="3">
        <v>3</v>
      </c>
      <c r="V1385" s="3">
        <v>2</v>
      </c>
      <c r="W1385" s="3">
        <v>2</v>
      </c>
      <c r="X1385" s="3">
        <v>8</v>
      </c>
    </row>
    <row r="1386" spans="1:24" x14ac:dyDescent="0.35">
      <c r="A1386">
        <v>84</v>
      </c>
      <c r="B1386">
        <v>46098</v>
      </c>
      <c r="C1386">
        <v>45</v>
      </c>
      <c r="D1386">
        <v>1</v>
      </c>
      <c r="E1386" s="28">
        <v>7.7780821917808218</v>
      </c>
      <c r="F1386" s="28"/>
      <c r="G1386" s="28"/>
      <c r="H1386" s="28"/>
      <c r="I1386" s="28"/>
      <c r="J1386" s="28"/>
      <c r="L1386" s="38">
        <v>84</v>
      </c>
      <c r="M1386" s="2">
        <v>86</v>
      </c>
      <c r="N1386" s="2">
        <v>57</v>
      </c>
      <c r="O1386" s="2">
        <v>0</v>
      </c>
      <c r="P1386" s="2">
        <v>27</v>
      </c>
      <c r="Q1386" s="2">
        <v>0</v>
      </c>
      <c r="R1386" s="2">
        <v>0</v>
      </c>
      <c r="S1386" s="2">
        <v>36</v>
      </c>
      <c r="T1386" s="2">
        <v>4</v>
      </c>
      <c r="U1386" s="2">
        <v>3</v>
      </c>
      <c r="V1386" s="2">
        <v>2</v>
      </c>
      <c r="W1386" s="2">
        <v>2</v>
      </c>
      <c r="X1386" s="2">
        <v>8</v>
      </c>
    </row>
    <row r="1387" spans="1:24" x14ac:dyDescent="0.35">
      <c r="A1387">
        <v>84</v>
      </c>
      <c r="B1387">
        <v>33438</v>
      </c>
      <c r="C1387">
        <v>62</v>
      </c>
      <c r="D1387">
        <v>1</v>
      </c>
      <c r="E1387" s="28">
        <v>6.6821917808219178</v>
      </c>
      <c r="F1387" s="28"/>
      <c r="G1387" s="28"/>
      <c r="H1387" s="28"/>
      <c r="I1387" s="28"/>
      <c r="J1387" s="28"/>
      <c r="L1387" s="37">
        <v>84</v>
      </c>
      <c r="M1387" s="3">
        <v>81</v>
      </c>
      <c r="N1387" s="3">
        <v>62</v>
      </c>
      <c r="O1387" s="3">
        <v>1</v>
      </c>
      <c r="P1387" s="3">
        <v>16</v>
      </c>
      <c r="Q1387" s="3">
        <v>3</v>
      </c>
      <c r="R1387" s="3">
        <v>2</v>
      </c>
      <c r="S1387" s="3">
        <v>6</v>
      </c>
      <c r="T1387" s="3">
        <v>4</v>
      </c>
      <c r="U1387" s="3">
        <v>2</v>
      </c>
      <c r="V1387" s="3">
        <v>1</v>
      </c>
      <c r="W1387" s="3">
        <v>4</v>
      </c>
      <c r="X1387" s="3">
        <v>5</v>
      </c>
    </row>
    <row r="1388" spans="1:24" x14ac:dyDescent="0.35">
      <c r="A1388">
        <v>84</v>
      </c>
      <c r="B1388">
        <v>46423</v>
      </c>
      <c r="C1388">
        <v>48</v>
      </c>
      <c r="D1388">
        <v>1</v>
      </c>
      <c r="E1388" s="28">
        <v>6.6931506849315072</v>
      </c>
      <c r="F1388" s="28"/>
      <c r="G1388" s="28"/>
      <c r="H1388" s="28"/>
      <c r="I1388" s="28"/>
      <c r="J1388" s="28"/>
      <c r="L1388" s="38">
        <v>84</v>
      </c>
      <c r="M1388" s="2">
        <v>6</v>
      </c>
      <c r="N1388" s="2">
        <v>68</v>
      </c>
      <c r="O1388" s="2">
        <v>0</v>
      </c>
      <c r="P1388" s="2">
        <v>16</v>
      </c>
      <c r="Q1388" s="2">
        <v>0</v>
      </c>
      <c r="R1388" s="2">
        <v>0</v>
      </c>
      <c r="S1388" s="2">
        <v>8</v>
      </c>
      <c r="T1388" s="2">
        <v>3</v>
      </c>
      <c r="U1388" s="2">
        <v>2</v>
      </c>
      <c r="V1388" s="2">
        <v>0</v>
      </c>
      <c r="W1388" s="2">
        <v>4</v>
      </c>
      <c r="X1388" s="2">
        <v>7</v>
      </c>
    </row>
    <row r="1389" spans="1:24" x14ac:dyDescent="0.35">
      <c r="A1389">
        <v>83</v>
      </c>
      <c r="B1389">
        <v>33183</v>
      </c>
      <c r="C1389">
        <v>45</v>
      </c>
      <c r="D1389">
        <v>1</v>
      </c>
      <c r="E1389" s="28">
        <v>6.2575342465753421</v>
      </c>
      <c r="F1389" s="28"/>
      <c r="G1389" s="28"/>
      <c r="H1389" s="28"/>
      <c r="I1389" s="28"/>
      <c r="J1389" s="28"/>
      <c r="L1389" s="37">
        <v>83</v>
      </c>
      <c r="M1389" s="3">
        <v>46</v>
      </c>
      <c r="N1389" s="3">
        <v>7</v>
      </c>
      <c r="O1389" s="3">
        <v>5</v>
      </c>
      <c r="P1389" s="3">
        <v>39</v>
      </c>
      <c r="Q1389" s="3">
        <v>17</v>
      </c>
      <c r="R1389" s="3">
        <v>15</v>
      </c>
      <c r="S1389" s="3">
        <v>37</v>
      </c>
      <c r="T1389" s="3">
        <v>2</v>
      </c>
      <c r="U1389" s="3">
        <v>4</v>
      </c>
      <c r="V1389" s="3">
        <v>0</v>
      </c>
      <c r="W1389" s="3">
        <v>3</v>
      </c>
      <c r="X1389" s="3">
        <v>7</v>
      </c>
    </row>
    <row r="1390" spans="1:24" x14ac:dyDescent="0.35">
      <c r="A1390">
        <v>83</v>
      </c>
      <c r="B1390">
        <v>38829</v>
      </c>
      <c r="C1390">
        <v>61</v>
      </c>
      <c r="D1390">
        <v>1</v>
      </c>
      <c r="E1390" s="28">
        <v>6.1452054794520548</v>
      </c>
      <c r="F1390" s="28"/>
      <c r="G1390" s="28"/>
      <c r="H1390" s="28"/>
      <c r="I1390" s="28"/>
      <c r="J1390" s="28"/>
      <c r="L1390" s="38">
        <v>83</v>
      </c>
      <c r="M1390" s="2">
        <v>86</v>
      </c>
      <c r="N1390" s="2">
        <v>76</v>
      </c>
      <c r="O1390" s="2">
        <v>0</v>
      </c>
      <c r="P1390" s="2">
        <v>7</v>
      </c>
      <c r="Q1390" s="2">
        <v>0</v>
      </c>
      <c r="R1390" s="2">
        <v>0</v>
      </c>
      <c r="S1390" s="2">
        <v>16</v>
      </c>
      <c r="T1390" s="2">
        <v>1</v>
      </c>
      <c r="U1390" s="2">
        <v>3</v>
      </c>
      <c r="V1390" s="2">
        <v>2</v>
      </c>
      <c r="W1390" s="2">
        <v>2</v>
      </c>
      <c r="X1390" s="2">
        <v>5</v>
      </c>
    </row>
    <row r="1391" spans="1:24" x14ac:dyDescent="0.35">
      <c r="A1391">
        <v>81</v>
      </c>
      <c r="B1391">
        <v>33471</v>
      </c>
      <c r="C1391">
        <v>47</v>
      </c>
      <c r="D1391">
        <v>1</v>
      </c>
      <c r="E1391" s="28">
        <v>7.6273972602739724</v>
      </c>
      <c r="F1391" s="28"/>
      <c r="G1391" s="28"/>
      <c r="H1391" s="28"/>
      <c r="I1391" s="28"/>
      <c r="J1391" s="28"/>
      <c r="L1391" s="37">
        <v>81</v>
      </c>
      <c r="M1391" s="3">
        <v>47</v>
      </c>
      <c r="N1391" s="3">
        <v>43</v>
      </c>
      <c r="O1391" s="3">
        <v>2</v>
      </c>
      <c r="P1391" s="3">
        <v>27</v>
      </c>
      <c r="Q1391" s="3">
        <v>0</v>
      </c>
      <c r="R1391" s="3">
        <v>9</v>
      </c>
      <c r="S1391" s="3">
        <v>12</v>
      </c>
      <c r="T1391" s="3">
        <v>3</v>
      </c>
      <c r="U1391" s="3">
        <v>3</v>
      </c>
      <c r="V1391" s="3">
        <v>0</v>
      </c>
      <c r="W1391" s="3">
        <v>4</v>
      </c>
      <c r="X1391" s="3">
        <v>7</v>
      </c>
    </row>
    <row r="1392" spans="1:24" x14ac:dyDescent="0.35">
      <c r="A1392">
        <v>79</v>
      </c>
      <c r="B1392">
        <v>7500</v>
      </c>
      <c r="C1392">
        <v>28</v>
      </c>
      <c r="D1392">
        <v>1</v>
      </c>
      <c r="E1392" s="28">
        <v>7.484931506849315</v>
      </c>
      <c r="F1392" s="28"/>
      <c r="G1392" s="28"/>
      <c r="H1392" s="28"/>
      <c r="I1392" s="28"/>
      <c r="J1392" s="28"/>
      <c r="L1392" s="38">
        <v>79</v>
      </c>
      <c r="M1392" s="2">
        <v>63</v>
      </c>
      <c r="N1392" s="2">
        <v>10</v>
      </c>
      <c r="O1392" s="2">
        <v>17</v>
      </c>
      <c r="P1392" s="2">
        <v>18</v>
      </c>
      <c r="Q1392" s="2">
        <v>8</v>
      </c>
      <c r="R1392" s="2">
        <v>26</v>
      </c>
      <c r="S1392" s="2">
        <v>40</v>
      </c>
      <c r="T1392" s="2">
        <v>4</v>
      </c>
      <c r="U1392" s="2">
        <v>3</v>
      </c>
      <c r="V1392" s="2">
        <v>2</v>
      </c>
      <c r="W1392" s="2">
        <v>2</v>
      </c>
      <c r="X1392" s="2">
        <v>9</v>
      </c>
    </row>
    <row r="1393" spans="1:24" x14ac:dyDescent="0.35">
      <c r="A1393">
        <v>78</v>
      </c>
      <c r="B1393">
        <v>34961</v>
      </c>
      <c r="C1393">
        <v>47</v>
      </c>
      <c r="D1393">
        <v>1</v>
      </c>
      <c r="E1393" s="28">
        <v>5.9424657534246572</v>
      </c>
      <c r="F1393" s="28"/>
      <c r="G1393" s="28"/>
      <c r="H1393" s="28"/>
      <c r="I1393" s="28"/>
      <c r="J1393" s="28"/>
      <c r="L1393" s="37">
        <v>78</v>
      </c>
      <c r="M1393" s="3">
        <v>77</v>
      </c>
      <c r="N1393" s="3">
        <v>45</v>
      </c>
      <c r="O1393" s="3">
        <v>2</v>
      </c>
      <c r="P1393" s="3">
        <v>26</v>
      </c>
      <c r="Q1393" s="3">
        <v>4</v>
      </c>
      <c r="R1393" s="3">
        <v>1</v>
      </c>
      <c r="S1393" s="3">
        <v>1</v>
      </c>
      <c r="T1393" s="3">
        <v>3</v>
      </c>
      <c r="U1393" s="3">
        <v>3</v>
      </c>
      <c r="V1393" s="3">
        <v>1</v>
      </c>
      <c r="W1393" s="3">
        <v>3</v>
      </c>
      <c r="X1393" s="3">
        <v>7</v>
      </c>
    </row>
    <row r="1394" spans="1:24" x14ac:dyDescent="0.35">
      <c r="A1394">
        <v>78</v>
      </c>
      <c r="B1394">
        <v>38236</v>
      </c>
      <c r="C1394">
        <v>52</v>
      </c>
      <c r="D1394">
        <v>1</v>
      </c>
      <c r="E1394" s="28">
        <v>6.6876712328767125</v>
      </c>
      <c r="F1394" s="28"/>
      <c r="G1394" s="28"/>
      <c r="H1394" s="28"/>
      <c r="I1394" s="28"/>
      <c r="J1394" s="28"/>
      <c r="L1394" s="38">
        <v>78</v>
      </c>
      <c r="M1394" s="2">
        <v>2</v>
      </c>
      <c r="N1394" s="2">
        <v>58</v>
      </c>
      <c r="O1394" s="2">
        <v>0</v>
      </c>
      <c r="P1394" s="2">
        <v>18</v>
      </c>
      <c r="Q1394" s="2">
        <v>2</v>
      </c>
      <c r="R1394" s="2">
        <v>0</v>
      </c>
      <c r="S1394" s="2">
        <v>10</v>
      </c>
      <c r="T1394" s="2">
        <v>4</v>
      </c>
      <c r="U1394" s="2">
        <v>3</v>
      </c>
      <c r="V1394" s="2">
        <v>0</v>
      </c>
      <c r="W1394" s="2">
        <v>4</v>
      </c>
      <c r="X1394" s="2">
        <v>7</v>
      </c>
    </row>
    <row r="1395" spans="1:24" x14ac:dyDescent="0.35">
      <c r="A1395">
        <v>76</v>
      </c>
      <c r="B1395">
        <v>37697</v>
      </c>
      <c r="C1395">
        <v>44</v>
      </c>
      <c r="D1395">
        <v>1</v>
      </c>
      <c r="E1395" s="28">
        <v>6.3041095890410963</v>
      </c>
      <c r="F1395" s="28"/>
      <c r="G1395" s="28"/>
      <c r="H1395" s="28"/>
      <c r="I1395" s="28"/>
      <c r="J1395" s="28"/>
      <c r="L1395" s="37">
        <v>76</v>
      </c>
      <c r="M1395" s="3">
        <v>82</v>
      </c>
      <c r="N1395" s="3">
        <v>34</v>
      </c>
      <c r="O1395" s="3">
        <v>6</v>
      </c>
      <c r="P1395" s="3">
        <v>21</v>
      </c>
      <c r="Q1395" s="3">
        <v>11</v>
      </c>
      <c r="R1395" s="3">
        <v>4</v>
      </c>
      <c r="S1395" s="3">
        <v>8</v>
      </c>
      <c r="T1395" s="3">
        <v>1</v>
      </c>
      <c r="U1395" s="3">
        <v>2</v>
      </c>
      <c r="V1395" s="3">
        <v>1</v>
      </c>
      <c r="W1395" s="3">
        <v>3</v>
      </c>
      <c r="X1395" s="3">
        <v>6</v>
      </c>
    </row>
    <row r="1396" spans="1:24" x14ac:dyDescent="0.35">
      <c r="A1396">
        <v>76</v>
      </c>
      <c r="B1396">
        <v>40706</v>
      </c>
      <c r="C1396">
        <v>52</v>
      </c>
      <c r="D1396">
        <v>1</v>
      </c>
      <c r="E1396" s="28">
        <v>7.3616438356164382</v>
      </c>
      <c r="F1396" s="28"/>
      <c r="G1396" s="28"/>
      <c r="H1396" s="28"/>
      <c r="I1396" s="28"/>
      <c r="J1396" s="28"/>
      <c r="L1396" s="38">
        <v>76</v>
      </c>
      <c r="M1396" s="2">
        <v>37</v>
      </c>
      <c r="N1396" s="2">
        <v>59</v>
      </c>
      <c r="O1396" s="2">
        <v>0</v>
      </c>
      <c r="P1396" s="2">
        <v>11</v>
      </c>
      <c r="Q1396" s="2">
        <v>4</v>
      </c>
      <c r="R1396" s="2">
        <v>2</v>
      </c>
      <c r="S1396" s="2">
        <v>5</v>
      </c>
      <c r="T1396" s="2">
        <v>4</v>
      </c>
      <c r="U1396" s="2">
        <v>3</v>
      </c>
      <c r="V1396" s="2">
        <v>0</v>
      </c>
      <c r="W1396" s="2">
        <v>4</v>
      </c>
      <c r="X1396" s="2">
        <v>7</v>
      </c>
    </row>
    <row r="1397" spans="1:24" x14ac:dyDescent="0.35">
      <c r="A1397">
        <v>75</v>
      </c>
      <c r="B1397">
        <v>31089</v>
      </c>
      <c r="C1397">
        <v>39</v>
      </c>
      <c r="D1397">
        <v>1</v>
      </c>
      <c r="E1397" s="28">
        <v>7.7808219178082192</v>
      </c>
      <c r="F1397" s="28"/>
      <c r="G1397" s="28"/>
      <c r="H1397" s="28"/>
      <c r="I1397" s="28"/>
      <c r="J1397" s="28"/>
      <c r="L1397" s="37">
        <v>75</v>
      </c>
      <c r="M1397" s="3">
        <v>57</v>
      </c>
      <c r="N1397" s="3">
        <v>31</v>
      </c>
      <c r="O1397" s="3">
        <v>3</v>
      </c>
      <c r="P1397" s="3">
        <v>31</v>
      </c>
      <c r="Q1397" s="3">
        <v>2</v>
      </c>
      <c r="R1397" s="3">
        <v>8</v>
      </c>
      <c r="S1397" s="3">
        <v>4</v>
      </c>
      <c r="T1397" s="3">
        <v>3</v>
      </c>
      <c r="U1397" s="3">
        <v>3</v>
      </c>
      <c r="V1397" s="3">
        <v>0</v>
      </c>
      <c r="W1397" s="3">
        <v>4</v>
      </c>
      <c r="X1397" s="3">
        <v>8</v>
      </c>
    </row>
    <row r="1398" spans="1:24" x14ac:dyDescent="0.35">
      <c r="A1398">
        <v>75</v>
      </c>
      <c r="B1398">
        <v>40321</v>
      </c>
      <c r="C1398">
        <v>48</v>
      </c>
      <c r="D1398">
        <v>1</v>
      </c>
      <c r="E1398" s="28">
        <v>6.8328767123287673</v>
      </c>
      <c r="F1398" s="28"/>
      <c r="G1398" s="28"/>
      <c r="H1398" s="28"/>
      <c r="I1398" s="28"/>
      <c r="J1398" s="28"/>
      <c r="L1398" s="38">
        <v>75</v>
      </c>
      <c r="M1398" s="2">
        <v>59</v>
      </c>
      <c r="N1398" s="2">
        <v>44</v>
      </c>
      <c r="O1398" s="2">
        <v>4</v>
      </c>
      <c r="P1398" s="2">
        <v>21</v>
      </c>
      <c r="Q1398" s="2">
        <v>6</v>
      </c>
      <c r="R1398" s="2">
        <v>0</v>
      </c>
      <c r="S1398" s="2">
        <v>27</v>
      </c>
      <c r="T1398" s="2">
        <v>2</v>
      </c>
      <c r="U1398" s="2">
        <v>3</v>
      </c>
      <c r="V1398" s="2">
        <v>0</v>
      </c>
      <c r="W1398" s="2">
        <v>3</v>
      </c>
      <c r="X1398" s="2">
        <v>7</v>
      </c>
    </row>
    <row r="1399" spans="1:24" x14ac:dyDescent="0.35">
      <c r="A1399">
        <v>74</v>
      </c>
      <c r="B1399">
        <v>27215</v>
      </c>
      <c r="C1399">
        <v>59</v>
      </c>
      <c r="D1399">
        <v>1</v>
      </c>
      <c r="E1399" s="28">
        <v>7.3452054794520549</v>
      </c>
      <c r="F1399" s="28"/>
      <c r="G1399" s="28"/>
      <c r="H1399" s="28"/>
      <c r="I1399" s="28"/>
      <c r="J1399" s="28"/>
      <c r="L1399" s="37">
        <v>74</v>
      </c>
      <c r="M1399" s="3">
        <v>50</v>
      </c>
      <c r="N1399" s="3">
        <v>30</v>
      </c>
      <c r="O1399" s="3">
        <v>5</v>
      </c>
      <c r="P1399" s="3">
        <v>22</v>
      </c>
      <c r="Q1399" s="3">
        <v>8</v>
      </c>
      <c r="R1399" s="3">
        <v>9</v>
      </c>
      <c r="S1399" s="3">
        <v>28</v>
      </c>
      <c r="T1399" s="3">
        <v>4</v>
      </c>
      <c r="U1399" s="3">
        <v>2</v>
      </c>
      <c r="V1399" s="3">
        <v>1</v>
      </c>
      <c r="W1399" s="3">
        <v>4</v>
      </c>
      <c r="X1399" s="3">
        <v>6</v>
      </c>
    </row>
    <row r="1400" spans="1:24" x14ac:dyDescent="0.35">
      <c r="A1400">
        <v>73</v>
      </c>
      <c r="B1400">
        <v>36778</v>
      </c>
      <c r="C1400">
        <v>52</v>
      </c>
      <c r="D1400">
        <v>1</v>
      </c>
      <c r="E1400" s="28">
        <v>7.8136986301369866</v>
      </c>
      <c r="F1400" s="28"/>
      <c r="G1400" s="28"/>
      <c r="H1400" s="28"/>
      <c r="I1400" s="28"/>
      <c r="J1400" s="28"/>
      <c r="L1400" s="38">
        <v>73</v>
      </c>
      <c r="M1400" s="2">
        <v>63</v>
      </c>
      <c r="N1400" s="2">
        <v>29</v>
      </c>
      <c r="O1400" s="2">
        <v>4</v>
      </c>
      <c r="P1400" s="2">
        <v>34</v>
      </c>
      <c r="Q1400" s="2">
        <v>2</v>
      </c>
      <c r="R1400" s="2">
        <v>4</v>
      </c>
      <c r="S1400" s="2">
        <v>4</v>
      </c>
      <c r="T1400" s="2">
        <v>3</v>
      </c>
      <c r="U1400" s="2">
        <v>3</v>
      </c>
      <c r="V1400" s="2">
        <v>0</v>
      </c>
      <c r="W1400" s="2">
        <v>3</v>
      </c>
      <c r="X1400" s="2">
        <v>9</v>
      </c>
    </row>
    <row r="1401" spans="1:24" x14ac:dyDescent="0.35">
      <c r="A1401">
        <v>73</v>
      </c>
      <c r="B1401">
        <v>34941</v>
      </c>
      <c r="C1401">
        <v>64</v>
      </c>
      <c r="D1401">
        <v>1</v>
      </c>
      <c r="E1401" s="28">
        <v>7.2301369863013702</v>
      </c>
      <c r="F1401" s="28"/>
      <c r="G1401" s="28"/>
      <c r="H1401" s="28"/>
      <c r="I1401" s="28"/>
      <c r="J1401" s="28"/>
      <c r="L1401" s="37">
        <v>73</v>
      </c>
      <c r="M1401" s="3">
        <v>26</v>
      </c>
      <c r="N1401" s="3">
        <v>39</v>
      </c>
      <c r="O1401" s="3">
        <v>2</v>
      </c>
      <c r="P1401" s="3">
        <v>25</v>
      </c>
      <c r="Q1401" s="3">
        <v>4</v>
      </c>
      <c r="R1401" s="3">
        <v>3</v>
      </c>
      <c r="S1401" s="3">
        <v>24</v>
      </c>
      <c r="T1401" s="3">
        <v>2</v>
      </c>
      <c r="U1401" s="3">
        <v>3</v>
      </c>
      <c r="V1401" s="3">
        <v>0</v>
      </c>
      <c r="W1401" s="3">
        <v>3</v>
      </c>
      <c r="X1401" s="3">
        <v>8</v>
      </c>
    </row>
    <row r="1402" spans="1:24" x14ac:dyDescent="0.35">
      <c r="A1402">
        <v>73</v>
      </c>
      <c r="B1402">
        <v>20193</v>
      </c>
      <c r="C1402">
        <v>29</v>
      </c>
      <c r="D1402">
        <v>0</v>
      </c>
      <c r="E1402" s="28">
        <v>7.4986301369863018</v>
      </c>
      <c r="F1402" s="28"/>
      <c r="G1402" s="28"/>
      <c r="H1402" s="28"/>
      <c r="I1402" s="28"/>
      <c r="J1402" s="28"/>
      <c r="L1402" s="38">
        <v>73</v>
      </c>
      <c r="M1402" s="2">
        <v>18</v>
      </c>
      <c r="N1402" s="2">
        <v>8</v>
      </c>
      <c r="O1402" s="2">
        <v>8</v>
      </c>
      <c r="P1402" s="2">
        <v>22</v>
      </c>
      <c r="Q1402" s="2">
        <v>24</v>
      </c>
      <c r="R1402" s="2">
        <v>11</v>
      </c>
      <c r="S1402" s="2">
        <v>9</v>
      </c>
      <c r="T1402" s="2">
        <v>1</v>
      </c>
      <c r="U1402" s="2">
        <v>1</v>
      </c>
      <c r="V1402" s="2">
        <v>1</v>
      </c>
      <c r="W1402" s="2">
        <v>4</v>
      </c>
      <c r="X1402" s="2">
        <v>4</v>
      </c>
    </row>
    <row r="1403" spans="1:24" x14ac:dyDescent="0.35">
      <c r="A1403">
        <v>72</v>
      </c>
      <c r="B1403">
        <v>28510</v>
      </c>
      <c r="C1403">
        <v>39</v>
      </c>
      <c r="D1403">
        <v>1</v>
      </c>
      <c r="E1403" s="28">
        <v>7.1260273972602741</v>
      </c>
      <c r="F1403" s="28"/>
      <c r="G1403" s="28"/>
      <c r="H1403" s="28"/>
      <c r="I1403" s="28"/>
      <c r="J1403" s="28"/>
      <c r="L1403" s="37">
        <v>72</v>
      </c>
      <c r="M1403" s="3">
        <v>72</v>
      </c>
      <c r="N1403" s="3">
        <v>44</v>
      </c>
      <c r="O1403" s="3">
        <v>5</v>
      </c>
      <c r="P1403" s="3">
        <v>19</v>
      </c>
      <c r="Q1403" s="3">
        <v>0</v>
      </c>
      <c r="R1403" s="3">
        <v>4</v>
      </c>
      <c r="S1403" s="3">
        <v>19</v>
      </c>
      <c r="T1403" s="3">
        <v>3</v>
      </c>
      <c r="U1403" s="3">
        <v>2</v>
      </c>
      <c r="V1403" s="3">
        <v>0</v>
      </c>
      <c r="W1403" s="3">
        <v>4</v>
      </c>
      <c r="X1403" s="3">
        <v>5</v>
      </c>
    </row>
    <row r="1404" spans="1:24" x14ac:dyDescent="0.35">
      <c r="A1404">
        <v>72</v>
      </c>
      <c r="B1404">
        <v>7500</v>
      </c>
      <c r="C1404">
        <v>24</v>
      </c>
      <c r="D1404">
        <v>0</v>
      </c>
      <c r="E1404" s="28">
        <v>7.5506849315068489</v>
      </c>
      <c r="F1404" s="28"/>
      <c r="G1404" s="28"/>
      <c r="H1404" s="28"/>
      <c r="I1404" s="28"/>
      <c r="J1404" s="28"/>
      <c r="L1404" s="38">
        <v>72</v>
      </c>
      <c r="M1404" s="2">
        <v>24</v>
      </c>
      <c r="N1404" s="2">
        <v>3</v>
      </c>
      <c r="O1404" s="2">
        <v>18</v>
      </c>
      <c r="P1404" s="2">
        <v>14</v>
      </c>
      <c r="Q1404" s="2">
        <v>15</v>
      </c>
      <c r="R1404" s="2">
        <v>22</v>
      </c>
      <c r="S1404" s="2">
        <v>50</v>
      </c>
      <c r="T1404" s="2">
        <v>3</v>
      </c>
      <c r="U1404" s="2">
        <v>3</v>
      </c>
      <c r="V1404" s="2">
        <v>1</v>
      </c>
      <c r="W1404" s="2">
        <v>3</v>
      </c>
      <c r="X1404" s="2">
        <v>9</v>
      </c>
    </row>
    <row r="1405" spans="1:24" x14ac:dyDescent="0.35">
      <c r="A1405">
        <v>71</v>
      </c>
      <c r="B1405">
        <v>36065</v>
      </c>
      <c r="C1405">
        <v>52</v>
      </c>
      <c r="D1405">
        <v>1</v>
      </c>
      <c r="E1405" s="28">
        <v>7.161643835616438</v>
      </c>
      <c r="F1405" s="28"/>
      <c r="G1405" s="28"/>
      <c r="H1405" s="28"/>
      <c r="I1405" s="28"/>
      <c r="J1405" s="28"/>
      <c r="L1405" s="37">
        <v>71</v>
      </c>
      <c r="M1405" s="3">
        <v>54</v>
      </c>
      <c r="N1405" s="3">
        <v>18</v>
      </c>
      <c r="O1405" s="3">
        <v>7</v>
      </c>
      <c r="P1405" s="3">
        <v>34</v>
      </c>
      <c r="Q1405" s="3">
        <v>10</v>
      </c>
      <c r="R1405" s="3">
        <v>2</v>
      </c>
      <c r="S1405" s="3">
        <v>3</v>
      </c>
      <c r="T1405" s="3">
        <v>3</v>
      </c>
      <c r="U1405" s="3">
        <v>3</v>
      </c>
      <c r="V1405" s="3">
        <v>0</v>
      </c>
      <c r="W1405" s="3">
        <v>3</v>
      </c>
      <c r="X1405" s="3">
        <v>8</v>
      </c>
    </row>
    <row r="1406" spans="1:24" x14ac:dyDescent="0.35">
      <c r="A1406">
        <v>71</v>
      </c>
      <c r="B1406">
        <v>37155</v>
      </c>
      <c r="C1406">
        <v>31</v>
      </c>
      <c r="D1406">
        <v>1</v>
      </c>
      <c r="E1406" s="28">
        <v>7.3232876712328769</v>
      </c>
      <c r="F1406" s="28"/>
      <c r="G1406" s="28"/>
      <c r="H1406" s="28"/>
      <c r="I1406" s="28"/>
      <c r="J1406" s="28"/>
      <c r="L1406" s="38">
        <v>71</v>
      </c>
      <c r="M1406" s="2">
        <v>51</v>
      </c>
      <c r="N1406" s="2">
        <v>23</v>
      </c>
      <c r="O1406" s="2">
        <v>0</v>
      </c>
      <c r="P1406" s="2">
        <v>26</v>
      </c>
      <c r="Q1406" s="2">
        <v>7</v>
      </c>
      <c r="R1406" s="2">
        <v>15</v>
      </c>
      <c r="S1406" s="2">
        <v>3</v>
      </c>
      <c r="T1406" s="2">
        <v>1</v>
      </c>
      <c r="U1406" s="2">
        <v>2</v>
      </c>
      <c r="V1406" s="2">
        <v>0</v>
      </c>
      <c r="W1406" s="2">
        <v>4</v>
      </c>
      <c r="X1406" s="2">
        <v>5</v>
      </c>
    </row>
    <row r="1407" spans="1:24" x14ac:dyDescent="0.35">
      <c r="A1407">
        <v>71</v>
      </c>
      <c r="B1407">
        <v>22123</v>
      </c>
      <c r="C1407">
        <v>60</v>
      </c>
      <c r="D1407">
        <v>0</v>
      </c>
      <c r="E1407" s="28">
        <v>6.1726027397260275</v>
      </c>
      <c r="F1407" s="28"/>
      <c r="G1407" s="28"/>
      <c r="H1407" s="28"/>
      <c r="I1407" s="28"/>
      <c r="J1407" s="28"/>
      <c r="L1407" s="37">
        <v>71</v>
      </c>
      <c r="M1407" s="3">
        <v>77</v>
      </c>
      <c r="N1407" s="3">
        <v>3</v>
      </c>
      <c r="O1407" s="3">
        <v>3</v>
      </c>
      <c r="P1407" s="3">
        <v>24</v>
      </c>
      <c r="Q1407" s="3">
        <v>34</v>
      </c>
      <c r="R1407" s="3">
        <v>7</v>
      </c>
      <c r="S1407" s="3">
        <v>31</v>
      </c>
      <c r="T1407" s="3">
        <v>1</v>
      </c>
      <c r="U1407" s="3">
        <v>2</v>
      </c>
      <c r="V1407" s="3">
        <v>1</v>
      </c>
      <c r="W1407" s="3">
        <v>3</v>
      </c>
      <c r="X1407" s="3">
        <v>5</v>
      </c>
    </row>
    <row r="1408" spans="1:24" x14ac:dyDescent="0.35">
      <c r="A1408">
        <v>71</v>
      </c>
      <c r="B1408">
        <v>52074</v>
      </c>
      <c r="C1408">
        <v>53</v>
      </c>
      <c r="D1408">
        <v>1</v>
      </c>
      <c r="E1408" s="28">
        <v>6.1506849315068495</v>
      </c>
      <c r="F1408" s="28"/>
      <c r="G1408" s="28"/>
      <c r="H1408" s="28"/>
      <c r="I1408" s="28"/>
      <c r="J1408" s="28"/>
      <c r="L1408" s="38">
        <v>71</v>
      </c>
      <c r="M1408" s="2">
        <v>77</v>
      </c>
      <c r="N1408" s="2">
        <v>59</v>
      </c>
      <c r="O1408" s="2">
        <v>0</v>
      </c>
      <c r="P1408" s="2">
        <v>12</v>
      </c>
      <c r="Q1408" s="2">
        <v>0</v>
      </c>
      <c r="R1408" s="2">
        <v>0</v>
      </c>
      <c r="S1408" s="2">
        <v>48</v>
      </c>
      <c r="T1408" s="2">
        <v>1</v>
      </c>
      <c r="U1408" s="2">
        <v>2</v>
      </c>
      <c r="V1408" s="2">
        <v>2</v>
      </c>
      <c r="W1408" s="2">
        <v>2</v>
      </c>
      <c r="X1408" s="2">
        <v>4</v>
      </c>
    </row>
    <row r="1409" spans="1:24" x14ac:dyDescent="0.35">
      <c r="A1409">
        <v>70</v>
      </c>
      <c r="B1409">
        <v>32557</v>
      </c>
      <c r="C1409">
        <v>53</v>
      </c>
      <c r="D1409">
        <v>1</v>
      </c>
      <c r="E1409" s="28">
        <v>6.2575342465753421</v>
      </c>
      <c r="F1409" s="28"/>
      <c r="G1409" s="28"/>
      <c r="H1409" s="28"/>
      <c r="I1409" s="28"/>
      <c r="J1409" s="28"/>
      <c r="L1409" s="37">
        <v>70</v>
      </c>
      <c r="M1409" s="3">
        <v>13</v>
      </c>
      <c r="N1409" s="3">
        <v>34</v>
      </c>
      <c r="O1409" s="3">
        <v>3</v>
      </c>
      <c r="P1409" s="3">
        <v>29</v>
      </c>
      <c r="Q1409" s="3">
        <v>0</v>
      </c>
      <c r="R1409" s="3">
        <v>4</v>
      </c>
      <c r="S1409" s="3">
        <v>10</v>
      </c>
      <c r="T1409" s="3">
        <v>3</v>
      </c>
      <c r="U1409" s="3">
        <v>2</v>
      </c>
      <c r="V1409" s="3">
        <v>1</v>
      </c>
      <c r="W1409" s="3">
        <v>3</v>
      </c>
      <c r="X1409" s="3">
        <v>5</v>
      </c>
    </row>
    <row r="1410" spans="1:24" x14ac:dyDescent="0.35">
      <c r="A1410">
        <v>70</v>
      </c>
      <c r="B1410">
        <v>38136</v>
      </c>
      <c r="C1410">
        <v>42</v>
      </c>
      <c r="D1410">
        <v>1</v>
      </c>
      <c r="E1410" s="28">
        <v>7.1013698630136988</v>
      </c>
      <c r="F1410" s="28"/>
      <c r="G1410" s="28"/>
      <c r="H1410" s="28"/>
      <c r="I1410" s="28"/>
      <c r="J1410" s="28"/>
      <c r="L1410" s="38">
        <v>70</v>
      </c>
      <c r="M1410" s="2">
        <v>69</v>
      </c>
      <c r="N1410" s="2">
        <v>8</v>
      </c>
      <c r="O1410" s="2">
        <v>15</v>
      </c>
      <c r="P1410" s="2">
        <v>27</v>
      </c>
      <c r="Q1410" s="2">
        <v>0</v>
      </c>
      <c r="R1410" s="2">
        <v>20</v>
      </c>
      <c r="S1410" s="2">
        <v>33</v>
      </c>
      <c r="T1410" s="2">
        <v>2</v>
      </c>
      <c r="U1410" s="2">
        <v>3</v>
      </c>
      <c r="V1410" s="2">
        <v>1</v>
      </c>
      <c r="W1410" s="2">
        <v>2</v>
      </c>
      <c r="X1410" s="2">
        <v>8</v>
      </c>
    </row>
    <row r="1411" spans="1:24" x14ac:dyDescent="0.35">
      <c r="A1411">
        <v>70</v>
      </c>
      <c r="B1411">
        <v>38179</v>
      </c>
      <c r="C1411">
        <v>54</v>
      </c>
      <c r="D1411">
        <v>1</v>
      </c>
      <c r="E1411" s="28">
        <v>7.2082191780821914</v>
      </c>
      <c r="F1411" s="28"/>
      <c r="G1411" s="28"/>
      <c r="H1411" s="28"/>
      <c r="I1411" s="28"/>
      <c r="J1411" s="28"/>
      <c r="L1411" s="37">
        <v>70</v>
      </c>
      <c r="M1411" s="3">
        <v>30</v>
      </c>
      <c r="N1411" s="3">
        <v>38</v>
      </c>
      <c r="O1411" s="3">
        <v>4</v>
      </c>
      <c r="P1411" s="3">
        <v>22</v>
      </c>
      <c r="Q1411" s="3">
        <v>4</v>
      </c>
      <c r="R1411" s="3">
        <v>2</v>
      </c>
      <c r="S1411" s="3">
        <v>20</v>
      </c>
      <c r="T1411" s="3">
        <v>4</v>
      </c>
      <c r="U1411" s="3">
        <v>3</v>
      </c>
      <c r="V1411" s="3">
        <v>1</v>
      </c>
      <c r="W1411" s="3">
        <v>3</v>
      </c>
      <c r="X1411" s="3">
        <v>7</v>
      </c>
    </row>
    <row r="1412" spans="1:24" x14ac:dyDescent="0.35">
      <c r="A1412">
        <v>70</v>
      </c>
      <c r="B1412">
        <v>38578</v>
      </c>
      <c r="C1412">
        <v>48</v>
      </c>
      <c r="D1412">
        <v>1</v>
      </c>
      <c r="E1412" s="28">
        <v>6.934246575342466</v>
      </c>
      <c r="F1412" s="28"/>
      <c r="G1412" s="28"/>
      <c r="H1412" s="28"/>
      <c r="I1412" s="28"/>
      <c r="J1412" s="28"/>
      <c r="L1412" s="38">
        <v>70</v>
      </c>
      <c r="M1412" s="2">
        <v>2</v>
      </c>
      <c r="N1412" s="2">
        <v>38</v>
      </c>
      <c r="O1412" s="2">
        <v>4</v>
      </c>
      <c r="P1412" s="2">
        <v>22</v>
      </c>
      <c r="Q1412" s="2">
        <v>3</v>
      </c>
      <c r="R1412" s="2">
        <v>3</v>
      </c>
      <c r="S1412" s="2">
        <v>3</v>
      </c>
      <c r="T1412" s="2">
        <v>3</v>
      </c>
      <c r="U1412" s="2">
        <v>3</v>
      </c>
      <c r="V1412" s="2">
        <v>0</v>
      </c>
      <c r="W1412" s="2">
        <v>3</v>
      </c>
      <c r="X1412" s="2">
        <v>8</v>
      </c>
    </row>
    <row r="1413" spans="1:24" x14ac:dyDescent="0.35">
      <c r="A1413">
        <v>70</v>
      </c>
      <c r="B1413">
        <v>38578</v>
      </c>
      <c r="C1413">
        <v>48</v>
      </c>
      <c r="D1413">
        <v>1</v>
      </c>
      <c r="E1413" s="28">
        <v>6.934246575342466</v>
      </c>
      <c r="F1413" s="28"/>
      <c r="G1413" s="28"/>
      <c r="H1413" s="28"/>
      <c r="I1413" s="28"/>
      <c r="J1413" s="28"/>
      <c r="L1413" s="37">
        <v>70</v>
      </c>
      <c r="M1413" s="3">
        <v>2</v>
      </c>
      <c r="N1413" s="3">
        <v>38</v>
      </c>
      <c r="O1413" s="3">
        <v>4</v>
      </c>
      <c r="P1413" s="3">
        <v>22</v>
      </c>
      <c r="Q1413" s="3">
        <v>3</v>
      </c>
      <c r="R1413" s="3">
        <v>3</v>
      </c>
      <c r="S1413" s="3">
        <v>3</v>
      </c>
      <c r="T1413" s="3">
        <v>3</v>
      </c>
      <c r="U1413" s="3">
        <v>3</v>
      </c>
      <c r="V1413" s="3">
        <v>0</v>
      </c>
      <c r="W1413" s="3">
        <v>3</v>
      </c>
      <c r="X1413" s="3">
        <v>8</v>
      </c>
    </row>
    <row r="1414" spans="1:24" x14ac:dyDescent="0.35">
      <c r="A1414">
        <v>70</v>
      </c>
      <c r="B1414">
        <v>33249</v>
      </c>
      <c r="C1414">
        <v>45</v>
      </c>
      <c r="D1414">
        <v>1</v>
      </c>
      <c r="E1414" s="28">
        <v>7.2684931506849315</v>
      </c>
      <c r="F1414" s="28"/>
      <c r="G1414" s="28"/>
      <c r="H1414" s="28"/>
      <c r="I1414" s="28"/>
      <c r="J1414" s="28"/>
      <c r="L1414" s="38">
        <v>70</v>
      </c>
      <c r="M1414" s="2">
        <v>11</v>
      </c>
      <c r="N1414" s="2">
        <v>6</v>
      </c>
      <c r="O1414" s="2">
        <v>10</v>
      </c>
      <c r="P1414" s="2">
        <v>21</v>
      </c>
      <c r="Q1414" s="2">
        <v>19</v>
      </c>
      <c r="R1414" s="2">
        <v>14</v>
      </c>
      <c r="S1414" s="2">
        <v>42</v>
      </c>
      <c r="T1414" s="2">
        <v>2</v>
      </c>
      <c r="U1414" s="2">
        <v>2</v>
      </c>
      <c r="V1414" s="2">
        <v>1</v>
      </c>
      <c r="W1414" s="2">
        <v>3</v>
      </c>
      <c r="X1414" s="2">
        <v>6</v>
      </c>
    </row>
    <row r="1415" spans="1:24" x14ac:dyDescent="0.35">
      <c r="A1415">
        <v>70</v>
      </c>
      <c r="B1415">
        <v>31761</v>
      </c>
      <c r="C1415">
        <v>36</v>
      </c>
      <c r="D1415">
        <v>1</v>
      </c>
      <c r="E1415" s="28">
        <v>6.1479452054794521</v>
      </c>
      <c r="F1415" s="28"/>
      <c r="G1415" s="28"/>
      <c r="H1415" s="28"/>
      <c r="I1415" s="28"/>
      <c r="J1415" s="28"/>
      <c r="L1415" s="37">
        <v>70</v>
      </c>
      <c r="M1415" s="3">
        <v>96</v>
      </c>
      <c r="N1415" s="3">
        <v>19</v>
      </c>
      <c r="O1415" s="3">
        <v>1</v>
      </c>
      <c r="P1415" s="3">
        <v>20</v>
      </c>
      <c r="Q1415" s="3">
        <v>16</v>
      </c>
      <c r="R1415" s="3">
        <v>14</v>
      </c>
      <c r="S1415" s="3">
        <v>28</v>
      </c>
      <c r="T1415" s="3">
        <v>2</v>
      </c>
      <c r="U1415" s="3">
        <v>3</v>
      </c>
      <c r="V1415" s="3">
        <v>0</v>
      </c>
      <c r="W1415" s="3">
        <v>4</v>
      </c>
      <c r="X1415" s="3">
        <v>5</v>
      </c>
    </row>
    <row r="1416" spans="1:24" x14ac:dyDescent="0.35">
      <c r="A1416">
        <v>70</v>
      </c>
      <c r="B1416">
        <v>38452</v>
      </c>
      <c r="C1416">
        <v>65</v>
      </c>
      <c r="D1416">
        <v>1</v>
      </c>
      <c r="E1416" s="28">
        <v>6.1643835616438354</v>
      </c>
      <c r="F1416" s="28"/>
      <c r="G1416" s="28"/>
      <c r="H1416" s="28"/>
      <c r="I1416" s="28"/>
      <c r="J1416" s="28"/>
      <c r="L1416" s="38">
        <v>70</v>
      </c>
      <c r="M1416" s="2">
        <v>62</v>
      </c>
      <c r="N1416" s="2">
        <v>56</v>
      </c>
      <c r="O1416" s="2">
        <v>0</v>
      </c>
      <c r="P1416" s="2">
        <v>14</v>
      </c>
      <c r="Q1416" s="2">
        <v>0</v>
      </c>
      <c r="R1416" s="2">
        <v>0</v>
      </c>
      <c r="S1416" s="2">
        <v>2</v>
      </c>
      <c r="T1416" s="2">
        <v>3</v>
      </c>
      <c r="U1416" s="2">
        <v>3</v>
      </c>
      <c r="V1416" s="2">
        <v>0</v>
      </c>
      <c r="W1416" s="2">
        <v>3</v>
      </c>
      <c r="X1416" s="2">
        <v>7</v>
      </c>
    </row>
    <row r="1417" spans="1:24" x14ac:dyDescent="0.35">
      <c r="A1417">
        <v>69</v>
      </c>
      <c r="B1417">
        <v>39858</v>
      </c>
      <c r="C1417">
        <v>51</v>
      </c>
      <c r="D1417">
        <v>1</v>
      </c>
      <c r="E1417" s="28">
        <v>7.3424657534246576</v>
      </c>
      <c r="F1417" s="28"/>
      <c r="G1417" s="28"/>
      <c r="H1417" s="28"/>
      <c r="I1417" s="28"/>
      <c r="J1417" s="28"/>
      <c r="L1417" s="37">
        <v>69</v>
      </c>
      <c r="M1417" s="3">
        <v>67</v>
      </c>
      <c r="N1417" s="3">
        <v>15</v>
      </c>
      <c r="O1417" s="3">
        <v>20</v>
      </c>
      <c r="P1417" s="3">
        <v>25</v>
      </c>
      <c r="Q1417" s="3">
        <v>2</v>
      </c>
      <c r="R1417" s="3">
        <v>7</v>
      </c>
      <c r="S1417" s="3">
        <v>26</v>
      </c>
      <c r="T1417" s="3">
        <v>1</v>
      </c>
      <c r="U1417" s="3">
        <v>2</v>
      </c>
      <c r="V1417" s="3">
        <v>0</v>
      </c>
      <c r="W1417" s="3">
        <v>4</v>
      </c>
      <c r="X1417" s="3">
        <v>6</v>
      </c>
    </row>
    <row r="1418" spans="1:24" x14ac:dyDescent="0.35">
      <c r="A1418">
        <v>69</v>
      </c>
      <c r="B1418">
        <v>34176</v>
      </c>
      <c r="C1418">
        <v>32</v>
      </c>
      <c r="D1418">
        <v>1</v>
      </c>
      <c r="E1418" s="28">
        <v>6.0465753424657533</v>
      </c>
      <c r="F1418" s="28"/>
      <c r="G1418" s="28"/>
      <c r="H1418" s="28"/>
      <c r="I1418" s="28"/>
      <c r="J1418" s="28"/>
      <c r="L1418" s="38">
        <v>69</v>
      </c>
      <c r="M1418" s="2">
        <v>12</v>
      </c>
      <c r="N1418" s="2">
        <v>5</v>
      </c>
      <c r="O1418" s="2">
        <v>7</v>
      </c>
      <c r="P1418" s="2">
        <v>24</v>
      </c>
      <c r="Q1418" s="2">
        <v>19</v>
      </c>
      <c r="R1418" s="2">
        <v>14</v>
      </c>
      <c r="S1418" s="2">
        <v>20</v>
      </c>
      <c r="T1418" s="2">
        <v>4</v>
      </c>
      <c r="U1418" s="2">
        <v>3</v>
      </c>
      <c r="V1418" s="2">
        <v>0</v>
      </c>
      <c r="W1418" s="2">
        <v>4</v>
      </c>
      <c r="X1418" s="2">
        <v>6</v>
      </c>
    </row>
    <row r="1419" spans="1:24" x14ac:dyDescent="0.35">
      <c r="A1419">
        <v>69</v>
      </c>
      <c r="B1419">
        <v>38702</v>
      </c>
      <c r="C1419">
        <v>42</v>
      </c>
      <c r="D1419">
        <v>1</v>
      </c>
      <c r="E1419" s="28">
        <v>6.8246575342465752</v>
      </c>
      <c r="F1419" s="28"/>
      <c r="G1419" s="28"/>
      <c r="H1419" s="28"/>
      <c r="I1419" s="28"/>
      <c r="J1419" s="28"/>
      <c r="L1419" s="37">
        <v>69</v>
      </c>
      <c r="M1419" s="3">
        <v>71</v>
      </c>
      <c r="N1419" s="3">
        <v>13</v>
      </c>
      <c r="O1419" s="3">
        <v>11</v>
      </c>
      <c r="P1419" s="3">
        <v>24</v>
      </c>
      <c r="Q1419" s="3">
        <v>13</v>
      </c>
      <c r="R1419" s="3">
        <v>8</v>
      </c>
      <c r="S1419" s="3">
        <v>40</v>
      </c>
      <c r="T1419" s="3">
        <v>2</v>
      </c>
      <c r="U1419" s="3">
        <v>3</v>
      </c>
      <c r="V1419" s="3">
        <v>0</v>
      </c>
      <c r="W1419" s="3">
        <v>4</v>
      </c>
      <c r="X1419" s="3">
        <v>6</v>
      </c>
    </row>
    <row r="1420" spans="1:24" x14ac:dyDescent="0.35">
      <c r="A1420">
        <v>69</v>
      </c>
      <c r="B1420">
        <v>40662</v>
      </c>
      <c r="C1420">
        <v>41</v>
      </c>
      <c r="D1420">
        <v>1</v>
      </c>
      <c r="E1420" s="28">
        <v>7.2054794520547949</v>
      </c>
      <c r="F1420" s="28"/>
      <c r="G1420" s="28"/>
      <c r="H1420" s="28"/>
      <c r="I1420" s="28"/>
      <c r="J1420" s="28"/>
      <c r="L1420" s="38">
        <v>69</v>
      </c>
      <c r="M1420" s="2">
        <v>0</v>
      </c>
      <c r="N1420" s="2">
        <v>40</v>
      </c>
      <c r="O1420" s="2">
        <v>2</v>
      </c>
      <c r="P1420" s="2">
        <v>23</v>
      </c>
      <c r="Q1420" s="2">
        <v>0</v>
      </c>
      <c r="R1420" s="2">
        <v>4</v>
      </c>
      <c r="S1420" s="2">
        <v>23</v>
      </c>
      <c r="T1420" s="2">
        <v>2</v>
      </c>
      <c r="U1420" s="2">
        <v>2</v>
      </c>
      <c r="V1420" s="2">
        <v>1</v>
      </c>
      <c r="W1420" s="2">
        <v>3</v>
      </c>
      <c r="X1420" s="2">
        <v>4</v>
      </c>
    </row>
    <row r="1421" spans="1:24" x14ac:dyDescent="0.35">
      <c r="A1421">
        <v>69</v>
      </c>
      <c r="B1421">
        <v>33622</v>
      </c>
      <c r="C1421">
        <v>48</v>
      </c>
      <c r="D1421">
        <v>1</v>
      </c>
      <c r="E1421" s="28">
        <v>7.1260273972602741</v>
      </c>
      <c r="F1421" s="28"/>
      <c r="G1421" s="28"/>
      <c r="H1421" s="28"/>
      <c r="I1421" s="28"/>
      <c r="J1421" s="28"/>
      <c r="L1421" s="37">
        <v>69</v>
      </c>
      <c r="M1421" s="3">
        <v>22</v>
      </c>
      <c r="N1421" s="3">
        <v>39</v>
      </c>
      <c r="O1421" s="3">
        <v>1</v>
      </c>
      <c r="P1421" s="3">
        <v>22</v>
      </c>
      <c r="Q1421" s="3">
        <v>3</v>
      </c>
      <c r="R1421" s="3">
        <v>4</v>
      </c>
      <c r="S1421" s="3">
        <v>12</v>
      </c>
      <c r="T1421" s="3">
        <v>3</v>
      </c>
      <c r="U1421" s="3">
        <v>2</v>
      </c>
      <c r="V1421" s="3">
        <v>0</v>
      </c>
      <c r="W1421" s="3">
        <v>4</v>
      </c>
      <c r="X1421" s="3">
        <v>7</v>
      </c>
    </row>
    <row r="1422" spans="1:24" x14ac:dyDescent="0.35">
      <c r="A1422">
        <v>69</v>
      </c>
      <c r="B1422">
        <v>38872</v>
      </c>
      <c r="C1422">
        <v>32</v>
      </c>
      <c r="D1422">
        <v>1</v>
      </c>
      <c r="E1422" s="28">
        <v>6.9972602739726026</v>
      </c>
      <c r="F1422" s="28"/>
      <c r="G1422" s="28"/>
      <c r="H1422" s="28"/>
      <c r="I1422" s="28"/>
      <c r="J1422" s="28"/>
      <c r="L1422" s="38">
        <v>69</v>
      </c>
      <c r="M1422" s="2">
        <v>93</v>
      </c>
      <c r="N1422" s="2">
        <v>23</v>
      </c>
      <c r="O1422" s="2">
        <v>3</v>
      </c>
      <c r="P1422" s="2">
        <v>21</v>
      </c>
      <c r="Q1422" s="2">
        <v>3</v>
      </c>
      <c r="R1422" s="2">
        <v>19</v>
      </c>
      <c r="S1422" s="2">
        <v>22</v>
      </c>
      <c r="T1422" s="2">
        <v>2</v>
      </c>
      <c r="U1422" s="2">
        <v>3</v>
      </c>
      <c r="V1422" s="2">
        <v>0</v>
      </c>
      <c r="W1422" s="2">
        <v>3</v>
      </c>
      <c r="X1422" s="2">
        <v>8</v>
      </c>
    </row>
    <row r="1423" spans="1:24" x14ac:dyDescent="0.35">
      <c r="A1423">
        <v>69</v>
      </c>
      <c r="B1423">
        <v>35790</v>
      </c>
      <c r="C1423">
        <v>43</v>
      </c>
      <c r="D1423">
        <v>1</v>
      </c>
      <c r="E1423" s="28">
        <v>7.4027397260273968</v>
      </c>
      <c r="F1423" s="28"/>
      <c r="G1423" s="28"/>
      <c r="H1423" s="28"/>
      <c r="I1423" s="28"/>
      <c r="J1423" s="28"/>
      <c r="L1423" s="37">
        <v>69</v>
      </c>
      <c r="M1423" s="3">
        <v>54</v>
      </c>
      <c r="N1423" s="3">
        <v>12</v>
      </c>
      <c r="O1423" s="3">
        <v>6</v>
      </c>
      <c r="P1423" s="3">
        <v>20</v>
      </c>
      <c r="Q1423" s="3">
        <v>30</v>
      </c>
      <c r="R1423" s="3">
        <v>1</v>
      </c>
      <c r="S1423" s="3">
        <v>3</v>
      </c>
      <c r="T1423" s="3">
        <v>2</v>
      </c>
      <c r="U1423" s="3">
        <v>2</v>
      </c>
      <c r="V1423" s="3">
        <v>0</v>
      </c>
      <c r="W1423" s="3">
        <v>3</v>
      </c>
      <c r="X1423" s="3">
        <v>7</v>
      </c>
    </row>
    <row r="1424" spans="1:24" x14ac:dyDescent="0.35">
      <c r="A1424">
        <v>69</v>
      </c>
      <c r="B1424">
        <v>26091</v>
      </c>
      <c r="C1424">
        <v>63</v>
      </c>
      <c r="D1424">
        <v>1</v>
      </c>
      <c r="E1424" s="28">
        <v>6.2547945205479456</v>
      </c>
      <c r="F1424" s="28"/>
      <c r="G1424" s="28"/>
      <c r="H1424" s="28"/>
      <c r="I1424" s="28"/>
      <c r="J1424" s="28"/>
      <c r="L1424" s="38">
        <v>69</v>
      </c>
      <c r="M1424" s="2">
        <v>84</v>
      </c>
      <c r="N1424" s="2">
        <v>15</v>
      </c>
      <c r="O1424" s="2">
        <v>10</v>
      </c>
      <c r="P1424" s="2">
        <v>19</v>
      </c>
      <c r="Q1424" s="2">
        <v>8</v>
      </c>
      <c r="R1424" s="2">
        <v>17</v>
      </c>
      <c r="S1424" s="2">
        <v>20</v>
      </c>
      <c r="T1424" s="2">
        <v>3</v>
      </c>
      <c r="U1424" s="2">
        <v>2</v>
      </c>
      <c r="V1424" s="2">
        <v>1</v>
      </c>
      <c r="W1424" s="2">
        <v>3</v>
      </c>
      <c r="X1424" s="2">
        <v>5</v>
      </c>
    </row>
    <row r="1425" spans="1:24" x14ac:dyDescent="0.35">
      <c r="A1425">
        <v>69</v>
      </c>
      <c r="B1425">
        <v>43018</v>
      </c>
      <c r="C1425">
        <v>46</v>
      </c>
      <c r="D1425">
        <v>1</v>
      </c>
      <c r="E1425" s="28">
        <v>6.5726027397260278</v>
      </c>
      <c r="F1425" s="28"/>
      <c r="G1425" s="28"/>
      <c r="H1425" s="28"/>
      <c r="I1425" s="28"/>
      <c r="J1425" s="28"/>
      <c r="L1425" s="37">
        <v>69</v>
      </c>
      <c r="M1425" s="3">
        <v>46</v>
      </c>
      <c r="N1425" s="3">
        <v>35</v>
      </c>
      <c r="O1425" s="3">
        <v>4</v>
      </c>
      <c r="P1425" s="3">
        <v>17</v>
      </c>
      <c r="Q1425" s="3">
        <v>7</v>
      </c>
      <c r="R1425" s="3">
        <v>6</v>
      </c>
      <c r="S1425" s="3">
        <v>64</v>
      </c>
      <c r="T1425" s="3">
        <v>1</v>
      </c>
      <c r="U1425" s="3">
        <v>2</v>
      </c>
      <c r="V1425" s="3">
        <v>2</v>
      </c>
      <c r="W1425" s="3">
        <v>2</v>
      </c>
      <c r="X1425" s="3">
        <v>5</v>
      </c>
    </row>
    <row r="1426" spans="1:24" x14ac:dyDescent="0.35">
      <c r="A1426">
        <v>68</v>
      </c>
      <c r="B1426">
        <v>23748</v>
      </c>
      <c r="C1426">
        <v>52</v>
      </c>
      <c r="D1426">
        <v>1</v>
      </c>
      <c r="E1426" s="28">
        <v>7.5178082191780824</v>
      </c>
      <c r="F1426" s="28"/>
      <c r="G1426" s="28"/>
      <c r="H1426" s="28"/>
      <c r="I1426" s="28"/>
      <c r="J1426" s="28"/>
      <c r="L1426" s="38">
        <v>68</v>
      </c>
      <c r="M1426" s="2">
        <v>97</v>
      </c>
      <c r="N1426" s="2">
        <v>6</v>
      </c>
      <c r="O1426" s="2">
        <v>6</v>
      </c>
      <c r="P1426" s="2">
        <v>29</v>
      </c>
      <c r="Q1426" s="2">
        <v>12</v>
      </c>
      <c r="R1426" s="2">
        <v>15</v>
      </c>
      <c r="S1426" s="2">
        <v>8</v>
      </c>
      <c r="T1426" s="2">
        <v>3</v>
      </c>
      <c r="U1426" s="2">
        <v>2</v>
      </c>
      <c r="V1426" s="2">
        <v>1</v>
      </c>
      <c r="W1426" s="2">
        <v>3</v>
      </c>
      <c r="X1426" s="2">
        <v>8</v>
      </c>
    </row>
    <row r="1427" spans="1:24" x14ac:dyDescent="0.35">
      <c r="A1427">
        <v>68</v>
      </c>
      <c r="B1427">
        <v>28647</v>
      </c>
      <c r="C1427">
        <v>42</v>
      </c>
      <c r="D1427">
        <v>1</v>
      </c>
      <c r="E1427" s="28">
        <v>6.7698630136986298</v>
      </c>
      <c r="F1427" s="28"/>
      <c r="G1427" s="28"/>
      <c r="H1427" s="28"/>
      <c r="I1427" s="28"/>
      <c r="J1427" s="28"/>
      <c r="L1427" s="37">
        <v>68</v>
      </c>
      <c r="M1427" s="3">
        <v>54</v>
      </c>
      <c r="N1427" s="3">
        <v>19</v>
      </c>
      <c r="O1427" s="3">
        <v>8</v>
      </c>
      <c r="P1427" s="3">
        <v>29</v>
      </c>
      <c r="Q1427" s="3">
        <v>0</v>
      </c>
      <c r="R1427" s="3">
        <v>12</v>
      </c>
      <c r="S1427" s="3">
        <v>26</v>
      </c>
      <c r="T1427" s="3">
        <v>1</v>
      </c>
      <c r="U1427" s="3">
        <v>2</v>
      </c>
      <c r="V1427" s="3">
        <v>2</v>
      </c>
      <c r="W1427" s="3">
        <v>2</v>
      </c>
      <c r="X1427" s="3">
        <v>7</v>
      </c>
    </row>
    <row r="1428" spans="1:24" x14ac:dyDescent="0.35">
      <c r="A1428">
        <v>68</v>
      </c>
      <c r="B1428">
        <v>43050</v>
      </c>
      <c r="C1428">
        <v>47</v>
      </c>
      <c r="D1428">
        <v>1</v>
      </c>
      <c r="E1428" s="28">
        <v>6.1972602739726028</v>
      </c>
      <c r="F1428" s="28"/>
      <c r="G1428" s="28"/>
      <c r="H1428" s="28"/>
      <c r="I1428" s="28"/>
      <c r="J1428" s="28"/>
      <c r="L1428" s="38">
        <v>68</v>
      </c>
      <c r="M1428" s="2">
        <v>10</v>
      </c>
      <c r="N1428" s="2">
        <v>30</v>
      </c>
      <c r="O1428" s="2">
        <v>5</v>
      </c>
      <c r="P1428" s="2">
        <v>24</v>
      </c>
      <c r="Q1428" s="2">
        <v>6</v>
      </c>
      <c r="R1428" s="2">
        <v>3</v>
      </c>
      <c r="S1428" s="2">
        <v>8</v>
      </c>
      <c r="T1428" s="2">
        <v>2</v>
      </c>
      <c r="U1428" s="2">
        <v>2</v>
      </c>
      <c r="V1428" s="2">
        <v>0</v>
      </c>
      <c r="W1428" s="2">
        <v>4</v>
      </c>
      <c r="X1428" s="2">
        <v>5</v>
      </c>
    </row>
    <row r="1429" spans="1:24" x14ac:dyDescent="0.35">
      <c r="A1429">
        <v>68</v>
      </c>
      <c r="B1429">
        <v>33419</v>
      </c>
      <c r="C1429">
        <v>58</v>
      </c>
      <c r="D1429">
        <v>1</v>
      </c>
      <c r="E1429" s="28">
        <v>6.7808219178082192</v>
      </c>
      <c r="F1429" s="28"/>
      <c r="G1429" s="28"/>
      <c r="H1429" s="28"/>
      <c r="I1429" s="28"/>
      <c r="J1429" s="28"/>
      <c r="L1429" s="37">
        <v>68</v>
      </c>
      <c r="M1429" s="3">
        <v>76</v>
      </c>
      <c r="N1429" s="3">
        <v>56</v>
      </c>
      <c r="O1429" s="3">
        <v>0</v>
      </c>
      <c r="P1429" s="3">
        <v>12</v>
      </c>
      <c r="Q1429" s="3">
        <v>0</v>
      </c>
      <c r="R1429" s="3">
        <v>0</v>
      </c>
      <c r="S1429" s="3">
        <v>18</v>
      </c>
      <c r="T1429" s="3">
        <v>2</v>
      </c>
      <c r="U1429" s="3">
        <v>2</v>
      </c>
      <c r="V1429" s="3">
        <v>0</v>
      </c>
      <c r="W1429" s="3">
        <v>4</v>
      </c>
      <c r="X1429" s="3">
        <v>7</v>
      </c>
    </row>
    <row r="1430" spans="1:24" x14ac:dyDescent="0.35">
      <c r="A1430">
        <v>67</v>
      </c>
      <c r="B1430">
        <v>38680</v>
      </c>
      <c r="C1430">
        <v>36</v>
      </c>
      <c r="D1430">
        <v>1</v>
      </c>
      <c r="E1430" s="28">
        <v>7.1698630136986301</v>
      </c>
      <c r="F1430" s="28"/>
      <c r="G1430" s="28"/>
      <c r="H1430" s="28"/>
      <c r="I1430" s="28"/>
      <c r="J1430" s="28"/>
      <c r="L1430" s="38">
        <v>67</v>
      </c>
      <c r="M1430" s="2">
        <v>97</v>
      </c>
      <c r="N1430" s="2">
        <v>11</v>
      </c>
      <c r="O1430" s="2">
        <v>0</v>
      </c>
      <c r="P1430" s="2">
        <v>36</v>
      </c>
      <c r="Q1430" s="2">
        <v>15</v>
      </c>
      <c r="R1430" s="2">
        <v>5</v>
      </c>
      <c r="S1430" s="2">
        <v>12</v>
      </c>
      <c r="T1430" s="2">
        <v>1</v>
      </c>
      <c r="U1430" s="2">
        <v>2</v>
      </c>
      <c r="V1430" s="2">
        <v>0</v>
      </c>
      <c r="W1430" s="2">
        <v>3</v>
      </c>
      <c r="X1430" s="2">
        <v>7</v>
      </c>
    </row>
    <row r="1431" spans="1:24" x14ac:dyDescent="0.35">
      <c r="A1431">
        <v>67</v>
      </c>
      <c r="B1431">
        <v>36273</v>
      </c>
      <c r="C1431">
        <v>43</v>
      </c>
      <c r="D1431">
        <v>1</v>
      </c>
      <c r="E1431" s="28">
        <v>6.117808219178082</v>
      </c>
      <c r="F1431" s="28"/>
      <c r="G1431" s="28"/>
      <c r="H1431" s="28"/>
      <c r="I1431" s="28"/>
      <c r="J1431" s="28"/>
      <c r="L1431" s="37">
        <v>67</v>
      </c>
      <c r="M1431" s="3">
        <v>80</v>
      </c>
      <c r="N1431" s="3">
        <v>29</v>
      </c>
      <c r="O1431" s="3">
        <v>3</v>
      </c>
      <c r="P1431" s="3">
        <v>30</v>
      </c>
      <c r="Q1431" s="3">
        <v>3</v>
      </c>
      <c r="R1431" s="3">
        <v>2</v>
      </c>
      <c r="S1431" s="3">
        <v>9</v>
      </c>
      <c r="T1431" s="3">
        <v>2</v>
      </c>
      <c r="U1431" s="3">
        <v>3</v>
      </c>
      <c r="V1431" s="3">
        <v>0</v>
      </c>
      <c r="W1431" s="3">
        <v>3</v>
      </c>
      <c r="X1431" s="3">
        <v>6</v>
      </c>
    </row>
    <row r="1432" spans="1:24" x14ac:dyDescent="0.35">
      <c r="A1432">
        <v>67</v>
      </c>
      <c r="B1432">
        <v>27213</v>
      </c>
      <c r="C1432">
        <v>48</v>
      </c>
      <c r="D1432">
        <v>1</v>
      </c>
      <c r="E1432" s="28">
        <v>7.7452054794520544</v>
      </c>
      <c r="F1432" s="28"/>
      <c r="G1432" s="28"/>
      <c r="H1432" s="28"/>
      <c r="I1432" s="28"/>
      <c r="J1432" s="28"/>
      <c r="L1432" s="38">
        <v>67</v>
      </c>
      <c r="M1432" s="2">
        <v>19</v>
      </c>
      <c r="N1432" s="2">
        <v>19</v>
      </c>
      <c r="O1432" s="2">
        <v>3</v>
      </c>
      <c r="P1432" s="2">
        <v>26</v>
      </c>
      <c r="Q1432" s="2">
        <v>10</v>
      </c>
      <c r="R1432" s="2">
        <v>9</v>
      </c>
      <c r="S1432" s="2">
        <v>3</v>
      </c>
      <c r="T1432" s="2">
        <v>3</v>
      </c>
      <c r="U1432" s="2">
        <v>2</v>
      </c>
      <c r="V1432" s="2">
        <v>0</v>
      </c>
      <c r="W1432" s="2">
        <v>4</v>
      </c>
      <c r="X1432" s="2">
        <v>8</v>
      </c>
    </row>
    <row r="1433" spans="1:24" x14ac:dyDescent="0.35">
      <c r="A1433">
        <v>67</v>
      </c>
      <c r="B1433">
        <v>27242</v>
      </c>
      <c r="C1433">
        <v>50</v>
      </c>
      <c r="D1433">
        <v>1</v>
      </c>
      <c r="E1433" s="28">
        <v>7.5452054794520551</v>
      </c>
      <c r="F1433" s="28"/>
      <c r="G1433" s="28"/>
      <c r="H1433" s="28"/>
      <c r="I1433" s="28"/>
      <c r="J1433" s="28"/>
      <c r="L1433" s="37">
        <v>67</v>
      </c>
      <c r="M1433" s="3">
        <v>2</v>
      </c>
      <c r="N1433" s="3">
        <v>3</v>
      </c>
      <c r="O1433" s="3">
        <v>17</v>
      </c>
      <c r="P1433" s="3">
        <v>26</v>
      </c>
      <c r="Q1433" s="3">
        <v>20</v>
      </c>
      <c r="R1433" s="3">
        <v>1</v>
      </c>
      <c r="S1433" s="3">
        <v>39</v>
      </c>
      <c r="T1433" s="3">
        <v>2</v>
      </c>
      <c r="U1433" s="3">
        <v>2</v>
      </c>
      <c r="V1433" s="3">
        <v>0</v>
      </c>
      <c r="W1433" s="3">
        <v>3</v>
      </c>
      <c r="X1433" s="3">
        <v>9</v>
      </c>
    </row>
    <row r="1434" spans="1:24" x14ac:dyDescent="0.35">
      <c r="A1434">
        <v>67</v>
      </c>
      <c r="B1434">
        <v>31928</v>
      </c>
      <c r="C1434">
        <v>31</v>
      </c>
      <c r="D1434">
        <v>1</v>
      </c>
      <c r="E1434" s="28">
        <v>6.1698630136986301</v>
      </c>
      <c r="F1434" s="28"/>
      <c r="G1434" s="28"/>
      <c r="H1434" s="28"/>
      <c r="I1434" s="28"/>
      <c r="J1434" s="28"/>
      <c r="L1434" s="38">
        <v>67</v>
      </c>
      <c r="M1434" s="2">
        <v>5</v>
      </c>
      <c r="N1434" s="2">
        <v>33</v>
      </c>
      <c r="O1434" s="2">
        <v>4</v>
      </c>
      <c r="P1434" s="2">
        <v>24</v>
      </c>
      <c r="Q1434" s="2">
        <v>4</v>
      </c>
      <c r="R1434" s="2">
        <v>2</v>
      </c>
      <c r="S1434" s="2">
        <v>5</v>
      </c>
      <c r="T1434" s="2">
        <v>2</v>
      </c>
      <c r="U1434" s="2">
        <v>3</v>
      </c>
      <c r="V1434" s="2">
        <v>0</v>
      </c>
      <c r="W1434" s="2">
        <v>4</v>
      </c>
      <c r="X1434" s="2">
        <v>7</v>
      </c>
    </row>
    <row r="1435" spans="1:24" x14ac:dyDescent="0.35">
      <c r="A1435">
        <v>67</v>
      </c>
      <c r="B1435">
        <v>41473</v>
      </c>
      <c r="C1435">
        <v>35</v>
      </c>
      <c r="D1435">
        <v>1</v>
      </c>
      <c r="E1435" s="28">
        <v>6.9424657534246572</v>
      </c>
      <c r="F1435" s="28"/>
      <c r="G1435" s="28"/>
      <c r="H1435" s="28"/>
      <c r="I1435" s="28"/>
      <c r="J1435" s="28"/>
      <c r="L1435" s="37">
        <v>67</v>
      </c>
      <c r="M1435" s="3">
        <v>80</v>
      </c>
      <c r="N1435" s="3">
        <v>21</v>
      </c>
      <c r="O1435" s="3">
        <v>8</v>
      </c>
      <c r="P1435" s="3">
        <v>20</v>
      </c>
      <c r="Q1435" s="3">
        <v>15</v>
      </c>
      <c r="R1435" s="3">
        <v>3</v>
      </c>
      <c r="S1435" s="3">
        <v>9</v>
      </c>
      <c r="T1435" s="3">
        <v>1</v>
      </c>
      <c r="U1435" s="3">
        <v>2</v>
      </c>
      <c r="V1435" s="3">
        <v>0</v>
      </c>
      <c r="W1435" s="3">
        <v>3</v>
      </c>
      <c r="X1435" s="3">
        <v>7</v>
      </c>
    </row>
    <row r="1436" spans="1:24" x14ac:dyDescent="0.35">
      <c r="A1436">
        <v>67</v>
      </c>
      <c r="B1436">
        <v>48985</v>
      </c>
      <c r="C1436">
        <v>52</v>
      </c>
      <c r="D1436">
        <v>1</v>
      </c>
      <c r="E1436" s="28">
        <v>6.8986301369863012</v>
      </c>
      <c r="F1436" s="28"/>
      <c r="G1436" s="28"/>
      <c r="H1436" s="28"/>
      <c r="I1436" s="28"/>
      <c r="J1436" s="28"/>
      <c r="L1436" s="38">
        <v>67</v>
      </c>
      <c r="M1436" s="2">
        <v>13</v>
      </c>
      <c r="N1436" s="2">
        <v>19</v>
      </c>
      <c r="O1436" s="2">
        <v>13</v>
      </c>
      <c r="P1436" s="2">
        <v>18</v>
      </c>
      <c r="Q1436" s="2">
        <v>10</v>
      </c>
      <c r="R1436" s="2">
        <v>7</v>
      </c>
      <c r="S1436" s="2">
        <v>8</v>
      </c>
      <c r="T1436" s="2">
        <v>1</v>
      </c>
      <c r="U1436" s="2">
        <v>1</v>
      </c>
      <c r="V1436" s="2">
        <v>1</v>
      </c>
      <c r="W1436" s="2">
        <v>3</v>
      </c>
      <c r="X1436" s="2">
        <v>3</v>
      </c>
    </row>
    <row r="1437" spans="1:24" x14ac:dyDescent="0.35">
      <c r="A1437">
        <v>67</v>
      </c>
      <c r="B1437">
        <v>31158</v>
      </c>
      <c r="C1437">
        <v>35</v>
      </c>
      <c r="D1437">
        <v>1</v>
      </c>
      <c r="E1437" s="28">
        <v>7.3342465753424655</v>
      </c>
      <c r="F1437" s="28"/>
      <c r="G1437" s="28"/>
      <c r="H1437" s="28"/>
      <c r="I1437" s="28"/>
      <c r="J1437" s="28"/>
      <c r="L1437" s="37">
        <v>67</v>
      </c>
      <c r="M1437" s="3">
        <v>62</v>
      </c>
      <c r="N1437" s="3">
        <v>25</v>
      </c>
      <c r="O1437" s="3">
        <v>6</v>
      </c>
      <c r="P1437" s="3">
        <v>16</v>
      </c>
      <c r="Q1437" s="3">
        <v>20</v>
      </c>
      <c r="R1437" s="3">
        <v>0</v>
      </c>
      <c r="S1437" s="3">
        <v>5</v>
      </c>
      <c r="T1437" s="3">
        <v>2</v>
      </c>
      <c r="U1437" s="3">
        <v>2</v>
      </c>
      <c r="V1437" s="3">
        <v>0</v>
      </c>
      <c r="W1437" s="3">
        <v>3</v>
      </c>
      <c r="X1437" s="3">
        <v>8</v>
      </c>
    </row>
    <row r="1438" spans="1:24" x14ac:dyDescent="0.35">
      <c r="A1438">
        <v>67</v>
      </c>
      <c r="B1438">
        <v>36927</v>
      </c>
      <c r="C1438">
        <v>65</v>
      </c>
      <c r="D1438">
        <v>1</v>
      </c>
      <c r="E1438" s="28">
        <v>5.9890410958904106</v>
      </c>
      <c r="F1438" s="28"/>
      <c r="G1438" s="28"/>
      <c r="H1438" s="28"/>
      <c r="I1438" s="28"/>
      <c r="J1438" s="28"/>
      <c r="L1438" s="38">
        <v>67</v>
      </c>
      <c r="M1438" s="2">
        <v>46</v>
      </c>
      <c r="N1438" s="2">
        <v>51</v>
      </c>
      <c r="O1438" s="2">
        <v>0</v>
      </c>
      <c r="P1438" s="2">
        <v>16</v>
      </c>
      <c r="Q1438" s="2">
        <v>0</v>
      </c>
      <c r="R1438" s="2">
        <v>0</v>
      </c>
      <c r="S1438" s="2">
        <v>4</v>
      </c>
      <c r="T1438" s="2">
        <v>2</v>
      </c>
      <c r="U1438" s="2">
        <v>3</v>
      </c>
      <c r="V1438" s="2">
        <v>0</v>
      </c>
      <c r="W1438" s="2">
        <v>3</v>
      </c>
      <c r="X1438" s="2">
        <v>8</v>
      </c>
    </row>
    <row r="1439" spans="1:24" x14ac:dyDescent="0.35">
      <c r="A1439">
        <v>67</v>
      </c>
      <c r="B1439">
        <v>36997</v>
      </c>
      <c r="C1439">
        <v>52</v>
      </c>
      <c r="D1439">
        <v>1</v>
      </c>
      <c r="E1439" s="28">
        <v>7.3205479452054796</v>
      </c>
      <c r="F1439" s="28"/>
      <c r="G1439" s="28"/>
      <c r="H1439" s="28"/>
      <c r="I1439" s="28"/>
      <c r="J1439" s="28"/>
      <c r="L1439" s="37">
        <v>67</v>
      </c>
      <c r="M1439" s="3">
        <v>72</v>
      </c>
      <c r="N1439" s="3">
        <v>43</v>
      </c>
      <c r="O1439" s="3">
        <v>4</v>
      </c>
      <c r="P1439" s="3">
        <v>12</v>
      </c>
      <c r="Q1439" s="3">
        <v>8</v>
      </c>
      <c r="R1439" s="3">
        <v>0</v>
      </c>
      <c r="S1439" s="3">
        <v>27</v>
      </c>
      <c r="T1439" s="3">
        <v>5</v>
      </c>
      <c r="U1439" s="3">
        <v>2</v>
      </c>
      <c r="V1439" s="3">
        <v>1</v>
      </c>
      <c r="W1439" s="3">
        <v>4</v>
      </c>
      <c r="X1439" s="3">
        <v>5</v>
      </c>
    </row>
    <row r="1440" spans="1:24" x14ac:dyDescent="0.35">
      <c r="A1440">
        <v>67</v>
      </c>
      <c r="B1440">
        <v>47472</v>
      </c>
      <c r="C1440">
        <v>54</v>
      </c>
      <c r="D1440">
        <v>1</v>
      </c>
      <c r="E1440" s="28">
        <v>6.6986301369863011</v>
      </c>
      <c r="F1440" s="28"/>
      <c r="G1440" s="28"/>
      <c r="H1440" s="28"/>
      <c r="I1440" s="28"/>
      <c r="J1440" s="28"/>
      <c r="L1440" s="38">
        <v>67</v>
      </c>
      <c r="M1440" s="2">
        <v>39</v>
      </c>
      <c r="N1440" s="2">
        <v>56</v>
      </c>
      <c r="O1440" s="2">
        <v>0</v>
      </c>
      <c r="P1440" s="2">
        <v>11</v>
      </c>
      <c r="Q1440" s="2">
        <v>0</v>
      </c>
      <c r="R1440" s="2">
        <v>0</v>
      </c>
      <c r="S1440" s="2">
        <v>8</v>
      </c>
      <c r="T1440" s="2">
        <v>2</v>
      </c>
      <c r="U1440" s="2">
        <v>2</v>
      </c>
      <c r="V1440" s="2">
        <v>0</v>
      </c>
      <c r="W1440" s="2">
        <v>4</v>
      </c>
      <c r="X1440" s="2">
        <v>5</v>
      </c>
    </row>
    <row r="1441" spans="1:24" x14ac:dyDescent="0.35">
      <c r="A1441">
        <v>67</v>
      </c>
      <c r="B1441">
        <v>58401</v>
      </c>
      <c r="C1441">
        <v>60</v>
      </c>
      <c r="D1441">
        <v>1</v>
      </c>
      <c r="E1441" s="28">
        <v>6.1068493150684935</v>
      </c>
      <c r="F1441" s="28"/>
      <c r="G1441" s="28"/>
      <c r="H1441" s="28"/>
      <c r="I1441" s="28"/>
      <c r="J1441" s="28"/>
      <c r="L1441" s="37">
        <v>67</v>
      </c>
      <c r="M1441" s="3">
        <v>55</v>
      </c>
      <c r="N1441" s="3">
        <v>10</v>
      </c>
      <c r="O1441" s="3">
        <v>0</v>
      </c>
      <c r="P1441" s="3">
        <v>11</v>
      </c>
      <c r="Q1441" s="3">
        <v>17</v>
      </c>
      <c r="R1441" s="3">
        <v>29</v>
      </c>
      <c r="S1441" s="3">
        <v>29</v>
      </c>
      <c r="T1441" s="3">
        <v>1</v>
      </c>
      <c r="U1441" s="3">
        <v>1</v>
      </c>
      <c r="V1441" s="3">
        <v>2</v>
      </c>
      <c r="W1441" s="3">
        <v>2</v>
      </c>
      <c r="X1441" s="3">
        <v>4</v>
      </c>
    </row>
    <row r="1442" spans="1:24" x14ac:dyDescent="0.35">
      <c r="A1442">
        <v>67</v>
      </c>
      <c r="B1442">
        <v>18929</v>
      </c>
      <c r="C1442">
        <v>30</v>
      </c>
      <c r="D1442">
        <v>0</v>
      </c>
      <c r="E1442" s="28">
        <v>7.279452054794521</v>
      </c>
      <c r="F1442" s="28"/>
      <c r="G1442" s="28"/>
      <c r="H1442" s="28"/>
      <c r="I1442" s="28"/>
      <c r="J1442" s="28"/>
      <c r="L1442" s="38">
        <v>67</v>
      </c>
      <c r="M1442" s="2">
        <v>15</v>
      </c>
      <c r="N1442" s="2">
        <v>32</v>
      </c>
      <c r="O1442" s="2">
        <v>0</v>
      </c>
      <c r="P1442" s="2">
        <v>8</v>
      </c>
      <c r="Q1442" s="2">
        <v>23</v>
      </c>
      <c r="R1442" s="2">
        <v>4</v>
      </c>
      <c r="S1442" s="2">
        <v>18</v>
      </c>
      <c r="T1442" s="2">
        <v>1</v>
      </c>
      <c r="U1442" s="2">
        <v>1</v>
      </c>
      <c r="V1442" s="2">
        <v>0</v>
      </c>
      <c r="W1442" s="2">
        <v>4</v>
      </c>
      <c r="X1442" s="2">
        <v>6</v>
      </c>
    </row>
    <row r="1443" spans="1:24" x14ac:dyDescent="0.35">
      <c r="A1443">
        <v>66</v>
      </c>
      <c r="B1443">
        <v>36301</v>
      </c>
      <c r="C1443">
        <v>44</v>
      </c>
      <c r="D1443">
        <v>1</v>
      </c>
      <c r="E1443" s="28">
        <v>6.5917808219178085</v>
      </c>
      <c r="F1443" s="28"/>
      <c r="G1443" s="28"/>
      <c r="H1443" s="28"/>
      <c r="I1443" s="28"/>
      <c r="J1443" s="28"/>
      <c r="L1443" s="37">
        <v>66</v>
      </c>
      <c r="M1443" s="3">
        <v>53</v>
      </c>
      <c r="N1443" s="3">
        <v>11</v>
      </c>
      <c r="O1443" s="3">
        <v>12</v>
      </c>
      <c r="P1443" s="3">
        <v>35</v>
      </c>
      <c r="Q1443" s="3">
        <v>3</v>
      </c>
      <c r="R1443" s="3">
        <v>5</v>
      </c>
      <c r="S1443" s="3">
        <v>12</v>
      </c>
      <c r="T1443" s="3">
        <v>1</v>
      </c>
      <c r="U1443" s="3">
        <v>3</v>
      </c>
      <c r="V1443" s="3">
        <v>0</v>
      </c>
      <c r="W1443" s="3">
        <v>3</v>
      </c>
      <c r="X1443" s="3">
        <v>7</v>
      </c>
    </row>
    <row r="1444" spans="1:24" x14ac:dyDescent="0.35">
      <c r="A1444">
        <v>66</v>
      </c>
      <c r="B1444">
        <v>33228</v>
      </c>
      <c r="C1444">
        <v>40</v>
      </c>
      <c r="D1444">
        <v>1</v>
      </c>
      <c r="E1444" s="28">
        <v>6.3452054794520549</v>
      </c>
      <c r="F1444" s="28"/>
      <c r="G1444" s="28"/>
      <c r="H1444" s="28"/>
      <c r="I1444" s="28"/>
      <c r="J1444" s="28"/>
      <c r="L1444" s="38">
        <v>66</v>
      </c>
      <c r="M1444" s="2">
        <v>28</v>
      </c>
      <c r="N1444" s="2">
        <v>22</v>
      </c>
      <c r="O1444" s="2">
        <v>2</v>
      </c>
      <c r="P1444" s="2">
        <v>31</v>
      </c>
      <c r="Q1444" s="2">
        <v>7</v>
      </c>
      <c r="R1444" s="2">
        <v>4</v>
      </c>
      <c r="S1444" s="2">
        <v>5</v>
      </c>
      <c r="T1444" s="2">
        <v>1</v>
      </c>
      <c r="U1444" s="2">
        <v>2</v>
      </c>
      <c r="V1444" s="2">
        <v>0</v>
      </c>
      <c r="W1444" s="2">
        <v>3</v>
      </c>
      <c r="X1444" s="2">
        <v>7</v>
      </c>
    </row>
    <row r="1445" spans="1:24" x14ac:dyDescent="0.35">
      <c r="A1445">
        <v>66</v>
      </c>
      <c r="B1445">
        <v>15716</v>
      </c>
      <c r="C1445">
        <v>32</v>
      </c>
      <c r="D1445">
        <v>1</v>
      </c>
      <c r="E1445" s="28">
        <v>7.5424657534246577</v>
      </c>
      <c r="F1445" s="28"/>
      <c r="G1445" s="28"/>
      <c r="H1445" s="28"/>
      <c r="I1445" s="28"/>
      <c r="J1445" s="28"/>
      <c r="L1445" s="37">
        <v>66</v>
      </c>
      <c r="M1445" s="3">
        <v>8</v>
      </c>
      <c r="N1445" s="3">
        <v>16</v>
      </c>
      <c r="O1445" s="3">
        <v>5</v>
      </c>
      <c r="P1445" s="3">
        <v>30</v>
      </c>
      <c r="Q1445" s="3">
        <v>8</v>
      </c>
      <c r="R1445" s="3">
        <v>7</v>
      </c>
      <c r="S1445" s="3">
        <v>26</v>
      </c>
      <c r="T1445" s="3">
        <v>3</v>
      </c>
      <c r="U1445" s="3">
        <v>3</v>
      </c>
      <c r="V1445" s="3">
        <v>0</v>
      </c>
      <c r="W1445" s="3">
        <v>4</v>
      </c>
      <c r="X1445" s="3">
        <v>8</v>
      </c>
    </row>
    <row r="1446" spans="1:24" x14ac:dyDescent="0.35">
      <c r="A1446">
        <v>66</v>
      </c>
      <c r="B1446">
        <v>28164</v>
      </c>
      <c r="C1446">
        <v>50</v>
      </c>
      <c r="D1446">
        <v>1</v>
      </c>
      <c r="E1446" s="28">
        <v>7.0684931506849313</v>
      </c>
      <c r="F1446" s="28"/>
      <c r="G1446" s="28"/>
      <c r="H1446" s="28"/>
      <c r="I1446" s="28"/>
      <c r="J1446" s="28"/>
      <c r="L1446" s="38">
        <v>66</v>
      </c>
      <c r="M1446" s="2">
        <v>23</v>
      </c>
      <c r="N1446" s="2">
        <v>3</v>
      </c>
      <c r="O1446" s="2">
        <v>18</v>
      </c>
      <c r="P1446" s="2">
        <v>26</v>
      </c>
      <c r="Q1446" s="2">
        <v>11</v>
      </c>
      <c r="R1446" s="2">
        <v>8</v>
      </c>
      <c r="S1446" s="2">
        <v>12</v>
      </c>
      <c r="T1446" s="2">
        <v>3</v>
      </c>
      <c r="U1446" s="2">
        <v>2</v>
      </c>
      <c r="V1446" s="2">
        <v>0</v>
      </c>
      <c r="W1446" s="2">
        <v>4</v>
      </c>
      <c r="X1446" s="2">
        <v>7</v>
      </c>
    </row>
    <row r="1447" spans="1:24" x14ac:dyDescent="0.35">
      <c r="A1447">
        <v>66</v>
      </c>
      <c r="B1447">
        <v>21024</v>
      </c>
      <c r="C1447">
        <v>44</v>
      </c>
      <c r="D1447">
        <v>0</v>
      </c>
      <c r="E1447" s="28">
        <v>6.9013698630136986</v>
      </c>
      <c r="F1447" s="28"/>
      <c r="G1447" s="28"/>
      <c r="H1447" s="28"/>
      <c r="I1447" s="28"/>
      <c r="J1447" s="28"/>
      <c r="L1447" s="37">
        <v>66</v>
      </c>
      <c r="M1447" s="3">
        <v>89</v>
      </c>
      <c r="N1447" s="3">
        <v>36</v>
      </c>
      <c r="O1447" s="3">
        <v>4</v>
      </c>
      <c r="P1447" s="3">
        <v>18</v>
      </c>
      <c r="Q1447" s="3">
        <v>6</v>
      </c>
      <c r="R1447" s="3">
        <v>2</v>
      </c>
      <c r="S1447" s="3">
        <v>18</v>
      </c>
      <c r="T1447" s="3">
        <v>1</v>
      </c>
      <c r="U1447" s="3">
        <v>2</v>
      </c>
      <c r="V1447" s="3">
        <v>0</v>
      </c>
      <c r="W1447" s="3">
        <v>4</v>
      </c>
      <c r="X1447" s="3">
        <v>7</v>
      </c>
    </row>
    <row r="1448" spans="1:24" x14ac:dyDescent="0.35">
      <c r="A1448">
        <v>66</v>
      </c>
      <c r="B1448">
        <v>7500</v>
      </c>
      <c r="C1448">
        <v>35</v>
      </c>
      <c r="D1448">
        <v>1</v>
      </c>
      <c r="E1448" s="28">
        <v>7.8246575342465752</v>
      </c>
      <c r="F1448" s="28"/>
      <c r="G1448" s="28"/>
      <c r="H1448" s="28"/>
      <c r="I1448" s="28"/>
      <c r="J1448" s="28"/>
      <c r="L1448" s="38">
        <v>66</v>
      </c>
      <c r="M1448" s="2">
        <v>98</v>
      </c>
      <c r="N1448" s="2">
        <v>5</v>
      </c>
      <c r="O1448" s="2">
        <v>17</v>
      </c>
      <c r="P1448" s="2">
        <v>17</v>
      </c>
      <c r="Q1448" s="2">
        <v>13</v>
      </c>
      <c r="R1448" s="2">
        <v>14</v>
      </c>
      <c r="S1448" s="2">
        <v>34</v>
      </c>
      <c r="T1448" s="2">
        <v>4</v>
      </c>
      <c r="U1448" s="2">
        <v>2</v>
      </c>
      <c r="V1448" s="2">
        <v>1</v>
      </c>
      <c r="W1448" s="2">
        <v>3</v>
      </c>
      <c r="X1448" s="2">
        <v>9</v>
      </c>
    </row>
    <row r="1449" spans="1:24" x14ac:dyDescent="0.35">
      <c r="A1449">
        <v>66</v>
      </c>
      <c r="B1449">
        <v>33039</v>
      </c>
      <c r="C1449">
        <v>42</v>
      </c>
      <c r="D1449">
        <v>1</v>
      </c>
      <c r="E1449" s="28">
        <v>6.7178082191780826</v>
      </c>
      <c r="F1449" s="28"/>
      <c r="G1449" s="28"/>
      <c r="H1449" s="28"/>
      <c r="I1449" s="28"/>
      <c r="J1449" s="28"/>
      <c r="L1449" s="37">
        <v>66</v>
      </c>
      <c r="M1449" s="3">
        <v>4</v>
      </c>
      <c r="N1449" s="3">
        <v>30</v>
      </c>
      <c r="O1449" s="3">
        <v>8</v>
      </c>
      <c r="P1449" s="3">
        <v>12</v>
      </c>
      <c r="Q1449" s="3">
        <v>8</v>
      </c>
      <c r="R1449" s="3">
        <v>8</v>
      </c>
      <c r="S1449" s="3">
        <v>12</v>
      </c>
      <c r="T1449" s="3">
        <v>1</v>
      </c>
      <c r="U1449" s="3">
        <v>2</v>
      </c>
      <c r="V1449" s="3">
        <v>0</v>
      </c>
      <c r="W1449" s="3">
        <v>4</v>
      </c>
      <c r="X1449" s="3">
        <v>5</v>
      </c>
    </row>
    <row r="1450" spans="1:24" x14ac:dyDescent="0.35">
      <c r="A1450">
        <v>65</v>
      </c>
      <c r="B1450">
        <v>28587</v>
      </c>
      <c r="C1450">
        <v>42</v>
      </c>
      <c r="D1450">
        <v>1</v>
      </c>
      <c r="E1450" s="28">
        <v>6.2904109589041095</v>
      </c>
      <c r="F1450" s="28"/>
      <c r="G1450" s="28"/>
      <c r="H1450" s="28"/>
      <c r="I1450" s="28"/>
      <c r="J1450" s="28"/>
      <c r="L1450" s="38">
        <v>65</v>
      </c>
      <c r="M1450" s="2">
        <v>42</v>
      </c>
      <c r="N1450" s="2">
        <v>22</v>
      </c>
      <c r="O1450" s="2">
        <v>4</v>
      </c>
      <c r="P1450" s="2">
        <v>17</v>
      </c>
      <c r="Q1450" s="2">
        <v>12</v>
      </c>
      <c r="R1450" s="2">
        <v>10</v>
      </c>
      <c r="S1450" s="2">
        <v>13</v>
      </c>
      <c r="T1450" s="2">
        <v>3</v>
      </c>
      <c r="U1450" s="2">
        <v>2</v>
      </c>
      <c r="V1450" s="2">
        <v>0</v>
      </c>
      <c r="W1450" s="2">
        <v>4</v>
      </c>
      <c r="X1450" s="2">
        <v>6</v>
      </c>
    </row>
    <row r="1451" spans="1:24" x14ac:dyDescent="0.35">
      <c r="A1451">
        <v>65</v>
      </c>
      <c r="B1451">
        <v>33996</v>
      </c>
      <c r="C1451">
        <v>31</v>
      </c>
      <c r="D1451">
        <v>0</v>
      </c>
      <c r="E1451" s="28">
        <v>6.7123287671232879</v>
      </c>
      <c r="F1451" s="28"/>
      <c r="G1451" s="28"/>
      <c r="H1451" s="28"/>
      <c r="I1451" s="28"/>
      <c r="J1451" s="28"/>
      <c r="L1451" s="37">
        <v>65</v>
      </c>
      <c r="M1451" s="3">
        <v>46</v>
      </c>
      <c r="N1451" s="3">
        <v>40</v>
      </c>
      <c r="O1451" s="3">
        <v>2</v>
      </c>
      <c r="P1451" s="3">
        <v>15</v>
      </c>
      <c r="Q1451" s="3">
        <v>8</v>
      </c>
      <c r="R1451" s="3">
        <v>0</v>
      </c>
      <c r="S1451" s="3">
        <v>6</v>
      </c>
      <c r="T1451" s="3">
        <v>1</v>
      </c>
      <c r="U1451" s="3">
        <v>1</v>
      </c>
      <c r="V1451" s="3">
        <v>1</v>
      </c>
      <c r="W1451" s="3">
        <v>3</v>
      </c>
      <c r="X1451" s="3">
        <v>4</v>
      </c>
    </row>
    <row r="1452" spans="1:24" x14ac:dyDescent="0.35">
      <c r="A1452">
        <v>65</v>
      </c>
      <c r="B1452">
        <v>37126</v>
      </c>
      <c r="C1452">
        <v>49</v>
      </c>
      <c r="D1452">
        <v>1</v>
      </c>
      <c r="E1452" s="28">
        <v>6.1643835616438354</v>
      </c>
      <c r="F1452" s="28"/>
      <c r="G1452" s="28"/>
      <c r="H1452" s="28"/>
      <c r="I1452" s="28"/>
      <c r="J1452" s="28"/>
      <c r="L1452" s="38">
        <v>65</v>
      </c>
      <c r="M1452" s="2">
        <v>9</v>
      </c>
      <c r="N1452" s="2">
        <v>45</v>
      </c>
      <c r="O1452" s="2">
        <v>3</v>
      </c>
      <c r="P1452" s="2">
        <v>9</v>
      </c>
      <c r="Q1452" s="2">
        <v>4</v>
      </c>
      <c r="R1452" s="2">
        <v>4</v>
      </c>
      <c r="S1452" s="2">
        <v>7</v>
      </c>
      <c r="T1452" s="2">
        <v>1</v>
      </c>
      <c r="U1452" s="2">
        <v>1</v>
      </c>
      <c r="V1452" s="2">
        <v>2</v>
      </c>
      <c r="W1452" s="2">
        <v>2</v>
      </c>
      <c r="X1452" s="2">
        <v>6</v>
      </c>
    </row>
    <row r="1453" spans="1:24" x14ac:dyDescent="0.35">
      <c r="A1453">
        <v>65</v>
      </c>
      <c r="B1453">
        <v>44635</v>
      </c>
      <c r="C1453">
        <v>49</v>
      </c>
      <c r="D1453">
        <v>1</v>
      </c>
      <c r="E1453" s="28">
        <v>6.6301369863013697</v>
      </c>
      <c r="F1453" s="28"/>
      <c r="G1453" s="28"/>
      <c r="H1453" s="28"/>
      <c r="I1453" s="28"/>
      <c r="J1453" s="28"/>
      <c r="L1453" s="37">
        <v>65</v>
      </c>
      <c r="M1453" s="3">
        <v>25</v>
      </c>
      <c r="N1453" s="3">
        <v>56</v>
      </c>
      <c r="O1453" s="3">
        <v>0</v>
      </c>
      <c r="P1453" s="3">
        <v>9</v>
      </c>
      <c r="Q1453" s="3">
        <v>0</v>
      </c>
      <c r="R1453" s="3">
        <v>0</v>
      </c>
      <c r="S1453" s="3">
        <v>3</v>
      </c>
      <c r="T1453" s="3">
        <v>2</v>
      </c>
      <c r="U1453" s="3">
        <v>2</v>
      </c>
      <c r="V1453" s="3">
        <v>0</v>
      </c>
      <c r="W1453" s="3">
        <v>3</v>
      </c>
      <c r="X1453" s="3">
        <v>7</v>
      </c>
    </row>
    <row r="1454" spans="1:24" x14ac:dyDescent="0.35">
      <c r="A1454">
        <v>64</v>
      </c>
      <c r="B1454">
        <v>39684</v>
      </c>
      <c r="C1454">
        <v>36</v>
      </c>
      <c r="D1454">
        <v>1</v>
      </c>
      <c r="E1454" s="28">
        <v>7.6273972602739724</v>
      </c>
      <c r="F1454" s="28"/>
      <c r="G1454" s="28"/>
      <c r="H1454" s="28"/>
      <c r="I1454" s="28"/>
      <c r="J1454" s="28"/>
      <c r="L1454" s="38">
        <v>64</v>
      </c>
      <c r="M1454" s="2">
        <v>41</v>
      </c>
      <c r="N1454" s="2">
        <v>19</v>
      </c>
      <c r="O1454" s="2">
        <v>0</v>
      </c>
      <c r="P1454" s="2">
        <v>35</v>
      </c>
      <c r="Q1454" s="2">
        <v>6</v>
      </c>
      <c r="R1454" s="2">
        <v>4</v>
      </c>
      <c r="S1454" s="2">
        <v>17</v>
      </c>
      <c r="T1454" s="2">
        <v>2</v>
      </c>
      <c r="U1454" s="2">
        <v>2</v>
      </c>
      <c r="V1454" s="2">
        <v>1</v>
      </c>
      <c r="W1454" s="2">
        <v>2</v>
      </c>
      <c r="X1454" s="2">
        <v>7</v>
      </c>
    </row>
    <row r="1455" spans="1:24" x14ac:dyDescent="0.35">
      <c r="A1455">
        <v>64</v>
      </c>
      <c r="B1455">
        <v>43815</v>
      </c>
      <c r="C1455">
        <v>38</v>
      </c>
      <c r="D1455">
        <v>1</v>
      </c>
      <c r="E1455" s="28">
        <v>7.1479452054794521</v>
      </c>
      <c r="F1455" s="28"/>
      <c r="G1455" s="28"/>
      <c r="H1455" s="28"/>
      <c r="I1455" s="28"/>
      <c r="J1455" s="28"/>
      <c r="L1455" s="37">
        <v>64</v>
      </c>
      <c r="M1455" s="3">
        <v>53</v>
      </c>
      <c r="N1455" s="3">
        <v>14</v>
      </c>
      <c r="O1455" s="3">
        <v>10</v>
      </c>
      <c r="P1455" s="3">
        <v>29</v>
      </c>
      <c r="Q1455" s="3">
        <v>4</v>
      </c>
      <c r="R1455" s="3">
        <v>7</v>
      </c>
      <c r="S1455" s="3">
        <v>15</v>
      </c>
      <c r="T1455" s="3">
        <v>1</v>
      </c>
      <c r="U1455" s="3">
        <v>2</v>
      </c>
      <c r="V1455" s="3">
        <v>0</v>
      </c>
      <c r="W1455" s="3">
        <v>3</v>
      </c>
      <c r="X1455" s="3">
        <v>6</v>
      </c>
    </row>
    <row r="1456" spans="1:24" x14ac:dyDescent="0.35">
      <c r="A1456">
        <v>64</v>
      </c>
      <c r="B1456">
        <v>45759</v>
      </c>
      <c r="C1456">
        <v>56</v>
      </c>
      <c r="D1456">
        <v>1</v>
      </c>
      <c r="E1456" s="28">
        <v>7.2602739726027394</v>
      </c>
      <c r="F1456" s="28"/>
      <c r="G1456" s="28"/>
      <c r="H1456" s="28"/>
      <c r="I1456" s="28"/>
      <c r="J1456" s="28"/>
      <c r="L1456" s="38">
        <v>64</v>
      </c>
      <c r="M1456" s="2">
        <v>13</v>
      </c>
      <c r="N1456" s="2">
        <v>42</v>
      </c>
      <c r="O1456" s="2">
        <v>1</v>
      </c>
      <c r="P1456" s="2">
        <v>18</v>
      </c>
      <c r="Q1456" s="2">
        <v>3</v>
      </c>
      <c r="R1456" s="2">
        <v>0</v>
      </c>
      <c r="S1456" s="2">
        <v>4</v>
      </c>
      <c r="T1456" s="2">
        <v>2</v>
      </c>
      <c r="U1456" s="2">
        <v>2</v>
      </c>
      <c r="V1456" s="2">
        <v>0</v>
      </c>
      <c r="W1456" s="2">
        <v>3</v>
      </c>
      <c r="X1456" s="2">
        <v>7</v>
      </c>
    </row>
    <row r="1457" spans="1:24" x14ac:dyDescent="0.35">
      <c r="A1457">
        <v>64</v>
      </c>
      <c r="B1457">
        <v>33235</v>
      </c>
      <c r="C1457">
        <v>34</v>
      </c>
      <c r="D1457">
        <v>1</v>
      </c>
      <c r="E1457" s="28">
        <v>6.3095890410958901</v>
      </c>
      <c r="F1457" s="28"/>
      <c r="G1457" s="28"/>
      <c r="H1457" s="28"/>
      <c r="I1457" s="28"/>
      <c r="J1457" s="28"/>
      <c r="L1457" s="37">
        <v>64</v>
      </c>
      <c r="M1457" s="3">
        <v>71</v>
      </c>
      <c r="N1457" s="3">
        <v>45</v>
      </c>
      <c r="O1457" s="3">
        <v>0</v>
      </c>
      <c r="P1457" s="3">
        <v>16</v>
      </c>
      <c r="Q1457" s="3">
        <v>2</v>
      </c>
      <c r="R1457" s="3">
        <v>1</v>
      </c>
      <c r="S1457" s="3">
        <v>6</v>
      </c>
      <c r="T1457" s="3">
        <v>1</v>
      </c>
      <c r="U1457" s="3">
        <v>3</v>
      </c>
      <c r="V1457" s="3">
        <v>0</v>
      </c>
      <c r="W1457" s="3">
        <v>3</v>
      </c>
      <c r="X1457" s="3">
        <v>7</v>
      </c>
    </row>
    <row r="1458" spans="1:24" x14ac:dyDescent="0.35">
      <c r="A1458">
        <v>64</v>
      </c>
      <c r="B1458">
        <v>35704</v>
      </c>
      <c r="C1458">
        <v>68</v>
      </c>
      <c r="D1458">
        <v>1</v>
      </c>
      <c r="E1458" s="28">
        <v>6.4</v>
      </c>
      <c r="F1458" s="28"/>
      <c r="G1458" s="28"/>
      <c r="H1458" s="28"/>
      <c r="I1458" s="28"/>
      <c r="J1458" s="28"/>
      <c r="L1458" s="38">
        <v>64</v>
      </c>
      <c r="M1458" s="2">
        <v>54</v>
      </c>
      <c r="N1458" s="2">
        <v>30</v>
      </c>
      <c r="O1458" s="2">
        <v>9</v>
      </c>
      <c r="P1458" s="2">
        <v>12</v>
      </c>
      <c r="Q1458" s="2">
        <v>2</v>
      </c>
      <c r="R1458" s="2">
        <v>11</v>
      </c>
      <c r="S1458" s="2">
        <v>30</v>
      </c>
      <c r="T1458" s="2">
        <v>3</v>
      </c>
      <c r="U1458" s="2">
        <v>2</v>
      </c>
      <c r="V1458" s="2">
        <v>0</v>
      </c>
      <c r="W1458" s="2">
        <v>4</v>
      </c>
      <c r="X1458" s="2">
        <v>4</v>
      </c>
    </row>
    <row r="1459" spans="1:24" x14ac:dyDescent="0.35">
      <c r="A1459">
        <v>64</v>
      </c>
      <c r="B1459">
        <v>50116</v>
      </c>
      <c r="C1459">
        <v>63</v>
      </c>
      <c r="D1459">
        <v>1</v>
      </c>
      <c r="E1459" s="28">
        <v>5.9397260273972599</v>
      </c>
      <c r="F1459" s="28"/>
      <c r="G1459" s="28"/>
      <c r="H1459" s="28"/>
      <c r="I1459" s="28"/>
      <c r="J1459" s="28"/>
      <c r="L1459" s="37">
        <v>64</v>
      </c>
      <c r="M1459" s="3">
        <v>68</v>
      </c>
      <c r="N1459" s="3">
        <v>54</v>
      </c>
      <c r="O1459" s="3">
        <v>0</v>
      </c>
      <c r="P1459" s="3">
        <v>10</v>
      </c>
      <c r="Q1459" s="3">
        <v>0</v>
      </c>
      <c r="R1459" s="3">
        <v>0</v>
      </c>
      <c r="S1459" s="3">
        <v>2</v>
      </c>
      <c r="T1459" s="3">
        <v>2</v>
      </c>
      <c r="U1459" s="3">
        <v>1</v>
      </c>
      <c r="V1459" s="3">
        <v>0</v>
      </c>
      <c r="W1459" s="3">
        <v>4</v>
      </c>
      <c r="X1459" s="3">
        <v>5</v>
      </c>
    </row>
    <row r="1460" spans="1:24" x14ac:dyDescent="0.35">
      <c r="A1460">
        <v>64</v>
      </c>
      <c r="B1460">
        <v>33564</v>
      </c>
      <c r="C1460">
        <v>54</v>
      </c>
      <c r="D1460">
        <v>1</v>
      </c>
      <c r="E1460" s="28">
        <v>5.9287671232876713</v>
      </c>
      <c r="F1460" s="28"/>
      <c r="G1460" s="28"/>
      <c r="H1460" s="28"/>
      <c r="I1460" s="28"/>
      <c r="J1460" s="28"/>
      <c r="L1460" s="38">
        <v>64</v>
      </c>
      <c r="M1460" s="2">
        <v>51</v>
      </c>
      <c r="N1460" s="2">
        <v>61</v>
      </c>
      <c r="O1460" s="2">
        <v>0</v>
      </c>
      <c r="P1460" s="2">
        <v>3</v>
      </c>
      <c r="Q1460" s="2">
        <v>0</v>
      </c>
      <c r="R1460" s="2">
        <v>0</v>
      </c>
      <c r="S1460" s="2">
        <v>7</v>
      </c>
      <c r="T1460" s="2">
        <v>1</v>
      </c>
      <c r="U1460" s="2">
        <v>1</v>
      </c>
      <c r="V1460" s="2">
        <v>1</v>
      </c>
      <c r="W1460" s="2">
        <v>3</v>
      </c>
      <c r="X1460" s="2">
        <v>5</v>
      </c>
    </row>
    <row r="1461" spans="1:24" x14ac:dyDescent="0.35">
      <c r="A1461">
        <v>63</v>
      </c>
      <c r="B1461">
        <v>47889</v>
      </c>
      <c r="C1461">
        <v>46</v>
      </c>
      <c r="D1461">
        <v>1</v>
      </c>
      <c r="E1461" s="28">
        <v>6.397260273972603</v>
      </c>
      <c r="F1461" s="28"/>
      <c r="G1461" s="28"/>
      <c r="H1461" s="28"/>
      <c r="I1461" s="28"/>
      <c r="J1461" s="28"/>
      <c r="L1461" s="37">
        <v>63</v>
      </c>
      <c r="M1461" s="3">
        <v>94</v>
      </c>
      <c r="N1461" s="3">
        <v>29</v>
      </c>
      <c r="O1461" s="3">
        <v>0</v>
      </c>
      <c r="P1461" s="3">
        <v>29</v>
      </c>
      <c r="Q1461" s="3">
        <v>0</v>
      </c>
      <c r="R1461" s="3">
        <v>5</v>
      </c>
      <c r="S1461" s="3">
        <v>4</v>
      </c>
      <c r="T1461" s="3">
        <v>1</v>
      </c>
      <c r="U1461" s="3">
        <v>2</v>
      </c>
      <c r="V1461" s="3">
        <v>0</v>
      </c>
      <c r="W1461" s="3">
        <v>3</v>
      </c>
      <c r="X1461" s="3">
        <v>5</v>
      </c>
    </row>
    <row r="1462" spans="1:24" x14ac:dyDescent="0.35">
      <c r="A1462">
        <v>63</v>
      </c>
      <c r="B1462">
        <v>19419</v>
      </c>
      <c r="C1462">
        <v>39</v>
      </c>
      <c r="D1462">
        <v>1</v>
      </c>
      <c r="E1462" s="28">
        <v>7.5479452054794525</v>
      </c>
      <c r="F1462" s="28"/>
      <c r="G1462" s="28"/>
      <c r="H1462" s="28"/>
      <c r="I1462" s="28"/>
      <c r="J1462" s="28"/>
      <c r="L1462" s="38">
        <v>63</v>
      </c>
      <c r="M1462" s="2">
        <v>76</v>
      </c>
      <c r="N1462" s="2">
        <v>2</v>
      </c>
      <c r="O1462" s="2">
        <v>14</v>
      </c>
      <c r="P1462" s="2">
        <v>28</v>
      </c>
      <c r="Q1462" s="2">
        <v>16</v>
      </c>
      <c r="R1462" s="2">
        <v>3</v>
      </c>
      <c r="S1462" s="2">
        <v>7</v>
      </c>
      <c r="T1462" s="2">
        <v>4</v>
      </c>
      <c r="U1462" s="2">
        <v>4</v>
      </c>
      <c r="V1462" s="2">
        <v>0</v>
      </c>
      <c r="W1462" s="2">
        <v>3</v>
      </c>
      <c r="X1462" s="2">
        <v>9</v>
      </c>
    </row>
    <row r="1463" spans="1:24" x14ac:dyDescent="0.35">
      <c r="A1463">
        <v>63</v>
      </c>
      <c r="B1463">
        <v>28440</v>
      </c>
      <c r="C1463">
        <v>46</v>
      </c>
      <c r="D1463">
        <v>1</v>
      </c>
      <c r="E1463" s="28">
        <v>6.8931506849315065</v>
      </c>
      <c r="F1463" s="28"/>
      <c r="G1463" s="28"/>
      <c r="H1463" s="28"/>
      <c r="I1463" s="28"/>
      <c r="J1463" s="28"/>
      <c r="L1463" s="37">
        <v>63</v>
      </c>
      <c r="M1463" s="3">
        <v>87</v>
      </c>
      <c r="N1463" s="3">
        <v>38</v>
      </c>
      <c r="O1463" s="3">
        <v>1</v>
      </c>
      <c r="P1463" s="3">
        <v>24</v>
      </c>
      <c r="Q1463" s="3">
        <v>0</v>
      </c>
      <c r="R1463" s="3">
        <v>0</v>
      </c>
      <c r="S1463" s="3">
        <v>0</v>
      </c>
      <c r="T1463" s="3">
        <v>1</v>
      </c>
      <c r="U1463" s="3">
        <v>2</v>
      </c>
      <c r="V1463" s="3">
        <v>0</v>
      </c>
      <c r="W1463" s="3">
        <v>3</v>
      </c>
      <c r="X1463" s="3">
        <v>8</v>
      </c>
    </row>
    <row r="1464" spans="1:24" x14ac:dyDescent="0.35">
      <c r="A1464">
        <v>63</v>
      </c>
      <c r="B1464">
        <v>32146</v>
      </c>
      <c r="C1464">
        <v>37</v>
      </c>
      <c r="D1464">
        <v>1</v>
      </c>
      <c r="E1464" s="28">
        <v>6.0465753424657533</v>
      </c>
      <c r="F1464" s="28"/>
      <c r="G1464" s="28"/>
      <c r="H1464" s="28"/>
      <c r="I1464" s="28"/>
      <c r="J1464" s="28"/>
      <c r="L1464" s="38">
        <v>63</v>
      </c>
      <c r="M1464" s="2">
        <v>16</v>
      </c>
      <c r="N1464" s="2">
        <v>26</v>
      </c>
      <c r="O1464" s="2">
        <v>3</v>
      </c>
      <c r="P1464" s="2">
        <v>23</v>
      </c>
      <c r="Q1464" s="2">
        <v>4</v>
      </c>
      <c r="R1464" s="2">
        <v>7</v>
      </c>
      <c r="S1464" s="2">
        <v>3</v>
      </c>
      <c r="T1464" s="2">
        <v>2</v>
      </c>
      <c r="U1464" s="2">
        <v>2</v>
      </c>
      <c r="V1464" s="2">
        <v>0</v>
      </c>
      <c r="W1464" s="2">
        <v>4</v>
      </c>
      <c r="X1464" s="2">
        <v>6</v>
      </c>
    </row>
    <row r="1465" spans="1:24" x14ac:dyDescent="0.35">
      <c r="A1465">
        <v>63</v>
      </c>
      <c r="B1465">
        <v>35544</v>
      </c>
      <c r="C1465">
        <v>42</v>
      </c>
      <c r="D1465">
        <v>1</v>
      </c>
      <c r="E1465" s="28">
        <v>6.2246575342465755</v>
      </c>
      <c r="F1465" s="28"/>
      <c r="G1465" s="28"/>
      <c r="H1465" s="28"/>
      <c r="I1465" s="28"/>
      <c r="J1465" s="28"/>
      <c r="L1465" s="37">
        <v>63</v>
      </c>
      <c r="M1465" s="3">
        <v>77</v>
      </c>
      <c r="N1465" s="3">
        <v>30</v>
      </c>
      <c r="O1465" s="3">
        <v>5</v>
      </c>
      <c r="P1465" s="3">
        <v>23</v>
      </c>
      <c r="Q1465" s="3">
        <v>4</v>
      </c>
      <c r="R1465" s="3">
        <v>1</v>
      </c>
      <c r="S1465" s="3">
        <v>4</v>
      </c>
      <c r="T1465" s="3">
        <v>1</v>
      </c>
      <c r="U1465" s="3">
        <v>2</v>
      </c>
      <c r="V1465" s="3">
        <v>0</v>
      </c>
      <c r="W1465" s="3">
        <v>3</v>
      </c>
      <c r="X1465" s="3">
        <v>7</v>
      </c>
    </row>
    <row r="1466" spans="1:24" x14ac:dyDescent="0.35">
      <c r="A1466">
        <v>63</v>
      </c>
      <c r="B1466">
        <v>31814</v>
      </c>
      <c r="C1466">
        <v>47</v>
      </c>
      <c r="D1466">
        <v>1</v>
      </c>
      <c r="E1466" s="28">
        <v>7.2986301369863016</v>
      </c>
      <c r="F1466" s="28"/>
      <c r="G1466" s="28"/>
      <c r="H1466" s="28"/>
      <c r="I1466" s="28"/>
      <c r="J1466" s="28"/>
      <c r="L1466" s="38">
        <v>63</v>
      </c>
      <c r="M1466" s="2">
        <v>73</v>
      </c>
      <c r="N1466" s="2">
        <v>35</v>
      </c>
      <c r="O1466" s="2">
        <v>3</v>
      </c>
      <c r="P1466" s="2">
        <v>20</v>
      </c>
      <c r="Q1466" s="2">
        <v>4</v>
      </c>
      <c r="R1466" s="2">
        <v>1</v>
      </c>
      <c r="S1466" s="2">
        <v>20</v>
      </c>
      <c r="T1466" s="2">
        <v>2</v>
      </c>
      <c r="U1466" s="2">
        <v>2</v>
      </c>
      <c r="V1466" s="2">
        <v>0</v>
      </c>
      <c r="W1466" s="2">
        <v>3</v>
      </c>
      <c r="X1466" s="2">
        <v>9</v>
      </c>
    </row>
    <row r="1467" spans="1:24" x14ac:dyDescent="0.35">
      <c r="A1467">
        <v>63</v>
      </c>
      <c r="B1467">
        <v>56850</v>
      </c>
      <c r="C1467">
        <v>49</v>
      </c>
      <c r="D1467">
        <v>1</v>
      </c>
      <c r="E1467" s="28">
        <v>6.183561643835616</v>
      </c>
      <c r="F1467" s="28"/>
      <c r="G1467" s="28"/>
      <c r="H1467" s="28"/>
      <c r="I1467" s="28"/>
      <c r="J1467" s="28"/>
      <c r="L1467" s="37">
        <v>63</v>
      </c>
      <c r="M1467" s="3">
        <v>83</v>
      </c>
      <c r="N1467" s="3">
        <v>34</v>
      </c>
      <c r="O1467" s="3">
        <v>1</v>
      </c>
      <c r="P1467" s="3">
        <v>19</v>
      </c>
      <c r="Q1467" s="3">
        <v>2</v>
      </c>
      <c r="R1467" s="3">
        <v>7</v>
      </c>
      <c r="S1467" s="3">
        <v>0</v>
      </c>
      <c r="T1467" s="3">
        <v>1</v>
      </c>
      <c r="U1467" s="3">
        <v>1</v>
      </c>
      <c r="V1467" s="3">
        <v>1</v>
      </c>
      <c r="W1467" s="3">
        <v>3</v>
      </c>
      <c r="X1467" s="3">
        <v>2</v>
      </c>
    </row>
    <row r="1468" spans="1:24" x14ac:dyDescent="0.35">
      <c r="A1468">
        <v>63</v>
      </c>
      <c r="B1468">
        <v>32218</v>
      </c>
      <c r="C1468">
        <v>60</v>
      </c>
      <c r="D1468">
        <v>0</v>
      </c>
      <c r="E1468" s="28">
        <v>6.2821917808219174</v>
      </c>
      <c r="F1468" s="28"/>
      <c r="G1468" s="28"/>
      <c r="H1468" s="28"/>
      <c r="I1468" s="28"/>
      <c r="J1468" s="28"/>
      <c r="L1468" s="38">
        <v>63</v>
      </c>
      <c r="M1468" s="2">
        <v>27</v>
      </c>
      <c r="N1468" s="2">
        <v>10</v>
      </c>
      <c r="O1468" s="2">
        <v>24</v>
      </c>
      <c r="P1468" s="2">
        <v>15</v>
      </c>
      <c r="Q1468" s="2">
        <v>13</v>
      </c>
      <c r="R1468" s="2">
        <v>1</v>
      </c>
      <c r="S1468" s="2">
        <v>30</v>
      </c>
      <c r="T1468" s="2">
        <v>1</v>
      </c>
      <c r="U1468" s="2">
        <v>2</v>
      </c>
      <c r="V1468" s="2">
        <v>1</v>
      </c>
      <c r="W1468" s="2">
        <v>3</v>
      </c>
      <c r="X1468" s="2">
        <v>7</v>
      </c>
    </row>
    <row r="1469" spans="1:24" x14ac:dyDescent="0.35">
      <c r="A1469">
        <v>63</v>
      </c>
      <c r="B1469">
        <v>31632</v>
      </c>
      <c r="C1469">
        <v>49</v>
      </c>
      <c r="D1469">
        <v>0</v>
      </c>
      <c r="E1469" s="28">
        <v>6.8739726027397259</v>
      </c>
      <c r="F1469" s="28"/>
      <c r="G1469" s="28"/>
      <c r="H1469" s="28"/>
      <c r="I1469" s="28"/>
      <c r="J1469" s="28"/>
      <c r="L1469" s="37">
        <v>63</v>
      </c>
      <c r="M1469" s="3">
        <v>92</v>
      </c>
      <c r="N1469" s="3">
        <v>17</v>
      </c>
      <c r="O1469" s="3">
        <v>8</v>
      </c>
      <c r="P1469" s="3">
        <v>12</v>
      </c>
      <c r="Q1469" s="3">
        <v>11</v>
      </c>
      <c r="R1469" s="3">
        <v>15</v>
      </c>
      <c r="S1469" s="3">
        <v>32</v>
      </c>
      <c r="T1469" s="3">
        <v>1</v>
      </c>
      <c r="U1469" s="3">
        <v>2</v>
      </c>
      <c r="V1469" s="3">
        <v>1</v>
      </c>
      <c r="W1469" s="3">
        <v>2</v>
      </c>
      <c r="X1469" s="3">
        <v>7</v>
      </c>
    </row>
    <row r="1470" spans="1:24" x14ac:dyDescent="0.35">
      <c r="A1470">
        <v>63</v>
      </c>
      <c r="B1470">
        <v>25965</v>
      </c>
      <c r="C1470">
        <v>40</v>
      </c>
      <c r="D1470">
        <v>0</v>
      </c>
      <c r="E1470" s="28">
        <v>7.7232876712328764</v>
      </c>
      <c r="F1470" s="28"/>
      <c r="G1470" s="28"/>
      <c r="H1470" s="28"/>
      <c r="I1470" s="28"/>
      <c r="J1470" s="28"/>
      <c r="L1470" s="38">
        <v>63</v>
      </c>
      <c r="M1470" s="2">
        <v>29</v>
      </c>
      <c r="N1470" s="2">
        <v>2</v>
      </c>
      <c r="O1470" s="2">
        <v>2</v>
      </c>
      <c r="P1470" s="2">
        <v>11</v>
      </c>
      <c r="Q1470" s="2">
        <v>41</v>
      </c>
      <c r="R1470" s="2">
        <v>7</v>
      </c>
      <c r="S1470" s="2">
        <v>11</v>
      </c>
      <c r="T1470" s="2">
        <v>1</v>
      </c>
      <c r="U1470" s="2">
        <v>2</v>
      </c>
      <c r="V1470" s="2">
        <v>0</v>
      </c>
      <c r="W1470" s="2">
        <v>3</v>
      </c>
      <c r="X1470" s="2">
        <v>8</v>
      </c>
    </row>
    <row r="1471" spans="1:24" x14ac:dyDescent="0.35">
      <c r="A1471">
        <v>63</v>
      </c>
      <c r="B1471">
        <v>45903</v>
      </c>
      <c r="C1471">
        <v>54</v>
      </c>
      <c r="D1471">
        <v>1</v>
      </c>
      <c r="E1471" s="28">
        <v>6.0986301369863014</v>
      </c>
      <c r="F1471" s="28"/>
      <c r="G1471" s="28"/>
      <c r="H1471" s="28"/>
      <c r="I1471" s="28"/>
      <c r="J1471" s="28"/>
      <c r="L1471" s="37">
        <v>63</v>
      </c>
      <c r="M1471" s="3">
        <v>80</v>
      </c>
      <c r="N1471" s="3">
        <v>33</v>
      </c>
      <c r="O1471" s="3">
        <v>8</v>
      </c>
      <c r="P1471" s="3">
        <v>10</v>
      </c>
      <c r="Q1471" s="3">
        <v>2</v>
      </c>
      <c r="R1471" s="3">
        <v>10</v>
      </c>
      <c r="S1471" s="3">
        <v>3</v>
      </c>
      <c r="T1471" s="3">
        <v>2</v>
      </c>
      <c r="U1471" s="3">
        <v>2</v>
      </c>
      <c r="V1471" s="3">
        <v>1</v>
      </c>
      <c r="W1471" s="3">
        <v>3</v>
      </c>
      <c r="X1471" s="3">
        <v>4</v>
      </c>
    </row>
    <row r="1472" spans="1:24" x14ac:dyDescent="0.35">
      <c r="A1472">
        <v>63</v>
      </c>
      <c r="B1472">
        <v>42429</v>
      </c>
      <c r="C1472">
        <v>47</v>
      </c>
      <c r="D1472">
        <v>1</v>
      </c>
      <c r="E1472" s="28">
        <v>6.2931506849315069</v>
      </c>
      <c r="F1472" s="28"/>
      <c r="G1472" s="28"/>
      <c r="H1472" s="28"/>
      <c r="I1472" s="28"/>
      <c r="J1472" s="28"/>
      <c r="L1472" s="38">
        <v>63</v>
      </c>
      <c r="M1472" s="2">
        <v>99</v>
      </c>
      <c r="N1472" s="2">
        <v>55</v>
      </c>
      <c r="O1472" s="2">
        <v>0</v>
      </c>
      <c r="P1472" s="2">
        <v>6</v>
      </c>
      <c r="Q1472" s="2">
        <v>2</v>
      </c>
      <c r="R1472" s="2">
        <v>0</v>
      </c>
      <c r="S1472" s="2">
        <v>4</v>
      </c>
      <c r="T1472" s="2">
        <v>2</v>
      </c>
      <c r="U1472" s="2">
        <v>1</v>
      </c>
      <c r="V1472" s="2">
        <v>1</v>
      </c>
      <c r="W1472" s="2">
        <v>3</v>
      </c>
      <c r="X1472" s="2">
        <v>5</v>
      </c>
    </row>
    <row r="1473" spans="1:24" x14ac:dyDescent="0.35">
      <c r="A1473">
        <v>62</v>
      </c>
      <c r="B1473">
        <v>16653</v>
      </c>
      <c r="C1473">
        <v>41</v>
      </c>
      <c r="D1473">
        <v>1</v>
      </c>
      <c r="E1473" s="28">
        <v>6.1123287671232873</v>
      </c>
      <c r="F1473" s="28"/>
      <c r="G1473" s="28"/>
      <c r="H1473" s="28"/>
      <c r="I1473" s="28"/>
      <c r="J1473" s="28"/>
      <c r="L1473" s="37">
        <v>62</v>
      </c>
      <c r="M1473" s="3">
        <v>10</v>
      </c>
      <c r="N1473" s="3">
        <v>5</v>
      </c>
      <c r="O1473" s="3">
        <v>7</v>
      </c>
      <c r="P1473" s="3">
        <v>31</v>
      </c>
      <c r="Q1473" s="3">
        <v>15</v>
      </c>
      <c r="R1473" s="3">
        <v>4</v>
      </c>
      <c r="S1473" s="3">
        <v>7</v>
      </c>
      <c r="T1473" s="3">
        <v>3</v>
      </c>
      <c r="U1473" s="3">
        <v>2</v>
      </c>
      <c r="V1473" s="3">
        <v>1</v>
      </c>
      <c r="W1473" s="3">
        <v>3</v>
      </c>
      <c r="X1473" s="3">
        <v>6</v>
      </c>
    </row>
    <row r="1474" spans="1:24" x14ac:dyDescent="0.35">
      <c r="A1474">
        <v>62</v>
      </c>
      <c r="B1474">
        <v>18589</v>
      </c>
      <c r="C1474">
        <v>51</v>
      </c>
      <c r="D1474">
        <v>0</v>
      </c>
      <c r="E1474" s="28">
        <v>7.4027397260273968</v>
      </c>
      <c r="F1474" s="28"/>
      <c r="G1474" s="28"/>
      <c r="H1474" s="28"/>
      <c r="I1474" s="28"/>
      <c r="J1474" s="28"/>
      <c r="L1474" s="38">
        <v>62</v>
      </c>
      <c r="M1474" s="2">
        <v>89</v>
      </c>
      <c r="N1474" s="2">
        <v>6</v>
      </c>
      <c r="O1474" s="2">
        <v>4</v>
      </c>
      <c r="P1474" s="2">
        <v>25</v>
      </c>
      <c r="Q1474" s="2">
        <v>15</v>
      </c>
      <c r="R1474" s="2">
        <v>12</v>
      </c>
      <c r="S1474" s="2">
        <v>13</v>
      </c>
      <c r="T1474" s="2">
        <v>2</v>
      </c>
      <c r="U1474" s="2">
        <v>2</v>
      </c>
      <c r="V1474" s="2">
        <v>1</v>
      </c>
      <c r="W1474" s="2">
        <v>3</v>
      </c>
      <c r="X1474" s="2">
        <v>7</v>
      </c>
    </row>
    <row r="1475" spans="1:24" x14ac:dyDescent="0.35">
      <c r="A1475">
        <v>62</v>
      </c>
      <c r="B1475">
        <v>36959</v>
      </c>
      <c r="C1475">
        <v>39</v>
      </c>
      <c r="D1475">
        <v>1</v>
      </c>
      <c r="E1475" s="28">
        <v>6.6547945205479451</v>
      </c>
      <c r="F1475" s="28"/>
      <c r="G1475" s="28"/>
      <c r="H1475" s="28"/>
      <c r="I1475" s="28"/>
      <c r="J1475" s="28"/>
      <c r="L1475" s="37">
        <v>62</v>
      </c>
      <c r="M1475" s="3">
        <v>56</v>
      </c>
      <c r="N1475" s="3">
        <v>25</v>
      </c>
      <c r="O1475" s="3">
        <v>6</v>
      </c>
      <c r="P1475" s="3">
        <v>25</v>
      </c>
      <c r="Q1475" s="3">
        <v>6</v>
      </c>
      <c r="R1475" s="3">
        <v>0</v>
      </c>
      <c r="S1475" s="3">
        <v>0</v>
      </c>
      <c r="T1475" s="3">
        <v>2</v>
      </c>
      <c r="U1475" s="3">
        <v>2</v>
      </c>
      <c r="V1475" s="3">
        <v>0</v>
      </c>
      <c r="W1475" s="3">
        <v>3</v>
      </c>
      <c r="X1475" s="3">
        <v>8</v>
      </c>
    </row>
    <row r="1476" spans="1:24" x14ac:dyDescent="0.35">
      <c r="A1476">
        <v>62</v>
      </c>
      <c r="B1476">
        <v>33402</v>
      </c>
      <c r="C1476">
        <v>68</v>
      </c>
      <c r="D1476">
        <v>1</v>
      </c>
      <c r="E1476" s="28">
        <v>6.8630136986301373</v>
      </c>
      <c r="F1476" s="28"/>
      <c r="G1476" s="28"/>
      <c r="H1476" s="28"/>
      <c r="I1476" s="28"/>
      <c r="J1476" s="28"/>
      <c r="L1476" s="38">
        <v>62</v>
      </c>
      <c r="M1476" s="2">
        <v>60</v>
      </c>
      <c r="N1476" s="2">
        <v>26</v>
      </c>
      <c r="O1476" s="2">
        <v>2</v>
      </c>
      <c r="P1476" s="2">
        <v>19</v>
      </c>
      <c r="Q1476" s="2">
        <v>10</v>
      </c>
      <c r="R1476" s="2">
        <v>5</v>
      </c>
      <c r="S1476" s="2">
        <v>8</v>
      </c>
      <c r="T1476" s="2">
        <v>3</v>
      </c>
      <c r="U1476" s="2">
        <v>2</v>
      </c>
      <c r="V1476" s="2">
        <v>1</v>
      </c>
      <c r="W1476" s="2">
        <v>3</v>
      </c>
      <c r="X1476" s="2">
        <v>8</v>
      </c>
    </row>
    <row r="1477" spans="1:24" x14ac:dyDescent="0.35">
      <c r="A1477">
        <v>62</v>
      </c>
      <c r="B1477">
        <v>49389</v>
      </c>
      <c r="C1477">
        <v>69</v>
      </c>
      <c r="D1477">
        <v>1</v>
      </c>
      <c r="E1477" s="28">
        <v>6.7479452054794518</v>
      </c>
      <c r="F1477" s="28"/>
      <c r="G1477" s="28"/>
      <c r="H1477" s="28"/>
      <c r="I1477" s="28"/>
      <c r="J1477" s="28"/>
      <c r="L1477" s="37">
        <v>62</v>
      </c>
      <c r="M1477" s="3">
        <v>55</v>
      </c>
      <c r="N1477" s="3">
        <v>40</v>
      </c>
      <c r="O1477" s="3">
        <v>0</v>
      </c>
      <c r="P1477" s="3">
        <v>19</v>
      </c>
      <c r="Q1477" s="3">
        <v>2</v>
      </c>
      <c r="R1477" s="3">
        <v>1</v>
      </c>
      <c r="S1477" s="3">
        <v>3</v>
      </c>
      <c r="T1477" s="3">
        <v>1</v>
      </c>
      <c r="U1477" s="3">
        <v>2</v>
      </c>
      <c r="V1477" s="3">
        <v>0</v>
      </c>
      <c r="W1477" s="3">
        <v>3</v>
      </c>
      <c r="X1477" s="3">
        <v>7</v>
      </c>
    </row>
    <row r="1478" spans="1:24" x14ac:dyDescent="0.35">
      <c r="A1478">
        <v>62</v>
      </c>
      <c r="B1478">
        <v>46931</v>
      </c>
      <c r="C1478">
        <v>43</v>
      </c>
      <c r="D1478">
        <v>1</v>
      </c>
      <c r="E1478" s="28">
        <v>6.095890410958904</v>
      </c>
      <c r="F1478" s="28"/>
      <c r="G1478" s="28"/>
      <c r="H1478" s="28"/>
      <c r="I1478" s="28"/>
      <c r="J1478" s="28"/>
      <c r="L1478" s="38">
        <v>62</v>
      </c>
      <c r="M1478" s="2">
        <v>94</v>
      </c>
      <c r="N1478" s="2">
        <v>41</v>
      </c>
      <c r="O1478" s="2">
        <v>0</v>
      </c>
      <c r="P1478" s="2">
        <v>17</v>
      </c>
      <c r="Q1478" s="2">
        <v>3</v>
      </c>
      <c r="R1478" s="2">
        <v>1</v>
      </c>
      <c r="S1478" s="2">
        <v>16</v>
      </c>
      <c r="T1478" s="2">
        <v>2</v>
      </c>
      <c r="U1478" s="2">
        <v>1</v>
      </c>
      <c r="V1478" s="2">
        <v>1</v>
      </c>
      <c r="W1478" s="2">
        <v>3</v>
      </c>
      <c r="X1478" s="2">
        <v>3</v>
      </c>
    </row>
    <row r="1479" spans="1:24" x14ac:dyDescent="0.35">
      <c r="A1479">
        <v>62</v>
      </c>
      <c r="B1479">
        <v>46910</v>
      </c>
      <c r="C1479">
        <v>56</v>
      </c>
      <c r="D1479">
        <v>1</v>
      </c>
      <c r="E1479" s="28">
        <v>6.183561643835616</v>
      </c>
      <c r="F1479" s="28"/>
      <c r="G1479" s="28"/>
      <c r="H1479" s="28"/>
      <c r="I1479" s="28"/>
      <c r="J1479" s="28"/>
      <c r="L1479" s="37">
        <v>62</v>
      </c>
      <c r="M1479" s="3">
        <v>36</v>
      </c>
      <c r="N1479" s="3">
        <v>48</v>
      </c>
      <c r="O1479" s="3">
        <v>0</v>
      </c>
      <c r="P1479" s="3">
        <v>14</v>
      </c>
      <c r="Q1479" s="3">
        <v>0</v>
      </c>
      <c r="R1479" s="3">
        <v>0</v>
      </c>
      <c r="S1479" s="3">
        <v>6</v>
      </c>
      <c r="T1479" s="3">
        <v>2</v>
      </c>
      <c r="U1479" s="3">
        <v>2</v>
      </c>
      <c r="V1479" s="3">
        <v>0</v>
      </c>
      <c r="W1479" s="3">
        <v>3</v>
      </c>
      <c r="X1479" s="3">
        <v>6</v>
      </c>
    </row>
    <row r="1480" spans="1:24" x14ac:dyDescent="0.35">
      <c r="A1480">
        <v>62</v>
      </c>
      <c r="B1480">
        <v>59062</v>
      </c>
      <c r="C1480">
        <v>53</v>
      </c>
      <c r="D1480">
        <v>1</v>
      </c>
      <c r="E1480" s="28">
        <v>6.6520547945205477</v>
      </c>
      <c r="F1480" s="28"/>
      <c r="G1480" s="28"/>
      <c r="H1480" s="28"/>
      <c r="I1480" s="28"/>
      <c r="J1480" s="28"/>
      <c r="L1480" s="38">
        <v>62</v>
      </c>
      <c r="M1480" s="2">
        <v>74</v>
      </c>
      <c r="N1480" s="2">
        <v>46</v>
      </c>
      <c r="O1480" s="2">
        <v>1</v>
      </c>
      <c r="P1480" s="2">
        <v>12</v>
      </c>
      <c r="Q1480" s="2">
        <v>3</v>
      </c>
      <c r="R1480" s="2">
        <v>0</v>
      </c>
      <c r="S1480" s="2">
        <v>9</v>
      </c>
      <c r="T1480" s="2">
        <v>2</v>
      </c>
      <c r="U1480" s="2">
        <v>2</v>
      </c>
      <c r="V1480" s="2">
        <v>0</v>
      </c>
      <c r="W1480" s="2">
        <v>3</v>
      </c>
      <c r="X1480" s="2">
        <v>4</v>
      </c>
    </row>
    <row r="1481" spans="1:24" x14ac:dyDescent="0.35">
      <c r="A1481">
        <v>62</v>
      </c>
      <c r="B1481">
        <v>41154</v>
      </c>
      <c r="C1481">
        <v>42</v>
      </c>
      <c r="D1481">
        <v>1</v>
      </c>
      <c r="E1481" s="28">
        <v>7.1369863013698627</v>
      </c>
      <c r="F1481" s="28"/>
      <c r="G1481" s="28"/>
      <c r="H1481" s="28"/>
      <c r="I1481" s="28"/>
      <c r="J1481" s="28"/>
      <c r="L1481" s="37">
        <v>62</v>
      </c>
      <c r="M1481" s="3">
        <v>98</v>
      </c>
      <c r="N1481" s="3">
        <v>44</v>
      </c>
      <c r="O1481" s="3">
        <v>2</v>
      </c>
      <c r="P1481" s="3">
        <v>11</v>
      </c>
      <c r="Q1481" s="3">
        <v>2</v>
      </c>
      <c r="R1481" s="3">
        <v>3</v>
      </c>
      <c r="S1481" s="3">
        <v>7</v>
      </c>
      <c r="T1481" s="3">
        <v>1</v>
      </c>
      <c r="U1481" s="3">
        <v>1</v>
      </c>
      <c r="V1481" s="3">
        <v>0</v>
      </c>
      <c r="W1481" s="3">
        <v>4</v>
      </c>
      <c r="X1481" s="3">
        <v>5</v>
      </c>
    </row>
    <row r="1482" spans="1:24" x14ac:dyDescent="0.35">
      <c r="A1482">
        <v>62</v>
      </c>
      <c r="B1482">
        <v>40211</v>
      </c>
      <c r="C1482">
        <v>39</v>
      </c>
      <c r="D1482">
        <v>1</v>
      </c>
      <c r="E1482" s="28">
        <v>6.8301369863013699</v>
      </c>
      <c r="F1482" s="28"/>
      <c r="G1482" s="28"/>
      <c r="H1482" s="28"/>
      <c r="I1482" s="28"/>
      <c r="J1482" s="28"/>
      <c r="L1482" s="38">
        <v>62</v>
      </c>
      <c r="M1482" s="2">
        <v>30</v>
      </c>
      <c r="N1482" s="2">
        <v>51</v>
      </c>
      <c r="O1482" s="2">
        <v>1</v>
      </c>
      <c r="P1482" s="2">
        <v>7</v>
      </c>
      <c r="Q1482" s="2">
        <v>2</v>
      </c>
      <c r="R1482" s="2">
        <v>1</v>
      </c>
      <c r="S1482" s="2">
        <v>25</v>
      </c>
      <c r="T1482" s="2">
        <v>2</v>
      </c>
      <c r="U1482" s="2">
        <v>2</v>
      </c>
      <c r="V1482" s="2">
        <v>1</v>
      </c>
      <c r="W1482" s="2">
        <v>2</v>
      </c>
      <c r="X1482" s="2">
        <v>8</v>
      </c>
    </row>
    <row r="1483" spans="1:24" x14ac:dyDescent="0.35">
      <c r="A1483">
        <v>62</v>
      </c>
      <c r="B1483">
        <v>47823</v>
      </c>
      <c r="C1483">
        <v>60</v>
      </c>
      <c r="D1483">
        <v>1</v>
      </c>
      <c r="E1483" s="28">
        <v>6.8493150684931505</v>
      </c>
      <c r="F1483" s="28"/>
      <c r="G1483" s="28"/>
      <c r="H1483" s="28"/>
      <c r="I1483" s="28"/>
      <c r="J1483" s="28"/>
      <c r="L1483" s="37">
        <v>62</v>
      </c>
      <c r="M1483" s="3">
        <v>0</v>
      </c>
      <c r="N1483" s="3">
        <v>53</v>
      </c>
      <c r="O1483" s="3">
        <v>1</v>
      </c>
      <c r="P1483" s="3">
        <v>5</v>
      </c>
      <c r="Q1483" s="3">
        <v>2</v>
      </c>
      <c r="R1483" s="3">
        <v>1</v>
      </c>
      <c r="S1483" s="3">
        <v>10</v>
      </c>
      <c r="T1483" s="3">
        <v>2</v>
      </c>
      <c r="U1483" s="3">
        <v>2</v>
      </c>
      <c r="V1483" s="3">
        <v>0</v>
      </c>
      <c r="W1483" s="3">
        <v>3</v>
      </c>
      <c r="X1483" s="3">
        <v>8</v>
      </c>
    </row>
    <row r="1484" spans="1:24" x14ac:dyDescent="0.35">
      <c r="A1484">
        <v>61</v>
      </c>
      <c r="B1484">
        <v>11012</v>
      </c>
      <c r="C1484">
        <v>36</v>
      </c>
      <c r="D1484">
        <v>1</v>
      </c>
      <c r="E1484" s="28">
        <v>7.2027397260273975</v>
      </c>
      <c r="F1484" s="28"/>
      <c r="G1484" s="28"/>
      <c r="H1484" s="28"/>
      <c r="I1484" s="28"/>
      <c r="J1484" s="28"/>
      <c r="L1484" s="38">
        <v>61</v>
      </c>
      <c r="M1484" s="2">
        <v>82</v>
      </c>
      <c r="N1484" s="2">
        <v>24</v>
      </c>
      <c r="O1484" s="2">
        <v>3</v>
      </c>
      <c r="P1484" s="2">
        <v>26</v>
      </c>
      <c r="Q1484" s="2">
        <v>7</v>
      </c>
      <c r="R1484" s="2">
        <v>1</v>
      </c>
      <c r="S1484" s="2">
        <v>23</v>
      </c>
      <c r="T1484" s="2">
        <v>3</v>
      </c>
      <c r="U1484" s="2">
        <v>3</v>
      </c>
      <c r="V1484" s="2">
        <v>1</v>
      </c>
      <c r="W1484" s="2">
        <v>2</v>
      </c>
      <c r="X1484" s="2">
        <v>9</v>
      </c>
    </row>
    <row r="1485" spans="1:24" x14ac:dyDescent="0.35">
      <c r="A1485">
        <v>61</v>
      </c>
      <c r="B1485">
        <v>9722</v>
      </c>
      <c r="C1485">
        <v>47</v>
      </c>
      <c r="D1485">
        <v>1</v>
      </c>
      <c r="E1485" s="28">
        <v>7.6547945205479451</v>
      </c>
      <c r="F1485" s="28"/>
      <c r="G1485" s="28"/>
      <c r="H1485" s="28"/>
      <c r="I1485" s="28"/>
      <c r="J1485" s="28"/>
      <c r="L1485" s="37">
        <v>61</v>
      </c>
      <c r="M1485" s="3">
        <v>7</v>
      </c>
      <c r="N1485" s="3">
        <v>6</v>
      </c>
      <c r="O1485" s="3">
        <v>17</v>
      </c>
      <c r="P1485" s="3">
        <v>16</v>
      </c>
      <c r="Q1485" s="3">
        <v>6</v>
      </c>
      <c r="R1485" s="3">
        <v>16</v>
      </c>
      <c r="S1485" s="3">
        <v>42</v>
      </c>
      <c r="T1485" s="3">
        <v>4</v>
      </c>
      <c r="U1485" s="3">
        <v>3</v>
      </c>
      <c r="V1485" s="3">
        <v>1</v>
      </c>
      <c r="W1485" s="3">
        <v>3</v>
      </c>
      <c r="X1485" s="3">
        <v>8</v>
      </c>
    </row>
    <row r="1486" spans="1:24" x14ac:dyDescent="0.35">
      <c r="A1486">
        <v>61</v>
      </c>
      <c r="B1486">
        <v>16185</v>
      </c>
      <c r="C1486">
        <v>30</v>
      </c>
      <c r="D1486">
        <v>1</v>
      </c>
      <c r="E1486" s="28">
        <v>6.8136986301369866</v>
      </c>
      <c r="F1486" s="28"/>
      <c r="G1486" s="28"/>
      <c r="H1486" s="28"/>
      <c r="I1486" s="28"/>
      <c r="J1486" s="28"/>
      <c r="L1486" s="38">
        <v>61</v>
      </c>
      <c r="M1486" s="2">
        <v>71</v>
      </c>
      <c r="N1486" s="2">
        <v>5</v>
      </c>
      <c r="O1486" s="2">
        <v>11</v>
      </c>
      <c r="P1486" s="2">
        <v>16</v>
      </c>
      <c r="Q1486" s="2">
        <v>21</v>
      </c>
      <c r="R1486" s="2">
        <v>8</v>
      </c>
      <c r="S1486" s="2">
        <v>45</v>
      </c>
      <c r="T1486" s="2">
        <v>2</v>
      </c>
      <c r="U1486" s="2">
        <v>2</v>
      </c>
      <c r="V1486" s="2">
        <v>2</v>
      </c>
      <c r="W1486" s="2">
        <v>2</v>
      </c>
      <c r="X1486" s="2">
        <v>8</v>
      </c>
    </row>
    <row r="1487" spans="1:24" x14ac:dyDescent="0.35">
      <c r="A1487">
        <v>61</v>
      </c>
      <c r="B1487">
        <v>23724</v>
      </c>
      <c r="C1487">
        <v>41</v>
      </c>
      <c r="D1487">
        <v>1</v>
      </c>
      <c r="E1487" s="28">
        <v>7.3863013698630136</v>
      </c>
      <c r="F1487" s="28"/>
      <c r="G1487" s="28"/>
      <c r="H1487" s="28"/>
      <c r="I1487" s="28"/>
      <c r="J1487" s="28"/>
      <c r="L1487" s="37">
        <v>61</v>
      </c>
      <c r="M1487" s="3">
        <v>65</v>
      </c>
      <c r="N1487" s="3">
        <v>5</v>
      </c>
      <c r="O1487" s="3">
        <v>23</v>
      </c>
      <c r="P1487" s="3">
        <v>15</v>
      </c>
      <c r="Q1487" s="3">
        <v>0</v>
      </c>
      <c r="R1487" s="3">
        <v>18</v>
      </c>
      <c r="S1487" s="3">
        <v>14</v>
      </c>
      <c r="T1487" s="3">
        <v>2</v>
      </c>
      <c r="U1487" s="3">
        <v>2</v>
      </c>
      <c r="V1487" s="3">
        <v>0</v>
      </c>
      <c r="W1487" s="3">
        <v>3</v>
      </c>
      <c r="X1487" s="3">
        <v>8</v>
      </c>
    </row>
    <row r="1488" spans="1:24" x14ac:dyDescent="0.35">
      <c r="A1488">
        <v>61</v>
      </c>
      <c r="B1488">
        <v>14515</v>
      </c>
      <c r="C1488">
        <v>40</v>
      </c>
      <c r="D1488">
        <v>1</v>
      </c>
      <c r="E1488" s="28">
        <v>7.5506849315068489</v>
      </c>
      <c r="F1488" s="28"/>
      <c r="G1488" s="28"/>
      <c r="H1488" s="28"/>
      <c r="I1488" s="28"/>
      <c r="J1488" s="28"/>
      <c r="L1488" s="38">
        <v>61</v>
      </c>
      <c r="M1488" s="2">
        <v>71</v>
      </c>
      <c r="N1488" s="2">
        <v>6</v>
      </c>
      <c r="O1488" s="2">
        <v>4</v>
      </c>
      <c r="P1488" s="2">
        <v>9</v>
      </c>
      <c r="Q1488" s="2">
        <v>6</v>
      </c>
      <c r="R1488" s="2">
        <v>36</v>
      </c>
      <c r="S1488" s="2">
        <v>35</v>
      </c>
      <c r="T1488" s="2">
        <v>4</v>
      </c>
      <c r="U1488" s="2">
        <v>2</v>
      </c>
      <c r="V1488" s="2">
        <v>2</v>
      </c>
      <c r="W1488" s="2">
        <v>3</v>
      </c>
      <c r="X1488" s="2">
        <v>7</v>
      </c>
    </row>
    <row r="1489" spans="1:24" x14ac:dyDescent="0.35">
      <c r="A1489">
        <v>61</v>
      </c>
      <c r="B1489">
        <v>48918</v>
      </c>
      <c r="C1489">
        <v>57</v>
      </c>
      <c r="D1489">
        <v>1</v>
      </c>
      <c r="E1489" s="28">
        <v>6.1287671232876715</v>
      </c>
      <c r="F1489" s="28"/>
      <c r="G1489" s="28"/>
      <c r="H1489" s="28"/>
      <c r="I1489" s="28"/>
      <c r="J1489" s="28"/>
      <c r="L1489" s="37">
        <v>61</v>
      </c>
      <c r="M1489" s="3">
        <v>21</v>
      </c>
      <c r="N1489" s="3">
        <v>52</v>
      </c>
      <c r="O1489" s="3">
        <v>0</v>
      </c>
      <c r="P1489" s="3">
        <v>9</v>
      </c>
      <c r="Q1489" s="3">
        <v>0</v>
      </c>
      <c r="R1489" s="3">
        <v>0</v>
      </c>
      <c r="S1489" s="3">
        <v>1</v>
      </c>
      <c r="T1489" s="3">
        <v>2</v>
      </c>
      <c r="U1489" s="3">
        <v>1</v>
      </c>
      <c r="V1489" s="3">
        <v>0</v>
      </c>
      <c r="W1489" s="3">
        <v>4</v>
      </c>
      <c r="X1489" s="3">
        <v>4</v>
      </c>
    </row>
    <row r="1490" spans="1:24" x14ac:dyDescent="0.35">
      <c r="A1490">
        <v>61</v>
      </c>
      <c r="B1490">
        <v>50870</v>
      </c>
      <c r="C1490">
        <v>68</v>
      </c>
      <c r="D1490">
        <v>1</v>
      </c>
      <c r="E1490" s="28">
        <v>5.9424657534246572</v>
      </c>
      <c r="F1490" s="28"/>
      <c r="G1490" s="28"/>
      <c r="H1490" s="28"/>
      <c r="I1490" s="28"/>
      <c r="J1490" s="28"/>
      <c r="L1490" s="38">
        <v>61</v>
      </c>
      <c r="M1490" s="2">
        <v>13</v>
      </c>
      <c r="N1490" s="2">
        <v>53</v>
      </c>
      <c r="O1490" s="2">
        <v>0</v>
      </c>
      <c r="P1490" s="2">
        <v>8</v>
      </c>
      <c r="Q1490" s="2">
        <v>0</v>
      </c>
      <c r="R1490" s="2">
        <v>0</v>
      </c>
      <c r="S1490" s="2">
        <v>2</v>
      </c>
      <c r="T1490" s="2">
        <v>1</v>
      </c>
      <c r="U1490" s="2">
        <v>2</v>
      </c>
      <c r="V1490" s="2">
        <v>0</v>
      </c>
      <c r="W1490" s="2">
        <v>3</v>
      </c>
      <c r="X1490" s="2">
        <v>5</v>
      </c>
    </row>
    <row r="1491" spans="1:24" x14ac:dyDescent="0.35">
      <c r="A1491">
        <v>61</v>
      </c>
      <c r="B1491">
        <v>44794</v>
      </c>
      <c r="C1491">
        <v>54</v>
      </c>
      <c r="D1491">
        <v>1</v>
      </c>
      <c r="E1491" s="28">
        <v>5.9726027397260273</v>
      </c>
      <c r="F1491" s="28"/>
      <c r="G1491" s="28"/>
      <c r="H1491" s="28"/>
      <c r="I1491" s="28"/>
      <c r="J1491" s="28"/>
      <c r="L1491" s="37">
        <v>61</v>
      </c>
      <c r="M1491" s="3">
        <v>99</v>
      </c>
      <c r="N1491" s="3">
        <v>54</v>
      </c>
      <c r="O1491" s="3">
        <v>0</v>
      </c>
      <c r="P1491" s="3">
        <v>7</v>
      </c>
      <c r="Q1491" s="3">
        <v>0</v>
      </c>
      <c r="R1491" s="3">
        <v>0</v>
      </c>
      <c r="S1491" s="3">
        <v>4</v>
      </c>
      <c r="T1491" s="3">
        <v>1</v>
      </c>
      <c r="U1491" s="3">
        <v>2</v>
      </c>
      <c r="V1491" s="3">
        <v>0</v>
      </c>
      <c r="W1491" s="3">
        <v>3</v>
      </c>
      <c r="X1491" s="3">
        <v>6</v>
      </c>
    </row>
    <row r="1492" spans="1:24" x14ac:dyDescent="0.35">
      <c r="A1492">
        <v>61</v>
      </c>
      <c r="B1492">
        <v>51813</v>
      </c>
      <c r="C1492">
        <v>48</v>
      </c>
      <c r="D1492">
        <v>1</v>
      </c>
      <c r="E1492" s="28">
        <v>7.1315068493150688</v>
      </c>
      <c r="F1492" s="28"/>
      <c r="G1492" s="28"/>
      <c r="H1492" s="28"/>
      <c r="I1492" s="28"/>
      <c r="J1492" s="28"/>
      <c r="L1492" s="38">
        <v>61</v>
      </c>
      <c r="M1492" s="2">
        <v>37</v>
      </c>
      <c r="N1492" s="2">
        <v>51</v>
      </c>
      <c r="O1492" s="2">
        <v>2</v>
      </c>
      <c r="P1492" s="2">
        <v>7</v>
      </c>
      <c r="Q1492" s="2">
        <v>0</v>
      </c>
      <c r="R1492" s="2">
        <v>1</v>
      </c>
      <c r="S1492" s="2">
        <v>2</v>
      </c>
      <c r="T1492" s="2">
        <v>2</v>
      </c>
      <c r="U1492" s="2">
        <v>2</v>
      </c>
      <c r="V1492" s="2">
        <v>0</v>
      </c>
      <c r="W1492" s="2">
        <v>3</v>
      </c>
      <c r="X1492" s="2">
        <v>7</v>
      </c>
    </row>
    <row r="1493" spans="1:24" x14ac:dyDescent="0.35">
      <c r="A1493">
        <v>60</v>
      </c>
      <c r="B1493">
        <v>43482</v>
      </c>
      <c r="C1493">
        <v>54</v>
      </c>
      <c r="D1493">
        <v>1</v>
      </c>
      <c r="E1493" s="28">
        <v>6.5397260273972604</v>
      </c>
      <c r="F1493" s="28"/>
      <c r="G1493" s="28"/>
      <c r="H1493" s="28"/>
      <c r="I1493" s="28"/>
      <c r="J1493" s="28"/>
      <c r="L1493" s="37">
        <v>60</v>
      </c>
      <c r="M1493" s="3">
        <v>83</v>
      </c>
      <c r="N1493" s="3">
        <v>18</v>
      </c>
      <c r="O1493" s="3">
        <v>1</v>
      </c>
      <c r="P1493" s="3">
        <v>32</v>
      </c>
      <c r="Q1493" s="3">
        <v>6</v>
      </c>
      <c r="R1493" s="3">
        <v>3</v>
      </c>
      <c r="S1493" s="3">
        <v>28</v>
      </c>
      <c r="T1493" s="3">
        <v>3</v>
      </c>
      <c r="U1493" s="3">
        <v>2</v>
      </c>
      <c r="V1493" s="3">
        <v>0</v>
      </c>
      <c r="W1493" s="3">
        <v>4</v>
      </c>
      <c r="X1493" s="3">
        <v>6</v>
      </c>
    </row>
    <row r="1494" spans="1:24" x14ac:dyDescent="0.35">
      <c r="A1494">
        <v>60</v>
      </c>
      <c r="B1494">
        <v>35765</v>
      </c>
      <c r="C1494">
        <v>30</v>
      </c>
      <c r="D1494">
        <v>1</v>
      </c>
      <c r="E1494" s="28">
        <v>6.463013698630137</v>
      </c>
      <c r="F1494" s="28"/>
      <c r="G1494" s="28"/>
      <c r="H1494" s="28"/>
      <c r="I1494" s="28"/>
      <c r="J1494" s="28"/>
      <c r="L1494" s="38">
        <v>60</v>
      </c>
      <c r="M1494" s="2">
        <v>86</v>
      </c>
      <c r="N1494" s="2">
        <v>22</v>
      </c>
      <c r="O1494" s="2">
        <v>3</v>
      </c>
      <c r="P1494" s="2">
        <v>30</v>
      </c>
      <c r="Q1494" s="2">
        <v>0</v>
      </c>
      <c r="R1494" s="2">
        <v>5</v>
      </c>
      <c r="S1494" s="2">
        <v>15</v>
      </c>
      <c r="T1494" s="2">
        <v>2</v>
      </c>
      <c r="U1494" s="2">
        <v>2</v>
      </c>
      <c r="V1494" s="2">
        <v>0</v>
      </c>
      <c r="W1494" s="2">
        <v>4</v>
      </c>
      <c r="X1494" s="2">
        <v>6</v>
      </c>
    </row>
    <row r="1495" spans="1:24" x14ac:dyDescent="0.35">
      <c r="A1495">
        <v>60</v>
      </c>
      <c r="B1495">
        <v>30390</v>
      </c>
      <c r="C1495">
        <v>33</v>
      </c>
      <c r="D1495">
        <v>0</v>
      </c>
      <c r="E1495" s="28">
        <v>6.7369863013698632</v>
      </c>
      <c r="F1495" s="28"/>
      <c r="G1495" s="28"/>
      <c r="H1495" s="28"/>
      <c r="I1495" s="28"/>
      <c r="J1495" s="28"/>
      <c r="L1495" s="37">
        <v>60</v>
      </c>
      <c r="M1495" s="3">
        <v>5</v>
      </c>
      <c r="N1495" s="3">
        <v>10</v>
      </c>
      <c r="O1495" s="3">
        <v>12</v>
      </c>
      <c r="P1495" s="3">
        <v>12</v>
      </c>
      <c r="Q1495" s="3">
        <v>25</v>
      </c>
      <c r="R1495" s="3">
        <v>1</v>
      </c>
      <c r="S1495" s="3">
        <v>20</v>
      </c>
      <c r="T1495" s="3">
        <v>1</v>
      </c>
      <c r="U1495" s="3">
        <v>2</v>
      </c>
      <c r="V1495" s="3">
        <v>0</v>
      </c>
      <c r="W1495" s="3">
        <v>3</v>
      </c>
      <c r="X1495" s="3">
        <v>6</v>
      </c>
    </row>
    <row r="1496" spans="1:24" x14ac:dyDescent="0.35">
      <c r="A1496">
        <v>60</v>
      </c>
      <c r="B1496">
        <v>47139</v>
      </c>
      <c r="C1496">
        <v>68</v>
      </c>
      <c r="D1496">
        <v>1</v>
      </c>
      <c r="E1496" s="28">
        <v>6.2301369863013702</v>
      </c>
      <c r="F1496" s="28"/>
      <c r="G1496" s="28"/>
      <c r="H1496" s="28"/>
      <c r="I1496" s="28"/>
      <c r="J1496" s="28"/>
      <c r="L1496" s="38">
        <v>60</v>
      </c>
      <c r="M1496" s="2">
        <v>2</v>
      </c>
      <c r="N1496" s="2">
        <v>46</v>
      </c>
      <c r="O1496" s="2">
        <v>0</v>
      </c>
      <c r="P1496" s="2">
        <v>12</v>
      </c>
      <c r="Q1496" s="2">
        <v>0</v>
      </c>
      <c r="R1496" s="2">
        <v>2</v>
      </c>
      <c r="S1496" s="2">
        <v>23</v>
      </c>
      <c r="T1496" s="2">
        <v>2</v>
      </c>
      <c r="U1496" s="2">
        <v>2</v>
      </c>
      <c r="V1496" s="2">
        <v>1</v>
      </c>
      <c r="W1496" s="2">
        <v>2</v>
      </c>
      <c r="X1496" s="2">
        <v>7</v>
      </c>
    </row>
    <row r="1497" spans="1:24" x14ac:dyDescent="0.35">
      <c r="A1497">
        <v>59</v>
      </c>
      <c r="B1497">
        <v>22682</v>
      </c>
      <c r="C1497">
        <v>47</v>
      </c>
      <c r="D1497">
        <v>1</v>
      </c>
      <c r="E1497" s="28">
        <v>6.6520547945205477</v>
      </c>
      <c r="F1497" s="28"/>
      <c r="G1497" s="28"/>
      <c r="H1497" s="28"/>
      <c r="I1497" s="28"/>
      <c r="J1497" s="28"/>
      <c r="L1497" s="37">
        <v>59</v>
      </c>
      <c r="M1497" s="3">
        <v>51</v>
      </c>
      <c r="N1497" s="3">
        <v>10</v>
      </c>
      <c r="O1497" s="3">
        <v>14</v>
      </c>
      <c r="P1497" s="3">
        <v>29</v>
      </c>
      <c r="Q1497" s="3">
        <v>4</v>
      </c>
      <c r="R1497" s="3">
        <v>2</v>
      </c>
      <c r="S1497" s="3">
        <v>36</v>
      </c>
      <c r="T1497" s="3">
        <v>3</v>
      </c>
      <c r="U1497" s="3">
        <v>2</v>
      </c>
      <c r="V1497" s="3">
        <v>1</v>
      </c>
      <c r="W1497" s="3">
        <v>4</v>
      </c>
      <c r="X1497" s="3">
        <v>4</v>
      </c>
    </row>
    <row r="1498" spans="1:24" x14ac:dyDescent="0.35">
      <c r="A1498">
        <v>59</v>
      </c>
      <c r="B1498">
        <v>52190</v>
      </c>
      <c r="C1498">
        <v>44</v>
      </c>
      <c r="D1498">
        <v>1</v>
      </c>
      <c r="E1498" s="28">
        <v>6.0575342465753428</v>
      </c>
      <c r="F1498" s="28"/>
      <c r="G1498" s="28"/>
      <c r="H1498" s="28"/>
      <c r="I1498" s="28"/>
      <c r="J1498" s="28"/>
      <c r="L1498" s="38">
        <v>59</v>
      </c>
      <c r="M1498" s="2">
        <v>39</v>
      </c>
      <c r="N1498" s="2">
        <v>42</v>
      </c>
      <c r="O1498" s="2">
        <v>0</v>
      </c>
      <c r="P1498" s="2">
        <v>17</v>
      </c>
      <c r="Q1498" s="2">
        <v>0</v>
      </c>
      <c r="R1498" s="2">
        <v>0</v>
      </c>
      <c r="S1498" s="2">
        <v>18</v>
      </c>
      <c r="T1498" s="2">
        <v>3</v>
      </c>
      <c r="U1498" s="2">
        <v>2</v>
      </c>
      <c r="V1498" s="2">
        <v>1</v>
      </c>
      <c r="W1498" s="2">
        <v>3</v>
      </c>
      <c r="X1498" s="2">
        <v>5</v>
      </c>
    </row>
    <row r="1499" spans="1:24" x14ac:dyDescent="0.35">
      <c r="A1499">
        <v>59</v>
      </c>
      <c r="B1499">
        <v>34026</v>
      </c>
      <c r="C1499">
        <v>70</v>
      </c>
      <c r="D1499">
        <v>1</v>
      </c>
      <c r="E1499" s="28">
        <v>6.8136986301369866</v>
      </c>
      <c r="F1499" s="28"/>
      <c r="G1499" s="28"/>
      <c r="H1499" s="28"/>
      <c r="I1499" s="28"/>
      <c r="J1499" s="28"/>
      <c r="L1499" s="37">
        <v>59</v>
      </c>
      <c r="M1499" s="3">
        <v>11</v>
      </c>
      <c r="N1499" s="3">
        <v>18</v>
      </c>
      <c r="O1499" s="3">
        <v>6</v>
      </c>
      <c r="P1499" s="3">
        <v>15</v>
      </c>
      <c r="Q1499" s="3">
        <v>12</v>
      </c>
      <c r="R1499" s="3">
        <v>8</v>
      </c>
      <c r="S1499" s="3">
        <v>17</v>
      </c>
      <c r="T1499" s="3">
        <v>3</v>
      </c>
      <c r="U1499" s="3">
        <v>2</v>
      </c>
      <c r="V1499" s="3">
        <v>1</v>
      </c>
      <c r="W1499" s="3">
        <v>3</v>
      </c>
      <c r="X1499" s="3">
        <v>5</v>
      </c>
    </row>
    <row r="1500" spans="1:24" x14ac:dyDescent="0.35">
      <c r="A1500">
        <v>59</v>
      </c>
      <c r="B1500">
        <v>8940</v>
      </c>
      <c r="C1500">
        <v>34</v>
      </c>
      <c r="D1500">
        <v>1</v>
      </c>
      <c r="E1500" s="28">
        <v>7.7671232876712333</v>
      </c>
      <c r="F1500" s="28"/>
      <c r="G1500" s="28"/>
      <c r="H1500" s="28"/>
      <c r="I1500" s="28"/>
      <c r="J1500" s="28"/>
      <c r="L1500" s="38">
        <v>59</v>
      </c>
      <c r="M1500" s="2">
        <v>25</v>
      </c>
      <c r="N1500" s="2">
        <v>1</v>
      </c>
      <c r="O1500" s="2">
        <v>45</v>
      </c>
      <c r="P1500" s="2">
        <v>3</v>
      </c>
      <c r="Q1500" s="2">
        <v>4</v>
      </c>
      <c r="R1500" s="2">
        <v>6</v>
      </c>
      <c r="S1500" s="2">
        <v>42</v>
      </c>
      <c r="T1500" s="2">
        <v>3</v>
      </c>
      <c r="U1500" s="2">
        <v>3</v>
      </c>
      <c r="V1500" s="2">
        <v>1</v>
      </c>
      <c r="W1500" s="2">
        <v>3</v>
      </c>
      <c r="X1500" s="2">
        <v>8</v>
      </c>
    </row>
    <row r="1501" spans="1:24" x14ac:dyDescent="0.35">
      <c r="A1501">
        <v>58</v>
      </c>
      <c r="B1501">
        <v>21255</v>
      </c>
      <c r="C1501">
        <v>46</v>
      </c>
      <c r="D1501">
        <v>1</v>
      </c>
      <c r="E1501" s="28">
        <v>6.3506849315068497</v>
      </c>
      <c r="F1501" s="28"/>
      <c r="G1501" s="28"/>
      <c r="H1501" s="28"/>
      <c r="I1501" s="28"/>
      <c r="J1501" s="28"/>
      <c r="L1501" s="37">
        <v>58</v>
      </c>
      <c r="M1501" s="3">
        <v>56</v>
      </c>
      <c r="N1501" s="3">
        <v>29</v>
      </c>
      <c r="O1501" s="3">
        <v>0</v>
      </c>
      <c r="P1501" s="3">
        <v>25</v>
      </c>
      <c r="Q1501" s="3">
        <v>2</v>
      </c>
      <c r="R1501" s="3">
        <v>2</v>
      </c>
      <c r="S1501" s="3">
        <v>3</v>
      </c>
      <c r="T1501" s="3">
        <v>4</v>
      </c>
      <c r="U1501" s="3">
        <v>2</v>
      </c>
      <c r="V1501" s="3">
        <v>1</v>
      </c>
      <c r="W1501" s="3">
        <v>4</v>
      </c>
      <c r="X1501" s="3">
        <v>4</v>
      </c>
    </row>
    <row r="1502" spans="1:24" x14ac:dyDescent="0.35">
      <c r="A1502">
        <v>58</v>
      </c>
      <c r="B1502">
        <v>50616</v>
      </c>
      <c r="C1502">
        <v>70</v>
      </c>
      <c r="D1502">
        <v>1</v>
      </c>
      <c r="E1502" s="28">
        <v>6.1260273972602741</v>
      </c>
      <c r="F1502" s="28"/>
      <c r="G1502" s="28"/>
      <c r="H1502" s="28"/>
      <c r="I1502" s="28"/>
      <c r="J1502" s="28"/>
      <c r="L1502" s="38">
        <v>58</v>
      </c>
      <c r="M1502" s="2">
        <v>71</v>
      </c>
      <c r="N1502" s="2">
        <v>30</v>
      </c>
      <c r="O1502" s="2">
        <v>2</v>
      </c>
      <c r="P1502" s="2">
        <v>25</v>
      </c>
      <c r="Q1502" s="2">
        <v>0</v>
      </c>
      <c r="R1502" s="2">
        <v>1</v>
      </c>
      <c r="S1502" s="2">
        <v>9</v>
      </c>
      <c r="T1502" s="2">
        <v>1</v>
      </c>
      <c r="U1502" s="2">
        <v>1</v>
      </c>
      <c r="V1502" s="2">
        <v>1</v>
      </c>
      <c r="W1502" s="2">
        <v>4</v>
      </c>
      <c r="X1502" s="2">
        <v>2</v>
      </c>
    </row>
    <row r="1503" spans="1:24" x14ac:dyDescent="0.35">
      <c r="A1503">
        <v>58</v>
      </c>
      <c r="B1503">
        <v>21846</v>
      </c>
      <c r="C1503">
        <v>34</v>
      </c>
      <c r="D1503">
        <v>1</v>
      </c>
      <c r="E1503" s="28">
        <v>6.6</v>
      </c>
      <c r="F1503" s="28"/>
      <c r="G1503" s="28"/>
      <c r="H1503" s="28"/>
      <c r="I1503" s="28"/>
      <c r="J1503" s="28"/>
      <c r="L1503" s="37">
        <v>58</v>
      </c>
      <c r="M1503" s="3">
        <v>38</v>
      </c>
      <c r="N1503" s="3">
        <v>7</v>
      </c>
      <c r="O1503" s="3">
        <v>17</v>
      </c>
      <c r="P1503" s="3">
        <v>18</v>
      </c>
      <c r="Q1503" s="3">
        <v>6</v>
      </c>
      <c r="R1503" s="3">
        <v>10</v>
      </c>
      <c r="S1503" s="3">
        <v>26</v>
      </c>
      <c r="T1503" s="3">
        <v>4</v>
      </c>
      <c r="U1503" s="3">
        <v>4</v>
      </c>
      <c r="V1503" s="3">
        <v>0</v>
      </c>
      <c r="W1503" s="3">
        <v>3</v>
      </c>
      <c r="X1503" s="3">
        <v>8</v>
      </c>
    </row>
    <row r="1504" spans="1:24" x14ac:dyDescent="0.35">
      <c r="A1504">
        <v>58</v>
      </c>
      <c r="B1504">
        <v>37085</v>
      </c>
      <c r="C1504">
        <v>45</v>
      </c>
      <c r="D1504">
        <v>1</v>
      </c>
      <c r="E1504" s="28">
        <v>5.9232876712328766</v>
      </c>
      <c r="F1504" s="28"/>
      <c r="G1504" s="28"/>
      <c r="H1504" s="28"/>
      <c r="I1504" s="28"/>
      <c r="J1504" s="28"/>
      <c r="L1504" s="38">
        <v>58</v>
      </c>
      <c r="M1504" s="2">
        <v>65</v>
      </c>
      <c r="N1504" s="2">
        <v>39</v>
      </c>
      <c r="O1504" s="2">
        <v>1</v>
      </c>
      <c r="P1504" s="2">
        <v>16</v>
      </c>
      <c r="Q1504" s="2">
        <v>2</v>
      </c>
      <c r="R1504" s="2">
        <v>0</v>
      </c>
      <c r="S1504" s="2">
        <v>3</v>
      </c>
      <c r="T1504" s="2">
        <v>4</v>
      </c>
      <c r="U1504" s="2">
        <v>3</v>
      </c>
      <c r="V1504" s="2">
        <v>0</v>
      </c>
      <c r="W1504" s="2">
        <v>3</v>
      </c>
      <c r="X1504" s="2">
        <v>8</v>
      </c>
    </row>
    <row r="1505" spans="1:24" x14ac:dyDescent="0.35">
      <c r="A1505">
        <v>58</v>
      </c>
      <c r="B1505">
        <v>23331</v>
      </c>
      <c r="C1505">
        <v>32</v>
      </c>
      <c r="D1505">
        <v>1</v>
      </c>
      <c r="E1505" s="28">
        <v>7.7315068493150685</v>
      </c>
      <c r="F1505" s="28"/>
      <c r="G1505" s="28"/>
      <c r="H1505" s="28"/>
      <c r="I1505" s="28"/>
      <c r="J1505" s="28"/>
      <c r="L1505" s="37">
        <v>58</v>
      </c>
      <c r="M1505" s="3">
        <v>92</v>
      </c>
      <c r="N1505" s="3">
        <v>5</v>
      </c>
      <c r="O1505" s="3">
        <v>36</v>
      </c>
      <c r="P1505" s="3">
        <v>7</v>
      </c>
      <c r="Q1505" s="3">
        <v>0</v>
      </c>
      <c r="R1505" s="3">
        <v>10</v>
      </c>
      <c r="S1505" s="3">
        <v>45</v>
      </c>
      <c r="T1505" s="3">
        <v>2</v>
      </c>
      <c r="U1505" s="3">
        <v>3</v>
      </c>
      <c r="V1505" s="3">
        <v>0</v>
      </c>
      <c r="W1505" s="3">
        <v>3</v>
      </c>
      <c r="X1505" s="3">
        <v>8</v>
      </c>
    </row>
    <row r="1506" spans="1:24" x14ac:dyDescent="0.35">
      <c r="A1506">
        <v>57</v>
      </c>
      <c r="B1506">
        <v>31395</v>
      </c>
      <c r="C1506">
        <v>64</v>
      </c>
      <c r="D1506">
        <v>1</v>
      </c>
      <c r="E1506" s="28">
        <v>7.183561643835616</v>
      </c>
      <c r="F1506" s="28"/>
      <c r="G1506" s="28"/>
      <c r="H1506" s="28"/>
      <c r="I1506" s="28"/>
      <c r="J1506" s="28"/>
      <c r="L1506" s="38">
        <v>57</v>
      </c>
      <c r="M1506" s="2">
        <v>80</v>
      </c>
      <c r="N1506" s="2">
        <v>23</v>
      </c>
      <c r="O1506" s="2">
        <v>1</v>
      </c>
      <c r="P1506" s="2">
        <v>25</v>
      </c>
      <c r="Q1506" s="2">
        <v>0</v>
      </c>
      <c r="R1506" s="2">
        <v>8</v>
      </c>
      <c r="S1506" s="2">
        <v>7</v>
      </c>
      <c r="T1506" s="2">
        <v>4</v>
      </c>
      <c r="U1506" s="2">
        <v>2</v>
      </c>
      <c r="V1506" s="2">
        <v>1</v>
      </c>
      <c r="W1506" s="2">
        <v>3</v>
      </c>
      <c r="X1506" s="2">
        <v>6</v>
      </c>
    </row>
    <row r="1507" spans="1:24" x14ac:dyDescent="0.35">
      <c r="A1507">
        <v>57</v>
      </c>
      <c r="B1507">
        <v>21474</v>
      </c>
      <c r="C1507">
        <v>31</v>
      </c>
      <c r="D1507">
        <v>1</v>
      </c>
      <c r="E1507" s="28">
        <v>6.13972602739726</v>
      </c>
      <c r="F1507" s="28"/>
      <c r="G1507" s="28"/>
      <c r="H1507" s="28"/>
      <c r="I1507" s="28"/>
      <c r="J1507" s="28"/>
      <c r="L1507" s="37">
        <v>57</v>
      </c>
      <c r="M1507" s="3">
        <v>0</v>
      </c>
      <c r="N1507" s="3">
        <v>6</v>
      </c>
      <c r="O1507" s="3">
        <v>16</v>
      </c>
      <c r="P1507" s="3">
        <v>24</v>
      </c>
      <c r="Q1507" s="3">
        <v>11</v>
      </c>
      <c r="R1507" s="3">
        <v>0</v>
      </c>
      <c r="S1507" s="3">
        <v>34</v>
      </c>
      <c r="T1507" s="3">
        <v>2</v>
      </c>
      <c r="U1507" s="3">
        <v>3</v>
      </c>
      <c r="V1507" s="3">
        <v>1</v>
      </c>
      <c r="W1507" s="3">
        <v>2</v>
      </c>
      <c r="X1507" s="3">
        <v>7</v>
      </c>
    </row>
    <row r="1508" spans="1:24" x14ac:dyDescent="0.35">
      <c r="A1508">
        <v>57</v>
      </c>
      <c r="B1508">
        <v>41120</v>
      </c>
      <c r="C1508">
        <v>52</v>
      </c>
      <c r="D1508">
        <v>1</v>
      </c>
      <c r="E1508" s="28">
        <v>6.558904109589041</v>
      </c>
      <c r="F1508" s="28"/>
      <c r="G1508" s="28"/>
      <c r="H1508" s="28"/>
      <c r="I1508" s="28"/>
      <c r="J1508" s="28"/>
      <c r="L1508" s="38">
        <v>57</v>
      </c>
      <c r="M1508" s="2">
        <v>80</v>
      </c>
      <c r="N1508" s="2">
        <v>24</v>
      </c>
      <c r="O1508" s="2">
        <v>2</v>
      </c>
      <c r="P1508" s="2">
        <v>23</v>
      </c>
      <c r="Q1508" s="2">
        <v>0</v>
      </c>
      <c r="R1508" s="2">
        <v>8</v>
      </c>
      <c r="S1508" s="2">
        <v>24</v>
      </c>
      <c r="T1508" s="2">
        <v>3</v>
      </c>
      <c r="U1508" s="2">
        <v>2</v>
      </c>
      <c r="V1508" s="2">
        <v>1</v>
      </c>
      <c r="W1508" s="2">
        <v>3</v>
      </c>
      <c r="X1508" s="2">
        <v>6</v>
      </c>
    </row>
    <row r="1509" spans="1:24" x14ac:dyDescent="0.35">
      <c r="A1509">
        <v>57</v>
      </c>
      <c r="B1509">
        <v>18793</v>
      </c>
      <c r="C1509">
        <v>49</v>
      </c>
      <c r="D1509">
        <v>1</v>
      </c>
      <c r="E1509" s="28">
        <v>7.375342465753425</v>
      </c>
      <c r="F1509" s="28"/>
      <c r="G1509" s="28"/>
      <c r="H1509" s="28"/>
      <c r="I1509" s="28"/>
      <c r="J1509" s="28"/>
      <c r="L1509" s="37">
        <v>57</v>
      </c>
      <c r="M1509" s="3">
        <v>14</v>
      </c>
      <c r="N1509" s="3">
        <v>4</v>
      </c>
      <c r="O1509" s="3">
        <v>16</v>
      </c>
      <c r="P1509" s="3">
        <v>20</v>
      </c>
      <c r="Q1509" s="3">
        <v>0</v>
      </c>
      <c r="R1509" s="3">
        <v>17</v>
      </c>
      <c r="S1509" s="3">
        <v>20</v>
      </c>
      <c r="T1509" s="3">
        <v>3</v>
      </c>
      <c r="U1509" s="3">
        <v>2</v>
      </c>
      <c r="V1509" s="3">
        <v>0</v>
      </c>
      <c r="W1509" s="3">
        <v>4</v>
      </c>
      <c r="X1509" s="3">
        <v>8</v>
      </c>
    </row>
    <row r="1510" spans="1:24" x14ac:dyDescent="0.35">
      <c r="A1510">
        <v>57</v>
      </c>
      <c r="B1510">
        <v>26759</v>
      </c>
      <c r="C1510">
        <v>48</v>
      </c>
      <c r="D1510">
        <v>1</v>
      </c>
      <c r="E1510" s="28">
        <v>6.3041095890410963</v>
      </c>
      <c r="F1510" s="28"/>
      <c r="G1510" s="28"/>
      <c r="H1510" s="28"/>
      <c r="I1510" s="28"/>
      <c r="J1510" s="28"/>
      <c r="L1510" s="38">
        <v>57</v>
      </c>
      <c r="M1510" s="2">
        <v>65</v>
      </c>
      <c r="N1510" s="2">
        <v>25</v>
      </c>
      <c r="O1510" s="2">
        <v>3</v>
      </c>
      <c r="P1510" s="2">
        <v>16</v>
      </c>
      <c r="Q1510" s="2">
        <v>8</v>
      </c>
      <c r="R1510" s="2">
        <v>5</v>
      </c>
      <c r="S1510" s="2">
        <v>2</v>
      </c>
      <c r="T1510" s="2">
        <v>2</v>
      </c>
      <c r="U1510" s="2">
        <v>2</v>
      </c>
      <c r="V1510" s="2">
        <v>1</v>
      </c>
      <c r="W1510" s="2">
        <v>3</v>
      </c>
      <c r="X1510" s="2">
        <v>6</v>
      </c>
    </row>
    <row r="1511" spans="1:24" x14ac:dyDescent="0.35">
      <c r="A1511">
        <v>57</v>
      </c>
      <c r="B1511">
        <v>30545</v>
      </c>
      <c r="C1511">
        <v>41</v>
      </c>
      <c r="D1511">
        <v>1</v>
      </c>
      <c r="E1511" s="28">
        <v>7.6136986301369864</v>
      </c>
      <c r="F1511" s="28"/>
      <c r="G1511" s="28"/>
      <c r="H1511" s="28"/>
      <c r="I1511" s="28"/>
      <c r="J1511" s="28"/>
      <c r="L1511" s="37">
        <v>57</v>
      </c>
      <c r="M1511" s="3">
        <v>71</v>
      </c>
      <c r="N1511" s="3">
        <v>4</v>
      </c>
      <c r="O1511" s="3">
        <v>12</v>
      </c>
      <c r="P1511" s="3">
        <v>15</v>
      </c>
      <c r="Q1511" s="3">
        <v>19</v>
      </c>
      <c r="R1511" s="3">
        <v>7</v>
      </c>
      <c r="S1511" s="3">
        <v>12</v>
      </c>
      <c r="T1511" s="3">
        <v>2</v>
      </c>
      <c r="U1511" s="3">
        <v>2</v>
      </c>
      <c r="V1511" s="3">
        <v>0</v>
      </c>
      <c r="W1511" s="3">
        <v>3</v>
      </c>
      <c r="X1511" s="3">
        <v>7</v>
      </c>
    </row>
    <row r="1512" spans="1:24" x14ac:dyDescent="0.35">
      <c r="A1512">
        <v>56</v>
      </c>
      <c r="B1512">
        <v>36230</v>
      </c>
      <c r="C1512">
        <v>49</v>
      </c>
      <c r="D1512">
        <v>1</v>
      </c>
      <c r="E1512" s="28">
        <v>6.6136986301369864</v>
      </c>
      <c r="F1512" s="28"/>
      <c r="G1512" s="28"/>
      <c r="H1512" s="28"/>
      <c r="I1512" s="28"/>
      <c r="J1512" s="28"/>
      <c r="L1512" s="38">
        <v>56</v>
      </c>
      <c r="M1512" s="2">
        <v>17</v>
      </c>
      <c r="N1512" s="2">
        <v>14</v>
      </c>
      <c r="O1512" s="2">
        <v>2</v>
      </c>
      <c r="P1512" s="2">
        <v>30</v>
      </c>
      <c r="Q1512" s="2">
        <v>8</v>
      </c>
      <c r="R1512" s="2">
        <v>2</v>
      </c>
      <c r="S1512" s="2">
        <v>3</v>
      </c>
      <c r="T1512" s="2">
        <v>1</v>
      </c>
      <c r="U1512" s="2">
        <v>2</v>
      </c>
      <c r="V1512" s="2">
        <v>0</v>
      </c>
      <c r="W1512" s="2">
        <v>4</v>
      </c>
      <c r="X1512" s="2">
        <v>5</v>
      </c>
    </row>
    <row r="1513" spans="1:24" x14ac:dyDescent="0.35">
      <c r="A1513">
        <v>56</v>
      </c>
      <c r="B1513">
        <v>14849</v>
      </c>
      <c r="C1513">
        <v>44</v>
      </c>
      <c r="D1513">
        <v>1</v>
      </c>
      <c r="E1513" s="28">
        <v>6.9068493150684933</v>
      </c>
      <c r="F1513" s="28"/>
      <c r="G1513" s="28"/>
      <c r="H1513" s="28"/>
      <c r="I1513" s="28"/>
      <c r="J1513" s="28"/>
      <c r="L1513" s="37">
        <v>56</v>
      </c>
      <c r="M1513" s="3">
        <v>39</v>
      </c>
      <c r="N1513" s="3">
        <v>21</v>
      </c>
      <c r="O1513" s="3">
        <v>2</v>
      </c>
      <c r="P1513" s="3">
        <v>28</v>
      </c>
      <c r="Q1513" s="3">
        <v>3</v>
      </c>
      <c r="R1513" s="3">
        <v>2</v>
      </c>
      <c r="S1513" s="3">
        <v>9</v>
      </c>
      <c r="T1513" s="3">
        <v>3</v>
      </c>
      <c r="U1513" s="3">
        <v>2</v>
      </c>
      <c r="V1513" s="3">
        <v>0</v>
      </c>
      <c r="W1513" s="3">
        <v>4</v>
      </c>
      <c r="X1513" s="3">
        <v>8</v>
      </c>
    </row>
    <row r="1514" spans="1:24" x14ac:dyDescent="0.35">
      <c r="A1514">
        <v>56</v>
      </c>
      <c r="B1514">
        <v>23559</v>
      </c>
      <c r="C1514">
        <v>47</v>
      </c>
      <c r="D1514">
        <v>1</v>
      </c>
      <c r="E1514" s="28">
        <v>6.904109589041096</v>
      </c>
      <c r="F1514" s="28"/>
      <c r="G1514" s="28"/>
      <c r="H1514" s="28"/>
      <c r="I1514" s="28"/>
      <c r="J1514" s="28"/>
      <c r="L1514" s="38">
        <v>56</v>
      </c>
      <c r="M1514" s="2">
        <v>87</v>
      </c>
      <c r="N1514" s="2">
        <v>25</v>
      </c>
      <c r="O1514" s="2">
        <v>5</v>
      </c>
      <c r="P1514" s="2">
        <v>19</v>
      </c>
      <c r="Q1514" s="2">
        <v>7</v>
      </c>
      <c r="R1514" s="2">
        <v>0</v>
      </c>
      <c r="S1514" s="2">
        <v>23</v>
      </c>
      <c r="T1514" s="2">
        <v>3</v>
      </c>
      <c r="U1514" s="2">
        <v>3</v>
      </c>
      <c r="V1514" s="2">
        <v>0</v>
      </c>
      <c r="W1514" s="2">
        <v>3</v>
      </c>
      <c r="X1514" s="2">
        <v>7</v>
      </c>
    </row>
    <row r="1515" spans="1:24" x14ac:dyDescent="0.35">
      <c r="A1515">
        <v>56</v>
      </c>
      <c r="B1515">
        <v>36790</v>
      </c>
      <c r="C1515">
        <v>37</v>
      </c>
      <c r="D1515">
        <v>0</v>
      </c>
      <c r="E1515" s="28">
        <v>7.2438356164383562</v>
      </c>
      <c r="F1515" s="28"/>
      <c r="G1515" s="28"/>
      <c r="H1515" s="28"/>
      <c r="I1515" s="28"/>
      <c r="J1515" s="28"/>
      <c r="L1515" s="37">
        <v>56</v>
      </c>
      <c r="M1515" s="3">
        <v>14</v>
      </c>
      <c r="N1515" s="3">
        <v>3</v>
      </c>
      <c r="O1515" s="3">
        <v>3</v>
      </c>
      <c r="P1515" s="3">
        <v>14</v>
      </c>
      <c r="Q1515" s="3">
        <v>15</v>
      </c>
      <c r="R1515" s="3">
        <v>21</v>
      </c>
      <c r="S1515" s="3">
        <v>10</v>
      </c>
      <c r="T1515" s="3">
        <v>1</v>
      </c>
      <c r="U1515" s="3">
        <v>2</v>
      </c>
      <c r="V1515" s="3">
        <v>1</v>
      </c>
      <c r="W1515" s="3">
        <v>2</v>
      </c>
      <c r="X1515" s="3">
        <v>9</v>
      </c>
    </row>
    <row r="1516" spans="1:24" x14ac:dyDescent="0.35">
      <c r="A1516">
        <v>56</v>
      </c>
      <c r="B1516">
        <v>28332</v>
      </c>
      <c r="C1516">
        <v>68</v>
      </c>
      <c r="D1516">
        <v>0</v>
      </c>
      <c r="E1516" s="28">
        <v>6.0794520547945208</v>
      </c>
      <c r="F1516" s="28"/>
      <c r="G1516" s="28"/>
      <c r="H1516" s="28"/>
      <c r="I1516" s="28"/>
      <c r="J1516" s="28"/>
      <c r="L1516" s="38">
        <v>56</v>
      </c>
      <c r="M1516" s="2">
        <v>58</v>
      </c>
      <c r="N1516" s="2">
        <v>14</v>
      </c>
      <c r="O1516" s="2">
        <v>10</v>
      </c>
      <c r="P1516" s="2">
        <v>13</v>
      </c>
      <c r="Q1516" s="2">
        <v>4</v>
      </c>
      <c r="R1516" s="2">
        <v>15</v>
      </c>
      <c r="S1516" s="2">
        <v>9</v>
      </c>
      <c r="T1516" s="2">
        <v>1</v>
      </c>
      <c r="U1516" s="2">
        <v>2</v>
      </c>
      <c r="V1516" s="2">
        <v>1</v>
      </c>
      <c r="W1516" s="2">
        <v>4</v>
      </c>
      <c r="X1516" s="2">
        <v>2</v>
      </c>
    </row>
    <row r="1517" spans="1:24" x14ac:dyDescent="0.35">
      <c r="A1517">
        <v>56</v>
      </c>
      <c r="B1517">
        <v>23539</v>
      </c>
      <c r="C1517">
        <v>63</v>
      </c>
      <c r="D1517">
        <v>0</v>
      </c>
      <c r="E1517" s="28">
        <v>6.2465753424657535</v>
      </c>
      <c r="F1517" s="28"/>
      <c r="G1517" s="28"/>
      <c r="H1517" s="28"/>
      <c r="I1517" s="28"/>
      <c r="J1517" s="28"/>
      <c r="L1517" s="37">
        <v>56</v>
      </c>
      <c r="M1517" s="3">
        <v>13</v>
      </c>
      <c r="N1517" s="3">
        <v>4</v>
      </c>
      <c r="O1517" s="3">
        <v>24</v>
      </c>
      <c r="P1517" s="3">
        <v>11</v>
      </c>
      <c r="Q1517" s="3">
        <v>16</v>
      </c>
      <c r="R1517" s="3">
        <v>1</v>
      </c>
      <c r="S1517" s="3">
        <v>25</v>
      </c>
      <c r="T1517" s="3">
        <v>1</v>
      </c>
      <c r="U1517" s="3">
        <v>2</v>
      </c>
      <c r="V1517" s="3">
        <v>0</v>
      </c>
      <c r="W1517" s="3">
        <v>4</v>
      </c>
      <c r="X1517" s="3">
        <v>6</v>
      </c>
    </row>
    <row r="1518" spans="1:24" x14ac:dyDescent="0.35">
      <c r="A1518">
        <v>56</v>
      </c>
      <c r="B1518">
        <v>16005</v>
      </c>
      <c r="C1518">
        <v>40</v>
      </c>
      <c r="D1518">
        <v>1</v>
      </c>
      <c r="E1518" s="28">
        <v>7.7890410958904113</v>
      </c>
      <c r="F1518" s="28"/>
      <c r="G1518" s="28"/>
      <c r="H1518" s="28"/>
      <c r="I1518" s="28"/>
      <c r="J1518" s="28"/>
      <c r="L1518" s="38">
        <v>56</v>
      </c>
      <c r="M1518" s="2">
        <v>69</v>
      </c>
      <c r="N1518" s="2">
        <v>1</v>
      </c>
      <c r="O1518" s="2">
        <v>3</v>
      </c>
      <c r="P1518" s="2">
        <v>2</v>
      </c>
      <c r="Q1518" s="2">
        <v>20</v>
      </c>
      <c r="R1518" s="2">
        <v>30</v>
      </c>
      <c r="S1518" s="2">
        <v>47</v>
      </c>
      <c r="T1518" s="2">
        <v>3</v>
      </c>
      <c r="U1518" s="2">
        <v>2</v>
      </c>
      <c r="V1518" s="2">
        <v>1</v>
      </c>
      <c r="W1518" s="2">
        <v>2</v>
      </c>
      <c r="X1518" s="2">
        <v>8</v>
      </c>
    </row>
    <row r="1519" spans="1:24" x14ac:dyDescent="0.35">
      <c r="A1519">
        <v>55</v>
      </c>
      <c r="B1519">
        <v>26518</v>
      </c>
      <c r="C1519">
        <v>71</v>
      </c>
      <c r="D1519">
        <v>1</v>
      </c>
      <c r="E1519" s="28">
        <v>7.13972602739726</v>
      </c>
      <c r="F1519" s="28"/>
      <c r="G1519" s="28"/>
      <c r="H1519" s="28"/>
      <c r="I1519" s="28"/>
      <c r="J1519" s="28"/>
      <c r="L1519" s="37">
        <v>55</v>
      </c>
      <c r="M1519" s="3">
        <v>33</v>
      </c>
      <c r="N1519" s="3">
        <v>20</v>
      </c>
      <c r="O1519" s="3">
        <v>1</v>
      </c>
      <c r="P1519" s="3">
        <v>28</v>
      </c>
      <c r="Q1519" s="3">
        <v>3</v>
      </c>
      <c r="R1519" s="3">
        <v>3</v>
      </c>
      <c r="S1519" s="3">
        <v>2</v>
      </c>
      <c r="T1519" s="3">
        <v>3</v>
      </c>
      <c r="U1519" s="3">
        <v>2</v>
      </c>
      <c r="V1519" s="3">
        <v>0</v>
      </c>
      <c r="W1519" s="3">
        <v>3</v>
      </c>
      <c r="X1519" s="3">
        <v>8</v>
      </c>
    </row>
    <row r="1520" spans="1:24" x14ac:dyDescent="0.35">
      <c r="A1520">
        <v>55</v>
      </c>
      <c r="B1520">
        <v>55412</v>
      </c>
      <c r="C1520">
        <v>44</v>
      </c>
      <c r="D1520">
        <v>1</v>
      </c>
      <c r="E1520" s="28">
        <v>6.515068493150685</v>
      </c>
      <c r="F1520" s="28"/>
      <c r="G1520" s="28"/>
      <c r="H1520" s="28"/>
      <c r="I1520" s="28"/>
      <c r="J1520" s="28"/>
      <c r="L1520" s="38">
        <v>55</v>
      </c>
      <c r="M1520" s="2">
        <v>65</v>
      </c>
      <c r="N1520" s="2">
        <v>10</v>
      </c>
      <c r="O1520" s="2">
        <v>5</v>
      </c>
      <c r="P1520" s="2">
        <v>28</v>
      </c>
      <c r="Q1520" s="2">
        <v>11</v>
      </c>
      <c r="R1520" s="2">
        <v>1</v>
      </c>
      <c r="S1520" s="2">
        <v>8</v>
      </c>
      <c r="T1520" s="2">
        <v>1</v>
      </c>
      <c r="U1520" s="2">
        <v>2</v>
      </c>
      <c r="V1520" s="2">
        <v>0</v>
      </c>
      <c r="W1520" s="2">
        <v>3</v>
      </c>
      <c r="X1520" s="2">
        <v>5</v>
      </c>
    </row>
    <row r="1521" spans="1:24" x14ac:dyDescent="0.35">
      <c r="A1521">
        <v>55</v>
      </c>
      <c r="B1521">
        <v>16626</v>
      </c>
      <c r="C1521">
        <v>49</v>
      </c>
      <c r="D1521">
        <v>1</v>
      </c>
      <c r="E1521" s="28">
        <v>6.3671232876712329</v>
      </c>
      <c r="F1521" s="28"/>
      <c r="G1521" s="28"/>
      <c r="H1521" s="28"/>
      <c r="I1521" s="28"/>
      <c r="J1521" s="28"/>
      <c r="L1521" s="37">
        <v>55</v>
      </c>
      <c r="M1521" s="3">
        <v>76</v>
      </c>
      <c r="N1521" s="3">
        <v>8</v>
      </c>
      <c r="O1521" s="3">
        <v>3</v>
      </c>
      <c r="P1521" s="3">
        <v>22</v>
      </c>
      <c r="Q1521" s="3">
        <v>21</v>
      </c>
      <c r="R1521" s="3">
        <v>1</v>
      </c>
      <c r="S1521" s="3">
        <v>13</v>
      </c>
      <c r="T1521" s="3">
        <v>3</v>
      </c>
      <c r="U1521" s="3">
        <v>3</v>
      </c>
      <c r="V1521" s="3">
        <v>0</v>
      </c>
      <c r="W1521" s="3">
        <v>3</v>
      </c>
      <c r="X1521" s="3">
        <v>9</v>
      </c>
    </row>
    <row r="1522" spans="1:24" x14ac:dyDescent="0.35">
      <c r="A1522">
        <v>55</v>
      </c>
      <c r="B1522">
        <v>35523</v>
      </c>
      <c r="C1522">
        <v>39</v>
      </c>
      <c r="D1522">
        <v>1</v>
      </c>
      <c r="E1522" s="28">
        <v>6.6520547945205477</v>
      </c>
      <c r="F1522" s="28"/>
      <c r="G1522" s="28"/>
      <c r="H1522" s="28"/>
      <c r="I1522" s="28"/>
      <c r="J1522" s="28"/>
      <c r="L1522" s="38">
        <v>55</v>
      </c>
      <c r="M1522" s="2">
        <v>8</v>
      </c>
      <c r="N1522" s="2">
        <v>11</v>
      </c>
      <c r="O1522" s="2">
        <v>5</v>
      </c>
      <c r="P1522" s="2">
        <v>22</v>
      </c>
      <c r="Q1522" s="2">
        <v>12</v>
      </c>
      <c r="R1522" s="2">
        <v>5</v>
      </c>
      <c r="S1522" s="2">
        <v>11</v>
      </c>
      <c r="T1522" s="2">
        <v>2</v>
      </c>
      <c r="U1522" s="2">
        <v>3</v>
      </c>
      <c r="V1522" s="2">
        <v>0</v>
      </c>
      <c r="W1522" s="2">
        <v>3</v>
      </c>
      <c r="X1522" s="2">
        <v>7</v>
      </c>
    </row>
    <row r="1523" spans="1:24" x14ac:dyDescent="0.35">
      <c r="A1523">
        <v>55</v>
      </c>
      <c r="B1523">
        <v>27244</v>
      </c>
      <c r="C1523">
        <v>41</v>
      </c>
      <c r="D1523">
        <v>1</v>
      </c>
      <c r="E1523" s="28">
        <v>6.2273972602739729</v>
      </c>
      <c r="F1523" s="28"/>
      <c r="G1523" s="28"/>
      <c r="H1523" s="28"/>
      <c r="I1523" s="28"/>
      <c r="J1523" s="28"/>
      <c r="L1523" s="37">
        <v>55</v>
      </c>
      <c r="M1523" s="3">
        <v>84</v>
      </c>
      <c r="N1523" s="3">
        <v>6</v>
      </c>
      <c r="O1523" s="3">
        <v>5</v>
      </c>
      <c r="P1523" s="3">
        <v>17</v>
      </c>
      <c r="Q1523" s="3">
        <v>3</v>
      </c>
      <c r="R1523" s="3">
        <v>24</v>
      </c>
      <c r="S1523" s="3">
        <v>46</v>
      </c>
      <c r="T1523" s="3">
        <v>2</v>
      </c>
      <c r="U1523" s="3">
        <v>2</v>
      </c>
      <c r="V1523" s="3">
        <v>2</v>
      </c>
      <c r="W1523" s="3">
        <v>2</v>
      </c>
      <c r="X1523" s="3">
        <v>7</v>
      </c>
    </row>
    <row r="1524" spans="1:24" x14ac:dyDescent="0.35">
      <c r="A1524">
        <v>55</v>
      </c>
      <c r="B1524">
        <v>19329</v>
      </c>
      <c r="C1524">
        <v>52</v>
      </c>
      <c r="D1524">
        <v>1</v>
      </c>
      <c r="E1524" s="28">
        <v>6.4547945205479449</v>
      </c>
      <c r="F1524" s="28"/>
      <c r="G1524" s="28"/>
      <c r="H1524" s="28"/>
      <c r="I1524" s="28"/>
      <c r="J1524" s="28"/>
      <c r="L1524" s="38">
        <v>55</v>
      </c>
      <c r="M1524" s="2">
        <v>39</v>
      </c>
      <c r="N1524" s="2">
        <v>24</v>
      </c>
      <c r="O1524" s="2">
        <v>1</v>
      </c>
      <c r="P1524" s="2">
        <v>16</v>
      </c>
      <c r="Q1524" s="2">
        <v>12</v>
      </c>
      <c r="R1524" s="2">
        <v>2</v>
      </c>
      <c r="S1524" s="2">
        <v>5</v>
      </c>
      <c r="T1524" s="2">
        <v>3</v>
      </c>
      <c r="U1524" s="2">
        <v>4</v>
      </c>
      <c r="V1524" s="2">
        <v>0</v>
      </c>
      <c r="W1524" s="2">
        <v>3</v>
      </c>
      <c r="X1524" s="2">
        <v>8</v>
      </c>
    </row>
    <row r="1525" spans="1:24" x14ac:dyDescent="0.35">
      <c r="A1525">
        <v>55</v>
      </c>
      <c r="B1525">
        <v>26290</v>
      </c>
      <c r="C1525">
        <v>48</v>
      </c>
      <c r="D1525">
        <v>1</v>
      </c>
      <c r="E1525" s="28">
        <v>7.375342465753425</v>
      </c>
      <c r="F1525" s="28"/>
      <c r="G1525" s="28"/>
      <c r="H1525" s="28"/>
      <c r="I1525" s="28"/>
      <c r="J1525" s="28"/>
      <c r="L1525" s="37">
        <v>55</v>
      </c>
      <c r="M1525" s="3">
        <v>49</v>
      </c>
      <c r="N1525" s="3">
        <v>15</v>
      </c>
      <c r="O1525" s="3">
        <v>8</v>
      </c>
      <c r="P1525" s="3">
        <v>16</v>
      </c>
      <c r="Q1525" s="3">
        <v>11</v>
      </c>
      <c r="R1525" s="3">
        <v>5</v>
      </c>
      <c r="S1525" s="3">
        <v>22</v>
      </c>
      <c r="T1525" s="3">
        <v>4</v>
      </c>
      <c r="U1525" s="3">
        <v>2</v>
      </c>
      <c r="V1525" s="3">
        <v>0</v>
      </c>
      <c r="W1525" s="3">
        <v>4</v>
      </c>
      <c r="X1525" s="3">
        <v>6</v>
      </c>
    </row>
    <row r="1526" spans="1:24" x14ac:dyDescent="0.35">
      <c r="A1526">
        <v>54</v>
      </c>
      <c r="B1526">
        <v>31788</v>
      </c>
      <c r="C1526">
        <v>37</v>
      </c>
      <c r="D1526">
        <v>1</v>
      </c>
      <c r="E1526" s="28">
        <v>6.1917808219178081</v>
      </c>
      <c r="F1526" s="28"/>
      <c r="G1526" s="28"/>
      <c r="H1526" s="28"/>
      <c r="I1526" s="28"/>
      <c r="J1526" s="28"/>
      <c r="L1526" s="38">
        <v>54</v>
      </c>
      <c r="M1526" s="2">
        <v>15</v>
      </c>
      <c r="N1526" s="2">
        <v>16</v>
      </c>
      <c r="O1526" s="2">
        <v>7</v>
      </c>
      <c r="P1526" s="2">
        <v>23</v>
      </c>
      <c r="Q1526" s="2">
        <v>0</v>
      </c>
      <c r="R1526" s="2">
        <v>8</v>
      </c>
      <c r="S1526" s="2">
        <v>6</v>
      </c>
      <c r="T1526" s="2">
        <v>3</v>
      </c>
      <c r="U1526" s="2">
        <v>3</v>
      </c>
      <c r="V1526" s="2">
        <v>0</v>
      </c>
      <c r="W1526" s="2">
        <v>4</v>
      </c>
      <c r="X1526" s="2">
        <v>5</v>
      </c>
    </row>
    <row r="1527" spans="1:24" x14ac:dyDescent="0.35">
      <c r="A1527">
        <v>54</v>
      </c>
      <c r="B1527">
        <v>23910</v>
      </c>
      <c r="C1527">
        <v>51</v>
      </c>
      <c r="D1527">
        <v>1</v>
      </c>
      <c r="E1527" s="28">
        <v>7.5890410958904111</v>
      </c>
      <c r="F1527" s="28"/>
      <c r="G1527" s="28"/>
      <c r="H1527" s="28"/>
      <c r="I1527" s="28"/>
      <c r="J1527" s="28"/>
      <c r="L1527" s="37">
        <v>54</v>
      </c>
      <c r="M1527" s="3">
        <v>80</v>
      </c>
      <c r="N1527" s="3">
        <v>16</v>
      </c>
      <c r="O1527" s="3">
        <v>12</v>
      </c>
      <c r="P1527" s="3">
        <v>18</v>
      </c>
      <c r="Q1527" s="3">
        <v>7</v>
      </c>
      <c r="R1527" s="3">
        <v>1</v>
      </c>
      <c r="S1527" s="3">
        <v>13</v>
      </c>
      <c r="T1527" s="3">
        <v>1</v>
      </c>
      <c r="U1527" s="3">
        <v>2</v>
      </c>
      <c r="V1527" s="3">
        <v>0</v>
      </c>
      <c r="W1527" s="3">
        <v>3</v>
      </c>
      <c r="X1527" s="3">
        <v>7</v>
      </c>
    </row>
    <row r="1528" spans="1:24" x14ac:dyDescent="0.35">
      <c r="A1528">
        <v>54</v>
      </c>
      <c r="B1528">
        <v>27238</v>
      </c>
      <c r="C1528">
        <v>58</v>
      </c>
      <c r="D1528">
        <v>1</v>
      </c>
      <c r="E1528" s="28">
        <v>7.1068493150684935</v>
      </c>
      <c r="F1528" s="28"/>
      <c r="G1528" s="28"/>
      <c r="H1528" s="28"/>
      <c r="I1528" s="28"/>
      <c r="J1528" s="28"/>
      <c r="L1528" s="38">
        <v>54</v>
      </c>
      <c r="M1528" s="2">
        <v>39</v>
      </c>
      <c r="N1528" s="2">
        <v>37</v>
      </c>
      <c r="O1528" s="2">
        <v>0</v>
      </c>
      <c r="P1528" s="2">
        <v>17</v>
      </c>
      <c r="Q1528" s="2">
        <v>0</v>
      </c>
      <c r="R1528" s="2">
        <v>0</v>
      </c>
      <c r="S1528" s="2">
        <v>3</v>
      </c>
      <c r="T1528" s="2">
        <v>3</v>
      </c>
      <c r="U1528" s="2">
        <v>3</v>
      </c>
      <c r="V1528" s="2">
        <v>0</v>
      </c>
      <c r="W1528" s="2">
        <v>3</v>
      </c>
      <c r="X1528" s="2">
        <v>9</v>
      </c>
    </row>
    <row r="1529" spans="1:24" x14ac:dyDescent="0.35">
      <c r="A1529">
        <v>54</v>
      </c>
      <c r="B1529">
        <v>40304</v>
      </c>
      <c r="C1529">
        <v>53</v>
      </c>
      <c r="D1529">
        <v>1</v>
      </c>
      <c r="E1529" s="28">
        <v>6.6602739726027398</v>
      </c>
      <c r="F1529" s="28"/>
      <c r="G1529" s="28"/>
      <c r="H1529" s="28"/>
      <c r="I1529" s="28"/>
      <c r="J1529" s="28"/>
      <c r="L1529" s="37">
        <v>54</v>
      </c>
      <c r="M1529" s="3">
        <v>82</v>
      </c>
      <c r="N1529" s="3">
        <v>37</v>
      </c>
      <c r="O1529" s="3">
        <v>0</v>
      </c>
      <c r="P1529" s="3">
        <v>17</v>
      </c>
      <c r="Q1529" s="3">
        <v>0</v>
      </c>
      <c r="R1529" s="3">
        <v>0</v>
      </c>
      <c r="S1529" s="3">
        <v>3</v>
      </c>
      <c r="T1529" s="3">
        <v>1</v>
      </c>
      <c r="U1529" s="3">
        <v>2</v>
      </c>
      <c r="V1529" s="3">
        <v>0</v>
      </c>
      <c r="W1529" s="3">
        <v>3</v>
      </c>
      <c r="X1529" s="3">
        <v>7</v>
      </c>
    </row>
    <row r="1530" spans="1:24" x14ac:dyDescent="0.35">
      <c r="A1530">
        <v>54</v>
      </c>
      <c r="B1530">
        <v>26850</v>
      </c>
      <c r="C1530">
        <v>49</v>
      </c>
      <c r="D1530">
        <v>1</v>
      </c>
      <c r="E1530" s="28">
        <v>6.1123287671232873</v>
      </c>
      <c r="F1530" s="28"/>
      <c r="G1530" s="28"/>
      <c r="H1530" s="28"/>
      <c r="I1530" s="28"/>
      <c r="J1530" s="28"/>
      <c r="L1530" s="38">
        <v>54</v>
      </c>
      <c r="M1530" s="2">
        <v>10</v>
      </c>
      <c r="N1530" s="2">
        <v>31</v>
      </c>
      <c r="O1530" s="2">
        <v>1</v>
      </c>
      <c r="P1530" s="2">
        <v>13</v>
      </c>
      <c r="Q1530" s="2">
        <v>7</v>
      </c>
      <c r="R1530" s="2">
        <v>2</v>
      </c>
      <c r="S1530" s="2">
        <v>9</v>
      </c>
      <c r="T1530" s="2">
        <v>4</v>
      </c>
      <c r="U1530" s="2">
        <v>2</v>
      </c>
      <c r="V1530" s="2">
        <v>1</v>
      </c>
      <c r="W1530" s="2">
        <v>4</v>
      </c>
      <c r="X1530" s="2">
        <v>4</v>
      </c>
    </row>
    <row r="1531" spans="1:24" x14ac:dyDescent="0.35">
      <c r="A1531">
        <v>54</v>
      </c>
      <c r="B1531">
        <v>37760</v>
      </c>
      <c r="C1531">
        <v>48</v>
      </c>
      <c r="D1531">
        <v>1</v>
      </c>
      <c r="E1531" s="28">
        <v>6.7972602739726025</v>
      </c>
      <c r="F1531" s="28"/>
      <c r="G1531" s="28"/>
      <c r="H1531" s="28"/>
      <c r="I1531" s="28"/>
      <c r="J1531" s="28"/>
      <c r="L1531" s="37">
        <v>54</v>
      </c>
      <c r="M1531" s="3">
        <v>54</v>
      </c>
      <c r="N1531" s="3">
        <v>26</v>
      </c>
      <c r="O1531" s="3">
        <v>3</v>
      </c>
      <c r="P1531" s="3">
        <v>13</v>
      </c>
      <c r="Q1531" s="3">
        <v>2</v>
      </c>
      <c r="R1531" s="3">
        <v>10</v>
      </c>
      <c r="S1531" s="3">
        <v>0</v>
      </c>
      <c r="T1531" s="3">
        <v>1</v>
      </c>
      <c r="U1531" s="3">
        <v>2</v>
      </c>
      <c r="V1531" s="3">
        <v>0</v>
      </c>
      <c r="W1531" s="3">
        <v>3</v>
      </c>
      <c r="X1531" s="3">
        <v>6</v>
      </c>
    </row>
    <row r="1532" spans="1:24" x14ac:dyDescent="0.35">
      <c r="A1532">
        <v>54</v>
      </c>
      <c r="B1532">
        <v>32952</v>
      </c>
      <c r="C1532">
        <v>43</v>
      </c>
      <c r="D1532">
        <v>1</v>
      </c>
      <c r="E1532" s="28">
        <v>6.4904109589041097</v>
      </c>
      <c r="F1532" s="28"/>
      <c r="G1532" s="28"/>
      <c r="H1532" s="28"/>
      <c r="I1532" s="28"/>
      <c r="J1532" s="28"/>
      <c r="L1532" s="38">
        <v>54</v>
      </c>
      <c r="M1532" s="2">
        <v>36</v>
      </c>
      <c r="N1532" s="2">
        <v>38</v>
      </c>
      <c r="O1532" s="2">
        <v>0</v>
      </c>
      <c r="P1532" s="2">
        <v>12</v>
      </c>
      <c r="Q1532" s="2">
        <v>3</v>
      </c>
      <c r="R1532" s="2">
        <v>1</v>
      </c>
      <c r="S1532" s="2">
        <v>1</v>
      </c>
      <c r="T1532" s="2">
        <v>1</v>
      </c>
      <c r="U1532" s="2">
        <v>2</v>
      </c>
      <c r="V1532" s="2">
        <v>0</v>
      </c>
      <c r="W1532" s="2">
        <v>3</v>
      </c>
      <c r="X1532" s="2">
        <v>7</v>
      </c>
    </row>
    <row r="1533" spans="1:24" x14ac:dyDescent="0.35">
      <c r="A1533">
        <v>54</v>
      </c>
      <c r="B1533">
        <v>15038</v>
      </c>
      <c r="C1533">
        <v>33</v>
      </c>
      <c r="D1533">
        <v>1</v>
      </c>
      <c r="E1533" s="28">
        <v>7.3287671232876717</v>
      </c>
      <c r="F1533" s="28"/>
      <c r="G1533" s="28"/>
      <c r="H1533" s="28"/>
      <c r="I1533" s="28"/>
      <c r="J1533" s="28"/>
      <c r="L1533" s="37">
        <v>54</v>
      </c>
      <c r="M1533" s="3">
        <v>93</v>
      </c>
      <c r="N1533" s="3">
        <v>4</v>
      </c>
      <c r="O1533" s="3">
        <v>8</v>
      </c>
      <c r="P1533" s="3">
        <v>11</v>
      </c>
      <c r="Q1533" s="3">
        <v>19</v>
      </c>
      <c r="R1533" s="3">
        <v>12</v>
      </c>
      <c r="S1533" s="3">
        <v>26</v>
      </c>
      <c r="T1533" s="3">
        <v>2</v>
      </c>
      <c r="U1533" s="3">
        <v>2</v>
      </c>
      <c r="V1533" s="3">
        <v>1</v>
      </c>
      <c r="W1533" s="3">
        <v>2</v>
      </c>
      <c r="X1533" s="3">
        <v>9</v>
      </c>
    </row>
    <row r="1534" spans="1:24" x14ac:dyDescent="0.35">
      <c r="A1534">
        <v>54</v>
      </c>
      <c r="B1534">
        <v>30477</v>
      </c>
      <c r="C1534">
        <v>36</v>
      </c>
      <c r="D1534">
        <v>1</v>
      </c>
      <c r="E1534" s="28">
        <v>6.3479452054794523</v>
      </c>
      <c r="F1534" s="28"/>
      <c r="G1534" s="28"/>
      <c r="H1534" s="28"/>
      <c r="I1534" s="28"/>
      <c r="J1534" s="28"/>
      <c r="L1534" s="38">
        <v>54</v>
      </c>
      <c r="M1534" s="2">
        <v>16</v>
      </c>
      <c r="N1534" s="2">
        <v>47</v>
      </c>
      <c r="O1534" s="2">
        <v>1</v>
      </c>
      <c r="P1534" s="2">
        <v>6</v>
      </c>
      <c r="Q1534" s="2">
        <v>0</v>
      </c>
      <c r="R1534" s="2">
        <v>0</v>
      </c>
      <c r="S1534" s="2">
        <v>12</v>
      </c>
      <c r="T1534" s="2">
        <v>1</v>
      </c>
      <c r="U1534" s="2">
        <v>1</v>
      </c>
      <c r="V1534" s="2">
        <v>1</v>
      </c>
      <c r="W1534" s="2">
        <v>3</v>
      </c>
      <c r="X1534" s="2">
        <v>6</v>
      </c>
    </row>
    <row r="1535" spans="1:24" x14ac:dyDescent="0.35">
      <c r="A1535">
        <v>53</v>
      </c>
      <c r="B1535">
        <v>30093</v>
      </c>
      <c r="C1535">
        <v>30</v>
      </c>
      <c r="D1535">
        <v>0</v>
      </c>
      <c r="E1535" s="28">
        <v>6.8904109589041092</v>
      </c>
      <c r="F1535" s="28"/>
      <c r="G1535" s="28"/>
      <c r="H1535" s="28"/>
      <c r="I1535" s="28"/>
      <c r="J1535" s="28"/>
      <c r="L1535" s="37">
        <v>53</v>
      </c>
      <c r="M1535" s="3">
        <v>19</v>
      </c>
      <c r="N1535" s="3">
        <v>2</v>
      </c>
      <c r="O1535" s="3">
        <v>6</v>
      </c>
      <c r="P1535" s="3">
        <v>28</v>
      </c>
      <c r="Q1535" s="3">
        <v>13</v>
      </c>
      <c r="R1535" s="3">
        <v>4</v>
      </c>
      <c r="S1535" s="3">
        <v>16</v>
      </c>
      <c r="T1535" s="3">
        <v>1</v>
      </c>
      <c r="U1535" s="3">
        <v>2</v>
      </c>
      <c r="V1535" s="3">
        <v>0</v>
      </c>
      <c r="W1535" s="3">
        <v>3</v>
      </c>
      <c r="X1535" s="3">
        <v>7</v>
      </c>
    </row>
    <row r="1536" spans="1:24" x14ac:dyDescent="0.35">
      <c r="A1536">
        <v>53</v>
      </c>
      <c r="B1536">
        <v>48767</v>
      </c>
      <c r="C1536">
        <v>70</v>
      </c>
      <c r="D1536">
        <v>1</v>
      </c>
      <c r="E1536" s="28">
        <v>6.4054794520547942</v>
      </c>
      <c r="F1536" s="28"/>
      <c r="G1536" s="28"/>
      <c r="H1536" s="28"/>
      <c r="I1536" s="28"/>
      <c r="J1536" s="28"/>
      <c r="L1536" s="38">
        <v>53</v>
      </c>
      <c r="M1536" s="2">
        <v>79</v>
      </c>
      <c r="N1536" s="2">
        <v>28</v>
      </c>
      <c r="O1536" s="2">
        <v>1</v>
      </c>
      <c r="P1536" s="2">
        <v>21</v>
      </c>
      <c r="Q1536" s="2">
        <v>3</v>
      </c>
      <c r="R1536" s="2">
        <v>0</v>
      </c>
      <c r="S1536" s="2">
        <v>10</v>
      </c>
      <c r="T1536" s="2">
        <v>3</v>
      </c>
      <c r="U1536" s="2">
        <v>2</v>
      </c>
      <c r="V1536" s="2">
        <v>1</v>
      </c>
      <c r="W1536" s="2">
        <v>3</v>
      </c>
      <c r="X1536" s="2">
        <v>5</v>
      </c>
    </row>
    <row r="1537" spans="1:24" x14ac:dyDescent="0.35">
      <c r="A1537">
        <v>53</v>
      </c>
      <c r="B1537">
        <v>18222</v>
      </c>
      <c r="C1537">
        <v>30</v>
      </c>
      <c r="D1537">
        <v>0</v>
      </c>
      <c r="E1537" s="28">
        <v>7.4082191780821915</v>
      </c>
      <c r="F1537" s="28"/>
      <c r="G1537" s="28"/>
      <c r="H1537" s="28"/>
      <c r="I1537" s="28"/>
      <c r="J1537" s="28"/>
      <c r="L1537" s="37">
        <v>53</v>
      </c>
      <c r="M1537" s="3">
        <v>70</v>
      </c>
      <c r="N1537" s="3">
        <v>12</v>
      </c>
      <c r="O1537" s="3">
        <v>4</v>
      </c>
      <c r="P1537" s="3">
        <v>19</v>
      </c>
      <c r="Q1537" s="3">
        <v>12</v>
      </c>
      <c r="R1537" s="3">
        <v>6</v>
      </c>
      <c r="S1537" s="3">
        <v>14</v>
      </c>
      <c r="T1537" s="3">
        <v>1</v>
      </c>
      <c r="U1537" s="3">
        <v>2</v>
      </c>
      <c r="V1537" s="3">
        <v>0</v>
      </c>
      <c r="W1537" s="3">
        <v>3</v>
      </c>
      <c r="X1537" s="3">
        <v>8</v>
      </c>
    </row>
    <row r="1538" spans="1:24" x14ac:dyDescent="0.35">
      <c r="A1538">
        <v>53</v>
      </c>
      <c r="B1538">
        <v>18358</v>
      </c>
      <c r="C1538">
        <v>31</v>
      </c>
      <c r="D1538">
        <v>1</v>
      </c>
      <c r="E1538" s="28">
        <v>6.5205479452054798</v>
      </c>
      <c r="F1538" s="28"/>
      <c r="G1538" s="28"/>
      <c r="H1538" s="28"/>
      <c r="I1538" s="28"/>
      <c r="J1538" s="28"/>
      <c r="L1538" s="38">
        <v>53</v>
      </c>
      <c r="M1538" s="2">
        <v>49</v>
      </c>
      <c r="N1538" s="2">
        <v>6</v>
      </c>
      <c r="O1538" s="2">
        <v>8</v>
      </c>
      <c r="P1538" s="2">
        <v>19</v>
      </c>
      <c r="Q1538" s="2">
        <v>16</v>
      </c>
      <c r="R1538" s="2">
        <v>4</v>
      </c>
      <c r="S1538" s="2">
        <v>4</v>
      </c>
      <c r="T1538" s="2">
        <v>3</v>
      </c>
      <c r="U1538" s="2">
        <v>3</v>
      </c>
      <c r="V1538" s="2">
        <v>0</v>
      </c>
      <c r="W1538" s="2">
        <v>4</v>
      </c>
      <c r="X1538" s="2">
        <v>7</v>
      </c>
    </row>
    <row r="1539" spans="1:24" x14ac:dyDescent="0.35">
      <c r="A1539">
        <v>53</v>
      </c>
      <c r="B1539">
        <v>49572</v>
      </c>
      <c r="C1539">
        <v>62</v>
      </c>
      <c r="D1539">
        <v>1</v>
      </c>
      <c r="E1539" s="28">
        <v>6.4520547945205475</v>
      </c>
      <c r="F1539" s="28"/>
      <c r="G1539" s="28"/>
      <c r="H1539" s="28"/>
      <c r="I1539" s="28"/>
      <c r="J1539" s="28"/>
      <c r="L1539" s="37">
        <v>53</v>
      </c>
      <c r="M1539" s="3">
        <v>25</v>
      </c>
      <c r="N1539" s="3">
        <v>35</v>
      </c>
      <c r="O1539" s="3">
        <v>1</v>
      </c>
      <c r="P1539" s="3">
        <v>16</v>
      </c>
      <c r="Q1539" s="3">
        <v>0</v>
      </c>
      <c r="R1539" s="3">
        <v>1</v>
      </c>
      <c r="S1539" s="3">
        <v>1</v>
      </c>
      <c r="T1539" s="3">
        <v>2</v>
      </c>
      <c r="U1539" s="3">
        <v>2</v>
      </c>
      <c r="V1539" s="3">
        <v>0</v>
      </c>
      <c r="W1539" s="3">
        <v>3</v>
      </c>
      <c r="X1539" s="3">
        <v>7</v>
      </c>
    </row>
    <row r="1540" spans="1:24" x14ac:dyDescent="0.35">
      <c r="A1540">
        <v>53</v>
      </c>
      <c r="B1540">
        <v>29440</v>
      </c>
      <c r="C1540">
        <v>60</v>
      </c>
      <c r="D1540">
        <v>1</v>
      </c>
      <c r="E1540" s="28">
        <v>6.7972602739726025</v>
      </c>
      <c r="F1540" s="28"/>
      <c r="G1540" s="28"/>
      <c r="H1540" s="28"/>
      <c r="I1540" s="28"/>
      <c r="J1540" s="28"/>
      <c r="L1540" s="38">
        <v>53</v>
      </c>
      <c r="M1540" s="2">
        <v>95</v>
      </c>
      <c r="N1540" s="2">
        <v>17</v>
      </c>
      <c r="O1540" s="2">
        <v>8</v>
      </c>
      <c r="P1540" s="2">
        <v>14</v>
      </c>
      <c r="Q1540" s="2">
        <v>10</v>
      </c>
      <c r="R1540" s="2">
        <v>4</v>
      </c>
      <c r="S1540" s="2">
        <v>3</v>
      </c>
      <c r="T1540" s="2">
        <v>2</v>
      </c>
      <c r="U1540" s="2">
        <v>1</v>
      </c>
      <c r="V1540" s="2">
        <v>0</v>
      </c>
      <c r="W1540" s="2">
        <v>4</v>
      </c>
      <c r="X1540" s="2">
        <v>7</v>
      </c>
    </row>
    <row r="1541" spans="1:24" x14ac:dyDescent="0.35">
      <c r="A1541">
        <v>53</v>
      </c>
      <c r="B1541">
        <v>39453</v>
      </c>
      <c r="C1541">
        <v>37</v>
      </c>
      <c r="D1541">
        <v>1</v>
      </c>
      <c r="E1541" s="28">
        <v>6.1534246575342468</v>
      </c>
      <c r="F1541" s="28"/>
      <c r="G1541" s="28"/>
      <c r="H1541" s="28"/>
      <c r="I1541" s="28"/>
      <c r="J1541" s="28"/>
      <c r="L1541" s="37">
        <v>53</v>
      </c>
      <c r="M1541" s="3">
        <v>64</v>
      </c>
      <c r="N1541" s="3">
        <v>46</v>
      </c>
      <c r="O1541" s="3">
        <v>0</v>
      </c>
      <c r="P1541" s="3">
        <v>7</v>
      </c>
      <c r="Q1541" s="3">
        <v>0</v>
      </c>
      <c r="R1541" s="3">
        <v>0</v>
      </c>
      <c r="S1541" s="3">
        <v>2</v>
      </c>
      <c r="T1541" s="3">
        <v>2</v>
      </c>
      <c r="U1541" s="3">
        <v>2</v>
      </c>
      <c r="V1541" s="3">
        <v>0</v>
      </c>
      <c r="W1541" s="3">
        <v>3</v>
      </c>
      <c r="X1541" s="3">
        <v>6</v>
      </c>
    </row>
    <row r="1542" spans="1:24" x14ac:dyDescent="0.35">
      <c r="A1542">
        <v>52</v>
      </c>
      <c r="B1542">
        <v>30015</v>
      </c>
      <c r="C1542">
        <v>50</v>
      </c>
      <c r="D1542">
        <v>1</v>
      </c>
      <c r="E1542" s="28">
        <v>6.3178082191780822</v>
      </c>
      <c r="F1542" s="28"/>
      <c r="G1542" s="28"/>
      <c r="H1542" s="28"/>
      <c r="I1542" s="28"/>
      <c r="J1542" s="28"/>
      <c r="L1542" s="38">
        <v>52</v>
      </c>
      <c r="M1542" s="2">
        <v>28</v>
      </c>
      <c r="N1542" s="2">
        <v>25</v>
      </c>
      <c r="O1542" s="2">
        <v>0</v>
      </c>
      <c r="P1542" s="2">
        <v>22</v>
      </c>
      <c r="Q1542" s="2">
        <v>2</v>
      </c>
      <c r="R1542" s="2">
        <v>3</v>
      </c>
      <c r="S1542" s="2">
        <v>5</v>
      </c>
      <c r="T1542" s="2">
        <v>2</v>
      </c>
      <c r="U1542" s="2">
        <v>1</v>
      </c>
      <c r="V1542" s="2">
        <v>0</v>
      </c>
      <c r="W1542" s="2">
        <v>4</v>
      </c>
      <c r="X1542" s="2">
        <v>5</v>
      </c>
    </row>
    <row r="1543" spans="1:24" x14ac:dyDescent="0.35">
      <c r="A1543">
        <v>52</v>
      </c>
      <c r="B1543">
        <v>41275</v>
      </c>
      <c r="C1543">
        <v>60</v>
      </c>
      <c r="D1543">
        <v>1</v>
      </c>
      <c r="E1543" s="28">
        <v>6.1808219178082195</v>
      </c>
      <c r="F1543" s="28"/>
      <c r="G1543" s="28"/>
      <c r="H1543" s="28"/>
      <c r="I1543" s="28"/>
      <c r="J1543" s="28"/>
      <c r="L1543" s="37">
        <v>52</v>
      </c>
      <c r="M1543" s="3">
        <v>33</v>
      </c>
      <c r="N1543" s="3">
        <v>24</v>
      </c>
      <c r="O1543" s="3">
        <v>4</v>
      </c>
      <c r="P1543" s="3">
        <v>22</v>
      </c>
      <c r="Q1543" s="3">
        <v>0</v>
      </c>
      <c r="R1543" s="3">
        <v>2</v>
      </c>
      <c r="S1543" s="3">
        <v>9</v>
      </c>
      <c r="T1543" s="3">
        <v>4</v>
      </c>
      <c r="U1543" s="3">
        <v>3</v>
      </c>
      <c r="V1543" s="3">
        <v>1</v>
      </c>
      <c r="W1543" s="3">
        <v>3</v>
      </c>
      <c r="X1543" s="3">
        <v>5</v>
      </c>
    </row>
    <row r="1544" spans="1:24" x14ac:dyDescent="0.35">
      <c r="A1544">
        <v>52</v>
      </c>
      <c r="B1544">
        <v>51111</v>
      </c>
      <c r="C1544">
        <v>39</v>
      </c>
      <c r="D1544">
        <v>1</v>
      </c>
      <c r="E1544" s="28">
        <v>5.9424657534246572</v>
      </c>
      <c r="F1544" s="28"/>
      <c r="G1544" s="28"/>
      <c r="H1544" s="28"/>
      <c r="I1544" s="28"/>
      <c r="J1544" s="28"/>
      <c r="L1544" s="38">
        <v>52</v>
      </c>
      <c r="M1544" s="2">
        <v>83</v>
      </c>
      <c r="N1544" s="2">
        <v>22</v>
      </c>
      <c r="O1544" s="2">
        <v>0</v>
      </c>
      <c r="P1544" s="2">
        <v>19</v>
      </c>
      <c r="Q1544" s="2">
        <v>6</v>
      </c>
      <c r="R1544" s="2">
        <v>5</v>
      </c>
      <c r="S1544" s="2">
        <v>3</v>
      </c>
      <c r="T1544" s="2">
        <v>2</v>
      </c>
      <c r="U1544" s="2">
        <v>2</v>
      </c>
      <c r="V1544" s="2">
        <v>0</v>
      </c>
      <c r="W1544" s="2">
        <v>3</v>
      </c>
      <c r="X1544" s="2">
        <v>6</v>
      </c>
    </row>
    <row r="1545" spans="1:24" x14ac:dyDescent="0.35">
      <c r="A1545">
        <v>52</v>
      </c>
      <c r="B1545">
        <v>23957</v>
      </c>
      <c r="C1545">
        <v>45</v>
      </c>
      <c r="D1545">
        <v>1</v>
      </c>
      <c r="E1545" s="28">
        <v>7.5835616438356164</v>
      </c>
      <c r="F1545" s="28"/>
      <c r="G1545" s="28"/>
      <c r="H1545" s="28"/>
      <c r="I1545" s="28"/>
      <c r="J1545" s="28"/>
      <c r="L1545" s="37">
        <v>52</v>
      </c>
      <c r="M1545" s="3">
        <v>47</v>
      </c>
      <c r="N1545" s="3">
        <v>2</v>
      </c>
      <c r="O1545" s="3">
        <v>1</v>
      </c>
      <c r="P1545" s="3">
        <v>18</v>
      </c>
      <c r="Q1545" s="3">
        <v>20</v>
      </c>
      <c r="R1545" s="3">
        <v>11</v>
      </c>
      <c r="S1545" s="3">
        <v>16</v>
      </c>
      <c r="T1545" s="3">
        <v>1</v>
      </c>
      <c r="U1545" s="3">
        <v>2</v>
      </c>
      <c r="V1545" s="3">
        <v>0</v>
      </c>
      <c r="W1545" s="3">
        <v>3</v>
      </c>
      <c r="X1545" s="3">
        <v>6</v>
      </c>
    </row>
    <row r="1546" spans="1:24" x14ac:dyDescent="0.35">
      <c r="A1546">
        <v>52</v>
      </c>
      <c r="B1546">
        <v>35246</v>
      </c>
      <c r="C1546">
        <v>62</v>
      </c>
      <c r="D1546">
        <v>1</v>
      </c>
      <c r="E1546" s="28">
        <v>6.117808219178082</v>
      </c>
      <c r="F1546" s="28"/>
      <c r="G1546" s="28"/>
      <c r="H1546" s="28"/>
      <c r="I1546" s="28"/>
      <c r="J1546" s="28"/>
      <c r="L1546" s="38">
        <v>52</v>
      </c>
      <c r="M1546" s="2">
        <v>53</v>
      </c>
      <c r="N1546" s="2">
        <v>36</v>
      </c>
      <c r="O1546" s="2">
        <v>0</v>
      </c>
      <c r="P1546" s="2">
        <v>12</v>
      </c>
      <c r="Q1546" s="2">
        <v>2</v>
      </c>
      <c r="R1546" s="2">
        <v>2</v>
      </c>
      <c r="S1546" s="2">
        <v>10</v>
      </c>
      <c r="T1546" s="2">
        <v>4</v>
      </c>
      <c r="U1546" s="2">
        <v>3</v>
      </c>
      <c r="V1546" s="2">
        <v>1</v>
      </c>
      <c r="W1546" s="2">
        <v>3</v>
      </c>
      <c r="X1546" s="2">
        <v>5</v>
      </c>
    </row>
    <row r="1547" spans="1:24" x14ac:dyDescent="0.35">
      <c r="A1547">
        <v>52</v>
      </c>
      <c r="B1547">
        <v>17148</v>
      </c>
      <c r="C1547">
        <v>44</v>
      </c>
      <c r="D1547">
        <v>1</v>
      </c>
      <c r="E1547" s="28">
        <v>6.3315068493150681</v>
      </c>
      <c r="F1547" s="28"/>
      <c r="G1547" s="28"/>
      <c r="H1547" s="28"/>
      <c r="I1547" s="28"/>
      <c r="J1547" s="28"/>
      <c r="L1547" s="37">
        <v>52</v>
      </c>
      <c r="M1547" s="3">
        <v>80</v>
      </c>
      <c r="N1547" s="3">
        <v>9</v>
      </c>
      <c r="O1547" s="3">
        <v>9</v>
      </c>
      <c r="P1547" s="3">
        <v>11</v>
      </c>
      <c r="Q1547" s="3">
        <v>13</v>
      </c>
      <c r="R1547" s="3">
        <v>10</v>
      </c>
      <c r="S1547" s="3">
        <v>16</v>
      </c>
      <c r="T1547" s="3">
        <v>4</v>
      </c>
      <c r="U1547" s="3">
        <v>3</v>
      </c>
      <c r="V1547" s="3">
        <v>1</v>
      </c>
      <c r="W1547" s="3">
        <v>3</v>
      </c>
      <c r="X1547" s="3">
        <v>8</v>
      </c>
    </row>
    <row r="1548" spans="1:24" x14ac:dyDescent="0.35">
      <c r="A1548">
        <v>52</v>
      </c>
      <c r="B1548">
        <v>19656</v>
      </c>
      <c r="C1548">
        <v>50</v>
      </c>
      <c r="D1548">
        <v>1</v>
      </c>
      <c r="E1548" s="28">
        <v>7.3013698630136989</v>
      </c>
      <c r="F1548" s="28"/>
      <c r="G1548" s="28"/>
      <c r="H1548" s="28"/>
      <c r="I1548" s="28"/>
      <c r="J1548" s="28"/>
      <c r="L1548" s="38">
        <v>52</v>
      </c>
      <c r="M1548" s="2">
        <v>94</v>
      </c>
      <c r="N1548" s="2">
        <v>25</v>
      </c>
      <c r="O1548" s="2">
        <v>4</v>
      </c>
      <c r="P1548" s="2">
        <v>9</v>
      </c>
      <c r="Q1548" s="2">
        <v>6</v>
      </c>
      <c r="R1548" s="2">
        <v>8</v>
      </c>
      <c r="S1548" s="2">
        <v>32</v>
      </c>
      <c r="T1548" s="2">
        <v>3</v>
      </c>
      <c r="U1548" s="2">
        <v>2</v>
      </c>
      <c r="V1548" s="2">
        <v>1</v>
      </c>
      <c r="W1548" s="2">
        <v>3</v>
      </c>
      <c r="X1548" s="2">
        <v>7</v>
      </c>
    </row>
    <row r="1549" spans="1:24" x14ac:dyDescent="0.35">
      <c r="A1549">
        <v>52</v>
      </c>
      <c r="B1549">
        <v>31626</v>
      </c>
      <c r="C1549">
        <v>42</v>
      </c>
      <c r="D1549">
        <v>1</v>
      </c>
      <c r="E1549" s="28">
        <v>7.0520547945205481</v>
      </c>
      <c r="F1549" s="28"/>
      <c r="G1549" s="28"/>
      <c r="H1549" s="28"/>
      <c r="I1549" s="28"/>
      <c r="J1549" s="28"/>
      <c r="L1549" s="37">
        <v>52</v>
      </c>
      <c r="M1549" s="3">
        <v>12</v>
      </c>
      <c r="N1549" s="3">
        <v>39</v>
      </c>
      <c r="O1549" s="3">
        <v>1</v>
      </c>
      <c r="P1549" s="3">
        <v>9</v>
      </c>
      <c r="Q1549" s="3">
        <v>2</v>
      </c>
      <c r="R1549" s="3">
        <v>1</v>
      </c>
      <c r="S1549" s="3">
        <v>34</v>
      </c>
      <c r="T1549" s="3">
        <v>1</v>
      </c>
      <c r="U1549" s="3">
        <v>2</v>
      </c>
      <c r="V1549" s="3">
        <v>1</v>
      </c>
      <c r="W1549" s="3">
        <v>2</v>
      </c>
      <c r="X1549" s="3">
        <v>7</v>
      </c>
    </row>
    <row r="1550" spans="1:24" x14ac:dyDescent="0.35">
      <c r="A1550">
        <v>52</v>
      </c>
      <c r="B1550">
        <v>41021</v>
      </c>
      <c r="C1550">
        <v>51</v>
      </c>
      <c r="D1550">
        <v>1</v>
      </c>
      <c r="E1550" s="28">
        <v>7.4109589041095889</v>
      </c>
      <c r="F1550" s="28"/>
      <c r="G1550" s="28"/>
      <c r="H1550" s="28"/>
      <c r="I1550" s="28"/>
      <c r="J1550" s="28"/>
      <c r="L1550" s="38">
        <v>52</v>
      </c>
      <c r="M1550" s="2">
        <v>12</v>
      </c>
      <c r="N1550" s="2">
        <v>14</v>
      </c>
      <c r="O1550" s="2">
        <v>7</v>
      </c>
      <c r="P1550" s="2">
        <v>9</v>
      </c>
      <c r="Q1550" s="2">
        <v>6</v>
      </c>
      <c r="R1550" s="2">
        <v>16</v>
      </c>
      <c r="S1550" s="2">
        <v>12</v>
      </c>
      <c r="T1550" s="2">
        <v>2</v>
      </c>
      <c r="U1550" s="2">
        <v>2</v>
      </c>
      <c r="V1550" s="2">
        <v>0</v>
      </c>
      <c r="W1550" s="2">
        <v>3</v>
      </c>
      <c r="X1550" s="2">
        <v>6</v>
      </c>
    </row>
    <row r="1551" spans="1:24" x14ac:dyDescent="0.35">
      <c r="A1551">
        <v>51</v>
      </c>
      <c r="B1551">
        <v>24711</v>
      </c>
      <c r="C1551">
        <v>38</v>
      </c>
      <c r="D1551">
        <v>0</v>
      </c>
      <c r="E1551" s="28">
        <v>6.1123287671232873</v>
      </c>
      <c r="F1551" s="28"/>
      <c r="G1551" s="28"/>
      <c r="H1551" s="28"/>
      <c r="I1551" s="28"/>
      <c r="J1551" s="28"/>
      <c r="L1551" s="37">
        <v>51</v>
      </c>
      <c r="M1551" s="3">
        <v>86</v>
      </c>
      <c r="N1551" s="3">
        <v>10</v>
      </c>
      <c r="O1551" s="3">
        <v>7</v>
      </c>
      <c r="P1551" s="3">
        <v>25</v>
      </c>
      <c r="Q1551" s="3">
        <v>6</v>
      </c>
      <c r="R1551" s="3">
        <v>3</v>
      </c>
      <c r="S1551" s="3">
        <v>7</v>
      </c>
      <c r="T1551" s="3">
        <v>1</v>
      </c>
      <c r="U1551" s="3">
        <v>3</v>
      </c>
      <c r="V1551" s="3">
        <v>0</v>
      </c>
      <c r="W1551" s="3">
        <v>3</v>
      </c>
      <c r="X1551" s="3">
        <v>7</v>
      </c>
    </row>
    <row r="1552" spans="1:24" x14ac:dyDescent="0.35">
      <c r="A1552">
        <v>51</v>
      </c>
      <c r="B1552">
        <v>30753</v>
      </c>
      <c r="C1552">
        <v>53</v>
      </c>
      <c r="D1552">
        <v>1</v>
      </c>
      <c r="E1552" s="28">
        <v>6.882191780821918</v>
      </c>
      <c r="F1552" s="28"/>
      <c r="G1552" s="28"/>
      <c r="H1552" s="28"/>
      <c r="I1552" s="28"/>
      <c r="J1552" s="28"/>
      <c r="L1552" s="38">
        <v>51</v>
      </c>
      <c r="M1552" s="2">
        <v>85</v>
      </c>
      <c r="N1552" s="2">
        <v>12</v>
      </c>
      <c r="O1552" s="2">
        <v>5</v>
      </c>
      <c r="P1552" s="2">
        <v>25</v>
      </c>
      <c r="Q1552" s="2">
        <v>0</v>
      </c>
      <c r="R1552" s="2">
        <v>9</v>
      </c>
      <c r="S1552" s="2">
        <v>30</v>
      </c>
      <c r="T1552" s="2">
        <v>2</v>
      </c>
      <c r="U1552" s="2">
        <v>1</v>
      </c>
      <c r="V1552" s="2">
        <v>1</v>
      </c>
      <c r="W1552" s="2">
        <v>3</v>
      </c>
      <c r="X1552" s="2">
        <v>5</v>
      </c>
    </row>
    <row r="1553" spans="1:24" x14ac:dyDescent="0.35">
      <c r="A1553">
        <v>51</v>
      </c>
      <c r="B1553">
        <v>31160</v>
      </c>
      <c r="C1553">
        <v>45</v>
      </c>
      <c r="D1553">
        <v>1</v>
      </c>
      <c r="E1553" s="28">
        <v>6.6986301369863011</v>
      </c>
      <c r="F1553" s="28"/>
      <c r="G1553" s="28"/>
      <c r="H1553" s="28"/>
      <c r="I1553" s="28"/>
      <c r="J1553" s="28"/>
      <c r="L1553" s="37">
        <v>51</v>
      </c>
      <c r="M1553" s="3">
        <v>59</v>
      </c>
      <c r="N1553" s="3">
        <v>16</v>
      </c>
      <c r="O1553" s="3">
        <v>3</v>
      </c>
      <c r="P1553" s="3">
        <v>25</v>
      </c>
      <c r="Q1553" s="3">
        <v>6</v>
      </c>
      <c r="R1553" s="3">
        <v>1</v>
      </c>
      <c r="S1553" s="3">
        <v>13</v>
      </c>
      <c r="T1553" s="3">
        <v>2</v>
      </c>
      <c r="U1553" s="3">
        <v>2</v>
      </c>
      <c r="V1553" s="3">
        <v>0</v>
      </c>
      <c r="W1553" s="3">
        <v>3</v>
      </c>
      <c r="X1553" s="3">
        <v>8</v>
      </c>
    </row>
    <row r="1554" spans="1:24" x14ac:dyDescent="0.35">
      <c r="A1554">
        <v>51</v>
      </c>
      <c r="B1554">
        <v>14906</v>
      </c>
      <c r="C1554">
        <v>34</v>
      </c>
      <c r="D1554">
        <v>0</v>
      </c>
      <c r="E1554" s="28">
        <v>7.4328767123287669</v>
      </c>
      <c r="F1554" s="28"/>
      <c r="G1554" s="28"/>
      <c r="H1554" s="28"/>
      <c r="I1554" s="28"/>
      <c r="J1554" s="28"/>
      <c r="L1554" s="38">
        <v>51</v>
      </c>
      <c r="M1554" s="2">
        <v>86</v>
      </c>
      <c r="N1554" s="2">
        <v>7</v>
      </c>
      <c r="O1554" s="2">
        <v>7</v>
      </c>
      <c r="P1554" s="2">
        <v>14</v>
      </c>
      <c r="Q1554" s="2">
        <v>7</v>
      </c>
      <c r="R1554" s="2">
        <v>16</v>
      </c>
      <c r="S1554" s="2">
        <v>15</v>
      </c>
      <c r="T1554" s="2">
        <v>3</v>
      </c>
      <c r="U1554" s="2">
        <v>2</v>
      </c>
      <c r="V1554" s="2">
        <v>1</v>
      </c>
      <c r="W1554" s="2">
        <v>3</v>
      </c>
      <c r="X1554" s="2">
        <v>7</v>
      </c>
    </row>
    <row r="1555" spans="1:24" x14ac:dyDescent="0.35">
      <c r="A1555">
        <v>51</v>
      </c>
      <c r="B1555">
        <v>28442</v>
      </c>
      <c r="C1555">
        <v>42</v>
      </c>
      <c r="D1555">
        <v>1</v>
      </c>
      <c r="E1555" s="28">
        <v>6.2575342465753421</v>
      </c>
      <c r="F1555" s="28"/>
      <c r="G1555" s="28"/>
      <c r="H1555" s="28"/>
      <c r="I1555" s="28"/>
      <c r="J1555" s="28"/>
      <c r="L1555" s="37">
        <v>51</v>
      </c>
      <c r="M1555" s="3">
        <v>53</v>
      </c>
      <c r="N1555" s="3">
        <v>19</v>
      </c>
      <c r="O1555" s="3">
        <v>3</v>
      </c>
      <c r="P1555" s="3">
        <v>10</v>
      </c>
      <c r="Q1555" s="3">
        <v>11</v>
      </c>
      <c r="R1555" s="3">
        <v>8</v>
      </c>
      <c r="S1555" s="3">
        <v>6</v>
      </c>
      <c r="T1555" s="3">
        <v>3</v>
      </c>
      <c r="U1555" s="3">
        <v>2</v>
      </c>
      <c r="V1555" s="3">
        <v>1</v>
      </c>
      <c r="W1555" s="3">
        <v>4</v>
      </c>
      <c r="X1555" s="3">
        <v>4</v>
      </c>
    </row>
    <row r="1556" spans="1:24" x14ac:dyDescent="0.35">
      <c r="A1556">
        <v>51</v>
      </c>
      <c r="B1556">
        <v>32144</v>
      </c>
      <c r="C1556">
        <v>66</v>
      </c>
      <c r="D1556">
        <v>1</v>
      </c>
      <c r="E1556" s="28">
        <v>6.183561643835616</v>
      </c>
      <c r="F1556" s="28"/>
      <c r="G1556" s="28"/>
      <c r="H1556" s="28"/>
      <c r="I1556" s="28"/>
      <c r="J1556" s="28"/>
      <c r="L1556" s="38">
        <v>51</v>
      </c>
      <c r="M1556" s="2">
        <v>76</v>
      </c>
      <c r="N1556" s="2">
        <v>41</v>
      </c>
      <c r="O1556" s="2">
        <v>0</v>
      </c>
      <c r="P1556" s="2">
        <v>10</v>
      </c>
      <c r="Q1556" s="2">
        <v>0</v>
      </c>
      <c r="R1556" s="2">
        <v>0</v>
      </c>
      <c r="S1556" s="2">
        <v>3</v>
      </c>
      <c r="T1556" s="2">
        <v>4</v>
      </c>
      <c r="U1556" s="2">
        <v>2</v>
      </c>
      <c r="V1556" s="2">
        <v>1</v>
      </c>
      <c r="W1556" s="2">
        <v>3</v>
      </c>
      <c r="X1556" s="2">
        <v>7</v>
      </c>
    </row>
    <row r="1557" spans="1:24" x14ac:dyDescent="0.35">
      <c r="A1557">
        <v>51</v>
      </c>
      <c r="B1557">
        <v>41986</v>
      </c>
      <c r="C1557">
        <v>42</v>
      </c>
      <c r="D1557">
        <v>1</v>
      </c>
      <c r="E1557" s="28">
        <v>6.2986301369863016</v>
      </c>
      <c r="F1557" s="28"/>
      <c r="G1557" s="28"/>
      <c r="H1557" s="28"/>
      <c r="I1557" s="28"/>
      <c r="J1557" s="28"/>
      <c r="L1557" s="37">
        <v>51</v>
      </c>
      <c r="M1557" s="3">
        <v>15</v>
      </c>
      <c r="N1557" s="3">
        <v>27</v>
      </c>
      <c r="O1557" s="3">
        <v>5</v>
      </c>
      <c r="P1557" s="3">
        <v>8</v>
      </c>
      <c r="Q1557" s="3">
        <v>8</v>
      </c>
      <c r="R1557" s="3">
        <v>3</v>
      </c>
      <c r="S1557" s="3">
        <v>12</v>
      </c>
      <c r="T1557" s="3">
        <v>3</v>
      </c>
      <c r="U1557" s="3">
        <v>3</v>
      </c>
      <c r="V1557" s="3">
        <v>0</v>
      </c>
      <c r="W1557" s="3">
        <v>4</v>
      </c>
      <c r="X1557" s="3">
        <v>4</v>
      </c>
    </row>
    <row r="1558" spans="1:24" x14ac:dyDescent="0.35">
      <c r="A1558">
        <v>50</v>
      </c>
      <c r="B1558">
        <v>30631</v>
      </c>
      <c r="C1558">
        <v>46</v>
      </c>
      <c r="D1558">
        <v>1</v>
      </c>
      <c r="E1558" s="28">
        <v>6.8794520547945206</v>
      </c>
      <c r="F1558" s="28"/>
      <c r="G1558" s="28"/>
      <c r="H1558" s="28"/>
      <c r="I1558" s="28"/>
      <c r="J1558" s="28"/>
      <c r="L1558" s="38">
        <v>50</v>
      </c>
      <c r="M1558" s="2">
        <v>75</v>
      </c>
      <c r="N1558" s="2">
        <v>15</v>
      </c>
      <c r="O1558" s="2">
        <v>6</v>
      </c>
      <c r="P1558" s="2">
        <v>20</v>
      </c>
      <c r="Q1558" s="2">
        <v>4</v>
      </c>
      <c r="R1558" s="2">
        <v>5</v>
      </c>
      <c r="S1558" s="2">
        <v>20</v>
      </c>
      <c r="T1558" s="2">
        <v>1</v>
      </c>
      <c r="U1558" s="2">
        <v>3</v>
      </c>
      <c r="V1558" s="2">
        <v>1</v>
      </c>
      <c r="W1558" s="2">
        <v>2</v>
      </c>
      <c r="X1558" s="2">
        <v>7</v>
      </c>
    </row>
    <row r="1559" spans="1:24" x14ac:dyDescent="0.35">
      <c r="A1559">
        <v>50</v>
      </c>
      <c r="B1559">
        <v>34469</v>
      </c>
      <c r="C1559">
        <v>72</v>
      </c>
      <c r="D1559">
        <v>1</v>
      </c>
      <c r="E1559" s="28">
        <v>6.0684931506849313</v>
      </c>
      <c r="F1559" s="28"/>
      <c r="G1559" s="28"/>
      <c r="H1559" s="28"/>
      <c r="I1559" s="28"/>
      <c r="J1559" s="28"/>
      <c r="L1559" s="37">
        <v>50</v>
      </c>
      <c r="M1559" s="3">
        <v>58</v>
      </c>
      <c r="N1559" s="3">
        <v>19</v>
      </c>
      <c r="O1559" s="3">
        <v>6</v>
      </c>
      <c r="P1559" s="3">
        <v>20</v>
      </c>
      <c r="Q1559" s="3">
        <v>0</v>
      </c>
      <c r="R1559" s="3">
        <v>5</v>
      </c>
      <c r="S1559" s="3">
        <v>12</v>
      </c>
      <c r="T1559" s="3">
        <v>3</v>
      </c>
      <c r="U1559" s="3">
        <v>1</v>
      </c>
      <c r="V1559" s="3">
        <v>1</v>
      </c>
      <c r="W1559" s="3">
        <v>4</v>
      </c>
      <c r="X1559" s="3">
        <v>4</v>
      </c>
    </row>
    <row r="1560" spans="1:24" x14ac:dyDescent="0.35">
      <c r="A1560">
        <v>50</v>
      </c>
      <c r="B1560">
        <v>44393</v>
      </c>
      <c r="C1560">
        <v>55</v>
      </c>
      <c r="D1560">
        <v>1</v>
      </c>
      <c r="E1560" s="28">
        <v>6.7671232876712333</v>
      </c>
      <c r="F1560" s="28"/>
      <c r="G1560" s="28"/>
      <c r="H1560" s="28"/>
      <c r="I1560" s="28"/>
      <c r="J1560" s="28"/>
      <c r="L1560" s="38">
        <v>50</v>
      </c>
      <c r="M1560" s="2">
        <v>86</v>
      </c>
      <c r="N1560" s="2">
        <v>24</v>
      </c>
      <c r="O1560" s="2">
        <v>2</v>
      </c>
      <c r="P1560" s="2">
        <v>20</v>
      </c>
      <c r="Q1560" s="2">
        <v>2</v>
      </c>
      <c r="R1560" s="2">
        <v>2</v>
      </c>
      <c r="S1560" s="2">
        <v>10</v>
      </c>
      <c r="T1560" s="2">
        <v>2</v>
      </c>
      <c r="U1560" s="2">
        <v>1</v>
      </c>
      <c r="V1560" s="2">
        <v>0</v>
      </c>
      <c r="W1560" s="2">
        <v>4</v>
      </c>
      <c r="X1560" s="2">
        <v>4</v>
      </c>
    </row>
    <row r="1561" spans="1:24" x14ac:dyDescent="0.35">
      <c r="A1561">
        <v>50</v>
      </c>
      <c r="B1561">
        <v>22944</v>
      </c>
      <c r="C1561">
        <v>39</v>
      </c>
      <c r="D1561">
        <v>1</v>
      </c>
      <c r="E1561" s="28">
        <v>6.4301369863013695</v>
      </c>
      <c r="F1561" s="28"/>
      <c r="G1561" s="28"/>
      <c r="H1561" s="28"/>
      <c r="I1561" s="28"/>
      <c r="J1561" s="28"/>
      <c r="L1561" s="37">
        <v>50</v>
      </c>
      <c r="M1561" s="3">
        <v>67</v>
      </c>
      <c r="N1561" s="3">
        <v>19</v>
      </c>
      <c r="O1561" s="3">
        <v>3</v>
      </c>
      <c r="P1561" s="3">
        <v>19</v>
      </c>
      <c r="Q1561" s="3">
        <v>4</v>
      </c>
      <c r="R1561" s="3">
        <v>5</v>
      </c>
      <c r="S1561" s="3">
        <v>26</v>
      </c>
      <c r="T1561" s="3">
        <v>3</v>
      </c>
      <c r="U1561" s="3">
        <v>3</v>
      </c>
      <c r="V1561" s="3">
        <v>0</v>
      </c>
      <c r="W1561" s="3">
        <v>3</v>
      </c>
      <c r="X1561" s="3">
        <v>7</v>
      </c>
    </row>
    <row r="1562" spans="1:24" x14ac:dyDescent="0.35">
      <c r="A1562">
        <v>50</v>
      </c>
      <c r="B1562">
        <v>36781</v>
      </c>
      <c r="C1562">
        <v>41</v>
      </c>
      <c r="D1562">
        <v>1</v>
      </c>
      <c r="E1562" s="28">
        <v>6.1342465753424653</v>
      </c>
      <c r="F1562" s="28"/>
      <c r="G1562" s="28"/>
      <c r="H1562" s="28"/>
      <c r="I1562" s="28"/>
      <c r="J1562" s="28"/>
      <c r="L1562" s="38">
        <v>50</v>
      </c>
      <c r="M1562" s="2">
        <v>16</v>
      </c>
      <c r="N1562" s="2">
        <v>29</v>
      </c>
      <c r="O1562" s="2">
        <v>1</v>
      </c>
      <c r="P1562" s="2">
        <v>17</v>
      </c>
      <c r="Q1562" s="2">
        <v>0</v>
      </c>
      <c r="R1562" s="2">
        <v>3</v>
      </c>
      <c r="S1562" s="2">
        <v>13</v>
      </c>
      <c r="T1562" s="2">
        <v>1</v>
      </c>
      <c r="U1562" s="2">
        <v>2</v>
      </c>
      <c r="V1562" s="2">
        <v>1</v>
      </c>
      <c r="W1562" s="2">
        <v>2</v>
      </c>
      <c r="X1562" s="2">
        <v>8</v>
      </c>
    </row>
    <row r="1563" spans="1:24" x14ac:dyDescent="0.35">
      <c r="A1563">
        <v>50</v>
      </c>
      <c r="B1563">
        <v>30368</v>
      </c>
      <c r="C1563">
        <v>43</v>
      </c>
      <c r="D1563">
        <v>1</v>
      </c>
      <c r="E1563" s="28">
        <v>6.5561643835616437</v>
      </c>
      <c r="F1563" s="28"/>
      <c r="G1563" s="28"/>
      <c r="H1563" s="28"/>
      <c r="I1563" s="28"/>
      <c r="J1563" s="28"/>
      <c r="L1563" s="37">
        <v>50</v>
      </c>
      <c r="M1563" s="3">
        <v>97</v>
      </c>
      <c r="N1563" s="3">
        <v>35</v>
      </c>
      <c r="O1563" s="3">
        <v>0</v>
      </c>
      <c r="P1563" s="3">
        <v>13</v>
      </c>
      <c r="Q1563" s="3">
        <v>2</v>
      </c>
      <c r="R1563" s="3">
        <v>0</v>
      </c>
      <c r="S1563" s="3">
        <v>2</v>
      </c>
      <c r="T1563" s="3">
        <v>2</v>
      </c>
      <c r="U1563" s="3">
        <v>2</v>
      </c>
      <c r="V1563" s="3">
        <v>0</v>
      </c>
      <c r="W1563" s="3">
        <v>3</v>
      </c>
      <c r="X1563" s="3">
        <v>8</v>
      </c>
    </row>
    <row r="1564" spans="1:24" x14ac:dyDescent="0.35">
      <c r="A1564">
        <v>50</v>
      </c>
      <c r="B1564">
        <v>22634</v>
      </c>
      <c r="C1564">
        <v>54</v>
      </c>
      <c r="D1564">
        <v>0</v>
      </c>
      <c r="E1564" s="28">
        <v>7.3643835616438356</v>
      </c>
      <c r="F1564" s="28"/>
      <c r="G1564" s="28"/>
      <c r="H1564" s="28"/>
      <c r="I1564" s="28"/>
      <c r="J1564" s="28"/>
      <c r="L1564" s="38">
        <v>50</v>
      </c>
      <c r="M1564" s="2">
        <v>47</v>
      </c>
      <c r="N1564" s="2">
        <v>2</v>
      </c>
      <c r="O1564" s="2">
        <v>23</v>
      </c>
      <c r="P1564" s="2">
        <v>11</v>
      </c>
      <c r="Q1564" s="2">
        <v>8</v>
      </c>
      <c r="R1564" s="2">
        <v>6</v>
      </c>
      <c r="S1564" s="2">
        <v>46</v>
      </c>
      <c r="T1564" s="2">
        <v>1</v>
      </c>
      <c r="U1564" s="2">
        <v>2</v>
      </c>
      <c r="V1564" s="2">
        <v>1</v>
      </c>
      <c r="W1564" s="2">
        <v>2</v>
      </c>
      <c r="X1564" s="2">
        <v>8</v>
      </c>
    </row>
    <row r="1565" spans="1:24" x14ac:dyDescent="0.35">
      <c r="A1565">
        <v>50</v>
      </c>
      <c r="B1565">
        <v>19789</v>
      </c>
      <c r="C1565">
        <v>45</v>
      </c>
      <c r="D1565">
        <v>1</v>
      </c>
      <c r="E1565" s="28">
        <v>6.5205479452054798</v>
      </c>
      <c r="F1565" s="28"/>
      <c r="G1565" s="28"/>
      <c r="H1565" s="28"/>
      <c r="I1565" s="28"/>
      <c r="J1565" s="28"/>
      <c r="L1565" s="37">
        <v>50</v>
      </c>
      <c r="M1565" s="3">
        <v>24</v>
      </c>
      <c r="N1565" s="3">
        <v>2</v>
      </c>
      <c r="O1565" s="3">
        <v>5</v>
      </c>
      <c r="P1565" s="3">
        <v>9</v>
      </c>
      <c r="Q1565" s="3">
        <v>28</v>
      </c>
      <c r="R1565" s="3">
        <v>6</v>
      </c>
      <c r="S1565" s="3">
        <v>28</v>
      </c>
      <c r="T1565" s="3">
        <v>3</v>
      </c>
      <c r="U1565" s="3">
        <v>2</v>
      </c>
      <c r="V1565" s="3">
        <v>1</v>
      </c>
      <c r="W1565" s="3">
        <v>3</v>
      </c>
      <c r="X1565" s="3">
        <v>5</v>
      </c>
    </row>
    <row r="1566" spans="1:24" x14ac:dyDescent="0.35">
      <c r="A1566">
        <v>50</v>
      </c>
      <c r="B1566">
        <v>34554</v>
      </c>
      <c r="C1566">
        <v>61</v>
      </c>
      <c r="D1566">
        <v>1</v>
      </c>
      <c r="E1566" s="28">
        <v>6.1643835616438354</v>
      </c>
      <c r="F1566" s="28"/>
      <c r="G1566" s="28"/>
      <c r="H1566" s="28"/>
      <c r="I1566" s="28"/>
      <c r="J1566" s="28"/>
      <c r="L1566" s="38">
        <v>50</v>
      </c>
      <c r="M1566" s="2">
        <v>43</v>
      </c>
      <c r="N1566" s="2">
        <v>41</v>
      </c>
      <c r="O1566" s="2">
        <v>1</v>
      </c>
      <c r="P1566" s="2">
        <v>6</v>
      </c>
      <c r="Q1566" s="2">
        <v>2</v>
      </c>
      <c r="R1566" s="2">
        <v>0</v>
      </c>
      <c r="S1566" s="2">
        <v>5</v>
      </c>
      <c r="T1566" s="2">
        <v>2</v>
      </c>
      <c r="U1566" s="2">
        <v>2</v>
      </c>
      <c r="V1566" s="2">
        <v>0</v>
      </c>
      <c r="W1566" s="2">
        <v>3</v>
      </c>
      <c r="X1566" s="2">
        <v>6</v>
      </c>
    </row>
    <row r="1567" spans="1:24" x14ac:dyDescent="0.35">
      <c r="A1567">
        <v>50</v>
      </c>
      <c r="B1567">
        <v>42243</v>
      </c>
      <c r="C1567">
        <v>61</v>
      </c>
      <c r="D1567">
        <v>1</v>
      </c>
      <c r="E1567" s="28">
        <v>6.463013698630137</v>
      </c>
      <c r="F1567" s="28"/>
      <c r="G1567" s="28"/>
      <c r="H1567" s="28"/>
      <c r="I1567" s="28"/>
      <c r="J1567" s="28"/>
      <c r="L1567" s="37">
        <v>50</v>
      </c>
      <c r="M1567" s="3">
        <v>34</v>
      </c>
      <c r="N1567" s="3">
        <v>48</v>
      </c>
      <c r="O1567" s="3">
        <v>0</v>
      </c>
      <c r="P1567" s="3">
        <v>2</v>
      </c>
      <c r="Q1567" s="3">
        <v>0</v>
      </c>
      <c r="R1567" s="3">
        <v>0</v>
      </c>
      <c r="S1567" s="3">
        <v>5</v>
      </c>
      <c r="T1567" s="3">
        <v>2</v>
      </c>
      <c r="U1567" s="3">
        <v>2</v>
      </c>
      <c r="V1567" s="3">
        <v>0</v>
      </c>
      <c r="W1567" s="3">
        <v>3</v>
      </c>
      <c r="X1567" s="3">
        <v>7</v>
      </c>
    </row>
    <row r="1568" spans="1:24" x14ac:dyDescent="0.35">
      <c r="A1568">
        <v>49</v>
      </c>
      <c r="B1568">
        <v>16927</v>
      </c>
      <c r="C1568">
        <v>44</v>
      </c>
      <c r="D1568">
        <v>1</v>
      </c>
      <c r="E1568" s="28">
        <v>7.2958904109589042</v>
      </c>
      <c r="F1568" s="28"/>
      <c r="G1568" s="28"/>
      <c r="H1568" s="28"/>
      <c r="I1568" s="28"/>
      <c r="J1568" s="28"/>
      <c r="L1568" s="38">
        <v>49</v>
      </c>
      <c r="M1568" s="2">
        <v>50</v>
      </c>
      <c r="N1568" s="2">
        <v>20</v>
      </c>
      <c r="O1568" s="2">
        <v>2</v>
      </c>
      <c r="P1568" s="2">
        <v>23</v>
      </c>
      <c r="Q1568" s="2">
        <v>3</v>
      </c>
      <c r="R1568" s="2">
        <v>1</v>
      </c>
      <c r="S1568" s="2">
        <v>4</v>
      </c>
      <c r="T1568" s="2">
        <v>5</v>
      </c>
      <c r="U1568" s="2">
        <v>3</v>
      </c>
      <c r="V1568" s="2">
        <v>0</v>
      </c>
      <c r="W1568" s="2">
        <v>4</v>
      </c>
      <c r="X1568" s="2">
        <v>8</v>
      </c>
    </row>
    <row r="1569" spans="1:24" x14ac:dyDescent="0.35">
      <c r="A1569">
        <v>49</v>
      </c>
      <c r="B1569">
        <v>38998</v>
      </c>
      <c r="C1569">
        <v>66</v>
      </c>
      <c r="D1569">
        <v>1</v>
      </c>
      <c r="E1569" s="28">
        <v>7.5671232876712331</v>
      </c>
      <c r="F1569" s="28"/>
      <c r="G1569" s="28"/>
      <c r="H1569" s="28"/>
      <c r="I1569" s="28"/>
      <c r="J1569" s="28"/>
      <c r="L1569" s="37">
        <v>49</v>
      </c>
      <c r="M1569" s="3">
        <v>92</v>
      </c>
      <c r="N1569" s="3">
        <v>34</v>
      </c>
      <c r="O1569" s="3">
        <v>1</v>
      </c>
      <c r="P1569" s="3">
        <v>14</v>
      </c>
      <c r="Q1569" s="3">
        <v>0</v>
      </c>
      <c r="R1569" s="3">
        <v>0</v>
      </c>
      <c r="S1569" s="3">
        <v>5</v>
      </c>
      <c r="T1569" s="3">
        <v>3</v>
      </c>
      <c r="U1569" s="3">
        <v>2</v>
      </c>
      <c r="V1569" s="3">
        <v>0</v>
      </c>
      <c r="W1569" s="3">
        <v>3</v>
      </c>
      <c r="X1569" s="3">
        <v>8</v>
      </c>
    </row>
    <row r="1570" spans="1:24" x14ac:dyDescent="0.35">
      <c r="A1570">
        <v>49</v>
      </c>
      <c r="B1570">
        <v>43602</v>
      </c>
      <c r="C1570">
        <v>54</v>
      </c>
      <c r="D1570">
        <v>1</v>
      </c>
      <c r="E1570" s="28">
        <v>6.3808219178082188</v>
      </c>
      <c r="F1570" s="28"/>
      <c r="G1570" s="28"/>
      <c r="H1570" s="28"/>
      <c r="I1570" s="28"/>
      <c r="J1570" s="28"/>
      <c r="L1570" s="38">
        <v>49</v>
      </c>
      <c r="M1570" s="2">
        <v>45</v>
      </c>
      <c r="N1570" s="2">
        <v>19</v>
      </c>
      <c r="O1570" s="2">
        <v>5</v>
      </c>
      <c r="P1570" s="2">
        <v>12</v>
      </c>
      <c r="Q1570" s="2">
        <v>10</v>
      </c>
      <c r="R1570" s="2">
        <v>3</v>
      </c>
      <c r="S1570" s="2">
        <v>19</v>
      </c>
      <c r="T1570" s="2">
        <v>3</v>
      </c>
      <c r="U1570" s="2">
        <v>3</v>
      </c>
      <c r="V1570" s="2">
        <v>1</v>
      </c>
      <c r="W1570" s="2">
        <v>2</v>
      </c>
      <c r="X1570" s="2">
        <v>6</v>
      </c>
    </row>
    <row r="1571" spans="1:24" x14ac:dyDescent="0.35">
      <c r="A1571">
        <v>48</v>
      </c>
      <c r="B1571">
        <v>22212</v>
      </c>
      <c r="C1571">
        <v>45</v>
      </c>
      <c r="D1571">
        <v>1</v>
      </c>
      <c r="E1571" s="28">
        <v>6.4684931506849317</v>
      </c>
      <c r="F1571" s="28"/>
      <c r="G1571" s="28"/>
      <c r="H1571" s="28"/>
      <c r="I1571" s="28"/>
      <c r="J1571" s="28"/>
      <c r="L1571" s="37">
        <v>48</v>
      </c>
      <c r="M1571" s="3">
        <v>49</v>
      </c>
      <c r="N1571" s="3">
        <v>5</v>
      </c>
      <c r="O1571" s="3">
        <v>9</v>
      </c>
      <c r="P1571" s="3">
        <v>20</v>
      </c>
      <c r="Q1571" s="3">
        <v>6</v>
      </c>
      <c r="R1571" s="3">
        <v>8</v>
      </c>
      <c r="S1571" s="3">
        <v>21</v>
      </c>
      <c r="T1571" s="3">
        <v>2</v>
      </c>
      <c r="U1571" s="3">
        <v>2</v>
      </c>
      <c r="V1571" s="3">
        <v>0</v>
      </c>
      <c r="W1571" s="3">
        <v>4</v>
      </c>
      <c r="X1571" s="3">
        <v>6</v>
      </c>
    </row>
    <row r="1572" spans="1:24" x14ac:dyDescent="0.35">
      <c r="A1572">
        <v>48</v>
      </c>
      <c r="B1572">
        <v>26646</v>
      </c>
      <c r="C1572">
        <v>36</v>
      </c>
      <c r="D1572">
        <v>1</v>
      </c>
      <c r="E1572" s="28">
        <v>6.2958904109589042</v>
      </c>
      <c r="F1572" s="28"/>
      <c r="G1572" s="28"/>
      <c r="H1572" s="28"/>
      <c r="I1572" s="28"/>
      <c r="J1572" s="28"/>
      <c r="L1572" s="38">
        <v>48</v>
      </c>
      <c r="M1572" s="2">
        <v>26</v>
      </c>
      <c r="N1572" s="2">
        <v>11</v>
      </c>
      <c r="O1572" s="2">
        <v>4</v>
      </c>
      <c r="P1572" s="2">
        <v>20</v>
      </c>
      <c r="Q1572" s="2">
        <v>10</v>
      </c>
      <c r="R1572" s="2">
        <v>3</v>
      </c>
      <c r="S1572" s="2">
        <v>5</v>
      </c>
      <c r="T1572" s="2">
        <v>2</v>
      </c>
      <c r="U1572" s="2">
        <v>2</v>
      </c>
      <c r="V1572" s="2">
        <v>0</v>
      </c>
      <c r="W1572" s="2">
        <v>4</v>
      </c>
      <c r="X1572" s="2">
        <v>6</v>
      </c>
    </row>
    <row r="1573" spans="1:24" x14ac:dyDescent="0.35">
      <c r="A1573">
        <v>48</v>
      </c>
      <c r="B1573">
        <v>38741</v>
      </c>
      <c r="C1573">
        <v>62</v>
      </c>
      <c r="D1573">
        <v>1</v>
      </c>
      <c r="E1573" s="28">
        <v>6.1643835616438354</v>
      </c>
      <c r="F1573" s="28"/>
      <c r="G1573" s="28"/>
      <c r="H1573" s="28"/>
      <c r="I1573" s="28"/>
      <c r="J1573" s="28"/>
      <c r="L1573" s="37">
        <v>48</v>
      </c>
      <c r="M1573" s="3">
        <v>60</v>
      </c>
      <c r="N1573" s="3">
        <v>7</v>
      </c>
      <c r="O1573" s="3">
        <v>10</v>
      </c>
      <c r="P1573" s="3">
        <v>17</v>
      </c>
      <c r="Q1573" s="3">
        <v>8</v>
      </c>
      <c r="R1573" s="3">
        <v>6</v>
      </c>
      <c r="S1573" s="3">
        <v>13</v>
      </c>
      <c r="T1573" s="3">
        <v>2</v>
      </c>
      <c r="U1573" s="3">
        <v>2</v>
      </c>
      <c r="V1573" s="3">
        <v>0</v>
      </c>
      <c r="W1573" s="3">
        <v>3</v>
      </c>
      <c r="X1573" s="3">
        <v>7</v>
      </c>
    </row>
    <row r="1574" spans="1:24" x14ac:dyDescent="0.35">
      <c r="A1574">
        <v>48</v>
      </c>
      <c r="B1574">
        <v>26224</v>
      </c>
      <c r="C1574">
        <v>42</v>
      </c>
      <c r="D1574">
        <v>1</v>
      </c>
      <c r="E1574" s="28">
        <v>6.9835616438356167</v>
      </c>
      <c r="F1574" s="28"/>
      <c r="G1574" s="28"/>
      <c r="H1574" s="28"/>
      <c r="I1574" s="28"/>
      <c r="J1574" s="28"/>
      <c r="L1574" s="38">
        <v>48</v>
      </c>
      <c r="M1574" s="2">
        <v>39</v>
      </c>
      <c r="N1574" s="2">
        <v>4</v>
      </c>
      <c r="O1574" s="2">
        <v>7</v>
      </c>
      <c r="P1574" s="2">
        <v>15</v>
      </c>
      <c r="Q1574" s="2">
        <v>13</v>
      </c>
      <c r="R1574" s="2">
        <v>9</v>
      </c>
      <c r="S1574" s="2">
        <v>15</v>
      </c>
      <c r="T1574" s="2">
        <v>3</v>
      </c>
      <c r="U1574" s="2">
        <v>2</v>
      </c>
      <c r="V1574" s="2">
        <v>1</v>
      </c>
      <c r="W1574" s="2">
        <v>3</v>
      </c>
      <c r="X1574" s="2">
        <v>6</v>
      </c>
    </row>
    <row r="1575" spans="1:24" x14ac:dyDescent="0.35">
      <c r="A1575">
        <v>48</v>
      </c>
      <c r="B1575">
        <v>33562</v>
      </c>
      <c r="C1575">
        <v>57</v>
      </c>
      <c r="D1575">
        <v>1</v>
      </c>
      <c r="E1575" s="28">
        <v>5.9260273972602739</v>
      </c>
      <c r="F1575" s="28"/>
      <c r="G1575" s="28"/>
      <c r="H1575" s="28"/>
      <c r="I1575" s="28"/>
      <c r="J1575" s="28"/>
      <c r="L1575" s="37">
        <v>48</v>
      </c>
      <c r="M1575" s="3">
        <v>33</v>
      </c>
      <c r="N1575" s="3">
        <v>21</v>
      </c>
      <c r="O1575" s="3">
        <v>12</v>
      </c>
      <c r="P1575" s="3">
        <v>12</v>
      </c>
      <c r="Q1575" s="3">
        <v>0</v>
      </c>
      <c r="R1575" s="3">
        <v>3</v>
      </c>
      <c r="S1575" s="3">
        <v>3</v>
      </c>
      <c r="T1575" s="3">
        <v>3</v>
      </c>
      <c r="U1575" s="3">
        <v>2</v>
      </c>
      <c r="V1575" s="3">
        <v>0</v>
      </c>
      <c r="W1575" s="3">
        <v>4</v>
      </c>
      <c r="X1575" s="3">
        <v>4</v>
      </c>
    </row>
    <row r="1576" spans="1:24" x14ac:dyDescent="0.35">
      <c r="A1576">
        <v>48</v>
      </c>
      <c r="B1576">
        <v>14188</v>
      </c>
      <c r="C1576">
        <v>48</v>
      </c>
      <c r="D1576">
        <v>0</v>
      </c>
      <c r="E1576" s="28">
        <v>7.2465753424657535</v>
      </c>
      <c r="F1576" s="28"/>
      <c r="G1576" s="28"/>
      <c r="H1576" s="28"/>
      <c r="I1576" s="28"/>
      <c r="J1576" s="28"/>
      <c r="L1576" s="38">
        <v>48</v>
      </c>
      <c r="M1576" s="2">
        <v>40</v>
      </c>
      <c r="N1576" s="2">
        <v>2</v>
      </c>
      <c r="O1576" s="2">
        <v>7</v>
      </c>
      <c r="P1576" s="2">
        <v>11</v>
      </c>
      <c r="Q1576" s="2">
        <v>16</v>
      </c>
      <c r="R1576" s="2">
        <v>12</v>
      </c>
      <c r="S1576" s="2">
        <v>27</v>
      </c>
      <c r="T1576" s="2">
        <v>1</v>
      </c>
      <c r="U1576" s="2">
        <v>2</v>
      </c>
      <c r="V1576" s="2">
        <v>0</v>
      </c>
      <c r="W1576" s="2">
        <v>4</v>
      </c>
      <c r="X1576" s="2">
        <v>6</v>
      </c>
    </row>
    <row r="1577" spans="1:24" x14ac:dyDescent="0.35">
      <c r="A1577">
        <v>48</v>
      </c>
      <c r="B1577">
        <v>16248</v>
      </c>
      <c r="C1577">
        <v>32</v>
      </c>
      <c r="D1577">
        <v>1</v>
      </c>
      <c r="E1577" s="28">
        <v>6.0520547945205481</v>
      </c>
      <c r="F1577" s="28"/>
      <c r="G1577" s="28"/>
      <c r="H1577" s="28"/>
      <c r="I1577" s="28"/>
      <c r="J1577" s="28"/>
      <c r="L1577" s="37">
        <v>48</v>
      </c>
      <c r="M1577" s="3">
        <v>77</v>
      </c>
      <c r="N1577" s="3">
        <v>12</v>
      </c>
      <c r="O1577" s="3">
        <v>11</v>
      </c>
      <c r="P1577" s="3">
        <v>10</v>
      </c>
      <c r="Q1577" s="3">
        <v>3</v>
      </c>
      <c r="R1577" s="3">
        <v>12</v>
      </c>
      <c r="S1577" s="3">
        <v>9</v>
      </c>
      <c r="T1577" s="3">
        <v>3</v>
      </c>
      <c r="U1577" s="3">
        <v>2</v>
      </c>
      <c r="V1577" s="3">
        <v>1</v>
      </c>
      <c r="W1577" s="3">
        <v>3</v>
      </c>
      <c r="X1577" s="3">
        <v>6</v>
      </c>
    </row>
    <row r="1578" spans="1:24" x14ac:dyDescent="0.35">
      <c r="A1578">
        <v>48</v>
      </c>
      <c r="B1578">
        <v>15056</v>
      </c>
      <c r="C1578">
        <v>62</v>
      </c>
      <c r="D1578">
        <v>1</v>
      </c>
      <c r="E1578" s="28">
        <v>7.0712328767123287</v>
      </c>
      <c r="F1578" s="28"/>
      <c r="G1578" s="28"/>
      <c r="H1578" s="28"/>
      <c r="I1578" s="28"/>
      <c r="J1578" s="28"/>
      <c r="L1578" s="38">
        <v>48</v>
      </c>
      <c r="M1578" s="2">
        <v>76</v>
      </c>
      <c r="N1578" s="2">
        <v>6</v>
      </c>
      <c r="O1578" s="2">
        <v>12</v>
      </c>
      <c r="P1578" s="2">
        <v>3</v>
      </c>
      <c r="Q1578" s="2">
        <v>21</v>
      </c>
      <c r="R1578" s="2">
        <v>6</v>
      </c>
      <c r="S1578" s="2">
        <v>40</v>
      </c>
      <c r="T1578" s="2">
        <v>5</v>
      </c>
      <c r="U1578" s="2">
        <v>2</v>
      </c>
      <c r="V1578" s="2">
        <v>2</v>
      </c>
      <c r="W1578" s="2">
        <v>3</v>
      </c>
      <c r="X1578" s="2">
        <v>5</v>
      </c>
    </row>
    <row r="1579" spans="1:24" x14ac:dyDescent="0.35">
      <c r="A1579">
        <v>47</v>
      </c>
      <c r="B1579">
        <v>37334</v>
      </c>
      <c r="C1579">
        <v>62</v>
      </c>
      <c r="D1579">
        <v>1</v>
      </c>
      <c r="E1579" s="28">
        <v>6.2520547945205482</v>
      </c>
      <c r="F1579" s="28"/>
      <c r="G1579" s="28"/>
      <c r="H1579" s="28"/>
      <c r="I1579" s="28"/>
      <c r="J1579" s="28"/>
      <c r="L1579" s="37">
        <v>47</v>
      </c>
      <c r="M1579" s="3">
        <v>44</v>
      </c>
      <c r="N1579" s="3">
        <v>26</v>
      </c>
      <c r="O1579" s="3">
        <v>1</v>
      </c>
      <c r="P1579" s="3">
        <v>16</v>
      </c>
      <c r="Q1579" s="3">
        <v>2</v>
      </c>
      <c r="R1579" s="3">
        <v>2</v>
      </c>
      <c r="S1579" s="3">
        <v>15</v>
      </c>
      <c r="T1579" s="3">
        <v>4</v>
      </c>
      <c r="U1579" s="3">
        <v>3</v>
      </c>
      <c r="V1579" s="3">
        <v>0</v>
      </c>
      <c r="W1579" s="3">
        <v>4</v>
      </c>
      <c r="X1579" s="3">
        <v>4</v>
      </c>
    </row>
    <row r="1580" spans="1:24" x14ac:dyDescent="0.35">
      <c r="A1580">
        <v>47</v>
      </c>
      <c r="B1580">
        <v>35797</v>
      </c>
      <c r="C1580">
        <v>45</v>
      </c>
      <c r="D1580">
        <v>1</v>
      </c>
      <c r="E1580" s="28">
        <v>7.6164383561643838</v>
      </c>
      <c r="F1580" s="28"/>
      <c r="G1580" s="28"/>
      <c r="H1580" s="28"/>
      <c r="I1580" s="28"/>
      <c r="J1580" s="28"/>
      <c r="L1580" s="38">
        <v>47</v>
      </c>
      <c r="M1580" s="2">
        <v>16</v>
      </c>
      <c r="N1580" s="2">
        <v>27</v>
      </c>
      <c r="O1580" s="2">
        <v>1</v>
      </c>
      <c r="P1580" s="2">
        <v>14</v>
      </c>
      <c r="Q1580" s="2">
        <v>4</v>
      </c>
      <c r="R1580" s="2">
        <v>1</v>
      </c>
      <c r="S1580" s="2">
        <v>21</v>
      </c>
      <c r="T1580" s="2">
        <v>2</v>
      </c>
      <c r="U1580" s="2">
        <v>2</v>
      </c>
      <c r="V1580" s="2">
        <v>0</v>
      </c>
      <c r="W1580" s="2">
        <v>3</v>
      </c>
      <c r="X1580" s="2">
        <v>8</v>
      </c>
    </row>
    <row r="1581" spans="1:24" x14ac:dyDescent="0.35">
      <c r="A1581">
        <v>47</v>
      </c>
      <c r="B1581">
        <v>15315</v>
      </c>
      <c r="C1581">
        <v>50</v>
      </c>
      <c r="D1581">
        <v>0</v>
      </c>
      <c r="E1581" s="28">
        <v>6.8191780821917805</v>
      </c>
      <c r="F1581" s="28"/>
      <c r="G1581" s="28"/>
      <c r="H1581" s="28"/>
      <c r="I1581" s="28"/>
      <c r="J1581" s="28"/>
      <c r="L1581" s="37">
        <v>47</v>
      </c>
      <c r="M1581" s="3">
        <v>27</v>
      </c>
      <c r="N1581" s="3">
        <v>7</v>
      </c>
      <c r="O1581" s="3">
        <v>4</v>
      </c>
      <c r="P1581" s="3">
        <v>13</v>
      </c>
      <c r="Q1581" s="3">
        <v>15</v>
      </c>
      <c r="R1581" s="3">
        <v>8</v>
      </c>
      <c r="S1581" s="3">
        <v>17</v>
      </c>
      <c r="T1581" s="3">
        <v>2</v>
      </c>
      <c r="U1581" s="3">
        <v>2</v>
      </c>
      <c r="V1581" s="3">
        <v>0</v>
      </c>
      <c r="W1581" s="3">
        <v>4</v>
      </c>
      <c r="X1581" s="3">
        <v>5</v>
      </c>
    </row>
    <row r="1582" spans="1:24" x14ac:dyDescent="0.35">
      <c r="A1582">
        <v>47</v>
      </c>
      <c r="B1582">
        <v>32889</v>
      </c>
      <c r="C1582">
        <v>52</v>
      </c>
      <c r="D1582">
        <v>1</v>
      </c>
      <c r="E1582" s="28">
        <v>6.7260273972602738</v>
      </c>
      <c r="F1582" s="28"/>
      <c r="G1582" s="28"/>
      <c r="H1582" s="28"/>
      <c r="I1582" s="28"/>
      <c r="J1582" s="28"/>
      <c r="L1582" s="38">
        <v>47</v>
      </c>
      <c r="M1582" s="2">
        <v>78</v>
      </c>
      <c r="N1582" s="2">
        <v>28</v>
      </c>
      <c r="O1582" s="2">
        <v>0</v>
      </c>
      <c r="P1582" s="2">
        <v>13</v>
      </c>
      <c r="Q1582" s="2">
        <v>4</v>
      </c>
      <c r="R1582" s="2">
        <v>2</v>
      </c>
      <c r="S1582" s="2">
        <v>8</v>
      </c>
      <c r="T1582" s="2">
        <v>3</v>
      </c>
      <c r="U1582" s="2">
        <v>2</v>
      </c>
      <c r="V1582" s="2">
        <v>1</v>
      </c>
      <c r="W1582" s="2">
        <v>3</v>
      </c>
      <c r="X1582" s="2">
        <v>5</v>
      </c>
    </row>
    <row r="1583" spans="1:24" x14ac:dyDescent="0.35">
      <c r="A1583">
        <v>47</v>
      </c>
      <c r="B1583">
        <v>23616</v>
      </c>
      <c r="C1583">
        <v>38</v>
      </c>
      <c r="D1583">
        <v>1</v>
      </c>
      <c r="E1583" s="28">
        <v>7.5287671232876709</v>
      </c>
      <c r="F1583" s="28"/>
      <c r="G1583" s="28"/>
      <c r="H1583" s="28"/>
      <c r="I1583" s="28"/>
      <c r="J1583" s="28"/>
      <c r="L1583" s="37">
        <v>47</v>
      </c>
      <c r="M1583" s="3">
        <v>76</v>
      </c>
      <c r="N1583" s="3">
        <v>4</v>
      </c>
      <c r="O1583" s="3">
        <v>22</v>
      </c>
      <c r="P1583" s="3">
        <v>11</v>
      </c>
      <c r="Q1583" s="3">
        <v>3</v>
      </c>
      <c r="R1583" s="3">
        <v>7</v>
      </c>
      <c r="S1583" s="3">
        <v>32</v>
      </c>
      <c r="T1583" s="3">
        <v>2</v>
      </c>
      <c r="U1583" s="3">
        <v>3</v>
      </c>
      <c r="V1583" s="3">
        <v>0</v>
      </c>
      <c r="W1583" s="3">
        <v>3</v>
      </c>
      <c r="X1583" s="3">
        <v>8</v>
      </c>
    </row>
    <row r="1584" spans="1:24" x14ac:dyDescent="0.35">
      <c r="A1584">
        <v>47</v>
      </c>
      <c r="B1584">
        <v>45057</v>
      </c>
      <c r="C1584">
        <v>41</v>
      </c>
      <c r="D1584">
        <v>1</v>
      </c>
      <c r="E1584" s="28">
        <v>6.4904109589041097</v>
      </c>
      <c r="F1584" s="28"/>
      <c r="G1584" s="28"/>
      <c r="H1584" s="28"/>
      <c r="I1584" s="28"/>
      <c r="J1584" s="28"/>
      <c r="L1584" s="38">
        <v>47</v>
      </c>
      <c r="M1584" s="2">
        <v>80</v>
      </c>
      <c r="N1584" s="2">
        <v>37</v>
      </c>
      <c r="O1584" s="2">
        <v>0</v>
      </c>
      <c r="P1584" s="2">
        <v>7</v>
      </c>
      <c r="Q1584" s="2">
        <v>3</v>
      </c>
      <c r="R1584" s="2">
        <v>0</v>
      </c>
      <c r="S1584" s="2">
        <v>3</v>
      </c>
      <c r="T1584" s="2">
        <v>1</v>
      </c>
      <c r="U1584" s="2">
        <v>2</v>
      </c>
      <c r="V1584" s="2">
        <v>0</v>
      </c>
      <c r="W1584" s="2">
        <v>3</v>
      </c>
      <c r="X1584" s="2">
        <v>5</v>
      </c>
    </row>
    <row r="1585" spans="1:24" x14ac:dyDescent="0.35">
      <c r="A1585">
        <v>47</v>
      </c>
      <c r="B1585">
        <v>31878</v>
      </c>
      <c r="C1585">
        <v>43</v>
      </c>
      <c r="D1585">
        <v>1</v>
      </c>
      <c r="E1585" s="28">
        <v>5.934246575342466</v>
      </c>
      <c r="F1585" s="28"/>
      <c r="G1585" s="28"/>
      <c r="H1585" s="28"/>
      <c r="I1585" s="28"/>
      <c r="J1585" s="28"/>
      <c r="L1585" s="37">
        <v>47</v>
      </c>
      <c r="M1585" s="3">
        <v>7</v>
      </c>
      <c r="N1585" s="3">
        <v>23</v>
      </c>
      <c r="O1585" s="3">
        <v>4</v>
      </c>
      <c r="P1585" s="3">
        <v>5</v>
      </c>
      <c r="Q1585" s="3">
        <v>10</v>
      </c>
      <c r="R1585" s="3">
        <v>5</v>
      </c>
      <c r="S1585" s="3">
        <v>23</v>
      </c>
      <c r="T1585" s="3">
        <v>1</v>
      </c>
      <c r="U1585" s="3">
        <v>1</v>
      </c>
      <c r="V1585" s="3">
        <v>0</v>
      </c>
      <c r="W1585" s="3">
        <v>4</v>
      </c>
      <c r="X1585" s="3">
        <v>3</v>
      </c>
    </row>
    <row r="1586" spans="1:24" x14ac:dyDescent="0.35">
      <c r="A1586">
        <v>46</v>
      </c>
      <c r="B1586">
        <v>20559</v>
      </c>
      <c r="C1586">
        <v>35</v>
      </c>
      <c r="D1586">
        <v>1</v>
      </c>
      <c r="E1586" s="28">
        <v>7.2136986301369861</v>
      </c>
      <c r="F1586" s="28"/>
      <c r="G1586" s="28"/>
      <c r="H1586" s="28"/>
      <c r="I1586" s="28"/>
      <c r="J1586" s="28"/>
      <c r="L1586" s="38">
        <v>46</v>
      </c>
      <c r="M1586" s="2">
        <v>88</v>
      </c>
      <c r="N1586" s="2">
        <v>13</v>
      </c>
      <c r="O1586" s="2">
        <v>1</v>
      </c>
      <c r="P1586" s="2">
        <v>29</v>
      </c>
      <c r="Q1586" s="2">
        <v>3</v>
      </c>
      <c r="R1586" s="2">
        <v>0</v>
      </c>
      <c r="S1586" s="2">
        <v>7</v>
      </c>
      <c r="T1586" s="2">
        <v>2</v>
      </c>
      <c r="U1586" s="2">
        <v>2</v>
      </c>
      <c r="V1586" s="2">
        <v>0</v>
      </c>
      <c r="W1586" s="2">
        <v>3</v>
      </c>
      <c r="X1586" s="2">
        <v>8</v>
      </c>
    </row>
    <row r="1587" spans="1:24" x14ac:dyDescent="0.35">
      <c r="A1587">
        <v>46</v>
      </c>
      <c r="B1587">
        <v>21645</v>
      </c>
      <c r="C1587">
        <v>41</v>
      </c>
      <c r="D1587">
        <v>1</v>
      </c>
      <c r="E1587" s="28">
        <v>7.7342465753424658</v>
      </c>
      <c r="F1587" s="28"/>
      <c r="G1587" s="28"/>
      <c r="H1587" s="28"/>
      <c r="I1587" s="28"/>
      <c r="J1587" s="28"/>
      <c r="L1587" s="37">
        <v>46</v>
      </c>
      <c r="M1587" s="3">
        <v>75</v>
      </c>
      <c r="N1587" s="3">
        <v>14</v>
      </c>
      <c r="O1587" s="3">
        <v>0</v>
      </c>
      <c r="P1587" s="3">
        <v>23</v>
      </c>
      <c r="Q1587" s="3">
        <v>4</v>
      </c>
      <c r="R1587" s="3">
        <v>5</v>
      </c>
      <c r="S1587" s="3">
        <v>19</v>
      </c>
      <c r="T1587" s="3">
        <v>3</v>
      </c>
      <c r="U1587" s="3">
        <v>3</v>
      </c>
      <c r="V1587" s="3">
        <v>0</v>
      </c>
      <c r="W1587" s="3">
        <v>3</v>
      </c>
      <c r="X1587" s="3">
        <v>9</v>
      </c>
    </row>
    <row r="1588" spans="1:24" x14ac:dyDescent="0.35">
      <c r="A1588">
        <v>46</v>
      </c>
      <c r="B1588">
        <v>22070</v>
      </c>
      <c r="C1588">
        <v>50</v>
      </c>
      <c r="D1588">
        <v>1</v>
      </c>
      <c r="E1588" s="28">
        <v>6.6493150684931503</v>
      </c>
      <c r="F1588" s="28"/>
      <c r="G1588" s="28"/>
      <c r="H1588" s="28"/>
      <c r="I1588" s="28"/>
      <c r="J1588" s="28"/>
      <c r="L1588" s="38">
        <v>46</v>
      </c>
      <c r="M1588" s="2">
        <v>11</v>
      </c>
      <c r="N1588" s="2">
        <v>10</v>
      </c>
      <c r="O1588" s="2">
        <v>7</v>
      </c>
      <c r="P1588" s="2">
        <v>19</v>
      </c>
      <c r="Q1588" s="2">
        <v>8</v>
      </c>
      <c r="R1588" s="2">
        <v>2</v>
      </c>
      <c r="S1588" s="2">
        <v>21</v>
      </c>
      <c r="T1588" s="2">
        <v>2</v>
      </c>
      <c r="U1588" s="2">
        <v>2</v>
      </c>
      <c r="V1588" s="2">
        <v>2</v>
      </c>
      <c r="W1588" s="2">
        <v>2</v>
      </c>
      <c r="X1588" s="2">
        <v>6</v>
      </c>
    </row>
    <row r="1589" spans="1:24" x14ac:dyDescent="0.35">
      <c r="A1589">
        <v>46</v>
      </c>
      <c r="B1589">
        <v>28427</v>
      </c>
      <c r="C1589">
        <v>37</v>
      </c>
      <c r="D1589">
        <v>1</v>
      </c>
      <c r="E1589" s="28">
        <v>7.1890410958904107</v>
      </c>
      <c r="F1589" s="28"/>
      <c r="G1589" s="28"/>
      <c r="H1589" s="28"/>
      <c r="I1589" s="28"/>
      <c r="J1589" s="28"/>
      <c r="L1589" s="37">
        <v>46</v>
      </c>
      <c r="M1589" s="3">
        <v>67</v>
      </c>
      <c r="N1589" s="3">
        <v>18</v>
      </c>
      <c r="O1589" s="3">
        <v>3</v>
      </c>
      <c r="P1589" s="3">
        <v>19</v>
      </c>
      <c r="Q1589" s="3">
        <v>3</v>
      </c>
      <c r="R1589" s="3">
        <v>3</v>
      </c>
      <c r="S1589" s="3">
        <v>6</v>
      </c>
      <c r="T1589" s="3">
        <v>2</v>
      </c>
      <c r="U1589" s="3">
        <v>2</v>
      </c>
      <c r="V1589" s="3">
        <v>0</v>
      </c>
      <c r="W1589" s="3">
        <v>3</v>
      </c>
      <c r="X1589" s="3">
        <v>8</v>
      </c>
    </row>
    <row r="1590" spans="1:24" x14ac:dyDescent="0.35">
      <c r="A1590">
        <v>46</v>
      </c>
      <c r="B1590">
        <v>38961</v>
      </c>
      <c r="C1590">
        <v>47</v>
      </c>
      <c r="D1590">
        <v>1</v>
      </c>
      <c r="E1590" s="28">
        <v>6.4109589041095889</v>
      </c>
      <c r="F1590" s="28"/>
      <c r="G1590" s="28"/>
      <c r="H1590" s="28"/>
      <c r="I1590" s="28"/>
      <c r="J1590" s="28"/>
      <c r="L1590" s="38">
        <v>46</v>
      </c>
      <c r="M1590" s="2">
        <v>60</v>
      </c>
      <c r="N1590" s="2">
        <v>19</v>
      </c>
      <c r="O1590" s="2">
        <v>7</v>
      </c>
      <c r="P1590" s="2">
        <v>19</v>
      </c>
      <c r="Q1590" s="2">
        <v>0</v>
      </c>
      <c r="R1590" s="2">
        <v>1</v>
      </c>
      <c r="S1590" s="2">
        <v>24</v>
      </c>
      <c r="T1590" s="2">
        <v>1</v>
      </c>
      <c r="U1590" s="2">
        <v>2</v>
      </c>
      <c r="V1590" s="2">
        <v>1</v>
      </c>
      <c r="W1590" s="2">
        <v>2</v>
      </c>
      <c r="X1590" s="2">
        <v>7</v>
      </c>
    </row>
    <row r="1591" spans="1:24" x14ac:dyDescent="0.35">
      <c r="A1591">
        <v>46</v>
      </c>
      <c r="B1591">
        <v>17345</v>
      </c>
      <c r="C1591">
        <v>42</v>
      </c>
      <c r="D1591">
        <v>1</v>
      </c>
      <c r="E1591" s="28">
        <v>7.5671232876712331</v>
      </c>
      <c r="F1591" s="28"/>
      <c r="G1591" s="28"/>
      <c r="H1591" s="28"/>
      <c r="I1591" s="28"/>
      <c r="J1591" s="28"/>
      <c r="L1591" s="37">
        <v>46</v>
      </c>
      <c r="M1591" s="3">
        <v>79</v>
      </c>
      <c r="N1591" s="3">
        <v>4</v>
      </c>
      <c r="O1591" s="3">
        <v>9</v>
      </c>
      <c r="P1591" s="3">
        <v>16</v>
      </c>
      <c r="Q1591" s="3">
        <v>17</v>
      </c>
      <c r="R1591" s="3">
        <v>0</v>
      </c>
      <c r="S1591" s="3">
        <v>12</v>
      </c>
      <c r="T1591" s="3">
        <v>2</v>
      </c>
      <c r="U1591" s="3">
        <v>2</v>
      </c>
      <c r="V1591" s="3">
        <v>1</v>
      </c>
      <c r="W1591" s="3">
        <v>2</v>
      </c>
      <c r="X1591" s="3">
        <v>8</v>
      </c>
    </row>
    <row r="1592" spans="1:24" x14ac:dyDescent="0.35">
      <c r="A1592">
        <v>46</v>
      </c>
      <c r="B1592">
        <v>18393</v>
      </c>
      <c r="C1592">
        <v>46</v>
      </c>
      <c r="D1592">
        <v>1</v>
      </c>
      <c r="E1592" s="28">
        <v>6.1671232876712327</v>
      </c>
      <c r="F1592" s="28"/>
      <c r="G1592" s="28"/>
      <c r="H1592" s="28"/>
      <c r="I1592" s="28"/>
      <c r="J1592" s="28"/>
      <c r="L1592" s="38">
        <v>46</v>
      </c>
      <c r="M1592" s="2">
        <v>2</v>
      </c>
      <c r="N1592" s="2">
        <v>7</v>
      </c>
      <c r="O1592" s="2">
        <v>10</v>
      </c>
      <c r="P1592" s="2">
        <v>13</v>
      </c>
      <c r="Q1592" s="2">
        <v>16</v>
      </c>
      <c r="R1592" s="2">
        <v>0</v>
      </c>
      <c r="S1592" s="2">
        <v>4</v>
      </c>
      <c r="T1592" s="2">
        <v>2</v>
      </c>
      <c r="U1592" s="2">
        <v>3</v>
      </c>
      <c r="V1592" s="2">
        <v>0</v>
      </c>
      <c r="W1592" s="2">
        <v>3</v>
      </c>
      <c r="X1592" s="2">
        <v>8</v>
      </c>
    </row>
    <row r="1593" spans="1:24" x14ac:dyDescent="0.35">
      <c r="A1593">
        <v>46</v>
      </c>
      <c r="B1593">
        <v>24762</v>
      </c>
      <c r="C1593">
        <v>48</v>
      </c>
      <c r="D1593">
        <v>1</v>
      </c>
      <c r="E1593" s="28">
        <v>6.2958904109589042</v>
      </c>
      <c r="F1593" s="28"/>
      <c r="G1593" s="28"/>
      <c r="H1593" s="28"/>
      <c r="I1593" s="28"/>
      <c r="J1593" s="28"/>
      <c r="L1593" s="37">
        <v>46</v>
      </c>
      <c r="M1593" s="3">
        <v>16</v>
      </c>
      <c r="N1593" s="3">
        <v>6</v>
      </c>
      <c r="O1593" s="3">
        <v>10</v>
      </c>
      <c r="P1593" s="3">
        <v>12</v>
      </c>
      <c r="Q1593" s="3">
        <v>3</v>
      </c>
      <c r="R1593" s="3">
        <v>15</v>
      </c>
      <c r="S1593" s="3">
        <v>40</v>
      </c>
      <c r="T1593" s="3">
        <v>3</v>
      </c>
      <c r="U1593" s="3">
        <v>3</v>
      </c>
      <c r="V1593" s="3">
        <v>1</v>
      </c>
      <c r="W1593" s="3">
        <v>2</v>
      </c>
      <c r="X1593" s="3">
        <v>8</v>
      </c>
    </row>
    <row r="1594" spans="1:24" x14ac:dyDescent="0.35">
      <c r="A1594">
        <v>46</v>
      </c>
      <c r="B1594">
        <v>23091</v>
      </c>
      <c r="C1594">
        <v>57</v>
      </c>
      <c r="D1594">
        <v>1</v>
      </c>
      <c r="E1594" s="28">
        <v>6.0027397260273974</v>
      </c>
      <c r="F1594" s="28"/>
      <c r="G1594" s="28"/>
      <c r="H1594" s="28"/>
      <c r="I1594" s="28"/>
      <c r="J1594" s="28"/>
      <c r="L1594" s="38">
        <v>46</v>
      </c>
      <c r="M1594" s="2">
        <v>98</v>
      </c>
      <c r="N1594" s="2">
        <v>35</v>
      </c>
      <c r="O1594" s="2">
        <v>0</v>
      </c>
      <c r="P1594" s="2">
        <v>11</v>
      </c>
      <c r="Q1594" s="2">
        <v>0</v>
      </c>
      <c r="R1594" s="2">
        <v>0</v>
      </c>
      <c r="S1594" s="2">
        <v>2</v>
      </c>
      <c r="T1594" s="2">
        <v>4</v>
      </c>
      <c r="U1594" s="2">
        <v>2</v>
      </c>
      <c r="V1594" s="2">
        <v>1</v>
      </c>
      <c r="W1594" s="2">
        <v>3</v>
      </c>
      <c r="X1594" s="2">
        <v>7</v>
      </c>
    </row>
    <row r="1595" spans="1:24" x14ac:dyDescent="0.35">
      <c r="A1595">
        <v>46</v>
      </c>
      <c r="B1595">
        <v>26487</v>
      </c>
      <c r="C1595">
        <v>42</v>
      </c>
      <c r="D1595">
        <v>1</v>
      </c>
      <c r="E1595" s="28">
        <v>7.0246575342465754</v>
      </c>
      <c r="F1595" s="28"/>
      <c r="G1595" s="28"/>
      <c r="H1595" s="28"/>
      <c r="I1595" s="28"/>
      <c r="J1595" s="28"/>
      <c r="L1595" s="37">
        <v>46</v>
      </c>
      <c r="M1595" s="3">
        <v>23</v>
      </c>
      <c r="N1595" s="3">
        <v>2</v>
      </c>
      <c r="O1595" s="3">
        <v>8</v>
      </c>
      <c r="P1595" s="3">
        <v>10</v>
      </c>
      <c r="Q1595" s="3">
        <v>12</v>
      </c>
      <c r="R1595" s="3">
        <v>14</v>
      </c>
      <c r="S1595" s="3">
        <v>23</v>
      </c>
      <c r="T1595" s="3">
        <v>3</v>
      </c>
      <c r="U1595" s="3">
        <v>2</v>
      </c>
      <c r="V1595" s="3">
        <v>1</v>
      </c>
      <c r="W1595" s="3">
        <v>3</v>
      </c>
      <c r="X1595" s="3">
        <v>5</v>
      </c>
    </row>
    <row r="1596" spans="1:24" x14ac:dyDescent="0.35">
      <c r="A1596">
        <v>45</v>
      </c>
      <c r="B1596">
        <v>37401</v>
      </c>
      <c r="C1596">
        <v>47</v>
      </c>
      <c r="D1596">
        <v>1</v>
      </c>
      <c r="E1596" s="28">
        <v>6.0630136986301366</v>
      </c>
      <c r="F1596" s="28"/>
      <c r="G1596" s="28"/>
      <c r="H1596" s="28"/>
      <c r="I1596" s="28"/>
      <c r="J1596" s="28"/>
      <c r="L1596" s="38">
        <v>45</v>
      </c>
      <c r="M1596" s="2">
        <v>14</v>
      </c>
      <c r="N1596" s="2">
        <v>19</v>
      </c>
      <c r="O1596" s="2">
        <v>3</v>
      </c>
      <c r="P1596" s="2">
        <v>19</v>
      </c>
      <c r="Q1596" s="2">
        <v>3</v>
      </c>
      <c r="R1596" s="2">
        <v>1</v>
      </c>
      <c r="S1596" s="2">
        <v>3</v>
      </c>
      <c r="T1596" s="2">
        <v>2</v>
      </c>
      <c r="U1596" s="2">
        <v>2</v>
      </c>
      <c r="V1596" s="2">
        <v>0</v>
      </c>
      <c r="W1596" s="2">
        <v>3</v>
      </c>
      <c r="X1596" s="2">
        <v>7</v>
      </c>
    </row>
    <row r="1597" spans="1:24" x14ac:dyDescent="0.35">
      <c r="A1597">
        <v>45</v>
      </c>
      <c r="B1597">
        <v>29543</v>
      </c>
      <c r="C1597">
        <v>52</v>
      </c>
      <c r="D1597">
        <v>1</v>
      </c>
      <c r="E1597" s="28">
        <v>6.1589041095890407</v>
      </c>
      <c r="F1597" s="28"/>
      <c r="G1597" s="28"/>
      <c r="H1597" s="28"/>
      <c r="I1597" s="28"/>
      <c r="J1597" s="28"/>
      <c r="L1597" s="37">
        <v>45</v>
      </c>
      <c r="M1597" s="3">
        <v>47</v>
      </c>
      <c r="N1597" s="3">
        <v>17</v>
      </c>
      <c r="O1597" s="3">
        <v>3</v>
      </c>
      <c r="P1597" s="3">
        <v>18</v>
      </c>
      <c r="Q1597" s="3">
        <v>3</v>
      </c>
      <c r="R1597" s="3">
        <v>4</v>
      </c>
      <c r="S1597" s="3">
        <v>18</v>
      </c>
      <c r="T1597" s="3">
        <v>2</v>
      </c>
      <c r="U1597" s="3">
        <v>3</v>
      </c>
      <c r="V1597" s="3">
        <v>1</v>
      </c>
      <c r="W1597" s="3">
        <v>2</v>
      </c>
      <c r="X1597" s="3">
        <v>7</v>
      </c>
    </row>
    <row r="1598" spans="1:24" x14ac:dyDescent="0.35">
      <c r="A1598">
        <v>45</v>
      </c>
      <c r="B1598">
        <v>38054</v>
      </c>
      <c r="C1598">
        <v>70</v>
      </c>
      <c r="D1598">
        <v>1</v>
      </c>
      <c r="E1598" s="28">
        <v>6.0767123287671234</v>
      </c>
      <c r="F1598" s="28"/>
      <c r="G1598" s="28"/>
      <c r="H1598" s="28"/>
      <c r="I1598" s="28"/>
      <c r="J1598" s="28"/>
      <c r="L1598" s="38">
        <v>45</v>
      </c>
      <c r="M1598" s="2">
        <v>24</v>
      </c>
      <c r="N1598" s="2">
        <v>23</v>
      </c>
      <c r="O1598" s="2">
        <v>2</v>
      </c>
      <c r="P1598" s="2">
        <v>17</v>
      </c>
      <c r="Q1598" s="2">
        <v>2</v>
      </c>
      <c r="R1598" s="2">
        <v>1</v>
      </c>
      <c r="S1598" s="2">
        <v>0</v>
      </c>
      <c r="T1598" s="2">
        <v>2</v>
      </c>
      <c r="U1598" s="2">
        <v>2</v>
      </c>
      <c r="V1598" s="2">
        <v>0</v>
      </c>
      <c r="W1598" s="2">
        <v>3</v>
      </c>
      <c r="X1598" s="2">
        <v>7</v>
      </c>
    </row>
    <row r="1599" spans="1:24" x14ac:dyDescent="0.35">
      <c r="A1599">
        <v>45</v>
      </c>
      <c r="B1599">
        <v>23718</v>
      </c>
      <c r="C1599">
        <v>44</v>
      </c>
      <c r="D1599">
        <v>1</v>
      </c>
      <c r="E1599" s="28">
        <v>6.7369863013698632</v>
      </c>
      <c r="F1599" s="28"/>
      <c r="G1599" s="28"/>
      <c r="H1599" s="28"/>
      <c r="I1599" s="28"/>
      <c r="J1599" s="28"/>
      <c r="L1599" s="37">
        <v>45</v>
      </c>
      <c r="M1599" s="3">
        <v>76</v>
      </c>
      <c r="N1599" s="3">
        <v>6</v>
      </c>
      <c r="O1599" s="3">
        <v>3</v>
      </c>
      <c r="P1599" s="3">
        <v>14</v>
      </c>
      <c r="Q1599" s="3">
        <v>15</v>
      </c>
      <c r="R1599" s="3">
        <v>7</v>
      </c>
      <c r="S1599" s="3">
        <v>36</v>
      </c>
      <c r="T1599" s="3">
        <v>3</v>
      </c>
      <c r="U1599" s="3">
        <v>3</v>
      </c>
      <c r="V1599" s="3">
        <v>1</v>
      </c>
      <c r="W1599" s="3">
        <v>2</v>
      </c>
      <c r="X1599" s="3">
        <v>7</v>
      </c>
    </row>
    <row r="1600" spans="1:24" x14ac:dyDescent="0.35">
      <c r="A1600">
        <v>45</v>
      </c>
      <c r="B1600">
        <v>7500</v>
      </c>
      <c r="C1600">
        <v>44</v>
      </c>
      <c r="D1600">
        <v>0</v>
      </c>
      <c r="E1600" s="28">
        <v>7.5397260273972604</v>
      </c>
      <c r="F1600" s="28"/>
      <c r="G1600" s="28"/>
      <c r="H1600" s="28"/>
      <c r="I1600" s="28"/>
      <c r="J1600" s="28"/>
      <c r="L1600" s="38">
        <v>45</v>
      </c>
      <c r="M1600" s="2">
        <v>59</v>
      </c>
      <c r="N1600" s="2">
        <v>6</v>
      </c>
      <c r="O1600" s="2">
        <v>16</v>
      </c>
      <c r="P1600" s="2">
        <v>11</v>
      </c>
      <c r="Q1600" s="2">
        <v>11</v>
      </c>
      <c r="R1600" s="2">
        <v>1</v>
      </c>
      <c r="S1600" s="2">
        <v>16</v>
      </c>
      <c r="T1600" s="2">
        <v>1</v>
      </c>
      <c r="U1600" s="2">
        <v>2</v>
      </c>
      <c r="V1600" s="2">
        <v>0</v>
      </c>
      <c r="W1600" s="2">
        <v>3</v>
      </c>
      <c r="X1600" s="2">
        <v>8</v>
      </c>
    </row>
    <row r="1601" spans="1:24" x14ac:dyDescent="0.35">
      <c r="A1601">
        <v>44</v>
      </c>
      <c r="B1601">
        <v>30351</v>
      </c>
      <c r="C1601">
        <v>46</v>
      </c>
      <c r="D1601">
        <v>1</v>
      </c>
      <c r="E1601" s="28">
        <v>6.978082191780822</v>
      </c>
      <c r="F1601" s="28"/>
      <c r="G1601" s="28"/>
      <c r="H1601" s="28"/>
      <c r="I1601" s="28"/>
      <c r="J1601" s="28"/>
      <c r="L1601" s="37">
        <v>44</v>
      </c>
      <c r="M1601" s="3">
        <v>19</v>
      </c>
      <c r="N1601" s="3">
        <v>14</v>
      </c>
      <c r="O1601" s="3">
        <v>0</v>
      </c>
      <c r="P1601" s="3">
        <v>24</v>
      </c>
      <c r="Q1601" s="3">
        <v>3</v>
      </c>
      <c r="R1601" s="3">
        <v>3</v>
      </c>
      <c r="S1601" s="3">
        <v>2</v>
      </c>
      <c r="T1601" s="3">
        <v>1</v>
      </c>
      <c r="U1601" s="3">
        <v>3</v>
      </c>
      <c r="V1601" s="3">
        <v>0</v>
      </c>
      <c r="W1601" s="3">
        <v>2</v>
      </c>
      <c r="X1601" s="3">
        <v>9</v>
      </c>
    </row>
    <row r="1602" spans="1:24" x14ac:dyDescent="0.35">
      <c r="A1602">
        <v>44</v>
      </c>
      <c r="B1602">
        <v>30351</v>
      </c>
      <c r="C1602">
        <v>46</v>
      </c>
      <c r="D1602">
        <v>1</v>
      </c>
      <c r="E1602" s="28">
        <v>6.978082191780822</v>
      </c>
      <c r="F1602" s="28"/>
      <c r="G1602" s="28"/>
      <c r="H1602" s="28"/>
      <c r="I1602" s="28"/>
      <c r="J1602" s="28"/>
      <c r="L1602" s="38">
        <v>44</v>
      </c>
      <c r="M1602" s="2">
        <v>19</v>
      </c>
      <c r="N1602" s="2">
        <v>14</v>
      </c>
      <c r="O1602" s="2">
        <v>0</v>
      </c>
      <c r="P1602" s="2">
        <v>24</v>
      </c>
      <c r="Q1602" s="2">
        <v>3</v>
      </c>
      <c r="R1602" s="2">
        <v>3</v>
      </c>
      <c r="S1602" s="2">
        <v>2</v>
      </c>
      <c r="T1602" s="2">
        <v>1</v>
      </c>
      <c r="U1602" s="2">
        <v>3</v>
      </c>
      <c r="V1602" s="2">
        <v>0</v>
      </c>
      <c r="W1602" s="2">
        <v>2</v>
      </c>
      <c r="X1602" s="2">
        <v>9</v>
      </c>
    </row>
    <row r="1603" spans="1:24" x14ac:dyDescent="0.35">
      <c r="A1603">
        <v>44</v>
      </c>
      <c r="B1603">
        <v>17649</v>
      </c>
      <c r="C1603">
        <v>44</v>
      </c>
      <c r="D1603">
        <v>1</v>
      </c>
      <c r="E1603" s="28">
        <v>6.5424657534246577</v>
      </c>
      <c r="F1603" s="28"/>
      <c r="G1603" s="28"/>
      <c r="H1603" s="28"/>
      <c r="I1603" s="28"/>
      <c r="J1603" s="28"/>
      <c r="L1603" s="37">
        <v>44</v>
      </c>
      <c r="M1603" s="3">
        <v>70</v>
      </c>
      <c r="N1603" s="3">
        <v>15</v>
      </c>
      <c r="O1603" s="3">
        <v>1</v>
      </c>
      <c r="P1603" s="3">
        <v>23</v>
      </c>
      <c r="Q1603" s="3">
        <v>0</v>
      </c>
      <c r="R1603" s="3">
        <v>5</v>
      </c>
      <c r="S1603" s="3">
        <v>1</v>
      </c>
      <c r="T1603" s="3">
        <v>3</v>
      </c>
      <c r="U1603" s="3">
        <v>3</v>
      </c>
      <c r="V1603" s="3">
        <v>0</v>
      </c>
      <c r="W1603" s="3">
        <v>3</v>
      </c>
      <c r="X1603" s="3">
        <v>8</v>
      </c>
    </row>
    <row r="1604" spans="1:24" x14ac:dyDescent="0.35">
      <c r="A1604">
        <v>44</v>
      </c>
      <c r="B1604">
        <v>19444</v>
      </c>
      <c r="C1604">
        <v>38</v>
      </c>
      <c r="D1604">
        <v>1</v>
      </c>
      <c r="E1604" s="28">
        <v>6.2630136986301368</v>
      </c>
      <c r="F1604" s="28"/>
      <c r="G1604" s="28"/>
      <c r="H1604" s="28"/>
      <c r="I1604" s="28"/>
      <c r="J1604" s="28"/>
      <c r="L1604" s="38">
        <v>44</v>
      </c>
      <c r="M1604" s="2">
        <v>8</v>
      </c>
      <c r="N1604" s="2">
        <v>16</v>
      </c>
      <c r="O1604" s="2">
        <v>0</v>
      </c>
      <c r="P1604" s="2">
        <v>23</v>
      </c>
      <c r="Q1604" s="2">
        <v>3</v>
      </c>
      <c r="R1604" s="2">
        <v>2</v>
      </c>
      <c r="S1604" s="2">
        <v>10</v>
      </c>
      <c r="T1604" s="2">
        <v>3</v>
      </c>
      <c r="U1604" s="2">
        <v>4</v>
      </c>
      <c r="V1604" s="2">
        <v>1</v>
      </c>
      <c r="W1604" s="2">
        <v>2</v>
      </c>
      <c r="X1604" s="2">
        <v>7</v>
      </c>
    </row>
    <row r="1605" spans="1:24" x14ac:dyDescent="0.35">
      <c r="A1605">
        <v>44</v>
      </c>
      <c r="B1605">
        <v>16269</v>
      </c>
      <c r="C1605">
        <v>36</v>
      </c>
      <c r="D1605">
        <v>1</v>
      </c>
      <c r="E1605" s="28">
        <v>6.7452054794520544</v>
      </c>
      <c r="F1605" s="28"/>
      <c r="G1605" s="28"/>
      <c r="H1605" s="28"/>
      <c r="I1605" s="28"/>
      <c r="J1605" s="28"/>
      <c r="L1605" s="37">
        <v>44</v>
      </c>
      <c r="M1605" s="3">
        <v>75</v>
      </c>
      <c r="N1605" s="3">
        <v>19</v>
      </c>
      <c r="O1605" s="3">
        <v>3</v>
      </c>
      <c r="P1605" s="3">
        <v>18</v>
      </c>
      <c r="Q1605" s="3">
        <v>3</v>
      </c>
      <c r="R1605" s="3">
        <v>1</v>
      </c>
      <c r="S1605" s="3">
        <v>0</v>
      </c>
      <c r="T1605" s="3">
        <v>3</v>
      </c>
      <c r="U1605" s="3">
        <v>3</v>
      </c>
      <c r="V1605" s="3">
        <v>0</v>
      </c>
      <c r="W1605" s="3">
        <v>3</v>
      </c>
      <c r="X1605" s="3">
        <v>8</v>
      </c>
    </row>
    <row r="1606" spans="1:24" x14ac:dyDescent="0.35">
      <c r="A1606">
        <v>44</v>
      </c>
      <c r="B1606">
        <v>26067</v>
      </c>
      <c r="C1606">
        <v>46</v>
      </c>
      <c r="D1606">
        <v>1</v>
      </c>
      <c r="E1606" s="28">
        <v>6.5643835616438357</v>
      </c>
      <c r="F1606" s="28"/>
      <c r="G1606" s="28"/>
      <c r="H1606" s="28"/>
      <c r="I1606" s="28"/>
      <c r="J1606" s="28"/>
      <c r="L1606" s="38">
        <v>44</v>
      </c>
      <c r="M1606" s="2">
        <v>49</v>
      </c>
      <c r="N1606" s="2">
        <v>22</v>
      </c>
      <c r="O1606" s="2">
        <v>2</v>
      </c>
      <c r="P1606" s="2">
        <v>18</v>
      </c>
      <c r="Q1606" s="2">
        <v>0</v>
      </c>
      <c r="R1606" s="2">
        <v>2</v>
      </c>
      <c r="S1606" s="2">
        <v>12</v>
      </c>
      <c r="T1606" s="2">
        <v>3</v>
      </c>
      <c r="U1606" s="2">
        <v>3</v>
      </c>
      <c r="V1606" s="2">
        <v>0</v>
      </c>
      <c r="W1606" s="2">
        <v>3</v>
      </c>
      <c r="X1606" s="2">
        <v>8</v>
      </c>
    </row>
    <row r="1607" spans="1:24" x14ac:dyDescent="0.35">
      <c r="A1607">
        <v>44</v>
      </c>
      <c r="B1607">
        <v>12393</v>
      </c>
      <c r="C1607">
        <v>42</v>
      </c>
      <c r="D1607">
        <v>0</v>
      </c>
      <c r="E1607" s="28">
        <v>7.4821917808219176</v>
      </c>
      <c r="F1607" s="28"/>
      <c r="G1607" s="28"/>
      <c r="H1607" s="28"/>
      <c r="I1607" s="28"/>
      <c r="J1607" s="28"/>
      <c r="L1607" s="37">
        <v>44</v>
      </c>
      <c r="M1607" s="3">
        <v>38</v>
      </c>
      <c r="N1607" s="3">
        <v>5</v>
      </c>
      <c r="O1607" s="3">
        <v>6</v>
      </c>
      <c r="P1607" s="3">
        <v>15</v>
      </c>
      <c r="Q1607" s="3">
        <v>11</v>
      </c>
      <c r="R1607" s="3">
        <v>7</v>
      </c>
      <c r="S1607" s="3">
        <v>13</v>
      </c>
      <c r="T1607" s="3">
        <v>1</v>
      </c>
      <c r="U1607" s="3">
        <v>2</v>
      </c>
      <c r="V1607" s="3">
        <v>0</v>
      </c>
      <c r="W1607" s="3">
        <v>3</v>
      </c>
      <c r="X1607" s="3">
        <v>9</v>
      </c>
    </row>
    <row r="1608" spans="1:24" x14ac:dyDescent="0.35">
      <c r="A1608">
        <v>44</v>
      </c>
      <c r="B1608">
        <v>30828</v>
      </c>
      <c r="C1608">
        <v>40</v>
      </c>
      <c r="D1608">
        <v>1</v>
      </c>
      <c r="E1608" s="28">
        <v>6.6493150684931503</v>
      </c>
      <c r="F1608" s="28"/>
      <c r="G1608" s="28"/>
      <c r="H1608" s="28"/>
      <c r="I1608" s="28"/>
      <c r="J1608" s="28"/>
      <c r="L1608" s="38">
        <v>44</v>
      </c>
      <c r="M1608" s="2">
        <v>16</v>
      </c>
      <c r="N1608" s="2">
        <v>16</v>
      </c>
      <c r="O1608" s="2">
        <v>11</v>
      </c>
      <c r="P1608" s="2">
        <v>15</v>
      </c>
      <c r="Q1608" s="2">
        <v>2</v>
      </c>
      <c r="R1608" s="2">
        <v>0</v>
      </c>
      <c r="S1608" s="2">
        <v>12</v>
      </c>
      <c r="T1608" s="2">
        <v>2</v>
      </c>
      <c r="U1608" s="2">
        <v>1</v>
      </c>
      <c r="V1608" s="2">
        <v>1</v>
      </c>
      <c r="W1608" s="2">
        <v>4</v>
      </c>
      <c r="X1608" s="2">
        <v>3</v>
      </c>
    </row>
    <row r="1609" spans="1:24" x14ac:dyDescent="0.35">
      <c r="A1609">
        <v>44</v>
      </c>
      <c r="B1609">
        <v>32892</v>
      </c>
      <c r="C1609">
        <v>49</v>
      </c>
      <c r="D1609">
        <v>1</v>
      </c>
      <c r="E1609" s="28">
        <v>6.0109589041095894</v>
      </c>
      <c r="F1609" s="28"/>
      <c r="G1609" s="28"/>
      <c r="H1609" s="28"/>
      <c r="I1609" s="28"/>
      <c r="J1609" s="28"/>
      <c r="L1609" s="37">
        <v>44</v>
      </c>
      <c r="M1609" s="3">
        <v>78</v>
      </c>
      <c r="N1609" s="3">
        <v>26</v>
      </c>
      <c r="O1609" s="3">
        <v>0</v>
      </c>
      <c r="P1609" s="3">
        <v>15</v>
      </c>
      <c r="Q1609" s="3">
        <v>2</v>
      </c>
      <c r="R1609" s="3">
        <v>1</v>
      </c>
      <c r="S1609" s="3">
        <v>2</v>
      </c>
      <c r="T1609" s="3">
        <v>2</v>
      </c>
      <c r="U1609" s="3">
        <v>3</v>
      </c>
      <c r="V1609" s="3">
        <v>0</v>
      </c>
      <c r="W1609" s="3">
        <v>3</v>
      </c>
      <c r="X1609" s="3">
        <v>8</v>
      </c>
    </row>
    <row r="1610" spans="1:24" x14ac:dyDescent="0.35">
      <c r="A1610">
        <v>44</v>
      </c>
      <c r="B1610">
        <v>29315</v>
      </c>
      <c r="C1610">
        <v>60</v>
      </c>
      <c r="D1610">
        <v>1</v>
      </c>
      <c r="E1610" s="28">
        <v>6.1452054794520548</v>
      </c>
      <c r="F1610" s="28"/>
      <c r="G1610" s="28"/>
      <c r="H1610" s="28"/>
      <c r="I1610" s="28"/>
      <c r="J1610" s="28"/>
      <c r="L1610" s="38">
        <v>44</v>
      </c>
      <c r="M1610" s="2">
        <v>55</v>
      </c>
      <c r="N1610" s="2">
        <v>13</v>
      </c>
      <c r="O1610" s="2">
        <v>2</v>
      </c>
      <c r="P1610" s="2">
        <v>14</v>
      </c>
      <c r="Q1610" s="2">
        <v>8</v>
      </c>
      <c r="R1610" s="2">
        <v>7</v>
      </c>
      <c r="S1610" s="2">
        <v>4</v>
      </c>
      <c r="T1610" s="2">
        <v>4</v>
      </c>
      <c r="U1610" s="2">
        <v>2</v>
      </c>
      <c r="V1610" s="2">
        <v>0</v>
      </c>
      <c r="W1610" s="2">
        <v>4</v>
      </c>
      <c r="X1610" s="2">
        <v>6</v>
      </c>
    </row>
    <row r="1611" spans="1:24" x14ac:dyDescent="0.35">
      <c r="A1611">
        <v>44</v>
      </c>
      <c r="B1611">
        <v>44359</v>
      </c>
      <c r="C1611">
        <v>42</v>
      </c>
      <c r="D1611">
        <v>1</v>
      </c>
      <c r="E1611" s="28">
        <v>5.9479452054794519</v>
      </c>
      <c r="F1611" s="28"/>
      <c r="G1611" s="28"/>
      <c r="H1611" s="28"/>
      <c r="I1611" s="28"/>
      <c r="J1611" s="28"/>
      <c r="L1611" s="37">
        <v>44</v>
      </c>
      <c r="M1611" s="3">
        <v>19</v>
      </c>
      <c r="N1611" s="3">
        <v>20</v>
      </c>
      <c r="O1611" s="3">
        <v>0</v>
      </c>
      <c r="P1611" s="3">
        <v>14</v>
      </c>
      <c r="Q1611" s="3">
        <v>7</v>
      </c>
      <c r="R1611" s="3">
        <v>3</v>
      </c>
      <c r="S1611" s="3">
        <v>1</v>
      </c>
      <c r="T1611" s="3">
        <v>3</v>
      </c>
      <c r="U1611" s="3">
        <v>2</v>
      </c>
      <c r="V1611" s="3">
        <v>0</v>
      </c>
      <c r="W1611" s="3">
        <v>4</v>
      </c>
      <c r="X1611" s="3">
        <v>3</v>
      </c>
    </row>
    <row r="1612" spans="1:24" x14ac:dyDescent="0.35">
      <c r="A1612">
        <v>44</v>
      </c>
      <c r="B1612">
        <v>22063</v>
      </c>
      <c r="C1612">
        <v>48</v>
      </c>
      <c r="D1612">
        <v>1</v>
      </c>
      <c r="E1612" s="28">
        <v>6.8054794520547945</v>
      </c>
      <c r="F1612" s="28"/>
      <c r="G1612" s="28"/>
      <c r="H1612" s="28"/>
      <c r="I1612" s="28"/>
      <c r="J1612" s="28"/>
      <c r="L1612" s="38">
        <v>44</v>
      </c>
      <c r="M1612" s="2">
        <v>43</v>
      </c>
      <c r="N1612" s="2">
        <v>7</v>
      </c>
      <c r="O1612" s="2">
        <v>10</v>
      </c>
      <c r="P1612" s="2">
        <v>13</v>
      </c>
      <c r="Q1612" s="2">
        <v>3</v>
      </c>
      <c r="R1612" s="2">
        <v>11</v>
      </c>
      <c r="S1612" s="2">
        <v>11</v>
      </c>
      <c r="T1612" s="2">
        <v>2</v>
      </c>
      <c r="U1612" s="2">
        <v>2</v>
      </c>
      <c r="V1612" s="2">
        <v>0</v>
      </c>
      <c r="W1612" s="2">
        <v>3</v>
      </c>
      <c r="X1612" s="2">
        <v>7</v>
      </c>
    </row>
    <row r="1613" spans="1:24" x14ac:dyDescent="0.35">
      <c r="A1613">
        <v>44</v>
      </c>
      <c r="B1613">
        <v>18746</v>
      </c>
      <c r="C1613">
        <v>28</v>
      </c>
      <c r="D1613">
        <v>1</v>
      </c>
      <c r="E1613" s="28">
        <v>6</v>
      </c>
      <c r="F1613" s="28"/>
      <c r="G1613" s="28"/>
      <c r="H1613" s="28"/>
      <c r="I1613" s="28"/>
      <c r="J1613" s="28"/>
      <c r="L1613" s="37">
        <v>44</v>
      </c>
      <c r="M1613" s="3">
        <v>41</v>
      </c>
      <c r="N1613" s="3">
        <v>2</v>
      </c>
      <c r="O1613" s="3">
        <v>10</v>
      </c>
      <c r="P1613" s="3">
        <v>11</v>
      </c>
      <c r="Q1613" s="3">
        <v>12</v>
      </c>
      <c r="R1613" s="3">
        <v>9</v>
      </c>
      <c r="S1613" s="3">
        <v>20</v>
      </c>
      <c r="T1613" s="3">
        <v>2</v>
      </c>
      <c r="U1613" s="3">
        <v>3</v>
      </c>
      <c r="V1613" s="3">
        <v>0</v>
      </c>
      <c r="W1613" s="3">
        <v>3</v>
      </c>
      <c r="X1613" s="3">
        <v>6</v>
      </c>
    </row>
    <row r="1614" spans="1:24" x14ac:dyDescent="0.35">
      <c r="A1614">
        <v>44</v>
      </c>
      <c r="B1614">
        <v>21063</v>
      </c>
      <c r="C1614">
        <v>33</v>
      </c>
      <c r="D1614">
        <v>1</v>
      </c>
      <c r="E1614" s="28">
        <v>6.6739726027397257</v>
      </c>
      <c r="F1614" s="28"/>
      <c r="G1614" s="28"/>
      <c r="H1614" s="28"/>
      <c r="I1614" s="28"/>
      <c r="J1614" s="28"/>
      <c r="L1614" s="38">
        <v>44</v>
      </c>
      <c r="M1614" s="2">
        <v>34</v>
      </c>
      <c r="N1614" s="2">
        <v>1</v>
      </c>
      <c r="O1614" s="2">
        <v>10</v>
      </c>
      <c r="P1614" s="2">
        <v>11</v>
      </c>
      <c r="Q1614" s="2">
        <v>19</v>
      </c>
      <c r="R1614" s="2">
        <v>3</v>
      </c>
      <c r="S1614" s="2">
        <v>15</v>
      </c>
      <c r="T1614" s="2">
        <v>2</v>
      </c>
      <c r="U1614" s="2">
        <v>2</v>
      </c>
      <c r="V1614" s="2">
        <v>0</v>
      </c>
      <c r="W1614" s="2">
        <v>3</v>
      </c>
      <c r="X1614" s="2">
        <v>6</v>
      </c>
    </row>
    <row r="1615" spans="1:24" x14ac:dyDescent="0.35">
      <c r="A1615">
        <v>44</v>
      </c>
      <c r="B1615">
        <v>24882</v>
      </c>
      <c r="C1615">
        <v>42</v>
      </c>
      <c r="D1615">
        <v>1</v>
      </c>
      <c r="E1615" s="28">
        <v>7.7178082191780826</v>
      </c>
      <c r="F1615" s="28"/>
      <c r="G1615" s="28"/>
      <c r="H1615" s="28"/>
      <c r="I1615" s="28"/>
      <c r="J1615" s="28"/>
      <c r="L1615" s="37">
        <v>44</v>
      </c>
      <c r="M1615" s="3">
        <v>52</v>
      </c>
      <c r="N1615" s="3">
        <v>1</v>
      </c>
      <c r="O1615" s="3">
        <v>4</v>
      </c>
      <c r="P1615" s="3">
        <v>10</v>
      </c>
      <c r="Q1615" s="3">
        <v>29</v>
      </c>
      <c r="R1615" s="3">
        <v>0</v>
      </c>
      <c r="S1615" s="3">
        <v>36</v>
      </c>
      <c r="T1615" s="3">
        <v>1</v>
      </c>
      <c r="U1615" s="3">
        <v>1</v>
      </c>
      <c r="V1615" s="3">
        <v>1</v>
      </c>
      <c r="W1615" s="3">
        <v>2</v>
      </c>
      <c r="X1615" s="3">
        <v>6</v>
      </c>
    </row>
    <row r="1616" spans="1:24" x14ac:dyDescent="0.35">
      <c r="A1616">
        <v>44</v>
      </c>
      <c r="B1616">
        <v>36026</v>
      </c>
      <c r="C1616">
        <v>48</v>
      </c>
      <c r="D1616">
        <v>1</v>
      </c>
      <c r="E1616" s="28">
        <v>6.2027397260273975</v>
      </c>
      <c r="F1616" s="28"/>
      <c r="G1616" s="28"/>
      <c r="H1616" s="28"/>
      <c r="I1616" s="28"/>
      <c r="J1616" s="28"/>
      <c r="L1616" s="38">
        <v>44</v>
      </c>
      <c r="M1616" s="2">
        <v>34</v>
      </c>
      <c r="N1616" s="2">
        <v>20</v>
      </c>
      <c r="O1616" s="2">
        <v>4</v>
      </c>
      <c r="P1616" s="2">
        <v>10</v>
      </c>
      <c r="Q1616" s="2">
        <v>6</v>
      </c>
      <c r="R1616" s="2">
        <v>4</v>
      </c>
      <c r="S1616" s="2">
        <v>17</v>
      </c>
      <c r="T1616" s="2">
        <v>2</v>
      </c>
      <c r="U1616" s="2">
        <v>2</v>
      </c>
      <c r="V1616" s="2">
        <v>0</v>
      </c>
      <c r="W1616" s="2">
        <v>3</v>
      </c>
      <c r="X1616" s="2">
        <v>6</v>
      </c>
    </row>
    <row r="1617" spans="1:24" x14ac:dyDescent="0.35">
      <c r="A1617">
        <v>44</v>
      </c>
      <c r="B1617">
        <v>46831</v>
      </c>
      <c r="C1617">
        <v>51</v>
      </c>
      <c r="D1617">
        <v>1</v>
      </c>
      <c r="E1617" s="28">
        <v>6.9726027397260273</v>
      </c>
      <c r="F1617" s="28"/>
      <c r="G1617" s="28"/>
      <c r="H1617" s="28"/>
      <c r="I1617" s="28"/>
      <c r="J1617" s="28"/>
      <c r="L1617" s="37">
        <v>44</v>
      </c>
      <c r="M1617" s="3">
        <v>84</v>
      </c>
      <c r="N1617" s="3">
        <v>22</v>
      </c>
      <c r="O1617" s="3">
        <v>2</v>
      </c>
      <c r="P1617" s="3">
        <v>10</v>
      </c>
      <c r="Q1617" s="3">
        <v>6</v>
      </c>
      <c r="R1617" s="3">
        <v>4</v>
      </c>
      <c r="S1617" s="3">
        <v>34</v>
      </c>
      <c r="T1617" s="3">
        <v>2</v>
      </c>
      <c r="U1617" s="3">
        <v>1</v>
      </c>
      <c r="V1617" s="3">
        <v>2</v>
      </c>
      <c r="W1617" s="3">
        <v>2</v>
      </c>
      <c r="X1617" s="3">
        <v>4</v>
      </c>
    </row>
    <row r="1618" spans="1:24" x14ac:dyDescent="0.35">
      <c r="A1618">
        <v>44</v>
      </c>
      <c r="B1618">
        <v>21955</v>
      </c>
      <c r="C1618">
        <v>34</v>
      </c>
      <c r="D1618">
        <v>1</v>
      </c>
      <c r="E1618" s="28">
        <v>6.7232876712328764</v>
      </c>
      <c r="F1618" s="28"/>
      <c r="G1618" s="28"/>
      <c r="H1618" s="28"/>
      <c r="I1618" s="28"/>
      <c r="J1618" s="28"/>
      <c r="L1618" s="38">
        <v>44</v>
      </c>
      <c r="M1618" s="2">
        <v>81</v>
      </c>
      <c r="N1618" s="2">
        <v>5</v>
      </c>
      <c r="O1618" s="2">
        <v>1</v>
      </c>
      <c r="P1618" s="2">
        <v>7</v>
      </c>
      <c r="Q1618" s="2">
        <v>17</v>
      </c>
      <c r="R1618" s="2">
        <v>14</v>
      </c>
      <c r="S1618" s="2">
        <v>11</v>
      </c>
      <c r="T1618" s="2">
        <v>2</v>
      </c>
      <c r="U1618" s="2">
        <v>2</v>
      </c>
      <c r="V1618" s="2">
        <v>1</v>
      </c>
      <c r="W1618" s="2">
        <v>3</v>
      </c>
      <c r="X1618" s="2">
        <v>6</v>
      </c>
    </row>
    <row r="1619" spans="1:24" x14ac:dyDescent="0.35">
      <c r="A1619">
        <v>43</v>
      </c>
      <c r="B1619">
        <v>25271</v>
      </c>
      <c r="C1619">
        <v>37</v>
      </c>
      <c r="D1619">
        <v>1</v>
      </c>
      <c r="E1619" s="28">
        <v>7.4794520547945202</v>
      </c>
      <c r="F1619" s="28"/>
      <c r="G1619" s="28"/>
      <c r="H1619" s="28"/>
      <c r="I1619" s="28"/>
      <c r="J1619" s="28"/>
      <c r="L1619" s="37">
        <v>43</v>
      </c>
      <c r="M1619" s="3">
        <v>45</v>
      </c>
      <c r="N1619" s="3">
        <v>10</v>
      </c>
      <c r="O1619" s="3">
        <v>1</v>
      </c>
      <c r="P1619" s="3">
        <v>18</v>
      </c>
      <c r="Q1619" s="3">
        <v>10</v>
      </c>
      <c r="R1619" s="3">
        <v>4</v>
      </c>
      <c r="S1619" s="3">
        <v>7</v>
      </c>
      <c r="T1619" s="3">
        <v>1</v>
      </c>
      <c r="U1619" s="3">
        <v>1</v>
      </c>
      <c r="V1619" s="3">
        <v>1</v>
      </c>
      <c r="W1619" s="3">
        <v>2</v>
      </c>
      <c r="X1619" s="3">
        <v>9</v>
      </c>
    </row>
    <row r="1620" spans="1:24" x14ac:dyDescent="0.35">
      <c r="A1620">
        <v>43</v>
      </c>
      <c r="B1620">
        <v>25851</v>
      </c>
      <c r="C1620">
        <v>42</v>
      </c>
      <c r="D1620">
        <v>1</v>
      </c>
      <c r="E1620" s="28">
        <v>7.2931506849315069</v>
      </c>
      <c r="F1620" s="28"/>
      <c r="G1620" s="28"/>
      <c r="H1620" s="28"/>
      <c r="I1620" s="28"/>
      <c r="J1620" s="28"/>
      <c r="L1620" s="38">
        <v>43</v>
      </c>
      <c r="M1620" s="2">
        <v>45</v>
      </c>
      <c r="N1620" s="2">
        <v>9</v>
      </c>
      <c r="O1620" s="2">
        <v>4</v>
      </c>
      <c r="P1620" s="2">
        <v>18</v>
      </c>
      <c r="Q1620" s="2">
        <v>7</v>
      </c>
      <c r="R1620" s="2">
        <v>5</v>
      </c>
      <c r="S1620" s="2">
        <v>5</v>
      </c>
      <c r="T1620" s="2">
        <v>2</v>
      </c>
      <c r="U1620" s="2">
        <v>2</v>
      </c>
      <c r="V1620" s="2">
        <v>0</v>
      </c>
      <c r="W1620" s="2">
        <v>3</v>
      </c>
      <c r="X1620" s="2">
        <v>7</v>
      </c>
    </row>
    <row r="1621" spans="1:24" x14ac:dyDescent="0.35">
      <c r="A1621">
        <v>43</v>
      </c>
      <c r="B1621">
        <v>33462</v>
      </c>
      <c r="C1621">
        <v>41</v>
      </c>
      <c r="D1621">
        <v>1</v>
      </c>
      <c r="E1621" s="28">
        <v>6.8082191780821919</v>
      </c>
      <c r="F1621" s="28"/>
      <c r="G1621" s="28"/>
      <c r="H1621" s="28"/>
      <c r="I1621" s="28"/>
      <c r="J1621" s="28"/>
      <c r="L1621" s="37">
        <v>43</v>
      </c>
      <c r="M1621" s="3">
        <v>78</v>
      </c>
      <c r="N1621" s="3">
        <v>22</v>
      </c>
      <c r="O1621" s="3">
        <v>3</v>
      </c>
      <c r="P1621" s="3">
        <v>18</v>
      </c>
      <c r="Q1621" s="3">
        <v>0</v>
      </c>
      <c r="R1621" s="3">
        <v>0</v>
      </c>
      <c r="S1621" s="3">
        <v>11</v>
      </c>
      <c r="T1621" s="3">
        <v>1</v>
      </c>
      <c r="U1621" s="3">
        <v>2</v>
      </c>
      <c r="V1621" s="3">
        <v>0</v>
      </c>
      <c r="W1621" s="3">
        <v>3</v>
      </c>
      <c r="X1621" s="3">
        <v>7</v>
      </c>
    </row>
    <row r="1622" spans="1:24" x14ac:dyDescent="0.35">
      <c r="A1622">
        <v>43</v>
      </c>
      <c r="B1622">
        <v>32765</v>
      </c>
      <c r="C1622">
        <v>41</v>
      </c>
      <c r="D1622">
        <v>1</v>
      </c>
      <c r="E1622" s="28">
        <v>6.2602739726027394</v>
      </c>
      <c r="F1622" s="28"/>
      <c r="G1622" s="28"/>
      <c r="H1622" s="28"/>
      <c r="I1622" s="28"/>
      <c r="J1622" s="28"/>
      <c r="L1622" s="38">
        <v>43</v>
      </c>
      <c r="M1622" s="2">
        <v>49</v>
      </c>
      <c r="N1622" s="2">
        <v>13</v>
      </c>
      <c r="O1622" s="2">
        <v>3</v>
      </c>
      <c r="P1622" s="2">
        <v>17</v>
      </c>
      <c r="Q1622" s="2">
        <v>7</v>
      </c>
      <c r="R1622" s="2">
        <v>3</v>
      </c>
      <c r="S1622" s="2">
        <v>3</v>
      </c>
      <c r="T1622" s="2">
        <v>2</v>
      </c>
      <c r="U1622" s="2">
        <v>2</v>
      </c>
      <c r="V1622" s="2">
        <v>0</v>
      </c>
      <c r="W1622" s="2">
        <v>4</v>
      </c>
      <c r="X1622" s="2">
        <v>5</v>
      </c>
    </row>
    <row r="1623" spans="1:24" x14ac:dyDescent="0.35">
      <c r="A1623">
        <v>43</v>
      </c>
      <c r="B1623">
        <v>24639</v>
      </c>
      <c r="C1623">
        <v>47</v>
      </c>
      <c r="D1623">
        <v>1</v>
      </c>
      <c r="E1623" s="28">
        <v>6.3315068493150681</v>
      </c>
      <c r="F1623" s="28"/>
      <c r="G1623" s="28"/>
      <c r="H1623" s="28"/>
      <c r="I1623" s="28"/>
      <c r="J1623" s="28"/>
      <c r="L1623" s="37">
        <v>43</v>
      </c>
      <c r="M1623" s="3">
        <v>3</v>
      </c>
      <c r="N1623" s="3">
        <v>20</v>
      </c>
      <c r="O1623" s="3">
        <v>3</v>
      </c>
      <c r="P1623" s="3">
        <v>16</v>
      </c>
      <c r="Q1623" s="3">
        <v>0</v>
      </c>
      <c r="R1623" s="3">
        <v>4</v>
      </c>
      <c r="S1623" s="3">
        <v>1</v>
      </c>
      <c r="T1623" s="3">
        <v>3</v>
      </c>
      <c r="U1623" s="3">
        <v>2</v>
      </c>
      <c r="V1623" s="3">
        <v>0</v>
      </c>
      <c r="W1623" s="3">
        <v>4</v>
      </c>
      <c r="X1623" s="3">
        <v>6</v>
      </c>
    </row>
    <row r="1624" spans="1:24" x14ac:dyDescent="0.35">
      <c r="A1624">
        <v>43</v>
      </c>
      <c r="B1624">
        <v>23626</v>
      </c>
      <c r="C1624">
        <v>50</v>
      </c>
      <c r="D1624">
        <v>1</v>
      </c>
      <c r="E1624" s="28">
        <v>6.0136986301369859</v>
      </c>
      <c r="F1624" s="28"/>
      <c r="G1624" s="28"/>
      <c r="H1624" s="28"/>
      <c r="I1624" s="28"/>
      <c r="J1624" s="28"/>
      <c r="L1624" s="38">
        <v>43</v>
      </c>
      <c r="M1624" s="2">
        <v>84</v>
      </c>
      <c r="N1624" s="2">
        <v>27</v>
      </c>
      <c r="O1624" s="2">
        <v>2</v>
      </c>
      <c r="P1624" s="2">
        <v>14</v>
      </c>
      <c r="Q1624" s="2">
        <v>0</v>
      </c>
      <c r="R1624" s="2">
        <v>0</v>
      </c>
      <c r="S1624" s="2">
        <v>0</v>
      </c>
      <c r="T1624" s="2">
        <v>3</v>
      </c>
      <c r="U1624" s="2">
        <v>3</v>
      </c>
      <c r="V1624" s="2">
        <v>1</v>
      </c>
      <c r="W1624" s="2">
        <v>3</v>
      </c>
      <c r="X1624" s="2">
        <v>5</v>
      </c>
    </row>
    <row r="1625" spans="1:24" x14ac:dyDescent="0.35">
      <c r="A1625">
        <v>43</v>
      </c>
      <c r="B1625">
        <v>38853</v>
      </c>
      <c r="C1625">
        <v>50</v>
      </c>
      <c r="D1625">
        <v>1</v>
      </c>
      <c r="E1625" s="28">
        <v>6.0164383561643833</v>
      </c>
      <c r="F1625" s="28"/>
      <c r="G1625" s="28"/>
      <c r="H1625" s="28"/>
      <c r="I1625" s="28"/>
      <c r="J1625" s="28"/>
      <c r="L1625" s="37">
        <v>43</v>
      </c>
      <c r="M1625" s="3">
        <v>90</v>
      </c>
      <c r="N1625" s="3">
        <v>29</v>
      </c>
      <c r="O1625" s="3">
        <v>0</v>
      </c>
      <c r="P1625" s="3">
        <v>14</v>
      </c>
      <c r="Q1625" s="3">
        <v>0</v>
      </c>
      <c r="R1625" s="3">
        <v>0</v>
      </c>
      <c r="S1625" s="3">
        <v>2</v>
      </c>
      <c r="T1625" s="3">
        <v>2</v>
      </c>
      <c r="U1625" s="3">
        <v>2</v>
      </c>
      <c r="V1625" s="3">
        <v>0</v>
      </c>
      <c r="W1625" s="3">
        <v>3</v>
      </c>
      <c r="X1625" s="3">
        <v>7</v>
      </c>
    </row>
    <row r="1626" spans="1:24" x14ac:dyDescent="0.35">
      <c r="A1626">
        <v>43</v>
      </c>
      <c r="B1626">
        <v>41658</v>
      </c>
      <c r="C1626">
        <v>45</v>
      </c>
      <c r="D1626">
        <v>1</v>
      </c>
      <c r="E1626" s="28">
        <v>7.5506849315068489</v>
      </c>
      <c r="F1626" s="28"/>
      <c r="G1626" s="28"/>
      <c r="H1626" s="28"/>
      <c r="I1626" s="28"/>
      <c r="J1626" s="28"/>
      <c r="L1626" s="38">
        <v>43</v>
      </c>
      <c r="M1626" s="2">
        <v>30</v>
      </c>
      <c r="N1626" s="2">
        <v>8</v>
      </c>
      <c r="O1626" s="2">
        <v>4</v>
      </c>
      <c r="P1626" s="2">
        <v>12</v>
      </c>
      <c r="Q1626" s="2">
        <v>15</v>
      </c>
      <c r="R1626" s="2">
        <v>4</v>
      </c>
      <c r="S1626" s="2">
        <v>29</v>
      </c>
      <c r="T1626" s="2">
        <v>2</v>
      </c>
      <c r="U1626" s="2">
        <v>1</v>
      </c>
      <c r="V1626" s="2">
        <v>1</v>
      </c>
      <c r="W1626" s="2">
        <v>2</v>
      </c>
      <c r="X1626" s="2">
        <v>4</v>
      </c>
    </row>
    <row r="1627" spans="1:24" x14ac:dyDescent="0.35">
      <c r="A1627">
        <v>43</v>
      </c>
      <c r="B1627">
        <v>22434</v>
      </c>
      <c r="C1627">
        <v>33</v>
      </c>
      <c r="D1627">
        <v>1</v>
      </c>
      <c r="E1627" s="28">
        <v>7.2876712328767121</v>
      </c>
      <c r="F1627" s="28"/>
      <c r="G1627" s="28"/>
      <c r="H1627" s="28"/>
      <c r="I1627" s="28"/>
      <c r="J1627" s="28"/>
      <c r="L1627" s="37">
        <v>43</v>
      </c>
      <c r="M1627" s="3">
        <v>25</v>
      </c>
      <c r="N1627" s="3">
        <v>4</v>
      </c>
      <c r="O1627" s="3">
        <v>12</v>
      </c>
      <c r="P1627" s="3">
        <v>11</v>
      </c>
      <c r="Q1627" s="3">
        <v>3</v>
      </c>
      <c r="R1627" s="3">
        <v>13</v>
      </c>
      <c r="S1627" s="3">
        <v>15</v>
      </c>
      <c r="T1627" s="3">
        <v>2</v>
      </c>
      <c r="U1627" s="3">
        <v>2</v>
      </c>
      <c r="V1627" s="3">
        <v>0</v>
      </c>
      <c r="W1627" s="3">
        <v>3</v>
      </c>
      <c r="X1627" s="3">
        <v>8</v>
      </c>
    </row>
    <row r="1628" spans="1:24" x14ac:dyDescent="0.35">
      <c r="A1628">
        <v>43</v>
      </c>
      <c r="B1628">
        <v>24027</v>
      </c>
      <c r="C1628">
        <v>44</v>
      </c>
      <c r="D1628">
        <v>1</v>
      </c>
      <c r="E1628" s="28">
        <v>6.9698630136986299</v>
      </c>
      <c r="F1628" s="28"/>
      <c r="G1628" s="28"/>
      <c r="H1628" s="28"/>
      <c r="I1628" s="28"/>
      <c r="J1628" s="28"/>
      <c r="L1628" s="38">
        <v>43</v>
      </c>
      <c r="M1628" s="2">
        <v>7</v>
      </c>
      <c r="N1628" s="2">
        <v>14</v>
      </c>
      <c r="O1628" s="2">
        <v>7</v>
      </c>
      <c r="P1628" s="2">
        <v>11</v>
      </c>
      <c r="Q1628" s="2">
        <v>11</v>
      </c>
      <c r="R1628" s="2">
        <v>0</v>
      </c>
      <c r="S1628" s="2">
        <v>5</v>
      </c>
      <c r="T1628" s="2">
        <v>2</v>
      </c>
      <c r="U1628" s="2">
        <v>2</v>
      </c>
      <c r="V1628" s="2">
        <v>0</v>
      </c>
      <c r="W1628" s="2">
        <v>3</v>
      </c>
      <c r="X1628" s="2">
        <v>8</v>
      </c>
    </row>
    <row r="1629" spans="1:24" x14ac:dyDescent="0.35">
      <c r="A1629">
        <v>43</v>
      </c>
      <c r="B1629">
        <v>20981</v>
      </c>
      <c r="C1629">
        <v>43</v>
      </c>
      <c r="D1629">
        <v>0</v>
      </c>
      <c r="E1629" s="28">
        <v>7.0794520547945208</v>
      </c>
      <c r="F1629" s="28"/>
      <c r="G1629" s="28"/>
      <c r="H1629" s="28"/>
      <c r="I1629" s="28"/>
      <c r="J1629" s="28"/>
      <c r="L1629" s="37">
        <v>43</v>
      </c>
      <c r="M1629" s="3">
        <v>14</v>
      </c>
      <c r="N1629" s="3">
        <v>2</v>
      </c>
      <c r="O1629" s="3">
        <v>12</v>
      </c>
      <c r="P1629" s="3">
        <v>10</v>
      </c>
      <c r="Q1629" s="3">
        <v>6</v>
      </c>
      <c r="R1629" s="3">
        <v>13</v>
      </c>
      <c r="S1629" s="3">
        <v>30</v>
      </c>
      <c r="T1629" s="3">
        <v>1</v>
      </c>
      <c r="U1629" s="3">
        <v>3</v>
      </c>
      <c r="V1629" s="3">
        <v>1</v>
      </c>
      <c r="W1629" s="3">
        <v>2</v>
      </c>
      <c r="X1629" s="3">
        <v>8</v>
      </c>
    </row>
    <row r="1630" spans="1:24" x14ac:dyDescent="0.35">
      <c r="A1630">
        <v>43</v>
      </c>
      <c r="B1630">
        <v>23162</v>
      </c>
      <c r="C1630">
        <v>50</v>
      </c>
      <c r="D1630">
        <v>1</v>
      </c>
      <c r="E1630" s="28">
        <v>6.4356164383561643</v>
      </c>
      <c r="F1630" s="28"/>
      <c r="G1630" s="28"/>
      <c r="H1630" s="28"/>
      <c r="I1630" s="28"/>
      <c r="J1630" s="28"/>
      <c r="L1630" s="38">
        <v>43</v>
      </c>
      <c r="M1630" s="2">
        <v>82</v>
      </c>
      <c r="N1630" s="2">
        <v>8</v>
      </c>
      <c r="O1630" s="2">
        <v>3</v>
      </c>
      <c r="P1630" s="2">
        <v>9</v>
      </c>
      <c r="Q1630" s="2">
        <v>19</v>
      </c>
      <c r="R1630" s="2">
        <v>4</v>
      </c>
      <c r="S1630" s="2">
        <v>22</v>
      </c>
      <c r="T1630" s="2">
        <v>3</v>
      </c>
      <c r="U1630" s="2">
        <v>1</v>
      </c>
      <c r="V1630" s="2">
        <v>1</v>
      </c>
      <c r="W1630" s="2">
        <v>3</v>
      </c>
      <c r="X1630" s="2">
        <v>6</v>
      </c>
    </row>
    <row r="1631" spans="1:24" x14ac:dyDescent="0.35">
      <c r="A1631">
        <v>43</v>
      </c>
      <c r="B1631">
        <v>25804</v>
      </c>
      <c r="C1631">
        <v>42</v>
      </c>
      <c r="D1631">
        <v>1</v>
      </c>
      <c r="E1631" s="28">
        <v>6.7397260273972606</v>
      </c>
      <c r="F1631" s="28"/>
      <c r="G1631" s="28"/>
      <c r="H1631" s="28"/>
      <c r="I1631" s="28"/>
      <c r="J1631" s="28"/>
      <c r="L1631" s="37">
        <v>43</v>
      </c>
      <c r="M1631" s="3">
        <v>34</v>
      </c>
      <c r="N1631" s="3">
        <v>8</v>
      </c>
      <c r="O1631" s="3">
        <v>7</v>
      </c>
      <c r="P1631" s="3">
        <v>9</v>
      </c>
      <c r="Q1631" s="3">
        <v>13</v>
      </c>
      <c r="R1631" s="3">
        <v>6</v>
      </c>
      <c r="S1631" s="3">
        <v>12</v>
      </c>
      <c r="T1631" s="3">
        <v>2</v>
      </c>
      <c r="U1631" s="3">
        <v>2</v>
      </c>
      <c r="V1631" s="3">
        <v>0</v>
      </c>
      <c r="W1631" s="3">
        <v>3</v>
      </c>
      <c r="X1631" s="3">
        <v>8</v>
      </c>
    </row>
    <row r="1632" spans="1:24" x14ac:dyDescent="0.35">
      <c r="A1632">
        <v>42</v>
      </c>
      <c r="B1632">
        <v>31615</v>
      </c>
      <c r="C1632">
        <v>44</v>
      </c>
      <c r="D1632">
        <v>1</v>
      </c>
      <c r="E1632" s="28">
        <v>7.2027397260273975</v>
      </c>
      <c r="F1632" s="28"/>
      <c r="G1632" s="28"/>
      <c r="H1632" s="28"/>
      <c r="I1632" s="28"/>
      <c r="J1632" s="28"/>
      <c r="L1632" s="38">
        <v>42</v>
      </c>
      <c r="M1632" s="2">
        <v>82</v>
      </c>
      <c r="N1632" s="2">
        <v>2</v>
      </c>
      <c r="O1632" s="2">
        <v>3</v>
      </c>
      <c r="P1632" s="2">
        <v>20</v>
      </c>
      <c r="Q1632" s="2">
        <v>6</v>
      </c>
      <c r="R1632" s="2">
        <v>11</v>
      </c>
      <c r="S1632" s="2">
        <v>9</v>
      </c>
      <c r="T1632" s="2">
        <v>2</v>
      </c>
      <c r="U1632" s="2">
        <v>2</v>
      </c>
      <c r="V1632" s="2">
        <v>0</v>
      </c>
      <c r="W1632" s="2">
        <v>3</v>
      </c>
      <c r="X1632" s="2">
        <v>7</v>
      </c>
    </row>
    <row r="1633" spans="1:24" x14ac:dyDescent="0.35">
      <c r="A1633">
        <v>42</v>
      </c>
      <c r="B1633">
        <v>13260</v>
      </c>
      <c r="C1633">
        <v>50</v>
      </c>
      <c r="D1633">
        <v>1</v>
      </c>
      <c r="E1633" s="28">
        <v>6.7643835616438359</v>
      </c>
      <c r="F1633" s="28"/>
      <c r="G1633" s="28"/>
      <c r="H1633" s="28"/>
      <c r="I1633" s="28"/>
      <c r="J1633" s="28"/>
      <c r="L1633" s="37">
        <v>42</v>
      </c>
      <c r="M1633" s="3">
        <v>48</v>
      </c>
      <c r="N1633" s="3">
        <v>9</v>
      </c>
      <c r="O1633" s="3">
        <v>4</v>
      </c>
      <c r="P1633" s="3">
        <v>17</v>
      </c>
      <c r="Q1633" s="3">
        <v>10</v>
      </c>
      <c r="R1633" s="3">
        <v>2</v>
      </c>
      <c r="S1633" s="3">
        <v>7</v>
      </c>
      <c r="T1633" s="3">
        <v>4</v>
      </c>
      <c r="U1633" s="3">
        <v>3</v>
      </c>
      <c r="V1633" s="3">
        <v>0</v>
      </c>
      <c r="W1633" s="3">
        <v>3</v>
      </c>
      <c r="X1633" s="3">
        <v>8</v>
      </c>
    </row>
    <row r="1634" spans="1:24" x14ac:dyDescent="0.35">
      <c r="A1634">
        <v>42</v>
      </c>
      <c r="B1634">
        <v>29103</v>
      </c>
      <c r="C1634">
        <v>35</v>
      </c>
      <c r="D1634">
        <v>1</v>
      </c>
      <c r="E1634" s="28">
        <v>7.7534246575342465</v>
      </c>
      <c r="F1634" s="28"/>
      <c r="G1634" s="28"/>
      <c r="H1634" s="28"/>
      <c r="I1634" s="28"/>
      <c r="J1634" s="28"/>
      <c r="L1634" s="38">
        <v>42</v>
      </c>
      <c r="M1634" s="2">
        <v>38</v>
      </c>
      <c r="N1634" s="2">
        <v>16</v>
      </c>
      <c r="O1634" s="2">
        <v>0</v>
      </c>
      <c r="P1634" s="2">
        <v>17</v>
      </c>
      <c r="Q1634" s="2">
        <v>6</v>
      </c>
      <c r="R1634" s="2">
        <v>3</v>
      </c>
      <c r="S1634" s="2">
        <v>6</v>
      </c>
      <c r="T1634" s="2">
        <v>2</v>
      </c>
      <c r="U1634" s="2">
        <v>1</v>
      </c>
      <c r="V1634" s="2">
        <v>0</v>
      </c>
      <c r="W1634" s="2">
        <v>3</v>
      </c>
      <c r="X1634" s="2">
        <v>9</v>
      </c>
    </row>
    <row r="1635" spans="1:24" x14ac:dyDescent="0.35">
      <c r="A1635">
        <v>42</v>
      </c>
      <c r="B1635">
        <v>22585</v>
      </c>
      <c r="C1635">
        <v>50</v>
      </c>
      <c r="D1635">
        <v>0</v>
      </c>
      <c r="E1635" s="28">
        <v>7.1972602739726028</v>
      </c>
      <c r="F1635" s="28"/>
      <c r="G1635" s="28"/>
      <c r="H1635" s="28"/>
      <c r="I1635" s="28"/>
      <c r="J1635" s="28"/>
      <c r="L1635" s="37">
        <v>42</v>
      </c>
      <c r="M1635" s="3">
        <v>23</v>
      </c>
      <c r="N1635" s="3">
        <v>3</v>
      </c>
      <c r="O1635" s="3">
        <v>9</v>
      </c>
      <c r="P1635" s="3">
        <v>15</v>
      </c>
      <c r="Q1635" s="3">
        <v>13</v>
      </c>
      <c r="R1635" s="3">
        <v>2</v>
      </c>
      <c r="S1635" s="3">
        <v>39</v>
      </c>
      <c r="T1635" s="3">
        <v>1</v>
      </c>
      <c r="U1635" s="3">
        <v>1</v>
      </c>
      <c r="V1635" s="3">
        <v>1</v>
      </c>
      <c r="W1635" s="3">
        <v>2</v>
      </c>
      <c r="X1635" s="3">
        <v>9</v>
      </c>
    </row>
    <row r="1636" spans="1:24" x14ac:dyDescent="0.35">
      <c r="A1636">
        <v>42</v>
      </c>
      <c r="B1636">
        <v>29009</v>
      </c>
      <c r="C1636">
        <v>39</v>
      </c>
      <c r="D1636">
        <v>1</v>
      </c>
      <c r="E1636" s="28">
        <v>6.4958904109589044</v>
      </c>
      <c r="F1636" s="28"/>
      <c r="G1636" s="28"/>
      <c r="H1636" s="28"/>
      <c r="I1636" s="28"/>
      <c r="J1636" s="28"/>
      <c r="L1636" s="38">
        <v>42</v>
      </c>
      <c r="M1636" s="2">
        <v>19</v>
      </c>
      <c r="N1636" s="2">
        <v>6</v>
      </c>
      <c r="O1636" s="2">
        <v>6</v>
      </c>
      <c r="P1636" s="2">
        <v>15</v>
      </c>
      <c r="Q1636" s="2">
        <v>10</v>
      </c>
      <c r="R1636" s="2">
        <v>5</v>
      </c>
      <c r="S1636" s="2">
        <v>2</v>
      </c>
      <c r="T1636" s="2">
        <v>2</v>
      </c>
      <c r="U1636" s="2">
        <v>2</v>
      </c>
      <c r="V1636" s="2">
        <v>0</v>
      </c>
      <c r="W1636" s="2">
        <v>3</v>
      </c>
      <c r="X1636" s="2">
        <v>6</v>
      </c>
    </row>
    <row r="1637" spans="1:24" x14ac:dyDescent="0.35">
      <c r="A1637">
        <v>42</v>
      </c>
      <c r="B1637">
        <v>41728</v>
      </c>
      <c r="C1637">
        <v>52</v>
      </c>
      <c r="D1637">
        <v>1</v>
      </c>
      <c r="E1637" s="28">
        <v>7.0136986301369859</v>
      </c>
      <c r="F1637" s="28"/>
      <c r="G1637" s="28"/>
      <c r="H1637" s="28"/>
      <c r="I1637" s="28"/>
      <c r="J1637" s="28"/>
      <c r="L1637" s="37">
        <v>42</v>
      </c>
      <c r="M1637" s="3">
        <v>92</v>
      </c>
      <c r="N1637" s="3">
        <v>13</v>
      </c>
      <c r="O1637" s="3">
        <v>6</v>
      </c>
      <c r="P1637" s="3">
        <v>15</v>
      </c>
      <c r="Q1637" s="3">
        <v>3</v>
      </c>
      <c r="R1637" s="3">
        <v>5</v>
      </c>
      <c r="S1637" s="3">
        <v>13</v>
      </c>
      <c r="T1637" s="3">
        <v>1</v>
      </c>
      <c r="U1637" s="3">
        <v>2</v>
      </c>
      <c r="V1637" s="3">
        <v>0</v>
      </c>
      <c r="W1637" s="3">
        <v>2</v>
      </c>
      <c r="X1637" s="3">
        <v>10</v>
      </c>
    </row>
    <row r="1638" spans="1:24" x14ac:dyDescent="0.35">
      <c r="A1638">
        <v>42</v>
      </c>
      <c r="B1638">
        <v>30630</v>
      </c>
      <c r="C1638">
        <v>55</v>
      </c>
      <c r="D1638">
        <v>1</v>
      </c>
      <c r="E1638" s="28">
        <v>6.3342465753424655</v>
      </c>
      <c r="F1638" s="28"/>
      <c r="G1638" s="28"/>
      <c r="H1638" s="28"/>
      <c r="I1638" s="28"/>
      <c r="J1638" s="28"/>
      <c r="L1638" s="38">
        <v>42</v>
      </c>
      <c r="M1638" s="2">
        <v>67</v>
      </c>
      <c r="N1638" s="2">
        <v>27</v>
      </c>
      <c r="O1638" s="2">
        <v>1</v>
      </c>
      <c r="P1638" s="2">
        <v>12</v>
      </c>
      <c r="Q1638" s="2">
        <v>2</v>
      </c>
      <c r="R1638" s="2">
        <v>0</v>
      </c>
      <c r="S1638" s="2">
        <v>10</v>
      </c>
      <c r="T1638" s="2">
        <v>2</v>
      </c>
      <c r="U1638" s="2">
        <v>2</v>
      </c>
      <c r="V1638" s="2">
        <v>0</v>
      </c>
      <c r="W1638" s="2">
        <v>3</v>
      </c>
      <c r="X1638" s="2">
        <v>7</v>
      </c>
    </row>
    <row r="1639" spans="1:24" x14ac:dyDescent="0.35">
      <c r="A1639">
        <v>42</v>
      </c>
      <c r="B1639">
        <v>28072</v>
      </c>
      <c r="C1639">
        <v>34</v>
      </c>
      <c r="D1639">
        <v>1</v>
      </c>
      <c r="E1639" s="28">
        <v>6.8904109589041092</v>
      </c>
      <c r="F1639" s="28"/>
      <c r="G1639" s="28"/>
      <c r="H1639" s="28"/>
      <c r="I1639" s="28"/>
      <c r="J1639" s="28"/>
      <c r="L1639" s="37">
        <v>42</v>
      </c>
      <c r="M1639" s="3">
        <v>10</v>
      </c>
      <c r="N1639" s="3">
        <v>30</v>
      </c>
      <c r="O1639" s="3">
        <v>0</v>
      </c>
      <c r="P1639" s="3">
        <v>10</v>
      </c>
      <c r="Q1639" s="3">
        <v>2</v>
      </c>
      <c r="R1639" s="3">
        <v>0</v>
      </c>
      <c r="S1639" s="3">
        <v>5</v>
      </c>
      <c r="T1639" s="3">
        <v>1</v>
      </c>
      <c r="U1639" s="3">
        <v>1</v>
      </c>
      <c r="V1639" s="3">
        <v>0</v>
      </c>
      <c r="W1639" s="3">
        <v>3</v>
      </c>
      <c r="X1639" s="3">
        <v>7</v>
      </c>
    </row>
    <row r="1640" spans="1:24" x14ac:dyDescent="0.35">
      <c r="A1640">
        <v>41</v>
      </c>
      <c r="B1640">
        <v>27161</v>
      </c>
      <c r="C1640">
        <v>34</v>
      </c>
      <c r="D1640">
        <v>1</v>
      </c>
      <c r="E1640" s="28">
        <v>6.5835616438356164</v>
      </c>
      <c r="F1640" s="28"/>
      <c r="G1640" s="28"/>
      <c r="H1640" s="28"/>
      <c r="I1640" s="28"/>
      <c r="J1640" s="28"/>
      <c r="L1640" s="38">
        <v>41</v>
      </c>
      <c r="M1640" s="2">
        <v>41</v>
      </c>
      <c r="N1640" s="2">
        <v>7</v>
      </c>
      <c r="O1640" s="2">
        <v>4</v>
      </c>
      <c r="P1640" s="2">
        <v>23</v>
      </c>
      <c r="Q1640" s="2">
        <v>7</v>
      </c>
      <c r="R1640" s="2">
        <v>0</v>
      </c>
      <c r="S1640" s="2">
        <v>11</v>
      </c>
      <c r="T1640" s="2">
        <v>1</v>
      </c>
      <c r="U1640" s="2">
        <v>1</v>
      </c>
      <c r="V1640" s="2">
        <v>0</v>
      </c>
      <c r="W1640" s="2">
        <v>3</v>
      </c>
      <c r="X1640" s="2">
        <v>7</v>
      </c>
    </row>
    <row r="1641" spans="1:24" x14ac:dyDescent="0.35">
      <c r="A1641">
        <v>41</v>
      </c>
      <c r="B1641">
        <v>19514</v>
      </c>
      <c r="C1641">
        <v>52</v>
      </c>
      <c r="D1641">
        <v>1</v>
      </c>
      <c r="E1641" s="28">
        <v>6.3369863013698629</v>
      </c>
      <c r="F1641" s="28"/>
      <c r="G1641" s="28"/>
      <c r="H1641" s="28"/>
      <c r="I1641" s="28"/>
      <c r="J1641" s="28"/>
      <c r="L1641" s="37">
        <v>41</v>
      </c>
      <c r="M1641" s="3">
        <v>47</v>
      </c>
      <c r="N1641" s="3">
        <v>14</v>
      </c>
      <c r="O1641" s="3">
        <v>3</v>
      </c>
      <c r="P1641" s="3">
        <v>21</v>
      </c>
      <c r="Q1641" s="3">
        <v>2</v>
      </c>
      <c r="R1641" s="3">
        <v>1</v>
      </c>
      <c r="S1641" s="3">
        <v>28</v>
      </c>
      <c r="T1641" s="3">
        <v>4</v>
      </c>
      <c r="U1641" s="3">
        <v>3</v>
      </c>
      <c r="V1641" s="3">
        <v>1</v>
      </c>
      <c r="W1641" s="3">
        <v>2</v>
      </c>
      <c r="X1641" s="3">
        <v>8</v>
      </c>
    </row>
    <row r="1642" spans="1:24" x14ac:dyDescent="0.35">
      <c r="A1642">
        <v>41</v>
      </c>
      <c r="B1642">
        <v>19514</v>
      </c>
      <c r="C1642">
        <v>52</v>
      </c>
      <c r="D1642">
        <v>1</v>
      </c>
      <c r="E1642" s="28">
        <v>6.3369863013698629</v>
      </c>
      <c r="F1642" s="28"/>
      <c r="G1642" s="28"/>
      <c r="H1642" s="28"/>
      <c r="I1642" s="28"/>
      <c r="J1642" s="28"/>
      <c r="L1642" s="38">
        <v>41</v>
      </c>
      <c r="M1642" s="2">
        <v>47</v>
      </c>
      <c r="N1642" s="2">
        <v>14</v>
      </c>
      <c r="O1642" s="2">
        <v>3</v>
      </c>
      <c r="P1642" s="2">
        <v>21</v>
      </c>
      <c r="Q1642" s="2">
        <v>2</v>
      </c>
      <c r="R1642" s="2">
        <v>1</v>
      </c>
      <c r="S1642" s="2">
        <v>28</v>
      </c>
      <c r="T1642" s="2">
        <v>4</v>
      </c>
      <c r="U1642" s="2">
        <v>3</v>
      </c>
      <c r="V1642" s="2">
        <v>1</v>
      </c>
      <c r="W1642" s="2">
        <v>2</v>
      </c>
      <c r="X1642" s="2">
        <v>8</v>
      </c>
    </row>
    <row r="1643" spans="1:24" x14ac:dyDescent="0.35">
      <c r="A1643">
        <v>41</v>
      </c>
      <c r="B1643">
        <v>23976</v>
      </c>
      <c r="C1643">
        <v>36</v>
      </c>
      <c r="D1643">
        <v>1</v>
      </c>
      <c r="E1643" s="28">
        <v>6.419178082191781</v>
      </c>
      <c r="F1643" s="28"/>
      <c r="G1643" s="28"/>
      <c r="H1643" s="28"/>
      <c r="I1643" s="28"/>
      <c r="J1643" s="28"/>
      <c r="L1643" s="37">
        <v>41</v>
      </c>
      <c r="M1643" s="3">
        <v>68</v>
      </c>
      <c r="N1643" s="3">
        <v>14</v>
      </c>
      <c r="O1643" s="3">
        <v>1</v>
      </c>
      <c r="P1643" s="3">
        <v>21</v>
      </c>
      <c r="Q1643" s="3">
        <v>2</v>
      </c>
      <c r="R1643" s="3">
        <v>3</v>
      </c>
      <c r="S1643" s="3">
        <v>25</v>
      </c>
      <c r="T1643" s="3">
        <v>3</v>
      </c>
      <c r="U1643" s="3">
        <v>3</v>
      </c>
      <c r="V1643" s="3">
        <v>1</v>
      </c>
      <c r="W1643" s="3">
        <v>3</v>
      </c>
      <c r="X1643" s="3">
        <v>7</v>
      </c>
    </row>
    <row r="1644" spans="1:24" x14ac:dyDescent="0.35">
      <c r="A1644">
        <v>41</v>
      </c>
      <c r="B1644">
        <v>42693</v>
      </c>
      <c r="C1644">
        <v>42</v>
      </c>
      <c r="D1644">
        <v>1</v>
      </c>
      <c r="E1644" s="28">
        <v>5.9753424657534246</v>
      </c>
      <c r="F1644" s="28"/>
      <c r="G1644" s="28"/>
      <c r="H1644" s="28"/>
      <c r="I1644" s="28"/>
      <c r="J1644" s="28"/>
      <c r="L1644" s="38">
        <v>41</v>
      </c>
      <c r="M1644" s="2">
        <v>29</v>
      </c>
      <c r="N1644" s="2">
        <v>8</v>
      </c>
      <c r="O1644" s="2">
        <v>4</v>
      </c>
      <c r="P1644" s="2">
        <v>20</v>
      </c>
      <c r="Q1644" s="2">
        <v>6</v>
      </c>
      <c r="R1644" s="2">
        <v>3</v>
      </c>
      <c r="S1644" s="2">
        <v>16</v>
      </c>
      <c r="T1644" s="2">
        <v>1</v>
      </c>
      <c r="U1644" s="2">
        <v>1</v>
      </c>
      <c r="V1644" s="2">
        <v>0</v>
      </c>
      <c r="W1644" s="2">
        <v>3</v>
      </c>
      <c r="X1644" s="2">
        <v>5</v>
      </c>
    </row>
    <row r="1645" spans="1:24" x14ac:dyDescent="0.35">
      <c r="A1645">
        <v>41</v>
      </c>
      <c r="B1645">
        <v>17144</v>
      </c>
      <c r="C1645">
        <v>60</v>
      </c>
      <c r="D1645">
        <v>1</v>
      </c>
      <c r="E1645" s="28">
        <v>6.2821917808219174</v>
      </c>
      <c r="F1645" s="28"/>
      <c r="G1645" s="28"/>
      <c r="H1645" s="28"/>
      <c r="I1645" s="28"/>
      <c r="J1645" s="28"/>
      <c r="L1645" s="37">
        <v>41</v>
      </c>
      <c r="M1645" s="3">
        <v>96</v>
      </c>
      <c r="N1645" s="3">
        <v>18</v>
      </c>
      <c r="O1645" s="3">
        <v>2</v>
      </c>
      <c r="P1645" s="3">
        <v>19</v>
      </c>
      <c r="Q1645" s="3">
        <v>0</v>
      </c>
      <c r="R1645" s="3">
        <v>2</v>
      </c>
      <c r="S1645" s="3">
        <v>6</v>
      </c>
      <c r="T1645" s="3">
        <v>5</v>
      </c>
      <c r="U1645" s="3">
        <v>3</v>
      </c>
      <c r="V1645" s="3">
        <v>0</v>
      </c>
      <c r="W1645" s="3">
        <v>4</v>
      </c>
      <c r="X1645" s="3">
        <v>7</v>
      </c>
    </row>
    <row r="1646" spans="1:24" x14ac:dyDescent="0.35">
      <c r="A1646">
        <v>41</v>
      </c>
      <c r="B1646">
        <v>17323</v>
      </c>
      <c r="C1646">
        <v>33</v>
      </c>
      <c r="D1646">
        <v>0</v>
      </c>
      <c r="E1646" s="28">
        <v>7.6328767123287671</v>
      </c>
      <c r="F1646" s="28"/>
      <c r="G1646" s="28"/>
      <c r="H1646" s="28"/>
      <c r="I1646" s="28"/>
      <c r="J1646" s="28"/>
      <c r="L1646" s="38">
        <v>41</v>
      </c>
      <c r="M1646" s="2">
        <v>38</v>
      </c>
      <c r="N1646" s="2">
        <v>3</v>
      </c>
      <c r="O1646" s="2">
        <v>14</v>
      </c>
      <c r="P1646" s="2">
        <v>17</v>
      </c>
      <c r="Q1646" s="2">
        <v>6</v>
      </c>
      <c r="R1646" s="2">
        <v>1</v>
      </c>
      <c r="S1646" s="2">
        <v>5</v>
      </c>
      <c r="T1646" s="2">
        <v>1</v>
      </c>
      <c r="U1646" s="2">
        <v>1</v>
      </c>
      <c r="V1646" s="2">
        <v>0</v>
      </c>
      <c r="W1646" s="2">
        <v>3</v>
      </c>
      <c r="X1646" s="2">
        <v>8</v>
      </c>
    </row>
    <row r="1647" spans="1:24" x14ac:dyDescent="0.35">
      <c r="A1647">
        <v>41</v>
      </c>
      <c r="B1647">
        <v>20895</v>
      </c>
      <c r="C1647">
        <v>47</v>
      </c>
      <c r="D1647">
        <v>1</v>
      </c>
      <c r="E1647" s="28">
        <v>7.6438356164383565</v>
      </c>
      <c r="F1647" s="28"/>
      <c r="G1647" s="28"/>
      <c r="H1647" s="28"/>
      <c r="I1647" s="28"/>
      <c r="J1647" s="28"/>
      <c r="L1647" s="37">
        <v>41</v>
      </c>
      <c r="M1647" s="3">
        <v>24</v>
      </c>
      <c r="N1647" s="3">
        <v>18</v>
      </c>
      <c r="O1647" s="3">
        <v>3</v>
      </c>
      <c r="P1647" s="3">
        <v>17</v>
      </c>
      <c r="Q1647" s="3">
        <v>3</v>
      </c>
      <c r="R1647" s="3">
        <v>0</v>
      </c>
      <c r="S1647" s="3">
        <v>4</v>
      </c>
      <c r="T1647" s="3">
        <v>1</v>
      </c>
      <c r="U1647" s="3">
        <v>2</v>
      </c>
      <c r="V1647" s="3">
        <v>0</v>
      </c>
      <c r="W1647" s="3">
        <v>3</v>
      </c>
      <c r="X1647" s="3">
        <v>9</v>
      </c>
    </row>
    <row r="1648" spans="1:24" x14ac:dyDescent="0.35">
      <c r="A1648">
        <v>41</v>
      </c>
      <c r="B1648">
        <v>21675</v>
      </c>
      <c r="C1648">
        <v>44</v>
      </c>
      <c r="D1648">
        <v>1</v>
      </c>
      <c r="E1648" s="28">
        <v>5.9643835616438352</v>
      </c>
      <c r="F1648" s="28"/>
      <c r="G1648" s="28"/>
      <c r="H1648" s="28"/>
      <c r="I1648" s="28"/>
      <c r="J1648" s="28"/>
      <c r="L1648" s="38">
        <v>41</v>
      </c>
      <c r="M1648" s="2">
        <v>55</v>
      </c>
      <c r="N1648" s="2">
        <v>4</v>
      </c>
      <c r="O1648" s="2">
        <v>0</v>
      </c>
      <c r="P1648" s="2">
        <v>16</v>
      </c>
      <c r="Q1648" s="2">
        <v>17</v>
      </c>
      <c r="R1648" s="2">
        <v>4</v>
      </c>
      <c r="S1648" s="2">
        <v>4</v>
      </c>
      <c r="T1648" s="2">
        <v>3</v>
      </c>
      <c r="U1648" s="2">
        <v>4</v>
      </c>
      <c r="V1648" s="2">
        <v>0</v>
      </c>
      <c r="W1648" s="2">
        <v>3</v>
      </c>
      <c r="X1648" s="2">
        <v>7</v>
      </c>
    </row>
    <row r="1649" spans="1:24" x14ac:dyDescent="0.35">
      <c r="A1649">
        <v>41</v>
      </c>
      <c r="B1649">
        <v>30675</v>
      </c>
      <c r="C1649">
        <v>48</v>
      </c>
      <c r="D1649">
        <v>1</v>
      </c>
      <c r="E1649" s="28">
        <v>7.5424657534246577</v>
      </c>
      <c r="F1649" s="28"/>
      <c r="G1649" s="28"/>
      <c r="H1649" s="28"/>
      <c r="I1649" s="28"/>
      <c r="J1649" s="28"/>
      <c r="L1649" s="37">
        <v>41</v>
      </c>
      <c r="M1649" s="3">
        <v>14</v>
      </c>
      <c r="N1649" s="3">
        <v>10</v>
      </c>
      <c r="O1649" s="3">
        <v>2</v>
      </c>
      <c r="P1649" s="3">
        <v>16</v>
      </c>
      <c r="Q1649" s="3">
        <v>11</v>
      </c>
      <c r="R1649" s="3">
        <v>2</v>
      </c>
      <c r="S1649" s="3">
        <v>21</v>
      </c>
      <c r="T1649" s="3">
        <v>1</v>
      </c>
      <c r="U1649" s="3">
        <v>1</v>
      </c>
      <c r="V1649" s="3">
        <v>0</v>
      </c>
      <c r="W1649" s="3">
        <v>3</v>
      </c>
      <c r="X1649" s="3">
        <v>8</v>
      </c>
    </row>
    <row r="1650" spans="1:24" x14ac:dyDescent="0.35">
      <c r="A1650">
        <v>41</v>
      </c>
      <c r="B1650">
        <v>30992</v>
      </c>
      <c r="C1650">
        <v>44</v>
      </c>
      <c r="D1650">
        <v>1</v>
      </c>
      <c r="E1650" s="28">
        <v>7.1013698630136988</v>
      </c>
      <c r="F1650" s="28"/>
      <c r="G1650" s="28"/>
      <c r="H1650" s="28"/>
      <c r="I1650" s="28"/>
      <c r="J1650" s="28"/>
      <c r="L1650" s="38">
        <v>41</v>
      </c>
      <c r="M1650" s="2">
        <v>83</v>
      </c>
      <c r="N1650" s="2">
        <v>17</v>
      </c>
      <c r="O1650" s="2">
        <v>0</v>
      </c>
      <c r="P1650" s="2">
        <v>14</v>
      </c>
      <c r="Q1650" s="2">
        <v>7</v>
      </c>
      <c r="R1650" s="2">
        <v>3</v>
      </c>
      <c r="S1650" s="2">
        <v>2</v>
      </c>
      <c r="T1650" s="2">
        <v>1</v>
      </c>
      <c r="U1650" s="2">
        <v>1</v>
      </c>
      <c r="V1650" s="2">
        <v>0</v>
      </c>
      <c r="W1650" s="2">
        <v>3</v>
      </c>
      <c r="X1650" s="2">
        <v>7</v>
      </c>
    </row>
    <row r="1651" spans="1:24" x14ac:dyDescent="0.35">
      <c r="A1651">
        <v>41</v>
      </c>
      <c r="B1651">
        <v>35178</v>
      </c>
      <c r="C1651">
        <v>49</v>
      </c>
      <c r="D1651">
        <v>1</v>
      </c>
      <c r="E1651" s="28">
        <v>7.3808219178082188</v>
      </c>
      <c r="F1651" s="28"/>
      <c r="G1651" s="28"/>
      <c r="H1651" s="28"/>
      <c r="I1651" s="28"/>
      <c r="J1651" s="28"/>
      <c r="L1651" s="37">
        <v>41</v>
      </c>
      <c r="M1651" s="3">
        <v>10</v>
      </c>
      <c r="N1651" s="3">
        <v>23</v>
      </c>
      <c r="O1651" s="3">
        <v>1</v>
      </c>
      <c r="P1651" s="3">
        <v>13</v>
      </c>
      <c r="Q1651" s="3">
        <v>2</v>
      </c>
      <c r="R1651" s="3">
        <v>2</v>
      </c>
      <c r="S1651" s="3">
        <v>18</v>
      </c>
      <c r="T1651" s="3">
        <v>1</v>
      </c>
      <c r="U1651" s="3">
        <v>1</v>
      </c>
      <c r="V1651" s="3">
        <v>1</v>
      </c>
      <c r="W1651" s="3">
        <v>2</v>
      </c>
      <c r="X1651" s="3">
        <v>7</v>
      </c>
    </row>
    <row r="1652" spans="1:24" x14ac:dyDescent="0.35">
      <c r="A1652">
        <v>41</v>
      </c>
      <c r="B1652">
        <v>38196</v>
      </c>
      <c r="C1652">
        <v>49</v>
      </c>
      <c r="D1652">
        <v>1</v>
      </c>
      <c r="E1652" s="28">
        <v>6.1123287671232873</v>
      </c>
      <c r="F1652" s="28"/>
      <c r="G1652" s="28"/>
      <c r="H1652" s="28"/>
      <c r="I1652" s="28"/>
      <c r="J1652" s="28"/>
      <c r="L1652" s="38">
        <v>41</v>
      </c>
      <c r="M1652" s="2">
        <v>20</v>
      </c>
      <c r="N1652" s="2">
        <v>30</v>
      </c>
      <c r="O1652" s="2">
        <v>0</v>
      </c>
      <c r="P1652" s="2">
        <v>11</v>
      </c>
      <c r="Q1652" s="2">
        <v>0</v>
      </c>
      <c r="R1652" s="2">
        <v>0</v>
      </c>
      <c r="S1652" s="2">
        <v>3</v>
      </c>
      <c r="T1652" s="2">
        <v>3</v>
      </c>
      <c r="U1652" s="2">
        <v>2</v>
      </c>
      <c r="V1652" s="2">
        <v>0</v>
      </c>
      <c r="W1652" s="2">
        <v>4</v>
      </c>
      <c r="X1652" s="2">
        <v>5</v>
      </c>
    </row>
    <row r="1653" spans="1:24" x14ac:dyDescent="0.35">
      <c r="A1653">
        <v>41</v>
      </c>
      <c r="B1653">
        <v>42554</v>
      </c>
      <c r="C1653">
        <v>42</v>
      </c>
      <c r="D1653">
        <v>1</v>
      </c>
      <c r="E1653" s="28">
        <v>7.375342465753425</v>
      </c>
      <c r="F1653" s="28"/>
      <c r="G1653" s="28"/>
      <c r="H1653" s="28"/>
      <c r="I1653" s="28"/>
      <c r="J1653" s="28"/>
      <c r="L1653" s="37">
        <v>41</v>
      </c>
      <c r="M1653" s="3">
        <v>93</v>
      </c>
      <c r="N1653" s="3">
        <v>29</v>
      </c>
      <c r="O1653" s="3">
        <v>1</v>
      </c>
      <c r="P1653" s="3">
        <v>11</v>
      </c>
      <c r="Q1653" s="3">
        <v>0</v>
      </c>
      <c r="R1653" s="3">
        <v>0</v>
      </c>
      <c r="S1653" s="3">
        <v>0</v>
      </c>
      <c r="T1653" s="3">
        <v>2</v>
      </c>
      <c r="U1653" s="3">
        <v>2</v>
      </c>
      <c r="V1653" s="3">
        <v>0</v>
      </c>
      <c r="W1653" s="3">
        <v>3</v>
      </c>
      <c r="X1653" s="3">
        <v>4</v>
      </c>
    </row>
    <row r="1654" spans="1:24" x14ac:dyDescent="0.35">
      <c r="A1654">
        <v>41</v>
      </c>
      <c r="B1654">
        <v>35701</v>
      </c>
      <c r="C1654">
        <v>61</v>
      </c>
      <c r="D1654">
        <v>0</v>
      </c>
      <c r="E1654" s="28">
        <v>7.1945205479452055</v>
      </c>
      <c r="F1654" s="28"/>
      <c r="G1654" s="28"/>
      <c r="H1654" s="28"/>
      <c r="I1654" s="28"/>
      <c r="J1654" s="28"/>
      <c r="L1654" s="38">
        <v>41</v>
      </c>
      <c r="M1654" s="2">
        <v>36</v>
      </c>
      <c r="N1654" s="2">
        <v>21</v>
      </c>
      <c r="O1654" s="2">
        <v>1</v>
      </c>
      <c r="P1654" s="2">
        <v>9</v>
      </c>
      <c r="Q1654" s="2">
        <v>7</v>
      </c>
      <c r="R1654" s="2">
        <v>3</v>
      </c>
      <c r="S1654" s="2">
        <v>5</v>
      </c>
      <c r="T1654" s="2">
        <v>1</v>
      </c>
      <c r="U1654" s="2">
        <v>1</v>
      </c>
      <c r="V1654" s="2">
        <v>0</v>
      </c>
      <c r="W1654" s="2">
        <v>3</v>
      </c>
      <c r="X1654" s="2">
        <v>6</v>
      </c>
    </row>
    <row r="1655" spans="1:24" x14ac:dyDescent="0.35">
      <c r="A1655">
        <v>41</v>
      </c>
      <c r="B1655">
        <v>37235</v>
      </c>
      <c r="C1655">
        <v>36</v>
      </c>
      <c r="D1655">
        <v>1</v>
      </c>
      <c r="E1655" s="28">
        <v>6.3205479452054796</v>
      </c>
      <c r="F1655" s="28"/>
      <c r="G1655" s="28"/>
      <c r="H1655" s="28"/>
      <c r="I1655" s="28"/>
      <c r="J1655" s="28"/>
      <c r="L1655" s="37">
        <v>41</v>
      </c>
      <c r="M1655" s="3">
        <v>68</v>
      </c>
      <c r="N1655" s="3">
        <v>20</v>
      </c>
      <c r="O1655" s="3">
        <v>2</v>
      </c>
      <c r="P1655" s="3">
        <v>9</v>
      </c>
      <c r="Q1655" s="3">
        <v>4</v>
      </c>
      <c r="R1655" s="3">
        <v>6</v>
      </c>
      <c r="S1655" s="3">
        <v>20</v>
      </c>
      <c r="T1655" s="3">
        <v>1</v>
      </c>
      <c r="U1655" s="3">
        <v>1</v>
      </c>
      <c r="V1655" s="3">
        <v>1</v>
      </c>
      <c r="W1655" s="3">
        <v>2</v>
      </c>
      <c r="X1655" s="3">
        <v>4</v>
      </c>
    </row>
    <row r="1656" spans="1:24" x14ac:dyDescent="0.35">
      <c r="A1656">
        <v>41</v>
      </c>
      <c r="B1656">
        <v>55563</v>
      </c>
      <c r="C1656">
        <v>42</v>
      </c>
      <c r="D1656">
        <v>1</v>
      </c>
      <c r="E1656" s="28">
        <v>6.1479452054794521</v>
      </c>
      <c r="F1656" s="28"/>
      <c r="G1656" s="28"/>
      <c r="H1656" s="28"/>
      <c r="I1656" s="28"/>
      <c r="J1656" s="28"/>
      <c r="L1656" s="38">
        <v>41</v>
      </c>
      <c r="M1656" s="2">
        <v>22</v>
      </c>
      <c r="N1656" s="2">
        <v>29</v>
      </c>
      <c r="O1656" s="2">
        <v>1</v>
      </c>
      <c r="P1656" s="2">
        <v>9</v>
      </c>
      <c r="Q1656" s="2">
        <v>2</v>
      </c>
      <c r="R1656" s="2">
        <v>0</v>
      </c>
      <c r="S1656" s="2">
        <v>2</v>
      </c>
      <c r="T1656" s="2">
        <v>1</v>
      </c>
      <c r="U1656" s="2">
        <v>2</v>
      </c>
      <c r="V1656" s="2">
        <v>0</v>
      </c>
      <c r="W1656" s="2">
        <v>3</v>
      </c>
      <c r="X1656" s="2">
        <v>3</v>
      </c>
    </row>
    <row r="1657" spans="1:24" x14ac:dyDescent="0.35">
      <c r="A1657">
        <v>41</v>
      </c>
      <c r="B1657">
        <v>18690</v>
      </c>
      <c r="C1657">
        <v>61</v>
      </c>
      <c r="D1657">
        <v>0</v>
      </c>
      <c r="E1657" s="28">
        <v>7.4164383561643836</v>
      </c>
      <c r="F1657" s="28"/>
      <c r="G1657" s="28"/>
      <c r="H1657" s="28"/>
      <c r="I1657" s="28"/>
      <c r="J1657" s="28"/>
      <c r="L1657" s="37">
        <v>41</v>
      </c>
      <c r="M1657" s="3">
        <v>77</v>
      </c>
      <c r="N1657" s="3">
        <v>6</v>
      </c>
      <c r="O1657" s="3">
        <v>1</v>
      </c>
      <c r="P1657" s="3">
        <v>7</v>
      </c>
      <c r="Q1657" s="3">
        <v>23</v>
      </c>
      <c r="R1657" s="3">
        <v>4</v>
      </c>
      <c r="S1657" s="3">
        <v>19</v>
      </c>
      <c r="T1657" s="3">
        <v>1</v>
      </c>
      <c r="U1657" s="3">
        <v>1</v>
      </c>
      <c r="V1657" s="3">
        <v>1</v>
      </c>
      <c r="W1657" s="3">
        <v>2</v>
      </c>
      <c r="X1657" s="3">
        <v>8</v>
      </c>
    </row>
    <row r="1658" spans="1:24" x14ac:dyDescent="0.35">
      <c r="A1658">
        <v>41</v>
      </c>
      <c r="B1658">
        <v>38576</v>
      </c>
      <c r="C1658">
        <v>47</v>
      </c>
      <c r="D1658">
        <v>1</v>
      </c>
      <c r="E1658" s="28">
        <v>6.2356164383561641</v>
      </c>
      <c r="F1658" s="28"/>
      <c r="G1658" s="28"/>
      <c r="H1658" s="28"/>
      <c r="I1658" s="28"/>
      <c r="J1658" s="28"/>
      <c r="L1658" s="38">
        <v>41</v>
      </c>
      <c r="M1658" s="2">
        <v>2</v>
      </c>
      <c r="N1658" s="2">
        <v>34</v>
      </c>
      <c r="O1658" s="2">
        <v>0</v>
      </c>
      <c r="P1658" s="2">
        <v>7</v>
      </c>
      <c r="Q1658" s="2">
        <v>0</v>
      </c>
      <c r="R1658" s="2">
        <v>0</v>
      </c>
      <c r="S1658" s="2">
        <v>0</v>
      </c>
      <c r="T1658" s="2">
        <v>1</v>
      </c>
      <c r="U1658" s="2">
        <v>1</v>
      </c>
      <c r="V1658" s="2">
        <v>0</v>
      </c>
      <c r="W1658" s="2">
        <v>3</v>
      </c>
      <c r="X1658" s="2">
        <v>7</v>
      </c>
    </row>
    <row r="1659" spans="1:24" x14ac:dyDescent="0.35">
      <c r="A1659">
        <v>41</v>
      </c>
      <c r="B1659">
        <v>28718</v>
      </c>
      <c r="C1659">
        <v>38</v>
      </c>
      <c r="D1659">
        <v>1</v>
      </c>
      <c r="E1659" s="28">
        <v>6.8767123287671232</v>
      </c>
      <c r="F1659" s="28"/>
      <c r="G1659" s="28"/>
      <c r="H1659" s="28"/>
      <c r="I1659" s="28"/>
      <c r="J1659" s="28"/>
      <c r="L1659" s="37">
        <v>41</v>
      </c>
      <c r="M1659" s="3">
        <v>78</v>
      </c>
      <c r="N1659" s="3">
        <v>12</v>
      </c>
      <c r="O1659" s="3">
        <v>4</v>
      </c>
      <c r="P1659" s="3">
        <v>6</v>
      </c>
      <c r="Q1659" s="3">
        <v>11</v>
      </c>
      <c r="R1659" s="3">
        <v>8</v>
      </c>
      <c r="S1659" s="3">
        <v>16</v>
      </c>
      <c r="T1659" s="3">
        <v>2</v>
      </c>
      <c r="U1659" s="3">
        <v>2</v>
      </c>
      <c r="V1659" s="3">
        <v>0</v>
      </c>
      <c r="W1659" s="3">
        <v>3</v>
      </c>
      <c r="X1659" s="3">
        <v>8</v>
      </c>
    </row>
    <row r="1660" spans="1:24" x14ac:dyDescent="0.35">
      <c r="A1660">
        <v>40</v>
      </c>
      <c r="B1660">
        <v>28567</v>
      </c>
      <c r="C1660">
        <v>38</v>
      </c>
      <c r="D1660">
        <v>1</v>
      </c>
      <c r="E1660" s="28">
        <v>6.9479452054794519</v>
      </c>
      <c r="F1660" s="28"/>
      <c r="G1660" s="28"/>
      <c r="H1660" s="28"/>
      <c r="I1660" s="28"/>
      <c r="J1660" s="28"/>
      <c r="L1660" s="38">
        <v>40</v>
      </c>
      <c r="M1660" s="2">
        <v>57</v>
      </c>
      <c r="N1660" s="2">
        <v>11</v>
      </c>
      <c r="O1660" s="2">
        <v>3</v>
      </c>
      <c r="P1660" s="2">
        <v>22</v>
      </c>
      <c r="Q1660" s="2">
        <v>2</v>
      </c>
      <c r="R1660" s="2">
        <v>2</v>
      </c>
      <c r="S1660" s="2">
        <v>6</v>
      </c>
      <c r="T1660" s="2">
        <v>2</v>
      </c>
      <c r="U1660" s="2">
        <v>2</v>
      </c>
      <c r="V1660" s="2">
        <v>0</v>
      </c>
      <c r="W1660" s="2">
        <v>3</v>
      </c>
      <c r="X1660" s="2">
        <v>6</v>
      </c>
    </row>
    <row r="1661" spans="1:24" x14ac:dyDescent="0.35">
      <c r="A1661">
        <v>40</v>
      </c>
      <c r="B1661">
        <v>27203</v>
      </c>
      <c r="C1661">
        <v>70</v>
      </c>
      <c r="D1661">
        <v>1</v>
      </c>
      <c r="E1661" s="28">
        <v>7.8109589041095893</v>
      </c>
      <c r="F1661" s="28"/>
      <c r="G1661" s="28"/>
      <c r="H1661" s="28"/>
      <c r="I1661" s="28"/>
      <c r="J1661" s="28"/>
      <c r="L1661" s="37">
        <v>40</v>
      </c>
      <c r="M1661" s="3">
        <v>92</v>
      </c>
      <c r="N1661" s="3">
        <v>13</v>
      </c>
      <c r="O1661" s="3">
        <v>2</v>
      </c>
      <c r="P1661" s="3">
        <v>21</v>
      </c>
      <c r="Q1661" s="3">
        <v>4</v>
      </c>
      <c r="R1661" s="3">
        <v>0</v>
      </c>
      <c r="S1661" s="3">
        <v>24</v>
      </c>
      <c r="T1661" s="3">
        <v>2</v>
      </c>
      <c r="U1661" s="3">
        <v>1</v>
      </c>
      <c r="V1661" s="3">
        <v>1</v>
      </c>
      <c r="W1661" s="3">
        <v>2</v>
      </c>
      <c r="X1661" s="3">
        <v>8</v>
      </c>
    </row>
    <row r="1662" spans="1:24" x14ac:dyDescent="0.35">
      <c r="A1662">
        <v>40</v>
      </c>
      <c r="B1662">
        <v>23228</v>
      </c>
      <c r="C1662">
        <v>51</v>
      </c>
      <c r="D1662">
        <v>1</v>
      </c>
      <c r="E1662" s="28">
        <v>6.3369863013698629</v>
      </c>
      <c r="F1662" s="28"/>
      <c r="G1662" s="28"/>
      <c r="H1662" s="28"/>
      <c r="I1662" s="28"/>
      <c r="J1662" s="28"/>
      <c r="L1662" s="38">
        <v>40</v>
      </c>
      <c r="M1662" s="2">
        <v>71</v>
      </c>
      <c r="N1662" s="2">
        <v>13</v>
      </c>
      <c r="O1662" s="2">
        <v>2</v>
      </c>
      <c r="P1662" s="2">
        <v>18</v>
      </c>
      <c r="Q1662" s="2">
        <v>6</v>
      </c>
      <c r="R1662" s="2">
        <v>1</v>
      </c>
      <c r="S1662" s="2">
        <v>0</v>
      </c>
      <c r="T1662" s="2">
        <v>2</v>
      </c>
      <c r="U1662" s="2">
        <v>2</v>
      </c>
      <c r="V1662" s="2">
        <v>0</v>
      </c>
      <c r="W1662" s="2">
        <v>3</v>
      </c>
      <c r="X1662" s="2">
        <v>8</v>
      </c>
    </row>
    <row r="1663" spans="1:24" x14ac:dyDescent="0.35">
      <c r="A1663">
        <v>40</v>
      </c>
      <c r="B1663">
        <v>30023</v>
      </c>
      <c r="C1663">
        <v>48</v>
      </c>
      <c r="D1663">
        <v>1</v>
      </c>
      <c r="E1663" s="28">
        <v>6.1808219178082195</v>
      </c>
      <c r="F1663" s="28"/>
      <c r="G1663" s="28"/>
      <c r="H1663" s="28"/>
      <c r="I1663" s="28"/>
      <c r="J1663" s="28"/>
      <c r="L1663" s="37">
        <v>40</v>
      </c>
      <c r="M1663" s="3">
        <v>28</v>
      </c>
      <c r="N1663" s="3">
        <v>11</v>
      </c>
      <c r="O1663" s="3">
        <v>0</v>
      </c>
      <c r="P1663" s="3">
        <v>16</v>
      </c>
      <c r="Q1663" s="3">
        <v>7</v>
      </c>
      <c r="R1663" s="3">
        <v>6</v>
      </c>
      <c r="S1663" s="3">
        <v>21</v>
      </c>
      <c r="T1663" s="3">
        <v>1</v>
      </c>
      <c r="U1663" s="3">
        <v>2</v>
      </c>
      <c r="V1663" s="3">
        <v>0</v>
      </c>
      <c r="W1663" s="3">
        <v>3</v>
      </c>
      <c r="X1663" s="3">
        <v>8</v>
      </c>
    </row>
    <row r="1664" spans="1:24" x14ac:dyDescent="0.35">
      <c r="A1664">
        <v>40</v>
      </c>
      <c r="B1664">
        <v>32880</v>
      </c>
      <c r="C1664">
        <v>34</v>
      </c>
      <c r="D1664">
        <v>1</v>
      </c>
      <c r="E1664" s="28">
        <v>7.4821917808219176</v>
      </c>
      <c r="F1664" s="28"/>
      <c r="G1664" s="28"/>
      <c r="H1664" s="28"/>
      <c r="I1664" s="28"/>
      <c r="J1664" s="28"/>
      <c r="L1664" s="38">
        <v>40</v>
      </c>
      <c r="M1664" s="2">
        <v>76</v>
      </c>
      <c r="N1664" s="2">
        <v>8</v>
      </c>
      <c r="O1664" s="2">
        <v>4</v>
      </c>
      <c r="P1664" s="2">
        <v>15</v>
      </c>
      <c r="Q1664" s="2">
        <v>7</v>
      </c>
      <c r="R1664" s="2">
        <v>6</v>
      </c>
      <c r="S1664" s="2">
        <v>2</v>
      </c>
      <c r="T1664" s="2">
        <v>1</v>
      </c>
      <c r="U1664" s="2">
        <v>1</v>
      </c>
      <c r="V1664" s="2">
        <v>0</v>
      </c>
      <c r="W1664" s="2">
        <v>3</v>
      </c>
      <c r="X1664" s="2">
        <v>8</v>
      </c>
    </row>
    <row r="1665" spans="1:24" x14ac:dyDescent="0.35">
      <c r="A1665">
        <v>40</v>
      </c>
      <c r="B1665">
        <v>36038</v>
      </c>
      <c r="C1665">
        <v>39</v>
      </c>
      <c r="D1665">
        <v>1</v>
      </c>
      <c r="E1665" s="28">
        <v>6.9945205479452053</v>
      </c>
      <c r="F1665" s="28"/>
      <c r="G1665" s="28"/>
      <c r="H1665" s="28"/>
      <c r="I1665" s="28"/>
      <c r="J1665" s="28"/>
      <c r="L1665" s="37">
        <v>40</v>
      </c>
      <c r="M1665" s="3">
        <v>82</v>
      </c>
      <c r="N1665" s="3">
        <v>23</v>
      </c>
      <c r="O1665" s="3">
        <v>0</v>
      </c>
      <c r="P1665" s="3">
        <v>15</v>
      </c>
      <c r="Q1665" s="3">
        <v>0</v>
      </c>
      <c r="R1665" s="3">
        <v>2</v>
      </c>
      <c r="S1665" s="3">
        <v>7</v>
      </c>
      <c r="T1665" s="3">
        <v>2</v>
      </c>
      <c r="U1665" s="3">
        <v>3</v>
      </c>
      <c r="V1665" s="3">
        <v>0</v>
      </c>
      <c r="W1665" s="3">
        <v>3</v>
      </c>
      <c r="X1665" s="3">
        <v>6</v>
      </c>
    </row>
    <row r="1666" spans="1:24" x14ac:dyDescent="0.35">
      <c r="A1666">
        <v>40</v>
      </c>
      <c r="B1666">
        <v>17256</v>
      </c>
      <c r="C1666">
        <v>28</v>
      </c>
      <c r="D1666">
        <v>1</v>
      </c>
      <c r="E1666" s="28">
        <v>6.5123287671232877</v>
      </c>
      <c r="F1666" s="28"/>
      <c r="G1666" s="28"/>
      <c r="H1666" s="28"/>
      <c r="I1666" s="28"/>
      <c r="J1666" s="28"/>
      <c r="L1666" s="38">
        <v>40</v>
      </c>
      <c r="M1666" s="2">
        <v>10</v>
      </c>
      <c r="N1666" s="2">
        <v>6</v>
      </c>
      <c r="O1666" s="2">
        <v>4</v>
      </c>
      <c r="P1666" s="2">
        <v>14</v>
      </c>
      <c r="Q1666" s="2">
        <v>8</v>
      </c>
      <c r="R1666" s="2">
        <v>8</v>
      </c>
      <c r="S1666" s="2">
        <v>22</v>
      </c>
      <c r="T1666" s="2">
        <v>2</v>
      </c>
      <c r="U1666" s="2">
        <v>2</v>
      </c>
      <c r="V1666" s="2">
        <v>1</v>
      </c>
      <c r="W1666" s="2">
        <v>2</v>
      </c>
      <c r="X1666" s="2">
        <v>8</v>
      </c>
    </row>
    <row r="1667" spans="1:24" x14ac:dyDescent="0.35">
      <c r="A1667">
        <v>40</v>
      </c>
      <c r="B1667">
        <v>38415</v>
      </c>
      <c r="C1667">
        <v>42</v>
      </c>
      <c r="D1667">
        <v>1</v>
      </c>
      <c r="E1667" s="28">
        <v>7.4027397260273968</v>
      </c>
      <c r="F1667" s="28"/>
      <c r="G1667" s="28"/>
      <c r="H1667" s="28"/>
      <c r="I1667" s="28"/>
      <c r="J1667" s="28"/>
      <c r="L1667" s="37">
        <v>40</v>
      </c>
      <c r="M1667" s="3">
        <v>91</v>
      </c>
      <c r="N1667" s="3">
        <v>22</v>
      </c>
      <c r="O1667" s="3">
        <v>1</v>
      </c>
      <c r="P1667" s="3">
        <v>13</v>
      </c>
      <c r="Q1667" s="3">
        <v>4</v>
      </c>
      <c r="R1667" s="3">
        <v>0</v>
      </c>
      <c r="S1667" s="3">
        <v>4</v>
      </c>
      <c r="T1667" s="3">
        <v>2</v>
      </c>
      <c r="U1667" s="3">
        <v>1</v>
      </c>
      <c r="V1667" s="3">
        <v>0</v>
      </c>
      <c r="W1667" s="3">
        <v>3</v>
      </c>
      <c r="X1667" s="3">
        <v>7</v>
      </c>
    </row>
    <row r="1668" spans="1:24" x14ac:dyDescent="0.35">
      <c r="A1668">
        <v>40</v>
      </c>
      <c r="B1668">
        <v>35340</v>
      </c>
      <c r="C1668">
        <v>64</v>
      </c>
      <c r="D1668">
        <v>1</v>
      </c>
      <c r="E1668" s="28">
        <v>5.9150684931506845</v>
      </c>
      <c r="F1668" s="28"/>
      <c r="G1668" s="28"/>
      <c r="H1668" s="28"/>
      <c r="I1668" s="28"/>
      <c r="J1668" s="28"/>
      <c r="L1668" s="38">
        <v>40</v>
      </c>
      <c r="M1668" s="2">
        <v>1</v>
      </c>
      <c r="N1668" s="2">
        <v>27</v>
      </c>
      <c r="O1668" s="2">
        <v>0</v>
      </c>
      <c r="P1668" s="2">
        <v>12</v>
      </c>
      <c r="Q1668" s="2">
        <v>0</v>
      </c>
      <c r="R1668" s="2">
        <v>1</v>
      </c>
      <c r="S1668" s="2">
        <v>5</v>
      </c>
      <c r="T1668" s="2">
        <v>2</v>
      </c>
      <c r="U1668" s="2">
        <v>2</v>
      </c>
      <c r="V1668" s="2">
        <v>0</v>
      </c>
      <c r="W1668" s="2">
        <v>3</v>
      </c>
      <c r="X1668" s="2">
        <v>5</v>
      </c>
    </row>
    <row r="1669" spans="1:24" x14ac:dyDescent="0.35">
      <c r="A1669">
        <v>40</v>
      </c>
      <c r="B1669">
        <v>35788</v>
      </c>
      <c r="C1669">
        <v>49</v>
      </c>
      <c r="D1669">
        <v>1</v>
      </c>
      <c r="E1669" s="28">
        <v>6.3452054794520549</v>
      </c>
      <c r="F1669" s="28"/>
      <c r="G1669" s="28"/>
      <c r="H1669" s="28"/>
      <c r="I1669" s="28"/>
      <c r="J1669" s="28"/>
      <c r="L1669" s="37">
        <v>40</v>
      </c>
      <c r="M1669" s="3">
        <v>34</v>
      </c>
      <c r="N1669" s="3">
        <v>23</v>
      </c>
      <c r="O1669" s="3">
        <v>2</v>
      </c>
      <c r="P1669" s="3">
        <v>11</v>
      </c>
      <c r="Q1669" s="3">
        <v>3</v>
      </c>
      <c r="R1669" s="3">
        <v>1</v>
      </c>
      <c r="S1669" s="3">
        <v>4</v>
      </c>
      <c r="T1669" s="3">
        <v>2</v>
      </c>
      <c r="U1669" s="3">
        <v>2</v>
      </c>
      <c r="V1669" s="3">
        <v>0</v>
      </c>
      <c r="W1669" s="3">
        <v>3</v>
      </c>
      <c r="X1669" s="3">
        <v>6</v>
      </c>
    </row>
    <row r="1670" spans="1:24" x14ac:dyDescent="0.35">
      <c r="A1670">
        <v>40</v>
      </c>
      <c r="B1670">
        <v>53233</v>
      </c>
      <c r="C1670">
        <v>63</v>
      </c>
      <c r="D1670">
        <v>1</v>
      </c>
      <c r="E1670" s="28">
        <v>6.1972602739726028</v>
      </c>
      <c r="F1670" s="28"/>
      <c r="G1670" s="28"/>
      <c r="H1670" s="28"/>
      <c r="I1670" s="28"/>
      <c r="J1670" s="28"/>
      <c r="L1670" s="38">
        <v>40</v>
      </c>
      <c r="M1670" s="2">
        <v>18</v>
      </c>
      <c r="N1670" s="2">
        <v>28</v>
      </c>
      <c r="O1670" s="2">
        <v>0</v>
      </c>
      <c r="P1670" s="2">
        <v>9</v>
      </c>
      <c r="Q1670" s="2">
        <v>3</v>
      </c>
      <c r="R1670" s="2">
        <v>0</v>
      </c>
      <c r="S1670" s="2">
        <v>0</v>
      </c>
      <c r="T1670" s="2">
        <v>1</v>
      </c>
      <c r="U1670" s="2">
        <v>1</v>
      </c>
      <c r="V1670" s="2">
        <v>0</v>
      </c>
      <c r="W1670" s="2">
        <v>3</v>
      </c>
      <c r="X1670" s="2">
        <v>4</v>
      </c>
    </row>
    <row r="1671" spans="1:24" x14ac:dyDescent="0.35">
      <c r="A1671">
        <v>40</v>
      </c>
      <c r="B1671">
        <v>26872</v>
      </c>
      <c r="C1671">
        <v>39</v>
      </c>
      <c r="D1671">
        <v>0</v>
      </c>
      <c r="E1671" s="28">
        <v>6.6164383561643838</v>
      </c>
      <c r="F1671" s="28"/>
      <c r="G1671" s="28"/>
      <c r="H1671" s="28"/>
      <c r="I1671" s="28"/>
      <c r="J1671" s="28"/>
      <c r="L1671" s="37">
        <v>40</v>
      </c>
      <c r="M1671" s="3">
        <v>0</v>
      </c>
      <c r="N1671" s="3">
        <v>3</v>
      </c>
      <c r="O1671" s="3">
        <v>10</v>
      </c>
      <c r="P1671" s="3">
        <v>8</v>
      </c>
      <c r="Q1671" s="3">
        <v>3</v>
      </c>
      <c r="R1671" s="3">
        <v>16</v>
      </c>
      <c r="S1671" s="3">
        <v>32</v>
      </c>
      <c r="T1671" s="3">
        <v>1</v>
      </c>
      <c r="U1671" s="3">
        <v>1</v>
      </c>
      <c r="V1671" s="3">
        <v>1</v>
      </c>
      <c r="W1671" s="3">
        <v>2</v>
      </c>
      <c r="X1671" s="3">
        <v>6</v>
      </c>
    </row>
    <row r="1672" spans="1:24" x14ac:dyDescent="0.35">
      <c r="A1672">
        <v>40</v>
      </c>
      <c r="B1672">
        <v>44503</v>
      </c>
      <c r="C1672">
        <v>48</v>
      </c>
      <c r="D1672">
        <v>1</v>
      </c>
      <c r="E1672" s="28">
        <v>6.117808219178082</v>
      </c>
      <c r="F1672" s="28"/>
      <c r="G1672" s="28"/>
      <c r="H1672" s="28"/>
      <c r="I1672" s="28"/>
      <c r="J1672" s="28"/>
      <c r="L1672" s="38">
        <v>40</v>
      </c>
      <c r="M1672" s="2">
        <v>83</v>
      </c>
      <c r="N1672" s="2">
        <v>31</v>
      </c>
      <c r="O1672" s="2">
        <v>1</v>
      </c>
      <c r="P1672" s="2">
        <v>8</v>
      </c>
      <c r="Q1672" s="2">
        <v>0</v>
      </c>
      <c r="R1672" s="2">
        <v>0</v>
      </c>
      <c r="S1672" s="2">
        <v>8</v>
      </c>
      <c r="T1672" s="2">
        <v>2</v>
      </c>
      <c r="U1672" s="2">
        <v>2</v>
      </c>
      <c r="V1672" s="2">
        <v>0</v>
      </c>
      <c r="W1672" s="2">
        <v>3</v>
      </c>
      <c r="X1672" s="2">
        <v>6</v>
      </c>
    </row>
    <row r="1673" spans="1:24" x14ac:dyDescent="0.35">
      <c r="A1673">
        <v>40</v>
      </c>
      <c r="B1673">
        <v>46106</v>
      </c>
      <c r="C1673">
        <v>44</v>
      </c>
      <c r="D1673">
        <v>1</v>
      </c>
      <c r="E1673" s="28">
        <v>6.0493150684931507</v>
      </c>
      <c r="F1673" s="28"/>
      <c r="G1673" s="28"/>
      <c r="H1673" s="28"/>
      <c r="I1673" s="28"/>
      <c r="J1673" s="28"/>
      <c r="L1673" s="37">
        <v>40</v>
      </c>
      <c r="M1673" s="3">
        <v>84</v>
      </c>
      <c r="N1673" s="3">
        <v>30</v>
      </c>
      <c r="O1673" s="3">
        <v>0</v>
      </c>
      <c r="P1673" s="3">
        <v>8</v>
      </c>
      <c r="Q1673" s="3">
        <v>2</v>
      </c>
      <c r="R1673" s="3">
        <v>0</v>
      </c>
      <c r="S1673" s="3">
        <v>14</v>
      </c>
      <c r="T1673" s="3">
        <v>1</v>
      </c>
      <c r="U1673" s="3">
        <v>1</v>
      </c>
      <c r="V1673" s="3">
        <v>1</v>
      </c>
      <c r="W1673" s="3">
        <v>2</v>
      </c>
      <c r="X1673" s="3">
        <v>6</v>
      </c>
    </row>
    <row r="1674" spans="1:24" x14ac:dyDescent="0.35">
      <c r="A1674">
        <v>40</v>
      </c>
      <c r="B1674">
        <v>50943</v>
      </c>
      <c r="C1674">
        <v>64</v>
      </c>
      <c r="D1674">
        <v>1</v>
      </c>
      <c r="E1674" s="28">
        <v>6.9369863013698634</v>
      </c>
      <c r="F1674" s="28"/>
      <c r="G1674" s="28"/>
      <c r="H1674" s="28"/>
      <c r="I1674" s="28"/>
      <c r="J1674" s="28"/>
      <c r="L1674" s="38">
        <v>40</v>
      </c>
      <c r="M1674" s="2">
        <v>49</v>
      </c>
      <c r="N1674" s="2">
        <v>31</v>
      </c>
      <c r="O1674" s="2">
        <v>0</v>
      </c>
      <c r="P1674" s="2">
        <v>7</v>
      </c>
      <c r="Q1674" s="2">
        <v>2</v>
      </c>
      <c r="R1674" s="2">
        <v>0</v>
      </c>
      <c r="S1674" s="2">
        <v>6</v>
      </c>
      <c r="T1674" s="2">
        <v>1</v>
      </c>
      <c r="U1674" s="2">
        <v>1</v>
      </c>
      <c r="V1674" s="2">
        <v>0</v>
      </c>
      <c r="W1674" s="2">
        <v>3</v>
      </c>
      <c r="X1674" s="2">
        <v>5</v>
      </c>
    </row>
    <row r="1675" spans="1:24" x14ac:dyDescent="0.35">
      <c r="A1675">
        <v>40</v>
      </c>
      <c r="B1675">
        <v>38725</v>
      </c>
      <c r="C1675">
        <v>65</v>
      </c>
      <c r="D1675">
        <v>1</v>
      </c>
      <c r="E1675" s="28">
        <v>6.0520547945205481</v>
      </c>
      <c r="F1675" s="28"/>
      <c r="G1675" s="28"/>
      <c r="H1675" s="28"/>
      <c r="I1675" s="28"/>
      <c r="J1675" s="28"/>
      <c r="L1675" s="37">
        <v>40</v>
      </c>
      <c r="M1675" s="3">
        <v>52</v>
      </c>
      <c r="N1675" s="3">
        <v>31</v>
      </c>
      <c r="O1675" s="3">
        <v>0</v>
      </c>
      <c r="P1675" s="3">
        <v>6</v>
      </c>
      <c r="Q1675" s="3">
        <v>2</v>
      </c>
      <c r="R1675" s="3">
        <v>1</v>
      </c>
      <c r="S1675" s="3">
        <v>5</v>
      </c>
      <c r="T1675" s="3">
        <v>2</v>
      </c>
      <c r="U1675" s="3">
        <v>1</v>
      </c>
      <c r="V1675" s="3">
        <v>0</v>
      </c>
      <c r="W1675" s="3">
        <v>4</v>
      </c>
      <c r="X1675" s="3">
        <v>4</v>
      </c>
    </row>
    <row r="1676" spans="1:24" x14ac:dyDescent="0.35">
      <c r="A1676">
        <v>40</v>
      </c>
      <c r="B1676">
        <v>20425</v>
      </c>
      <c r="C1676">
        <v>34</v>
      </c>
      <c r="D1676">
        <v>1</v>
      </c>
      <c r="E1676" s="28">
        <v>7.580821917808219</v>
      </c>
      <c r="F1676" s="28"/>
      <c r="G1676" s="28"/>
      <c r="H1676" s="28"/>
      <c r="I1676" s="28"/>
      <c r="J1676" s="28"/>
      <c r="L1676" s="38">
        <v>40</v>
      </c>
      <c r="M1676" s="2">
        <v>5</v>
      </c>
      <c r="N1676" s="2">
        <v>4</v>
      </c>
      <c r="O1676" s="2">
        <v>12</v>
      </c>
      <c r="P1676" s="2">
        <v>5</v>
      </c>
      <c r="Q1676" s="2">
        <v>3</v>
      </c>
      <c r="R1676" s="2">
        <v>16</v>
      </c>
      <c r="S1676" s="2">
        <v>17</v>
      </c>
      <c r="T1676" s="2">
        <v>2</v>
      </c>
      <c r="U1676" s="2">
        <v>2</v>
      </c>
      <c r="V1676" s="2">
        <v>0</v>
      </c>
      <c r="W1676" s="2">
        <v>3</v>
      </c>
      <c r="X1676" s="2">
        <v>7</v>
      </c>
    </row>
    <row r="1677" spans="1:24" x14ac:dyDescent="0.35">
      <c r="A1677">
        <v>40</v>
      </c>
      <c r="B1677">
        <v>27733</v>
      </c>
      <c r="C1677">
        <v>39</v>
      </c>
      <c r="D1677">
        <v>1</v>
      </c>
      <c r="E1677" s="28">
        <v>6.7561643835616438</v>
      </c>
      <c r="F1677" s="28"/>
      <c r="G1677" s="28"/>
      <c r="H1677" s="28"/>
      <c r="I1677" s="28"/>
      <c r="J1677" s="28"/>
      <c r="L1677" s="37">
        <v>40</v>
      </c>
      <c r="M1677" s="3">
        <v>16</v>
      </c>
      <c r="N1677" s="3">
        <v>0</v>
      </c>
      <c r="O1677" s="3">
        <v>7</v>
      </c>
      <c r="P1677" s="3">
        <v>5</v>
      </c>
      <c r="Q1677" s="3">
        <v>26</v>
      </c>
      <c r="R1677" s="3">
        <v>2</v>
      </c>
      <c r="S1677" s="3">
        <v>17</v>
      </c>
      <c r="T1677" s="3">
        <v>2</v>
      </c>
      <c r="U1677" s="3">
        <v>2</v>
      </c>
      <c r="V1677" s="3">
        <v>0</v>
      </c>
      <c r="W1677" s="3">
        <v>3</v>
      </c>
      <c r="X1677" s="3">
        <v>7</v>
      </c>
    </row>
    <row r="1678" spans="1:24" x14ac:dyDescent="0.35">
      <c r="A1678">
        <v>40</v>
      </c>
      <c r="B1678">
        <v>32414</v>
      </c>
      <c r="C1678">
        <v>36</v>
      </c>
      <c r="D1678">
        <v>0</v>
      </c>
      <c r="E1678" s="28">
        <v>6.9013698630136986</v>
      </c>
      <c r="F1678" s="28"/>
      <c r="G1678" s="28"/>
      <c r="H1678" s="28"/>
      <c r="I1678" s="28"/>
      <c r="J1678" s="28"/>
      <c r="L1678" s="38">
        <v>40</v>
      </c>
      <c r="M1678" s="2">
        <v>11</v>
      </c>
      <c r="N1678" s="2">
        <v>20</v>
      </c>
      <c r="O1678" s="2">
        <v>6</v>
      </c>
      <c r="P1678" s="2">
        <v>5</v>
      </c>
      <c r="Q1678" s="2">
        <v>0</v>
      </c>
      <c r="R1678" s="2">
        <v>9</v>
      </c>
      <c r="S1678" s="2">
        <v>12</v>
      </c>
      <c r="T1678" s="2">
        <v>1</v>
      </c>
      <c r="U1678" s="2">
        <v>1</v>
      </c>
      <c r="V1678" s="2">
        <v>0</v>
      </c>
      <c r="W1678" s="2">
        <v>3</v>
      </c>
      <c r="X1678" s="2">
        <v>7</v>
      </c>
    </row>
    <row r="1679" spans="1:24" x14ac:dyDescent="0.35">
      <c r="A1679">
        <v>40</v>
      </c>
      <c r="B1679">
        <v>36732</v>
      </c>
      <c r="C1679">
        <v>61</v>
      </c>
      <c r="D1679">
        <v>1</v>
      </c>
      <c r="E1679" s="28">
        <v>6.4136986301369863</v>
      </c>
      <c r="F1679" s="28"/>
      <c r="G1679" s="28"/>
      <c r="H1679" s="28"/>
      <c r="I1679" s="28"/>
      <c r="J1679" s="28"/>
      <c r="L1679" s="37">
        <v>40</v>
      </c>
      <c r="M1679" s="3">
        <v>71</v>
      </c>
      <c r="N1679" s="3">
        <v>21</v>
      </c>
      <c r="O1679" s="3">
        <v>5</v>
      </c>
      <c r="P1679" s="3">
        <v>3</v>
      </c>
      <c r="Q1679" s="3">
        <v>10</v>
      </c>
      <c r="R1679" s="3">
        <v>1</v>
      </c>
      <c r="S1679" s="3">
        <v>7</v>
      </c>
      <c r="T1679" s="3">
        <v>3</v>
      </c>
      <c r="U1679" s="3">
        <v>1</v>
      </c>
      <c r="V1679" s="3">
        <v>1</v>
      </c>
      <c r="W1679" s="3">
        <v>4</v>
      </c>
      <c r="X1679" s="3">
        <v>2</v>
      </c>
    </row>
    <row r="1680" spans="1:24" x14ac:dyDescent="0.35">
      <c r="A1680">
        <v>40</v>
      </c>
      <c r="B1680">
        <v>46015</v>
      </c>
      <c r="C1680">
        <v>65</v>
      </c>
      <c r="D1680">
        <v>1</v>
      </c>
      <c r="E1680" s="28">
        <v>6.1260273972602741</v>
      </c>
      <c r="F1680" s="28"/>
      <c r="G1680" s="28"/>
      <c r="H1680" s="28"/>
      <c r="I1680" s="28"/>
      <c r="J1680" s="28"/>
      <c r="L1680" s="38">
        <v>40</v>
      </c>
      <c r="M1680" s="2">
        <v>25</v>
      </c>
      <c r="N1680" s="2">
        <v>38</v>
      </c>
      <c r="O1680" s="2">
        <v>0</v>
      </c>
      <c r="P1680" s="2">
        <v>2</v>
      </c>
      <c r="Q1680" s="2">
        <v>0</v>
      </c>
      <c r="R1680" s="2">
        <v>0</v>
      </c>
      <c r="S1680" s="2">
        <v>6</v>
      </c>
      <c r="T1680" s="2">
        <v>1</v>
      </c>
      <c r="U1680" s="2">
        <v>1</v>
      </c>
      <c r="V1680" s="2">
        <v>0</v>
      </c>
      <c r="W1680" s="2">
        <v>3</v>
      </c>
      <c r="X1680" s="2">
        <v>7</v>
      </c>
    </row>
    <row r="1681" spans="1:24" x14ac:dyDescent="0.35">
      <c r="A1681">
        <v>39</v>
      </c>
      <c r="B1681">
        <v>46094</v>
      </c>
      <c r="C1681">
        <v>47</v>
      </c>
      <c r="D1681">
        <v>1</v>
      </c>
      <c r="E1681" s="28">
        <v>5.9671232876712326</v>
      </c>
      <c r="F1681" s="28"/>
      <c r="G1681" s="28"/>
      <c r="H1681" s="28"/>
      <c r="I1681" s="28"/>
      <c r="J1681" s="28"/>
      <c r="L1681" s="37">
        <v>39</v>
      </c>
      <c r="M1681" s="3">
        <v>62</v>
      </c>
      <c r="N1681" s="3">
        <v>12</v>
      </c>
      <c r="O1681" s="3">
        <v>2</v>
      </c>
      <c r="P1681" s="3">
        <v>20</v>
      </c>
      <c r="Q1681" s="3">
        <v>3</v>
      </c>
      <c r="R1681" s="3">
        <v>2</v>
      </c>
      <c r="S1681" s="3">
        <v>5</v>
      </c>
      <c r="T1681" s="3">
        <v>1</v>
      </c>
      <c r="U1681" s="3">
        <v>1</v>
      </c>
      <c r="V1681" s="3">
        <v>0</v>
      </c>
      <c r="W1681" s="3">
        <v>3</v>
      </c>
      <c r="X1681" s="3">
        <v>7</v>
      </c>
    </row>
    <row r="1682" spans="1:24" x14ac:dyDescent="0.35">
      <c r="A1682">
        <v>39</v>
      </c>
      <c r="B1682">
        <v>33569</v>
      </c>
      <c r="C1682">
        <v>37</v>
      </c>
      <c r="D1682">
        <v>1</v>
      </c>
      <c r="E1682" s="28">
        <v>6.6164383561643838</v>
      </c>
      <c r="F1682" s="28"/>
      <c r="G1682" s="28"/>
      <c r="H1682" s="28"/>
      <c r="I1682" s="28"/>
      <c r="J1682" s="28"/>
      <c r="L1682" s="38">
        <v>39</v>
      </c>
      <c r="M1682" s="2">
        <v>10</v>
      </c>
      <c r="N1682" s="2">
        <v>16</v>
      </c>
      <c r="O1682" s="2">
        <v>2</v>
      </c>
      <c r="P1682" s="2">
        <v>18</v>
      </c>
      <c r="Q1682" s="2">
        <v>3</v>
      </c>
      <c r="R1682" s="2">
        <v>0</v>
      </c>
      <c r="S1682" s="2">
        <v>24</v>
      </c>
      <c r="T1682" s="2">
        <v>1</v>
      </c>
      <c r="U1682" s="2">
        <v>1</v>
      </c>
      <c r="V1682" s="2">
        <v>1</v>
      </c>
      <c r="W1682" s="2">
        <v>2</v>
      </c>
      <c r="X1682" s="2">
        <v>8</v>
      </c>
    </row>
    <row r="1683" spans="1:24" x14ac:dyDescent="0.35">
      <c r="A1683">
        <v>39</v>
      </c>
      <c r="B1683">
        <v>33986</v>
      </c>
      <c r="C1683">
        <v>50</v>
      </c>
      <c r="D1683">
        <v>1</v>
      </c>
      <c r="E1683" s="28">
        <v>7.2082191780821914</v>
      </c>
      <c r="F1683" s="28"/>
      <c r="G1683" s="28"/>
      <c r="H1683" s="28"/>
      <c r="I1683" s="28"/>
      <c r="J1683" s="28"/>
      <c r="L1683" s="37">
        <v>39</v>
      </c>
      <c r="M1683" s="3">
        <v>43</v>
      </c>
      <c r="N1683" s="3">
        <v>16</v>
      </c>
      <c r="O1683" s="3">
        <v>2</v>
      </c>
      <c r="P1683" s="3">
        <v>18</v>
      </c>
      <c r="Q1683" s="3">
        <v>2</v>
      </c>
      <c r="R1683" s="3">
        <v>1</v>
      </c>
      <c r="S1683" s="3">
        <v>5</v>
      </c>
      <c r="T1683" s="3">
        <v>1</v>
      </c>
      <c r="U1683" s="3">
        <v>1</v>
      </c>
      <c r="V1683" s="3">
        <v>0</v>
      </c>
      <c r="W1683" s="3">
        <v>3</v>
      </c>
      <c r="X1683" s="3">
        <v>7</v>
      </c>
    </row>
    <row r="1684" spans="1:24" x14ac:dyDescent="0.35">
      <c r="A1684">
        <v>39</v>
      </c>
      <c r="B1684">
        <v>44964</v>
      </c>
      <c r="C1684">
        <v>40</v>
      </c>
      <c r="D1684">
        <v>1</v>
      </c>
      <c r="E1684" s="28">
        <v>7.4493150684931511</v>
      </c>
      <c r="F1684" s="28"/>
      <c r="G1684" s="28"/>
      <c r="H1684" s="28"/>
      <c r="I1684" s="28"/>
      <c r="J1684" s="28"/>
      <c r="L1684" s="38">
        <v>39</v>
      </c>
      <c r="M1684" s="2">
        <v>35</v>
      </c>
      <c r="N1684" s="2">
        <v>19</v>
      </c>
      <c r="O1684" s="2">
        <v>1</v>
      </c>
      <c r="P1684" s="2">
        <v>17</v>
      </c>
      <c r="Q1684" s="2">
        <v>2</v>
      </c>
      <c r="R1684" s="2">
        <v>0</v>
      </c>
      <c r="S1684" s="2">
        <v>2</v>
      </c>
      <c r="T1684" s="2">
        <v>1</v>
      </c>
      <c r="U1684" s="2">
        <v>1</v>
      </c>
      <c r="V1684" s="2">
        <v>0</v>
      </c>
      <c r="W1684" s="2">
        <v>3</v>
      </c>
      <c r="X1684" s="2">
        <v>8</v>
      </c>
    </row>
    <row r="1685" spans="1:24" x14ac:dyDescent="0.35">
      <c r="A1685">
        <v>39</v>
      </c>
      <c r="B1685">
        <v>17459</v>
      </c>
      <c r="C1685">
        <v>45</v>
      </c>
      <c r="D1685">
        <v>1</v>
      </c>
      <c r="E1685" s="28">
        <v>6.6904109589041099</v>
      </c>
      <c r="F1685" s="28"/>
      <c r="G1685" s="28"/>
      <c r="H1685" s="28"/>
      <c r="I1685" s="28"/>
      <c r="J1685" s="28"/>
      <c r="L1685" s="37">
        <v>39</v>
      </c>
      <c r="M1685" s="3">
        <v>12</v>
      </c>
      <c r="N1685" s="3">
        <v>6</v>
      </c>
      <c r="O1685" s="3">
        <v>4</v>
      </c>
      <c r="P1685" s="3">
        <v>16</v>
      </c>
      <c r="Q1685" s="3">
        <v>3</v>
      </c>
      <c r="R1685" s="3">
        <v>10</v>
      </c>
      <c r="S1685" s="3">
        <v>30</v>
      </c>
      <c r="T1685" s="3">
        <v>3</v>
      </c>
      <c r="U1685" s="3">
        <v>3</v>
      </c>
      <c r="V1685" s="3">
        <v>1</v>
      </c>
      <c r="W1685" s="3">
        <v>2</v>
      </c>
      <c r="X1685" s="3">
        <v>7</v>
      </c>
    </row>
    <row r="1686" spans="1:24" x14ac:dyDescent="0.35">
      <c r="A1686">
        <v>39</v>
      </c>
      <c r="B1686">
        <v>28320</v>
      </c>
      <c r="C1686">
        <v>70</v>
      </c>
      <c r="D1686">
        <v>1</v>
      </c>
      <c r="E1686" s="28">
        <v>7.3698630136986303</v>
      </c>
      <c r="F1686" s="28"/>
      <c r="G1686" s="28"/>
      <c r="H1686" s="28"/>
      <c r="I1686" s="28"/>
      <c r="J1686" s="28"/>
      <c r="L1686" s="38">
        <v>39</v>
      </c>
      <c r="M1686" s="2">
        <v>68</v>
      </c>
      <c r="N1686" s="2">
        <v>19</v>
      </c>
      <c r="O1686" s="2">
        <v>1</v>
      </c>
      <c r="P1686" s="2">
        <v>14</v>
      </c>
      <c r="Q1686" s="2">
        <v>3</v>
      </c>
      <c r="R1686" s="2">
        <v>2</v>
      </c>
      <c r="S1686" s="2">
        <v>4</v>
      </c>
      <c r="T1686" s="2">
        <v>1</v>
      </c>
      <c r="U1686" s="2">
        <v>1</v>
      </c>
      <c r="V1686" s="2">
        <v>0</v>
      </c>
      <c r="W1686" s="2">
        <v>3</v>
      </c>
      <c r="X1686" s="2">
        <v>8</v>
      </c>
    </row>
    <row r="1687" spans="1:24" x14ac:dyDescent="0.35">
      <c r="A1687">
        <v>39</v>
      </c>
      <c r="B1687">
        <v>34043</v>
      </c>
      <c r="C1687">
        <v>42</v>
      </c>
      <c r="D1687">
        <v>1</v>
      </c>
      <c r="E1687" s="28">
        <v>6.5917808219178085</v>
      </c>
      <c r="F1687" s="28"/>
      <c r="G1687" s="28"/>
      <c r="H1687" s="28"/>
      <c r="I1687" s="28"/>
      <c r="J1687" s="28"/>
      <c r="L1687" s="37">
        <v>39</v>
      </c>
      <c r="M1687" s="3">
        <v>97</v>
      </c>
      <c r="N1687" s="3">
        <v>20</v>
      </c>
      <c r="O1687" s="3">
        <v>2</v>
      </c>
      <c r="P1687" s="3">
        <v>14</v>
      </c>
      <c r="Q1687" s="3">
        <v>3</v>
      </c>
      <c r="R1687" s="3">
        <v>0</v>
      </c>
      <c r="S1687" s="3">
        <v>10</v>
      </c>
      <c r="T1687" s="3">
        <v>1</v>
      </c>
      <c r="U1687" s="3">
        <v>2</v>
      </c>
      <c r="V1687" s="3">
        <v>0</v>
      </c>
      <c r="W1687" s="3">
        <v>2</v>
      </c>
      <c r="X1687" s="3">
        <v>9</v>
      </c>
    </row>
    <row r="1688" spans="1:24" x14ac:dyDescent="0.35">
      <c r="A1688">
        <v>39</v>
      </c>
      <c r="B1688">
        <v>38643</v>
      </c>
      <c r="C1688">
        <v>42</v>
      </c>
      <c r="D1688">
        <v>1</v>
      </c>
      <c r="E1688" s="28">
        <v>6.4958904109589044</v>
      </c>
      <c r="F1688" s="28"/>
      <c r="G1688" s="28"/>
      <c r="H1688" s="28"/>
      <c r="I1688" s="28"/>
      <c r="J1688" s="28"/>
      <c r="L1688" s="38">
        <v>39</v>
      </c>
      <c r="M1688" s="2">
        <v>45</v>
      </c>
      <c r="N1688" s="2">
        <v>22</v>
      </c>
      <c r="O1688" s="2">
        <v>2</v>
      </c>
      <c r="P1688" s="2">
        <v>14</v>
      </c>
      <c r="Q1688" s="2">
        <v>0</v>
      </c>
      <c r="R1688" s="2">
        <v>1</v>
      </c>
      <c r="S1688" s="2">
        <v>10</v>
      </c>
      <c r="T1688" s="2">
        <v>2</v>
      </c>
      <c r="U1688" s="2">
        <v>2</v>
      </c>
      <c r="V1688" s="2">
        <v>0</v>
      </c>
      <c r="W1688" s="2">
        <v>3</v>
      </c>
      <c r="X1688" s="2">
        <v>7</v>
      </c>
    </row>
    <row r="1689" spans="1:24" x14ac:dyDescent="0.35">
      <c r="A1689">
        <v>39</v>
      </c>
      <c r="B1689">
        <v>29604</v>
      </c>
      <c r="C1689">
        <v>32</v>
      </c>
      <c r="D1689">
        <v>1</v>
      </c>
      <c r="E1689" s="28">
        <v>6.4712328767123291</v>
      </c>
      <c r="F1689" s="28"/>
      <c r="G1689" s="28"/>
      <c r="H1689" s="28"/>
      <c r="I1689" s="28"/>
      <c r="J1689" s="28"/>
      <c r="L1689" s="37">
        <v>39</v>
      </c>
      <c r="M1689" s="3">
        <v>88</v>
      </c>
      <c r="N1689" s="3">
        <v>7</v>
      </c>
      <c r="O1689" s="3">
        <v>6</v>
      </c>
      <c r="P1689" s="3">
        <v>13</v>
      </c>
      <c r="Q1689" s="3">
        <v>7</v>
      </c>
      <c r="R1689" s="3">
        <v>6</v>
      </c>
      <c r="S1689" s="3">
        <v>14</v>
      </c>
      <c r="T1689" s="3">
        <v>1</v>
      </c>
      <c r="U1689" s="3">
        <v>1</v>
      </c>
      <c r="V1689" s="3">
        <v>0</v>
      </c>
      <c r="W1689" s="3">
        <v>3</v>
      </c>
      <c r="X1689" s="3">
        <v>9</v>
      </c>
    </row>
    <row r="1690" spans="1:24" x14ac:dyDescent="0.35">
      <c r="A1690">
        <v>39</v>
      </c>
      <c r="B1690">
        <v>30822</v>
      </c>
      <c r="C1690">
        <v>51</v>
      </c>
      <c r="D1690">
        <v>1</v>
      </c>
      <c r="E1690" s="28">
        <v>6.956164383561644</v>
      </c>
      <c r="F1690" s="28"/>
      <c r="G1690" s="28"/>
      <c r="H1690" s="28"/>
      <c r="I1690" s="28"/>
      <c r="J1690" s="28"/>
      <c r="L1690" s="38">
        <v>39</v>
      </c>
      <c r="M1690" s="2">
        <v>92</v>
      </c>
      <c r="N1690" s="2">
        <v>3</v>
      </c>
      <c r="O1690" s="2">
        <v>9</v>
      </c>
      <c r="P1690" s="2">
        <v>13</v>
      </c>
      <c r="Q1690" s="2">
        <v>2</v>
      </c>
      <c r="R1690" s="2">
        <v>12</v>
      </c>
      <c r="S1690" s="2">
        <v>12</v>
      </c>
      <c r="T1690" s="2">
        <v>1</v>
      </c>
      <c r="U1690" s="2">
        <v>1</v>
      </c>
      <c r="V1690" s="2">
        <v>0</v>
      </c>
      <c r="W1690" s="2">
        <v>3</v>
      </c>
      <c r="X1690" s="2">
        <v>7</v>
      </c>
    </row>
    <row r="1691" spans="1:24" x14ac:dyDescent="0.35">
      <c r="A1691">
        <v>39</v>
      </c>
      <c r="B1691">
        <v>31056</v>
      </c>
      <c r="C1691">
        <v>43</v>
      </c>
      <c r="D1691">
        <v>1</v>
      </c>
      <c r="E1691" s="28">
        <v>7.3479452054794523</v>
      </c>
      <c r="F1691" s="28"/>
      <c r="G1691" s="28"/>
      <c r="H1691" s="28"/>
      <c r="I1691" s="28"/>
      <c r="J1691" s="28"/>
      <c r="L1691" s="37">
        <v>39</v>
      </c>
      <c r="M1691" s="3">
        <v>99</v>
      </c>
      <c r="N1691" s="3">
        <v>5</v>
      </c>
      <c r="O1691" s="3">
        <v>10</v>
      </c>
      <c r="P1691" s="3">
        <v>13</v>
      </c>
      <c r="Q1691" s="3">
        <v>3</v>
      </c>
      <c r="R1691" s="3">
        <v>8</v>
      </c>
      <c r="S1691" s="3">
        <v>16</v>
      </c>
      <c r="T1691" s="3">
        <v>1</v>
      </c>
      <c r="U1691" s="3">
        <v>1</v>
      </c>
      <c r="V1691" s="3">
        <v>0</v>
      </c>
      <c r="W1691" s="3">
        <v>3</v>
      </c>
      <c r="X1691" s="3">
        <v>8</v>
      </c>
    </row>
    <row r="1692" spans="1:24" x14ac:dyDescent="0.35">
      <c r="A1692">
        <v>39</v>
      </c>
      <c r="B1692">
        <v>38887</v>
      </c>
      <c r="C1692">
        <v>48</v>
      </c>
      <c r="D1692">
        <v>1</v>
      </c>
      <c r="E1692" s="28">
        <v>6.2410958904109588</v>
      </c>
      <c r="F1692" s="28"/>
      <c r="G1692" s="28"/>
      <c r="H1692" s="28"/>
      <c r="I1692" s="28"/>
      <c r="J1692" s="28"/>
      <c r="L1692" s="38">
        <v>39</v>
      </c>
      <c r="M1692" s="2">
        <v>17</v>
      </c>
      <c r="N1692" s="2">
        <v>25</v>
      </c>
      <c r="O1692" s="2">
        <v>1</v>
      </c>
      <c r="P1692" s="2">
        <v>13</v>
      </c>
      <c r="Q1692" s="2">
        <v>0</v>
      </c>
      <c r="R1692" s="2">
        <v>0</v>
      </c>
      <c r="S1692" s="2">
        <v>3</v>
      </c>
      <c r="T1692" s="2">
        <v>1</v>
      </c>
      <c r="U1692" s="2">
        <v>1</v>
      </c>
      <c r="V1692" s="2">
        <v>0</v>
      </c>
      <c r="W1692" s="2">
        <v>3</v>
      </c>
      <c r="X1692" s="2">
        <v>7</v>
      </c>
    </row>
    <row r="1693" spans="1:24" x14ac:dyDescent="0.35">
      <c r="A1693">
        <v>39</v>
      </c>
      <c r="B1693">
        <v>7500</v>
      </c>
      <c r="C1693">
        <v>44</v>
      </c>
      <c r="D1693">
        <v>1</v>
      </c>
      <c r="E1693" s="28">
        <v>7.8246575342465752</v>
      </c>
      <c r="F1693" s="28"/>
      <c r="G1693" s="28"/>
      <c r="H1693" s="28"/>
      <c r="I1693" s="28"/>
      <c r="J1693" s="28"/>
      <c r="L1693" s="37">
        <v>39</v>
      </c>
      <c r="M1693" s="3">
        <v>19</v>
      </c>
      <c r="N1693" s="3">
        <v>7</v>
      </c>
      <c r="O1693" s="3">
        <v>0</v>
      </c>
      <c r="P1693" s="3">
        <v>12</v>
      </c>
      <c r="Q1693" s="3">
        <v>13</v>
      </c>
      <c r="R1693" s="3">
        <v>7</v>
      </c>
      <c r="S1693" s="3">
        <v>32</v>
      </c>
      <c r="T1693" s="3">
        <v>5</v>
      </c>
      <c r="U1693" s="3">
        <v>4</v>
      </c>
      <c r="V1693" s="3">
        <v>1</v>
      </c>
      <c r="W1693" s="3">
        <v>2</v>
      </c>
      <c r="X1693" s="3">
        <v>9</v>
      </c>
    </row>
    <row r="1694" spans="1:24" x14ac:dyDescent="0.35">
      <c r="A1694">
        <v>39</v>
      </c>
      <c r="B1694">
        <v>31454</v>
      </c>
      <c r="C1694">
        <v>60</v>
      </c>
      <c r="D1694">
        <v>1</v>
      </c>
      <c r="E1694" s="28">
        <v>6.8958904109589039</v>
      </c>
      <c r="F1694" s="28"/>
      <c r="G1694" s="28"/>
      <c r="H1694" s="28"/>
      <c r="I1694" s="28"/>
      <c r="J1694" s="28"/>
      <c r="L1694" s="38">
        <v>39</v>
      </c>
      <c r="M1694" s="2">
        <v>40</v>
      </c>
      <c r="N1694" s="2">
        <v>28</v>
      </c>
      <c r="O1694" s="2">
        <v>0</v>
      </c>
      <c r="P1694" s="2">
        <v>11</v>
      </c>
      <c r="Q1694" s="2">
        <v>0</v>
      </c>
      <c r="R1694" s="2">
        <v>0</v>
      </c>
      <c r="S1694" s="2">
        <v>9</v>
      </c>
      <c r="T1694" s="2">
        <v>3</v>
      </c>
      <c r="U1694" s="2">
        <v>2</v>
      </c>
      <c r="V1694" s="2">
        <v>0</v>
      </c>
      <c r="W1694" s="2">
        <v>3</v>
      </c>
      <c r="X1694" s="2">
        <v>8</v>
      </c>
    </row>
    <row r="1695" spans="1:24" x14ac:dyDescent="0.35">
      <c r="A1695">
        <v>39</v>
      </c>
      <c r="B1695">
        <v>42403</v>
      </c>
      <c r="C1695">
        <v>49</v>
      </c>
      <c r="D1695">
        <v>1</v>
      </c>
      <c r="E1695" s="28">
        <v>6.463013698630137</v>
      </c>
      <c r="F1695" s="28"/>
      <c r="G1695" s="28"/>
      <c r="H1695" s="28"/>
      <c r="I1695" s="28"/>
      <c r="J1695" s="28"/>
      <c r="L1695" s="37">
        <v>39</v>
      </c>
      <c r="M1695" s="3">
        <v>18</v>
      </c>
      <c r="N1695" s="3">
        <v>22</v>
      </c>
      <c r="O1695" s="3">
        <v>1</v>
      </c>
      <c r="P1695" s="3">
        <v>11</v>
      </c>
      <c r="Q1695" s="3">
        <v>0</v>
      </c>
      <c r="R1695" s="3">
        <v>5</v>
      </c>
      <c r="S1695" s="3">
        <v>3</v>
      </c>
      <c r="T1695" s="3">
        <v>1</v>
      </c>
      <c r="U1695" s="3">
        <v>1</v>
      </c>
      <c r="V1695" s="3">
        <v>0</v>
      </c>
      <c r="W1695" s="3">
        <v>3</v>
      </c>
      <c r="X1695" s="3">
        <v>8</v>
      </c>
    </row>
    <row r="1696" spans="1:24" x14ac:dyDescent="0.35">
      <c r="A1696">
        <v>39</v>
      </c>
      <c r="B1696">
        <v>48006</v>
      </c>
      <c r="C1696">
        <v>55</v>
      </c>
      <c r="D1696">
        <v>1</v>
      </c>
      <c r="E1696" s="28">
        <v>5.9698630136986299</v>
      </c>
      <c r="F1696" s="28"/>
      <c r="G1696" s="28"/>
      <c r="H1696" s="28"/>
      <c r="I1696" s="28"/>
      <c r="J1696" s="28"/>
      <c r="L1696" s="38">
        <v>39</v>
      </c>
      <c r="M1696" s="2">
        <v>55</v>
      </c>
      <c r="N1696" s="2">
        <v>23</v>
      </c>
      <c r="O1696" s="2">
        <v>0</v>
      </c>
      <c r="P1696" s="2">
        <v>11</v>
      </c>
      <c r="Q1696" s="2">
        <v>3</v>
      </c>
      <c r="R1696" s="2">
        <v>2</v>
      </c>
      <c r="S1696" s="2">
        <v>2</v>
      </c>
      <c r="T1696" s="2">
        <v>1</v>
      </c>
      <c r="U1696" s="2">
        <v>1</v>
      </c>
      <c r="V1696" s="2">
        <v>0</v>
      </c>
      <c r="W1696" s="2">
        <v>3</v>
      </c>
      <c r="X1696" s="2">
        <v>6</v>
      </c>
    </row>
    <row r="1697" spans="1:24" x14ac:dyDescent="0.35">
      <c r="A1697">
        <v>39</v>
      </c>
      <c r="B1697">
        <v>48794</v>
      </c>
      <c r="C1697">
        <v>67</v>
      </c>
      <c r="D1697">
        <v>1</v>
      </c>
      <c r="E1697" s="28">
        <v>5.9232876712328766</v>
      </c>
      <c r="F1697" s="28"/>
      <c r="G1697" s="28"/>
      <c r="H1697" s="28"/>
      <c r="I1697" s="28"/>
      <c r="J1697" s="28"/>
      <c r="L1697" s="37">
        <v>39</v>
      </c>
      <c r="M1697" s="3">
        <v>97</v>
      </c>
      <c r="N1697" s="3">
        <v>25</v>
      </c>
      <c r="O1697" s="3">
        <v>0</v>
      </c>
      <c r="P1697" s="3">
        <v>11</v>
      </c>
      <c r="Q1697" s="3">
        <v>3</v>
      </c>
      <c r="R1697" s="3">
        <v>0</v>
      </c>
      <c r="S1697" s="3">
        <v>15</v>
      </c>
      <c r="T1697" s="3">
        <v>1</v>
      </c>
      <c r="U1697" s="3">
        <v>1</v>
      </c>
      <c r="V1697" s="3">
        <v>0</v>
      </c>
      <c r="W1697" s="3">
        <v>3</v>
      </c>
      <c r="X1697" s="3">
        <v>4</v>
      </c>
    </row>
    <row r="1698" spans="1:24" x14ac:dyDescent="0.35">
      <c r="A1698">
        <v>39</v>
      </c>
      <c r="B1698">
        <v>51124</v>
      </c>
      <c r="C1698">
        <v>65</v>
      </c>
      <c r="D1698">
        <v>1</v>
      </c>
      <c r="E1698" s="28">
        <v>6.4438356164383563</v>
      </c>
      <c r="F1698" s="28"/>
      <c r="G1698" s="28"/>
      <c r="H1698" s="28"/>
      <c r="I1698" s="28"/>
      <c r="J1698" s="28"/>
      <c r="L1698" s="38">
        <v>39</v>
      </c>
      <c r="M1698" s="2">
        <v>79</v>
      </c>
      <c r="N1698" s="2">
        <v>26</v>
      </c>
      <c r="O1698" s="2">
        <v>1</v>
      </c>
      <c r="P1698" s="2">
        <v>11</v>
      </c>
      <c r="Q1698" s="2">
        <v>0</v>
      </c>
      <c r="R1698" s="2">
        <v>1</v>
      </c>
      <c r="S1698" s="2">
        <v>4</v>
      </c>
      <c r="T1698" s="2">
        <v>2</v>
      </c>
      <c r="U1698" s="2">
        <v>1</v>
      </c>
      <c r="V1698" s="2">
        <v>0</v>
      </c>
      <c r="W1698" s="2">
        <v>3</v>
      </c>
      <c r="X1698" s="2">
        <v>3</v>
      </c>
    </row>
    <row r="1699" spans="1:24" x14ac:dyDescent="0.35">
      <c r="A1699">
        <v>39</v>
      </c>
      <c r="B1699">
        <v>37758</v>
      </c>
      <c r="C1699">
        <v>54</v>
      </c>
      <c r="D1699">
        <v>1</v>
      </c>
      <c r="E1699" s="28">
        <v>7.6493150684931503</v>
      </c>
      <c r="F1699" s="28"/>
      <c r="G1699" s="28"/>
      <c r="H1699" s="28"/>
      <c r="I1699" s="28"/>
      <c r="J1699" s="28"/>
      <c r="L1699" s="37">
        <v>39</v>
      </c>
      <c r="M1699" s="3">
        <v>49</v>
      </c>
      <c r="N1699" s="3">
        <v>27</v>
      </c>
      <c r="O1699" s="3">
        <v>2</v>
      </c>
      <c r="P1699" s="3">
        <v>10</v>
      </c>
      <c r="Q1699" s="3">
        <v>0</v>
      </c>
      <c r="R1699" s="3">
        <v>0</v>
      </c>
      <c r="S1699" s="3">
        <v>1</v>
      </c>
      <c r="T1699" s="3">
        <v>2</v>
      </c>
      <c r="U1699" s="3">
        <v>1</v>
      </c>
      <c r="V1699" s="3">
        <v>0</v>
      </c>
      <c r="W1699" s="3">
        <v>3</v>
      </c>
      <c r="X1699" s="3">
        <v>8</v>
      </c>
    </row>
    <row r="1700" spans="1:24" x14ac:dyDescent="0.35">
      <c r="A1700">
        <v>39</v>
      </c>
      <c r="B1700">
        <v>41967</v>
      </c>
      <c r="C1700">
        <v>39</v>
      </c>
      <c r="D1700">
        <v>1</v>
      </c>
      <c r="E1700" s="28">
        <v>6.5123287671232877</v>
      </c>
      <c r="F1700" s="28"/>
      <c r="G1700" s="28"/>
      <c r="H1700" s="28"/>
      <c r="I1700" s="28"/>
      <c r="J1700" s="28"/>
      <c r="L1700" s="38">
        <v>39</v>
      </c>
      <c r="M1700" s="2">
        <v>66</v>
      </c>
      <c r="N1700" s="2">
        <v>23</v>
      </c>
      <c r="O1700" s="2">
        <v>4</v>
      </c>
      <c r="P1700" s="2">
        <v>10</v>
      </c>
      <c r="Q1700" s="2">
        <v>0</v>
      </c>
      <c r="R1700" s="2">
        <v>2</v>
      </c>
      <c r="S1700" s="2">
        <v>15</v>
      </c>
      <c r="T1700" s="2">
        <v>1</v>
      </c>
      <c r="U1700" s="2">
        <v>1</v>
      </c>
      <c r="V1700" s="2">
        <v>0</v>
      </c>
      <c r="W1700" s="2">
        <v>3</v>
      </c>
      <c r="X1700" s="2">
        <v>4</v>
      </c>
    </row>
    <row r="1701" spans="1:24" x14ac:dyDescent="0.35">
      <c r="A1701">
        <v>39</v>
      </c>
      <c r="B1701">
        <v>48699</v>
      </c>
      <c r="C1701">
        <v>70</v>
      </c>
      <c r="D1701">
        <v>1</v>
      </c>
      <c r="E1701" s="28">
        <v>7.021917808219178</v>
      </c>
      <c r="F1701" s="28"/>
      <c r="G1701" s="28"/>
      <c r="H1701" s="28"/>
      <c r="I1701" s="28"/>
      <c r="J1701" s="28"/>
      <c r="L1701" s="37">
        <v>39</v>
      </c>
      <c r="M1701" s="3">
        <v>90</v>
      </c>
      <c r="N1701" s="3">
        <v>26</v>
      </c>
      <c r="O1701" s="3">
        <v>1</v>
      </c>
      <c r="P1701" s="3">
        <v>10</v>
      </c>
      <c r="Q1701" s="3">
        <v>2</v>
      </c>
      <c r="R1701" s="3">
        <v>0</v>
      </c>
      <c r="S1701" s="3">
        <v>1</v>
      </c>
      <c r="T1701" s="3">
        <v>1</v>
      </c>
      <c r="U1701" s="3">
        <v>1</v>
      </c>
      <c r="V1701" s="3">
        <v>0</v>
      </c>
      <c r="W1701" s="3">
        <v>3</v>
      </c>
      <c r="X1701" s="3">
        <v>5</v>
      </c>
    </row>
    <row r="1702" spans="1:24" x14ac:dyDescent="0.35">
      <c r="A1702">
        <v>39</v>
      </c>
      <c r="B1702">
        <v>44300</v>
      </c>
      <c r="C1702">
        <v>55</v>
      </c>
      <c r="D1702">
        <v>1</v>
      </c>
      <c r="E1702" s="28">
        <v>6.9315068493150687</v>
      </c>
      <c r="F1702" s="28"/>
      <c r="G1702" s="28"/>
      <c r="H1702" s="28"/>
      <c r="I1702" s="28"/>
      <c r="J1702" s="28"/>
      <c r="L1702" s="38">
        <v>39</v>
      </c>
      <c r="M1702" s="2">
        <v>65</v>
      </c>
      <c r="N1702" s="2">
        <v>30</v>
      </c>
      <c r="O1702" s="2">
        <v>0</v>
      </c>
      <c r="P1702" s="2">
        <v>9</v>
      </c>
      <c r="Q1702" s="2">
        <v>0</v>
      </c>
      <c r="R1702" s="2">
        <v>0</v>
      </c>
      <c r="S1702" s="2">
        <v>3</v>
      </c>
      <c r="T1702" s="2">
        <v>2</v>
      </c>
      <c r="U1702" s="2">
        <v>1</v>
      </c>
      <c r="V1702" s="2">
        <v>0</v>
      </c>
      <c r="W1702" s="2">
        <v>3</v>
      </c>
      <c r="X1702" s="2">
        <v>6</v>
      </c>
    </row>
    <row r="1703" spans="1:24" x14ac:dyDescent="0.35">
      <c r="A1703">
        <v>39</v>
      </c>
      <c r="B1703">
        <v>35682</v>
      </c>
      <c r="C1703">
        <v>50</v>
      </c>
      <c r="D1703">
        <v>1</v>
      </c>
      <c r="E1703" s="28">
        <v>5.9205479452054792</v>
      </c>
      <c r="F1703" s="28"/>
      <c r="G1703" s="28"/>
      <c r="H1703" s="28"/>
      <c r="I1703" s="28"/>
      <c r="J1703" s="28"/>
      <c r="L1703" s="37">
        <v>39</v>
      </c>
      <c r="M1703" s="3">
        <v>34</v>
      </c>
      <c r="N1703" s="3">
        <v>23</v>
      </c>
      <c r="O1703" s="3">
        <v>0</v>
      </c>
      <c r="P1703" s="3">
        <v>8</v>
      </c>
      <c r="Q1703" s="3">
        <v>6</v>
      </c>
      <c r="R1703" s="3">
        <v>2</v>
      </c>
      <c r="S1703" s="3">
        <v>18</v>
      </c>
      <c r="T1703" s="3">
        <v>1</v>
      </c>
      <c r="U1703" s="3">
        <v>1</v>
      </c>
      <c r="V1703" s="3">
        <v>1</v>
      </c>
      <c r="W1703" s="3">
        <v>3</v>
      </c>
      <c r="X1703" s="3">
        <v>2</v>
      </c>
    </row>
    <row r="1704" spans="1:24" x14ac:dyDescent="0.35">
      <c r="A1704">
        <v>39</v>
      </c>
      <c r="B1704">
        <v>53204</v>
      </c>
      <c r="C1704">
        <v>44</v>
      </c>
      <c r="D1704">
        <v>1</v>
      </c>
      <c r="E1704" s="28">
        <v>6.1917808219178081</v>
      </c>
      <c r="F1704" s="28"/>
      <c r="G1704" s="28"/>
      <c r="H1704" s="28"/>
      <c r="I1704" s="28"/>
      <c r="J1704" s="28"/>
      <c r="L1704" s="38">
        <v>39</v>
      </c>
      <c r="M1704" s="2">
        <v>40</v>
      </c>
      <c r="N1704" s="2">
        <v>29</v>
      </c>
      <c r="O1704" s="2">
        <v>0</v>
      </c>
      <c r="P1704" s="2">
        <v>8</v>
      </c>
      <c r="Q1704" s="2">
        <v>2</v>
      </c>
      <c r="R1704" s="2">
        <v>0</v>
      </c>
      <c r="S1704" s="2">
        <v>6</v>
      </c>
      <c r="T1704" s="2">
        <v>1</v>
      </c>
      <c r="U1704" s="2">
        <v>1</v>
      </c>
      <c r="V1704" s="2">
        <v>0</v>
      </c>
      <c r="W1704" s="2">
        <v>3</v>
      </c>
      <c r="X1704" s="2">
        <v>4</v>
      </c>
    </row>
    <row r="1705" spans="1:24" x14ac:dyDescent="0.35">
      <c r="A1705">
        <v>39</v>
      </c>
      <c r="B1705">
        <v>54132</v>
      </c>
      <c r="C1705">
        <v>51</v>
      </c>
      <c r="D1705">
        <v>1</v>
      </c>
      <c r="E1705" s="28">
        <v>6.279452054794521</v>
      </c>
      <c r="F1705" s="28"/>
      <c r="G1705" s="28"/>
      <c r="H1705" s="28"/>
      <c r="I1705" s="28"/>
      <c r="J1705" s="28"/>
      <c r="L1705" s="37">
        <v>39</v>
      </c>
      <c r="M1705" s="3">
        <v>81</v>
      </c>
      <c r="N1705" s="3">
        <v>30</v>
      </c>
      <c r="O1705" s="3">
        <v>1</v>
      </c>
      <c r="P1705" s="3">
        <v>8</v>
      </c>
      <c r="Q1705" s="3">
        <v>0</v>
      </c>
      <c r="R1705" s="3">
        <v>0</v>
      </c>
      <c r="S1705" s="3">
        <v>3</v>
      </c>
      <c r="T1705" s="3">
        <v>1</v>
      </c>
      <c r="U1705" s="3">
        <v>1</v>
      </c>
      <c r="V1705" s="3">
        <v>0</v>
      </c>
      <c r="W1705" s="3">
        <v>3</v>
      </c>
      <c r="X1705" s="3">
        <v>7</v>
      </c>
    </row>
    <row r="1706" spans="1:24" x14ac:dyDescent="0.35">
      <c r="A1706">
        <v>39</v>
      </c>
      <c r="B1706">
        <v>39722</v>
      </c>
      <c r="C1706">
        <v>67</v>
      </c>
      <c r="D1706">
        <v>1</v>
      </c>
      <c r="E1706" s="28">
        <v>6.2575342465753421</v>
      </c>
      <c r="F1706" s="28"/>
      <c r="G1706" s="28"/>
      <c r="H1706" s="28"/>
      <c r="I1706" s="28"/>
      <c r="J1706" s="28"/>
      <c r="L1706" s="38">
        <v>39</v>
      </c>
      <c r="M1706" s="2">
        <v>92</v>
      </c>
      <c r="N1706" s="2">
        <v>32</v>
      </c>
      <c r="O1706" s="2">
        <v>0</v>
      </c>
      <c r="P1706" s="2">
        <v>5</v>
      </c>
      <c r="Q1706" s="2">
        <v>2</v>
      </c>
      <c r="R1706" s="2">
        <v>0</v>
      </c>
      <c r="S1706" s="2">
        <v>8</v>
      </c>
      <c r="T1706" s="2">
        <v>2</v>
      </c>
      <c r="U1706" s="2">
        <v>2</v>
      </c>
      <c r="V1706" s="2">
        <v>0</v>
      </c>
      <c r="W1706" s="2">
        <v>3</v>
      </c>
      <c r="X1706" s="2">
        <v>5</v>
      </c>
    </row>
    <row r="1707" spans="1:24" x14ac:dyDescent="0.35">
      <c r="A1707">
        <v>39</v>
      </c>
      <c r="B1707">
        <v>40451</v>
      </c>
      <c r="C1707">
        <v>63</v>
      </c>
      <c r="D1707">
        <v>1</v>
      </c>
      <c r="E1707" s="28">
        <v>6.279452054794521</v>
      </c>
      <c r="F1707" s="28"/>
      <c r="G1707" s="28"/>
      <c r="H1707" s="28"/>
      <c r="I1707" s="28"/>
      <c r="J1707" s="28"/>
      <c r="L1707" s="37">
        <v>39</v>
      </c>
      <c r="M1707" s="3">
        <v>54</v>
      </c>
      <c r="N1707" s="3">
        <v>35</v>
      </c>
      <c r="O1707" s="3">
        <v>0</v>
      </c>
      <c r="P1707" s="3">
        <v>4</v>
      </c>
      <c r="Q1707" s="3">
        <v>0</v>
      </c>
      <c r="R1707" s="3">
        <v>0</v>
      </c>
      <c r="S1707" s="3">
        <v>10</v>
      </c>
      <c r="T1707" s="3">
        <v>1</v>
      </c>
      <c r="U1707" s="3">
        <v>1</v>
      </c>
      <c r="V1707" s="3">
        <v>1</v>
      </c>
      <c r="W1707" s="3">
        <v>2</v>
      </c>
      <c r="X1707" s="3">
        <v>5</v>
      </c>
    </row>
    <row r="1708" spans="1:24" x14ac:dyDescent="0.35">
      <c r="A1708">
        <v>39</v>
      </c>
      <c r="B1708">
        <v>54072</v>
      </c>
      <c r="C1708">
        <v>57</v>
      </c>
      <c r="D1708">
        <v>1</v>
      </c>
      <c r="E1708" s="28">
        <v>6.838356164383562</v>
      </c>
      <c r="F1708" s="28"/>
      <c r="G1708" s="28"/>
      <c r="H1708" s="28"/>
      <c r="I1708" s="28"/>
      <c r="J1708" s="28"/>
      <c r="L1708" s="38">
        <v>39</v>
      </c>
      <c r="M1708" s="2">
        <v>71</v>
      </c>
      <c r="N1708" s="2">
        <v>35</v>
      </c>
      <c r="O1708" s="2">
        <v>0</v>
      </c>
      <c r="P1708" s="2">
        <v>4</v>
      </c>
      <c r="Q1708" s="2">
        <v>0</v>
      </c>
      <c r="R1708" s="2">
        <v>0</v>
      </c>
      <c r="S1708" s="2">
        <v>0</v>
      </c>
      <c r="T1708" s="2">
        <v>1</v>
      </c>
      <c r="U1708" s="2">
        <v>2</v>
      </c>
      <c r="V1708" s="2">
        <v>0</v>
      </c>
      <c r="W1708" s="2">
        <v>2</v>
      </c>
      <c r="X1708" s="2">
        <v>8</v>
      </c>
    </row>
    <row r="1709" spans="1:24" x14ac:dyDescent="0.35">
      <c r="A1709">
        <v>39</v>
      </c>
      <c r="B1709">
        <v>49638</v>
      </c>
      <c r="C1709">
        <v>68</v>
      </c>
      <c r="D1709">
        <v>1</v>
      </c>
      <c r="E1709" s="28">
        <v>6.1095890410958908</v>
      </c>
      <c r="F1709" s="28"/>
      <c r="G1709" s="28"/>
      <c r="H1709" s="28"/>
      <c r="I1709" s="28"/>
      <c r="J1709" s="28"/>
      <c r="L1709" s="37">
        <v>39</v>
      </c>
      <c r="M1709" s="3">
        <v>71</v>
      </c>
      <c r="N1709" s="3">
        <v>18</v>
      </c>
      <c r="O1709" s="3">
        <v>10</v>
      </c>
      <c r="P1709" s="3">
        <v>3</v>
      </c>
      <c r="Q1709" s="3">
        <v>3</v>
      </c>
      <c r="R1709" s="3">
        <v>5</v>
      </c>
      <c r="S1709" s="3">
        <v>0</v>
      </c>
      <c r="T1709" s="3">
        <v>1</v>
      </c>
      <c r="U1709" s="3">
        <v>1</v>
      </c>
      <c r="V1709" s="3">
        <v>0</v>
      </c>
      <c r="W1709" s="3">
        <v>3</v>
      </c>
      <c r="X1709" s="3">
        <v>2</v>
      </c>
    </row>
    <row r="1710" spans="1:24" x14ac:dyDescent="0.35">
      <c r="A1710">
        <v>38</v>
      </c>
      <c r="B1710">
        <v>27116</v>
      </c>
      <c r="C1710">
        <v>59</v>
      </c>
      <c r="D1710">
        <v>1</v>
      </c>
      <c r="E1710" s="28">
        <v>6.2410958904109588</v>
      </c>
      <c r="F1710" s="28"/>
      <c r="G1710" s="28"/>
      <c r="H1710" s="28"/>
      <c r="I1710" s="28"/>
      <c r="J1710" s="28"/>
      <c r="L1710" s="38">
        <v>38</v>
      </c>
      <c r="M1710" s="2">
        <v>78</v>
      </c>
      <c r="N1710" s="2">
        <v>12</v>
      </c>
      <c r="O1710" s="2">
        <v>1</v>
      </c>
      <c r="P1710" s="2">
        <v>21</v>
      </c>
      <c r="Q1710" s="2">
        <v>2</v>
      </c>
      <c r="R1710" s="2">
        <v>2</v>
      </c>
      <c r="S1710" s="2">
        <v>3</v>
      </c>
      <c r="T1710" s="2">
        <v>2</v>
      </c>
      <c r="U1710" s="2">
        <v>2</v>
      </c>
      <c r="V1710" s="2">
        <v>0</v>
      </c>
      <c r="W1710" s="2">
        <v>3</v>
      </c>
      <c r="X1710" s="2">
        <v>7</v>
      </c>
    </row>
    <row r="1711" spans="1:24" x14ac:dyDescent="0.35">
      <c r="A1711">
        <v>38</v>
      </c>
      <c r="B1711">
        <v>21359</v>
      </c>
      <c r="C1711">
        <v>48</v>
      </c>
      <c r="D1711">
        <v>1</v>
      </c>
      <c r="E1711" s="28">
        <v>7.1068493150684935</v>
      </c>
      <c r="F1711" s="28"/>
      <c r="G1711" s="28"/>
      <c r="H1711" s="28"/>
      <c r="I1711" s="28"/>
      <c r="J1711" s="28"/>
      <c r="L1711" s="37">
        <v>38</v>
      </c>
      <c r="M1711" s="3">
        <v>1</v>
      </c>
      <c r="N1711" s="3">
        <v>12</v>
      </c>
      <c r="O1711" s="3">
        <v>2</v>
      </c>
      <c r="P1711" s="3">
        <v>17</v>
      </c>
      <c r="Q1711" s="3">
        <v>6</v>
      </c>
      <c r="R1711" s="3">
        <v>1</v>
      </c>
      <c r="S1711" s="3">
        <v>10</v>
      </c>
      <c r="T1711" s="3">
        <v>2</v>
      </c>
      <c r="U1711" s="3">
        <v>2</v>
      </c>
      <c r="V1711" s="3">
        <v>0</v>
      </c>
      <c r="W1711" s="3">
        <v>3</v>
      </c>
      <c r="X1711" s="3">
        <v>8</v>
      </c>
    </row>
    <row r="1712" spans="1:24" x14ac:dyDescent="0.35">
      <c r="A1712">
        <v>38</v>
      </c>
      <c r="B1712">
        <v>22148</v>
      </c>
      <c r="C1712">
        <v>37</v>
      </c>
      <c r="D1712">
        <v>0</v>
      </c>
      <c r="E1712" s="28">
        <v>6.1260273972602741</v>
      </c>
      <c r="F1712" s="28"/>
      <c r="G1712" s="28"/>
      <c r="H1712" s="28"/>
      <c r="I1712" s="28"/>
      <c r="J1712" s="28"/>
      <c r="L1712" s="38">
        <v>38</v>
      </c>
      <c r="M1712" s="2">
        <v>16</v>
      </c>
      <c r="N1712" s="2">
        <v>15</v>
      </c>
      <c r="O1712" s="2">
        <v>5</v>
      </c>
      <c r="P1712" s="2">
        <v>14</v>
      </c>
      <c r="Q1712" s="2">
        <v>0</v>
      </c>
      <c r="R1712" s="2">
        <v>4</v>
      </c>
      <c r="S1712" s="2">
        <v>11</v>
      </c>
      <c r="T1712" s="2">
        <v>1</v>
      </c>
      <c r="U1712" s="2">
        <v>1</v>
      </c>
      <c r="V1712" s="2">
        <v>0</v>
      </c>
      <c r="W1712" s="2">
        <v>3</v>
      </c>
      <c r="X1712" s="2">
        <v>7</v>
      </c>
    </row>
    <row r="1713" spans="1:24" x14ac:dyDescent="0.35">
      <c r="A1713">
        <v>38</v>
      </c>
      <c r="B1713">
        <v>4428</v>
      </c>
      <c r="C1713">
        <v>51</v>
      </c>
      <c r="D1713">
        <v>1</v>
      </c>
      <c r="E1713" s="28">
        <v>6.646575342465753</v>
      </c>
      <c r="F1713" s="28"/>
      <c r="G1713" s="28"/>
      <c r="H1713" s="28"/>
      <c r="I1713" s="28"/>
      <c r="J1713" s="28"/>
      <c r="L1713" s="37">
        <v>38</v>
      </c>
      <c r="M1713" s="3">
        <v>0</v>
      </c>
      <c r="N1713" s="3">
        <v>16</v>
      </c>
      <c r="O1713" s="3">
        <v>4</v>
      </c>
      <c r="P1713" s="3">
        <v>12</v>
      </c>
      <c r="Q1713" s="3">
        <v>2</v>
      </c>
      <c r="R1713" s="3">
        <v>4</v>
      </c>
      <c r="S1713" s="3">
        <v>321</v>
      </c>
      <c r="T1713" s="3">
        <v>0</v>
      </c>
      <c r="U1713" s="3">
        <v>25</v>
      </c>
      <c r="V1713" s="3">
        <v>0</v>
      </c>
      <c r="W1713" s="3">
        <v>0</v>
      </c>
      <c r="X1713" s="3">
        <v>1</v>
      </c>
    </row>
    <row r="1714" spans="1:24" x14ac:dyDescent="0.35">
      <c r="A1714">
        <v>38</v>
      </c>
      <c r="B1714">
        <v>25224</v>
      </c>
      <c r="C1714">
        <v>48</v>
      </c>
      <c r="D1714">
        <v>1</v>
      </c>
      <c r="E1714" s="28">
        <v>6.2027397260273975</v>
      </c>
      <c r="F1714" s="28"/>
      <c r="G1714" s="28"/>
      <c r="H1714" s="28"/>
      <c r="I1714" s="28"/>
      <c r="J1714" s="28"/>
      <c r="L1714" s="38">
        <v>38</v>
      </c>
      <c r="M1714" s="2">
        <v>36</v>
      </c>
      <c r="N1714" s="2">
        <v>4</v>
      </c>
      <c r="O1714" s="2">
        <v>9</v>
      </c>
      <c r="P1714" s="2">
        <v>12</v>
      </c>
      <c r="Q1714" s="2">
        <v>11</v>
      </c>
      <c r="R1714" s="2">
        <v>2</v>
      </c>
      <c r="S1714" s="2">
        <v>8</v>
      </c>
      <c r="T1714" s="2">
        <v>2</v>
      </c>
      <c r="U1714" s="2">
        <v>1</v>
      </c>
      <c r="V1714" s="2">
        <v>1</v>
      </c>
      <c r="W1714" s="2">
        <v>3</v>
      </c>
      <c r="X1714" s="2">
        <v>3</v>
      </c>
    </row>
    <row r="1715" spans="1:24" x14ac:dyDescent="0.35">
      <c r="A1715">
        <v>38</v>
      </c>
      <c r="B1715">
        <v>32871</v>
      </c>
      <c r="C1715">
        <v>69</v>
      </c>
      <c r="D1715">
        <v>1</v>
      </c>
      <c r="E1715" s="28">
        <v>7.2219178082191782</v>
      </c>
      <c r="F1715" s="28"/>
      <c r="G1715" s="28"/>
      <c r="H1715" s="28"/>
      <c r="I1715" s="28"/>
      <c r="J1715" s="28"/>
      <c r="L1715" s="37">
        <v>38</v>
      </c>
      <c r="M1715" s="3">
        <v>28</v>
      </c>
      <c r="N1715" s="3">
        <v>22</v>
      </c>
      <c r="O1715" s="3">
        <v>2</v>
      </c>
      <c r="P1715" s="3">
        <v>12</v>
      </c>
      <c r="Q1715" s="3">
        <v>0</v>
      </c>
      <c r="R1715" s="3">
        <v>2</v>
      </c>
      <c r="S1715" s="3">
        <v>5</v>
      </c>
      <c r="T1715" s="3">
        <v>1</v>
      </c>
      <c r="U1715" s="3">
        <v>1</v>
      </c>
      <c r="V1715" s="3">
        <v>0</v>
      </c>
      <c r="W1715" s="3">
        <v>3</v>
      </c>
      <c r="X1715" s="3">
        <v>4</v>
      </c>
    </row>
    <row r="1716" spans="1:24" x14ac:dyDescent="0.35">
      <c r="A1716">
        <v>38</v>
      </c>
      <c r="B1716">
        <v>35441</v>
      </c>
      <c r="C1716">
        <v>53</v>
      </c>
      <c r="D1716">
        <v>1</v>
      </c>
      <c r="E1716" s="28">
        <v>7.2849315068493148</v>
      </c>
      <c r="F1716" s="28"/>
      <c r="G1716" s="28"/>
      <c r="H1716" s="28"/>
      <c r="I1716" s="28"/>
      <c r="J1716" s="28"/>
      <c r="L1716" s="38">
        <v>38</v>
      </c>
      <c r="M1716" s="2">
        <v>94</v>
      </c>
      <c r="N1716" s="2">
        <v>25</v>
      </c>
      <c r="O1716" s="2">
        <v>1</v>
      </c>
      <c r="P1716" s="2">
        <v>9</v>
      </c>
      <c r="Q1716" s="2">
        <v>2</v>
      </c>
      <c r="R1716" s="2">
        <v>1</v>
      </c>
      <c r="S1716" s="2">
        <v>1</v>
      </c>
      <c r="T1716" s="2">
        <v>2</v>
      </c>
      <c r="U1716" s="2">
        <v>1</v>
      </c>
      <c r="V1716" s="2">
        <v>0</v>
      </c>
      <c r="W1716" s="2">
        <v>3</v>
      </c>
      <c r="X1716" s="2">
        <v>8</v>
      </c>
    </row>
    <row r="1717" spans="1:24" x14ac:dyDescent="0.35">
      <c r="A1717">
        <v>38</v>
      </c>
      <c r="B1717">
        <v>45894</v>
      </c>
      <c r="C1717">
        <v>46</v>
      </c>
      <c r="D1717">
        <v>1</v>
      </c>
      <c r="E1717" s="28">
        <v>6.2493150684931509</v>
      </c>
      <c r="F1717" s="28"/>
      <c r="G1717" s="28"/>
      <c r="H1717" s="28"/>
      <c r="I1717" s="28"/>
      <c r="J1717" s="28"/>
      <c r="L1717" s="37">
        <v>38</v>
      </c>
      <c r="M1717" s="3">
        <v>15</v>
      </c>
      <c r="N1717" s="3">
        <v>27</v>
      </c>
      <c r="O1717" s="3">
        <v>2</v>
      </c>
      <c r="P1717" s="3">
        <v>7</v>
      </c>
      <c r="Q1717" s="3">
        <v>0</v>
      </c>
      <c r="R1717" s="3">
        <v>2</v>
      </c>
      <c r="S1717" s="3">
        <v>13</v>
      </c>
      <c r="T1717" s="3">
        <v>1</v>
      </c>
      <c r="U1717" s="3">
        <v>1</v>
      </c>
      <c r="V1717" s="3">
        <v>0</v>
      </c>
      <c r="W1717" s="3">
        <v>3</v>
      </c>
      <c r="X1717" s="3">
        <v>5</v>
      </c>
    </row>
    <row r="1718" spans="1:24" x14ac:dyDescent="0.35">
      <c r="A1718">
        <v>38</v>
      </c>
      <c r="B1718">
        <v>45889</v>
      </c>
      <c r="C1718">
        <v>40</v>
      </c>
      <c r="D1718">
        <v>1</v>
      </c>
      <c r="E1718" s="28">
        <v>6.9068493150684933</v>
      </c>
      <c r="F1718" s="28"/>
      <c r="G1718" s="28"/>
      <c r="H1718" s="28"/>
      <c r="I1718" s="28"/>
      <c r="J1718" s="28"/>
      <c r="L1718" s="38">
        <v>38</v>
      </c>
      <c r="M1718" s="2">
        <v>42</v>
      </c>
      <c r="N1718" s="2">
        <v>31</v>
      </c>
      <c r="O1718" s="2">
        <v>0</v>
      </c>
      <c r="P1718" s="2">
        <v>6</v>
      </c>
      <c r="Q1718" s="2">
        <v>0</v>
      </c>
      <c r="R1718" s="2">
        <v>1</v>
      </c>
      <c r="S1718" s="2">
        <v>8</v>
      </c>
      <c r="T1718" s="2">
        <v>1</v>
      </c>
      <c r="U1718" s="2">
        <v>1</v>
      </c>
      <c r="V1718" s="2">
        <v>0</v>
      </c>
      <c r="W1718" s="2">
        <v>3</v>
      </c>
      <c r="X1718" s="2">
        <v>6</v>
      </c>
    </row>
    <row r="1719" spans="1:24" x14ac:dyDescent="0.35">
      <c r="A1719">
        <v>38</v>
      </c>
      <c r="B1719">
        <v>45146</v>
      </c>
      <c r="C1719">
        <v>57</v>
      </c>
      <c r="D1719">
        <v>1</v>
      </c>
      <c r="E1719" s="28">
        <v>6.8712328767123285</v>
      </c>
      <c r="F1719" s="28"/>
      <c r="G1719" s="28"/>
      <c r="H1719" s="28"/>
      <c r="I1719" s="28"/>
      <c r="J1719" s="28"/>
      <c r="L1719" s="37">
        <v>38</v>
      </c>
      <c r="M1719" s="3">
        <v>28</v>
      </c>
      <c r="N1719" s="3">
        <v>33</v>
      </c>
      <c r="O1719" s="3">
        <v>0</v>
      </c>
      <c r="P1719" s="3">
        <v>5</v>
      </c>
      <c r="Q1719" s="3">
        <v>0</v>
      </c>
      <c r="R1719" s="3">
        <v>0</v>
      </c>
      <c r="S1719" s="3">
        <v>15</v>
      </c>
      <c r="T1719" s="3">
        <v>2</v>
      </c>
      <c r="U1719" s="3">
        <v>1</v>
      </c>
      <c r="V1719" s="3">
        <v>1</v>
      </c>
      <c r="W1719" s="3">
        <v>2</v>
      </c>
      <c r="X1719" s="3">
        <v>4</v>
      </c>
    </row>
    <row r="1720" spans="1:24" x14ac:dyDescent="0.35">
      <c r="A1720">
        <v>38</v>
      </c>
      <c r="B1720">
        <v>54432</v>
      </c>
      <c r="C1720">
        <v>70</v>
      </c>
      <c r="D1720">
        <v>1</v>
      </c>
      <c r="E1720" s="28">
        <v>7.0547945205479454</v>
      </c>
      <c r="F1720" s="28"/>
      <c r="G1720" s="28"/>
      <c r="H1720" s="28"/>
      <c r="I1720" s="28"/>
      <c r="J1720" s="28"/>
      <c r="L1720" s="38">
        <v>38</v>
      </c>
      <c r="M1720" s="2">
        <v>37</v>
      </c>
      <c r="N1720" s="2">
        <v>33</v>
      </c>
      <c r="O1720" s="2">
        <v>0</v>
      </c>
      <c r="P1720" s="2">
        <v>5</v>
      </c>
      <c r="Q1720" s="2">
        <v>0</v>
      </c>
      <c r="R1720" s="2">
        <v>0</v>
      </c>
      <c r="S1720" s="2">
        <v>0</v>
      </c>
      <c r="T1720" s="2">
        <v>1</v>
      </c>
      <c r="U1720" s="2">
        <v>1</v>
      </c>
      <c r="V1720" s="2">
        <v>0</v>
      </c>
      <c r="W1720" s="2">
        <v>3</v>
      </c>
      <c r="X1720" s="2">
        <v>4</v>
      </c>
    </row>
    <row r="1721" spans="1:24" x14ac:dyDescent="0.35">
      <c r="A1721">
        <v>38</v>
      </c>
      <c r="B1721">
        <v>30081</v>
      </c>
      <c r="C1721">
        <v>59</v>
      </c>
      <c r="D1721">
        <v>1</v>
      </c>
      <c r="E1721" s="28">
        <v>7.2657534246575342</v>
      </c>
      <c r="F1721" s="28"/>
      <c r="G1721" s="28"/>
      <c r="H1721" s="28"/>
      <c r="I1721" s="28"/>
      <c r="J1721" s="28"/>
      <c r="L1721" s="37">
        <v>38</v>
      </c>
      <c r="M1721" s="3">
        <v>27</v>
      </c>
      <c r="N1721" s="3">
        <v>36</v>
      </c>
      <c r="O1721" s="3">
        <v>0</v>
      </c>
      <c r="P1721" s="3">
        <v>2</v>
      </c>
      <c r="Q1721" s="3">
        <v>0</v>
      </c>
      <c r="R1721" s="3">
        <v>0</v>
      </c>
      <c r="S1721" s="3">
        <v>4</v>
      </c>
      <c r="T1721" s="3">
        <v>1</v>
      </c>
      <c r="U1721" s="3">
        <v>1</v>
      </c>
      <c r="V1721" s="3">
        <v>0</v>
      </c>
      <c r="W1721" s="3">
        <v>3</v>
      </c>
      <c r="X1721" s="3">
        <v>7</v>
      </c>
    </row>
    <row r="1722" spans="1:24" x14ac:dyDescent="0.35">
      <c r="A1722">
        <v>37</v>
      </c>
      <c r="B1722">
        <v>29819</v>
      </c>
      <c r="C1722">
        <v>49</v>
      </c>
      <c r="D1722">
        <v>1</v>
      </c>
      <c r="E1722" s="28">
        <v>6.5945205479452058</v>
      </c>
      <c r="F1722" s="28"/>
      <c r="G1722" s="28"/>
      <c r="H1722" s="28"/>
      <c r="I1722" s="28"/>
      <c r="J1722" s="28"/>
      <c r="L1722" s="38">
        <v>37</v>
      </c>
      <c r="M1722" s="2">
        <v>77</v>
      </c>
      <c r="N1722" s="2">
        <v>9</v>
      </c>
      <c r="O1722" s="2">
        <v>1</v>
      </c>
      <c r="P1722" s="2">
        <v>24</v>
      </c>
      <c r="Q1722" s="2">
        <v>2</v>
      </c>
      <c r="R1722" s="2">
        <v>1</v>
      </c>
      <c r="S1722" s="2">
        <v>2</v>
      </c>
      <c r="T1722" s="2">
        <v>3</v>
      </c>
      <c r="U1722" s="2">
        <v>3</v>
      </c>
      <c r="V1722" s="2">
        <v>0</v>
      </c>
      <c r="W1722" s="2">
        <v>3</v>
      </c>
      <c r="X1722" s="2">
        <v>6</v>
      </c>
    </row>
    <row r="1723" spans="1:24" x14ac:dyDescent="0.35">
      <c r="A1723">
        <v>37</v>
      </c>
      <c r="B1723">
        <v>37633</v>
      </c>
      <c r="C1723">
        <v>63</v>
      </c>
      <c r="D1723">
        <v>1</v>
      </c>
      <c r="E1723" s="28">
        <v>7.6876712328767125</v>
      </c>
      <c r="F1723" s="28"/>
      <c r="G1723" s="28"/>
      <c r="H1723" s="28"/>
      <c r="I1723" s="28"/>
      <c r="J1723" s="28"/>
      <c r="L1723" s="37">
        <v>37</v>
      </c>
      <c r="M1723" s="3">
        <v>49</v>
      </c>
      <c r="N1723" s="3">
        <v>13</v>
      </c>
      <c r="O1723" s="3">
        <v>4</v>
      </c>
      <c r="P1723" s="3">
        <v>20</v>
      </c>
      <c r="Q1723" s="3">
        <v>0</v>
      </c>
      <c r="R1723" s="3">
        <v>0</v>
      </c>
      <c r="S1723" s="3">
        <v>1</v>
      </c>
      <c r="T1723" s="3">
        <v>2</v>
      </c>
      <c r="U1723" s="3">
        <v>1</v>
      </c>
      <c r="V1723" s="3">
        <v>0</v>
      </c>
      <c r="W1723" s="3">
        <v>3</v>
      </c>
      <c r="X1723" s="3">
        <v>9</v>
      </c>
    </row>
    <row r="1724" spans="1:24" x14ac:dyDescent="0.35">
      <c r="A1724">
        <v>37</v>
      </c>
      <c r="B1724">
        <v>47821</v>
      </c>
      <c r="C1724">
        <v>53</v>
      </c>
      <c r="D1724">
        <v>1</v>
      </c>
      <c r="E1724" s="28">
        <v>6.6054794520547944</v>
      </c>
      <c r="F1724" s="28"/>
      <c r="G1724" s="28"/>
      <c r="H1724" s="28"/>
      <c r="I1724" s="28"/>
      <c r="J1724" s="28"/>
      <c r="L1724" s="38">
        <v>37</v>
      </c>
      <c r="M1724" s="2">
        <v>54</v>
      </c>
      <c r="N1724" s="2">
        <v>9</v>
      </c>
      <c r="O1724" s="2">
        <v>0</v>
      </c>
      <c r="P1724" s="2">
        <v>16</v>
      </c>
      <c r="Q1724" s="2">
        <v>6</v>
      </c>
      <c r="R1724" s="2">
        <v>6</v>
      </c>
      <c r="S1724" s="2">
        <v>10</v>
      </c>
      <c r="T1724" s="2">
        <v>1</v>
      </c>
      <c r="U1724" s="2">
        <v>1</v>
      </c>
      <c r="V1724" s="2">
        <v>0</v>
      </c>
      <c r="W1724" s="2">
        <v>3</v>
      </c>
      <c r="X1724" s="2">
        <v>8</v>
      </c>
    </row>
    <row r="1725" spans="1:24" x14ac:dyDescent="0.35">
      <c r="A1725">
        <v>37</v>
      </c>
      <c r="B1725">
        <v>34350</v>
      </c>
      <c r="C1725">
        <v>41</v>
      </c>
      <c r="D1725">
        <v>1</v>
      </c>
      <c r="E1725" s="28">
        <v>6.6082191780821917</v>
      </c>
      <c r="F1725" s="28"/>
      <c r="G1725" s="28"/>
      <c r="H1725" s="28"/>
      <c r="I1725" s="28"/>
      <c r="J1725" s="28"/>
      <c r="L1725" s="37">
        <v>37</v>
      </c>
      <c r="M1725" s="3">
        <v>81</v>
      </c>
      <c r="N1725" s="3">
        <v>16</v>
      </c>
      <c r="O1725" s="3">
        <v>3</v>
      </c>
      <c r="P1725" s="3">
        <v>15</v>
      </c>
      <c r="Q1725" s="3">
        <v>2</v>
      </c>
      <c r="R1725" s="3">
        <v>1</v>
      </c>
      <c r="S1725" s="3">
        <v>11</v>
      </c>
      <c r="T1725" s="3">
        <v>1</v>
      </c>
      <c r="U1725" s="3">
        <v>1</v>
      </c>
      <c r="V1725" s="3">
        <v>0</v>
      </c>
      <c r="W1725" s="3">
        <v>3</v>
      </c>
      <c r="X1725" s="3">
        <v>7</v>
      </c>
    </row>
    <row r="1726" spans="1:24" x14ac:dyDescent="0.35">
      <c r="A1726">
        <v>37</v>
      </c>
      <c r="B1726">
        <v>21355</v>
      </c>
      <c r="C1726">
        <v>35</v>
      </c>
      <c r="D1726">
        <v>1</v>
      </c>
      <c r="E1726" s="28">
        <v>6.7726027397260271</v>
      </c>
      <c r="F1726" s="28"/>
      <c r="G1726" s="28"/>
      <c r="H1726" s="28"/>
      <c r="I1726" s="28"/>
      <c r="J1726" s="28"/>
      <c r="L1726" s="38">
        <v>37</v>
      </c>
      <c r="M1726" s="2">
        <v>5</v>
      </c>
      <c r="N1726" s="2">
        <v>5</v>
      </c>
      <c r="O1726" s="2">
        <v>13</v>
      </c>
      <c r="P1726" s="2">
        <v>14</v>
      </c>
      <c r="Q1726" s="2">
        <v>0</v>
      </c>
      <c r="R1726" s="2">
        <v>5</v>
      </c>
      <c r="S1726" s="2">
        <v>31</v>
      </c>
      <c r="T1726" s="2">
        <v>2</v>
      </c>
      <c r="U1726" s="2">
        <v>2</v>
      </c>
      <c r="V1726" s="2">
        <v>1</v>
      </c>
      <c r="W1726" s="2">
        <v>2</v>
      </c>
      <c r="X1726" s="2">
        <v>6</v>
      </c>
    </row>
    <row r="1727" spans="1:24" x14ac:dyDescent="0.35">
      <c r="A1727">
        <v>37</v>
      </c>
      <c r="B1727">
        <v>30372</v>
      </c>
      <c r="C1727">
        <v>49</v>
      </c>
      <c r="D1727">
        <v>1</v>
      </c>
      <c r="E1727" s="28">
        <v>7.4246575342465757</v>
      </c>
      <c r="F1727" s="28"/>
      <c r="G1727" s="28"/>
      <c r="H1727" s="28"/>
      <c r="I1727" s="28"/>
      <c r="J1727" s="28"/>
      <c r="L1727" s="37">
        <v>37</v>
      </c>
      <c r="M1727" s="3">
        <v>33</v>
      </c>
      <c r="N1727" s="3">
        <v>15</v>
      </c>
      <c r="O1727" s="3">
        <v>0</v>
      </c>
      <c r="P1727" s="3">
        <v>12</v>
      </c>
      <c r="Q1727" s="3">
        <v>7</v>
      </c>
      <c r="R1727" s="3">
        <v>3</v>
      </c>
      <c r="S1727" s="3">
        <v>7</v>
      </c>
      <c r="T1727" s="3">
        <v>3</v>
      </c>
      <c r="U1727" s="3">
        <v>2</v>
      </c>
      <c r="V1727" s="3">
        <v>0</v>
      </c>
      <c r="W1727" s="3">
        <v>3</v>
      </c>
      <c r="X1727" s="3">
        <v>7</v>
      </c>
    </row>
    <row r="1728" spans="1:24" x14ac:dyDescent="0.35">
      <c r="A1728">
        <v>37</v>
      </c>
      <c r="B1728">
        <v>16813</v>
      </c>
      <c r="C1728">
        <v>70</v>
      </c>
      <c r="D1728">
        <v>0</v>
      </c>
      <c r="E1728" s="28">
        <v>6.86027397260274</v>
      </c>
      <c r="F1728" s="28"/>
      <c r="G1728" s="28"/>
      <c r="H1728" s="28"/>
      <c r="I1728" s="28"/>
      <c r="J1728" s="28"/>
      <c r="L1728" s="38">
        <v>37</v>
      </c>
      <c r="M1728" s="2">
        <v>49</v>
      </c>
      <c r="N1728" s="2">
        <v>4</v>
      </c>
      <c r="O1728" s="2">
        <v>8</v>
      </c>
      <c r="P1728" s="2">
        <v>11</v>
      </c>
      <c r="Q1728" s="2">
        <v>12</v>
      </c>
      <c r="R1728" s="2">
        <v>2</v>
      </c>
      <c r="S1728" s="2">
        <v>13</v>
      </c>
      <c r="T1728" s="2">
        <v>1</v>
      </c>
      <c r="U1728" s="2">
        <v>2</v>
      </c>
      <c r="V1728" s="2">
        <v>0</v>
      </c>
      <c r="W1728" s="2">
        <v>3</v>
      </c>
      <c r="X1728" s="2">
        <v>7</v>
      </c>
    </row>
    <row r="1729" spans="1:24" x14ac:dyDescent="0.35">
      <c r="A1729">
        <v>37</v>
      </c>
      <c r="B1729">
        <v>38197</v>
      </c>
      <c r="C1729">
        <v>34</v>
      </c>
      <c r="D1729">
        <v>1</v>
      </c>
      <c r="E1729" s="28">
        <v>6.9150684931506845</v>
      </c>
      <c r="F1729" s="28"/>
      <c r="G1729" s="28"/>
      <c r="H1729" s="28"/>
      <c r="I1729" s="28"/>
      <c r="J1729" s="28"/>
      <c r="L1729" s="37">
        <v>37</v>
      </c>
      <c r="M1729" s="3">
        <v>86</v>
      </c>
      <c r="N1729" s="3">
        <v>23</v>
      </c>
      <c r="O1729" s="3">
        <v>0</v>
      </c>
      <c r="P1729" s="3">
        <v>11</v>
      </c>
      <c r="Q1729" s="3">
        <v>2</v>
      </c>
      <c r="R1729" s="3">
        <v>1</v>
      </c>
      <c r="S1729" s="3">
        <v>3</v>
      </c>
      <c r="T1729" s="3">
        <v>1</v>
      </c>
      <c r="U1729" s="3">
        <v>1</v>
      </c>
      <c r="V1729" s="3">
        <v>0</v>
      </c>
      <c r="W1729" s="3">
        <v>3</v>
      </c>
      <c r="X1729" s="3">
        <v>5</v>
      </c>
    </row>
    <row r="1730" spans="1:24" x14ac:dyDescent="0.35">
      <c r="A1730">
        <v>37</v>
      </c>
      <c r="B1730">
        <v>7500</v>
      </c>
      <c r="C1730">
        <v>47</v>
      </c>
      <c r="D1730">
        <v>1</v>
      </c>
      <c r="E1730" s="28">
        <v>6.4219178082191783</v>
      </c>
      <c r="F1730" s="28"/>
      <c r="G1730" s="28"/>
      <c r="H1730" s="28"/>
      <c r="I1730" s="28"/>
      <c r="J1730" s="28"/>
      <c r="L1730" s="38">
        <v>37</v>
      </c>
      <c r="M1730" s="2">
        <v>54</v>
      </c>
      <c r="N1730" s="2">
        <v>5</v>
      </c>
      <c r="O1730" s="2">
        <v>3</v>
      </c>
      <c r="P1730" s="2">
        <v>10</v>
      </c>
      <c r="Q1730" s="2">
        <v>12</v>
      </c>
      <c r="R1730" s="2">
        <v>7</v>
      </c>
      <c r="S1730" s="2">
        <v>20</v>
      </c>
      <c r="T1730" s="2">
        <v>4</v>
      </c>
      <c r="U1730" s="2">
        <v>3</v>
      </c>
      <c r="V1730" s="2">
        <v>1</v>
      </c>
      <c r="W1730" s="2">
        <v>3</v>
      </c>
      <c r="X1730" s="2">
        <v>7</v>
      </c>
    </row>
    <row r="1731" spans="1:24" x14ac:dyDescent="0.35">
      <c r="A1731">
        <v>37</v>
      </c>
      <c r="B1731">
        <v>22554</v>
      </c>
      <c r="C1731">
        <v>65</v>
      </c>
      <c r="D1731">
        <v>1</v>
      </c>
      <c r="E1731" s="28">
        <v>7.5671232876712331</v>
      </c>
      <c r="F1731" s="28"/>
      <c r="G1731" s="28"/>
      <c r="H1731" s="28"/>
      <c r="I1731" s="28"/>
      <c r="J1731" s="28"/>
      <c r="L1731" s="37">
        <v>37</v>
      </c>
      <c r="M1731" s="3">
        <v>38</v>
      </c>
      <c r="N1731" s="3">
        <v>27</v>
      </c>
      <c r="O1731" s="3">
        <v>0</v>
      </c>
      <c r="P1731" s="3">
        <v>10</v>
      </c>
      <c r="Q1731" s="3">
        <v>0</v>
      </c>
      <c r="R1731" s="3">
        <v>0</v>
      </c>
      <c r="S1731" s="3">
        <v>4</v>
      </c>
      <c r="T1731" s="3">
        <v>4</v>
      </c>
      <c r="U1731" s="3">
        <v>2</v>
      </c>
      <c r="V1731" s="3">
        <v>0</v>
      </c>
      <c r="W1731" s="3">
        <v>4</v>
      </c>
      <c r="X1731" s="3">
        <v>5</v>
      </c>
    </row>
    <row r="1732" spans="1:24" x14ac:dyDescent="0.35">
      <c r="A1732">
        <v>37</v>
      </c>
      <c r="B1732">
        <v>44078</v>
      </c>
      <c r="C1732">
        <v>51</v>
      </c>
      <c r="D1732">
        <v>1</v>
      </c>
      <c r="E1732" s="28">
        <v>5.9424657534246572</v>
      </c>
      <c r="F1732" s="28"/>
      <c r="G1732" s="28"/>
      <c r="H1732" s="28"/>
      <c r="I1732" s="28"/>
      <c r="J1732" s="28"/>
      <c r="L1732" s="38">
        <v>37</v>
      </c>
      <c r="M1732" s="2">
        <v>17</v>
      </c>
      <c r="N1732" s="2">
        <v>24</v>
      </c>
      <c r="O1732" s="2">
        <v>1</v>
      </c>
      <c r="P1732" s="2">
        <v>10</v>
      </c>
      <c r="Q1732" s="2">
        <v>2</v>
      </c>
      <c r="R1732" s="2">
        <v>0</v>
      </c>
      <c r="S1732" s="2">
        <v>4</v>
      </c>
      <c r="T1732" s="2">
        <v>2</v>
      </c>
      <c r="U1732" s="2">
        <v>2</v>
      </c>
      <c r="V1732" s="2">
        <v>0</v>
      </c>
      <c r="W1732" s="2">
        <v>3</v>
      </c>
      <c r="X1732" s="2">
        <v>5</v>
      </c>
    </row>
    <row r="1733" spans="1:24" x14ac:dyDescent="0.35">
      <c r="A1733">
        <v>37</v>
      </c>
      <c r="B1733">
        <v>22448</v>
      </c>
      <c r="C1733">
        <v>38</v>
      </c>
      <c r="D1733">
        <v>1</v>
      </c>
      <c r="E1733" s="28">
        <v>6.2520547945205482</v>
      </c>
      <c r="F1733" s="28"/>
      <c r="G1733" s="28"/>
      <c r="H1733" s="28"/>
      <c r="I1733" s="28"/>
      <c r="J1733" s="28"/>
      <c r="L1733" s="37">
        <v>37</v>
      </c>
      <c r="M1733" s="3">
        <v>86</v>
      </c>
      <c r="N1733" s="3">
        <v>3</v>
      </c>
      <c r="O1733" s="3">
        <v>1</v>
      </c>
      <c r="P1733" s="3">
        <v>8</v>
      </c>
      <c r="Q1733" s="3">
        <v>23</v>
      </c>
      <c r="R1733" s="3">
        <v>2</v>
      </c>
      <c r="S1733" s="3">
        <v>18</v>
      </c>
      <c r="T1733" s="3">
        <v>3</v>
      </c>
      <c r="U1733" s="3">
        <v>2</v>
      </c>
      <c r="V1733" s="3">
        <v>1</v>
      </c>
      <c r="W1733" s="3">
        <v>3</v>
      </c>
      <c r="X1733" s="3">
        <v>3</v>
      </c>
    </row>
    <row r="1734" spans="1:24" x14ac:dyDescent="0.35">
      <c r="A1734">
        <v>37</v>
      </c>
      <c r="B1734">
        <v>31859</v>
      </c>
      <c r="C1734">
        <v>40</v>
      </c>
      <c r="D1734">
        <v>1</v>
      </c>
      <c r="E1734" s="28">
        <v>6.2493150684931509</v>
      </c>
      <c r="F1734" s="28"/>
      <c r="G1734" s="28"/>
      <c r="H1734" s="28"/>
      <c r="I1734" s="28"/>
      <c r="J1734" s="28"/>
      <c r="L1734" s="38">
        <v>37</v>
      </c>
      <c r="M1734" s="2">
        <v>3</v>
      </c>
      <c r="N1734" s="2">
        <v>3</v>
      </c>
      <c r="O1734" s="2">
        <v>4</v>
      </c>
      <c r="P1734" s="2">
        <v>7</v>
      </c>
      <c r="Q1734" s="2">
        <v>15</v>
      </c>
      <c r="R1734" s="2">
        <v>8</v>
      </c>
      <c r="S1734" s="2">
        <v>11</v>
      </c>
      <c r="T1734" s="2">
        <v>1</v>
      </c>
      <c r="U1734" s="2">
        <v>1</v>
      </c>
      <c r="V1734" s="2">
        <v>0</v>
      </c>
      <c r="W1734" s="2">
        <v>3</v>
      </c>
      <c r="X1734" s="2">
        <v>7</v>
      </c>
    </row>
    <row r="1735" spans="1:24" x14ac:dyDescent="0.35">
      <c r="A1735">
        <v>37</v>
      </c>
      <c r="B1735">
        <v>38443</v>
      </c>
      <c r="C1735">
        <v>52</v>
      </c>
      <c r="D1735">
        <v>1</v>
      </c>
      <c r="E1735" s="28">
        <v>6.3342465753424655</v>
      </c>
      <c r="F1735" s="28"/>
      <c r="G1735" s="28"/>
      <c r="H1735" s="28"/>
      <c r="I1735" s="28"/>
      <c r="J1735" s="28"/>
      <c r="L1735" s="37">
        <v>37</v>
      </c>
      <c r="M1735" s="3">
        <v>58</v>
      </c>
      <c r="N1735" s="3">
        <v>32</v>
      </c>
      <c r="O1735" s="3">
        <v>0</v>
      </c>
      <c r="P1735" s="3">
        <v>5</v>
      </c>
      <c r="Q1735" s="3">
        <v>0</v>
      </c>
      <c r="R1735" s="3">
        <v>0</v>
      </c>
      <c r="S1735" s="3">
        <v>1</v>
      </c>
      <c r="T1735" s="3">
        <v>2</v>
      </c>
      <c r="U1735" s="3">
        <v>1</v>
      </c>
      <c r="V1735" s="3">
        <v>0</v>
      </c>
      <c r="W1735" s="3">
        <v>3</v>
      </c>
      <c r="X1735" s="3">
        <v>7</v>
      </c>
    </row>
    <row r="1736" spans="1:24" x14ac:dyDescent="0.35">
      <c r="A1736">
        <v>37</v>
      </c>
      <c r="B1736">
        <v>32303</v>
      </c>
      <c r="C1736">
        <v>50</v>
      </c>
      <c r="D1736">
        <v>1</v>
      </c>
      <c r="E1736" s="28">
        <v>6.2246575342465755</v>
      </c>
      <c r="F1736" s="28"/>
      <c r="G1736" s="28"/>
      <c r="H1736" s="28"/>
      <c r="I1736" s="28"/>
      <c r="J1736" s="28"/>
      <c r="L1736" s="38">
        <v>37</v>
      </c>
      <c r="M1736" s="2">
        <v>63</v>
      </c>
      <c r="N1736" s="2">
        <v>35</v>
      </c>
      <c r="O1736" s="2">
        <v>0</v>
      </c>
      <c r="P1736" s="2">
        <v>2</v>
      </c>
      <c r="Q1736" s="2">
        <v>0</v>
      </c>
      <c r="R1736" s="2">
        <v>0</v>
      </c>
      <c r="S1736" s="2">
        <v>2</v>
      </c>
      <c r="T1736" s="2">
        <v>2</v>
      </c>
      <c r="U1736" s="2">
        <v>1</v>
      </c>
      <c r="V1736" s="2">
        <v>0</v>
      </c>
      <c r="W1736" s="2">
        <v>4</v>
      </c>
      <c r="X1736" s="2">
        <v>5</v>
      </c>
    </row>
    <row r="1737" spans="1:24" x14ac:dyDescent="0.35">
      <c r="A1737">
        <v>36</v>
      </c>
      <c r="B1737">
        <v>21059</v>
      </c>
      <c r="C1737">
        <v>38</v>
      </c>
      <c r="D1737">
        <v>1</v>
      </c>
      <c r="E1737" s="28">
        <v>6.3890410958904109</v>
      </c>
      <c r="F1737" s="28"/>
      <c r="G1737" s="28"/>
      <c r="H1737" s="28"/>
      <c r="I1737" s="28"/>
      <c r="J1737" s="28"/>
      <c r="L1737" s="37">
        <v>36</v>
      </c>
      <c r="M1737" s="3">
        <v>40</v>
      </c>
      <c r="N1737" s="3">
        <v>8</v>
      </c>
      <c r="O1737" s="3">
        <v>3</v>
      </c>
      <c r="P1737" s="3">
        <v>19</v>
      </c>
      <c r="Q1737" s="3">
        <v>3</v>
      </c>
      <c r="R1737" s="3">
        <v>3</v>
      </c>
      <c r="S1737" s="3">
        <v>8</v>
      </c>
      <c r="T1737" s="3">
        <v>3</v>
      </c>
      <c r="U1737" s="3">
        <v>3</v>
      </c>
      <c r="V1737" s="3">
        <v>0</v>
      </c>
      <c r="W1737" s="3">
        <v>3</v>
      </c>
      <c r="X1737" s="3">
        <v>6</v>
      </c>
    </row>
    <row r="1738" spans="1:24" x14ac:dyDescent="0.35">
      <c r="A1738">
        <v>36</v>
      </c>
      <c r="B1738">
        <v>39771</v>
      </c>
      <c r="C1738">
        <v>43</v>
      </c>
      <c r="D1738">
        <v>1</v>
      </c>
      <c r="E1738" s="28">
        <v>6.4767123287671229</v>
      </c>
      <c r="F1738" s="28"/>
      <c r="G1738" s="28"/>
      <c r="H1738" s="28"/>
      <c r="I1738" s="28"/>
      <c r="J1738" s="28"/>
      <c r="L1738" s="38">
        <v>36</v>
      </c>
      <c r="M1738" s="2">
        <v>92</v>
      </c>
      <c r="N1738" s="2">
        <v>6</v>
      </c>
      <c r="O1738" s="2">
        <v>2</v>
      </c>
      <c r="P1738" s="2">
        <v>18</v>
      </c>
      <c r="Q1738" s="2">
        <v>2</v>
      </c>
      <c r="R1738" s="2">
        <v>8</v>
      </c>
      <c r="S1738" s="2">
        <v>14</v>
      </c>
      <c r="T1738" s="2">
        <v>1</v>
      </c>
      <c r="U1738" s="2">
        <v>2</v>
      </c>
      <c r="V1738" s="2">
        <v>0</v>
      </c>
      <c r="W1738" s="2">
        <v>3</v>
      </c>
      <c r="X1738" s="2">
        <v>4</v>
      </c>
    </row>
    <row r="1739" spans="1:24" x14ac:dyDescent="0.35">
      <c r="A1739">
        <v>36</v>
      </c>
      <c r="B1739">
        <v>12571</v>
      </c>
      <c r="C1739">
        <v>44</v>
      </c>
      <c r="D1739">
        <v>1</v>
      </c>
      <c r="E1739" s="28">
        <v>6.3589041095890408</v>
      </c>
      <c r="F1739" s="28"/>
      <c r="G1739" s="28"/>
      <c r="H1739" s="28"/>
      <c r="I1739" s="28"/>
      <c r="J1739" s="28"/>
      <c r="L1739" s="37">
        <v>36</v>
      </c>
      <c r="M1739" s="3">
        <v>86</v>
      </c>
      <c r="N1739" s="3">
        <v>3</v>
      </c>
      <c r="O1739" s="3">
        <v>5</v>
      </c>
      <c r="P1739" s="3">
        <v>14</v>
      </c>
      <c r="Q1739" s="3">
        <v>2</v>
      </c>
      <c r="R1739" s="3">
        <v>12</v>
      </c>
      <c r="S1739" s="3">
        <v>17</v>
      </c>
      <c r="T1739" s="3">
        <v>4</v>
      </c>
      <c r="U1739" s="3">
        <v>3</v>
      </c>
      <c r="V1739" s="3">
        <v>1</v>
      </c>
      <c r="W1739" s="3">
        <v>3</v>
      </c>
      <c r="X1739" s="3">
        <v>6</v>
      </c>
    </row>
    <row r="1740" spans="1:24" x14ac:dyDescent="0.35">
      <c r="A1740">
        <v>36</v>
      </c>
      <c r="B1740">
        <v>30279</v>
      </c>
      <c r="C1740">
        <v>31</v>
      </c>
      <c r="D1740">
        <v>1</v>
      </c>
      <c r="E1740" s="28">
        <v>7.4109589041095889</v>
      </c>
      <c r="F1740" s="28"/>
      <c r="G1740" s="28"/>
      <c r="H1740" s="28"/>
      <c r="I1740" s="28"/>
      <c r="J1740" s="28"/>
      <c r="L1740" s="38">
        <v>36</v>
      </c>
      <c r="M1740" s="2">
        <v>13</v>
      </c>
      <c r="N1740" s="2">
        <v>10</v>
      </c>
      <c r="O1740" s="2">
        <v>4</v>
      </c>
      <c r="P1740" s="2">
        <v>14</v>
      </c>
      <c r="Q1740" s="2">
        <v>4</v>
      </c>
      <c r="R1740" s="2">
        <v>4</v>
      </c>
      <c r="S1740" s="2">
        <v>1</v>
      </c>
      <c r="T1740" s="2">
        <v>1</v>
      </c>
      <c r="U1740" s="2">
        <v>1</v>
      </c>
      <c r="V1740" s="2">
        <v>0</v>
      </c>
      <c r="W1740" s="2">
        <v>3</v>
      </c>
      <c r="X1740" s="2">
        <v>8</v>
      </c>
    </row>
    <row r="1741" spans="1:24" x14ac:dyDescent="0.35">
      <c r="A1741">
        <v>36</v>
      </c>
      <c r="B1741">
        <v>30096</v>
      </c>
      <c r="C1741">
        <v>37</v>
      </c>
      <c r="D1741">
        <v>1</v>
      </c>
      <c r="E1741" s="28">
        <v>6.0191780821917806</v>
      </c>
      <c r="F1741" s="28"/>
      <c r="G1741" s="28"/>
      <c r="H1741" s="28"/>
      <c r="I1741" s="28"/>
      <c r="J1741" s="28"/>
      <c r="L1741" s="37">
        <v>36</v>
      </c>
      <c r="M1741" s="3">
        <v>30</v>
      </c>
      <c r="N1741" s="3">
        <v>5</v>
      </c>
      <c r="O1741" s="3">
        <v>3</v>
      </c>
      <c r="P1741" s="3">
        <v>11</v>
      </c>
      <c r="Q1741" s="3">
        <v>12</v>
      </c>
      <c r="R1741" s="3">
        <v>5</v>
      </c>
      <c r="S1741" s="3">
        <v>9</v>
      </c>
      <c r="T1741" s="3">
        <v>1</v>
      </c>
      <c r="U1741" s="3">
        <v>2</v>
      </c>
      <c r="V1741" s="3">
        <v>0</v>
      </c>
      <c r="W1741" s="3">
        <v>3</v>
      </c>
      <c r="X1741" s="3">
        <v>6</v>
      </c>
    </row>
    <row r="1742" spans="1:24" x14ac:dyDescent="0.35">
      <c r="A1742">
        <v>36</v>
      </c>
      <c r="B1742">
        <v>39548</v>
      </c>
      <c r="C1742">
        <v>57</v>
      </c>
      <c r="D1742">
        <v>1</v>
      </c>
      <c r="E1742" s="28">
        <v>6.161643835616438</v>
      </c>
      <c r="F1742" s="28"/>
      <c r="G1742" s="28"/>
      <c r="H1742" s="28"/>
      <c r="I1742" s="28"/>
      <c r="J1742" s="28"/>
      <c r="L1742" s="38">
        <v>36</v>
      </c>
      <c r="M1742" s="2">
        <v>87</v>
      </c>
      <c r="N1742" s="2">
        <v>15</v>
      </c>
      <c r="O1742" s="2">
        <v>4</v>
      </c>
      <c r="P1742" s="2">
        <v>10</v>
      </c>
      <c r="Q1742" s="2">
        <v>3</v>
      </c>
      <c r="R1742" s="2">
        <v>4</v>
      </c>
      <c r="S1742" s="2">
        <v>18</v>
      </c>
      <c r="T1742" s="2">
        <v>2</v>
      </c>
      <c r="U1742" s="2">
        <v>1</v>
      </c>
      <c r="V1742" s="2">
        <v>1</v>
      </c>
      <c r="W1742" s="2">
        <v>3</v>
      </c>
      <c r="X1742" s="2">
        <v>3</v>
      </c>
    </row>
    <row r="1743" spans="1:24" x14ac:dyDescent="0.35">
      <c r="A1743">
        <v>36</v>
      </c>
      <c r="B1743">
        <v>18351</v>
      </c>
      <c r="C1743">
        <v>30</v>
      </c>
      <c r="D1743">
        <v>0</v>
      </c>
      <c r="E1743" s="28">
        <v>6.580821917808219</v>
      </c>
      <c r="F1743" s="28"/>
      <c r="G1743" s="28"/>
      <c r="H1743" s="28"/>
      <c r="I1743" s="28"/>
      <c r="J1743" s="28"/>
      <c r="L1743" s="37">
        <v>36</v>
      </c>
      <c r="M1743" s="3">
        <v>1</v>
      </c>
      <c r="N1743" s="3">
        <v>1</v>
      </c>
      <c r="O1743" s="3">
        <v>12</v>
      </c>
      <c r="P1743" s="3">
        <v>9</v>
      </c>
      <c r="Q1743" s="3">
        <v>0</v>
      </c>
      <c r="R1743" s="3">
        <v>14</v>
      </c>
      <c r="S1743" s="3">
        <v>7</v>
      </c>
      <c r="T1743" s="3">
        <v>1</v>
      </c>
      <c r="U1743" s="3">
        <v>2</v>
      </c>
      <c r="V1743" s="3">
        <v>0</v>
      </c>
      <c r="W1743" s="3">
        <v>3</v>
      </c>
      <c r="X1743" s="3">
        <v>7</v>
      </c>
    </row>
    <row r="1744" spans="1:24" x14ac:dyDescent="0.35">
      <c r="A1744">
        <v>36</v>
      </c>
      <c r="B1744">
        <v>5648</v>
      </c>
      <c r="C1744">
        <v>70</v>
      </c>
      <c r="D1744">
        <v>1</v>
      </c>
      <c r="E1744" s="28">
        <v>6.2109589041095887</v>
      </c>
      <c r="F1744" s="28"/>
      <c r="G1744" s="28"/>
      <c r="H1744" s="28"/>
      <c r="I1744" s="28"/>
      <c r="J1744" s="28"/>
      <c r="L1744" s="38">
        <v>36</v>
      </c>
      <c r="M1744" s="2">
        <v>68</v>
      </c>
      <c r="N1744" s="2">
        <v>28</v>
      </c>
      <c r="O1744" s="2">
        <v>0</v>
      </c>
      <c r="P1744" s="2">
        <v>6</v>
      </c>
      <c r="Q1744" s="2">
        <v>1</v>
      </c>
      <c r="R1744" s="2">
        <v>1</v>
      </c>
      <c r="S1744" s="2">
        <v>13</v>
      </c>
      <c r="T1744" s="2">
        <v>1</v>
      </c>
      <c r="U1744" s="2">
        <v>1</v>
      </c>
      <c r="V1744" s="2">
        <v>0</v>
      </c>
      <c r="W1744" s="2">
        <v>0</v>
      </c>
      <c r="X1744" s="2">
        <v>20</v>
      </c>
    </row>
    <row r="1745" spans="1:24" x14ac:dyDescent="0.35">
      <c r="A1745">
        <v>36</v>
      </c>
      <c r="B1745">
        <v>23763</v>
      </c>
      <c r="C1745">
        <v>43</v>
      </c>
      <c r="D1745">
        <v>1</v>
      </c>
      <c r="E1745" s="28">
        <v>7.8082191780821919</v>
      </c>
      <c r="F1745" s="28"/>
      <c r="G1745" s="28"/>
      <c r="H1745" s="28"/>
      <c r="I1745" s="28"/>
      <c r="J1745" s="28"/>
      <c r="L1745" s="37">
        <v>36</v>
      </c>
      <c r="M1745" s="3">
        <v>64</v>
      </c>
      <c r="N1745" s="3">
        <v>22</v>
      </c>
      <c r="O1745" s="3">
        <v>0</v>
      </c>
      <c r="P1745" s="3">
        <v>6</v>
      </c>
      <c r="Q1745" s="3">
        <v>6</v>
      </c>
      <c r="R1745" s="3">
        <v>2</v>
      </c>
      <c r="S1745" s="3">
        <v>6</v>
      </c>
      <c r="T1745" s="3">
        <v>1</v>
      </c>
      <c r="U1745" s="3">
        <v>1</v>
      </c>
      <c r="V1745" s="3">
        <v>0</v>
      </c>
      <c r="W1745" s="3">
        <v>3</v>
      </c>
      <c r="X1745" s="3">
        <v>7</v>
      </c>
    </row>
    <row r="1746" spans="1:24" x14ac:dyDescent="0.35">
      <c r="A1746">
        <v>35</v>
      </c>
      <c r="B1746">
        <v>15072</v>
      </c>
      <c r="C1746">
        <v>40</v>
      </c>
      <c r="D1746">
        <v>1</v>
      </c>
      <c r="E1746" s="28">
        <v>7.0520547945205481</v>
      </c>
      <c r="F1746" s="28"/>
      <c r="G1746" s="28"/>
      <c r="H1746" s="28"/>
      <c r="I1746" s="28"/>
      <c r="J1746" s="28"/>
      <c r="L1746" s="38">
        <v>35</v>
      </c>
      <c r="M1746" s="2">
        <v>96</v>
      </c>
      <c r="N1746" s="2">
        <v>8</v>
      </c>
      <c r="O1746" s="2">
        <v>2</v>
      </c>
      <c r="P1746" s="2">
        <v>15</v>
      </c>
      <c r="Q1746" s="2">
        <v>0</v>
      </c>
      <c r="R1746" s="2">
        <v>10</v>
      </c>
      <c r="S1746" s="2">
        <v>18</v>
      </c>
      <c r="T1746" s="2">
        <v>4</v>
      </c>
      <c r="U1746" s="2">
        <v>3</v>
      </c>
      <c r="V1746" s="2">
        <v>1</v>
      </c>
      <c r="W1746" s="2">
        <v>3</v>
      </c>
      <c r="X1746" s="2">
        <v>5</v>
      </c>
    </row>
    <row r="1747" spans="1:24" x14ac:dyDescent="0.35">
      <c r="A1747">
        <v>35</v>
      </c>
      <c r="B1747">
        <v>31590</v>
      </c>
      <c r="C1747">
        <v>48</v>
      </c>
      <c r="D1747">
        <v>1</v>
      </c>
      <c r="E1747" s="28">
        <v>6.9452054794520546</v>
      </c>
      <c r="F1747" s="28"/>
      <c r="G1747" s="28"/>
      <c r="H1747" s="28"/>
      <c r="I1747" s="28"/>
      <c r="J1747" s="28"/>
      <c r="L1747" s="37">
        <v>35</v>
      </c>
      <c r="M1747" s="3">
        <v>40</v>
      </c>
      <c r="N1747" s="3">
        <v>6</v>
      </c>
      <c r="O1747" s="3">
        <v>2</v>
      </c>
      <c r="P1747" s="3">
        <v>15</v>
      </c>
      <c r="Q1747" s="3">
        <v>6</v>
      </c>
      <c r="R1747" s="3">
        <v>6</v>
      </c>
      <c r="S1747" s="3">
        <v>3</v>
      </c>
      <c r="T1747" s="3">
        <v>1</v>
      </c>
      <c r="U1747" s="3">
        <v>1</v>
      </c>
      <c r="V1747" s="3">
        <v>0</v>
      </c>
      <c r="W1747" s="3">
        <v>3</v>
      </c>
      <c r="X1747" s="3">
        <v>8</v>
      </c>
    </row>
    <row r="1748" spans="1:24" x14ac:dyDescent="0.35">
      <c r="A1748">
        <v>35</v>
      </c>
      <c r="B1748">
        <v>34984</v>
      </c>
      <c r="C1748">
        <v>45</v>
      </c>
      <c r="D1748">
        <v>1</v>
      </c>
      <c r="E1748" s="28">
        <v>7.7260273972602738</v>
      </c>
      <c r="F1748" s="28"/>
      <c r="G1748" s="28"/>
      <c r="H1748" s="28"/>
      <c r="I1748" s="28"/>
      <c r="J1748" s="28"/>
      <c r="L1748" s="38">
        <v>35</v>
      </c>
      <c r="M1748" s="2">
        <v>40</v>
      </c>
      <c r="N1748" s="2">
        <v>8</v>
      </c>
      <c r="O1748" s="2">
        <v>4</v>
      </c>
      <c r="P1748" s="2">
        <v>15</v>
      </c>
      <c r="Q1748" s="2">
        <v>3</v>
      </c>
      <c r="R1748" s="2">
        <v>5</v>
      </c>
      <c r="S1748" s="2">
        <v>3</v>
      </c>
      <c r="T1748" s="2">
        <v>2</v>
      </c>
      <c r="U1748" s="2">
        <v>1</v>
      </c>
      <c r="V1748" s="2">
        <v>0</v>
      </c>
      <c r="W1748" s="2">
        <v>3</v>
      </c>
      <c r="X1748" s="2">
        <v>7</v>
      </c>
    </row>
    <row r="1749" spans="1:24" x14ac:dyDescent="0.35">
      <c r="A1749">
        <v>35</v>
      </c>
      <c r="B1749">
        <v>40637</v>
      </c>
      <c r="C1749">
        <v>55</v>
      </c>
      <c r="D1749">
        <v>1</v>
      </c>
      <c r="E1749" s="28">
        <v>6.8657534246575347</v>
      </c>
      <c r="F1749" s="28"/>
      <c r="G1749" s="28"/>
      <c r="H1749" s="28"/>
      <c r="I1749" s="28"/>
      <c r="J1749" s="28"/>
      <c r="L1749" s="37">
        <v>35</v>
      </c>
      <c r="M1749" s="3">
        <v>72</v>
      </c>
      <c r="N1749" s="3">
        <v>22</v>
      </c>
      <c r="O1749" s="3">
        <v>0</v>
      </c>
      <c r="P1749" s="3">
        <v>13</v>
      </c>
      <c r="Q1749" s="3">
        <v>0</v>
      </c>
      <c r="R1749" s="3">
        <v>0</v>
      </c>
      <c r="S1749" s="3">
        <v>3</v>
      </c>
      <c r="T1749" s="3">
        <v>2</v>
      </c>
      <c r="U1749" s="3">
        <v>1</v>
      </c>
      <c r="V1749" s="3">
        <v>0</v>
      </c>
      <c r="W1749" s="3">
        <v>3</v>
      </c>
      <c r="X1749" s="3">
        <v>7</v>
      </c>
    </row>
    <row r="1750" spans="1:24" x14ac:dyDescent="0.35">
      <c r="A1750">
        <v>35</v>
      </c>
      <c r="B1750">
        <v>27255</v>
      </c>
      <c r="C1750">
        <v>36</v>
      </c>
      <c r="D1750">
        <v>1</v>
      </c>
      <c r="E1750" s="28">
        <v>6.5561643835616437</v>
      </c>
      <c r="F1750" s="28"/>
      <c r="G1750" s="28"/>
      <c r="H1750" s="28"/>
      <c r="I1750" s="28"/>
      <c r="J1750" s="28"/>
      <c r="L1750" s="38">
        <v>35</v>
      </c>
      <c r="M1750" s="2">
        <v>3</v>
      </c>
      <c r="N1750" s="2">
        <v>22</v>
      </c>
      <c r="O1750" s="2">
        <v>1</v>
      </c>
      <c r="P1750" s="2">
        <v>11</v>
      </c>
      <c r="Q1750" s="2">
        <v>0</v>
      </c>
      <c r="R1750" s="2">
        <v>1</v>
      </c>
      <c r="S1750" s="2">
        <v>2</v>
      </c>
      <c r="T1750" s="2">
        <v>1</v>
      </c>
      <c r="U1750" s="2">
        <v>1</v>
      </c>
      <c r="V1750" s="2">
        <v>0</v>
      </c>
      <c r="W1750" s="2">
        <v>3</v>
      </c>
      <c r="X1750" s="2">
        <v>7</v>
      </c>
    </row>
    <row r="1751" spans="1:24" x14ac:dyDescent="0.35">
      <c r="A1751">
        <v>35</v>
      </c>
      <c r="B1751">
        <v>24683</v>
      </c>
      <c r="C1751">
        <v>30</v>
      </c>
      <c r="D1751">
        <v>1</v>
      </c>
      <c r="E1751" s="28">
        <v>6.2246575342465755</v>
      </c>
      <c r="F1751" s="28"/>
      <c r="G1751" s="28"/>
      <c r="H1751" s="28"/>
      <c r="I1751" s="28"/>
      <c r="J1751" s="28"/>
      <c r="L1751" s="37">
        <v>35</v>
      </c>
      <c r="M1751" s="3">
        <v>98</v>
      </c>
      <c r="N1751" s="3">
        <v>8</v>
      </c>
      <c r="O1751" s="3">
        <v>4</v>
      </c>
      <c r="P1751" s="3">
        <v>10</v>
      </c>
      <c r="Q1751" s="3">
        <v>6</v>
      </c>
      <c r="R1751" s="3">
        <v>7</v>
      </c>
      <c r="S1751" s="3">
        <v>6</v>
      </c>
      <c r="T1751" s="3">
        <v>2</v>
      </c>
      <c r="U1751" s="3">
        <v>2</v>
      </c>
      <c r="V1751" s="3">
        <v>0</v>
      </c>
      <c r="W1751" s="3">
        <v>4</v>
      </c>
      <c r="X1751" s="3">
        <v>5</v>
      </c>
    </row>
    <row r="1752" spans="1:24" x14ac:dyDescent="0.35">
      <c r="A1752">
        <v>35</v>
      </c>
      <c r="B1752">
        <v>14796</v>
      </c>
      <c r="C1752">
        <v>36</v>
      </c>
      <c r="D1752">
        <v>1</v>
      </c>
      <c r="E1752" s="28">
        <v>7.6958904109589037</v>
      </c>
      <c r="F1752" s="28"/>
      <c r="G1752" s="28"/>
      <c r="H1752" s="28"/>
      <c r="I1752" s="28"/>
      <c r="J1752" s="28"/>
      <c r="L1752" s="38">
        <v>35</v>
      </c>
      <c r="M1752" s="2">
        <v>1</v>
      </c>
      <c r="N1752" s="2">
        <v>13</v>
      </c>
      <c r="O1752" s="2">
        <v>3</v>
      </c>
      <c r="P1752" s="2">
        <v>8</v>
      </c>
      <c r="Q1752" s="2">
        <v>7</v>
      </c>
      <c r="R1752" s="2">
        <v>4</v>
      </c>
      <c r="S1752" s="2">
        <v>16</v>
      </c>
      <c r="T1752" s="2">
        <v>2</v>
      </c>
      <c r="U1752" s="2">
        <v>1</v>
      </c>
      <c r="V1752" s="2">
        <v>0</v>
      </c>
      <c r="W1752" s="2">
        <v>3</v>
      </c>
      <c r="X1752" s="2">
        <v>9</v>
      </c>
    </row>
    <row r="1753" spans="1:24" x14ac:dyDescent="0.35">
      <c r="A1753">
        <v>35</v>
      </c>
      <c r="B1753">
        <v>22574</v>
      </c>
      <c r="C1753">
        <v>53</v>
      </c>
      <c r="D1753">
        <v>1</v>
      </c>
      <c r="E1753" s="28">
        <v>6.5835616438356164</v>
      </c>
      <c r="F1753" s="28"/>
      <c r="G1753" s="28"/>
      <c r="H1753" s="28"/>
      <c r="I1753" s="28"/>
      <c r="J1753" s="28"/>
      <c r="L1753" s="37">
        <v>35</v>
      </c>
      <c r="M1753" s="3">
        <v>28</v>
      </c>
      <c r="N1753" s="3">
        <v>25</v>
      </c>
      <c r="O1753" s="3">
        <v>0</v>
      </c>
      <c r="P1753" s="3">
        <v>8</v>
      </c>
      <c r="Q1753" s="3">
        <v>2</v>
      </c>
      <c r="R1753" s="3">
        <v>0</v>
      </c>
      <c r="S1753" s="3">
        <v>2</v>
      </c>
      <c r="T1753" s="3">
        <v>2</v>
      </c>
      <c r="U1753" s="3">
        <v>2</v>
      </c>
      <c r="V1753" s="3">
        <v>0</v>
      </c>
      <c r="W1753" s="3">
        <v>3</v>
      </c>
      <c r="X1753" s="3">
        <v>7</v>
      </c>
    </row>
    <row r="1754" spans="1:24" x14ac:dyDescent="0.35">
      <c r="A1754">
        <v>35</v>
      </c>
      <c r="B1754">
        <v>40851</v>
      </c>
      <c r="C1754">
        <v>49</v>
      </c>
      <c r="D1754">
        <v>1</v>
      </c>
      <c r="E1754" s="28">
        <v>7.2657534246575342</v>
      </c>
      <c r="F1754" s="28"/>
      <c r="G1754" s="28"/>
      <c r="H1754" s="28"/>
      <c r="I1754" s="28"/>
      <c r="J1754" s="28"/>
      <c r="L1754" s="38">
        <v>35</v>
      </c>
      <c r="M1754" s="2">
        <v>63</v>
      </c>
      <c r="N1754" s="2">
        <v>23</v>
      </c>
      <c r="O1754" s="2">
        <v>1</v>
      </c>
      <c r="P1754" s="2">
        <v>7</v>
      </c>
      <c r="Q1754" s="2">
        <v>0</v>
      </c>
      <c r="R1754" s="2">
        <v>4</v>
      </c>
      <c r="S1754" s="2">
        <v>24</v>
      </c>
      <c r="T1754" s="2">
        <v>1</v>
      </c>
      <c r="U1754" s="2">
        <v>1</v>
      </c>
      <c r="V1754" s="2">
        <v>1</v>
      </c>
      <c r="W1754" s="2">
        <v>2</v>
      </c>
      <c r="X1754" s="2">
        <v>7</v>
      </c>
    </row>
    <row r="1755" spans="1:24" x14ac:dyDescent="0.35">
      <c r="A1755">
        <v>35</v>
      </c>
      <c r="B1755">
        <v>34704</v>
      </c>
      <c r="C1755">
        <v>54</v>
      </c>
      <c r="D1755">
        <v>1</v>
      </c>
      <c r="E1755" s="28">
        <v>7.087671232876712</v>
      </c>
      <c r="F1755" s="28"/>
      <c r="G1755" s="28"/>
      <c r="H1755" s="28"/>
      <c r="I1755" s="28"/>
      <c r="J1755" s="28"/>
      <c r="L1755" s="37">
        <v>35</v>
      </c>
      <c r="M1755" s="3">
        <v>65</v>
      </c>
      <c r="N1755" s="3">
        <v>29</v>
      </c>
      <c r="O1755" s="3">
        <v>0</v>
      </c>
      <c r="P1755" s="3">
        <v>5</v>
      </c>
      <c r="Q1755" s="3">
        <v>0</v>
      </c>
      <c r="R1755" s="3">
        <v>1</v>
      </c>
      <c r="S1755" s="3">
        <v>5</v>
      </c>
      <c r="T1755" s="3">
        <v>1</v>
      </c>
      <c r="U1755" s="3">
        <v>1</v>
      </c>
      <c r="V1755" s="3">
        <v>0</v>
      </c>
      <c r="W1755" s="3">
        <v>3</v>
      </c>
      <c r="X1755" s="3">
        <v>5</v>
      </c>
    </row>
    <row r="1756" spans="1:24" x14ac:dyDescent="0.35">
      <c r="A1756">
        <v>35</v>
      </c>
      <c r="B1756">
        <v>19740</v>
      </c>
      <c r="C1756">
        <v>60</v>
      </c>
      <c r="D1756">
        <v>1</v>
      </c>
      <c r="E1756" s="28">
        <v>7.1808219178082195</v>
      </c>
      <c r="F1756" s="28"/>
      <c r="G1756" s="28"/>
      <c r="H1756" s="28"/>
      <c r="I1756" s="28"/>
      <c r="J1756" s="28"/>
      <c r="L1756" s="38">
        <v>35</v>
      </c>
      <c r="M1756" s="2">
        <v>65</v>
      </c>
      <c r="N1756" s="2">
        <v>7</v>
      </c>
      <c r="O1756" s="2">
        <v>11</v>
      </c>
      <c r="P1756" s="2">
        <v>3</v>
      </c>
      <c r="Q1756" s="2">
        <v>10</v>
      </c>
      <c r="R1756" s="2">
        <v>4</v>
      </c>
      <c r="S1756" s="2">
        <v>20</v>
      </c>
      <c r="T1756" s="2">
        <v>2</v>
      </c>
      <c r="U1756" s="2">
        <v>1</v>
      </c>
      <c r="V1756" s="2">
        <v>1</v>
      </c>
      <c r="W1756" s="2">
        <v>3</v>
      </c>
      <c r="X1756" s="2">
        <v>5</v>
      </c>
    </row>
    <row r="1757" spans="1:24" x14ac:dyDescent="0.35">
      <c r="A1757">
        <v>34</v>
      </c>
      <c r="B1757">
        <v>27943</v>
      </c>
      <c r="C1757">
        <v>53</v>
      </c>
      <c r="D1757">
        <v>1</v>
      </c>
      <c r="E1757" s="28">
        <v>7.1205479452054794</v>
      </c>
      <c r="F1757" s="28"/>
      <c r="G1757" s="28"/>
      <c r="H1757" s="28"/>
      <c r="I1757" s="28"/>
      <c r="J1757" s="28"/>
      <c r="L1757" s="37">
        <v>34</v>
      </c>
      <c r="M1757" s="3">
        <v>89</v>
      </c>
      <c r="N1757" s="3">
        <v>12</v>
      </c>
      <c r="O1757" s="3">
        <v>1</v>
      </c>
      <c r="P1757" s="3">
        <v>16</v>
      </c>
      <c r="Q1757" s="3">
        <v>4</v>
      </c>
      <c r="R1757" s="3">
        <v>1</v>
      </c>
      <c r="S1757" s="3">
        <v>3</v>
      </c>
      <c r="T1757" s="3">
        <v>3</v>
      </c>
      <c r="U1757" s="3">
        <v>2</v>
      </c>
      <c r="V1757" s="3">
        <v>0</v>
      </c>
      <c r="W1757" s="3">
        <v>3</v>
      </c>
      <c r="X1757" s="3">
        <v>8</v>
      </c>
    </row>
    <row r="1758" spans="1:24" x14ac:dyDescent="0.35">
      <c r="A1758">
        <v>34</v>
      </c>
      <c r="B1758">
        <v>26642</v>
      </c>
      <c r="C1758">
        <v>53</v>
      </c>
      <c r="D1758">
        <v>1</v>
      </c>
      <c r="E1758" s="28">
        <v>6.2438356164383562</v>
      </c>
      <c r="F1758" s="28"/>
      <c r="G1758" s="28"/>
      <c r="H1758" s="28"/>
      <c r="I1758" s="28"/>
      <c r="J1758" s="28"/>
      <c r="L1758" s="38">
        <v>34</v>
      </c>
      <c r="M1758" s="2">
        <v>71</v>
      </c>
      <c r="N1758" s="2">
        <v>13</v>
      </c>
      <c r="O1758" s="2">
        <v>2</v>
      </c>
      <c r="P1758" s="2">
        <v>15</v>
      </c>
      <c r="Q1758" s="2">
        <v>2</v>
      </c>
      <c r="R1758" s="2">
        <v>2</v>
      </c>
      <c r="S1758" s="2">
        <v>8</v>
      </c>
      <c r="T1758" s="2">
        <v>2</v>
      </c>
      <c r="U1758" s="2">
        <v>2</v>
      </c>
      <c r="V1758" s="2">
        <v>0</v>
      </c>
      <c r="W1758" s="2">
        <v>3</v>
      </c>
      <c r="X1758" s="2">
        <v>6</v>
      </c>
    </row>
    <row r="1759" spans="1:24" x14ac:dyDescent="0.35">
      <c r="A1759">
        <v>34</v>
      </c>
      <c r="B1759">
        <v>23529</v>
      </c>
      <c r="C1759">
        <v>55</v>
      </c>
      <c r="D1759">
        <v>1</v>
      </c>
      <c r="E1759" s="28">
        <v>7.3890410958904109</v>
      </c>
      <c r="F1759" s="28"/>
      <c r="G1759" s="28"/>
      <c r="H1759" s="28"/>
      <c r="I1759" s="28"/>
      <c r="J1759" s="28"/>
      <c r="L1759" s="37">
        <v>34</v>
      </c>
      <c r="M1759" s="3">
        <v>67</v>
      </c>
      <c r="N1759" s="3">
        <v>9</v>
      </c>
      <c r="O1759" s="3">
        <v>7</v>
      </c>
      <c r="P1759" s="3">
        <v>13</v>
      </c>
      <c r="Q1759" s="3">
        <v>3</v>
      </c>
      <c r="R1759" s="3">
        <v>2</v>
      </c>
      <c r="S1759" s="3">
        <v>20</v>
      </c>
      <c r="T1759" s="3">
        <v>1</v>
      </c>
      <c r="U1759" s="3">
        <v>1</v>
      </c>
      <c r="V1759" s="3">
        <v>1</v>
      </c>
      <c r="W1759" s="3">
        <v>2</v>
      </c>
      <c r="X1759" s="3">
        <v>6</v>
      </c>
    </row>
    <row r="1760" spans="1:24" x14ac:dyDescent="0.35">
      <c r="A1760">
        <v>34</v>
      </c>
      <c r="B1760">
        <v>22518</v>
      </c>
      <c r="C1760">
        <v>34</v>
      </c>
      <c r="D1760">
        <v>1</v>
      </c>
      <c r="E1760" s="28">
        <v>7.6</v>
      </c>
      <c r="F1760" s="28"/>
      <c r="G1760" s="28"/>
      <c r="H1760" s="28"/>
      <c r="I1760" s="28"/>
      <c r="J1760" s="28"/>
      <c r="L1760" s="38">
        <v>34</v>
      </c>
      <c r="M1760" s="2">
        <v>36</v>
      </c>
      <c r="N1760" s="2">
        <v>11</v>
      </c>
      <c r="O1760" s="2">
        <v>7</v>
      </c>
      <c r="P1760" s="2">
        <v>12</v>
      </c>
      <c r="Q1760" s="2">
        <v>2</v>
      </c>
      <c r="R1760" s="2">
        <v>2</v>
      </c>
      <c r="S1760" s="2">
        <v>27</v>
      </c>
      <c r="T1760" s="2">
        <v>2</v>
      </c>
      <c r="U1760" s="2">
        <v>2</v>
      </c>
      <c r="V1760" s="2">
        <v>1</v>
      </c>
      <c r="W1760" s="2">
        <v>2</v>
      </c>
      <c r="X1760" s="2">
        <v>5</v>
      </c>
    </row>
    <row r="1761" spans="1:24" x14ac:dyDescent="0.35">
      <c r="A1761">
        <v>34</v>
      </c>
      <c r="B1761">
        <v>36921</v>
      </c>
      <c r="C1761">
        <v>55</v>
      </c>
      <c r="D1761">
        <v>1</v>
      </c>
      <c r="E1761" s="28">
        <v>6.8356164383561646</v>
      </c>
      <c r="F1761" s="28"/>
      <c r="G1761" s="28"/>
      <c r="H1761" s="28"/>
      <c r="I1761" s="28"/>
      <c r="J1761" s="28"/>
      <c r="L1761" s="37">
        <v>34</v>
      </c>
      <c r="M1761" s="3">
        <v>74</v>
      </c>
      <c r="N1761" s="3">
        <v>17</v>
      </c>
      <c r="O1761" s="3">
        <v>1</v>
      </c>
      <c r="P1761" s="3">
        <v>12</v>
      </c>
      <c r="Q1761" s="3">
        <v>3</v>
      </c>
      <c r="R1761" s="3">
        <v>1</v>
      </c>
      <c r="S1761" s="3">
        <v>4</v>
      </c>
      <c r="T1761" s="3">
        <v>2</v>
      </c>
      <c r="U1761" s="3">
        <v>2</v>
      </c>
      <c r="V1761" s="3">
        <v>0</v>
      </c>
      <c r="W1761" s="3">
        <v>3</v>
      </c>
      <c r="X1761" s="3">
        <v>7</v>
      </c>
    </row>
    <row r="1762" spans="1:24" x14ac:dyDescent="0.35">
      <c r="A1762">
        <v>34</v>
      </c>
      <c r="B1762">
        <v>29732</v>
      </c>
      <c r="C1762">
        <v>49</v>
      </c>
      <c r="D1762">
        <v>1</v>
      </c>
      <c r="E1762" s="28">
        <v>6.1780821917808222</v>
      </c>
      <c r="F1762" s="28"/>
      <c r="G1762" s="28"/>
      <c r="H1762" s="28"/>
      <c r="I1762" s="28"/>
      <c r="J1762" s="28"/>
      <c r="L1762" s="38">
        <v>34</v>
      </c>
      <c r="M1762" s="2">
        <v>23</v>
      </c>
      <c r="N1762" s="2">
        <v>25</v>
      </c>
      <c r="O1762" s="2">
        <v>0</v>
      </c>
      <c r="P1762" s="2">
        <v>8</v>
      </c>
      <c r="Q1762" s="2">
        <v>0</v>
      </c>
      <c r="R1762" s="2">
        <v>1</v>
      </c>
      <c r="S1762" s="2">
        <v>4</v>
      </c>
      <c r="T1762" s="2">
        <v>1</v>
      </c>
      <c r="U1762" s="2">
        <v>2</v>
      </c>
      <c r="V1762" s="2">
        <v>0</v>
      </c>
      <c r="W1762" s="2">
        <v>2</v>
      </c>
      <c r="X1762" s="2">
        <v>9</v>
      </c>
    </row>
    <row r="1763" spans="1:24" x14ac:dyDescent="0.35">
      <c r="A1763">
        <v>34</v>
      </c>
      <c r="B1763">
        <v>37859</v>
      </c>
      <c r="C1763">
        <v>58</v>
      </c>
      <c r="D1763">
        <v>1</v>
      </c>
      <c r="E1763" s="28">
        <v>7.375342465753425</v>
      </c>
      <c r="F1763" s="28"/>
      <c r="G1763" s="28"/>
      <c r="H1763" s="28"/>
      <c r="I1763" s="28"/>
      <c r="J1763" s="28"/>
      <c r="L1763" s="37">
        <v>34</v>
      </c>
      <c r="M1763" s="3">
        <v>75</v>
      </c>
      <c r="N1763" s="3">
        <v>22</v>
      </c>
      <c r="O1763" s="3">
        <v>1</v>
      </c>
      <c r="P1763" s="3">
        <v>8</v>
      </c>
      <c r="Q1763" s="3">
        <v>2</v>
      </c>
      <c r="R1763" s="3">
        <v>1</v>
      </c>
      <c r="S1763" s="3">
        <v>2</v>
      </c>
      <c r="T1763" s="3">
        <v>2</v>
      </c>
      <c r="U1763" s="3">
        <v>1</v>
      </c>
      <c r="V1763" s="3">
        <v>0</v>
      </c>
      <c r="W1763" s="3">
        <v>3</v>
      </c>
      <c r="X1763" s="3">
        <v>8</v>
      </c>
    </row>
    <row r="1764" spans="1:24" x14ac:dyDescent="0.35">
      <c r="A1764">
        <v>34</v>
      </c>
      <c r="B1764">
        <v>44319</v>
      </c>
      <c r="C1764">
        <v>45</v>
      </c>
      <c r="D1764">
        <v>1</v>
      </c>
      <c r="E1764" s="28">
        <v>6.1150684931506847</v>
      </c>
      <c r="F1764" s="28"/>
      <c r="G1764" s="28"/>
      <c r="H1764" s="28"/>
      <c r="I1764" s="28"/>
      <c r="J1764" s="28"/>
      <c r="L1764" s="38">
        <v>34</v>
      </c>
      <c r="M1764" s="2">
        <v>18</v>
      </c>
      <c r="N1764" s="2">
        <v>26</v>
      </c>
      <c r="O1764" s="2">
        <v>0</v>
      </c>
      <c r="P1764" s="2">
        <v>8</v>
      </c>
      <c r="Q1764" s="2">
        <v>0</v>
      </c>
      <c r="R1764" s="2">
        <v>0</v>
      </c>
      <c r="S1764" s="2">
        <v>3</v>
      </c>
      <c r="T1764" s="2">
        <v>2</v>
      </c>
      <c r="U1764" s="2">
        <v>2</v>
      </c>
      <c r="V1764" s="2">
        <v>0</v>
      </c>
      <c r="W1764" s="2">
        <v>3</v>
      </c>
      <c r="X1764" s="2">
        <v>5</v>
      </c>
    </row>
    <row r="1765" spans="1:24" x14ac:dyDescent="0.35">
      <c r="A1765">
        <v>34</v>
      </c>
      <c r="B1765">
        <v>23272</v>
      </c>
      <c r="C1765">
        <v>67</v>
      </c>
      <c r="D1765">
        <v>0</v>
      </c>
      <c r="E1765" s="28">
        <v>6.6136986301369864</v>
      </c>
      <c r="F1765" s="28"/>
      <c r="G1765" s="28"/>
      <c r="H1765" s="28"/>
      <c r="I1765" s="28"/>
      <c r="J1765" s="28"/>
      <c r="L1765" s="37">
        <v>34</v>
      </c>
      <c r="M1765" s="3">
        <v>29</v>
      </c>
      <c r="N1765" s="3">
        <v>19</v>
      </c>
      <c r="O1765" s="3">
        <v>3</v>
      </c>
      <c r="P1765" s="3">
        <v>6</v>
      </c>
      <c r="Q1765" s="3">
        <v>4</v>
      </c>
      <c r="R1765" s="3">
        <v>2</v>
      </c>
      <c r="S1765" s="3">
        <v>12</v>
      </c>
      <c r="T1765" s="3">
        <v>1</v>
      </c>
      <c r="U1765" s="3">
        <v>1</v>
      </c>
      <c r="V1765" s="3">
        <v>0</v>
      </c>
      <c r="W1765" s="3">
        <v>3</v>
      </c>
      <c r="X1765" s="3">
        <v>4</v>
      </c>
    </row>
    <row r="1766" spans="1:24" x14ac:dyDescent="0.35">
      <c r="A1766">
        <v>34</v>
      </c>
      <c r="B1766">
        <v>30801</v>
      </c>
      <c r="C1766">
        <v>45</v>
      </c>
      <c r="D1766">
        <v>1</v>
      </c>
      <c r="E1766" s="28">
        <v>7.5890410958904111</v>
      </c>
      <c r="F1766" s="28"/>
      <c r="G1766" s="28"/>
      <c r="H1766" s="28"/>
      <c r="I1766" s="28"/>
      <c r="J1766" s="28"/>
      <c r="L1766" s="38">
        <v>34</v>
      </c>
      <c r="M1766" s="2">
        <v>23</v>
      </c>
      <c r="N1766" s="2">
        <v>8</v>
      </c>
      <c r="O1766" s="2">
        <v>4</v>
      </c>
      <c r="P1766" s="2">
        <v>5</v>
      </c>
      <c r="Q1766" s="2">
        <v>15</v>
      </c>
      <c r="R1766" s="2">
        <v>2</v>
      </c>
      <c r="S1766" s="2">
        <v>11</v>
      </c>
      <c r="T1766" s="2">
        <v>2</v>
      </c>
      <c r="U1766" s="2">
        <v>1</v>
      </c>
      <c r="V1766" s="2">
        <v>0</v>
      </c>
      <c r="W1766" s="2">
        <v>3</v>
      </c>
      <c r="X1766" s="2">
        <v>7</v>
      </c>
    </row>
    <row r="1767" spans="1:24" x14ac:dyDescent="0.35">
      <c r="A1767">
        <v>34</v>
      </c>
      <c r="B1767">
        <v>25410</v>
      </c>
      <c r="C1767">
        <v>47</v>
      </c>
      <c r="D1767">
        <v>1</v>
      </c>
      <c r="E1767" s="28">
        <v>6.7424657534246579</v>
      </c>
      <c r="F1767" s="28"/>
      <c r="G1767" s="28"/>
      <c r="H1767" s="28"/>
      <c r="I1767" s="28"/>
      <c r="J1767" s="28"/>
      <c r="L1767" s="37">
        <v>34</v>
      </c>
      <c r="M1767" s="3">
        <v>48</v>
      </c>
      <c r="N1767" s="3">
        <v>2</v>
      </c>
      <c r="O1767" s="3">
        <v>2</v>
      </c>
      <c r="P1767" s="3">
        <v>4</v>
      </c>
      <c r="Q1767" s="3">
        <v>13</v>
      </c>
      <c r="R1767" s="3">
        <v>13</v>
      </c>
      <c r="S1767" s="3">
        <v>4</v>
      </c>
      <c r="T1767" s="3">
        <v>1</v>
      </c>
      <c r="U1767" s="3">
        <v>1</v>
      </c>
      <c r="V1767" s="3">
        <v>0</v>
      </c>
      <c r="W1767" s="3">
        <v>4</v>
      </c>
      <c r="X1767" s="3">
        <v>4</v>
      </c>
    </row>
    <row r="1768" spans="1:24" x14ac:dyDescent="0.35">
      <c r="A1768">
        <v>34</v>
      </c>
      <c r="B1768">
        <v>18701</v>
      </c>
      <c r="C1768">
        <v>56</v>
      </c>
      <c r="D1768">
        <v>1</v>
      </c>
      <c r="E1768" s="28">
        <v>6.9835616438356167</v>
      </c>
      <c r="F1768" s="28"/>
      <c r="G1768" s="28"/>
      <c r="H1768" s="28"/>
      <c r="I1768" s="28"/>
      <c r="J1768" s="28"/>
      <c r="L1768" s="38">
        <v>34</v>
      </c>
      <c r="M1768" s="2">
        <v>95</v>
      </c>
      <c r="N1768" s="2">
        <v>12</v>
      </c>
      <c r="O1768" s="2">
        <v>4</v>
      </c>
      <c r="P1768" s="2">
        <v>2</v>
      </c>
      <c r="Q1768" s="2">
        <v>10</v>
      </c>
      <c r="R1768" s="2">
        <v>6</v>
      </c>
      <c r="S1768" s="2">
        <v>10</v>
      </c>
      <c r="T1768" s="2">
        <v>4</v>
      </c>
      <c r="U1768" s="2">
        <v>2</v>
      </c>
      <c r="V1768" s="2">
        <v>0</v>
      </c>
      <c r="W1768" s="2">
        <v>4</v>
      </c>
      <c r="X1768" s="2">
        <v>5</v>
      </c>
    </row>
    <row r="1769" spans="1:24" x14ac:dyDescent="0.35">
      <c r="A1769">
        <v>33</v>
      </c>
      <c r="B1769">
        <v>46984</v>
      </c>
      <c r="C1769">
        <v>64</v>
      </c>
      <c r="D1769">
        <v>1</v>
      </c>
      <c r="E1769" s="28">
        <v>7.1753424657534248</v>
      </c>
      <c r="F1769" s="28"/>
      <c r="G1769" s="28"/>
      <c r="H1769" s="28"/>
      <c r="I1769" s="28"/>
      <c r="J1769" s="28"/>
      <c r="L1769" s="37">
        <v>33</v>
      </c>
      <c r="M1769" s="3">
        <v>71</v>
      </c>
      <c r="N1769" s="3">
        <v>19</v>
      </c>
      <c r="O1769" s="3">
        <v>1</v>
      </c>
      <c r="P1769" s="3">
        <v>10</v>
      </c>
      <c r="Q1769" s="3">
        <v>2</v>
      </c>
      <c r="R1769" s="3">
        <v>1</v>
      </c>
      <c r="S1769" s="3">
        <v>8</v>
      </c>
      <c r="T1769" s="3">
        <v>1</v>
      </c>
      <c r="U1769" s="3">
        <v>1</v>
      </c>
      <c r="V1769" s="3">
        <v>0</v>
      </c>
      <c r="W1769" s="3">
        <v>3</v>
      </c>
      <c r="X1769" s="3">
        <v>5</v>
      </c>
    </row>
    <row r="1770" spans="1:24" x14ac:dyDescent="0.35">
      <c r="A1770">
        <v>33</v>
      </c>
      <c r="B1770">
        <v>24221</v>
      </c>
      <c r="C1770">
        <v>61</v>
      </c>
      <c r="D1770">
        <v>0</v>
      </c>
      <c r="E1770" s="28">
        <v>6.7726027397260271</v>
      </c>
      <c r="F1770" s="28"/>
      <c r="G1770" s="28"/>
      <c r="H1770" s="28"/>
      <c r="I1770" s="28"/>
      <c r="J1770" s="28"/>
      <c r="L1770" s="38">
        <v>33</v>
      </c>
      <c r="M1770" s="2">
        <v>94</v>
      </c>
      <c r="N1770" s="2">
        <v>8</v>
      </c>
      <c r="O1770" s="2">
        <v>9</v>
      </c>
      <c r="P1770" s="2">
        <v>9</v>
      </c>
      <c r="Q1770" s="2">
        <v>2</v>
      </c>
      <c r="R1770" s="2">
        <v>5</v>
      </c>
      <c r="S1770" s="2">
        <v>22</v>
      </c>
      <c r="T1770" s="2">
        <v>1</v>
      </c>
      <c r="U1770" s="2">
        <v>1</v>
      </c>
      <c r="V1770" s="2">
        <v>1</v>
      </c>
      <c r="W1770" s="2">
        <v>3</v>
      </c>
      <c r="X1770" s="2">
        <v>4</v>
      </c>
    </row>
    <row r="1771" spans="1:24" x14ac:dyDescent="0.35">
      <c r="A1771">
        <v>33</v>
      </c>
      <c r="B1771">
        <v>24434</v>
      </c>
      <c r="C1771">
        <v>48</v>
      </c>
      <c r="D1771">
        <v>1</v>
      </c>
      <c r="E1771" s="28">
        <v>6.0301369863013701</v>
      </c>
      <c r="F1771" s="28"/>
      <c r="G1771" s="28"/>
      <c r="H1771" s="28"/>
      <c r="I1771" s="28"/>
      <c r="J1771" s="28"/>
      <c r="L1771" s="37">
        <v>33</v>
      </c>
      <c r="M1771" s="3">
        <v>9</v>
      </c>
      <c r="N1771" s="3">
        <v>3</v>
      </c>
      <c r="O1771" s="3">
        <v>2</v>
      </c>
      <c r="P1771" s="3">
        <v>8</v>
      </c>
      <c r="Q1771" s="3">
        <v>20</v>
      </c>
      <c r="R1771" s="3">
        <v>0</v>
      </c>
      <c r="S1771" s="3">
        <v>17</v>
      </c>
      <c r="T1771" s="3">
        <v>2</v>
      </c>
      <c r="U1771" s="3">
        <v>2</v>
      </c>
      <c r="V1771" s="3">
        <v>1</v>
      </c>
      <c r="W1771" s="3">
        <v>2</v>
      </c>
      <c r="X1771" s="3">
        <v>7</v>
      </c>
    </row>
    <row r="1772" spans="1:24" x14ac:dyDescent="0.35">
      <c r="A1772">
        <v>33</v>
      </c>
      <c r="B1772">
        <v>42231</v>
      </c>
      <c r="C1772">
        <v>51</v>
      </c>
      <c r="D1772">
        <v>1</v>
      </c>
      <c r="E1772" s="28">
        <v>6.1780821917808222</v>
      </c>
      <c r="F1772" s="28"/>
      <c r="G1772" s="28"/>
      <c r="H1772" s="28"/>
      <c r="I1772" s="28"/>
      <c r="J1772" s="28"/>
      <c r="L1772" s="38">
        <v>33</v>
      </c>
      <c r="M1772" s="2">
        <v>99</v>
      </c>
      <c r="N1772" s="2">
        <v>24</v>
      </c>
      <c r="O1772" s="2">
        <v>0</v>
      </c>
      <c r="P1772" s="2">
        <v>8</v>
      </c>
      <c r="Q1772" s="2">
        <v>0</v>
      </c>
      <c r="R1772" s="2">
        <v>1</v>
      </c>
      <c r="S1772" s="2">
        <v>4</v>
      </c>
      <c r="T1772" s="2">
        <v>1</v>
      </c>
      <c r="U1772" s="2">
        <v>1</v>
      </c>
      <c r="V1772" s="2">
        <v>0</v>
      </c>
      <c r="W1772" s="2">
        <v>3</v>
      </c>
      <c r="X1772" s="2">
        <v>5</v>
      </c>
    </row>
    <row r="1773" spans="1:24" x14ac:dyDescent="0.35">
      <c r="A1773">
        <v>33</v>
      </c>
      <c r="B1773">
        <v>28249</v>
      </c>
      <c r="C1773">
        <v>59</v>
      </c>
      <c r="D1773">
        <v>0</v>
      </c>
      <c r="E1773" s="28">
        <v>5.9534246575342467</v>
      </c>
      <c r="F1773" s="28"/>
      <c r="G1773" s="28"/>
      <c r="H1773" s="28"/>
      <c r="I1773" s="28"/>
      <c r="J1773" s="28"/>
      <c r="L1773" s="37">
        <v>33</v>
      </c>
      <c r="M1773" s="3">
        <v>80</v>
      </c>
      <c r="N1773" s="3">
        <v>1</v>
      </c>
      <c r="O1773" s="3">
        <v>9</v>
      </c>
      <c r="P1773" s="3">
        <v>7</v>
      </c>
      <c r="Q1773" s="3">
        <v>2</v>
      </c>
      <c r="R1773" s="3">
        <v>14</v>
      </c>
      <c r="S1773" s="3">
        <v>10</v>
      </c>
      <c r="T1773" s="3">
        <v>1</v>
      </c>
      <c r="U1773" s="3">
        <v>2</v>
      </c>
      <c r="V1773" s="3">
        <v>0</v>
      </c>
      <c r="W1773" s="3">
        <v>3</v>
      </c>
      <c r="X1773" s="3">
        <v>6</v>
      </c>
    </row>
    <row r="1774" spans="1:24" x14ac:dyDescent="0.35">
      <c r="A1774">
        <v>33</v>
      </c>
      <c r="B1774">
        <v>16531</v>
      </c>
      <c r="C1774">
        <v>42</v>
      </c>
      <c r="D1774">
        <v>1</v>
      </c>
      <c r="E1774" s="28">
        <v>5.9452054794520546</v>
      </c>
      <c r="F1774" s="28"/>
      <c r="G1774" s="28"/>
      <c r="H1774" s="28"/>
      <c r="I1774" s="28"/>
      <c r="J1774" s="28"/>
      <c r="L1774" s="38">
        <v>33</v>
      </c>
      <c r="M1774" s="2">
        <v>43</v>
      </c>
      <c r="N1774" s="2">
        <v>2</v>
      </c>
      <c r="O1774" s="2">
        <v>13</v>
      </c>
      <c r="P1774" s="2">
        <v>6</v>
      </c>
      <c r="Q1774" s="2">
        <v>7</v>
      </c>
      <c r="R1774" s="2">
        <v>5</v>
      </c>
      <c r="S1774" s="2">
        <v>11</v>
      </c>
      <c r="T1774" s="2">
        <v>3</v>
      </c>
      <c r="U1774" s="2">
        <v>3</v>
      </c>
      <c r="V1774" s="2">
        <v>0</v>
      </c>
      <c r="W1774" s="2">
        <v>3</v>
      </c>
      <c r="X1774" s="2">
        <v>7</v>
      </c>
    </row>
    <row r="1775" spans="1:24" x14ac:dyDescent="0.35">
      <c r="A1775">
        <v>33</v>
      </c>
      <c r="B1775">
        <v>32300</v>
      </c>
      <c r="C1775">
        <v>47</v>
      </c>
      <c r="D1775">
        <v>1</v>
      </c>
      <c r="E1775" s="28">
        <v>7.4</v>
      </c>
      <c r="F1775" s="28"/>
      <c r="G1775" s="28"/>
      <c r="H1775" s="28"/>
      <c r="I1775" s="28"/>
      <c r="J1775" s="28"/>
      <c r="L1775" s="37">
        <v>33</v>
      </c>
      <c r="M1775" s="3">
        <v>1</v>
      </c>
      <c r="N1775" s="3">
        <v>13</v>
      </c>
      <c r="O1775" s="3">
        <v>3</v>
      </c>
      <c r="P1775" s="3">
        <v>6</v>
      </c>
      <c r="Q1775" s="3">
        <v>6</v>
      </c>
      <c r="R1775" s="3">
        <v>5</v>
      </c>
      <c r="S1775" s="3">
        <v>6</v>
      </c>
      <c r="T1775" s="3">
        <v>1</v>
      </c>
      <c r="U1775" s="3">
        <v>1</v>
      </c>
      <c r="V1775" s="3">
        <v>0</v>
      </c>
      <c r="W1775" s="3">
        <v>3</v>
      </c>
      <c r="X1775" s="3">
        <v>8</v>
      </c>
    </row>
    <row r="1776" spans="1:24" x14ac:dyDescent="0.35">
      <c r="A1776">
        <v>33</v>
      </c>
      <c r="B1776">
        <v>33178</v>
      </c>
      <c r="C1776">
        <v>43</v>
      </c>
      <c r="D1776">
        <v>1</v>
      </c>
      <c r="E1776" s="28">
        <v>6.3260273972602743</v>
      </c>
      <c r="F1776" s="28"/>
      <c r="G1776" s="28"/>
      <c r="H1776" s="28"/>
      <c r="I1776" s="28"/>
      <c r="J1776" s="28"/>
      <c r="L1776" s="38">
        <v>33</v>
      </c>
      <c r="M1776" s="2">
        <v>9</v>
      </c>
      <c r="N1776" s="2">
        <v>12</v>
      </c>
      <c r="O1776" s="2">
        <v>6</v>
      </c>
      <c r="P1776" s="2">
        <v>2</v>
      </c>
      <c r="Q1776" s="2">
        <v>11</v>
      </c>
      <c r="R1776" s="2">
        <v>2</v>
      </c>
      <c r="S1776" s="2">
        <v>16</v>
      </c>
      <c r="T1776" s="2">
        <v>1</v>
      </c>
      <c r="U1776" s="2">
        <v>1</v>
      </c>
      <c r="V1776" s="2">
        <v>0</v>
      </c>
      <c r="W1776" s="2">
        <v>3</v>
      </c>
      <c r="X1776" s="2">
        <v>4</v>
      </c>
    </row>
    <row r="1777" spans="1:24" x14ac:dyDescent="0.35">
      <c r="A1777">
        <v>32</v>
      </c>
      <c r="B1777">
        <v>27071</v>
      </c>
      <c r="C1777">
        <v>52</v>
      </c>
      <c r="D1777">
        <v>1</v>
      </c>
      <c r="E1777" s="28">
        <v>6.0986301369863014</v>
      </c>
      <c r="F1777" s="28"/>
      <c r="G1777" s="28"/>
      <c r="H1777" s="28"/>
      <c r="I1777" s="28"/>
      <c r="J1777" s="28"/>
      <c r="L1777" s="37">
        <v>32</v>
      </c>
      <c r="M1777" s="3">
        <v>90</v>
      </c>
      <c r="N1777" s="3">
        <v>8</v>
      </c>
      <c r="O1777" s="3">
        <v>3</v>
      </c>
      <c r="P1777" s="3">
        <v>19</v>
      </c>
      <c r="Q1777" s="3">
        <v>0</v>
      </c>
      <c r="R1777" s="3">
        <v>2</v>
      </c>
      <c r="S1777" s="3">
        <v>3</v>
      </c>
      <c r="T1777" s="3">
        <v>2</v>
      </c>
      <c r="U1777" s="3">
        <v>2</v>
      </c>
      <c r="V1777" s="3">
        <v>0</v>
      </c>
      <c r="W1777" s="3">
        <v>3</v>
      </c>
      <c r="X1777" s="3">
        <v>6</v>
      </c>
    </row>
    <row r="1778" spans="1:24" x14ac:dyDescent="0.35">
      <c r="A1778">
        <v>32</v>
      </c>
      <c r="B1778">
        <v>34853</v>
      </c>
      <c r="C1778">
        <v>47</v>
      </c>
      <c r="D1778">
        <v>1</v>
      </c>
      <c r="E1778" s="28">
        <v>6.4301369863013695</v>
      </c>
      <c r="F1778" s="28"/>
      <c r="G1778" s="28"/>
      <c r="H1778" s="28"/>
      <c r="I1778" s="28"/>
      <c r="J1778" s="28"/>
      <c r="L1778" s="38">
        <v>32</v>
      </c>
      <c r="M1778" s="2">
        <v>75</v>
      </c>
      <c r="N1778" s="2">
        <v>9</v>
      </c>
      <c r="O1778" s="2">
        <v>3</v>
      </c>
      <c r="P1778" s="2">
        <v>15</v>
      </c>
      <c r="Q1778" s="2">
        <v>2</v>
      </c>
      <c r="R1778" s="2">
        <v>3</v>
      </c>
      <c r="S1778" s="2">
        <v>2</v>
      </c>
      <c r="T1778" s="2">
        <v>2</v>
      </c>
      <c r="U1778" s="2">
        <v>2</v>
      </c>
      <c r="V1778" s="2">
        <v>0</v>
      </c>
      <c r="W1778" s="2">
        <v>3</v>
      </c>
      <c r="X1778" s="2">
        <v>6</v>
      </c>
    </row>
    <row r="1779" spans="1:24" x14ac:dyDescent="0.35">
      <c r="A1779">
        <v>32</v>
      </c>
      <c r="B1779">
        <v>31535</v>
      </c>
      <c r="C1779">
        <v>40</v>
      </c>
      <c r="D1779">
        <v>1</v>
      </c>
      <c r="E1779" s="28">
        <v>6.6712328767123283</v>
      </c>
      <c r="F1779" s="28"/>
      <c r="G1779" s="28"/>
      <c r="H1779" s="28"/>
      <c r="I1779" s="28"/>
      <c r="J1779" s="28"/>
      <c r="L1779" s="37">
        <v>32</v>
      </c>
      <c r="M1779" s="3">
        <v>95</v>
      </c>
      <c r="N1779" s="3">
        <v>15</v>
      </c>
      <c r="O1779" s="3">
        <v>4</v>
      </c>
      <c r="P1779" s="3">
        <v>13</v>
      </c>
      <c r="Q1779" s="3">
        <v>0</v>
      </c>
      <c r="R1779" s="3">
        <v>0</v>
      </c>
      <c r="S1779" s="3">
        <v>19</v>
      </c>
      <c r="T1779" s="3">
        <v>1</v>
      </c>
      <c r="U1779" s="3">
        <v>1</v>
      </c>
      <c r="V1779" s="3">
        <v>1</v>
      </c>
      <c r="W1779" s="3">
        <v>2</v>
      </c>
      <c r="X1779" s="3">
        <v>7</v>
      </c>
    </row>
    <row r="1780" spans="1:24" x14ac:dyDescent="0.35">
      <c r="A1780">
        <v>32</v>
      </c>
      <c r="B1780">
        <v>7500</v>
      </c>
      <c r="C1780">
        <v>41</v>
      </c>
      <c r="D1780">
        <v>1</v>
      </c>
      <c r="E1780" s="28">
        <v>7.0602739726027401</v>
      </c>
      <c r="F1780" s="28"/>
      <c r="G1780" s="28"/>
      <c r="H1780" s="28"/>
      <c r="I1780" s="28"/>
      <c r="J1780" s="28"/>
      <c r="L1780" s="38">
        <v>32</v>
      </c>
      <c r="M1780" s="2">
        <v>7</v>
      </c>
      <c r="N1780" s="2">
        <v>2</v>
      </c>
      <c r="O1780" s="2">
        <v>8</v>
      </c>
      <c r="P1780" s="2">
        <v>11</v>
      </c>
      <c r="Q1780" s="2">
        <v>3</v>
      </c>
      <c r="R1780" s="2">
        <v>8</v>
      </c>
      <c r="S1780" s="2">
        <v>21</v>
      </c>
      <c r="T1780" s="2">
        <v>4</v>
      </c>
      <c r="U1780" s="2">
        <v>3</v>
      </c>
      <c r="V1780" s="2">
        <v>2</v>
      </c>
      <c r="W1780" s="2">
        <v>2</v>
      </c>
      <c r="X1780" s="2">
        <v>7</v>
      </c>
    </row>
    <row r="1781" spans="1:24" x14ac:dyDescent="0.35">
      <c r="A1781">
        <v>32</v>
      </c>
      <c r="B1781">
        <v>31086</v>
      </c>
      <c r="C1781">
        <v>41</v>
      </c>
      <c r="D1781">
        <v>1</v>
      </c>
      <c r="E1781" s="28">
        <v>7.0684931506849313</v>
      </c>
      <c r="F1781" s="28"/>
      <c r="G1781" s="28"/>
      <c r="H1781" s="28"/>
      <c r="I1781" s="28"/>
      <c r="J1781" s="28"/>
      <c r="L1781" s="37">
        <v>32</v>
      </c>
      <c r="M1781" s="3">
        <v>79</v>
      </c>
      <c r="N1781" s="3">
        <v>16</v>
      </c>
      <c r="O1781" s="3">
        <v>2</v>
      </c>
      <c r="P1781" s="3">
        <v>11</v>
      </c>
      <c r="Q1781" s="3">
        <v>3</v>
      </c>
      <c r="R1781" s="3">
        <v>0</v>
      </c>
      <c r="S1781" s="3">
        <v>16</v>
      </c>
      <c r="T1781" s="3">
        <v>2</v>
      </c>
      <c r="U1781" s="3">
        <v>1</v>
      </c>
      <c r="V1781" s="3">
        <v>1</v>
      </c>
      <c r="W1781" s="3">
        <v>2</v>
      </c>
      <c r="X1781" s="3">
        <v>8</v>
      </c>
    </row>
    <row r="1782" spans="1:24" x14ac:dyDescent="0.35">
      <c r="A1782">
        <v>32</v>
      </c>
      <c r="B1782">
        <v>54162</v>
      </c>
      <c r="C1782">
        <v>42</v>
      </c>
      <c r="D1782">
        <v>1</v>
      </c>
      <c r="E1782" s="28">
        <v>7.1972602739726028</v>
      </c>
      <c r="F1782" s="28"/>
      <c r="G1782" s="28"/>
      <c r="H1782" s="28"/>
      <c r="I1782" s="28"/>
      <c r="J1782" s="28"/>
      <c r="L1782" s="38">
        <v>32</v>
      </c>
      <c r="M1782" s="2">
        <v>31</v>
      </c>
      <c r="N1782" s="2">
        <v>5</v>
      </c>
      <c r="O1782" s="2">
        <v>6</v>
      </c>
      <c r="P1782" s="2">
        <v>10</v>
      </c>
      <c r="Q1782" s="2">
        <v>6</v>
      </c>
      <c r="R1782" s="2">
        <v>5</v>
      </c>
      <c r="S1782" s="2">
        <v>10</v>
      </c>
      <c r="T1782" s="2">
        <v>1</v>
      </c>
      <c r="U1782" s="2">
        <v>1</v>
      </c>
      <c r="V1782" s="2">
        <v>0</v>
      </c>
      <c r="W1782" s="2">
        <v>3</v>
      </c>
      <c r="X1782" s="2">
        <v>4</v>
      </c>
    </row>
    <row r="1783" spans="1:24" x14ac:dyDescent="0.35">
      <c r="A1783">
        <v>32</v>
      </c>
      <c r="B1783">
        <v>39062</v>
      </c>
      <c r="C1783">
        <v>37</v>
      </c>
      <c r="D1783">
        <v>1</v>
      </c>
      <c r="E1783" s="28">
        <v>6.1780821917808222</v>
      </c>
      <c r="F1783" s="28"/>
      <c r="G1783" s="28"/>
      <c r="H1783" s="28"/>
      <c r="I1783" s="28"/>
      <c r="J1783" s="28"/>
      <c r="L1783" s="37">
        <v>32</v>
      </c>
      <c r="M1783" s="3">
        <v>28</v>
      </c>
      <c r="N1783" s="3">
        <v>23</v>
      </c>
      <c r="O1783" s="3">
        <v>0</v>
      </c>
      <c r="P1783" s="3">
        <v>9</v>
      </c>
      <c r="Q1783" s="3">
        <v>0</v>
      </c>
      <c r="R1783" s="3">
        <v>0</v>
      </c>
      <c r="S1783" s="3">
        <v>12</v>
      </c>
      <c r="T1783" s="3">
        <v>1</v>
      </c>
      <c r="U1783" s="3">
        <v>1</v>
      </c>
      <c r="V1783" s="3">
        <v>0</v>
      </c>
      <c r="W1783" s="3">
        <v>3</v>
      </c>
      <c r="X1783" s="3">
        <v>4</v>
      </c>
    </row>
    <row r="1784" spans="1:24" x14ac:dyDescent="0.35">
      <c r="A1784">
        <v>32</v>
      </c>
      <c r="B1784">
        <v>44155</v>
      </c>
      <c r="C1784">
        <v>63</v>
      </c>
      <c r="D1784">
        <v>1</v>
      </c>
      <c r="E1784" s="28">
        <v>6.3561643835616435</v>
      </c>
      <c r="F1784" s="28"/>
      <c r="G1784" s="28"/>
      <c r="H1784" s="28"/>
      <c r="I1784" s="28"/>
      <c r="J1784" s="28"/>
      <c r="L1784" s="38">
        <v>32</v>
      </c>
      <c r="M1784" s="2">
        <v>24</v>
      </c>
      <c r="N1784" s="2">
        <v>22</v>
      </c>
      <c r="O1784" s="2">
        <v>1</v>
      </c>
      <c r="P1784" s="2">
        <v>9</v>
      </c>
      <c r="Q1784" s="2">
        <v>0</v>
      </c>
      <c r="R1784" s="2">
        <v>0</v>
      </c>
      <c r="S1784" s="2">
        <v>14</v>
      </c>
      <c r="T1784" s="2">
        <v>1</v>
      </c>
      <c r="U1784" s="2">
        <v>1</v>
      </c>
      <c r="V1784" s="2">
        <v>1</v>
      </c>
      <c r="W1784" s="2">
        <v>2</v>
      </c>
      <c r="X1784" s="2">
        <v>4</v>
      </c>
    </row>
    <row r="1785" spans="1:24" x14ac:dyDescent="0.35">
      <c r="A1785">
        <v>32</v>
      </c>
      <c r="B1785">
        <v>25315</v>
      </c>
      <c r="C1785">
        <v>43</v>
      </c>
      <c r="D1785">
        <v>1</v>
      </c>
      <c r="E1785" s="28">
        <v>6.5561643835616437</v>
      </c>
      <c r="F1785" s="28"/>
      <c r="G1785" s="28"/>
      <c r="H1785" s="28"/>
      <c r="I1785" s="28"/>
      <c r="J1785" s="28"/>
      <c r="L1785" s="37">
        <v>32</v>
      </c>
      <c r="M1785" s="3">
        <v>46</v>
      </c>
      <c r="N1785" s="3">
        <v>1</v>
      </c>
      <c r="O1785" s="3">
        <v>9</v>
      </c>
      <c r="P1785" s="3">
        <v>8</v>
      </c>
      <c r="Q1785" s="3">
        <v>11</v>
      </c>
      <c r="R1785" s="3">
        <v>3</v>
      </c>
      <c r="S1785" s="3">
        <v>22</v>
      </c>
      <c r="T1785" s="3">
        <v>3</v>
      </c>
      <c r="U1785" s="3">
        <v>3</v>
      </c>
      <c r="V1785" s="3">
        <v>0</v>
      </c>
      <c r="W1785" s="3">
        <v>3</v>
      </c>
      <c r="X1785" s="3">
        <v>8</v>
      </c>
    </row>
    <row r="1786" spans="1:24" x14ac:dyDescent="0.35">
      <c r="A1786">
        <v>32</v>
      </c>
      <c r="B1786">
        <v>30899</v>
      </c>
      <c r="C1786">
        <v>46</v>
      </c>
      <c r="D1786">
        <v>1</v>
      </c>
      <c r="E1786" s="28">
        <v>7.624657534246575</v>
      </c>
      <c r="F1786" s="28"/>
      <c r="G1786" s="28"/>
      <c r="H1786" s="28"/>
      <c r="I1786" s="28"/>
      <c r="J1786" s="28"/>
      <c r="L1786" s="38">
        <v>32</v>
      </c>
      <c r="M1786" s="2">
        <v>35</v>
      </c>
      <c r="N1786" s="2">
        <v>24</v>
      </c>
      <c r="O1786" s="2">
        <v>0</v>
      </c>
      <c r="P1786" s="2">
        <v>8</v>
      </c>
      <c r="Q1786" s="2">
        <v>0</v>
      </c>
      <c r="R1786" s="2">
        <v>0</v>
      </c>
      <c r="S1786" s="2">
        <v>1</v>
      </c>
      <c r="T1786" s="2">
        <v>2</v>
      </c>
      <c r="U1786" s="2">
        <v>1</v>
      </c>
      <c r="V1786" s="2">
        <v>0</v>
      </c>
      <c r="W1786" s="2">
        <v>3</v>
      </c>
      <c r="X1786" s="2">
        <v>6</v>
      </c>
    </row>
    <row r="1787" spans="1:24" x14ac:dyDescent="0.35">
      <c r="A1787">
        <v>32</v>
      </c>
      <c r="B1787">
        <v>20194</v>
      </c>
      <c r="C1787">
        <v>41</v>
      </c>
      <c r="D1787">
        <v>1</v>
      </c>
      <c r="E1787" s="28">
        <v>7.4465753424657537</v>
      </c>
      <c r="F1787" s="28"/>
      <c r="G1787" s="28"/>
      <c r="H1787" s="28"/>
      <c r="I1787" s="28"/>
      <c r="J1787" s="28"/>
      <c r="L1787" s="37">
        <v>32</v>
      </c>
      <c r="M1787" s="3">
        <v>64</v>
      </c>
      <c r="N1787" s="3">
        <v>0</v>
      </c>
      <c r="O1787" s="3">
        <v>4</v>
      </c>
      <c r="P1787" s="3">
        <v>7</v>
      </c>
      <c r="Q1787" s="3">
        <v>11</v>
      </c>
      <c r="R1787" s="3">
        <v>10</v>
      </c>
      <c r="S1787" s="3">
        <v>15</v>
      </c>
      <c r="T1787" s="3">
        <v>2</v>
      </c>
      <c r="U1787" s="3">
        <v>2</v>
      </c>
      <c r="V1787" s="3">
        <v>0</v>
      </c>
      <c r="W1787" s="3">
        <v>3</v>
      </c>
      <c r="X1787" s="3">
        <v>6</v>
      </c>
    </row>
    <row r="1788" spans="1:24" x14ac:dyDescent="0.35">
      <c r="A1788">
        <v>32</v>
      </c>
      <c r="B1788">
        <v>25130</v>
      </c>
      <c r="C1788">
        <v>40</v>
      </c>
      <c r="D1788">
        <v>1</v>
      </c>
      <c r="E1788" s="28">
        <v>6.6547945205479451</v>
      </c>
      <c r="F1788" s="28"/>
      <c r="G1788" s="28"/>
      <c r="H1788" s="28"/>
      <c r="I1788" s="28"/>
      <c r="J1788" s="28"/>
      <c r="L1788" s="38">
        <v>32</v>
      </c>
      <c r="M1788" s="2">
        <v>10</v>
      </c>
      <c r="N1788" s="2">
        <v>2</v>
      </c>
      <c r="O1788" s="2">
        <v>5</v>
      </c>
      <c r="P1788" s="2">
        <v>7</v>
      </c>
      <c r="Q1788" s="2">
        <v>0</v>
      </c>
      <c r="R1788" s="2">
        <v>18</v>
      </c>
      <c r="S1788" s="2">
        <v>18</v>
      </c>
      <c r="T1788" s="2">
        <v>2</v>
      </c>
      <c r="U1788" s="2">
        <v>2</v>
      </c>
      <c r="V1788" s="2">
        <v>0</v>
      </c>
      <c r="W1788" s="2">
        <v>3</v>
      </c>
      <c r="X1788" s="2">
        <v>7</v>
      </c>
    </row>
    <row r="1789" spans="1:24" x14ac:dyDescent="0.35">
      <c r="A1789">
        <v>32</v>
      </c>
      <c r="B1789">
        <v>29187</v>
      </c>
      <c r="C1789">
        <v>52</v>
      </c>
      <c r="D1789">
        <v>1</v>
      </c>
      <c r="E1789" s="28">
        <v>7.0547945205479454</v>
      </c>
      <c r="F1789" s="28"/>
      <c r="G1789" s="28"/>
      <c r="H1789" s="28"/>
      <c r="I1789" s="28"/>
      <c r="J1789" s="28"/>
      <c r="L1789" s="37">
        <v>32</v>
      </c>
      <c r="M1789" s="3">
        <v>43</v>
      </c>
      <c r="N1789" s="3">
        <v>26</v>
      </c>
      <c r="O1789" s="3">
        <v>0</v>
      </c>
      <c r="P1789" s="3">
        <v>6</v>
      </c>
      <c r="Q1789" s="3">
        <v>0</v>
      </c>
      <c r="R1789" s="3">
        <v>0</v>
      </c>
      <c r="S1789" s="3">
        <v>2</v>
      </c>
      <c r="T1789" s="3">
        <v>1</v>
      </c>
      <c r="U1789" s="3">
        <v>1</v>
      </c>
      <c r="V1789" s="3">
        <v>0</v>
      </c>
      <c r="W1789" s="3">
        <v>3</v>
      </c>
      <c r="X1789" s="3">
        <v>8</v>
      </c>
    </row>
    <row r="1790" spans="1:24" x14ac:dyDescent="0.35">
      <c r="A1790">
        <v>32</v>
      </c>
      <c r="B1790">
        <v>35791</v>
      </c>
      <c r="C1790">
        <v>55</v>
      </c>
      <c r="D1790">
        <v>1</v>
      </c>
      <c r="E1790" s="28">
        <v>7.0630136986301366</v>
      </c>
      <c r="F1790" s="28"/>
      <c r="G1790" s="28"/>
      <c r="H1790" s="28"/>
      <c r="I1790" s="28"/>
      <c r="J1790" s="28"/>
      <c r="L1790" s="38">
        <v>32</v>
      </c>
      <c r="M1790" s="2">
        <v>94</v>
      </c>
      <c r="N1790" s="2">
        <v>27</v>
      </c>
      <c r="O1790" s="2">
        <v>0</v>
      </c>
      <c r="P1790" s="2">
        <v>5</v>
      </c>
      <c r="Q1790" s="2">
        <v>0</v>
      </c>
      <c r="R1790" s="2">
        <v>0</v>
      </c>
      <c r="S1790" s="2">
        <v>3</v>
      </c>
      <c r="T1790" s="2">
        <v>2</v>
      </c>
      <c r="U1790" s="2">
        <v>1</v>
      </c>
      <c r="V1790" s="2">
        <v>0</v>
      </c>
      <c r="W1790" s="2">
        <v>3</v>
      </c>
      <c r="X1790" s="2">
        <v>8</v>
      </c>
    </row>
    <row r="1791" spans="1:24" x14ac:dyDescent="0.35">
      <c r="A1791">
        <v>32</v>
      </c>
      <c r="B1791">
        <v>7500</v>
      </c>
      <c r="C1791">
        <v>42</v>
      </c>
      <c r="D1791">
        <v>1</v>
      </c>
      <c r="E1791" s="28">
        <v>7.419178082191781</v>
      </c>
      <c r="F1791" s="28"/>
      <c r="G1791" s="28"/>
      <c r="H1791" s="28"/>
      <c r="I1791" s="28"/>
      <c r="J1791" s="28"/>
      <c r="L1791" s="37">
        <v>32</v>
      </c>
      <c r="M1791" s="3">
        <v>5</v>
      </c>
      <c r="N1791" s="3">
        <v>6</v>
      </c>
      <c r="O1791" s="3">
        <v>5</v>
      </c>
      <c r="P1791" s="3">
        <v>4</v>
      </c>
      <c r="Q1791" s="3">
        <v>13</v>
      </c>
      <c r="R1791" s="3">
        <v>4</v>
      </c>
      <c r="S1791" s="3">
        <v>25</v>
      </c>
      <c r="T1791" s="3">
        <v>4</v>
      </c>
      <c r="U1791" s="3">
        <v>2</v>
      </c>
      <c r="V1791" s="3">
        <v>1</v>
      </c>
      <c r="W1791" s="3">
        <v>3</v>
      </c>
      <c r="X1791" s="3">
        <v>6</v>
      </c>
    </row>
    <row r="1792" spans="1:24" x14ac:dyDescent="0.35">
      <c r="A1792">
        <v>32</v>
      </c>
      <c r="B1792">
        <v>48330</v>
      </c>
      <c r="C1792">
        <v>59</v>
      </c>
      <c r="D1792">
        <v>1</v>
      </c>
      <c r="E1792" s="28">
        <v>6.5342465753424657</v>
      </c>
      <c r="F1792" s="28"/>
      <c r="G1792" s="28"/>
      <c r="H1792" s="28"/>
      <c r="I1792" s="28"/>
      <c r="J1792" s="28"/>
      <c r="L1792" s="38">
        <v>32</v>
      </c>
      <c r="M1792" s="2">
        <v>2</v>
      </c>
      <c r="N1792" s="2">
        <v>28</v>
      </c>
      <c r="O1792" s="2">
        <v>0</v>
      </c>
      <c r="P1792" s="2">
        <v>4</v>
      </c>
      <c r="Q1792" s="2">
        <v>0</v>
      </c>
      <c r="R1792" s="2">
        <v>0</v>
      </c>
      <c r="S1792" s="2">
        <v>0</v>
      </c>
      <c r="T1792" s="2">
        <v>1</v>
      </c>
      <c r="U1792" s="2">
        <v>1</v>
      </c>
      <c r="V1792" s="2">
        <v>0</v>
      </c>
      <c r="W1792" s="2">
        <v>3</v>
      </c>
      <c r="X1792" s="2">
        <v>5</v>
      </c>
    </row>
    <row r="1793" spans="1:24" x14ac:dyDescent="0.35">
      <c r="A1793">
        <v>31</v>
      </c>
      <c r="B1793">
        <v>8820</v>
      </c>
      <c r="C1793">
        <v>68</v>
      </c>
      <c r="D1793">
        <v>1</v>
      </c>
      <c r="E1793" s="28">
        <v>7.1863013698630134</v>
      </c>
      <c r="F1793" s="28"/>
      <c r="G1793" s="28"/>
      <c r="H1793" s="28"/>
      <c r="I1793" s="28"/>
      <c r="J1793" s="28"/>
      <c r="L1793" s="37">
        <v>31</v>
      </c>
      <c r="M1793" s="3">
        <v>52</v>
      </c>
      <c r="N1793" s="3">
        <v>12</v>
      </c>
      <c r="O1793" s="3">
        <v>0</v>
      </c>
      <c r="P1793" s="3">
        <v>13</v>
      </c>
      <c r="Q1793" s="3">
        <v>4</v>
      </c>
      <c r="R1793" s="3">
        <v>2</v>
      </c>
      <c r="S1793" s="3">
        <v>4</v>
      </c>
      <c r="T1793" s="3">
        <v>4</v>
      </c>
      <c r="U1793" s="3">
        <v>3</v>
      </c>
      <c r="V1793" s="3">
        <v>0</v>
      </c>
      <c r="W1793" s="3">
        <v>3</v>
      </c>
      <c r="X1793" s="3">
        <v>8</v>
      </c>
    </row>
    <row r="1794" spans="1:24" x14ac:dyDescent="0.35">
      <c r="A1794">
        <v>31</v>
      </c>
      <c r="B1794">
        <v>17003</v>
      </c>
      <c r="C1794">
        <v>45</v>
      </c>
      <c r="D1794">
        <v>1</v>
      </c>
      <c r="E1794" s="28">
        <v>6.4684931506849317</v>
      </c>
      <c r="F1794" s="28"/>
      <c r="G1794" s="28"/>
      <c r="H1794" s="28"/>
      <c r="I1794" s="28"/>
      <c r="J1794" s="28"/>
      <c r="L1794" s="38">
        <v>31</v>
      </c>
      <c r="M1794" s="2">
        <v>37</v>
      </c>
      <c r="N1794" s="2">
        <v>2</v>
      </c>
      <c r="O1794" s="2">
        <v>5</v>
      </c>
      <c r="P1794" s="2">
        <v>12</v>
      </c>
      <c r="Q1794" s="2">
        <v>4</v>
      </c>
      <c r="R1794" s="2">
        <v>8</v>
      </c>
      <c r="S1794" s="2">
        <v>7</v>
      </c>
      <c r="T1794" s="2">
        <v>3</v>
      </c>
      <c r="U1794" s="2">
        <v>2</v>
      </c>
      <c r="V1794" s="2">
        <v>0</v>
      </c>
      <c r="W1794" s="2">
        <v>4</v>
      </c>
      <c r="X1794" s="2">
        <v>5</v>
      </c>
    </row>
    <row r="1795" spans="1:24" x14ac:dyDescent="0.35">
      <c r="A1795">
        <v>31</v>
      </c>
      <c r="B1795">
        <v>10404</v>
      </c>
      <c r="C1795">
        <v>31</v>
      </c>
      <c r="D1795">
        <v>1</v>
      </c>
      <c r="E1795" s="28">
        <v>6.0684931506849313</v>
      </c>
      <c r="F1795" s="28"/>
      <c r="G1795" s="28"/>
      <c r="H1795" s="28"/>
      <c r="I1795" s="28"/>
      <c r="J1795" s="28"/>
      <c r="L1795" s="37">
        <v>31</v>
      </c>
      <c r="M1795" s="3">
        <v>52</v>
      </c>
      <c r="N1795" s="3">
        <v>2</v>
      </c>
      <c r="O1795" s="3">
        <v>2</v>
      </c>
      <c r="P1795" s="3">
        <v>11</v>
      </c>
      <c r="Q1795" s="3">
        <v>10</v>
      </c>
      <c r="R1795" s="3">
        <v>6</v>
      </c>
      <c r="S1795" s="3">
        <v>12</v>
      </c>
      <c r="T1795" s="3">
        <v>2</v>
      </c>
      <c r="U1795" s="3">
        <v>1</v>
      </c>
      <c r="V1795" s="3">
        <v>0</v>
      </c>
      <c r="W1795" s="3">
        <v>4</v>
      </c>
      <c r="X1795" s="3">
        <v>5</v>
      </c>
    </row>
    <row r="1796" spans="1:24" x14ac:dyDescent="0.35">
      <c r="A1796">
        <v>31</v>
      </c>
      <c r="B1796">
        <v>36975</v>
      </c>
      <c r="C1796">
        <v>42</v>
      </c>
      <c r="D1796">
        <v>1</v>
      </c>
      <c r="E1796" s="28">
        <v>6.4164383561643836</v>
      </c>
      <c r="F1796" s="28"/>
      <c r="G1796" s="28"/>
      <c r="H1796" s="28"/>
      <c r="I1796" s="28"/>
      <c r="J1796" s="28"/>
      <c r="L1796" s="38">
        <v>31</v>
      </c>
      <c r="M1796" s="2">
        <v>50</v>
      </c>
      <c r="N1796" s="2">
        <v>10</v>
      </c>
      <c r="O1796" s="2">
        <v>6</v>
      </c>
      <c r="P1796" s="2">
        <v>11</v>
      </c>
      <c r="Q1796" s="2">
        <v>0</v>
      </c>
      <c r="R1796" s="2">
        <v>4</v>
      </c>
      <c r="S1796" s="2">
        <v>2</v>
      </c>
      <c r="T1796" s="2">
        <v>1</v>
      </c>
      <c r="U1796" s="2">
        <v>1</v>
      </c>
      <c r="V1796" s="2">
        <v>0</v>
      </c>
      <c r="W1796" s="2">
        <v>3</v>
      </c>
      <c r="X1796" s="2">
        <v>7</v>
      </c>
    </row>
    <row r="1797" spans="1:24" x14ac:dyDescent="0.35">
      <c r="A1797">
        <v>31</v>
      </c>
      <c r="B1797">
        <v>26095</v>
      </c>
      <c r="C1797">
        <v>30</v>
      </c>
      <c r="D1797">
        <v>1</v>
      </c>
      <c r="E1797" s="28">
        <v>6.912328767123288</v>
      </c>
      <c r="F1797" s="28"/>
      <c r="G1797" s="28"/>
      <c r="H1797" s="28"/>
      <c r="I1797" s="28"/>
      <c r="J1797" s="28"/>
      <c r="L1797" s="37">
        <v>31</v>
      </c>
      <c r="M1797" s="3">
        <v>77</v>
      </c>
      <c r="N1797" s="3">
        <v>11</v>
      </c>
      <c r="O1797" s="3">
        <v>7</v>
      </c>
      <c r="P1797" s="3">
        <v>9</v>
      </c>
      <c r="Q1797" s="3">
        <v>3</v>
      </c>
      <c r="R1797" s="3">
        <v>1</v>
      </c>
      <c r="S1797" s="3">
        <v>11</v>
      </c>
      <c r="T1797" s="3">
        <v>1</v>
      </c>
      <c r="U1797" s="3">
        <v>1</v>
      </c>
      <c r="V1797" s="3">
        <v>0</v>
      </c>
      <c r="W1797" s="3">
        <v>3</v>
      </c>
      <c r="X1797" s="3">
        <v>7</v>
      </c>
    </row>
    <row r="1798" spans="1:24" x14ac:dyDescent="0.35">
      <c r="A1798">
        <v>31</v>
      </c>
      <c r="B1798">
        <v>13533</v>
      </c>
      <c r="C1798">
        <v>41</v>
      </c>
      <c r="D1798">
        <v>1</v>
      </c>
      <c r="E1798" s="28">
        <v>7.2191780821917808</v>
      </c>
      <c r="F1798" s="28"/>
      <c r="G1798" s="28"/>
      <c r="H1798" s="28"/>
      <c r="I1798" s="28"/>
      <c r="J1798" s="28"/>
      <c r="L1798" s="38">
        <v>31</v>
      </c>
      <c r="M1798" s="2">
        <v>45</v>
      </c>
      <c r="N1798" s="2">
        <v>12</v>
      </c>
      <c r="O1798" s="2">
        <v>3</v>
      </c>
      <c r="P1798" s="2">
        <v>8</v>
      </c>
      <c r="Q1798" s="2">
        <v>8</v>
      </c>
      <c r="R1798" s="2">
        <v>0</v>
      </c>
      <c r="S1798" s="2">
        <v>17</v>
      </c>
      <c r="T1798" s="2">
        <v>2</v>
      </c>
      <c r="U1798" s="2">
        <v>2</v>
      </c>
      <c r="V1798" s="2">
        <v>0</v>
      </c>
      <c r="W1798" s="2">
        <v>3</v>
      </c>
      <c r="X1798" s="2">
        <v>7</v>
      </c>
    </row>
    <row r="1799" spans="1:24" x14ac:dyDescent="0.35">
      <c r="A1799">
        <v>31</v>
      </c>
      <c r="B1799">
        <v>28839</v>
      </c>
      <c r="C1799">
        <v>64</v>
      </c>
      <c r="D1799">
        <v>1</v>
      </c>
      <c r="E1799" s="28">
        <v>6.2164383561643834</v>
      </c>
      <c r="F1799" s="28"/>
      <c r="G1799" s="28"/>
      <c r="H1799" s="28"/>
      <c r="I1799" s="28"/>
      <c r="J1799" s="28"/>
      <c r="L1799" s="37">
        <v>31</v>
      </c>
      <c r="M1799" s="3">
        <v>86</v>
      </c>
      <c r="N1799" s="3">
        <v>24</v>
      </c>
      <c r="O1799" s="3">
        <v>0</v>
      </c>
      <c r="P1799" s="3">
        <v>7</v>
      </c>
      <c r="Q1799" s="3">
        <v>0</v>
      </c>
      <c r="R1799" s="3">
        <v>0</v>
      </c>
      <c r="S1799" s="3">
        <v>1</v>
      </c>
      <c r="T1799" s="3">
        <v>2</v>
      </c>
      <c r="U1799" s="3">
        <v>2</v>
      </c>
      <c r="V1799" s="3">
        <v>0</v>
      </c>
      <c r="W1799" s="3">
        <v>3</v>
      </c>
      <c r="X1799" s="3">
        <v>5</v>
      </c>
    </row>
    <row r="1800" spans="1:24" x14ac:dyDescent="0.35">
      <c r="A1800">
        <v>31</v>
      </c>
      <c r="B1800">
        <v>13724</v>
      </c>
      <c r="C1800">
        <v>32</v>
      </c>
      <c r="D1800">
        <v>1</v>
      </c>
      <c r="E1800" s="28">
        <v>7.7424657534246579</v>
      </c>
      <c r="F1800" s="28"/>
      <c r="G1800" s="28"/>
      <c r="H1800" s="28"/>
      <c r="I1800" s="28"/>
      <c r="J1800" s="28"/>
      <c r="L1800" s="38">
        <v>31</v>
      </c>
      <c r="M1800" s="2">
        <v>43</v>
      </c>
      <c r="N1800" s="2">
        <v>2</v>
      </c>
      <c r="O1800" s="2">
        <v>7</v>
      </c>
      <c r="P1800" s="2">
        <v>5</v>
      </c>
      <c r="Q1800" s="2">
        <v>2</v>
      </c>
      <c r="R1800" s="2">
        <v>15</v>
      </c>
      <c r="S1800" s="2">
        <v>27</v>
      </c>
      <c r="T1800" s="2">
        <v>1</v>
      </c>
      <c r="U1800" s="2">
        <v>2</v>
      </c>
      <c r="V1800" s="2">
        <v>0</v>
      </c>
      <c r="W1800" s="2">
        <v>2</v>
      </c>
      <c r="X1800" s="2">
        <v>9</v>
      </c>
    </row>
    <row r="1801" spans="1:24" x14ac:dyDescent="0.35">
      <c r="A1801">
        <v>31</v>
      </c>
      <c r="B1801">
        <v>16014</v>
      </c>
      <c r="C1801">
        <v>41</v>
      </c>
      <c r="D1801">
        <v>1</v>
      </c>
      <c r="E1801" s="28">
        <v>7.2</v>
      </c>
      <c r="F1801" s="28"/>
      <c r="G1801" s="28"/>
      <c r="H1801" s="28"/>
      <c r="I1801" s="28"/>
      <c r="J1801" s="28"/>
      <c r="L1801" s="37">
        <v>31</v>
      </c>
      <c r="M1801" s="3">
        <v>42</v>
      </c>
      <c r="N1801" s="3">
        <v>3</v>
      </c>
      <c r="O1801" s="3">
        <v>9</v>
      </c>
      <c r="P1801" s="3">
        <v>4</v>
      </c>
      <c r="Q1801" s="3">
        <v>7</v>
      </c>
      <c r="R1801" s="3">
        <v>8</v>
      </c>
      <c r="S1801" s="3">
        <v>7</v>
      </c>
      <c r="T1801" s="3">
        <v>4</v>
      </c>
      <c r="U1801" s="3">
        <v>1</v>
      </c>
      <c r="V1801" s="3">
        <v>1</v>
      </c>
      <c r="W1801" s="3">
        <v>4</v>
      </c>
      <c r="X1801" s="3">
        <v>3</v>
      </c>
    </row>
    <row r="1802" spans="1:24" x14ac:dyDescent="0.35">
      <c r="A1802">
        <v>31</v>
      </c>
      <c r="B1802">
        <v>41437</v>
      </c>
      <c r="C1802">
        <v>63</v>
      </c>
      <c r="D1802">
        <v>1</v>
      </c>
      <c r="E1802" s="28">
        <v>7.6821917808219178</v>
      </c>
      <c r="F1802" s="28"/>
      <c r="G1802" s="28"/>
      <c r="H1802" s="28"/>
      <c r="I1802" s="28"/>
      <c r="J1802" s="28"/>
      <c r="L1802" s="38">
        <v>31</v>
      </c>
      <c r="M1802" s="2">
        <v>5</v>
      </c>
      <c r="N1802" s="2">
        <v>29</v>
      </c>
      <c r="O1802" s="2">
        <v>0</v>
      </c>
      <c r="P1802" s="2">
        <v>2</v>
      </c>
      <c r="Q1802" s="2">
        <v>0</v>
      </c>
      <c r="R1802" s="2">
        <v>0</v>
      </c>
      <c r="S1802" s="2">
        <v>1</v>
      </c>
      <c r="T1802" s="2">
        <v>1</v>
      </c>
      <c r="U1802" s="2">
        <v>1</v>
      </c>
      <c r="V1802" s="2">
        <v>0</v>
      </c>
      <c r="W1802" s="2">
        <v>3</v>
      </c>
      <c r="X1802" s="2">
        <v>7</v>
      </c>
    </row>
    <row r="1803" spans="1:24" x14ac:dyDescent="0.35">
      <c r="A1803">
        <v>30</v>
      </c>
      <c r="B1803">
        <v>34728</v>
      </c>
      <c r="C1803">
        <v>34</v>
      </c>
      <c r="D1803">
        <v>1</v>
      </c>
      <c r="E1803" s="28">
        <v>6.8301369863013699</v>
      </c>
      <c r="F1803" s="28"/>
      <c r="G1803" s="28"/>
      <c r="H1803" s="28"/>
      <c r="I1803" s="28"/>
      <c r="J1803" s="28"/>
      <c r="L1803" s="37">
        <v>30</v>
      </c>
      <c r="M1803" s="3">
        <v>2</v>
      </c>
      <c r="N1803" s="3">
        <v>14</v>
      </c>
      <c r="O1803" s="3">
        <v>0</v>
      </c>
      <c r="P1803" s="3">
        <v>16</v>
      </c>
      <c r="Q1803" s="3">
        <v>0</v>
      </c>
      <c r="R1803" s="3">
        <v>0</v>
      </c>
      <c r="S1803" s="3">
        <v>6</v>
      </c>
      <c r="T1803" s="3">
        <v>1</v>
      </c>
      <c r="U1803" s="3">
        <v>1</v>
      </c>
      <c r="V1803" s="3">
        <v>1</v>
      </c>
      <c r="W1803" s="3">
        <v>2</v>
      </c>
      <c r="X1803" s="3">
        <v>6</v>
      </c>
    </row>
    <row r="1804" spans="1:24" x14ac:dyDescent="0.35">
      <c r="A1804">
        <v>30</v>
      </c>
      <c r="B1804">
        <v>13624</v>
      </c>
      <c r="C1804">
        <v>44</v>
      </c>
      <c r="D1804">
        <v>1</v>
      </c>
      <c r="E1804" s="28">
        <v>7.353424657534247</v>
      </c>
      <c r="F1804" s="28"/>
      <c r="G1804" s="28"/>
      <c r="H1804" s="28"/>
      <c r="I1804" s="28"/>
      <c r="J1804" s="28"/>
      <c r="L1804" s="38">
        <v>30</v>
      </c>
      <c r="M1804" s="2">
        <v>93</v>
      </c>
      <c r="N1804" s="2">
        <v>10</v>
      </c>
      <c r="O1804" s="2">
        <v>2</v>
      </c>
      <c r="P1804" s="2">
        <v>15</v>
      </c>
      <c r="Q1804" s="2">
        <v>2</v>
      </c>
      <c r="R1804" s="2">
        <v>1</v>
      </c>
      <c r="S1804" s="2">
        <v>6</v>
      </c>
      <c r="T1804" s="2">
        <v>2</v>
      </c>
      <c r="U1804" s="2">
        <v>2</v>
      </c>
      <c r="V1804" s="2">
        <v>0</v>
      </c>
      <c r="W1804" s="2">
        <v>3</v>
      </c>
      <c r="X1804" s="2">
        <v>6</v>
      </c>
    </row>
    <row r="1805" spans="1:24" x14ac:dyDescent="0.35">
      <c r="A1805">
        <v>30</v>
      </c>
      <c r="B1805">
        <v>27922</v>
      </c>
      <c r="C1805">
        <v>41</v>
      </c>
      <c r="D1805">
        <v>1</v>
      </c>
      <c r="E1805" s="28">
        <v>6.0520547945205481</v>
      </c>
      <c r="F1805" s="28"/>
      <c r="G1805" s="28"/>
      <c r="H1805" s="28"/>
      <c r="I1805" s="28"/>
      <c r="J1805" s="28"/>
      <c r="L1805" s="37">
        <v>30</v>
      </c>
      <c r="M1805" s="3">
        <v>80</v>
      </c>
      <c r="N1805" s="3">
        <v>11</v>
      </c>
      <c r="O1805" s="3">
        <v>0</v>
      </c>
      <c r="P1805" s="3">
        <v>13</v>
      </c>
      <c r="Q1805" s="3">
        <v>2</v>
      </c>
      <c r="R1805" s="3">
        <v>4</v>
      </c>
      <c r="S1805" s="3">
        <v>11</v>
      </c>
      <c r="T1805" s="3">
        <v>1</v>
      </c>
      <c r="U1805" s="3">
        <v>2</v>
      </c>
      <c r="V1805" s="3">
        <v>0</v>
      </c>
      <c r="W1805" s="3">
        <v>3</v>
      </c>
      <c r="X1805" s="3">
        <v>4</v>
      </c>
    </row>
    <row r="1806" spans="1:24" x14ac:dyDescent="0.35">
      <c r="A1806">
        <v>30</v>
      </c>
      <c r="B1806">
        <v>28691</v>
      </c>
      <c r="C1806">
        <v>31</v>
      </c>
      <c r="D1806">
        <v>1</v>
      </c>
      <c r="E1806" s="28">
        <v>6.9013698630136986</v>
      </c>
      <c r="F1806" s="28"/>
      <c r="G1806" s="28"/>
      <c r="H1806" s="28"/>
      <c r="I1806" s="28"/>
      <c r="J1806" s="28"/>
      <c r="L1806" s="38">
        <v>30</v>
      </c>
      <c r="M1806" s="2">
        <v>56</v>
      </c>
      <c r="N1806" s="2">
        <v>5</v>
      </c>
      <c r="O1806" s="2">
        <v>4</v>
      </c>
      <c r="P1806" s="2">
        <v>13</v>
      </c>
      <c r="Q1806" s="2">
        <v>8</v>
      </c>
      <c r="R1806" s="2">
        <v>0</v>
      </c>
      <c r="S1806" s="2">
        <v>4</v>
      </c>
      <c r="T1806" s="2">
        <v>1</v>
      </c>
      <c r="U1806" s="2">
        <v>1</v>
      </c>
      <c r="V1806" s="2">
        <v>0</v>
      </c>
      <c r="W1806" s="2">
        <v>3</v>
      </c>
      <c r="X1806" s="2">
        <v>8</v>
      </c>
    </row>
    <row r="1807" spans="1:24" x14ac:dyDescent="0.35">
      <c r="A1807">
        <v>30</v>
      </c>
      <c r="B1807">
        <v>25959</v>
      </c>
      <c r="C1807">
        <v>50</v>
      </c>
      <c r="D1807">
        <v>1</v>
      </c>
      <c r="E1807" s="28">
        <v>7.2849315068493148</v>
      </c>
      <c r="F1807" s="28"/>
      <c r="G1807" s="28"/>
      <c r="H1807" s="28"/>
      <c r="I1807" s="28"/>
      <c r="J1807" s="28"/>
      <c r="L1807" s="37">
        <v>30</v>
      </c>
      <c r="M1807" s="3">
        <v>1</v>
      </c>
      <c r="N1807" s="3">
        <v>4</v>
      </c>
      <c r="O1807" s="3">
        <v>2</v>
      </c>
      <c r="P1807" s="3">
        <v>12</v>
      </c>
      <c r="Q1807" s="3">
        <v>7</v>
      </c>
      <c r="R1807" s="3">
        <v>5</v>
      </c>
      <c r="S1807" s="3">
        <v>26</v>
      </c>
      <c r="T1807" s="3">
        <v>2</v>
      </c>
      <c r="U1807" s="3">
        <v>1</v>
      </c>
      <c r="V1807" s="3">
        <v>2</v>
      </c>
      <c r="W1807" s="3">
        <v>2</v>
      </c>
      <c r="X1807" s="3">
        <v>6</v>
      </c>
    </row>
    <row r="1808" spans="1:24" x14ac:dyDescent="0.35">
      <c r="A1808">
        <v>30</v>
      </c>
      <c r="B1808">
        <v>37244</v>
      </c>
      <c r="C1808">
        <v>65</v>
      </c>
      <c r="D1808">
        <v>1</v>
      </c>
      <c r="E1808" s="28">
        <v>7.087671232876712</v>
      </c>
      <c r="F1808" s="28"/>
      <c r="G1808" s="28"/>
      <c r="H1808" s="28"/>
      <c r="I1808" s="28"/>
      <c r="J1808" s="28"/>
      <c r="L1808" s="38">
        <v>30</v>
      </c>
      <c r="M1808" s="2">
        <v>90</v>
      </c>
      <c r="N1808" s="2">
        <v>18</v>
      </c>
      <c r="O1808" s="2">
        <v>2</v>
      </c>
      <c r="P1808" s="2">
        <v>10</v>
      </c>
      <c r="Q1808" s="2">
        <v>0</v>
      </c>
      <c r="R1808" s="2">
        <v>0</v>
      </c>
      <c r="S1808" s="2">
        <v>25</v>
      </c>
      <c r="T1808" s="2">
        <v>1</v>
      </c>
      <c r="U1808" s="2">
        <v>1</v>
      </c>
      <c r="V1808" s="2">
        <v>1</v>
      </c>
      <c r="W1808" s="2">
        <v>2</v>
      </c>
      <c r="X1808" s="2">
        <v>7</v>
      </c>
    </row>
    <row r="1809" spans="1:24" x14ac:dyDescent="0.35">
      <c r="A1809">
        <v>30</v>
      </c>
      <c r="B1809">
        <v>19107</v>
      </c>
      <c r="C1809">
        <v>40</v>
      </c>
      <c r="D1809">
        <v>1</v>
      </c>
      <c r="E1809" s="28">
        <v>6.7671232876712333</v>
      </c>
      <c r="F1809" s="28"/>
      <c r="G1809" s="28"/>
      <c r="H1809" s="28"/>
      <c r="I1809" s="28"/>
      <c r="J1809" s="28"/>
      <c r="L1809" s="37">
        <v>30</v>
      </c>
      <c r="M1809" s="3">
        <v>49</v>
      </c>
      <c r="N1809" s="3">
        <v>2</v>
      </c>
      <c r="O1809" s="3">
        <v>4</v>
      </c>
      <c r="P1809" s="3">
        <v>9</v>
      </c>
      <c r="Q1809" s="3">
        <v>10</v>
      </c>
      <c r="R1809" s="3">
        <v>5</v>
      </c>
      <c r="S1809" s="3">
        <v>16</v>
      </c>
      <c r="T1809" s="3">
        <v>2</v>
      </c>
      <c r="U1809" s="3">
        <v>1</v>
      </c>
      <c r="V1809" s="3">
        <v>0</v>
      </c>
      <c r="W1809" s="3">
        <v>3</v>
      </c>
      <c r="X1809" s="3">
        <v>7</v>
      </c>
    </row>
    <row r="1810" spans="1:24" x14ac:dyDescent="0.35">
      <c r="A1810">
        <v>30</v>
      </c>
      <c r="B1810">
        <v>21918</v>
      </c>
      <c r="C1810">
        <v>51</v>
      </c>
      <c r="D1810">
        <v>1</v>
      </c>
      <c r="E1810" s="28">
        <v>6.536986301369863</v>
      </c>
      <c r="F1810" s="28"/>
      <c r="G1810" s="28"/>
      <c r="H1810" s="28"/>
      <c r="I1810" s="28"/>
      <c r="J1810" s="28"/>
      <c r="L1810" s="38">
        <v>30</v>
      </c>
      <c r="M1810" s="2">
        <v>37</v>
      </c>
      <c r="N1810" s="2">
        <v>1</v>
      </c>
      <c r="O1810" s="2">
        <v>6</v>
      </c>
      <c r="P1810" s="2">
        <v>7</v>
      </c>
      <c r="Q1810" s="2">
        <v>11</v>
      </c>
      <c r="R1810" s="2">
        <v>5</v>
      </c>
      <c r="S1810" s="2">
        <v>3</v>
      </c>
      <c r="T1810" s="2">
        <v>2</v>
      </c>
      <c r="U1810" s="2">
        <v>2</v>
      </c>
      <c r="V1810" s="2">
        <v>0</v>
      </c>
      <c r="W1810" s="2">
        <v>3</v>
      </c>
      <c r="X1810" s="2">
        <v>6</v>
      </c>
    </row>
    <row r="1811" spans="1:24" x14ac:dyDescent="0.35">
      <c r="A1811">
        <v>30</v>
      </c>
      <c r="B1811">
        <v>36663</v>
      </c>
      <c r="C1811">
        <v>45</v>
      </c>
      <c r="D1811">
        <v>1</v>
      </c>
      <c r="E1811" s="28">
        <v>6.0931506849315067</v>
      </c>
      <c r="F1811" s="28"/>
      <c r="G1811" s="28"/>
      <c r="H1811" s="28"/>
      <c r="I1811" s="28"/>
      <c r="J1811" s="28"/>
      <c r="L1811" s="37">
        <v>30</v>
      </c>
      <c r="M1811" s="3">
        <v>40</v>
      </c>
      <c r="N1811" s="3">
        <v>18</v>
      </c>
      <c r="O1811" s="3">
        <v>0</v>
      </c>
      <c r="P1811" s="3">
        <v>6</v>
      </c>
      <c r="Q1811" s="3">
        <v>3</v>
      </c>
      <c r="R1811" s="3">
        <v>3</v>
      </c>
      <c r="S1811" s="3">
        <v>5</v>
      </c>
      <c r="T1811" s="3">
        <v>1</v>
      </c>
      <c r="U1811" s="3">
        <v>1</v>
      </c>
      <c r="V1811" s="3">
        <v>1</v>
      </c>
      <c r="W1811" s="3">
        <v>3</v>
      </c>
      <c r="X1811" s="3">
        <v>2</v>
      </c>
    </row>
    <row r="1812" spans="1:24" x14ac:dyDescent="0.35">
      <c r="A1812">
        <v>30</v>
      </c>
      <c r="B1812">
        <v>44512</v>
      </c>
      <c r="C1812">
        <v>60</v>
      </c>
      <c r="D1812">
        <v>1</v>
      </c>
      <c r="E1812" s="28">
        <v>6.7452054794520544</v>
      </c>
      <c r="F1812" s="28"/>
      <c r="G1812" s="28"/>
      <c r="H1812" s="28"/>
      <c r="I1812" s="28"/>
      <c r="J1812" s="28"/>
      <c r="L1812" s="38">
        <v>30</v>
      </c>
      <c r="M1812" s="2">
        <v>57</v>
      </c>
      <c r="N1812" s="2">
        <v>23</v>
      </c>
      <c r="O1812" s="2">
        <v>1</v>
      </c>
      <c r="P1812" s="2">
        <v>6</v>
      </c>
      <c r="Q1812" s="2">
        <v>0</v>
      </c>
      <c r="R1812" s="2">
        <v>0</v>
      </c>
      <c r="S1812" s="2">
        <v>2</v>
      </c>
      <c r="T1812" s="2">
        <v>2</v>
      </c>
      <c r="U1812" s="2">
        <v>1</v>
      </c>
      <c r="V1812" s="2">
        <v>0</v>
      </c>
      <c r="W1812" s="2">
        <v>3</v>
      </c>
      <c r="X1812" s="2">
        <v>4</v>
      </c>
    </row>
    <row r="1813" spans="1:24" x14ac:dyDescent="0.35">
      <c r="A1813">
        <v>29</v>
      </c>
      <c r="B1813">
        <v>33456</v>
      </c>
      <c r="C1813">
        <v>55</v>
      </c>
      <c r="D1813">
        <v>1</v>
      </c>
      <c r="E1813" s="28">
        <v>6.1041095890410961</v>
      </c>
      <c r="F1813" s="28"/>
      <c r="G1813" s="28"/>
      <c r="H1813" s="28"/>
      <c r="I1813" s="28"/>
      <c r="J1813" s="28"/>
      <c r="L1813" s="37">
        <v>29</v>
      </c>
      <c r="M1813" s="3">
        <v>58</v>
      </c>
      <c r="N1813" s="3">
        <v>7</v>
      </c>
      <c r="O1813" s="3">
        <v>3</v>
      </c>
      <c r="P1813" s="3">
        <v>10</v>
      </c>
      <c r="Q1813" s="3">
        <v>8</v>
      </c>
      <c r="R1813" s="3">
        <v>1</v>
      </c>
      <c r="S1813" s="3">
        <v>7</v>
      </c>
      <c r="T1813" s="3">
        <v>2</v>
      </c>
      <c r="U1813" s="3">
        <v>1</v>
      </c>
      <c r="V1813" s="3">
        <v>0</v>
      </c>
      <c r="W1813" s="3">
        <v>3</v>
      </c>
      <c r="X1813" s="3">
        <v>7</v>
      </c>
    </row>
    <row r="1814" spans="1:24" x14ac:dyDescent="0.35">
      <c r="A1814">
        <v>29</v>
      </c>
      <c r="B1814">
        <v>35860</v>
      </c>
      <c r="C1814">
        <v>47</v>
      </c>
      <c r="D1814">
        <v>1</v>
      </c>
      <c r="E1814" s="28">
        <v>6.0273972602739727</v>
      </c>
      <c r="F1814" s="28"/>
      <c r="G1814" s="28"/>
      <c r="H1814" s="28"/>
      <c r="I1814" s="28"/>
      <c r="J1814" s="28"/>
      <c r="L1814" s="38">
        <v>29</v>
      </c>
      <c r="M1814" s="2">
        <v>37</v>
      </c>
      <c r="N1814" s="2">
        <v>15</v>
      </c>
      <c r="O1814" s="2">
        <v>0</v>
      </c>
      <c r="P1814" s="2">
        <v>8</v>
      </c>
      <c r="Q1814" s="2">
        <v>4</v>
      </c>
      <c r="R1814" s="2">
        <v>2</v>
      </c>
      <c r="S1814" s="2">
        <v>20</v>
      </c>
      <c r="T1814" s="2">
        <v>2</v>
      </c>
      <c r="U1814" s="2">
        <v>1</v>
      </c>
      <c r="V1814" s="2">
        <v>1</v>
      </c>
      <c r="W1814" s="2">
        <v>2</v>
      </c>
      <c r="X1814" s="2">
        <v>5</v>
      </c>
    </row>
    <row r="1815" spans="1:24" x14ac:dyDescent="0.35">
      <c r="A1815">
        <v>29</v>
      </c>
      <c r="B1815">
        <v>35860</v>
      </c>
      <c r="C1815">
        <v>47</v>
      </c>
      <c r="D1815">
        <v>1</v>
      </c>
      <c r="E1815" s="28">
        <v>6.0273972602739727</v>
      </c>
      <c r="F1815" s="28"/>
      <c r="G1815" s="28"/>
      <c r="H1815" s="28"/>
      <c r="I1815" s="28"/>
      <c r="J1815" s="28"/>
      <c r="L1815" s="37">
        <v>29</v>
      </c>
      <c r="M1815" s="3">
        <v>37</v>
      </c>
      <c r="N1815" s="3">
        <v>15</v>
      </c>
      <c r="O1815" s="3">
        <v>0</v>
      </c>
      <c r="P1815" s="3">
        <v>8</v>
      </c>
      <c r="Q1815" s="3">
        <v>4</v>
      </c>
      <c r="R1815" s="3">
        <v>2</v>
      </c>
      <c r="S1815" s="3">
        <v>20</v>
      </c>
      <c r="T1815" s="3">
        <v>2</v>
      </c>
      <c r="U1815" s="3">
        <v>1</v>
      </c>
      <c r="V1815" s="3">
        <v>1</v>
      </c>
      <c r="W1815" s="3">
        <v>2</v>
      </c>
      <c r="X1815" s="3">
        <v>5</v>
      </c>
    </row>
    <row r="1816" spans="1:24" x14ac:dyDescent="0.35">
      <c r="A1816">
        <v>29</v>
      </c>
      <c r="B1816">
        <v>35860</v>
      </c>
      <c r="C1816">
        <v>47</v>
      </c>
      <c r="D1816">
        <v>1</v>
      </c>
      <c r="E1816" s="28">
        <v>6.0273972602739727</v>
      </c>
      <c r="F1816" s="28"/>
      <c r="G1816" s="28"/>
      <c r="H1816" s="28"/>
      <c r="I1816" s="28"/>
      <c r="J1816" s="28"/>
      <c r="L1816" s="38">
        <v>29</v>
      </c>
      <c r="M1816" s="2">
        <v>37</v>
      </c>
      <c r="N1816" s="2">
        <v>15</v>
      </c>
      <c r="O1816" s="2">
        <v>0</v>
      </c>
      <c r="P1816" s="2">
        <v>8</v>
      </c>
      <c r="Q1816" s="2">
        <v>4</v>
      </c>
      <c r="R1816" s="2">
        <v>2</v>
      </c>
      <c r="S1816" s="2">
        <v>20</v>
      </c>
      <c r="T1816" s="2">
        <v>2</v>
      </c>
      <c r="U1816" s="2">
        <v>1</v>
      </c>
      <c r="V1816" s="2">
        <v>1</v>
      </c>
      <c r="W1816" s="2">
        <v>2</v>
      </c>
      <c r="X1816" s="2">
        <v>5</v>
      </c>
    </row>
    <row r="1817" spans="1:24" x14ac:dyDescent="0.35">
      <c r="A1817">
        <v>29</v>
      </c>
      <c r="B1817">
        <v>40049</v>
      </c>
      <c r="C1817">
        <v>68</v>
      </c>
      <c r="D1817">
        <v>1</v>
      </c>
      <c r="E1817" s="28">
        <v>6.6164383561643838</v>
      </c>
      <c r="F1817" s="28"/>
      <c r="G1817" s="28"/>
      <c r="H1817" s="28"/>
      <c r="I1817" s="28"/>
      <c r="J1817" s="28"/>
      <c r="L1817" s="37">
        <v>29</v>
      </c>
      <c r="M1817" s="3">
        <v>23</v>
      </c>
      <c r="N1817" s="3">
        <v>13</v>
      </c>
      <c r="O1817" s="3">
        <v>6</v>
      </c>
      <c r="P1817" s="3">
        <v>7</v>
      </c>
      <c r="Q1817" s="3">
        <v>0</v>
      </c>
      <c r="R1817" s="3">
        <v>3</v>
      </c>
      <c r="S1817" s="3">
        <v>3</v>
      </c>
      <c r="T1817" s="3">
        <v>1</v>
      </c>
      <c r="U1817" s="3">
        <v>1</v>
      </c>
      <c r="V1817" s="3">
        <v>0</v>
      </c>
      <c r="W1817" s="3">
        <v>3</v>
      </c>
      <c r="X1817" s="3">
        <v>6</v>
      </c>
    </row>
    <row r="1818" spans="1:24" x14ac:dyDescent="0.35">
      <c r="A1818">
        <v>29</v>
      </c>
      <c r="B1818">
        <v>41644</v>
      </c>
      <c r="C1818">
        <v>48</v>
      </c>
      <c r="D1818">
        <v>1</v>
      </c>
      <c r="E1818" s="28">
        <v>6.0547945205479454</v>
      </c>
      <c r="F1818" s="28"/>
      <c r="G1818" s="28"/>
      <c r="H1818" s="28"/>
      <c r="I1818" s="28"/>
      <c r="J1818" s="28"/>
      <c r="L1818" s="38">
        <v>29</v>
      </c>
      <c r="M1818" s="2">
        <v>67</v>
      </c>
      <c r="N1818" s="2">
        <v>20</v>
      </c>
      <c r="O1818" s="2">
        <v>3</v>
      </c>
      <c r="P1818" s="2">
        <v>4</v>
      </c>
      <c r="Q1818" s="2">
        <v>2</v>
      </c>
      <c r="R1818" s="2">
        <v>0</v>
      </c>
      <c r="S1818" s="2">
        <v>2</v>
      </c>
      <c r="T1818" s="2">
        <v>2</v>
      </c>
      <c r="U1818" s="2">
        <v>1</v>
      </c>
      <c r="V1818" s="2">
        <v>0</v>
      </c>
      <c r="W1818" s="2">
        <v>3</v>
      </c>
      <c r="X1818" s="2">
        <v>3</v>
      </c>
    </row>
    <row r="1819" spans="1:24" x14ac:dyDescent="0.35">
      <c r="A1819">
        <v>28</v>
      </c>
      <c r="B1819">
        <v>15345</v>
      </c>
      <c r="C1819">
        <v>36</v>
      </c>
      <c r="D1819">
        <v>1</v>
      </c>
      <c r="E1819" s="28">
        <v>7.7424657534246579</v>
      </c>
      <c r="F1819" s="28"/>
      <c r="G1819" s="28"/>
      <c r="H1819" s="28"/>
      <c r="I1819" s="28"/>
      <c r="J1819" s="28"/>
      <c r="L1819" s="37">
        <v>28</v>
      </c>
      <c r="M1819" s="3">
        <v>51</v>
      </c>
      <c r="N1819" s="3">
        <v>5</v>
      </c>
      <c r="O1819" s="3">
        <v>2</v>
      </c>
      <c r="P1819" s="3">
        <v>16</v>
      </c>
      <c r="Q1819" s="3">
        <v>3</v>
      </c>
      <c r="R1819" s="3">
        <v>2</v>
      </c>
      <c r="S1819" s="3">
        <v>19</v>
      </c>
      <c r="T1819" s="3">
        <v>2</v>
      </c>
      <c r="U1819" s="3">
        <v>1</v>
      </c>
      <c r="V1819" s="3">
        <v>1</v>
      </c>
      <c r="W1819" s="3">
        <v>2</v>
      </c>
      <c r="X1819" s="3">
        <v>8</v>
      </c>
    </row>
    <row r="1820" spans="1:24" x14ac:dyDescent="0.35">
      <c r="A1820">
        <v>28</v>
      </c>
      <c r="B1820">
        <v>30298</v>
      </c>
      <c r="C1820">
        <v>35</v>
      </c>
      <c r="D1820">
        <v>0</v>
      </c>
      <c r="E1820" s="28">
        <v>6.0273972602739727</v>
      </c>
      <c r="F1820" s="28"/>
      <c r="G1820" s="28"/>
      <c r="H1820" s="28"/>
      <c r="I1820" s="28"/>
      <c r="J1820" s="28"/>
      <c r="L1820" s="38">
        <v>28</v>
      </c>
      <c r="M1820" s="2">
        <v>48</v>
      </c>
      <c r="N1820" s="2">
        <v>6</v>
      </c>
      <c r="O1820" s="2">
        <v>3</v>
      </c>
      <c r="P1820" s="2">
        <v>12</v>
      </c>
      <c r="Q1820" s="2">
        <v>6</v>
      </c>
      <c r="R1820" s="2">
        <v>1</v>
      </c>
      <c r="S1820" s="2">
        <v>0</v>
      </c>
      <c r="T1820" s="2">
        <v>1</v>
      </c>
      <c r="U1820" s="2">
        <v>1</v>
      </c>
      <c r="V1820" s="2">
        <v>1</v>
      </c>
      <c r="W1820" s="2">
        <v>3</v>
      </c>
      <c r="X1820" s="2">
        <v>3</v>
      </c>
    </row>
    <row r="1821" spans="1:24" x14ac:dyDescent="0.35">
      <c r="A1821">
        <v>28</v>
      </c>
      <c r="B1821">
        <v>25293</v>
      </c>
      <c r="C1821">
        <v>51</v>
      </c>
      <c r="D1821">
        <v>1</v>
      </c>
      <c r="E1821" s="28">
        <v>6.7013698630136984</v>
      </c>
      <c r="F1821" s="28"/>
      <c r="G1821" s="28"/>
      <c r="H1821" s="28"/>
      <c r="I1821" s="28"/>
      <c r="J1821" s="28"/>
      <c r="L1821" s="37">
        <v>28</v>
      </c>
      <c r="M1821" s="3">
        <v>51</v>
      </c>
      <c r="N1821" s="3">
        <v>15</v>
      </c>
      <c r="O1821" s="3">
        <v>0</v>
      </c>
      <c r="P1821" s="3">
        <v>11</v>
      </c>
      <c r="Q1821" s="3">
        <v>0</v>
      </c>
      <c r="R1821" s="3">
        <v>2</v>
      </c>
      <c r="S1821" s="3">
        <v>9</v>
      </c>
      <c r="T1821" s="3">
        <v>1</v>
      </c>
      <c r="U1821" s="3">
        <v>1</v>
      </c>
      <c r="V1821" s="3">
        <v>1</v>
      </c>
      <c r="W1821" s="3">
        <v>2</v>
      </c>
      <c r="X1821" s="3">
        <v>8</v>
      </c>
    </row>
    <row r="1822" spans="1:24" x14ac:dyDescent="0.35">
      <c r="A1822">
        <v>28</v>
      </c>
      <c r="B1822">
        <v>31163</v>
      </c>
      <c r="C1822">
        <v>47</v>
      </c>
      <c r="D1822">
        <v>1</v>
      </c>
      <c r="E1822" s="28">
        <v>6.2876712328767121</v>
      </c>
      <c r="F1822" s="28"/>
      <c r="G1822" s="28"/>
      <c r="H1822" s="28"/>
      <c r="I1822" s="28"/>
      <c r="J1822" s="28"/>
      <c r="L1822" s="38">
        <v>28</v>
      </c>
      <c r="M1822" s="2">
        <v>54</v>
      </c>
      <c r="N1822" s="2">
        <v>2</v>
      </c>
      <c r="O1822" s="2">
        <v>3</v>
      </c>
      <c r="P1822" s="2">
        <v>10</v>
      </c>
      <c r="Q1822" s="2">
        <v>11</v>
      </c>
      <c r="R1822" s="2">
        <v>2</v>
      </c>
      <c r="S1822" s="2">
        <v>10</v>
      </c>
      <c r="T1822" s="2">
        <v>1</v>
      </c>
      <c r="U1822" s="2">
        <v>1</v>
      </c>
      <c r="V1822" s="2">
        <v>0</v>
      </c>
      <c r="W1822" s="2">
        <v>3</v>
      </c>
      <c r="X1822" s="2">
        <v>6</v>
      </c>
    </row>
    <row r="1823" spans="1:24" x14ac:dyDescent="0.35">
      <c r="A1823">
        <v>28</v>
      </c>
      <c r="B1823">
        <v>42394</v>
      </c>
      <c r="C1823">
        <v>48</v>
      </c>
      <c r="D1823">
        <v>1</v>
      </c>
      <c r="E1823" s="28">
        <v>6.183561643835616</v>
      </c>
      <c r="F1823" s="28"/>
      <c r="G1823" s="28"/>
      <c r="H1823" s="28"/>
      <c r="I1823" s="28"/>
      <c r="J1823" s="28"/>
      <c r="L1823" s="37">
        <v>28</v>
      </c>
      <c r="M1823" s="3">
        <v>69</v>
      </c>
      <c r="N1823" s="3">
        <v>15</v>
      </c>
      <c r="O1823" s="3">
        <v>2</v>
      </c>
      <c r="P1823" s="3">
        <v>10</v>
      </c>
      <c r="Q1823" s="3">
        <v>0</v>
      </c>
      <c r="R1823" s="3">
        <v>1</v>
      </c>
      <c r="S1823" s="3">
        <v>4</v>
      </c>
      <c r="T1823" s="3">
        <v>1</v>
      </c>
      <c r="U1823" s="3">
        <v>1</v>
      </c>
      <c r="V1823" s="3">
        <v>0</v>
      </c>
      <c r="W1823" s="3">
        <v>3</v>
      </c>
      <c r="X1823" s="3">
        <v>7</v>
      </c>
    </row>
    <row r="1824" spans="1:24" x14ac:dyDescent="0.35">
      <c r="A1824">
        <v>28</v>
      </c>
      <c r="B1824">
        <v>37395</v>
      </c>
      <c r="C1824">
        <v>44</v>
      </c>
      <c r="D1824">
        <v>1</v>
      </c>
      <c r="E1824" s="28">
        <v>6.0739726027397261</v>
      </c>
      <c r="F1824" s="28"/>
      <c r="G1824" s="28"/>
      <c r="H1824" s="28"/>
      <c r="I1824" s="28"/>
      <c r="J1824" s="28"/>
      <c r="L1824" s="38">
        <v>28</v>
      </c>
      <c r="M1824" s="2">
        <v>47</v>
      </c>
      <c r="N1824" s="2">
        <v>18</v>
      </c>
      <c r="O1824" s="2">
        <v>0</v>
      </c>
      <c r="P1824" s="2">
        <v>9</v>
      </c>
      <c r="Q1824" s="2">
        <v>0</v>
      </c>
      <c r="R1824" s="2">
        <v>1</v>
      </c>
      <c r="S1824" s="2">
        <v>11</v>
      </c>
      <c r="T1824" s="2">
        <v>1</v>
      </c>
      <c r="U1824" s="2">
        <v>1</v>
      </c>
      <c r="V1824" s="2">
        <v>0</v>
      </c>
      <c r="W1824" s="2">
        <v>3</v>
      </c>
      <c r="X1824" s="2">
        <v>6</v>
      </c>
    </row>
    <row r="1825" spans="1:24" x14ac:dyDescent="0.35">
      <c r="A1825">
        <v>28</v>
      </c>
      <c r="B1825">
        <v>42169</v>
      </c>
      <c r="C1825">
        <v>51</v>
      </c>
      <c r="D1825">
        <v>1</v>
      </c>
      <c r="E1825" s="28">
        <v>6.6082191780821917</v>
      </c>
      <c r="F1825" s="28"/>
      <c r="G1825" s="28"/>
      <c r="H1825" s="28"/>
      <c r="I1825" s="28"/>
      <c r="J1825" s="28"/>
      <c r="L1825" s="37">
        <v>28</v>
      </c>
      <c r="M1825" s="3">
        <v>20</v>
      </c>
      <c r="N1825" s="3">
        <v>19</v>
      </c>
      <c r="O1825" s="3">
        <v>0</v>
      </c>
      <c r="P1825" s="3">
        <v>9</v>
      </c>
      <c r="Q1825" s="3">
        <v>0</v>
      </c>
      <c r="R1825" s="3">
        <v>0</v>
      </c>
      <c r="S1825" s="3">
        <v>2</v>
      </c>
      <c r="T1825" s="3">
        <v>2</v>
      </c>
      <c r="U1825" s="3">
        <v>1</v>
      </c>
      <c r="V1825" s="3">
        <v>0</v>
      </c>
      <c r="W1825" s="3">
        <v>3</v>
      </c>
      <c r="X1825" s="3">
        <v>8</v>
      </c>
    </row>
    <row r="1826" spans="1:24" x14ac:dyDescent="0.35">
      <c r="A1826">
        <v>28</v>
      </c>
      <c r="B1826">
        <v>10245</v>
      </c>
      <c r="C1826">
        <v>49</v>
      </c>
      <c r="D1826">
        <v>1</v>
      </c>
      <c r="E1826" s="28">
        <v>7.0383561643835613</v>
      </c>
      <c r="F1826" s="28"/>
      <c r="G1826" s="28"/>
      <c r="H1826" s="28"/>
      <c r="I1826" s="28"/>
      <c r="J1826" s="28"/>
      <c r="L1826" s="38">
        <v>28</v>
      </c>
      <c r="M1826" s="2">
        <v>32</v>
      </c>
      <c r="N1826" s="2">
        <v>4</v>
      </c>
      <c r="O1826" s="2">
        <v>7</v>
      </c>
      <c r="P1826" s="2">
        <v>7</v>
      </c>
      <c r="Q1826" s="2">
        <v>6</v>
      </c>
      <c r="R1826" s="2">
        <v>4</v>
      </c>
      <c r="S1826" s="2">
        <v>13</v>
      </c>
      <c r="T1826" s="2">
        <v>3</v>
      </c>
      <c r="U1826" s="2">
        <v>1</v>
      </c>
      <c r="V1826" s="2">
        <v>2</v>
      </c>
      <c r="W1826" s="2">
        <v>2</v>
      </c>
      <c r="X1826" s="2">
        <v>5</v>
      </c>
    </row>
    <row r="1827" spans="1:24" x14ac:dyDescent="0.35">
      <c r="A1827">
        <v>28</v>
      </c>
      <c r="B1827">
        <v>14918</v>
      </c>
      <c r="C1827">
        <v>57</v>
      </c>
      <c r="D1827">
        <v>1</v>
      </c>
      <c r="E1827" s="28">
        <v>7.4739726027397264</v>
      </c>
      <c r="F1827" s="28"/>
      <c r="G1827" s="28"/>
      <c r="H1827" s="28"/>
      <c r="I1827" s="28"/>
      <c r="J1827" s="28"/>
      <c r="L1827" s="37">
        <v>28</v>
      </c>
      <c r="M1827" s="3">
        <v>52</v>
      </c>
      <c r="N1827" s="3">
        <v>3</v>
      </c>
      <c r="O1827" s="3">
        <v>3</v>
      </c>
      <c r="P1827" s="3">
        <v>3</v>
      </c>
      <c r="Q1827" s="3">
        <v>15</v>
      </c>
      <c r="R1827" s="3">
        <v>4</v>
      </c>
      <c r="S1827" s="3">
        <v>15</v>
      </c>
      <c r="T1827" s="3">
        <v>1</v>
      </c>
      <c r="U1827" s="3">
        <v>1</v>
      </c>
      <c r="V1827" s="3">
        <v>0</v>
      </c>
      <c r="W1827" s="3">
        <v>3</v>
      </c>
      <c r="X1827" s="3">
        <v>6</v>
      </c>
    </row>
    <row r="1828" spans="1:24" x14ac:dyDescent="0.35">
      <c r="A1828">
        <v>27</v>
      </c>
      <c r="B1828">
        <v>35924</v>
      </c>
      <c r="C1828">
        <v>51</v>
      </c>
      <c r="D1828">
        <v>1</v>
      </c>
      <c r="E1828" s="28">
        <v>6.183561643835616</v>
      </c>
      <c r="F1828" s="28"/>
      <c r="G1828" s="28"/>
      <c r="H1828" s="28"/>
      <c r="I1828" s="28"/>
      <c r="J1828" s="28"/>
      <c r="L1828" s="38">
        <v>27</v>
      </c>
      <c r="M1828" s="2">
        <v>56</v>
      </c>
      <c r="N1828" s="2">
        <v>8</v>
      </c>
      <c r="O1828" s="2">
        <v>0</v>
      </c>
      <c r="P1828" s="2">
        <v>14</v>
      </c>
      <c r="Q1828" s="2">
        <v>2</v>
      </c>
      <c r="R1828" s="2">
        <v>3</v>
      </c>
      <c r="S1828" s="2">
        <v>7</v>
      </c>
      <c r="T1828" s="2">
        <v>1</v>
      </c>
      <c r="U1828" s="2">
        <v>1</v>
      </c>
      <c r="V1828" s="2">
        <v>0</v>
      </c>
      <c r="W1828" s="2">
        <v>3</v>
      </c>
      <c r="X1828" s="2">
        <v>5</v>
      </c>
    </row>
    <row r="1829" spans="1:24" x14ac:dyDescent="0.35">
      <c r="A1829">
        <v>27</v>
      </c>
      <c r="B1829">
        <v>26150</v>
      </c>
      <c r="C1829">
        <v>64</v>
      </c>
      <c r="D1829">
        <v>1</v>
      </c>
      <c r="E1829" s="28">
        <v>7.2164383561643834</v>
      </c>
      <c r="F1829" s="28"/>
      <c r="G1829" s="28"/>
      <c r="H1829" s="28"/>
      <c r="I1829" s="28"/>
      <c r="J1829" s="28"/>
      <c r="L1829" s="37">
        <v>27</v>
      </c>
      <c r="M1829" s="3">
        <v>61</v>
      </c>
      <c r="N1829" s="3">
        <v>5</v>
      </c>
      <c r="O1829" s="3">
        <v>1</v>
      </c>
      <c r="P1829" s="3">
        <v>13</v>
      </c>
      <c r="Q1829" s="3">
        <v>3</v>
      </c>
      <c r="R1829" s="3">
        <v>5</v>
      </c>
      <c r="S1829" s="3">
        <v>1</v>
      </c>
      <c r="T1829" s="3">
        <v>1</v>
      </c>
      <c r="U1829" s="3">
        <v>1</v>
      </c>
      <c r="V1829" s="3">
        <v>0</v>
      </c>
      <c r="W1829" s="3">
        <v>3</v>
      </c>
      <c r="X1829" s="3">
        <v>7</v>
      </c>
    </row>
    <row r="1830" spans="1:24" x14ac:dyDescent="0.35">
      <c r="A1830">
        <v>27</v>
      </c>
      <c r="B1830">
        <v>27100</v>
      </c>
      <c r="C1830">
        <v>37</v>
      </c>
      <c r="D1830">
        <v>1</v>
      </c>
      <c r="E1830" s="28">
        <v>7.1479452054794521</v>
      </c>
      <c r="F1830" s="28"/>
      <c r="G1830" s="28"/>
      <c r="H1830" s="28"/>
      <c r="I1830" s="28"/>
      <c r="J1830" s="28"/>
      <c r="L1830" s="38">
        <v>27</v>
      </c>
      <c r="M1830" s="2">
        <v>64</v>
      </c>
      <c r="N1830" s="2">
        <v>12</v>
      </c>
      <c r="O1830" s="2">
        <v>0</v>
      </c>
      <c r="P1830" s="2">
        <v>13</v>
      </c>
      <c r="Q1830" s="2">
        <v>2</v>
      </c>
      <c r="R1830" s="2">
        <v>0</v>
      </c>
      <c r="S1830" s="2">
        <v>10</v>
      </c>
      <c r="T1830" s="2">
        <v>1</v>
      </c>
      <c r="U1830" s="2">
        <v>1</v>
      </c>
      <c r="V1830" s="2">
        <v>0</v>
      </c>
      <c r="W1830" s="2">
        <v>3</v>
      </c>
      <c r="X1830" s="2">
        <v>7</v>
      </c>
    </row>
    <row r="1831" spans="1:24" x14ac:dyDescent="0.35">
      <c r="A1831">
        <v>27</v>
      </c>
      <c r="B1831">
        <v>23148</v>
      </c>
      <c r="C1831">
        <v>35</v>
      </c>
      <c r="D1831">
        <v>0</v>
      </c>
      <c r="E1831" s="28">
        <v>6.2739726027397262</v>
      </c>
      <c r="F1831" s="28"/>
      <c r="G1831" s="28"/>
      <c r="H1831" s="28"/>
      <c r="I1831" s="28"/>
      <c r="J1831" s="28"/>
      <c r="L1831" s="37">
        <v>27</v>
      </c>
      <c r="M1831" s="3">
        <v>83</v>
      </c>
      <c r="N1831" s="3">
        <v>4</v>
      </c>
      <c r="O1831" s="3">
        <v>6</v>
      </c>
      <c r="P1831" s="3">
        <v>8</v>
      </c>
      <c r="Q1831" s="3">
        <v>6</v>
      </c>
      <c r="R1831" s="3">
        <v>3</v>
      </c>
      <c r="S1831" s="3">
        <v>10</v>
      </c>
      <c r="T1831" s="3">
        <v>1</v>
      </c>
      <c r="U1831" s="3">
        <v>2</v>
      </c>
      <c r="V1831" s="3">
        <v>0</v>
      </c>
      <c r="W1831" s="3">
        <v>3</v>
      </c>
      <c r="X1831" s="3">
        <v>7</v>
      </c>
    </row>
    <row r="1832" spans="1:24" x14ac:dyDescent="0.35">
      <c r="A1832">
        <v>27</v>
      </c>
      <c r="B1832">
        <v>5305</v>
      </c>
      <c r="C1832">
        <v>44</v>
      </c>
      <c r="D1832">
        <v>1</v>
      </c>
      <c r="E1832" s="28">
        <v>6.8301369863013699</v>
      </c>
      <c r="F1832" s="28"/>
      <c r="G1832" s="28"/>
      <c r="H1832" s="28"/>
      <c r="I1832" s="28"/>
      <c r="J1832" s="28"/>
      <c r="L1832" s="38">
        <v>27</v>
      </c>
      <c r="M1832" s="2">
        <v>12</v>
      </c>
      <c r="N1832" s="2">
        <v>12</v>
      </c>
      <c r="O1832" s="2">
        <v>4</v>
      </c>
      <c r="P1832" s="2">
        <v>7</v>
      </c>
      <c r="Q1832" s="2">
        <v>1</v>
      </c>
      <c r="R1832" s="2">
        <v>3</v>
      </c>
      <c r="S1832" s="2">
        <v>5</v>
      </c>
      <c r="T1832" s="2">
        <v>0</v>
      </c>
      <c r="U1832" s="2">
        <v>1</v>
      </c>
      <c r="V1832" s="2">
        <v>0</v>
      </c>
      <c r="W1832" s="2">
        <v>0</v>
      </c>
      <c r="X1832" s="2">
        <v>13</v>
      </c>
    </row>
    <row r="1833" spans="1:24" x14ac:dyDescent="0.35">
      <c r="A1833">
        <v>27</v>
      </c>
      <c r="B1833">
        <v>35684</v>
      </c>
      <c r="C1833">
        <v>36</v>
      </c>
      <c r="D1833">
        <v>1</v>
      </c>
      <c r="E1833" s="28">
        <v>6.1013698630136988</v>
      </c>
      <c r="F1833" s="28"/>
      <c r="G1833" s="28"/>
      <c r="H1833" s="28"/>
      <c r="I1833" s="28"/>
      <c r="J1833" s="28"/>
      <c r="L1833" s="37">
        <v>27</v>
      </c>
      <c r="M1833" s="3">
        <v>66</v>
      </c>
      <c r="N1833" s="3">
        <v>10</v>
      </c>
      <c r="O1833" s="3">
        <v>4</v>
      </c>
      <c r="P1833" s="3">
        <v>7</v>
      </c>
      <c r="Q1833" s="3">
        <v>0</v>
      </c>
      <c r="R1833" s="3">
        <v>6</v>
      </c>
      <c r="S1833" s="3">
        <v>3</v>
      </c>
      <c r="T1833" s="3">
        <v>1</v>
      </c>
      <c r="U1833" s="3">
        <v>1</v>
      </c>
      <c r="V1833" s="3">
        <v>0</v>
      </c>
      <c r="W1833" s="3">
        <v>3</v>
      </c>
      <c r="X1833" s="3">
        <v>6</v>
      </c>
    </row>
    <row r="1834" spans="1:24" x14ac:dyDescent="0.35">
      <c r="A1834">
        <v>27</v>
      </c>
      <c r="B1834">
        <v>23830</v>
      </c>
      <c r="C1834">
        <v>33</v>
      </c>
      <c r="D1834">
        <v>0</v>
      </c>
      <c r="E1834" s="28">
        <v>6.3041095890410963</v>
      </c>
      <c r="F1834" s="28"/>
      <c r="G1834" s="28"/>
      <c r="H1834" s="28"/>
      <c r="I1834" s="28"/>
      <c r="J1834" s="28"/>
      <c r="L1834" s="38">
        <v>27</v>
      </c>
      <c r="M1834" s="2">
        <v>3</v>
      </c>
      <c r="N1834" s="2">
        <v>1</v>
      </c>
      <c r="O1834" s="2">
        <v>8</v>
      </c>
      <c r="P1834" s="2">
        <v>6</v>
      </c>
      <c r="Q1834" s="2">
        <v>4</v>
      </c>
      <c r="R1834" s="2">
        <v>8</v>
      </c>
      <c r="S1834" s="2">
        <v>16</v>
      </c>
      <c r="T1834" s="2">
        <v>1</v>
      </c>
      <c r="U1834" s="2">
        <v>1</v>
      </c>
      <c r="V1834" s="2">
        <v>0</v>
      </c>
      <c r="W1834" s="2">
        <v>3</v>
      </c>
      <c r="X1834" s="2">
        <v>7</v>
      </c>
    </row>
    <row r="1835" spans="1:24" x14ac:dyDescent="0.35">
      <c r="A1835">
        <v>27</v>
      </c>
      <c r="B1835">
        <v>7500</v>
      </c>
      <c r="C1835">
        <v>34</v>
      </c>
      <c r="D1835">
        <v>1</v>
      </c>
      <c r="E1835" s="28">
        <v>7.3041095890410963</v>
      </c>
      <c r="F1835" s="28"/>
      <c r="G1835" s="28"/>
      <c r="H1835" s="28"/>
      <c r="I1835" s="28"/>
      <c r="J1835" s="28"/>
      <c r="L1835" s="37">
        <v>27</v>
      </c>
      <c r="M1835" s="3">
        <v>96</v>
      </c>
      <c r="N1835" s="3">
        <v>1</v>
      </c>
      <c r="O1835" s="3">
        <v>11</v>
      </c>
      <c r="P1835" s="3">
        <v>5</v>
      </c>
      <c r="Q1835" s="3">
        <v>4</v>
      </c>
      <c r="R1835" s="3">
        <v>6</v>
      </c>
      <c r="S1835" s="3">
        <v>9</v>
      </c>
      <c r="T1835" s="3">
        <v>2</v>
      </c>
      <c r="U1835" s="3">
        <v>2</v>
      </c>
      <c r="V1835" s="3">
        <v>0</v>
      </c>
      <c r="W1835" s="3">
        <v>3</v>
      </c>
      <c r="X1835" s="3">
        <v>8</v>
      </c>
    </row>
    <row r="1836" spans="1:24" x14ac:dyDescent="0.35">
      <c r="A1836">
        <v>26</v>
      </c>
      <c r="B1836">
        <v>10979</v>
      </c>
      <c r="C1836">
        <v>31</v>
      </c>
      <c r="D1836">
        <v>0</v>
      </c>
      <c r="E1836" s="28">
        <v>6.0191780821917806</v>
      </c>
      <c r="F1836" s="28"/>
      <c r="G1836" s="28"/>
      <c r="H1836" s="28"/>
      <c r="I1836" s="28"/>
      <c r="J1836" s="28"/>
      <c r="L1836" s="38">
        <v>26</v>
      </c>
      <c r="M1836" s="2">
        <v>34</v>
      </c>
      <c r="N1836" s="2">
        <v>8</v>
      </c>
      <c r="O1836" s="2">
        <v>4</v>
      </c>
      <c r="P1836" s="2">
        <v>10</v>
      </c>
      <c r="Q1836" s="2">
        <v>2</v>
      </c>
      <c r="R1836" s="2">
        <v>2</v>
      </c>
      <c r="S1836" s="2">
        <v>4</v>
      </c>
      <c r="T1836" s="2">
        <v>2</v>
      </c>
      <c r="U1836" s="2">
        <v>3</v>
      </c>
      <c r="V1836" s="2">
        <v>0</v>
      </c>
      <c r="W1836" s="2">
        <v>3</v>
      </c>
      <c r="X1836" s="2">
        <v>5</v>
      </c>
    </row>
    <row r="1837" spans="1:24" x14ac:dyDescent="0.35">
      <c r="A1837">
        <v>26</v>
      </c>
      <c r="B1837">
        <v>21840</v>
      </c>
      <c r="C1837">
        <v>37</v>
      </c>
      <c r="D1837">
        <v>1</v>
      </c>
      <c r="E1837" s="28">
        <v>6.8547945205479452</v>
      </c>
      <c r="F1837" s="28"/>
      <c r="G1837" s="28"/>
      <c r="H1837" s="28"/>
      <c r="I1837" s="28"/>
      <c r="J1837" s="28"/>
      <c r="L1837" s="37">
        <v>26</v>
      </c>
      <c r="M1837" s="3">
        <v>80</v>
      </c>
      <c r="N1837" s="3">
        <v>17</v>
      </c>
      <c r="O1837" s="3">
        <v>0</v>
      </c>
      <c r="P1837" s="3">
        <v>9</v>
      </c>
      <c r="Q1837" s="3">
        <v>0</v>
      </c>
      <c r="R1837" s="3">
        <v>0</v>
      </c>
      <c r="S1837" s="3">
        <v>1</v>
      </c>
      <c r="T1837" s="3">
        <v>1</v>
      </c>
      <c r="U1837" s="3">
        <v>1</v>
      </c>
      <c r="V1837" s="3">
        <v>0</v>
      </c>
      <c r="W1837" s="3">
        <v>3</v>
      </c>
      <c r="X1837" s="3">
        <v>9</v>
      </c>
    </row>
    <row r="1838" spans="1:24" x14ac:dyDescent="0.35">
      <c r="A1838">
        <v>26</v>
      </c>
      <c r="B1838">
        <v>21282</v>
      </c>
      <c r="C1838">
        <v>42</v>
      </c>
      <c r="D1838">
        <v>1</v>
      </c>
      <c r="E1838" s="28">
        <v>6.0493150684931507</v>
      </c>
      <c r="F1838" s="28"/>
      <c r="G1838" s="28"/>
      <c r="H1838" s="28"/>
      <c r="I1838" s="28"/>
      <c r="J1838" s="28"/>
      <c r="L1838" s="38">
        <v>26</v>
      </c>
      <c r="M1838" s="2">
        <v>76</v>
      </c>
      <c r="N1838" s="2">
        <v>1</v>
      </c>
      <c r="O1838" s="2">
        <v>5</v>
      </c>
      <c r="P1838" s="2">
        <v>8</v>
      </c>
      <c r="Q1838" s="2">
        <v>4</v>
      </c>
      <c r="R1838" s="2">
        <v>8</v>
      </c>
      <c r="S1838" s="2">
        <v>20</v>
      </c>
      <c r="T1838" s="2">
        <v>2</v>
      </c>
      <c r="U1838" s="2">
        <v>2</v>
      </c>
      <c r="V1838" s="2">
        <v>1</v>
      </c>
      <c r="W1838" s="2">
        <v>2</v>
      </c>
      <c r="X1838" s="2">
        <v>6</v>
      </c>
    </row>
    <row r="1839" spans="1:24" x14ac:dyDescent="0.35">
      <c r="A1839">
        <v>26</v>
      </c>
      <c r="B1839">
        <v>34176</v>
      </c>
      <c r="C1839">
        <v>45</v>
      </c>
      <c r="D1839">
        <v>1</v>
      </c>
      <c r="E1839" s="28">
        <v>6.3479452054794523</v>
      </c>
      <c r="F1839" s="28"/>
      <c r="G1839" s="28"/>
      <c r="H1839" s="28"/>
      <c r="I1839" s="28"/>
      <c r="J1839" s="28"/>
      <c r="L1839" s="37">
        <v>26</v>
      </c>
      <c r="M1839" s="3">
        <v>9</v>
      </c>
      <c r="N1839" s="3">
        <v>11</v>
      </c>
      <c r="O1839" s="3">
        <v>2</v>
      </c>
      <c r="P1839" s="3">
        <v>7</v>
      </c>
      <c r="Q1839" s="3">
        <v>4</v>
      </c>
      <c r="R1839" s="3">
        <v>2</v>
      </c>
      <c r="S1839" s="3">
        <v>2</v>
      </c>
      <c r="T1839" s="3">
        <v>1</v>
      </c>
      <c r="U1839" s="3">
        <v>1</v>
      </c>
      <c r="V1839" s="3">
        <v>0</v>
      </c>
      <c r="W1839" s="3">
        <v>3</v>
      </c>
      <c r="X1839" s="3">
        <v>3</v>
      </c>
    </row>
    <row r="1840" spans="1:24" x14ac:dyDescent="0.35">
      <c r="A1840">
        <v>26</v>
      </c>
      <c r="B1840">
        <v>15862</v>
      </c>
      <c r="C1840">
        <v>41</v>
      </c>
      <c r="D1840">
        <v>1</v>
      </c>
      <c r="E1840" s="28">
        <v>6.9205479452054792</v>
      </c>
      <c r="F1840" s="28"/>
      <c r="G1840" s="28"/>
      <c r="H1840" s="28"/>
      <c r="I1840" s="28"/>
      <c r="J1840" s="28"/>
      <c r="L1840" s="38">
        <v>26</v>
      </c>
      <c r="M1840" s="2">
        <v>26</v>
      </c>
      <c r="N1840" s="2">
        <v>1</v>
      </c>
      <c r="O1840" s="2">
        <v>1</v>
      </c>
      <c r="P1840" s="2">
        <v>4</v>
      </c>
      <c r="Q1840" s="2">
        <v>11</v>
      </c>
      <c r="R1840" s="2">
        <v>9</v>
      </c>
      <c r="S1840" s="2">
        <v>10</v>
      </c>
      <c r="T1840" s="2">
        <v>1</v>
      </c>
      <c r="U1840" s="2">
        <v>1</v>
      </c>
      <c r="V1840" s="2">
        <v>0</v>
      </c>
      <c r="W1840" s="2">
        <v>3</v>
      </c>
      <c r="X1840" s="2">
        <v>8</v>
      </c>
    </row>
    <row r="1841" spans="1:24" x14ac:dyDescent="0.35">
      <c r="A1841">
        <v>26</v>
      </c>
      <c r="B1841">
        <v>30843</v>
      </c>
      <c r="C1841">
        <v>54</v>
      </c>
      <c r="D1841">
        <v>1</v>
      </c>
      <c r="E1841" s="28">
        <v>6.0082191780821921</v>
      </c>
      <c r="F1841" s="28"/>
      <c r="G1841" s="28"/>
      <c r="H1841" s="28"/>
      <c r="I1841" s="28"/>
      <c r="J1841" s="28"/>
      <c r="L1841" s="37">
        <v>26</v>
      </c>
      <c r="M1841" s="3">
        <v>43</v>
      </c>
      <c r="N1841" s="3">
        <v>24</v>
      </c>
      <c r="O1841" s="3">
        <v>0</v>
      </c>
      <c r="P1841" s="3">
        <v>2</v>
      </c>
      <c r="Q1841" s="3">
        <v>0</v>
      </c>
      <c r="R1841" s="3">
        <v>0</v>
      </c>
      <c r="S1841" s="3">
        <v>9</v>
      </c>
      <c r="T1841" s="3">
        <v>2</v>
      </c>
      <c r="U1841" s="3">
        <v>1</v>
      </c>
      <c r="V1841" s="3">
        <v>1</v>
      </c>
      <c r="W1841" s="3">
        <v>2</v>
      </c>
      <c r="X1841" s="3">
        <v>5</v>
      </c>
    </row>
    <row r="1842" spans="1:24" x14ac:dyDescent="0.35">
      <c r="A1842">
        <v>25</v>
      </c>
      <c r="B1842">
        <v>19414</v>
      </c>
      <c r="C1842">
        <v>39</v>
      </c>
      <c r="D1842">
        <v>1</v>
      </c>
      <c r="E1842" s="28">
        <v>6.6164383561643838</v>
      </c>
      <c r="F1842" s="28"/>
      <c r="G1842" s="28"/>
      <c r="H1842" s="28"/>
      <c r="I1842" s="28"/>
      <c r="J1842" s="28"/>
      <c r="L1842" s="38">
        <v>25</v>
      </c>
      <c r="M1842" s="2">
        <v>32</v>
      </c>
      <c r="N1842" s="2">
        <v>2</v>
      </c>
      <c r="O1842" s="2">
        <v>3</v>
      </c>
      <c r="P1842" s="2">
        <v>12</v>
      </c>
      <c r="Q1842" s="2">
        <v>3</v>
      </c>
      <c r="R1842" s="2">
        <v>5</v>
      </c>
      <c r="S1842" s="2">
        <v>7</v>
      </c>
      <c r="T1842" s="2">
        <v>1</v>
      </c>
      <c r="U1842" s="2">
        <v>1</v>
      </c>
      <c r="V1842" s="2">
        <v>0</v>
      </c>
      <c r="W1842" s="2">
        <v>3</v>
      </c>
      <c r="X1842" s="2">
        <v>8</v>
      </c>
    </row>
    <row r="1843" spans="1:24" x14ac:dyDescent="0.35">
      <c r="A1843">
        <v>25</v>
      </c>
      <c r="B1843">
        <v>22010</v>
      </c>
      <c r="C1843">
        <v>37</v>
      </c>
      <c r="D1843">
        <v>1</v>
      </c>
      <c r="E1843" s="28">
        <v>6.912328767123288</v>
      </c>
      <c r="F1843" s="28"/>
      <c r="G1843" s="28"/>
      <c r="H1843" s="28"/>
      <c r="I1843" s="28"/>
      <c r="J1843" s="28"/>
      <c r="L1843" s="37">
        <v>25</v>
      </c>
      <c r="M1843" s="3">
        <v>51</v>
      </c>
      <c r="N1843" s="3">
        <v>11</v>
      </c>
      <c r="O1843" s="3">
        <v>2</v>
      </c>
      <c r="P1843" s="3">
        <v>9</v>
      </c>
      <c r="Q1843" s="3">
        <v>3</v>
      </c>
      <c r="R1843" s="3">
        <v>0</v>
      </c>
      <c r="S1843" s="3">
        <v>8</v>
      </c>
      <c r="T1843" s="3">
        <v>2</v>
      </c>
      <c r="U1843" s="3">
        <v>2</v>
      </c>
      <c r="V1843" s="3">
        <v>0</v>
      </c>
      <c r="W1843" s="3">
        <v>3</v>
      </c>
      <c r="X1843" s="3">
        <v>8</v>
      </c>
    </row>
    <row r="1844" spans="1:24" x14ac:dyDescent="0.35">
      <c r="A1844">
        <v>25</v>
      </c>
      <c r="B1844">
        <v>22108</v>
      </c>
      <c r="C1844">
        <v>43</v>
      </c>
      <c r="D1844">
        <v>1</v>
      </c>
      <c r="E1844" s="28">
        <v>6.0575342465753428</v>
      </c>
      <c r="F1844" s="28"/>
      <c r="G1844" s="28"/>
      <c r="H1844" s="28"/>
      <c r="I1844" s="28"/>
      <c r="J1844" s="28"/>
      <c r="L1844" s="38">
        <v>25</v>
      </c>
      <c r="M1844" s="2">
        <v>46</v>
      </c>
      <c r="N1844" s="2">
        <v>5</v>
      </c>
      <c r="O1844" s="2">
        <v>3</v>
      </c>
      <c r="P1844" s="2">
        <v>9</v>
      </c>
      <c r="Q1844" s="2">
        <v>6</v>
      </c>
      <c r="R1844" s="2">
        <v>2</v>
      </c>
      <c r="S1844" s="2">
        <v>6</v>
      </c>
      <c r="T1844" s="2">
        <v>2</v>
      </c>
      <c r="U1844" s="2">
        <v>2</v>
      </c>
      <c r="V1844" s="2">
        <v>0</v>
      </c>
      <c r="W1844" s="2">
        <v>3</v>
      </c>
      <c r="X1844" s="2">
        <v>7</v>
      </c>
    </row>
    <row r="1845" spans="1:24" x14ac:dyDescent="0.35">
      <c r="A1845">
        <v>25</v>
      </c>
      <c r="B1845">
        <v>25008</v>
      </c>
      <c r="C1845">
        <v>32</v>
      </c>
      <c r="D1845">
        <v>1</v>
      </c>
      <c r="E1845" s="28">
        <v>6.3178082191780822</v>
      </c>
      <c r="F1845" s="28"/>
      <c r="G1845" s="28"/>
      <c r="H1845" s="28"/>
      <c r="I1845" s="28"/>
      <c r="J1845" s="28"/>
      <c r="L1845" s="37">
        <v>25</v>
      </c>
      <c r="M1845" s="3">
        <v>72</v>
      </c>
      <c r="N1845" s="3">
        <v>2</v>
      </c>
      <c r="O1845" s="3">
        <v>8</v>
      </c>
      <c r="P1845" s="3">
        <v>8</v>
      </c>
      <c r="Q1845" s="3">
        <v>6</v>
      </c>
      <c r="R1845" s="3">
        <v>1</v>
      </c>
      <c r="S1845" s="3">
        <v>9</v>
      </c>
      <c r="T1845" s="3">
        <v>2</v>
      </c>
      <c r="U1845" s="3">
        <v>1</v>
      </c>
      <c r="V1845" s="3">
        <v>0</v>
      </c>
      <c r="W1845" s="3">
        <v>3</v>
      </c>
      <c r="X1845" s="3">
        <v>8</v>
      </c>
    </row>
    <row r="1846" spans="1:24" x14ac:dyDescent="0.35">
      <c r="A1846">
        <v>25</v>
      </c>
      <c r="B1846">
        <v>22804</v>
      </c>
      <c r="C1846">
        <v>49</v>
      </c>
      <c r="D1846">
        <v>1</v>
      </c>
      <c r="E1846" s="28">
        <v>6.8273972602739725</v>
      </c>
      <c r="F1846" s="28"/>
      <c r="G1846" s="28"/>
      <c r="H1846" s="28"/>
      <c r="I1846" s="28"/>
      <c r="J1846" s="28"/>
      <c r="L1846" s="38">
        <v>25</v>
      </c>
      <c r="M1846" s="2">
        <v>75</v>
      </c>
      <c r="N1846" s="2">
        <v>14</v>
      </c>
      <c r="O1846" s="2">
        <v>1</v>
      </c>
      <c r="P1846" s="2">
        <v>7</v>
      </c>
      <c r="Q1846" s="2">
        <v>2</v>
      </c>
      <c r="R1846" s="2">
        <v>1</v>
      </c>
      <c r="S1846" s="2">
        <v>1</v>
      </c>
      <c r="T1846" s="2">
        <v>1</v>
      </c>
      <c r="U1846" s="2">
        <v>2</v>
      </c>
      <c r="V1846" s="2">
        <v>0</v>
      </c>
      <c r="W1846" s="2">
        <v>2</v>
      </c>
      <c r="X1846" s="2">
        <v>9</v>
      </c>
    </row>
    <row r="1847" spans="1:24" x14ac:dyDescent="0.35">
      <c r="A1847">
        <v>25</v>
      </c>
      <c r="B1847">
        <v>25443</v>
      </c>
      <c r="C1847">
        <v>31</v>
      </c>
      <c r="D1847">
        <v>1</v>
      </c>
      <c r="E1847" s="28">
        <v>7.4328767123287669</v>
      </c>
      <c r="F1847" s="28"/>
      <c r="G1847" s="28"/>
      <c r="H1847" s="28"/>
      <c r="I1847" s="28"/>
      <c r="J1847" s="28"/>
      <c r="L1847" s="37">
        <v>25</v>
      </c>
      <c r="M1847" s="3">
        <v>82</v>
      </c>
      <c r="N1847" s="3">
        <v>1</v>
      </c>
      <c r="O1847" s="3">
        <v>4</v>
      </c>
      <c r="P1847" s="3">
        <v>3</v>
      </c>
      <c r="Q1847" s="3">
        <v>8</v>
      </c>
      <c r="R1847" s="3">
        <v>9</v>
      </c>
      <c r="S1847" s="3">
        <v>7</v>
      </c>
      <c r="T1847" s="3">
        <v>1</v>
      </c>
      <c r="U1847" s="3">
        <v>1</v>
      </c>
      <c r="V1847" s="3">
        <v>0</v>
      </c>
      <c r="W1847" s="3">
        <v>3</v>
      </c>
      <c r="X1847" s="3">
        <v>8</v>
      </c>
    </row>
    <row r="1848" spans="1:24" x14ac:dyDescent="0.35">
      <c r="A1848">
        <v>24</v>
      </c>
      <c r="B1848">
        <v>14661</v>
      </c>
      <c r="C1848">
        <v>64</v>
      </c>
      <c r="D1848">
        <v>0</v>
      </c>
      <c r="E1848" s="28">
        <v>7.4054794520547942</v>
      </c>
      <c r="F1848" s="28"/>
      <c r="G1848" s="28"/>
      <c r="H1848" s="28"/>
      <c r="I1848" s="28"/>
      <c r="J1848" s="28"/>
      <c r="L1848" s="38">
        <v>24</v>
      </c>
      <c r="M1848" s="2">
        <v>88</v>
      </c>
      <c r="N1848" s="2">
        <v>4</v>
      </c>
      <c r="O1848" s="2">
        <v>1</v>
      </c>
      <c r="P1848" s="2">
        <v>11</v>
      </c>
      <c r="Q1848" s="2">
        <v>6</v>
      </c>
      <c r="R1848" s="2">
        <v>2</v>
      </c>
      <c r="S1848" s="2">
        <v>2</v>
      </c>
      <c r="T1848" s="2">
        <v>1</v>
      </c>
      <c r="U1848" s="2">
        <v>1</v>
      </c>
      <c r="V1848" s="2">
        <v>0</v>
      </c>
      <c r="W1848" s="2">
        <v>3</v>
      </c>
      <c r="X1848" s="2">
        <v>6</v>
      </c>
    </row>
    <row r="1849" spans="1:24" x14ac:dyDescent="0.35">
      <c r="A1849">
        <v>24</v>
      </c>
      <c r="B1849">
        <v>31353</v>
      </c>
      <c r="C1849">
        <v>43</v>
      </c>
      <c r="D1849">
        <v>1</v>
      </c>
      <c r="E1849" s="28">
        <v>6.4136986301369863</v>
      </c>
      <c r="F1849" s="28"/>
      <c r="G1849" s="28"/>
      <c r="H1849" s="28"/>
      <c r="I1849" s="28"/>
      <c r="J1849" s="28"/>
      <c r="L1849" s="37">
        <v>24</v>
      </c>
      <c r="M1849" s="3">
        <v>24</v>
      </c>
      <c r="N1849" s="3">
        <v>10</v>
      </c>
      <c r="O1849" s="3">
        <v>0</v>
      </c>
      <c r="P1849" s="3">
        <v>10</v>
      </c>
      <c r="Q1849" s="3">
        <v>3</v>
      </c>
      <c r="R1849" s="3">
        <v>1</v>
      </c>
      <c r="S1849" s="3">
        <v>7</v>
      </c>
      <c r="T1849" s="3">
        <v>2</v>
      </c>
      <c r="U1849" s="3">
        <v>1</v>
      </c>
      <c r="V1849" s="3">
        <v>1</v>
      </c>
      <c r="W1849" s="3">
        <v>2</v>
      </c>
      <c r="X1849" s="3">
        <v>8</v>
      </c>
    </row>
    <row r="1850" spans="1:24" x14ac:dyDescent="0.35">
      <c r="A1850">
        <v>24</v>
      </c>
      <c r="B1850">
        <v>31353</v>
      </c>
      <c r="C1850">
        <v>43</v>
      </c>
      <c r="D1850">
        <v>1</v>
      </c>
      <c r="E1850" s="28">
        <v>6.4136986301369863</v>
      </c>
      <c r="F1850" s="28"/>
      <c r="G1850" s="28"/>
      <c r="H1850" s="28"/>
      <c r="I1850" s="28"/>
      <c r="J1850" s="28"/>
      <c r="L1850" s="38">
        <v>24</v>
      </c>
      <c r="M1850" s="2">
        <v>24</v>
      </c>
      <c r="N1850" s="2">
        <v>10</v>
      </c>
      <c r="O1850" s="2">
        <v>0</v>
      </c>
      <c r="P1850" s="2">
        <v>10</v>
      </c>
      <c r="Q1850" s="2">
        <v>3</v>
      </c>
      <c r="R1850" s="2">
        <v>1</v>
      </c>
      <c r="S1850" s="2">
        <v>7</v>
      </c>
      <c r="T1850" s="2">
        <v>2</v>
      </c>
      <c r="U1850" s="2">
        <v>1</v>
      </c>
      <c r="V1850" s="2">
        <v>1</v>
      </c>
      <c r="W1850" s="2">
        <v>2</v>
      </c>
      <c r="X1850" s="2">
        <v>8</v>
      </c>
    </row>
    <row r="1851" spans="1:24" x14ac:dyDescent="0.35">
      <c r="A1851">
        <v>24</v>
      </c>
      <c r="B1851">
        <v>27938</v>
      </c>
      <c r="C1851">
        <v>32</v>
      </c>
      <c r="D1851">
        <v>1</v>
      </c>
      <c r="E1851" s="28">
        <v>6.0849315068493155</v>
      </c>
      <c r="F1851" s="28"/>
      <c r="G1851" s="28"/>
      <c r="H1851" s="28"/>
      <c r="I1851" s="28"/>
      <c r="J1851" s="28"/>
      <c r="L1851" s="37">
        <v>24</v>
      </c>
      <c r="M1851" s="3">
        <v>31</v>
      </c>
      <c r="N1851" s="3">
        <v>13</v>
      </c>
      <c r="O1851" s="3">
        <v>0</v>
      </c>
      <c r="P1851" s="3">
        <v>8</v>
      </c>
      <c r="Q1851" s="3">
        <v>2</v>
      </c>
      <c r="R1851" s="3">
        <v>1</v>
      </c>
      <c r="S1851" s="3">
        <v>5</v>
      </c>
      <c r="T1851" s="3">
        <v>1</v>
      </c>
      <c r="U1851" s="3">
        <v>1</v>
      </c>
      <c r="V1851" s="3">
        <v>0</v>
      </c>
      <c r="W1851" s="3">
        <v>4</v>
      </c>
      <c r="X1851" s="3">
        <v>3</v>
      </c>
    </row>
    <row r="1852" spans="1:24" x14ac:dyDescent="0.35">
      <c r="A1852">
        <v>24</v>
      </c>
      <c r="B1852">
        <v>35388</v>
      </c>
      <c r="C1852">
        <v>32</v>
      </c>
      <c r="D1852">
        <v>1</v>
      </c>
      <c r="E1852" s="28">
        <v>7.2273972602739729</v>
      </c>
      <c r="F1852" s="28"/>
      <c r="G1852" s="28"/>
      <c r="H1852" s="28"/>
      <c r="I1852" s="28"/>
      <c r="J1852" s="28"/>
      <c r="L1852" s="38">
        <v>24</v>
      </c>
      <c r="M1852" s="2">
        <v>20</v>
      </c>
      <c r="N1852" s="2">
        <v>6</v>
      </c>
      <c r="O1852" s="2">
        <v>4</v>
      </c>
      <c r="P1852" s="2">
        <v>7</v>
      </c>
      <c r="Q1852" s="2">
        <v>4</v>
      </c>
      <c r="R1852" s="2">
        <v>3</v>
      </c>
      <c r="S1852" s="2">
        <v>8</v>
      </c>
      <c r="T1852" s="2">
        <v>1</v>
      </c>
      <c r="U1852" s="2">
        <v>1</v>
      </c>
      <c r="V1852" s="2">
        <v>0</v>
      </c>
      <c r="W1852" s="2">
        <v>3</v>
      </c>
      <c r="X1852" s="2">
        <v>7</v>
      </c>
    </row>
    <row r="1853" spans="1:24" x14ac:dyDescent="0.35">
      <c r="A1853">
        <v>24</v>
      </c>
      <c r="B1853">
        <v>25358</v>
      </c>
      <c r="C1853">
        <v>73</v>
      </c>
      <c r="D1853">
        <v>1</v>
      </c>
      <c r="E1853" s="28">
        <v>6.8520547945205479</v>
      </c>
      <c r="F1853" s="28"/>
      <c r="G1853" s="28"/>
      <c r="H1853" s="28"/>
      <c r="I1853" s="28"/>
      <c r="J1853" s="28"/>
      <c r="L1853" s="37">
        <v>24</v>
      </c>
      <c r="M1853" s="3">
        <v>57</v>
      </c>
      <c r="N1853" s="3">
        <v>19</v>
      </c>
      <c r="O1853" s="3">
        <v>0</v>
      </c>
      <c r="P1853" s="3">
        <v>5</v>
      </c>
      <c r="Q1853" s="3">
        <v>0</v>
      </c>
      <c r="R1853" s="3">
        <v>0</v>
      </c>
      <c r="S1853" s="3">
        <v>8</v>
      </c>
      <c r="T1853" s="3">
        <v>2</v>
      </c>
      <c r="U1853" s="3">
        <v>1</v>
      </c>
      <c r="V1853" s="3">
        <v>0</v>
      </c>
      <c r="W1853" s="3">
        <v>3</v>
      </c>
      <c r="X1853" s="3">
        <v>6</v>
      </c>
    </row>
    <row r="1854" spans="1:24" x14ac:dyDescent="0.35">
      <c r="A1854">
        <v>24</v>
      </c>
      <c r="B1854">
        <v>30560</v>
      </c>
      <c r="C1854">
        <v>44</v>
      </c>
      <c r="D1854">
        <v>1</v>
      </c>
      <c r="E1854" s="28">
        <v>6.9205479452054792</v>
      </c>
      <c r="F1854" s="28"/>
      <c r="G1854" s="28"/>
      <c r="H1854" s="28"/>
      <c r="I1854" s="28"/>
      <c r="J1854" s="28"/>
      <c r="L1854" s="38">
        <v>24</v>
      </c>
      <c r="M1854" s="2">
        <v>6</v>
      </c>
      <c r="N1854" s="2">
        <v>9</v>
      </c>
      <c r="O1854" s="2">
        <v>1</v>
      </c>
      <c r="P1854" s="2">
        <v>5</v>
      </c>
      <c r="Q1854" s="2">
        <v>4</v>
      </c>
      <c r="R1854" s="2">
        <v>5</v>
      </c>
      <c r="S1854" s="2">
        <v>7</v>
      </c>
      <c r="T1854" s="2">
        <v>1</v>
      </c>
      <c r="U1854" s="2">
        <v>1</v>
      </c>
      <c r="V1854" s="2">
        <v>0</v>
      </c>
      <c r="W1854" s="2">
        <v>3</v>
      </c>
      <c r="X1854" s="2">
        <v>7</v>
      </c>
    </row>
    <row r="1855" spans="1:24" x14ac:dyDescent="0.35">
      <c r="A1855">
        <v>24</v>
      </c>
      <c r="B1855">
        <v>36283</v>
      </c>
      <c r="C1855">
        <v>44</v>
      </c>
      <c r="D1855">
        <v>1</v>
      </c>
      <c r="E1855" s="28">
        <v>6.1232876712328768</v>
      </c>
      <c r="F1855" s="28"/>
      <c r="G1855" s="28"/>
      <c r="H1855" s="28"/>
      <c r="I1855" s="28"/>
      <c r="J1855" s="28"/>
      <c r="L1855" s="37">
        <v>24</v>
      </c>
      <c r="M1855" s="3">
        <v>42</v>
      </c>
      <c r="N1855" s="3">
        <v>6</v>
      </c>
      <c r="O1855" s="3">
        <v>5</v>
      </c>
      <c r="P1855" s="3">
        <v>5</v>
      </c>
      <c r="Q1855" s="3">
        <v>8</v>
      </c>
      <c r="R1855" s="3">
        <v>0</v>
      </c>
      <c r="S1855" s="3">
        <v>5</v>
      </c>
      <c r="T1855" s="3">
        <v>2</v>
      </c>
      <c r="U1855" s="3">
        <v>1</v>
      </c>
      <c r="V1855" s="3">
        <v>0</v>
      </c>
      <c r="W1855" s="3">
        <v>3</v>
      </c>
      <c r="X1855" s="3">
        <v>4</v>
      </c>
    </row>
    <row r="1856" spans="1:24" x14ac:dyDescent="0.35">
      <c r="A1856">
        <v>24</v>
      </c>
      <c r="B1856">
        <v>16860</v>
      </c>
      <c r="C1856">
        <v>59</v>
      </c>
      <c r="D1856">
        <v>1</v>
      </c>
      <c r="E1856" s="28">
        <v>7.7095890410958905</v>
      </c>
      <c r="F1856" s="28"/>
      <c r="G1856" s="28"/>
      <c r="H1856" s="28"/>
      <c r="I1856" s="28"/>
      <c r="J1856" s="28"/>
      <c r="L1856" s="38">
        <v>24</v>
      </c>
      <c r="M1856" s="2">
        <v>19</v>
      </c>
      <c r="N1856" s="2">
        <v>10</v>
      </c>
      <c r="O1856" s="2">
        <v>4</v>
      </c>
      <c r="P1856" s="2">
        <v>4</v>
      </c>
      <c r="Q1856" s="2">
        <v>3</v>
      </c>
      <c r="R1856" s="2">
        <v>3</v>
      </c>
      <c r="S1856" s="2">
        <v>14</v>
      </c>
      <c r="T1856" s="2">
        <v>3</v>
      </c>
      <c r="U1856" s="2">
        <v>1</v>
      </c>
      <c r="V1856" s="2">
        <v>1</v>
      </c>
      <c r="W1856" s="2">
        <v>3</v>
      </c>
      <c r="X1856" s="2">
        <v>7</v>
      </c>
    </row>
    <row r="1857" spans="1:24" x14ac:dyDescent="0.35">
      <c r="A1857">
        <v>24</v>
      </c>
      <c r="B1857">
        <v>26887</v>
      </c>
      <c r="C1857">
        <v>61</v>
      </c>
      <c r="D1857">
        <v>1</v>
      </c>
      <c r="E1857" s="28">
        <v>7.2958904109589042</v>
      </c>
      <c r="F1857" s="28"/>
      <c r="G1857" s="28"/>
      <c r="H1857" s="28"/>
      <c r="I1857" s="28"/>
      <c r="J1857" s="28"/>
      <c r="L1857" s="37">
        <v>24</v>
      </c>
      <c r="M1857" s="3">
        <v>27</v>
      </c>
      <c r="N1857" s="3">
        <v>6</v>
      </c>
      <c r="O1857" s="3">
        <v>7</v>
      </c>
      <c r="P1857" s="3">
        <v>4</v>
      </c>
      <c r="Q1857" s="3">
        <v>3</v>
      </c>
      <c r="R1857" s="3">
        <v>4</v>
      </c>
      <c r="S1857" s="3">
        <v>6</v>
      </c>
      <c r="T1857" s="3">
        <v>1</v>
      </c>
      <c r="U1857" s="3">
        <v>1</v>
      </c>
      <c r="V1857" s="3">
        <v>0</v>
      </c>
      <c r="W1857" s="3">
        <v>3</v>
      </c>
      <c r="X1857" s="3">
        <v>6</v>
      </c>
    </row>
    <row r="1858" spans="1:24" x14ac:dyDescent="0.35">
      <c r="A1858">
        <v>24</v>
      </c>
      <c r="B1858">
        <v>42664</v>
      </c>
      <c r="C1858">
        <v>53</v>
      </c>
      <c r="D1858">
        <v>1</v>
      </c>
      <c r="E1858" s="28">
        <v>6.1972602739726028</v>
      </c>
      <c r="F1858" s="28"/>
      <c r="G1858" s="28"/>
      <c r="H1858" s="28"/>
      <c r="I1858" s="28"/>
      <c r="J1858" s="28"/>
      <c r="L1858" s="38">
        <v>24</v>
      </c>
      <c r="M1858" s="2">
        <v>44</v>
      </c>
      <c r="N1858" s="2">
        <v>21</v>
      </c>
      <c r="O1858" s="2">
        <v>0</v>
      </c>
      <c r="P1858" s="2">
        <v>3</v>
      </c>
      <c r="Q1858" s="2">
        <v>0</v>
      </c>
      <c r="R1858" s="2">
        <v>0</v>
      </c>
      <c r="S1858" s="2">
        <v>0</v>
      </c>
      <c r="T1858" s="2">
        <v>1</v>
      </c>
      <c r="U1858" s="2">
        <v>1</v>
      </c>
      <c r="V1858" s="2">
        <v>0</v>
      </c>
      <c r="W1858" s="2">
        <v>3</v>
      </c>
      <c r="X1858" s="2">
        <v>6</v>
      </c>
    </row>
    <row r="1859" spans="1:24" x14ac:dyDescent="0.35">
      <c r="A1859">
        <v>23</v>
      </c>
      <c r="B1859">
        <v>28520</v>
      </c>
      <c r="C1859">
        <v>60</v>
      </c>
      <c r="D1859">
        <v>1</v>
      </c>
      <c r="E1859" s="28">
        <v>6.956164383561644</v>
      </c>
      <c r="F1859" s="28"/>
      <c r="G1859" s="28"/>
      <c r="H1859" s="28"/>
      <c r="I1859" s="28"/>
      <c r="J1859" s="28"/>
      <c r="L1859" s="37">
        <v>23</v>
      </c>
      <c r="M1859" s="3">
        <v>55</v>
      </c>
      <c r="N1859" s="3">
        <v>11</v>
      </c>
      <c r="O1859" s="3">
        <v>0</v>
      </c>
      <c r="P1859" s="3">
        <v>10</v>
      </c>
      <c r="Q1859" s="3">
        <v>0</v>
      </c>
      <c r="R1859" s="3">
        <v>2</v>
      </c>
      <c r="S1859" s="3">
        <v>20</v>
      </c>
      <c r="T1859" s="3">
        <v>1</v>
      </c>
      <c r="U1859" s="3">
        <v>1</v>
      </c>
      <c r="V1859" s="3">
        <v>1</v>
      </c>
      <c r="W1859" s="3">
        <v>2</v>
      </c>
      <c r="X1859" s="3">
        <v>6</v>
      </c>
    </row>
    <row r="1860" spans="1:24" x14ac:dyDescent="0.35">
      <c r="A1860">
        <v>23</v>
      </c>
      <c r="B1860">
        <v>37971</v>
      </c>
      <c r="C1860">
        <v>47</v>
      </c>
      <c r="D1860">
        <v>1</v>
      </c>
      <c r="E1860" s="28">
        <v>6.506849315068493</v>
      </c>
      <c r="F1860" s="28"/>
      <c r="G1860" s="28"/>
      <c r="H1860" s="28"/>
      <c r="I1860" s="28"/>
      <c r="J1860" s="28"/>
      <c r="L1860" s="38">
        <v>23</v>
      </c>
      <c r="M1860" s="2">
        <v>97</v>
      </c>
      <c r="N1860" s="2">
        <v>5</v>
      </c>
      <c r="O1860" s="2">
        <v>4</v>
      </c>
      <c r="P1860" s="2">
        <v>10</v>
      </c>
      <c r="Q1860" s="2">
        <v>2</v>
      </c>
      <c r="R1860" s="2">
        <v>2</v>
      </c>
      <c r="S1860" s="2">
        <v>7</v>
      </c>
      <c r="T1860" s="2">
        <v>1</v>
      </c>
      <c r="U1860" s="2">
        <v>1</v>
      </c>
      <c r="V1860" s="2">
        <v>0</v>
      </c>
      <c r="W1860" s="2">
        <v>3</v>
      </c>
      <c r="X1860" s="2">
        <v>8</v>
      </c>
    </row>
    <row r="1861" spans="1:24" x14ac:dyDescent="0.35">
      <c r="A1861">
        <v>23</v>
      </c>
      <c r="B1861">
        <v>19510</v>
      </c>
      <c r="C1861">
        <v>35</v>
      </c>
      <c r="D1861">
        <v>1</v>
      </c>
      <c r="E1861" s="28">
        <v>6.7315068493150685</v>
      </c>
      <c r="F1861" s="28"/>
      <c r="G1861" s="28"/>
      <c r="H1861" s="28"/>
      <c r="I1861" s="28"/>
      <c r="J1861" s="28"/>
      <c r="L1861" s="37">
        <v>23</v>
      </c>
      <c r="M1861" s="3">
        <v>63</v>
      </c>
      <c r="N1861" s="3">
        <v>9</v>
      </c>
      <c r="O1861" s="3">
        <v>0</v>
      </c>
      <c r="P1861" s="3">
        <v>7</v>
      </c>
      <c r="Q1861" s="3">
        <v>3</v>
      </c>
      <c r="R1861" s="3">
        <v>4</v>
      </c>
      <c r="S1861" s="3">
        <v>7</v>
      </c>
      <c r="T1861" s="3">
        <v>2</v>
      </c>
      <c r="U1861" s="3">
        <v>1</v>
      </c>
      <c r="V1861" s="3">
        <v>0</v>
      </c>
      <c r="W1861" s="3">
        <v>3</v>
      </c>
      <c r="X1861" s="3">
        <v>7</v>
      </c>
    </row>
    <row r="1862" spans="1:24" x14ac:dyDescent="0.35">
      <c r="A1862">
        <v>23</v>
      </c>
      <c r="B1862">
        <v>44689</v>
      </c>
      <c r="C1862">
        <v>69</v>
      </c>
      <c r="D1862">
        <v>1</v>
      </c>
      <c r="E1862" s="28">
        <v>6.3808219178082188</v>
      </c>
      <c r="F1862" s="28"/>
      <c r="G1862" s="28"/>
      <c r="H1862" s="28"/>
      <c r="I1862" s="28"/>
      <c r="J1862" s="28"/>
      <c r="L1862" s="38">
        <v>23</v>
      </c>
      <c r="M1862" s="2">
        <v>82</v>
      </c>
      <c r="N1862" s="2">
        <v>18</v>
      </c>
      <c r="O1862" s="2">
        <v>0</v>
      </c>
      <c r="P1862" s="2">
        <v>5</v>
      </c>
      <c r="Q1862" s="2">
        <v>0</v>
      </c>
      <c r="R1862" s="2">
        <v>0</v>
      </c>
      <c r="S1862" s="2">
        <v>11</v>
      </c>
      <c r="T1862" s="2">
        <v>2</v>
      </c>
      <c r="U1862" s="2">
        <v>1</v>
      </c>
      <c r="V1862" s="2">
        <v>1</v>
      </c>
      <c r="W1862" s="2">
        <v>2</v>
      </c>
      <c r="X1862" s="2">
        <v>7</v>
      </c>
    </row>
    <row r="1863" spans="1:24" x14ac:dyDescent="0.35">
      <c r="A1863">
        <v>22</v>
      </c>
      <c r="B1863">
        <v>24206</v>
      </c>
      <c r="C1863">
        <v>50</v>
      </c>
      <c r="D1863">
        <v>1</v>
      </c>
      <c r="E1863" s="28">
        <v>7.2246575342465755</v>
      </c>
      <c r="F1863" s="28"/>
      <c r="G1863" s="28"/>
      <c r="H1863" s="28"/>
      <c r="I1863" s="28"/>
      <c r="J1863" s="28"/>
      <c r="L1863" s="37">
        <v>22</v>
      </c>
      <c r="M1863" s="3">
        <v>66</v>
      </c>
      <c r="N1863" s="3">
        <v>7</v>
      </c>
      <c r="O1863" s="3">
        <v>2</v>
      </c>
      <c r="P1863" s="3">
        <v>8</v>
      </c>
      <c r="Q1863" s="3">
        <v>3</v>
      </c>
      <c r="R1863" s="3">
        <v>2</v>
      </c>
      <c r="S1863" s="3">
        <v>3</v>
      </c>
      <c r="T1863" s="3">
        <v>1</v>
      </c>
      <c r="U1863" s="3">
        <v>1</v>
      </c>
      <c r="V1863" s="3">
        <v>0</v>
      </c>
      <c r="W1863" s="3">
        <v>3</v>
      </c>
      <c r="X1863" s="3">
        <v>6</v>
      </c>
    </row>
    <row r="1864" spans="1:24" x14ac:dyDescent="0.35">
      <c r="A1864">
        <v>22</v>
      </c>
      <c r="B1864">
        <v>30833</v>
      </c>
      <c r="C1864">
        <v>69</v>
      </c>
      <c r="D1864">
        <v>1</v>
      </c>
      <c r="E1864" s="28">
        <v>6.8684931506849312</v>
      </c>
      <c r="F1864" s="28"/>
      <c r="G1864" s="28"/>
      <c r="H1864" s="28"/>
      <c r="I1864" s="28"/>
      <c r="J1864" s="28"/>
      <c r="L1864" s="38">
        <v>22</v>
      </c>
      <c r="M1864" s="2">
        <v>33</v>
      </c>
      <c r="N1864" s="2">
        <v>11</v>
      </c>
      <c r="O1864" s="2">
        <v>0</v>
      </c>
      <c r="P1864" s="2">
        <v>7</v>
      </c>
      <c r="Q1864" s="2">
        <v>3</v>
      </c>
      <c r="R1864" s="2">
        <v>1</v>
      </c>
      <c r="S1864" s="2">
        <v>6</v>
      </c>
      <c r="T1864" s="2">
        <v>2</v>
      </c>
      <c r="U1864" s="2">
        <v>1</v>
      </c>
      <c r="V1864" s="2">
        <v>0</v>
      </c>
      <c r="W1864" s="2">
        <v>3</v>
      </c>
      <c r="X1864" s="2">
        <v>5</v>
      </c>
    </row>
    <row r="1865" spans="1:24" x14ac:dyDescent="0.35">
      <c r="A1865">
        <v>22</v>
      </c>
      <c r="B1865">
        <v>23442</v>
      </c>
      <c r="C1865">
        <v>33</v>
      </c>
      <c r="D1865">
        <v>1</v>
      </c>
      <c r="E1865" s="28">
        <v>7.4273972602739722</v>
      </c>
      <c r="F1865" s="28"/>
      <c r="G1865" s="28"/>
      <c r="H1865" s="28"/>
      <c r="I1865" s="28"/>
      <c r="J1865" s="28"/>
      <c r="L1865" s="37">
        <v>22</v>
      </c>
      <c r="M1865" s="3">
        <v>71</v>
      </c>
      <c r="N1865" s="3">
        <v>2</v>
      </c>
      <c r="O1865" s="3">
        <v>0</v>
      </c>
      <c r="P1865" s="3">
        <v>6</v>
      </c>
      <c r="Q1865" s="3">
        <v>8</v>
      </c>
      <c r="R1865" s="3">
        <v>6</v>
      </c>
      <c r="S1865" s="3">
        <v>5</v>
      </c>
      <c r="T1865" s="3">
        <v>1</v>
      </c>
      <c r="U1865" s="3">
        <v>1</v>
      </c>
      <c r="V1865" s="3">
        <v>0</v>
      </c>
      <c r="W1865" s="3">
        <v>3</v>
      </c>
      <c r="X1865" s="3">
        <v>7</v>
      </c>
    </row>
    <row r="1866" spans="1:24" x14ac:dyDescent="0.35">
      <c r="A1866">
        <v>22</v>
      </c>
      <c r="B1866">
        <v>30396</v>
      </c>
      <c r="C1866">
        <v>51</v>
      </c>
      <c r="D1866">
        <v>1</v>
      </c>
      <c r="E1866" s="28">
        <v>6.0794520547945208</v>
      </c>
      <c r="F1866" s="28"/>
      <c r="G1866" s="28"/>
      <c r="H1866" s="28"/>
      <c r="I1866" s="28"/>
      <c r="J1866" s="28"/>
      <c r="L1866" s="38">
        <v>22</v>
      </c>
      <c r="M1866" s="2">
        <v>22</v>
      </c>
      <c r="N1866" s="2">
        <v>15</v>
      </c>
      <c r="O1866" s="2">
        <v>0</v>
      </c>
      <c r="P1866" s="2">
        <v>6</v>
      </c>
      <c r="Q1866" s="2">
        <v>0</v>
      </c>
      <c r="R1866" s="2">
        <v>1</v>
      </c>
      <c r="S1866" s="2">
        <v>12</v>
      </c>
      <c r="T1866" s="2">
        <v>2</v>
      </c>
      <c r="U1866" s="2">
        <v>1</v>
      </c>
      <c r="V1866" s="2">
        <v>1</v>
      </c>
      <c r="W1866" s="2">
        <v>2</v>
      </c>
      <c r="X1866" s="2">
        <v>7</v>
      </c>
    </row>
    <row r="1867" spans="1:24" x14ac:dyDescent="0.35">
      <c r="A1867">
        <v>22</v>
      </c>
      <c r="B1867">
        <v>23661</v>
      </c>
      <c r="C1867">
        <v>38</v>
      </c>
      <c r="D1867">
        <v>1</v>
      </c>
      <c r="E1867" s="28">
        <v>6.4821917808219176</v>
      </c>
      <c r="F1867" s="28"/>
      <c r="G1867" s="28"/>
      <c r="H1867" s="28"/>
      <c r="I1867" s="28"/>
      <c r="J1867" s="28"/>
      <c r="L1867" s="37">
        <v>22</v>
      </c>
      <c r="M1867" s="3">
        <v>46</v>
      </c>
      <c r="N1867" s="3">
        <v>18</v>
      </c>
      <c r="O1867" s="3">
        <v>0</v>
      </c>
      <c r="P1867" s="3">
        <v>4</v>
      </c>
      <c r="Q1867" s="3">
        <v>0</v>
      </c>
      <c r="R1867" s="3">
        <v>0</v>
      </c>
      <c r="S1867" s="3">
        <v>1</v>
      </c>
      <c r="T1867" s="3">
        <v>1</v>
      </c>
      <c r="U1867" s="3">
        <v>1</v>
      </c>
      <c r="V1867" s="3">
        <v>0</v>
      </c>
      <c r="W1867" s="3">
        <v>3</v>
      </c>
      <c r="X1867" s="3">
        <v>7</v>
      </c>
    </row>
    <row r="1868" spans="1:24" x14ac:dyDescent="0.35">
      <c r="A1868">
        <v>22</v>
      </c>
      <c r="B1868">
        <v>20130</v>
      </c>
      <c r="C1868">
        <v>46</v>
      </c>
      <c r="D1868">
        <v>0</v>
      </c>
      <c r="E1868" s="28">
        <v>6.2</v>
      </c>
      <c r="F1868" s="28"/>
      <c r="G1868" s="28"/>
      <c r="H1868" s="28"/>
      <c r="I1868" s="28"/>
      <c r="J1868" s="28"/>
      <c r="L1868" s="38">
        <v>22</v>
      </c>
      <c r="M1868" s="2">
        <v>99</v>
      </c>
      <c r="N1868" s="2">
        <v>0</v>
      </c>
      <c r="O1868" s="2">
        <v>6</v>
      </c>
      <c r="P1868" s="2">
        <v>3</v>
      </c>
      <c r="Q1868" s="2">
        <v>7</v>
      </c>
      <c r="R1868" s="2">
        <v>6</v>
      </c>
      <c r="S1868" s="2">
        <v>12</v>
      </c>
      <c r="T1868" s="2">
        <v>1</v>
      </c>
      <c r="U1868" s="2">
        <v>1</v>
      </c>
      <c r="V1868" s="2">
        <v>0</v>
      </c>
      <c r="W1868" s="2">
        <v>3</v>
      </c>
      <c r="X1868" s="2">
        <v>8</v>
      </c>
    </row>
    <row r="1869" spans="1:24" x14ac:dyDescent="0.35">
      <c r="A1869">
        <v>22</v>
      </c>
      <c r="B1869">
        <v>18978</v>
      </c>
      <c r="C1869">
        <v>47</v>
      </c>
      <c r="D1869">
        <v>1</v>
      </c>
      <c r="E1869" s="28">
        <v>7.463013698630137</v>
      </c>
      <c r="F1869" s="28"/>
      <c r="G1869" s="28"/>
      <c r="H1869" s="28"/>
      <c r="I1869" s="28"/>
      <c r="J1869" s="28"/>
      <c r="L1869" s="37">
        <v>22</v>
      </c>
      <c r="M1869" s="3">
        <v>41</v>
      </c>
      <c r="N1869" s="3">
        <v>2</v>
      </c>
      <c r="O1869" s="3">
        <v>8</v>
      </c>
      <c r="P1869" s="3">
        <v>1</v>
      </c>
      <c r="Q1869" s="3">
        <v>4</v>
      </c>
      <c r="R1869" s="3">
        <v>7</v>
      </c>
      <c r="S1869" s="3">
        <v>15</v>
      </c>
      <c r="T1869" s="3">
        <v>1</v>
      </c>
      <c r="U1869" s="3">
        <v>1</v>
      </c>
      <c r="V1869" s="3">
        <v>0</v>
      </c>
      <c r="W1869" s="3">
        <v>3</v>
      </c>
      <c r="X1869" s="3">
        <v>8</v>
      </c>
    </row>
    <row r="1870" spans="1:24" x14ac:dyDescent="0.35">
      <c r="A1870">
        <v>21</v>
      </c>
      <c r="B1870">
        <v>34421</v>
      </c>
      <c r="C1870">
        <v>46</v>
      </c>
      <c r="D1870">
        <v>1</v>
      </c>
      <c r="E1870" s="28">
        <v>6.9095890410958907</v>
      </c>
      <c r="F1870" s="28"/>
      <c r="G1870" s="28"/>
      <c r="H1870" s="28"/>
      <c r="I1870" s="28"/>
      <c r="J1870" s="28"/>
      <c r="L1870" s="38">
        <v>21</v>
      </c>
      <c r="M1870" s="2">
        <v>81</v>
      </c>
      <c r="N1870" s="2">
        <v>3</v>
      </c>
      <c r="O1870" s="2">
        <v>3</v>
      </c>
      <c r="P1870" s="2">
        <v>7</v>
      </c>
      <c r="Q1870" s="2">
        <v>6</v>
      </c>
      <c r="R1870" s="2">
        <v>2</v>
      </c>
      <c r="S1870" s="2">
        <v>9</v>
      </c>
      <c r="T1870" s="2">
        <v>1</v>
      </c>
      <c r="U1870" s="2">
        <v>1</v>
      </c>
      <c r="V1870" s="2">
        <v>0</v>
      </c>
      <c r="W1870" s="2">
        <v>2</v>
      </c>
      <c r="X1870" s="2">
        <v>7</v>
      </c>
    </row>
    <row r="1871" spans="1:24" x14ac:dyDescent="0.35">
      <c r="A1871">
        <v>21</v>
      </c>
      <c r="B1871">
        <v>46344</v>
      </c>
      <c r="C1871">
        <v>66</v>
      </c>
      <c r="D1871">
        <v>1</v>
      </c>
      <c r="E1871" s="28">
        <v>6.2246575342465755</v>
      </c>
      <c r="F1871" s="28"/>
      <c r="G1871" s="28"/>
      <c r="H1871" s="28"/>
      <c r="I1871" s="28"/>
      <c r="J1871" s="28"/>
      <c r="L1871" s="37">
        <v>21</v>
      </c>
      <c r="M1871" s="3">
        <v>38</v>
      </c>
      <c r="N1871" s="3">
        <v>11</v>
      </c>
      <c r="O1871" s="3">
        <v>1</v>
      </c>
      <c r="P1871" s="3">
        <v>6</v>
      </c>
      <c r="Q1871" s="3">
        <v>2</v>
      </c>
      <c r="R1871" s="3">
        <v>1</v>
      </c>
      <c r="S1871" s="3">
        <v>6</v>
      </c>
      <c r="T1871" s="3">
        <v>2</v>
      </c>
      <c r="U1871" s="3">
        <v>1</v>
      </c>
      <c r="V1871" s="3">
        <v>1</v>
      </c>
      <c r="W1871" s="3">
        <v>2</v>
      </c>
      <c r="X1871" s="3">
        <v>5</v>
      </c>
    </row>
    <row r="1872" spans="1:24" x14ac:dyDescent="0.35">
      <c r="A1872">
        <v>21</v>
      </c>
      <c r="B1872">
        <v>16529</v>
      </c>
      <c r="C1872">
        <v>36</v>
      </c>
      <c r="D1872">
        <v>1</v>
      </c>
      <c r="E1872" s="28">
        <v>6.2438356164383562</v>
      </c>
      <c r="F1872" s="28"/>
      <c r="G1872" s="28"/>
      <c r="H1872" s="28"/>
      <c r="I1872" s="28"/>
      <c r="J1872" s="28"/>
      <c r="L1872" s="38">
        <v>21</v>
      </c>
      <c r="M1872" s="2">
        <v>23</v>
      </c>
      <c r="N1872" s="2">
        <v>3</v>
      </c>
      <c r="O1872" s="2">
        <v>0</v>
      </c>
      <c r="P1872" s="2">
        <v>5</v>
      </c>
      <c r="Q1872" s="2">
        <v>13</v>
      </c>
      <c r="R1872" s="2">
        <v>0</v>
      </c>
      <c r="S1872" s="2">
        <v>1</v>
      </c>
      <c r="T1872" s="2">
        <v>1</v>
      </c>
      <c r="U1872" s="2">
        <v>1</v>
      </c>
      <c r="V1872" s="2">
        <v>0</v>
      </c>
      <c r="W1872" s="2">
        <v>3</v>
      </c>
      <c r="X1872" s="2">
        <v>6</v>
      </c>
    </row>
    <row r="1873" spans="1:24" x14ac:dyDescent="0.35">
      <c r="A1873">
        <v>21</v>
      </c>
      <c r="B1873">
        <v>45684</v>
      </c>
      <c r="C1873">
        <v>49</v>
      </c>
      <c r="D1873">
        <v>1</v>
      </c>
      <c r="E1873" s="28">
        <v>6.4876712328767123</v>
      </c>
      <c r="F1873" s="28"/>
      <c r="G1873" s="28"/>
      <c r="H1873" s="28"/>
      <c r="I1873" s="28"/>
      <c r="J1873" s="28"/>
      <c r="L1873" s="37">
        <v>21</v>
      </c>
      <c r="M1873" s="3">
        <v>37</v>
      </c>
      <c r="N1873" s="3">
        <v>5</v>
      </c>
      <c r="O1873" s="3">
        <v>1</v>
      </c>
      <c r="P1873" s="3">
        <v>5</v>
      </c>
      <c r="Q1873" s="3">
        <v>10</v>
      </c>
      <c r="R1873" s="3">
        <v>0</v>
      </c>
      <c r="S1873" s="3">
        <v>7</v>
      </c>
      <c r="T1873" s="3">
        <v>1</v>
      </c>
      <c r="U1873" s="3">
        <v>1</v>
      </c>
      <c r="V1873" s="3">
        <v>0</v>
      </c>
      <c r="W1873" s="3">
        <v>2</v>
      </c>
      <c r="X1873" s="3">
        <v>7</v>
      </c>
    </row>
    <row r="1874" spans="1:24" x14ac:dyDescent="0.35">
      <c r="A1874">
        <v>21</v>
      </c>
      <c r="B1874">
        <v>22390</v>
      </c>
      <c r="C1874">
        <v>51</v>
      </c>
      <c r="D1874">
        <v>0</v>
      </c>
      <c r="E1874" s="28">
        <v>6.602739726027397</v>
      </c>
      <c r="F1874" s="28"/>
      <c r="G1874" s="28"/>
      <c r="H1874" s="28"/>
      <c r="I1874" s="28"/>
      <c r="J1874" s="28"/>
      <c r="L1874" s="38">
        <v>21</v>
      </c>
      <c r="M1874" s="2">
        <v>49</v>
      </c>
      <c r="N1874" s="2">
        <v>0</v>
      </c>
      <c r="O1874" s="2">
        <v>1</v>
      </c>
      <c r="P1874" s="2">
        <v>4</v>
      </c>
      <c r="Q1874" s="2">
        <v>15</v>
      </c>
      <c r="R1874" s="2">
        <v>1</v>
      </c>
      <c r="S1874" s="2">
        <v>5</v>
      </c>
      <c r="T1874" s="2">
        <v>1</v>
      </c>
      <c r="U1874" s="2">
        <v>1</v>
      </c>
      <c r="V1874" s="2">
        <v>0</v>
      </c>
      <c r="W1874" s="2">
        <v>2</v>
      </c>
      <c r="X1874" s="2">
        <v>7</v>
      </c>
    </row>
    <row r="1875" spans="1:24" x14ac:dyDescent="0.35">
      <c r="A1875">
        <v>20</v>
      </c>
      <c r="B1875">
        <v>37368</v>
      </c>
      <c r="C1875">
        <v>45</v>
      </c>
      <c r="D1875">
        <v>1</v>
      </c>
      <c r="E1875" s="28">
        <v>6.4493150684931511</v>
      </c>
      <c r="F1875" s="28"/>
      <c r="G1875" s="28"/>
      <c r="H1875" s="28"/>
      <c r="I1875" s="28"/>
      <c r="J1875" s="28"/>
      <c r="L1875" s="37">
        <v>20</v>
      </c>
      <c r="M1875" s="3">
        <v>4</v>
      </c>
      <c r="N1875" s="3">
        <v>3</v>
      </c>
      <c r="O1875" s="3">
        <v>2</v>
      </c>
      <c r="P1875" s="3">
        <v>11</v>
      </c>
      <c r="Q1875" s="3">
        <v>2</v>
      </c>
      <c r="R1875" s="3">
        <v>2</v>
      </c>
      <c r="S1875" s="3">
        <v>10</v>
      </c>
      <c r="T1875" s="3">
        <v>1</v>
      </c>
      <c r="U1875" s="3">
        <v>1</v>
      </c>
      <c r="V1875" s="3">
        <v>0</v>
      </c>
      <c r="W1875" s="3">
        <v>2</v>
      </c>
      <c r="X1875" s="3">
        <v>6</v>
      </c>
    </row>
    <row r="1876" spans="1:24" x14ac:dyDescent="0.35">
      <c r="A1876">
        <v>20</v>
      </c>
      <c r="B1876">
        <v>13672</v>
      </c>
      <c r="C1876">
        <v>60</v>
      </c>
      <c r="D1876">
        <v>1</v>
      </c>
      <c r="E1876" s="28">
        <v>7.1150684931506847</v>
      </c>
      <c r="F1876" s="28"/>
      <c r="G1876" s="28"/>
      <c r="H1876" s="28"/>
      <c r="I1876" s="28"/>
      <c r="J1876" s="28"/>
      <c r="L1876" s="38">
        <v>20</v>
      </c>
      <c r="M1876" s="2">
        <v>86</v>
      </c>
      <c r="N1876" s="2">
        <v>6</v>
      </c>
      <c r="O1876" s="2">
        <v>2</v>
      </c>
      <c r="P1876" s="2">
        <v>9</v>
      </c>
      <c r="Q1876" s="2">
        <v>2</v>
      </c>
      <c r="R1876" s="2">
        <v>1</v>
      </c>
      <c r="S1876" s="2">
        <v>5</v>
      </c>
      <c r="T1876" s="2">
        <v>2</v>
      </c>
      <c r="U1876" s="2">
        <v>1</v>
      </c>
      <c r="V1876" s="2">
        <v>0</v>
      </c>
      <c r="W1876" s="2">
        <v>3</v>
      </c>
      <c r="X1876" s="2">
        <v>8</v>
      </c>
    </row>
    <row r="1877" spans="1:24" x14ac:dyDescent="0.35">
      <c r="A1877">
        <v>20</v>
      </c>
      <c r="B1877">
        <v>19346</v>
      </c>
      <c r="C1877">
        <v>46</v>
      </c>
      <c r="D1877">
        <v>1</v>
      </c>
      <c r="E1877" s="28">
        <v>6.3260273972602743</v>
      </c>
      <c r="F1877" s="28"/>
      <c r="G1877" s="28"/>
      <c r="H1877" s="28"/>
      <c r="I1877" s="28"/>
      <c r="J1877" s="28"/>
      <c r="L1877" s="37">
        <v>20</v>
      </c>
      <c r="M1877" s="3">
        <v>26</v>
      </c>
      <c r="N1877" s="3">
        <v>2</v>
      </c>
      <c r="O1877" s="3">
        <v>0</v>
      </c>
      <c r="P1877" s="3">
        <v>9</v>
      </c>
      <c r="Q1877" s="3">
        <v>3</v>
      </c>
      <c r="R1877" s="3">
        <v>6</v>
      </c>
      <c r="S1877" s="3">
        <v>2</v>
      </c>
      <c r="T1877" s="3">
        <v>1</v>
      </c>
      <c r="U1877" s="3">
        <v>1</v>
      </c>
      <c r="V1877" s="3">
        <v>0</v>
      </c>
      <c r="W1877" s="3">
        <v>3</v>
      </c>
      <c r="X1877" s="3">
        <v>8</v>
      </c>
    </row>
    <row r="1878" spans="1:24" x14ac:dyDescent="0.35">
      <c r="A1878">
        <v>20</v>
      </c>
      <c r="B1878">
        <v>34587</v>
      </c>
      <c r="C1878">
        <v>67</v>
      </c>
      <c r="D1878">
        <v>1</v>
      </c>
      <c r="E1878" s="28">
        <v>6.0356164383561648</v>
      </c>
      <c r="F1878" s="28"/>
      <c r="G1878" s="28"/>
      <c r="H1878" s="28"/>
      <c r="I1878" s="28"/>
      <c r="J1878" s="28"/>
      <c r="L1878" s="38">
        <v>20</v>
      </c>
      <c r="M1878" s="2">
        <v>68</v>
      </c>
      <c r="N1878" s="2">
        <v>7</v>
      </c>
      <c r="O1878" s="2">
        <v>2</v>
      </c>
      <c r="P1878" s="2">
        <v>9</v>
      </c>
      <c r="Q1878" s="2">
        <v>2</v>
      </c>
      <c r="R1878" s="2">
        <v>0</v>
      </c>
      <c r="S1878" s="2">
        <v>2</v>
      </c>
      <c r="T1878" s="2">
        <v>2</v>
      </c>
      <c r="U1878" s="2">
        <v>1</v>
      </c>
      <c r="V1878" s="2">
        <v>0</v>
      </c>
      <c r="W1878" s="2">
        <v>3</v>
      </c>
      <c r="X1878" s="2">
        <v>4</v>
      </c>
    </row>
    <row r="1879" spans="1:24" x14ac:dyDescent="0.35">
      <c r="A1879">
        <v>20</v>
      </c>
      <c r="B1879">
        <v>43776</v>
      </c>
      <c r="C1879">
        <v>37</v>
      </c>
      <c r="D1879">
        <v>1</v>
      </c>
      <c r="E1879" s="28">
        <v>6.0712328767123287</v>
      </c>
      <c r="F1879" s="28"/>
      <c r="G1879" s="28"/>
      <c r="H1879" s="28"/>
      <c r="I1879" s="28"/>
      <c r="J1879" s="28"/>
      <c r="L1879" s="37">
        <v>20</v>
      </c>
      <c r="M1879" s="3">
        <v>77</v>
      </c>
      <c r="N1879" s="3">
        <v>8</v>
      </c>
      <c r="O1879" s="3">
        <v>0</v>
      </c>
      <c r="P1879" s="3">
        <v>9</v>
      </c>
      <c r="Q1879" s="3">
        <v>2</v>
      </c>
      <c r="R1879" s="3">
        <v>1</v>
      </c>
      <c r="S1879" s="3">
        <v>3</v>
      </c>
      <c r="T1879" s="3">
        <v>1</v>
      </c>
      <c r="U1879" s="3">
        <v>1</v>
      </c>
      <c r="V1879" s="3">
        <v>0</v>
      </c>
      <c r="W1879" s="3">
        <v>2</v>
      </c>
      <c r="X1879" s="3">
        <v>6</v>
      </c>
    </row>
    <row r="1880" spans="1:24" x14ac:dyDescent="0.35">
      <c r="A1880">
        <v>20</v>
      </c>
      <c r="B1880">
        <v>26907</v>
      </c>
      <c r="C1880">
        <v>44</v>
      </c>
      <c r="D1880">
        <v>1</v>
      </c>
      <c r="E1880" s="28">
        <v>6.7726027397260271</v>
      </c>
      <c r="F1880" s="28"/>
      <c r="G1880" s="28"/>
      <c r="H1880" s="28"/>
      <c r="I1880" s="28"/>
      <c r="J1880" s="28"/>
      <c r="L1880" s="38">
        <v>20</v>
      </c>
      <c r="M1880" s="2">
        <v>10</v>
      </c>
      <c r="N1880" s="2">
        <v>9</v>
      </c>
      <c r="O1880" s="2">
        <v>1</v>
      </c>
      <c r="P1880" s="2">
        <v>7</v>
      </c>
      <c r="Q1880" s="2">
        <v>0</v>
      </c>
      <c r="R1880" s="2">
        <v>3</v>
      </c>
      <c r="S1880" s="2">
        <v>2</v>
      </c>
      <c r="T1880" s="2">
        <v>2</v>
      </c>
      <c r="U1880" s="2">
        <v>1</v>
      </c>
      <c r="V1880" s="2">
        <v>0</v>
      </c>
      <c r="W1880" s="2">
        <v>3</v>
      </c>
      <c r="X1880" s="2">
        <v>7</v>
      </c>
    </row>
    <row r="1881" spans="1:24" x14ac:dyDescent="0.35">
      <c r="A1881">
        <v>20</v>
      </c>
      <c r="B1881">
        <v>24594</v>
      </c>
      <c r="C1881">
        <v>41</v>
      </c>
      <c r="D1881">
        <v>1</v>
      </c>
      <c r="E1881" s="28">
        <v>6.4657534246575343</v>
      </c>
      <c r="F1881" s="28"/>
      <c r="G1881" s="28"/>
      <c r="H1881" s="28"/>
      <c r="I1881" s="28"/>
      <c r="J1881" s="28"/>
      <c r="L1881" s="37">
        <v>20</v>
      </c>
      <c r="M1881" s="3">
        <v>94</v>
      </c>
      <c r="N1881" s="3">
        <v>1</v>
      </c>
      <c r="O1881" s="3">
        <v>3</v>
      </c>
      <c r="P1881" s="3">
        <v>6</v>
      </c>
      <c r="Q1881" s="3">
        <v>10</v>
      </c>
      <c r="R1881" s="3">
        <v>0</v>
      </c>
      <c r="S1881" s="3">
        <v>9</v>
      </c>
      <c r="T1881" s="3">
        <v>1</v>
      </c>
      <c r="U1881" s="3">
        <v>1</v>
      </c>
      <c r="V1881" s="3">
        <v>0</v>
      </c>
      <c r="W1881" s="3">
        <v>3</v>
      </c>
      <c r="X1881" s="3">
        <v>5</v>
      </c>
    </row>
    <row r="1882" spans="1:24" x14ac:dyDescent="0.35">
      <c r="A1882">
        <v>20</v>
      </c>
      <c r="B1882">
        <v>29791</v>
      </c>
      <c r="C1882">
        <v>48</v>
      </c>
      <c r="D1882">
        <v>1</v>
      </c>
      <c r="E1882" s="28">
        <v>6.0383561643835613</v>
      </c>
      <c r="F1882" s="28"/>
      <c r="G1882" s="28"/>
      <c r="H1882" s="28"/>
      <c r="I1882" s="28"/>
      <c r="J1882" s="28"/>
      <c r="L1882" s="38">
        <v>20</v>
      </c>
      <c r="M1882" s="2">
        <v>21</v>
      </c>
      <c r="N1882" s="2">
        <v>14</v>
      </c>
      <c r="O1882" s="2">
        <v>0</v>
      </c>
      <c r="P1882" s="2">
        <v>6</v>
      </c>
      <c r="Q1882" s="2">
        <v>0</v>
      </c>
      <c r="R1882" s="2">
        <v>0</v>
      </c>
      <c r="S1882" s="2">
        <v>0</v>
      </c>
      <c r="T1882" s="2">
        <v>2</v>
      </c>
      <c r="U1882" s="2">
        <v>2</v>
      </c>
      <c r="V1882" s="2">
        <v>0</v>
      </c>
      <c r="W1882" s="2">
        <v>3</v>
      </c>
      <c r="X1882" s="2">
        <v>5</v>
      </c>
    </row>
    <row r="1883" spans="1:24" x14ac:dyDescent="0.35">
      <c r="A1883">
        <v>20</v>
      </c>
      <c r="B1883">
        <v>37054</v>
      </c>
      <c r="C1883">
        <v>53</v>
      </c>
      <c r="D1883">
        <v>1</v>
      </c>
      <c r="E1883" s="28">
        <v>6.7013698630136984</v>
      </c>
      <c r="F1883" s="28"/>
      <c r="G1883" s="28"/>
      <c r="H1883" s="28"/>
      <c r="I1883" s="28"/>
      <c r="J1883" s="28"/>
      <c r="L1883" s="37">
        <v>20</v>
      </c>
      <c r="M1883" s="3">
        <v>89</v>
      </c>
      <c r="N1883" s="3">
        <v>12</v>
      </c>
      <c r="O1883" s="3">
        <v>1</v>
      </c>
      <c r="P1883" s="3">
        <v>6</v>
      </c>
      <c r="Q1883" s="3">
        <v>0</v>
      </c>
      <c r="R1883" s="3">
        <v>1</v>
      </c>
      <c r="S1883" s="3">
        <v>5</v>
      </c>
      <c r="T1883" s="3">
        <v>2</v>
      </c>
      <c r="U1883" s="3">
        <v>1</v>
      </c>
      <c r="V1883" s="3">
        <v>0</v>
      </c>
      <c r="W1883" s="3">
        <v>3</v>
      </c>
      <c r="X1883" s="3">
        <v>7</v>
      </c>
    </row>
    <row r="1884" spans="1:24" x14ac:dyDescent="0.35">
      <c r="A1884">
        <v>20</v>
      </c>
      <c r="B1884">
        <v>37717</v>
      </c>
      <c r="C1884">
        <v>42</v>
      </c>
      <c r="D1884">
        <v>1</v>
      </c>
      <c r="E1884" s="28">
        <v>7.5123287671232877</v>
      </c>
      <c r="F1884" s="28"/>
      <c r="G1884" s="28"/>
      <c r="H1884" s="28"/>
      <c r="I1884" s="28"/>
      <c r="J1884" s="28"/>
      <c r="L1884" s="38">
        <v>20</v>
      </c>
      <c r="M1884" s="2">
        <v>31</v>
      </c>
      <c r="N1884" s="2">
        <v>9</v>
      </c>
      <c r="O1884" s="2">
        <v>0</v>
      </c>
      <c r="P1884" s="2">
        <v>6</v>
      </c>
      <c r="Q1884" s="2">
        <v>4</v>
      </c>
      <c r="R1884" s="2">
        <v>1</v>
      </c>
      <c r="S1884" s="2">
        <v>5</v>
      </c>
      <c r="T1884" s="2">
        <v>1</v>
      </c>
      <c r="U1884" s="2">
        <v>1</v>
      </c>
      <c r="V1884" s="2">
        <v>0</v>
      </c>
      <c r="W1884" s="2">
        <v>2</v>
      </c>
      <c r="X1884" s="2">
        <v>9</v>
      </c>
    </row>
    <row r="1885" spans="1:24" x14ac:dyDescent="0.35">
      <c r="A1885">
        <v>20</v>
      </c>
      <c r="B1885">
        <v>20491</v>
      </c>
      <c r="C1885">
        <v>34</v>
      </c>
      <c r="D1885">
        <v>0</v>
      </c>
      <c r="E1885" s="28">
        <v>7.3397260273972602</v>
      </c>
      <c r="F1885" s="28"/>
      <c r="G1885" s="28"/>
      <c r="H1885" s="28"/>
      <c r="I1885" s="28"/>
      <c r="J1885" s="28"/>
      <c r="L1885" s="37">
        <v>20</v>
      </c>
      <c r="M1885" s="3">
        <v>16</v>
      </c>
      <c r="N1885" s="3">
        <v>5</v>
      </c>
      <c r="O1885" s="3">
        <v>4</v>
      </c>
      <c r="P1885" s="3">
        <v>5</v>
      </c>
      <c r="Q1885" s="3">
        <v>4</v>
      </c>
      <c r="R1885" s="3">
        <v>2</v>
      </c>
      <c r="S1885" s="3">
        <v>10</v>
      </c>
      <c r="T1885" s="3">
        <v>1</v>
      </c>
      <c r="U1885" s="3">
        <v>0</v>
      </c>
      <c r="V1885" s="3">
        <v>1</v>
      </c>
      <c r="W1885" s="3">
        <v>2</v>
      </c>
      <c r="X1885" s="3">
        <v>7</v>
      </c>
    </row>
    <row r="1886" spans="1:24" x14ac:dyDescent="0.35">
      <c r="A1886">
        <v>20</v>
      </c>
      <c r="B1886">
        <v>9548</v>
      </c>
      <c r="C1886">
        <v>44</v>
      </c>
      <c r="D1886">
        <v>1</v>
      </c>
      <c r="E1886" s="28">
        <v>7.8054794520547945</v>
      </c>
      <c r="F1886" s="28"/>
      <c r="G1886" s="28"/>
      <c r="H1886" s="28"/>
      <c r="I1886" s="28"/>
      <c r="J1886" s="28"/>
      <c r="L1886" s="38">
        <v>20</v>
      </c>
      <c r="M1886" s="2">
        <v>31</v>
      </c>
      <c r="N1886" s="2">
        <v>0</v>
      </c>
      <c r="O1886" s="2">
        <v>1</v>
      </c>
      <c r="P1886" s="2">
        <v>3</v>
      </c>
      <c r="Q1886" s="2">
        <v>10</v>
      </c>
      <c r="R1886" s="2">
        <v>6</v>
      </c>
      <c r="S1886" s="2">
        <v>9</v>
      </c>
      <c r="T1886" s="2">
        <v>2</v>
      </c>
      <c r="U1886" s="2">
        <v>1</v>
      </c>
      <c r="V1886" s="2">
        <v>0</v>
      </c>
      <c r="W1886" s="2">
        <v>3</v>
      </c>
      <c r="X1886" s="2">
        <v>8</v>
      </c>
    </row>
    <row r="1887" spans="1:24" x14ac:dyDescent="0.35">
      <c r="A1887">
        <v>20</v>
      </c>
      <c r="B1887">
        <v>27159</v>
      </c>
      <c r="C1887">
        <v>47</v>
      </c>
      <c r="D1887">
        <v>1</v>
      </c>
      <c r="E1887" s="28">
        <v>6.1671232876712327</v>
      </c>
      <c r="F1887" s="28"/>
      <c r="G1887" s="28"/>
      <c r="H1887" s="28"/>
      <c r="I1887" s="28"/>
      <c r="J1887" s="28"/>
      <c r="L1887" s="37">
        <v>20</v>
      </c>
      <c r="M1887" s="3">
        <v>33</v>
      </c>
      <c r="N1887" s="3">
        <v>17</v>
      </c>
      <c r="O1887" s="3">
        <v>0</v>
      </c>
      <c r="P1887" s="3">
        <v>3</v>
      </c>
      <c r="Q1887" s="3">
        <v>0</v>
      </c>
      <c r="R1887" s="3">
        <v>0</v>
      </c>
      <c r="S1887" s="3">
        <v>1</v>
      </c>
      <c r="T1887" s="3">
        <v>2</v>
      </c>
      <c r="U1887" s="3">
        <v>1</v>
      </c>
      <c r="V1887" s="3">
        <v>0</v>
      </c>
      <c r="W1887" s="3">
        <v>3</v>
      </c>
      <c r="X1887" s="3">
        <v>6</v>
      </c>
    </row>
    <row r="1888" spans="1:24" x14ac:dyDescent="0.35">
      <c r="A1888">
        <v>20</v>
      </c>
      <c r="B1888">
        <v>28389</v>
      </c>
      <c r="C1888">
        <v>73</v>
      </c>
      <c r="D1888">
        <v>0</v>
      </c>
      <c r="E1888" s="28">
        <v>7.5205479452054798</v>
      </c>
      <c r="F1888" s="28"/>
      <c r="G1888" s="28"/>
      <c r="H1888" s="28"/>
      <c r="I1888" s="28"/>
      <c r="J1888" s="28"/>
      <c r="L1888" s="38">
        <v>20</v>
      </c>
      <c r="M1888" s="2">
        <v>49</v>
      </c>
      <c r="N1888" s="2">
        <v>1</v>
      </c>
      <c r="O1888" s="2">
        <v>5</v>
      </c>
      <c r="P1888" s="2">
        <v>3</v>
      </c>
      <c r="Q1888" s="2">
        <v>7</v>
      </c>
      <c r="R1888" s="2">
        <v>4</v>
      </c>
      <c r="S1888" s="2">
        <v>8</v>
      </c>
      <c r="T1888" s="2">
        <v>1</v>
      </c>
      <c r="U1888" s="2">
        <v>1</v>
      </c>
      <c r="V1888" s="2">
        <v>0</v>
      </c>
      <c r="W1888" s="2">
        <v>2</v>
      </c>
      <c r="X1888" s="2">
        <v>7</v>
      </c>
    </row>
    <row r="1889" spans="1:24" x14ac:dyDescent="0.35">
      <c r="A1889">
        <v>20</v>
      </c>
      <c r="B1889">
        <v>32173</v>
      </c>
      <c r="C1889">
        <v>62</v>
      </c>
      <c r="D1889">
        <v>1</v>
      </c>
      <c r="E1889" s="28">
        <v>6.8246575342465752</v>
      </c>
      <c r="F1889" s="28"/>
      <c r="G1889" s="28"/>
      <c r="H1889" s="28"/>
      <c r="I1889" s="28"/>
      <c r="J1889" s="28"/>
      <c r="L1889" s="37">
        <v>20</v>
      </c>
      <c r="M1889" s="3">
        <v>0</v>
      </c>
      <c r="N1889" s="3">
        <v>18</v>
      </c>
      <c r="O1889" s="3">
        <v>0</v>
      </c>
      <c r="P1889" s="3">
        <v>2</v>
      </c>
      <c r="Q1889" s="3">
        <v>0</v>
      </c>
      <c r="R1889" s="3">
        <v>0</v>
      </c>
      <c r="S1889" s="3">
        <v>2</v>
      </c>
      <c r="T1889" s="3">
        <v>1</v>
      </c>
      <c r="U1889" s="3">
        <v>1</v>
      </c>
      <c r="V1889" s="3">
        <v>0</v>
      </c>
      <c r="W1889" s="3">
        <v>3</v>
      </c>
      <c r="X1889" s="3">
        <v>4</v>
      </c>
    </row>
    <row r="1890" spans="1:24" x14ac:dyDescent="0.35">
      <c r="A1890">
        <v>20</v>
      </c>
      <c r="B1890">
        <v>18890</v>
      </c>
      <c r="C1890">
        <v>36</v>
      </c>
      <c r="D1890">
        <v>0</v>
      </c>
      <c r="E1890" s="28">
        <v>7.5479452054794525</v>
      </c>
      <c r="F1890" s="28"/>
      <c r="G1890" s="28"/>
      <c r="H1890" s="28"/>
      <c r="I1890" s="28"/>
      <c r="J1890" s="28"/>
      <c r="L1890" s="38">
        <v>20</v>
      </c>
      <c r="M1890" s="2">
        <v>5</v>
      </c>
      <c r="N1890" s="2">
        <v>6</v>
      </c>
      <c r="O1890" s="2">
        <v>4</v>
      </c>
      <c r="P1890" s="2">
        <v>1</v>
      </c>
      <c r="Q1890" s="2">
        <v>7</v>
      </c>
      <c r="R1890" s="2">
        <v>2</v>
      </c>
      <c r="S1890" s="2">
        <v>15</v>
      </c>
      <c r="T1890" s="2">
        <v>1</v>
      </c>
      <c r="U1890" s="2">
        <v>0</v>
      </c>
      <c r="V1890" s="2">
        <v>1</v>
      </c>
      <c r="W1890" s="2">
        <v>2</v>
      </c>
      <c r="X1890" s="2">
        <v>6</v>
      </c>
    </row>
    <row r="1891" spans="1:24" x14ac:dyDescent="0.35">
      <c r="A1891">
        <v>19</v>
      </c>
      <c r="B1891">
        <v>34824</v>
      </c>
      <c r="C1891">
        <v>25</v>
      </c>
      <c r="D1891">
        <v>0</v>
      </c>
      <c r="E1891" s="28">
        <v>6.1753424657534248</v>
      </c>
      <c r="F1891" s="28"/>
      <c r="G1891" s="28"/>
      <c r="H1891" s="28"/>
      <c r="I1891" s="28"/>
      <c r="J1891" s="28"/>
      <c r="L1891" s="37">
        <v>19</v>
      </c>
      <c r="M1891" s="3">
        <v>65</v>
      </c>
      <c r="N1891" s="3">
        <v>4</v>
      </c>
      <c r="O1891" s="3">
        <v>2</v>
      </c>
      <c r="P1891" s="3">
        <v>11</v>
      </c>
      <c r="Q1891" s="3">
        <v>2</v>
      </c>
      <c r="R1891" s="3">
        <v>0</v>
      </c>
      <c r="S1891" s="3">
        <v>4</v>
      </c>
      <c r="T1891" s="3">
        <v>1</v>
      </c>
      <c r="U1891" s="3">
        <v>1</v>
      </c>
      <c r="V1891" s="3">
        <v>0</v>
      </c>
      <c r="W1891" s="3">
        <v>2</v>
      </c>
      <c r="X1891" s="3">
        <v>6</v>
      </c>
    </row>
    <row r="1892" spans="1:24" x14ac:dyDescent="0.35">
      <c r="A1892">
        <v>19</v>
      </c>
      <c r="B1892">
        <v>7500</v>
      </c>
      <c r="C1892">
        <v>45</v>
      </c>
      <c r="D1892">
        <v>1</v>
      </c>
      <c r="E1892" s="28">
        <v>6.6547945205479451</v>
      </c>
      <c r="F1892" s="28"/>
      <c r="G1892" s="28"/>
      <c r="H1892" s="28"/>
      <c r="I1892" s="28"/>
      <c r="J1892" s="28"/>
      <c r="L1892" s="38">
        <v>19</v>
      </c>
      <c r="M1892" s="2">
        <v>19</v>
      </c>
      <c r="N1892" s="2">
        <v>3</v>
      </c>
      <c r="O1892" s="2">
        <v>1</v>
      </c>
      <c r="P1892" s="2">
        <v>10</v>
      </c>
      <c r="Q1892" s="2">
        <v>3</v>
      </c>
      <c r="R1892" s="2">
        <v>2</v>
      </c>
      <c r="S1892" s="2">
        <v>12</v>
      </c>
      <c r="T1892" s="2">
        <v>3</v>
      </c>
      <c r="U1892" s="2">
        <v>2</v>
      </c>
      <c r="V1892" s="2">
        <v>0</v>
      </c>
      <c r="W1892" s="2">
        <v>3</v>
      </c>
      <c r="X1892" s="2">
        <v>5</v>
      </c>
    </row>
    <row r="1893" spans="1:24" x14ac:dyDescent="0.35">
      <c r="A1893">
        <v>19</v>
      </c>
      <c r="B1893">
        <v>22701</v>
      </c>
      <c r="C1893">
        <v>43</v>
      </c>
      <c r="D1893">
        <v>1</v>
      </c>
      <c r="E1893" s="28">
        <v>6.7287671232876711</v>
      </c>
      <c r="F1893" s="28"/>
      <c r="G1893" s="28"/>
      <c r="H1893" s="28"/>
      <c r="I1893" s="28"/>
      <c r="J1893" s="28"/>
      <c r="L1893" s="37">
        <v>19</v>
      </c>
      <c r="M1893" s="3">
        <v>2</v>
      </c>
      <c r="N1893" s="3">
        <v>2</v>
      </c>
      <c r="O1893" s="3">
        <v>4</v>
      </c>
      <c r="P1893" s="3">
        <v>9</v>
      </c>
      <c r="Q1893" s="3">
        <v>0</v>
      </c>
      <c r="R1893" s="3">
        <v>4</v>
      </c>
      <c r="S1893" s="3">
        <v>5</v>
      </c>
      <c r="T1893" s="3">
        <v>1</v>
      </c>
      <c r="U1893" s="3">
        <v>1</v>
      </c>
      <c r="V1893" s="3">
        <v>0</v>
      </c>
      <c r="W1893" s="3">
        <v>3</v>
      </c>
      <c r="X1893" s="3">
        <v>5</v>
      </c>
    </row>
    <row r="1894" spans="1:24" x14ac:dyDescent="0.35">
      <c r="A1894">
        <v>19</v>
      </c>
      <c r="B1894">
        <v>22327</v>
      </c>
      <c r="C1894">
        <v>35</v>
      </c>
      <c r="D1894">
        <v>1</v>
      </c>
      <c r="E1894" s="28">
        <v>6.8219178082191778</v>
      </c>
      <c r="F1894" s="28"/>
      <c r="G1894" s="28"/>
      <c r="H1894" s="28"/>
      <c r="I1894" s="28"/>
      <c r="J1894" s="28"/>
      <c r="L1894" s="38">
        <v>19</v>
      </c>
      <c r="M1894" s="2">
        <v>94</v>
      </c>
      <c r="N1894" s="2">
        <v>5</v>
      </c>
      <c r="O1894" s="2">
        <v>4</v>
      </c>
      <c r="P1894" s="2">
        <v>8</v>
      </c>
      <c r="Q1894" s="2">
        <v>2</v>
      </c>
      <c r="R1894" s="2">
        <v>0</v>
      </c>
      <c r="S1894" s="2">
        <v>5</v>
      </c>
      <c r="T1894" s="2">
        <v>1</v>
      </c>
      <c r="U1894" s="2">
        <v>1</v>
      </c>
      <c r="V1894" s="2">
        <v>0</v>
      </c>
      <c r="W1894" s="2">
        <v>3</v>
      </c>
      <c r="X1894" s="2">
        <v>5</v>
      </c>
    </row>
    <row r="1895" spans="1:24" x14ac:dyDescent="0.35">
      <c r="A1895">
        <v>19</v>
      </c>
      <c r="B1895">
        <v>25818</v>
      </c>
      <c r="C1895">
        <v>49</v>
      </c>
      <c r="D1895">
        <v>1</v>
      </c>
      <c r="E1895" s="28">
        <v>7.6109589041095891</v>
      </c>
      <c r="F1895" s="28"/>
      <c r="G1895" s="28"/>
      <c r="H1895" s="28"/>
      <c r="I1895" s="28"/>
      <c r="J1895" s="28"/>
      <c r="L1895" s="37">
        <v>19</v>
      </c>
      <c r="M1895" s="3">
        <v>51</v>
      </c>
      <c r="N1895" s="3">
        <v>5</v>
      </c>
      <c r="O1895" s="3">
        <v>2</v>
      </c>
      <c r="P1895" s="3">
        <v>8</v>
      </c>
      <c r="Q1895" s="3">
        <v>2</v>
      </c>
      <c r="R1895" s="3">
        <v>2</v>
      </c>
      <c r="S1895" s="3">
        <v>9</v>
      </c>
      <c r="T1895" s="3">
        <v>1</v>
      </c>
      <c r="U1895" s="3">
        <v>0</v>
      </c>
      <c r="V1895" s="3">
        <v>1</v>
      </c>
      <c r="W1895" s="3">
        <v>2</v>
      </c>
      <c r="X1895" s="3">
        <v>7</v>
      </c>
    </row>
    <row r="1896" spans="1:24" x14ac:dyDescent="0.35">
      <c r="A1896">
        <v>19</v>
      </c>
      <c r="B1896">
        <v>30467</v>
      </c>
      <c r="C1896">
        <v>48</v>
      </c>
      <c r="D1896">
        <v>1</v>
      </c>
      <c r="E1896" s="28">
        <v>6.1945205479452055</v>
      </c>
      <c r="F1896" s="28"/>
      <c r="G1896" s="28"/>
      <c r="H1896" s="28"/>
      <c r="I1896" s="28"/>
      <c r="J1896" s="28"/>
      <c r="L1896" s="38">
        <v>19</v>
      </c>
      <c r="M1896" s="2">
        <v>8</v>
      </c>
      <c r="N1896" s="2">
        <v>1</v>
      </c>
      <c r="O1896" s="2">
        <v>3</v>
      </c>
      <c r="P1896" s="2">
        <v>8</v>
      </c>
      <c r="Q1896" s="2">
        <v>2</v>
      </c>
      <c r="R1896" s="2">
        <v>5</v>
      </c>
      <c r="S1896" s="2">
        <v>5</v>
      </c>
      <c r="T1896" s="2">
        <v>1</v>
      </c>
      <c r="U1896" s="2">
        <v>1</v>
      </c>
      <c r="V1896" s="2">
        <v>0</v>
      </c>
      <c r="W1896" s="2">
        <v>2</v>
      </c>
      <c r="X1896" s="2">
        <v>7</v>
      </c>
    </row>
    <row r="1897" spans="1:24" x14ac:dyDescent="0.35">
      <c r="A1897">
        <v>19</v>
      </c>
      <c r="B1897">
        <v>38590</v>
      </c>
      <c r="C1897">
        <v>49</v>
      </c>
      <c r="D1897">
        <v>1</v>
      </c>
      <c r="E1897" s="28">
        <v>7.0383561643835613</v>
      </c>
      <c r="F1897" s="28"/>
      <c r="G1897" s="28"/>
      <c r="H1897" s="28"/>
      <c r="I1897" s="28"/>
      <c r="J1897" s="28"/>
      <c r="L1897" s="37">
        <v>19</v>
      </c>
      <c r="M1897" s="3">
        <v>65</v>
      </c>
      <c r="N1897" s="3">
        <v>3</v>
      </c>
      <c r="O1897" s="3">
        <v>1</v>
      </c>
      <c r="P1897" s="3">
        <v>8</v>
      </c>
      <c r="Q1897" s="3">
        <v>4</v>
      </c>
      <c r="R1897" s="3">
        <v>3</v>
      </c>
      <c r="S1897" s="3">
        <v>3</v>
      </c>
      <c r="T1897" s="3">
        <v>1</v>
      </c>
      <c r="U1897" s="3">
        <v>1</v>
      </c>
      <c r="V1897" s="3">
        <v>0</v>
      </c>
      <c r="W1897" s="3">
        <v>2</v>
      </c>
      <c r="X1897" s="3">
        <v>8</v>
      </c>
    </row>
    <row r="1898" spans="1:24" x14ac:dyDescent="0.35">
      <c r="A1898">
        <v>19</v>
      </c>
      <c r="B1898">
        <v>13084</v>
      </c>
      <c r="C1898">
        <v>68</v>
      </c>
      <c r="D1898">
        <v>0</v>
      </c>
      <c r="E1898" s="28">
        <v>6.5698630136986305</v>
      </c>
      <c r="F1898" s="28"/>
      <c r="G1898" s="28"/>
      <c r="H1898" s="28"/>
      <c r="I1898" s="28"/>
      <c r="J1898" s="28"/>
      <c r="L1898" s="38">
        <v>19</v>
      </c>
      <c r="M1898" s="2">
        <v>29</v>
      </c>
      <c r="N1898" s="2">
        <v>2</v>
      </c>
      <c r="O1898" s="2">
        <v>0</v>
      </c>
      <c r="P1898" s="2">
        <v>7</v>
      </c>
      <c r="Q1898" s="2">
        <v>3</v>
      </c>
      <c r="R1898" s="2">
        <v>7</v>
      </c>
      <c r="S1898" s="2">
        <v>10</v>
      </c>
      <c r="T1898" s="2">
        <v>1</v>
      </c>
      <c r="U1898" s="2">
        <v>1</v>
      </c>
      <c r="V1898" s="2">
        <v>0</v>
      </c>
      <c r="W1898" s="2">
        <v>3</v>
      </c>
      <c r="X1898" s="2">
        <v>6</v>
      </c>
    </row>
    <row r="1899" spans="1:24" x14ac:dyDescent="0.35">
      <c r="A1899">
        <v>19</v>
      </c>
      <c r="B1899">
        <v>29478</v>
      </c>
      <c r="C1899">
        <v>44</v>
      </c>
      <c r="D1899">
        <v>1</v>
      </c>
      <c r="E1899" s="28">
        <v>6.3616438356164382</v>
      </c>
      <c r="F1899" s="28"/>
      <c r="G1899" s="28"/>
      <c r="H1899" s="28"/>
      <c r="I1899" s="28"/>
      <c r="J1899" s="28"/>
      <c r="L1899" s="37">
        <v>19</v>
      </c>
      <c r="M1899" s="3">
        <v>59</v>
      </c>
      <c r="N1899" s="3">
        <v>8</v>
      </c>
      <c r="O1899" s="3">
        <v>0</v>
      </c>
      <c r="P1899" s="3">
        <v>7</v>
      </c>
      <c r="Q1899" s="3">
        <v>3</v>
      </c>
      <c r="R1899" s="3">
        <v>1</v>
      </c>
      <c r="S1899" s="3">
        <v>1</v>
      </c>
      <c r="T1899" s="3">
        <v>1</v>
      </c>
      <c r="U1899" s="3">
        <v>1</v>
      </c>
      <c r="V1899" s="3">
        <v>0</v>
      </c>
      <c r="W1899" s="3">
        <v>3</v>
      </c>
      <c r="X1899" s="3">
        <v>6</v>
      </c>
    </row>
    <row r="1900" spans="1:24" x14ac:dyDescent="0.35">
      <c r="A1900">
        <v>19</v>
      </c>
      <c r="B1900">
        <v>48686</v>
      </c>
      <c r="C1900">
        <v>67</v>
      </c>
      <c r="D1900">
        <v>1</v>
      </c>
      <c r="E1900" s="28">
        <v>6.4821917808219176</v>
      </c>
      <c r="F1900" s="28"/>
      <c r="G1900" s="28"/>
      <c r="H1900" s="28"/>
      <c r="I1900" s="28"/>
      <c r="J1900" s="28"/>
      <c r="L1900" s="38">
        <v>19</v>
      </c>
      <c r="M1900" s="2">
        <v>8</v>
      </c>
      <c r="N1900" s="2">
        <v>10</v>
      </c>
      <c r="O1900" s="2">
        <v>0</v>
      </c>
      <c r="P1900" s="2">
        <v>7</v>
      </c>
      <c r="Q1900" s="2">
        <v>2</v>
      </c>
      <c r="R1900" s="2">
        <v>0</v>
      </c>
      <c r="S1900" s="2">
        <v>1</v>
      </c>
      <c r="T1900" s="2">
        <v>1</v>
      </c>
      <c r="U1900" s="2">
        <v>1</v>
      </c>
      <c r="V1900" s="2">
        <v>0</v>
      </c>
      <c r="W1900" s="2">
        <v>2</v>
      </c>
      <c r="X1900" s="2">
        <v>8</v>
      </c>
    </row>
    <row r="1901" spans="1:24" x14ac:dyDescent="0.35">
      <c r="A1901">
        <v>19</v>
      </c>
      <c r="B1901">
        <v>21994</v>
      </c>
      <c r="C1901">
        <v>63</v>
      </c>
      <c r="D1901">
        <v>1</v>
      </c>
      <c r="E1901" s="28">
        <v>7.4273972602739722</v>
      </c>
      <c r="F1901" s="28"/>
      <c r="G1901" s="28"/>
      <c r="H1901" s="28"/>
      <c r="I1901" s="28"/>
      <c r="J1901" s="28"/>
      <c r="L1901" s="37">
        <v>19</v>
      </c>
      <c r="M1901" s="3">
        <v>4</v>
      </c>
      <c r="N1901" s="3">
        <v>9</v>
      </c>
      <c r="O1901" s="3">
        <v>0</v>
      </c>
      <c r="P1901" s="3">
        <v>6</v>
      </c>
      <c r="Q1901" s="3">
        <v>3</v>
      </c>
      <c r="R1901" s="3">
        <v>1</v>
      </c>
      <c r="S1901" s="3">
        <v>3</v>
      </c>
      <c r="T1901" s="3">
        <v>1</v>
      </c>
      <c r="U1901" s="3">
        <v>0</v>
      </c>
      <c r="V1901" s="3">
        <v>0</v>
      </c>
      <c r="W1901" s="3">
        <v>3</v>
      </c>
      <c r="X1901" s="3">
        <v>5</v>
      </c>
    </row>
    <row r="1902" spans="1:24" x14ac:dyDescent="0.35">
      <c r="A1902">
        <v>19</v>
      </c>
      <c r="B1902">
        <v>24072</v>
      </c>
      <c r="C1902">
        <v>37</v>
      </c>
      <c r="D1902">
        <v>1</v>
      </c>
      <c r="E1902" s="28">
        <v>7.117808219178082</v>
      </c>
      <c r="F1902" s="28"/>
      <c r="G1902" s="28"/>
      <c r="H1902" s="28"/>
      <c r="I1902" s="28"/>
      <c r="J1902" s="28"/>
      <c r="L1902" s="38">
        <v>19</v>
      </c>
      <c r="M1902" s="2">
        <v>79</v>
      </c>
      <c r="N1902" s="2">
        <v>9</v>
      </c>
      <c r="O1902" s="2">
        <v>1</v>
      </c>
      <c r="P1902" s="2">
        <v>6</v>
      </c>
      <c r="Q1902" s="2">
        <v>3</v>
      </c>
      <c r="R1902" s="2">
        <v>0</v>
      </c>
      <c r="S1902" s="2">
        <v>4</v>
      </c>
      <c r="T1902" s="2">
        <v>1</v>
      </c>
      <c r="U1902" s="2">
        <v>1</v>
      </c>
      <c r="V1902" s="2">
        <v>0</v>
      </c>
      <c r="W1902" s="2">
        <v>2</v>
      </c>
      <c r="X1902" s="2">
        <v>8</v>
      </c>
    </row>
    <row r="1903" spans="1:24" x14ac:dyDescent="0.35">
      <c r="A1903">
        <v>19</v>
      </c>
      <c r="B1903">
        <v>25721</v>
      </c>
      <c r="C1903">
        <v>49</v>
      </c>
      <c r="D1903">
        <v>1</v>
      </c>
      <c r="E1903" s="28">
        <v>7.021917808219178</v>
      </c>
      <c r="F1903" s="28"/>
      <c r="G1903" s="28"/>
      <c r="H1903" s="28"/>
      <c r="I1903" s="28"/>
      <c r="J1903" s="28"/>
      <c r="L1903" s="37">
        <v>19</v>
      </c>
      <c r="M1903" s="3">
        <v>75</v>
      </c>
      <c r="N1903" s="3">
        <v>1</v>
      </c>
      <c r="O1903" s="3">
        <v>3</v>
      </c>
      <c r="P1903" s="3">
        <v>6</v>
      </c>
      <c r="Q1903" s="3">
        <v>3</v>
      </c>
      <c r="R1903" s="3">
        <v>6</v>
      </c>
      <c r="S1903" s="3">
        <v>15</v>
      </c>
      <c r="T1903" s="3">
        <v>1</v>
      </c>
      <c r="U1903" s="3">
        <v>1</v>
      </c>
      <c r="V1903" s="3">
        <v>1</v>
      </c>
      <c r="W1903" s="3">
        <v>2</v>
      </c>
      <c r="X1903" s="3">
        <v>7</v>
      </c>
    </row>
    <row r="1904" spans="1:24" x14ac:dyDescent="0.35">
      <c r="A1904">
        <v>19</v>
      </c>
      <c r="B1904">
        <v>26816</v>
      </c>
      <c r="C1904">
        <v>34</v>
      </c>
      <c r="D1904">
        <v>0</v>
      </c>
      <c r="E1904" s="28">
        <v>7.7808219178082192</v>
      </c>
      <c r="F1904" s="28"/>
      <c r="G1904" s="28"/>
      <c r="H1904" s="28"/>
      <c r="I1904" s="28"/>
      <c r="J1904" s="28"/>
      <c r="L1904" s="38">
        <v>19</v>
      </c>
      <c r="M1904" s="2">
        <v>50</v>
      </c>
      <c r="N1904" s="2">
        <v>5</v>
      </c>
      <c r="O1904" s="2">
        <v>1</v>
      </c>
      <c r="P1904" s="2">
        <v>6</v>
      </c>
      <c r="Q1904" s="2">
        <v>3</v>
      </c>
      <c r="R1904" s="2">
        <v>4</v>
      </c>
      <c r="S1904" s="2">
        <v>3</v>
      </c>
      <c r="T1904" s="2">
        <v>1</v>
      </c>
      <c r="U1904" s="2">
        <v>0</v>
      </c>
      <c r="V1904" s="2">
        <v>0</v>
      </c>
      <c r="W1904" s="2">
        <v>3</v>
      </c>
      <c r="X1904" s="2">
        <v>4</v>
      </c>
    </row>
    <row r="1905" spans="1:24" x14ac:dyDescent="0.35">
      <c r="A1905">
        <v>19</v>
      </c>
      <c r="B1905">
        <v>14045</v>
      </c>
      <c r="C1905">
        <v>51</v>
      </c>
      <c r="D1905">
        <v>1</v>
      </c>
      <c r="E1905" s="28">
        <v>6.3369863013698629</v>
      </c>
      <c r="F1905" s="28"/>
      <c r="G1905" s="28"/>
      <c r="H1905" s="28"/>
      <c r="I1905" s="28"/>
      <c r="J1905" s="28"/>
      <c r="L1905" s="37">
        <v>19</v>
      </c>
      <c r="M1905" s="3">
        <v>24</v>
      </c>
      <c r="N1905" s="3">
        <v>11</v>
      </c>
      <c r="O1905" s="3">
        <v>0</v>
      </c>
      <c r="P1905" s="3">
        <v>5</v>
      </c>
      <c r="Q1905" s="3">
        <v>2</v>
      </c>
      <c r="R1905" s="3">
        <v>1</v>
      </c>
      <c r="S1905" s="3">
        <v>1</v>
      </c>
      <c r="T1905" s="3">
        <v>1</v>
      </c>
      <c r="U1905" s="3">
        <v>1</v>
      </c>
      <c r="V1905" s="3">
        <v>0</v>
      </c>
      <c r="W1905" s="3">
        <v>3</v>
      </c>
      <c r="X1905" s="3">
        <v>7</v>
      </c>
    </row>
    <row r="1906" spans="1:24" x14ac:dyDescent="0.35">
      <c r="A1906">
        <v>19</v>
      </c>
      <c r="B1906">
        <v>34230</v>
      </c>
      <c r="C1906">
        <v>55</v>
      </c>
      <c r="D1906">
        <v>1</v>
      </c>
      <c r="E1906" s="28">
        <v>7.4219178082191783</v>
      </c>
      <c r="F1906" s="28"/>
      <c r="G1906" s="28"/>
      <c r="H1906" s="28"/>
      <c r="I1906" s="28"/>
      <c r="J1906" s="28"/>
      <c r="L1906" s="38">
        <v>19</v>
      </c>
      <c r="M1906" s="2">
        <v>72</v>
      </c>
      <c r="N1906" s="2">
        <v>15</v>
      </c>
      <c r="O1906" s="2">
        <v>0</v>
      </c>
      <c r="P1906" s="2">
        <v>4</v>
      </c>
      <c r="Q1906" s="2">
        <v>0</v>
      </c>
      <c r="R1906" s="2">
        <v>0</v>
      </c>
      <c r="S1906" s="2">
        <v>2</v>
      </c>
      <c r="T1906" s="2">
        <v>1</v>
      </c>
      <c r="U1906" s="2">
        <v>1</v>
      </c>
      <c r="V1906" s="2">
        <v>0</v>
      </c>
      <c r="W1906" s="2">
        <v>2</v>
      </c>
      <c r="X1906" s="2">
        <v>7</v>
      </c>
    </row>
    <row r="1907" spans="1:24" x14ac:dyDescent="0.35">
      <c r="A1907">
        <v>19</v>
      </c>
      <c r="B1907">
        <v>36408</v>
      </c>
      <c r="C1907">
        <v>71</v>
      </c>
      <c r="D1907">
        <v>1</v>
      </c>
      <c r="E1907" s="28">
        <v>6.6849315068493151</v>
      </c>
      <c r="F1907" s="28"/>
      <c r="G1907" s="28"/>
      <c r="H1907" s="28"/>
      <c r="I1907" s="28"/>
      <c r="J1907" s="28"/>
      <c r="L1907" s="37">
        <v>19</v>
      </c>
      <c r="M1907" s="3">
        <v>11</v>
      </c>
      <c r="N1907" s="3">
        <v>9</v>
      </c>
      <c r="O1907" s="3">
        <v>1</v>
      </c>
      <c r="P1907" s="3">
        <v>4</v>
      </c>
      <c r="Q1907" s="3">
        <v>3</v>
      </c>
      <c r="R1907" s="3">
        <v>2</v>
      </c>
      <c r="S1907" s="3">
        <v>3</v>
      </c>
      <c r="T1907" s="3">
        <v>1</v>
      </c>
      <c r="U1907" s="3">
        <v>1</v>
      </c>
      <c r="V1907" s="3">
        <v>0</v>
      </c>
      <c r="W1907" s="3">
        <v>2</v>
      </c>
      <c r="X1907" s="3">
        <v>6</v>
      </c>
    </row>
    <row r="1908" spans="1:24" x14ac:dyDescent="0.35">
      <c r="A1908">
        <v>19</v>
      </c>
      <c r="B1908">
        <v>47025</v>
      </c>
      <c r="C1908">
        <v>55</v>
      </c>
      <c r="D1908">
        <v>1</v>
      </c>
      <c r="E1908" s="28">
        <v>6.2986301369863016</v>
      </c>
      <c r="F1908" s="28"/>
      <c r="G1908" s="28"/>
      <c r="H1908" s="28"/>
      <c r="I1908" s="28"/>
      <c r="J1908" s="28"/>
      <c r="L1908" s="38">
        <v>19</v>
      </c>
      <c r="M1908" s="2">
        <v>6</v>
      </c>
      <c r="N1908" s="2">
        <v>16</v>
      </c>
      <c r="O1908" s="2">
        <v>0</v>
      </c>
      <c r="P1908" s="2">
        <v>3</v>
      </c>
      <c r="Q1908" s="2">
        <v>0</v>
      </c>
      <c r="R1908" s="2">
        <v>0</v>
      </c>
      <c r="S1908" s="2">
        <v>1</v>
      </c>
      <c r="T1908" s="2">
        <v>1</v>
      </c>
      <c r="U1908" s="2">
        <v>1</v>
      </c>
      <c r="V1908" s="2">
        <v>0</v>
      </c>
      <c r="W1908" s="2">
        <v>2</v>
      </c>
      <c r="X1908" s="2">
        <v>7</v>
      </c>
    </row>
    <row r="1909" spans="1:24" x14ac:dyDescent="0.35">
      <c r="A1909">
        <v>19</v>
      </c>
      <c r="B1909">
        <v>22263</v>
      </c>
      <c r="C1909">
        <v>69</v>
      </c>
      <c r="D1909">
        <v>1</v>
      </c>
      <c r="E1909" s="28">
        <v>6.1643835616438354</v>
      </c>
      <c r="F1909" s="28"/>
      <c r="G1909" s="28"/>
      <c r="H1909" s="28"/>
      <c r="I1909" s="28"/>
      <c r="J1909" s="28"/>
      <c r="L1909" s="37">
        <v>19</v>
      </c>
      <c r="M1909" s="3">
        <v>31</v>
      </c>
      <c r="N1909" s="3">
        <v>17</v>
      </c>
      <c r="O1909" s="3">
        <v>0</v>
      </c>
      <c r="P1909" s="3">
        <v>2</v>
      </c>
      <c r="Q1909" s="3">
        <v>0</v>
      </c>
      <c r="R1909" s="3">
        <v>0</v>
      </c>
      <c r="S1909" s="3">
        <v>2</v>
      </c>
      <c r="T1909" s="3">
        <v>2</v>
      </c>
      <c r="U1909" s="3">
        <v>1</v>
      </c>
      <c r="V1909" s="3">
        <v>0</v>
      </c>
      <c r="W1909" s="3">
        <v>3</v>
      </c>
      <c r="X1909" s="3">
        <v>6</v>
      </c>
    </row>
    <row r="1910" spans="1:24" x14ac:dyDescent="0.35">
      <c r="A1910">
        <v>19</v>
      </c>
      <c r="B1910">
        <v>24336</v>
      </c>
      <c r="C1910">
        <v>39</v>
      </c>
      <c r="D1910">
        <v>1</v>
      </c>
      <c r="E1910" s="28">
        <v>7.7534246575342465</v>
      </c>
      <c r="F1910" s="28"/>
      <c r="G1910" s="28"/>
      <c r="H1910" s="28"/>
      <c r="I1910" s="28"/>
      <c r="J1910" s="28"/>
      <c r="L1910" s="38">
        <v>19</v>
      </c>
      <c r="M1910" s="2">
        <v>82</v>
      </c>
      <c r="N1910" s="2">
        <v>1</v>
      </c>
      <c r="O1910" s="2">
        <v>6</v>
      </c>
      <c r="P1910" s="2">
        <v>2</v>
      </c>
      <c r="Q1910" s="2">
        <v>8</v>
      </c>
      <c r="R1910" s="2">
        <v>2</v>
      </c>
      <c r="S1910" s="2">
        <v>12</v>
      </c>
      <c r="T1910" s="2">
        <v>1</v>
      </c>
      <c r="U1910" s="2">
        <v>1</v>
      </c>
      <c r="V1910" s="2">
        <v>0</v>
      </c>
      <c r="W1910" s="2">
        <v>2</v>
      </c>
      <c r="X1910" s="2">
        <v>7</v>
      </c>
    </row>
    <row r="1911" spans="1:24" x14ac:dyDescent="0.35">
      <c r="A1911">
        <v>19</v>
      </c>
      <c r="B1911">
        <v>24367</v>
      </c>
      <c r="C1911">
        <v>38</v>
      </c>
      <c r="D1911">
        <v>1</v>
      </c>
      <c r="E1911" s="28">
        <v>7.1917808219178081</v>
      </c>
      <c r="F1911" s="28"/>
      <c r="G1911" s="28"/>
      <c r="H1911" s="28"/>
      <c r="I1911" s="28"/>
      <c r="J1911" s="28"/>
      <c r="L1911" s="37">
        <v>19</v>
      </c>
      <c r="M1911" s="3">
        <v>58</v>
      </c>
      <c r="N1911" s="3">
        <v>2</v>
      </c>
      <c r="O1911" s="3">
        <v>4</v>
      </c>
      <c r="P1911" s="3">
        <v>2</v>
      </c>
      <c r="Q1911" s="3">
        <v>0</v>
      </c>
      <c r="R1911" s="3">
        <v>11</v>
      </c>
      <c r="S1911" s="3">
        <v>5</v>
      </c>
      <c r="T1911" s="3">
        <v>1</v>
      </c>
      <c r="U1911" s="3">
        <v>1</v>
      </c>
      <c r="V1911" s="3">
        <v>0</v>
      </c>
      <c r="W1911" s="3">
        <v>2</v>
      </c>
      <c r="X1911" s="3">
        <v>9</v>
      </c>
    </row>
    <row r="1912" spans="1:24" x14ac:dyDescent="0.35">
      <c r="A1912">
        <v>19</v>
      </c>
      <c r="B1912">
        <v>36802</v>
      </c>
      <c r="C1912">
        <v>40</v>
      </c>
      <c r="D1912">
        <v>1</v>
      </c>
      <c r="E1912" s="28">
        <v>5.9506849315068493</v>
      </c>
      <c r="F1912" s="28"/>
      <c r="G1912" s="28"/>
      <c r="H1912" s="28"/>
      <c r="I1912" s="28"/>
      <c r="J1912" s="28"/>
      <c r="L1912" s="38">
        <v>19</v>
      </c>
      <c r="M1912" s="2">
        <v>23</v>
      </c>
      <c r="N1912" s="2">
        <v>16</v>
      </c>
      <c r="O1912" s="2">
        <v>1</v>
      </c>
      <c r="P1912" s="2">
        <v>2</v>
      </c>
      <c r="Q1912" s="2">
        <v>0</v>
      </c>
      <c r="R1912" s="2">
        <v>0</v>
      </c>
      <c r="S1912" s="2">
        <v>1</v>
      </c>
      <c r="T1912" s="2">
        <v>1</v>
      </c>
      <c r="U1912" s="2">
        <v>1</v>
      </c>
      <c r="V1912" s="2">
        <v>0</v>
      </c>
      <c r="W1912" s="2">
        <v>3</v>
      </c>
      <c r="X1912" s="2">
        <v>5</v>
      </c>
    </row>
    <row r="1913" spans="1:24" x14ac:dyDescent="0.35">
      <c r="A1913">
        <v>18</v>
      </c>
      <c r="B1913">
        <v>31385</v>
      </c>
      <c r="C1913">
        <v>36</v>
      </c>
      <c r="D1913">
        <v>1</v>
      </c>
      <c r="E1913" s="28">
        <v>7.4794520547945202</v>
      </c>
      <c r="F1913" s="28"/>
      <c r="G1913" s="28"/>
      <c r="H1913" s="28"/>
      <c r="I1913" s="28"/>
      <c r="J1913" s="28"/>
      <c r="L1913" s="37">
        <v>18</v>
      </c>
      <c r="M1913" s="3">
        <v>56</v>
      </c>
      <c r="N1913" s="3">
        <v>3</v>
      </c>
      <c r="O1913" s="3">
        <v>2</v>
      </c>
      <c r="P1913" s="3">
        <v>12</v>
      </c>
      <c r="Q1913" s="3">
        <v>0</v>
      </c>
      <c r="R1913" s="3">
        <v>1</v>
      </c>
      <c r="S1913" s="3">
        <v>9</v>
      </c>
      <c r="T1913" s="3">
        <v>1</v>
      </c>
      <c r="U1913" s="3">
        <v>1</v>
      </c>
      <c r="V1913" s="3">
        <v>0</v>
      </c>
      <c r="W1913" s="3">
        <v>2</v>
      </c>
      <c r="X1913" s="3">
        <v>8</v>
      </c>
    </row>
    <row r="1914" spans="1:24" x14ac:dyDescent="0.35">
      <c r="A1914">
        <v>18</v>
      </c>
      <c r="B1914">
        <v>34738</v>
      </c>
      <c r="C1914">
        <v>36</v>
      </c>
      <c r="D1914">
        <v>1</v>
      </c>
      <c r="E1914" s="28">
        <v>6.0493150684931507</v>
      </c>
      <c r="F1914" s="28"/>
      <c r="G1914" s="28"/>
      <c r="H1914" s="28"/>
      <c r="I1914" s="28"/>
      <c r="J1914" s="28"/>
      <c r="L1914" s="38">
        <v>18</v>
      </c>
      <c r="M1914" s="2">
        <v>51</v>
      </c>
      <c r="N1914" s="2">
        <v>3</v>
      </c>
      <c r="O1914" s="2">
        <v>2</v>
      </c>
      <c r="P1914" s="2">
        <v>10</v>
      </c>
      <c r="Q1914" s="2">
        <v>3</v>
      </c>
      <c r="R1914" s="2">
        <v>0</v>
      </c>
      <c r="S1914" s="2">
        <v>2</v>
      </c>
      <c r="T1914" s="2">
        <v>1</v>
      </c>
      <c r="U1914" s="2">
        <v>1</v>
      </c>
      <c r="V1914" s="2">
        <v>0</v>
      </c>
      <c r="W1914" s="2">
        <v>3</v>
      </c>
      <c r="X1914" s="2">
        <v>6</v>
      </c>
    </row>
    <row r="1915" spans="1:24" x14ac:dyDescent="0.35">
      <c r="A1915">
        <v>18</v>
      </c>
      <c r="B1915">
        <v>38547</v>
      </c>
      <c r="C1915">
        <v>39</v>
      </c>
      <c r="D1915">
        <v>1</v>
      </c>
      <c r="E1915" s="28">
        <v>6.7506849315068491</v>
      </c>
      <c r="F1915" s="28"/>
      <c r="G1915" s="28"/>
      <c r="H1915" s="28"/>
      <c r="I1915" s="28"/>
      <c r="J1915" s="28"/>
      <c r="L1915" s="37">
        <v>18</v>
      </c>
      <c r="M1915" s="3">
        <v>49</v>
      </c>
      <c r="N1915" s="3">
        <v>6</v>
      </c>
      <c r="O1915" s="3">
        <v>1</v>
      </c>
      <c r="P1915" s="3">
        <v>10</v>
      </c>
      <c r="Q1915" s="3">
        <v>0</v>
      </c>
      <c r="R1915" s="3">
        <v>1</v>
      </c>
      <c r="S1915" s="3">
        <v>4</v>
      </c>
      <c r="T1915" s="3">
        <v>1</v>
      </c>
      <c r="U1915" s="3">
        <v>1</v>
      </c>
      <c r="V1915" s="3">
        <v>0</v>
      </c>
      <c r="W1915" s="3">
        <v>2</v>
      </c>
      <c r="X1915" s="3">
        <v>8</v>
      </c>
    </row>
    <row r="1916" spans="1:24" x14ac:dyDescent="0.35">
      <c r="A1916">
        <v>18</v>
      </c>
      <c r="B1916">
        <v>15287</v>
      </c>
      <c r="C1916">
        <v>41</v>
      </c>
      <c r="D1916">
        <v>1</v>
      </c>
      <c r="E1916" s="28">
        <v>7.6328767123287671</v>
      </c>
      <c r="F1916" s="28"/>
      <c r="G1916" s="28"/>
      <c r="H1916" s="28"/>
      <c r="I1916" s="28"/>
      <c r="J1916" s="28"/>
      <c r="L1916" s="38">
        <v>18</v>
      </c>
      <c r="M1916" s="2">
        <v>60</v>
      </c>
      <c r="N1916" s="2">
        <v>1</v>
      </c>
      <c r="O1916" s="2">
        <v>2</v>
      </c>
      <c r="P1916" s="2">
        <v>8</v>
      </c>
      <c r="Q1916" s="2">
        <v>4</v>
      </c>
      <c r="R1916" s="2">
        <v>3</v>
      </c>
      <c r="S1916" s="2">
        <v>13</v>
      </c>
      <c r="T1916" s="2">
        <v>2</v>
      </c>
      <c r="U1916" s="2">
        <v>1</v>
      </c>
      <c r="V1916" s="2">
        <v>1</v>
      </c>
      <c r="W1916" s="2">
        <v>2</v>
      </c>
      <c r="X1916" s="2">
        <v>7</v>
      </c>
    </row>
    <row r="1917" spans="1:24" x14ac:dyDescent="0.35">
      <c r="A1917">
        <v>18</v>
      </c>
      <c r="B1917">
        <v>26576</v>
      </c>
      <c r="C1917">
        <v>34</v>
      </c>
      <c r="D1917">
        <v>1</v>
      </c>
      <c r="E1917" s="28">
        <v>7.624657534246575</v>
      </c>
      <c r="F1917" s="28"/>
      <c r="G1917" s="28"/>
      <c r="H1917" s="28"/>
      <c r="I1917" s="28"/>
      <c r="J1917" s="28"/>
      <c r="L1917" s="37">
        <v>18</v>
      </c>
      <c r="M1917" s="3">
        <v>40</v>
      </c>
      <c r="N1917" s="3">
        <v>10</v>
      </c>
      <c r="O1917" s="3">
        <v>0</v>
      </c>
      <c r="P1917" s="3">
        <v>8</v>
      </c>
      <c r="Q1917" s="3">
        <v>0</v>
      </c>
      <c r="R1917" s="3">
        <v>0</v>
      </c>
      <c r="S1917" s="3">
        <v>9</v>
      </c>
      <c r="T1917" s="3">
        <v>1</v>
      </c>
      <c r="U1917" s="3">
        <v>1</v>
      </c>
      <c r="V1917" s="3">
        <v>0</v>
      </c>
      <c r="W1917" s="3">
        <v>2</v>
      </c>
      <c r="X1917" s="3">
        <v>9</v>
      </c>
    </row>
    <row r="1918" spans="1:24" x14ac:dyDescent="0.35">
      <c r="A1918">
        <v>18</v>
      </c>
      <c r="B1918">
        <v>9255</v>
      </c>
      <c r="C1918">
        <v>31</v>
      </c>
      <c r="D1918">
        <v>1</v>
      </c>
      <c r="E1918" s="28">
        <v>6.4383561643835616</v>
      </c>
      <c r="F1918" s="28"/>
      <c r="G1918" s="28"/>
      <c r="H1918" s="28"/>
      <c r="I1918" s="28"/>
      <c r="J1918" s="28"/>
      <c r="L1918" s="38">
        <v>18</v>
      </c>
      <c r="M1918" s="2">
        <v>91</v>
      </c>
      <c r="N1918" s="2">
        <v>9</v>
      </c>
      <c r="O1918" s="2">
        <v>0</v>
      </c>
      <c r="P1918" s="2">
        <v>7</v>
      </c>
      <c r="Q1918" s="2">
        <v>2</v>
      </c>
      <c r="R1918" s="2">
        <v>0</v>
      </c>
      <c r="S1918" s="2">
        <v>4</v>
      </c>
      <c r="T1918" s="2">
        <v>1</v>
      </c>
      <c r="U1918" s="2">
        <v>1</v>
      </c>
      <c r="V1918" s="2">
        <v>1</v>
      </c>
      <c r="W1918" s="2">
        <v>2</v>
      </c>
      <c r="X1918" s="2">
        <v>8</v>
      </c>
    </row>
    <row r="1919" spans="1:24" x14ac:dyDescent="0.35">
      <c r="A1919">
        <v>18</v>
      </c>
      <c r="B1919">
        <v>43269</v>
      </c>
      <c r="C1919">
        <v>48</v>
      </c>
      <c r="D1919">
        <v>1</v>
      </c>
      <c r="E1919" s="28">
        <v>6.6986301369863011</v>
      </c>
      <c r="F1919" s="28"/>
      <c r="G1919" s="28"/>
      <c r="H1919" s="28"/>
      <c r="I1919" s="28"/>
      <c r="J1919" s="28"/>
      <c r="L1919" s="37">
        <v>18</v>
      </c>
      <c r="M1919" s="3">
        <v>61</v>
      </c>
      <c r="N1919" s="3">
        <v>10</v>
      </c>
      <c r="O1919" s="3">
        <v>1</v>
      </c>
      <c r="P1919" s="3">
        <v>7</v>
      </c>
      <c r="Q1919" s="3">
        <v>0</v>
      </c>
      <c r="R1919" s="3">
        <v>0</v>
      </c>
      <c r="S1919" s="3">
        <v>1</v>
      </c>
      <c r="T1919" s="3">
        <v>1</v>
      </c>
      <c r="U1919" s="3">
        <v>1</v>
      </c>
      <c r="V1919" s="3">
        <v>0</v>
      </c>
      <c r="W1919" s="3">
        <v>2</v>
      </c>
      <c r="X1919" s="3">
        <v>8</v>
      </c>
    </row>
    <row r="1920" spans="1:24" x14ac:dyDescent="0.35">
      <c r="A1920">
        <v>18</v>
      </c>
      <c r="B1920">
        <v>60199</v>
      </c>
      <c r="C1920">
        <v>42</v>
      </c>
      <c r="D1920">
        <v>1</v>
      </c>
      <c r="E1920" s="28">
        <v>6.7095890410958905</v>
      </c>
      <c r="F1920" s="28"/>
      <c r="G1920" s="28"/>
      <c r="H1920" s="28"/>
      <c r="I1920" s="28"/>
      <c r="J1920" s="28"/>
      <c r="L1920" s="38">
        <v>18</v>
      </c>
      <c r="M1920" s="2">
        <v>49</v>
      </c>
      <c r="N1920" s="2">
        <v>8</v>
      </c>
      <c r="O1920" s="2">
        <v>1</v>
      </c>
      <c r="P1920" s="2">
        <v>7</v>
      </c>
      <c r="Q1920" s="2">
        <v>2</v>
      </c>
      <c r="R1920" s="2">
        <v>0</v>
      </c>
      <c r="S1920" s="2">
        <v>0</v>
      </c>
      <c r="T1920" s="2">
        <v>1</v>
      </c>
      <c r="U1920" s="2">
        <v>0</v>
      </c>
      <c r="V1920" s="2">
        <v>0</v>
      </c>
      <c r="W1920" s="2">
        <v>3</v>
      </c>
      <c r="X1920" s="2">
        <v>4</v>
      </c>
    </row>
    <row r="1921" spans="1:24" x14ac:dyDescent="0.35">
      <c r="A1921">
        <v>18</v>
      </c>
      <c r="B1921">
        <v>29548</v>
      </c>
      <c r="C1921">
        <v>50</v>
      </c>
      <c r="D1921">
        <v>1</v>
      </c>
      <c r="E1921" s="28">
        <v>6.7479452054794518</v>
      </c>
      <c r="F1921" s="28"/>
      <c r="G1921" s="28"/>
      <c r="H1921" s="28"/>
      <c r="I1921" s="28"/>
      <c r="J1921" s="28"/>
      <c r="L1921" s="37">
        <v>18</v>
      </c>
      <c r="M1921" s="3">
        <v>52</v>
      </c>
      <c r="N1921" s="3">
        <v>7</v>
      </c>
      <c r="O1921" s="3">
        <v>1</v>
      </c>
      <c r="P1921" s="3">
        <v>6</v>
      </c>
      <c r="Q1921" s="3">
        <v>3</v>
      </c>
      <c r="R1921" s="3">
        <v>1</v>
      </c>
      <c r="S1921" s="3">
        <v>11</v>
      </c>
      <c r="T1921" s="3">
        <v>1</v>
      </c>
      <c r="U1921" s="3">
        <v>1</v>
      </c>
      <c r="V1921" s="3">
        <v>1</v>
      </c>
      <c r="W1921" s="3">
        <v>2</v>
      </c>
      <c r="X1921" s="3">
        <v>4</v>
      </c>
    </row>
    <row r="1922" spans="1:24" x14ac:dyDescent="0.35">
      <c r="A1922">
        <v>18</v>
      </c>
      <c r="B1922">
        <v>34109</v>
      </c>
      <c r="C1922">
        <v>49</v>
      </c>
      <c r="D1922">
        <v>1</v>
      </c>
      <c r="E1922" s="28">
        <v>6.558904109589041</v>
      </c>
      <c r="F1922" s="28"/>
      <c r="G1922" s="28"/>
      <c r="H1922" s="28"/>
      <c r="I1922" s="28"/>
      <c r="J1922" s="28"/>
      <c r="L1922" s="38">
        <v>18</v>
      </c>
      <c r="M1922" s="2">
        <v>39</v>
      </c>
      <c r="N1922" s="2">
        <v>9</v>
      </c>
      <c r="O1922" s="2">
        <v>1</v>
      </c>
      <c r="P1922" s="2">
        <v>5</v>
      </c>
      <c r="Q1922" s="2">
        <v>2</v>
      </c>
      <c r="R1922" s="2">
        <v>1</v>
      </c>
      <c r="S1922" s="2">
        <v>4</v>
      </c>
      <c r="T1922" s="2">
        <v>1</v>
      </c>
      <c r="U1922" s="2">
        <v>0</v>
      </c>
      <c r="V1922" s="2">
        <v>0</v>
      </c>
      <c r="W1922" s="2">
        <v>3</v>
      </c>
      <c r="X1922" s="2">
        <v>4</v>
      </c>
    </row>
    <row r="1923" spans="1:24" x14ac:dyDescent="0.35">
      <c r="A1923">
        <v>18</v>
      </c>
      <c r="B1923">
        <v>45160</v>
      </c>
      <c r="C1923">
        <v>62</v>
      </c>
      <c r="D1923">
        <v>1</v>
      </c>
      <c r="E1923" s="28">
        <v>6.1671232876712327</v>
      </c>
      <c r="F1923" s="28"/>
      <c r="G1923" s="28"/>
      <c r="H1923" s="28"/>
      <c r="I1923" s="28"/>
      <c r="J1923" s="28"/>
      <c r="L1923" s="37">
        <v>18</v>
      </c>
      <c r="M1923" s="3">
        <v>9</v>
      </c>
      <c r="N1923" s="3">
        <v>8</v>
      </c>
      <c r="O1923" s="3">
        <v>2</v>
      </c>
      <c r="P1923" s="3">
        <v>5</v>
      </c>
      <c r="Q1923" s="3">
        <v>3</v>
      </c>
      <c r="R1923" s="3">
        <v>0</v>
      </c>
      <c r="S1923" s="3">
        <v>3</v>
      </c>
      <c r="T1923" s="3">
        <v>1</v>
      </c>
      <c r="U1923" s="3">
        <v>1</v>
      </c>
      <c r="V1923" s="3">
        <v>0</v>
      </c>
      <c r="W1923" s="3">
        <v>2</v>
      </c>
      <c r="X1923" s="3">
        <v>7</v>
      </c>
    </row>
    <row r="1924" spans="1:24" x14ac:dyDescent="0.35">
      <c r="A1924">
        <v>18</v>
      </c>
      <c r="B1924">
        <v>27889</v>
      </c>
      <c r="C1924">
        <v>43</v>
      </c>
      <c r="D1924">
        <v>1</v>
      </c>
      <c r="E1924" s="28">
        <v>6.8986301369863012</v>
      </c>
      <c r="F1924" s="28"/>
      <c r="G1924" s="28"/>
      <c r="H1924" s="28"/>
      <c r="I1924" s="28"/>
      <c r="J1924" s="28"/>
      <c r="L1924" s="38">
        <v>18</v>
      </c>
      <c r="M1924" s="2">
        <v>42</v>
      </c>
      <c r="N1924" s="2">
        <v>14</v>
      </c>
      <c r="O1924" s="2">
        <v>0</v>
      </c>
      <c r="P1924" s="2">
        <v>4</v>
      </c>
      <c r="Q1924" s="2">
        <v>0</v>
      </c>
      <c r="R1924" s="2">
        <v>0</v>
      </c>
      <c r="S1924" s="2">
        <v>8</v>
      </c>
      <c r="T1924" s="2">
        <v>1</v>
      </c>
      <c r="U1924" s="2">
        <v>1</v>
      </c>
      <c r="V1924" s="2">
        <v>1</v>
      </c>
      <c r="W1924" s="2">
        <v>2</v>
      </c>
      <c r="X1924" s="2">
        <v>6</v>
      </c>
    </row>
    <row r="1925" spans="1:24" x14ac:dyDescent="0.35">
      <c r="A1925">
        <v>18</v>
      </c>
      <c r="B1925">
        <v>42033</v>
      </c>
      <c r="C1925">
        <v>49</v>
      </c>
      <c r="D1925">
        <v>1</v>
      </c>
      <c r="E1925" s="28">
        <v>7.6904109589041099</v>
      </c>
      <c r="F1925" s="28"/>
      <c r="G1925" s="28"/>
      <c r="H1925" s="28"/>
      <c r="I1925" s="28"/>
      <c r="J1925" s="28"/>
      <c r="L1925" s="37">
        <v>18</v>
      </c>
      <c r="M1925" s="3">
        <v>95</v>
      </c>
      <c r="N1925" s="3">
        <v>11</v>
      </c>
      <c r="O1925" s="3">
        <v>1</v>
      </c>
      <c r="P1925" s="3">
        <v>4</v>
      </c>
      <c r="Q1925" s="3">
        <v>2</v>
      </c>
      <c r="R1925" s="3">
        <v>0</v>
      </c>
      <c r="S1925" s="3">
        <v>7</v>
      </c>
      <c r="T1925" s="3">
        <v>1</v>
      </c>
      <c r="U1925" s="3">
        <v>1</v>
      </c>
      <c r="V1925" s="3">
        <v>0</v>
      </c>
      <c r="W1925" s="3">
        <v>2</v>
      </c>
      <c r="X1925" s="3">
        <v>7</v>
      </c>
    </row>
    <row r="1926" spans="1:24" x14ac:dyDescent="0.35">
      <c r="A1926">
        <v>18</v>
      </c>
      <c r="B1926">
        <v>25707</v>
      </c>
      <c r="C1926">
        <v>36</v>
      </c>
      <c r="D1926">
        <v>1</v>
      </c>
      <c r="E1926" s="28">
        <v>6.3589041095890408</v>
      </c>
      <c r="F1926" s="28"/>
      <c r="G1926" s="28"/>
      <c r="H1926" s="28"/>
      <c r="I1926" s="28"/>
      <c r="J1926" s="28"/>
      <c r="L1926" s="38">
        <v>18</v>
      </c>
      <c r="M1926" s="2">
        <v>18</v>
      </c>
      <c r="N1926" s="2">
        <v>1</v>
      </c>
      <c r="O1926" s="2">
        <v>6</v>
      </c>
      <c r="P1926" s="2">
        <v>2</v>
      </c>
      <c r="Q1926" s="2">
        <v>3</v>
      </c>
      <c r="R1926" s="2">
        <v>6</v>
      </c>
      <c r="S1926" s="2">
        <v>3</v>
      </c>
      <c r="T1926" s="2">
        <v>1</v>
      </c>
      <c r="U1926" s="2">
        <v>1</v>
      </c>
      <c r="V1926" s="2">
        <v>0</v>
      </c>
      <c r="W1926" s="2">
        <v>3</v>
      </c>
      <c r="X1926" s="2">
        <v>7</v>
      </c>
    </row>
    <row r="1927" spans="1:24" x14ac:dyDescent="0.35">
      <c r="A1927">
        <v>17</v>
      </c>
      <c r="B1927">
        <v>34320</v>
      </c>
      <c r="C1927">
        <v>34</v>
      </c>
      <c r="D1927">
        <v>1</v>
      </c>
      <c r="E1927" s="28">
        <v>6.279452054794521</v>
      </c>
      <c r="F1927" s="28"/>
      <c r="G1927" s="28"/>
      <c r="H1927" s="28"/>
      <c r="I1927" s="28"/>
      <c r="J1927" s="28"/>
      <c r="L1927" s="37">
        <v>17</v>
      </c>
      <c r="M1927" s="3">
        <v>66</v>
      </c>
      <c r="N1927" s="3">
        <v>4</v>
      </c>
      <c r="O1927" s="3">
        <v>1</v>
      </c>
      <c r="P1927" s="3">
        <v>9</v>
      </c>
      <c r="Q1927" s="3">
        <v>3</v>
      </c>
      <c r="R1927" s="3">
        <v>0</v>
      </c>
      <c r="S1927" s="3">
        <v>0</v>
      </c>
      <c r="T1927" s="3">
        <v>1</v>
      </c>
      <c r="U1927" s="3">
        <v>1</v>
      </c>
      <c r="V1927" s="3">
        <v>0</v>
      </c>
      <c r="W1927" s="3">
        <v>2</v>
      </c>
      <c r="X1927" s="3">
        <v>8</v>
      </c>
    </row>
    <row r="1928" spans="1:24" x14ac:dyDescent="0.35">
      <c r="A1928">
        <v>17</v>
      </c>
      <c r="B1928">
        <v>18227</v>
      </c>
      <c r="C1928">
        <v>33</v>
      </c>
      <c r="D1928">
        <v>1</v>
      </c>
      <c r="E1928" s="28">
        <v>7.5534246575342463</v>
      </c>
      <c r="F1928" s="28"/>
      <c r="G1928" s="28"/>
      <c r="H1928" s="28"/>
      <c r="I1928" s="28"/>
      <c r="J1928" s="28"/>
      <c r="L1928" s="38">
        <v>17</v>
      </c>
      <c r="M1928" s="2">
        <v>21</v>
      </c>
      <c r="N1928" s="2">
        <v>1</v>
      </c>
      <c r="O1928" s="2">
        <v>2</v>
      </c>
      <c r="P1928" s="2">
        <v>7</v>
      </c>
      <c r="Q1928" s="2">
        <v>4</v>
      </c>
      <c r="R1928" s="2">
        <v>3</v>
      </c>
      <c r="S1928" s="2">
        <v>11</v>
      </c>
      <c r="T1928" s="2">
        <v>1</v>
      </c>
      <c r="U1928" s="2">
        <v>0</v>
      </c>
      <c r="V1928" s="2">
        <v>1</v>
      </c>
      <c r="W1928" s="2">
        <v>2</v>
      </c>
      <c r="X1928" s="2">
        <v>8</v>
      </c>
    </row>
    <row r="1929" spans="1:24" x14ac:dyDescent="0.35">
      <c r="A1929">
        <v>17</v>
      </c>
      <c r="B1929">
        <v>33697</v>
      </c>
      <c r="C1929">
        <v>50</v>
      </c>
      <c r="D1929">
        <v>1</v>
      </c>
      <c r="E1929" s="28">
        <v>6.7013698630136984</v>
      </c>
      <c r="F1929" s="28"/>
      <c r="G1929" s="28"/>
      <c r="H1929" s="28"/>
      <c r="I1929" s="28"/>
      <c r="J1929" s="28"/>
      <c r="L1929" s="37">
        <v>17</v>
      </c>
      <c r="M1929" s="3">
        <v>34</v>
      </c>
      <c r="N1929" s="3">
        <v>4</v>
      </c>
      <c r="O1929" s="3">
        <v>3</v>
      </c>
      <c r="P1929" s="3">
        <v>7</v>
      </c>
      <c r="Q1929" s="3">
        <v>0</v>
      </c>
      <c r="R1929" s="3">
        <v>3</v>
      </c>
      <c r="S1929" s="3">
        <v>11</v>
      </c>
      <c r="T1929" s="3">
        <v>1</v>
      </c>
      <c r="U1929" s="3">
        <v>1</v>
      </c>
      <c r="V1929" s="3">
        <v>0</v>
      </c>
      <c r="W1929" s="3">
        <v>2</v>
      </c>
      <c r="X1929" s="3">
        <v>7</v>
      </c>
    </row>
    <row r="1930" spans="1:24" x14ac:dyDescent="0.35">
      <c r="A1930">
        <v>17</v>
      </c>
      <c r="B1930">
        <v>39228</v>
      </c>
      <c r="C1930">
        <v>60</v>
      </c>
      <c r="D1930">
        <v>0</v>
      </c>
      <c r="E1930" s="28">
        <v>7.0520547945205481</v>
      </c>
      <c r="F1930" s="28"/>
      <c r="G1930" s="28"/>
      <c r="H1930" s="28"/>
      <c r="I1930" s="28"/>
      <c r="J1930" s="28"/>
      <c r="L1930" s="38">
        <v>17</v>
      </c>
      <c r="M1930" s="2">
        <v>1</v>
      </c>
      <c r="N1930" s="2">
        <v>7</v>
      </c>
      <c r="O1930" s="2">
        <v>1</v>
      </c>
      <c r="P1930" s="2">
        <v>6</v>
      </c>
      <c r="Q1930" s="2">
        <v>0</v>
      </c>
      <c r="R1930" s="2">
        <v>3</v>
      </c>
      <c r="S1930" s="2">
        <v>3</v>
      </c>
      <c r="T1930" s="2">
        <v>1</v>
      </c>
      <c r="U1930" s="2">
        <v>0</v>
      </c>
      <c r="V1930" s="2">
        <v>0</v>
      </c>
      <c r="W1930" s="2">
        <v>3</v>
      </c>
      <c r="X1930" s="2">
        <v>4</v>
      </c>
    </row>
    <row r="1931" spans="1:24" x14ac:dyDescent="0.35">
      <c r="A1931">
        <v>17</v>
      </c>
      <c r="B1931">
        <v>41014</v>
      </c>
      <c r="C1931">
        <v>42</v>
      </c>
      <c r="D1931">
        <v>1</v>
      </c>
      <c r="E1931" s="28">
        <v>7.1013698630136988</v>
      </c>
      <c r="F1931" s="28"/>
      <c r="G1931" s="28"/>
      <c r="H1931" s="28"/>
      <c r="I1931" s="28"/>
      <c r="J1931" s="28"/>
      <c r="L1931" s="37">
        <v>17</v>
      </c>
      <c r="M1931" s="3">
        <v>65</v>
      </c>
      <c r="N1931" s="3">
        <v>7</v>
      </c>
      <c r="O1931" s="3">
        <v>2</v>
      </c>
      <c r="P1931" s="3">
        <v>6</v>
      </c>
      <c r="Q1931" s="3">
        <v>2</v>
      </c>
      <c r="R1931" s="3">
        <v>0</v>
      </c>
      <c r="S1931" s="3">
        <v>3</v>
      </c>
      <c r="T1931" s="3">
        <v>1</v>
      </c>
      <c r="U1931" s="3">
        <v>1</v>
      </c>
      <c r="V1931" s="3">
        <v>0</v>
      </c>
      <c r="W1931" s="3">
        <v>2</v>
      </c>
      <c r="X1931" s="3">
        <v>7</v>
      </c>
    </row>
    <row r="1932" spans="1:24" x14ac:dyDescent="0.35">
      <c r="A1932">
        <v>17</v>
      </c>
      <c r="B1932">
        <v>40521</v>
      </c>
      <c r="C1932">
        <v>52</v>
      </c>
      <c r="D1932">
        <v>1</v>
      </c>
      <c r="E1932" s="28">
        <v>7.1479452054794521</v>
      </c>
      <c r="F1932" s="28"/>
      <c r="G1932" s="28"/>
      <c r="H1932" s="28"/>
      <c r="I1932" s="28"/>
      <c r="J1932" s="28"/>
      <c r="L1932" s="38">
        <v>17</v>
      </c>
      <c r="M1932" s="2">
        <v>82</v>
      </c>
      <c r="N1932" s="2">
        <v>12</v>
      </c>
      <c r="O1932" s="2">
        <v>0</v>
      </c>
      <c r="P1932" s="2">
        <v>5</v>
      </c>
      <c r="Q1932" s="2">
        <v>0</v>
      </c>
      <c r="R1932" s="2">
        <v>0</v>
      </c>
      <c r="S1932" s="2">
        <v>4</v>
      </c>
      <c r="T1932" s="2">
        <v>1</v>
      </c>
      <c r="U1932" s="2">
        <v>0</v>
      </c>
      <c r="V1932" s="2">
        <v>1</v>
      </c>
      <c r="W1932" s="2">
        <v>2</v>
      </c>
      <c r="X1932" s="2">
        <v>5</v>
      </c>
    </row>
    <row r="1933" spans="1:24" x14ac:dyDescent="0.35">
      <c r="A1933">
        <v>17</v>
      </c>
      <c r="B1933">
        <v>24645</v>
      </c>
      <c r="C1933">
        <v>32</v>
      </c>
      <c r="D1933">
        <v>1</v>
      </c>
      <c r="E1933" s="28">
        <v>7.5726027397260278</v>
      </c>
      <c r="F1933" s="28"/>
      <c r="G1933" s="28"/>
      <c r="H1933" s="28"/>
      <c r="I1933" s="28"/>
      <c r="J1933" s="28"/>
      <c r="L1933" s="37">
        <v>17</v>
      </c>
      <c r="M1933" s="3">
        <v>16</v>
      </c>
      <c r="N1933" s="3">
        <v>5</v>
      </c>
      <c r="O1933" s="3">
        <v>3</v>
      </c>
      <c r="P1933" s="3">
        <v>4</v>
      </c>
      <c r="Q1933" s="3">
        <v>4</v>
      </c>
      <c r="R1933" s="3">
        <v>1</v>
      </c>
      <c r="S1933" s="3">
        <v>0</v>
      </c>
      <c r="T1933" s="3">
        <v>1</v>
      </c>
      <c r="U1933" s="3">
        <v>1</v>
      </c>
      <c r="V1933" s="3">
        <v>0</v>
      </c>
      <c r="W1933" s="3">
        <v>2</v>
      </c>
      <c r="X1933" s="3">
        <v>8</v>
      </c>
    </row>
    <row r="1934" spans="1:24" x14ac:dyDescent="0.35">
      <c r="A1934">
        <v>17</v>
      </c>
      <c r="B1934">
        <v>29672</v>
      </c>
      <c r="C1934">
        <v>55</v>
      </c>
      <c r="D1934">
        <v>1</v>
      </c>
      <c r="E1934" s="28">
        <v>7.2136986301369861</v>
      </c>
      <c r="F1934" s="28"/>
      <c r="G1934" s="28"/>
      <c r="H1934" s="28"/>
      <c r="I1934" s="28"/>
      <c r="J1934" s="28"/>
      <c r="L1934" s="38">
        <v>17</v>
      </c>
      <c r="M1934" s="2">
        <v>6</v>
      </c>
      <c r="N1934" s="2">
        <v>9</v>
      </c>
      <c r="O1934" s="2">
        <v>1</v>
      </c>
      <c r="P1934" s="2">
        <v>3</v>
      </c>
      <c r="Q1934" s="2">
        <v>0</v>
      </c>
      <c r="R1934" s="2">
        <v>4</v>
      </c>
      <c r="S1934" s="2">
        <v>8</v>
      </c>
      <c r="T1934" s="2">
        <v>1</v>
      </c>
      <c r="U1934" s="2">
        <v>0</v>
      </c>
      <c r="V1934" s="2">
        <v>0</v>
      </c>
      <c r="W1934" s="2">
        <v>3</v>
      </c>
      <c r="X1934" s="2">
        <v>6</v>
      </c>
    </row>
    <row r="1935" spans="1:24" x14ac:dyDescent="0.35">
      <c r="A1935">
        <v>17</v>
      </c>
      <c r="B1935">
        <v>45068</v>
      </c>
      <c r="C1935">
        <v>46</v>
      </c>
      <c r="D1935">
        <v>1</v>
      </c>
      <c r="E1935" s="28">
        <v>7.0356164383561648</v>
      </c>
      <c r="F1935" s="28"/>
      <c r="G1935" s="28"/>
      <c r="H1935" s="28"/>
      <c r="I1935" s="28"/>
      <c r="J1935" s="28"/>
      <c r="L1935" s="37">
        <v>17</v>
      </c>
      <c r="M1935" s="3">
        <v>25</v>
      </c>
      <c r="N1935" s="3">
        <v>14</v>
      </c>
      <c r="O1935" s="3">
        <v>0</v>
      </c>
      <c r="P1935" s="3">
        <v>3</v>
      </c>
      <c r="Q1935" s="3">
        <v>0</v>
      </c>
      <c r="R1935" s="3">
        <v>0</v>
      </c>
      <c r="S1935" s="3">
        <v>3</v>
      </c>
      <c r="T1935" s="3">
        <v>1</v>
      </c>
      <c r="U1935" s="3">
        <v>1</v>
      </c>
      <c r="V1935" s="3">
        <v>0</v>
      </c>
      <c r="W1935" s="3">
        <v>2</v>
      </c>
      <c r="X1935" s="3">
        <v>7</v>
      </c>
    </row>
    <row r="1936" spans="1:24" x14ac:dyDescent="0.35">
      <c r="A1936">
        <v>17</v>
      </c>
      <c r="B1936">
        <v>47691</v>
      </c>
      <c r="C1936">
        <v>41</v>
      </c>
      <c r="D1936">
        <v>1</v>
      </c>
      <c r="E1936" s="28">
        <v>6.8986301369863012</v>
      </c>
      <c r="F1936" s="28"/>
      <c r="G1936" s="28"/>
      <c r="H1936" s="28"/>
      <c r="I1936" s="28"/>
      <c r="J1936" s="28"/>
      <c r="L1936" s="38">
        <v>17</v>
      </c>
      <c r="M1936" s="2">
        <v>43</v>
      </c>
      <c r="N1936" s="2">
        <v>14</v>
      </c>
      <c r="O1936" s="2">
        <v>0</v>
      </c>
      <c r="P1936" s="2">
        <v>3</v>
      </c>
      <c r="Q1936" s="2">
        <v>0</v>
      </c>
      <c r="R1936" s="2">
        <v>0</v>
      </c>
      <c r="S1936" s="2">
        <v>4</v>
      </c>
      <c r="T1936" s="2">
        <v>1</v>
      </c>
      <c r="U1936" s="2">
        <v>1</v>
      </c>
      <c r="V1936" s="2">
        <v>0</v>
      </c>
      <c r="W1936" s="2">
        <v>2</v>
      </c>
      <c r="X1936" s="2">
        <v>6</v>
      </c>
    </row>
    <row r="1937" spans="1:24" x14ac:dyDescent="0.35">
      <c r="A1937">
        <v>17</v>
      </c>
      <c r="B1937">
        <v>51411</v>
      </c>
      <c r="C1937">
        <v>67</v>
      </c>
      <c r="D1937">
        <v>1</v>
      </c>
      <c r="E1937" s="28">
        <v>7.0082191780821921</v>
      </c>
      <c r="F1937" s="28"/>
      <c r="G1937" s="28"/>
      <c r="H1937" s="28"/>
      <c r="I1937" s="28"/>
      <c r="J1937" s="28"/>
      <c r="L1937" s="37">
        <v>17</v>
      </c>
      <c r="M1937" s="3">
        <v>81</v>
      </c>
      <c r="N1937" s="3">
        <v>14</v>
      </c>
      <c r="O1937" s="3">
        <v>0</v>
      </c>
      <c r="P1937" s="3">
        <v>3</v>
      </c>
      <c r="Q1937" s="3">
        <v>0</v>
      </c>
      <c r="R1937" s="3">
        <v>0</v>
      </c>
      <c r="S1937" s="3">
        <v>1</v>
      </c>
      <c r="T1937" s="3">
        <v>1</v>
      </c>
      <c r="U1937" s="3">
        <v>0</v>
      </c>
      <c r="V1937" s="3">
        <v>0</v>
      </c>
      <c r="W1937" s="3">
        <v>3</v>
      </c>
      <c r="X1937" s="3">
        <v>5</v>
      </c>
    </row>
    <row r="1938" spans="1:24" x14ac:dyDescent="0.35">
      <c r="A1938">
        <v>17</v>
      </c>
      <c r="B1938">
        <v>27469</v>
      </c>
      <c r="C1938">
        <v>73</v>
      </c>
      <c r="D1938">
        <v>0</v>
      </c>
      <c r="E1938" s="28">
        <v>7.8219178082191778</v>
      </c>
      <c r="F1938" s="28"/>
      <c r="G1938" s="28"/>
      <c r="H1938" s="28"/>
      <c r="I1938" s="28"/>
      <c r="J1938" s="28"/>
      <c r="L1938" s="38">
        <v>17</v>
      </c>
      <c r="M1938" s="2">
        <v>2</v>
      </c>
      <c r="N1938" s="2">
        <v>9</v>
      </c>
      <c r="O1938" s="2">
        <v>1</v>
      </c>
      <c r="P1938" s="2">
        <v>2</v>
      </c>
      <c r="Q1938" s="2">
        <v>3</v>
      </c>
      <c r="R1938" s="2">
        <v>2</v>
      </c>
      <c r="S1938" s="2">
        <v>0</v>
      </c>
      <c r="T1938" s="2">
        <v>1</v>
      </c>
      <c r="U1938" s="2">
        <v>0</v>
      </c>
      <c r="V1938" s="2">
        <v>0</v>
      </c>
      <c r="W1938" s="2">
        <v>3</v>
      </c>
      <c r="X1938" s="2">
        <v>6</v>
      </c>
    </row>
    <row r="1939" spans="1:24" x14ac:dyDescent="0.35">
      <c r="A1939">
        <v>17</v>
      </c>
      <c r="B1939">
        <v>37284</v>
      </c>
      <c r="C1939">
        <v>45</v>
      </c>
      <c r="D1939">
        <v>1</v>
      </c>
      <c r="E1939" s="28">
        <v>7.1671232876712327</v>
      </c>
      <c r="F1939" s="28"/>
      <c r="G1939" s="28"/>
      <c r="H1939" s="28"/>
      <c r="I1939" s="28"/>
      <c r="J1939" s="28"/>
      <c r="L1939" s="37">
        <v>17</v>
      </c>
      <c r="M1939" s="3">
        <v>46</v>
      </c>
      <c r="N1939" s="3">
        <v>11</v>
      </c>
      <c r="O1939" s="3">
        <v>1</v>
      </c>
      <c r="P1939" s="3">
        <v>2</v>
      </c>
      <c r="Q1939" s="3">
        <v>2</v>
      </c>
      <c r="R1939" s="3">
        <v>1</v>
      </c>
      <c r="S1939" s="3">
        <v>6</v>
      </c>
      <c r="T1939" s="3">
        <v>1</v>
      </c>
      <c r="U1939" s="3">
        <v>0</v>
      </c>
      <c r="V1939" s="3">
        <v>0</v>
      </c>
      <c r="W1939" s="3">
        <v>3</v>
      </c>
      <c r="X1939" s="3">
        <v>6</v>
      </c>
    </row>
    <row r="1940" spans="1:24" x14ac:dyDescent="0.35">
      <c r="A1940">
        <v>17</v>
      </c>
      <c r="B1940">
        <v>39356</v>
      </c>
      <c r="C1940">
        <v>44</v>
      </c>
      <c r="D1940">
        <v>1</v>
      </c>
      <c r="E1940" s="28">
        <v>6.1945205479452055</v>
      </c>
      <c r="F1940" s="28"/>
      <c r="G1940" s="28"/>
      <c r="H1940" s="28"/>
      <c r="I1940" s="28"/>
      <c r="J1940" s="28"/>
      <c r="L1940" s="38">
        <v>17</v>
      </c>
      <c r="M1940" s="2">
        <v>21</v>
      </c>
      <c r="N1940" s="2">
        <v>15</v>
      </c>
      <c r="O1940" s="2">
        <v>0</v>
      </c>
      <c r="P1940" s="2">
        <v>2</v>
      </c>
      <c r="Q1940" s="2">
        <v>0</v>
      </c>
      <c r="R1940" s="2">
        <v>0</v>
      </c>
      <c r="S1940" s="2">
        <v>6</v>
      </c>
      <c r="T1940" s="2">
        <v>1</v>
      </c>
      <c r="U1940" s="2">
        <v>1</v>
      </c>
      <c r="V1940" s="2">
        <v>0</v>
      </c>
      <c r="W1940" s="2">
        <v>2</v>
      </c>
      <c r="X1940" s="2">
        <v>6</v>
      </c>
    </row>
    <row r="1941" spans="1:24" x14ac:dyDescent="0.35">
      <c r="A1941">
        <v>16</v>
      </c>
      <c r="B1941">
        <v>26954</v>
      </c>
      <c r="C1941">
        <v>49</v>
      </c>
      <c r="D1941">
        <v>1</v>
      </c>
      <c r="E1941" s="28">
        <v>6.0575342465753428</v>
      </c>
      <c r="F1941" s="28"/>
      <c r="G1941" s="28"/>
      <c r="H1941" s="28"/>
      <c r="I1941" s="28"/>
      <c r="J1941" s="28"/>
      <c r="L1941" s="37">
        <v>16</v>
      </c>
      <c r="M1941" s="3">
        <v>17</v>
      </c>
      <c r="N1941" s="3">
        <v>4</v>
      </c>
      <c r="O1941" s="3">
        <v>1</v>
      </c>
      <c r="P1941" s="3">
        <v>11</v>
      </c>
      <c r="Q1941" s="3">
        <v>0</v>
      </c>
      <c r="R1941" s="3">
        <v>0</v>
      </c>
      <c r="S1941" s="3">
        <v>1</v>
      </c>
      <c r="T1941" s="3">
        <v>1</v>
      </c>
      <c r="U1941" s="3">
        <v>1</v>
      </c>
      <c r="V1941" s="3">
        <v>0</v>
      </c>
      <c r="W1941" s="3">
        <v>2</v>
      </c>
      <c r="X1941" s="3">
        <v>7</v>
      </c>
    </row>
    <row r="1942" spans="1:24" x14ac:dyDescent="0.35">
      <c r="A1942">
        <v>16</v>
      </c>
      <c r="B1942">
        <v>33444</v>
      </c>
      <c r="C1942">
        <v>68</v>
      </c>
      <c r="D1942">
        <v>1</v>
      </c>
      <c r="E1942" s="28">
        <v>7.5671232876712331</v>
      </c>
      <c r="F1942" s="28"/>
      <c r="G1942" s="28"/>
      <c r="H1942" s="28"/>
      <c r="I1942" s="28"/>
      <c r="J1942" s="28"/>
      <c r="L1942" s="38">
        <v>16</v>
      </c>
      <c r="M1942" s="2">
        <v>24</v>
      </c>
      <c r="N1942" s="2">
        <v>8</v>
      </c>
      <c r="O1942" s="2">
        <v>0</v>
      </c>
      <c r="P1942" s="2">
        <v>8</v>
      </c>
      <c r="Q1942" s="2">
        <v>0</v>
      </c>
      <c r="R1942" s="2">
        <v>0</v>
      </c>
      <c r="S1942" s="2">
        <v>2</v>
      </c>
      <c r="T1942" s="2">
        <v>1</v>
      </c>
      <c r="U1942" s="2">
        <v>1</v>
      </c>
      <c r="V1942" s="2">
        <v>0</v>
      </c>
      <c r="W1942" s="2">
        <v>2</v>
      </c>
      <c r="X1942" s="2">
        <v>8</v>
      </c>
    </row>
    <row r="1943" spans="1:24" x14ac:dyDescent="0.35">
      <c r="A1943">
        <v>16</v>
      </c>
      <c r="B1943">
        <v>22304</v>
      </c>
      <c r="C1943">
        <v>64</v>
      </c>
      <c r="D1943">
        <v>0</v>
      </c>
      <c r="E1943" s="28">
        <v>7.816438356164384</v>
      </c>
      <c r="F1943" s="28"/>
      <c r="G1943" s="28"/>
      <c r="H1943" s="28"/>
      <c r="I1943" s="28"/>
      <c r="J1943" s="28"/>
      <c r="L1943" s="37">
        <v>16</v>
      </c>
      <c r="M1943" s="3">
        <v>91</v>
      </c>
      <c r="N1943" s="3">
        <v>3</v>
      </c>
      <c r="O1943" s="3">
        <v>2</v>
      </c>
      <c r="P1943" s="3">
        <v>7</v>
      </c>
      <c r="Q1943" s="3">
        <v>0</v>
      </c>
      <c r="R1943" s="3">
        <v>4</v>
      </c>
      <c r="S1943" s="3">
        <v>2</v>
      </c>
      <c r="T1943" s="3">
        <v>1</v>
      </c>
      <c r="U1943" s="3">
        <v>1</v>
      </c>
      <c r="V1943" s="3">
        <v>0</v>
      </c>
      <c r="W1943" s="3">
        <v>2</v>
      </c>
      <c r="X1943" s="3">
        <v>8</v>
      </c>
    </row>
    <row r="1944" spans="1:24" x14ac:dyDescent="0.35">
      <c r="A1944">
        <v>16</v>
      </c>
      <c r="B1944">
        <v>24884</v>
      </c>
      <c r="C1944">
        <v>48</v>
      </c>
      <c r="D1944">
        <v>1</v>
      </c>
      <c r="E1944" s="28">
        <v>7.4958904109589044</v>
      </c>
      <c r="F1944" s="28"/>
      <c r="G1944" s="28"/>
      <c r="H1944" s="28"/>
      <c r="I1944" s="28"/>
      <c r="J1944" s="28"/>
      <c r="L1944" s="38">
        <v>16</v>
      </c>
      <c r="M1944" s="2">
        <v>32</v>
      </c>
      <c r="N1944" s="2">
        <v>3</v>
      </c>
      <c r="O1944" s="2">
        <v>6</v>
      </c>
      <c r="P1944" s="2">
        <v>7</v>
      </c>
      <c r="Q1944" s="2">
        <v>0</v>
      </c>
      <c r="R1944" s="2">
        <v>0</v>
      </c>
      <c r="S1944" s="2">
        <v>3</v>
      </c>
      <c r="T1944" s="2">
        <v>1</v>
      </c>
      <c r="U1944" s="2">
        <v>0</v>
      </c>
      <c r="V1944" s="2">
        <v>0</v>
      </c>
      <c r="W1944" s="2">
        <v>3</v>
      </c>
      <c r="X1944" s="2">
        <v>7</v>
      </c>
    </row>
    <row r="1945" spans="1:24" x14ac:dyDescent="0.35">
      <c r="A1945">
        <v>16</v>
      </c>
      <c r="B1945">
        <v>43142</v>
      </c>
      <c r="C1945">
        <v>51</v>
      </c>
      <c r="D1945">
        <v>1</v>
      </c>
      <c r="E1945" s="28">
        <v>6.2739726027397262</v>
      </c>
      <c r="F1945" s="28"/>
      <c r="G1945" s="28"/>
      <c r="H1945" s="28"/>
      <c r="I1945" s="28"/>
      <c r="J1945" s="28"/>
      <c r="L1945" s="37">
        <v>16</v>
      </c>
      <c r="M1945" s="3">
        <v>84</v>
      </c>
      <c r="N1945" s="3">
        <v>5</v>
      </c>
      <c r="O1945" s="3">
        <v>1</v>
      </c>
      <c r="P1945" s="3">
        <v>7</v>
      </c>
      <c r="Q1945" s="3">
        <v>2</v>
      </c>
      <c r="R1945" s="3">
        <v>1</v>
      </c>
      <c r="S1945" s="3">
        <v>4</v>
      </c>
      <c r="T1945" s="3">
        <v>1</v>
      </c>
      <c r="U1945" s="3">
        <v>1</v>
      </c>
      <c r="V1945" s="3">
        <v>0</v>
      </c>
      <c r="W1945" s="3">
        <v>2</v>
      </c>
      <c r="X1945" s="3">
        <v>7</v>
      </c>
    </row>
    <row r="1946" spans="1:24" x14ac:dyDescent="0.35">
      <c r="A1946">
        <v>16</v>
      </c>
      <c r="B1946">
        <v>20518</v>
      </c>
      <c r="C1946">
        <v>32</v>
      </c>
      <c r="D1946">
        <v>1</v>
      </c>
      <c r="E1946" s="28">
        <v>6.0301369863013701</v>
      </c>
      <c r="F1946" s="28"/>
      <c r="G1946" s="28"/>
      <c r="H1946" s="28"/>
      <c r="I1946" s="28"/>
      <c r="J1946" s="28"/>
      <c r="L1946" s="38">
        <v>16</v>
      </c>
      <c r="M1946" s="2">
        <v>58</v>
      </c>
      <c r="N1946" s="2">
        <v>4</v>
      </c>
      <c r="O1946" s="2">
        <v>1</v>
      </c>
      <c r="P1946" s="2">
        <v>6</v>
      </c>
      <c r="Q1946" s="2">
        <v>4</v>
      </c>
      <c r="R1946" s="2">
        <v>1</v>
      </c>
      <c r="S1946" s="2">
        <v>9</v>
      </c>
      <c r="T1946" s="2">
        <v>1</v>
      </c>
      <c r="U1946" s="2">
        <v>1</v>
      </c>
      <c r="V1946" s="2">
        <v>1</v>
      </c>
      <c r="W1946" s="2">
        <v>2</v>
      </c>
      <c r="X1946" s="2">
        <v>5</v>
      </c>
    </row>
    <row r="1947" spans="1:24" x14ac:dyDescent="0.35">
      <c r="A1947">
        <v>16</v>
      </c>
      <c r="B1947">
        <v>20587</v>
      </c>
      <c r="C1947">
        <v>50</v>
      </c>
      <c r="D1947">
        <v>1</v>
      </c>
      <c r="E1947" s="28">
        <v>6.0493150684931507</v>
      </c>
      <c r="F1947" s="28"/>
      <c r="G1947" s="28"/>
      <c r="H1947" s="28"/>
      <c r="I1947" s="28"/>
      <c r="J1947" s="28"/>
      <c r="L1947" s="37">
        <v>16</v>
      </c>
      <c r="M1947" s="3">
        <v>39</v>
      </c>
      <c r="N1947" s="3">
        <v>2</v>
      </c>
      <c r="O1947" s="3">
        <v>3</v>
      </c>
      <c r="P1947" s="3">
        <v>6</v>
      </c>
      <c r="Q1947" s="3">
        <v>4</v>
      </c>
      <c r="R1947" s="3">
        <v>1</v>
      </c>
      <c r="S1947" s="3">
        <v>9</v>
      </c>
      <c r="T1947" s="3">
        <v>1</v>
      </c>
      <c r="U1947" s="3">
        <v>1</v>
      </c>
      <c r="V1947" s="3">
        <v>1</v>
      </c>
      <c r="W1947" s="3">
        <v>2</v>
      </c>
      <c r="X1947" s="3">
        <v>7</v>
      </c>
    </row>
    <row r="1948" spans="1:24" x14ac:dyDescent="0.35">
      <c r="A1948">
        <v>16</v>
      </c>
      <c r="B1948">
        <v>19986</v>
      </c>
      <c r="C1948">
        <v>35</v>
      </c>
      <c r="D1948">
        <v>1</v>
      </c>
      <c r="E1948" s="28">
        <v>6.536986301369863</v>
      </c>
      <c r="F1948" s="28"/>
      <c r="G1948" s="28"/>
      <c r="H1948" s="28"/>
      <c r="I1948" s="28"/>
      <c r="J1948" s="28"/>
      <c r="L1948" s="38">
        <v>16</v>
      </c>
      <c r="M1948" s="2">
        <v>74</v>
      </c>
      <c r="N1948" s="2">
        <v>3</v>
      </c>
      <c r="O1948" s="2">
        <v>6</v>
      </c>
      <c r="P1948" s="2">
        <v>5</v>
      </c>
      <c r="Q1948" s="2">
        <v>0</v>
      </c>
      <c r="R1948" s="2">
        <v>2</v>
      </c>
      <c r="S1948" s="2">
        <v>6</v>
      </c>
      <c r="T1948" s="2">
        <v>1</v>
      </c>
      <c r="U1948" s="2">
        <v>0</v>
      </c>
      <c r="V1948" s="2">
        <v>0</v>
      </c>
      <c r="W1948" s="2">
        <v>3</v>
      </c>
      <c r="X1948" s="2">
        <v>7</v>
      </c>
    </row>
    <row r="1949" spans="1:24" x14ac:dyDescent="0.35">
      <c r="A1949">
        <v>16</v>
      </c>
      <c r="B1949">
        <v>30261</v>
      </c>
      <c r="C1949">
        <v>48</v>
      </c>
      <c r="D1949">
        <v>1</v>
      </c>
      <c r="E1949" s="28">
        <v>7.6739726027397257</v>
      </c>
      <c r="F1949" s="28"/>
      <c r="G1949" s="28"/>
      <c r="H1949" s="28"/>
      <c r="I1949" s="28"/>
      <c r="J1949" s="28"/>
      <c r="L1949" s="37">
        <v>16</v>
      </c>
      <c r="M1949" s="3">
        <v>75</v>
      </c>
      <c r="N1949" s="3">
        <v>8</v>
      </c>
      <c r="O1949" s="3">
        <v>0</v>
      </c>
      <c r="P1949" s="3">
        <v>5</v>
      </c>
      <c r="Q1949" s="3">
        <v>0</v>
      </c>
      <c r="R1949" s="3">
        <v>3</v>
      </c>
      <c r="S1949" s="3">
        <v>6</v>
      </c>
      <c r="T1949" s="3">
        <v>1</v>
      </c>
      <c r="U1949" s="3">
        <v>0</v>
      </c>
      <c r="V1949" s="3">
        <v>0</v>
      </c>
      <c r="W1949" s="3">
        <v>3</v>
      </c>
      <c r="X1949" s="3">
        <v>8</v>
      </c>
    </row>
    <row r="1950" spans="1:24" x14ac:dyDescent="0.35">
      <c r="A1950">
        <v>16</v>
      </c>
      <c r="B1950">
        <v>31686</v>
      </c>
      <c r="C1950">
        <v>56</v>
      </c>
      <c r="D1950">
        <v>1</v>
      </c>
      <c r="E1950" s="28">
        <v>5.9808219178082194</v>
      </c>
      <c r="F1950" s="28"/>
      <c r="G1950" s="28"/>
      <c r="H1950" s="28"/>
      <c r="I1950" s="28"/>
      <c r="J1950" s="28"/>
      <c r="L1950" s="38">
        <v>16</v>
      </c>
      <c r="M1950" s="2">
        <v>31</v>
      </c>
      <c r="N1950" s="2">
        <v>11</v>
      </c>
      <c r="O1950" s="2">
        <v>0</v>
      </c>
      <c r="P1950" s="2">
        <v>5</v>
      </c>
      <c r="Q1950" s="2">
        <v>0</v>
      </c>
      <c r="R1950" s="2">
        <v>0</v>
      </c>
      <c r="S1950" s="2">
        <v>1</v>
      </c>
      <c r="T1950" s="2">
        <v>2</v>
      </c>
      <c r="U1950" s="2">
        <v>1</v>
      </c>
      <c r="V1950" s="2">
        <v>0</v>
      </c>
      <c r="W1950" s="2">
        <v>3</v>
      </c>
      <c r="X1950" s="2">
        <v>6</v>
      </c>
    </row>
    <row r="1951" spans="1:24" x14ac:dyDescent="0.35">
      <c r="A1951">
        <v>16</v>
      </c>
      <c r="B1951">
        <v>33581</v>
      </c>
      <c r="C1951">
        <v>51</v>
      </c>
      <c r="D1951">
        <v>1</v>
      </c>
      <c r="E1951" s="28">
        <v>7.3863013698630136</v>
      </c>
      <c r="F1951" s="28"/>
      <c r="G1951" s="28"/>
      <c r="H1951" s="28"/>
      <c r="I1951" s="28"/>
      <c r="J1951" s="28"/>
      <c r="L1951" s="37">
        <v>16</v>
      </c>
      <c r="M1951" s="3">
        <v>38</v>
      </c>
      <c r="N1951" s="3">
        <v>11</v>
      </c>
      <c r="O1951" s="3">
        <v>0</v>
      </c>
      <c r="P1951" s="3">
        <v>5</v>
      </c>
      <c r="Q1951" s="3">
        <v>0</v>
      </c>
      <c r="R1951" s="3">
        <v>0</v>
      </c>
      <c r="S1951" s="3">
        <v>1</v>
      </c>
      <c r="T1951" s="3">
        <v>1</v>
      </c>
      <c r="U1951" s="3">
        <v>1</v>
      </c>
      <c r="V1951" s="3">
        <v>0</v>
      </c>
      <c r="W1951" s="3">
        <v>2</v>
      </c>
      <c r="X1951" s="3">
        <v>8</v>
      </c>
    </row>
    <row r="1952" spans="1:24" x14ac:dyDescent="0.35">
      <c r="A1952">
        <v>16</v>
      </c>
      <c r="B1952">
        <v>26228</v>
      </c>
      <c r="C1952">
        <v>47</v>
      </c>
      <c r="D1952">
        <v>1</v>
      </c>
      <c r="E1952" s="28">
        <v>6.6821917808219178</v>
      </c>
      <c r="F1952" s="28"/>
      <c r="G1952" s="28"/>
      <c r="H1952" s="28"/>
      <c r="I1952" s="28"/>
      <c r="J1952" s="28"/>
      <c r="L1952" s="38">
        <v>16</v>
      </c>
      <c r="M1952" s="2">
        <v>50</v>
      </c>
      <c r="N1952" s="2">
        <v>2</v>
      </c>
      <c r="O1952" s="2">
        <v>6</v>
      </c>
      <c r="P1952" s="2">
        <v>4</v>
      </c>
      <c r="Q1952" s="2">
        <v>3</v>
      </c>
      <c r="R1952" s="2">
        <v>1</v>
      </c>
      <c r="S1952" s="2">
        <v>9</v>
      </c>
      <c r="T1952" s="2">
        <v>1</v>
      </c>
      <c r="U1952" s="2">
        <v>1</v>
      </c>
      <c r="V1952" s="2">
        <v>0</v>
      </c>
      <c r="W1952" s="2">
        <v>2</v>
      </c>
      <c r="X1952" s="2">
        <v>8</v>
      </c>
    </row>
    <row r="1953" spans="1:24" x14ac:dyDescent="0.35">
      <c r="A1953">
        <v>16</v>
      </c>
      <c r="B1953">
        <v>30772</v>
      </c>
      <c r="C1953">
        <v>44</v>
      </c>
      <c r="D1953">
        <v>1</v>
      </c>
      <c r="E1953" s="28">
        <v>6.2136986301369861</v>
      </c>
      <c r="F1953" s="28"/>
      <c r="G1953" s="28"/>
      <c r="H1953" s="28"/>
      <c r="I1953" s="28"/>
      <c r="J1953" s="28"/>
      <c r="L1953" s="37">
        <v>16</v>
      </c>
      <c r="M1953" s="3">
        <v>89</v>
      </c>
      <c r="N1953" s="3">
        <v>7</v>
      </c>
      <c r="O1953" s="3">
        <v>2</v>
      </c>
      <c r="P1953" s="3">
        <v>4</v>
      </c>
      <c r="Q1953" s="3">
        <v>2</v>
      </c>
      <c r="R1953" s="3">
        <v>1</v>
      </c>
      <c r="S1953" s="3">
        <v>4</v>
      </c>
      <c r="T1953" s="3">
        <v>1</v>
      </c>
      <c r="U1953" s="3">
        <v>1</v>
      </c>
      <c r="V1953" s="3">
        <v>0</v>
      </c>
      <c r="W1953" s="3">
        <v>2</v>
      </c>
      <c r="X1953" s="3">
        <v>6</v>
      </c>
    </row>
    <row r="1954" spans="1:24" x14ac:dyDescent="0.35">
      <c r="A1954">
        <v>16</v>
      </c>
      <c r="B1954">
        <v>38200</v>
      </c>
      <c r="C1954">
        <v>50</v>
      </c>
      <c r="D1954">
        <v>1</v>
      </c>
      <c r="E1954" s="28">
        <v>7.4739726027397264</v>
      </c>
      <c r="F1954" s="28"/>
      <c r="G1954" s="28"/>
      <c r="H1954" s="28"/>
      <c r="I1954" s="28"/>
      <c r="J1954" s="28"/>
      <c r="L1954" s="38">
        <v>16</v>
      </c>
      <c r="M1954" s="2">
        <v>19</v>
      </c>
      <c r="N1954" s="2">
        <v>12</v>
      </c>
      <c r="O1954" s="2">
        <v>0</v>
      </c>
      <c r="P1954" s="2">
        <v>4</v>
      </c>
      <c r="Q1954" s="2">
        <v>0</v>
      </c>
      <c r="R1954" s="2">
        <v>0</v>
      </c>
      <c r="S1954" s="2">
        <v>1</v>
      </c>
      <c r="T1954" s="2">
        <v>1</v>
      </c>
      <c r="U1954" s="2">
        <v>1</v>
      </c>
      <c r="V1954" s="2">
        <v>0</v>
      </c>
      <c r="W1954" s="2">
        <v>2</v>
      </c>
      <c r="X1954" s="2">
        <v>7</v>
      </c>
    </row>
    <row r="1955" spans="1:24" x14ac:dyDescent="0.35">
      <c r="A1955">
        <v>16</v>
      </c>
      <c r="B1955">
        <v>52195</v>
      </c>
      <c r="C1955">
        <v>42</v>
      </c>
      <c r="D1955">
        <v>1</v>
      </c>
      <c r="E1955" s="28">
        <v>6.0465753424657533</v>
      </c>
      <c r="F1955" s="28"/>
      <c r="G1955" s="28"/>
      <c r="H1955" s="28"/>
      <c r="I1955" s="28"/>
      <c r="J1955" s="28"/>
      <c r="L1955" s="37">
        <v>16</v>
      </c>
      <c r="M1955" s="3">
        <v>2</v>
      </c>
      <c r="N1955" s="3">
        <v>12</v>
      </c>
      <c r="O1955" s="3">
        <v>0</v>
      </c>
      <c r="P1955" s="3">
        <v>4</v>
      </c>
      <c r="Q1955" s="3">
        <v>0</v>
      </c>
      <c r="R1955" s="3">
        <v>0</v>
      </c>
      <c r="S1955" s="3">
        <v>1</v>
      </c>
      <c r="T1955" s="3">
        <v>1</v>
      </c>
      <c r="U1955" s="3">
        <v>1</v>
      </c>
      <c r="V1955" s="3">
        <v>0</v>
      </c>
      <c r="W1955" s="3">
        <v>2</v>
      </c>
      <c r="X1955" s="3">
        <v>8</v>
      </c>
    </row>
    <row r="1956" spans="1:24" x14ac:dyDescent="0.35">
      <c r="A1956">
        <v>16</v>
      </c>
      <c r="B1956">
        <v>54466</v>
      </c>
      <c r="C1956">
        <v>47</v>
      </c>
      <c r="D1956">
        <v>1</v>
      </c>
      <c r="E1956" s="28">
        <v>6.2986301369863016</v>
      </c>
      <c r="F1956" s="28"/>
      <c r="G1956" s="28"/>
      <c r="H1956" s="28"/>
      <c r="I1956" s="28"/>
      <c r="J1956" s="28"/>
      <c r="L1956" s="38">
        <v>16</v>
      </c>
      <c r="M1956" s="2">
        <v>78</v>
      </c>
      <c r="N1956" s="2">
        <v>12</v>
      </c>
      <c r="O1956" s="2">
        <v>0</v>
      </c>
      <c r="P1956" s="2">
        <v>4</v>
      </c>
      <c r="Q1956" s="2">
        <v>0</v>
      </c>
      <c r="R1956" s="2">
        <v>0</v>
      </c>
      <c r="S1956" s="2">
        <v>0</v>
      </c>
      <c r="T1956" s="2">
        <v>1</v>
      </c>
      <c r="U1956" s="2">
        <v>1</v>
      </c>
      <c r="V1956" s="2">
        <v>0</v>
      </c>
      <c r="W1956" s="2">
        <v>2</v>
      </c>
      <c r="X1956" s="2">
        <v>5</v>
      </c>
    </row>
    <row r="1957" spans="1:24" x14ac:dyDescent="0.35">
      <c r="A1957">
        <v>16</v>
      </c>
      <c r="B1957">
        <v>15253</v>
      </c>
      <c r="C1957">
        <v>28</v>
      </c>
      <c r="D1957">
        <v>1</v>
      </c>
      <c r="E1957" s="28">
        <v>6.5835616438356164</v>
      </c>
      <c r="F1957" s="28"/>
      <c r="G1957" s="28"/>
      <c r="H1957" s="28"/>
      <c r="I1957" s="28"/>
      <c r="J1957" s="28"/>
      <c r="L1957" s="37">
        <v>16</v>
      </c>
      <c r="M1957" s="3">
        <v>13</v>
      </c>
      <c r="N1957" s="3">
        <v>1</v>
      </c>
      <c r="O1957" s="3">
        <v>3</v>
      </c>
      <c r="P1957" s="3">
        <v>3</v>
      </c>
      <c r="Q1957" s="3">
        <v>8</v>
      </c>
      <c r="R1957" s="3">
        <v>1</v>
      </c>
      <c r="S1957" s="3">
        <v>13</v>
      </c>
      <c r="T1957" s="3">
        <v>2</v>
      </c>
      <c r="U1957" s="3">
        <v>1</v>
      </c>
      <c r="V1957" s="3">
        <v>0</v>
      </c>
      <c r="W1957" s="3">
        <v>3</v>
      </c>
      <c r="X1957" s="3">
        <v>7</v>
      </c>
    </row>
    <row r="1958" spans="1:24" x14ac:dyDescent="0.35">
      <c r="A1958">
        <v>16</v>
      </c>
      <c r="B1958">
        <v>33279</v>
      </c>
      <c r="C1958">
        <v>54</v>
      </c>
      <c r="D1958">
        <v>0</v>
      </c>
      <c r="E1958" s="28">
        <v>5.9616438356164387</v>
      </c>
      <c r="F1958" s="28"/>
      <c r="G1958" s="28"/>
      <c r="H1958" s="28"/>
      <c r="I1958" s="28"/>
      <c r="J1958" s="28"/>
      <c r="L1958" s="38">
        <v>16</v>
      </c>
      <c r="M1958" s="2">
        <v>29</v>
      </c>
      <c r="N1958" s="2">
        <v>10</v>
      </c>
      <c r="O1958" s="2">
        <v>3</v>
      </c>
      <c r="P1958" s="2">
        <v>3</v>
      </c>
      <c r="Q1958" s="2">
        <v>0</v>
      </c>
      <c r="R1958" s="2">
        <v>0</v>
      </c>
      <c r="S1958" s="2">
        <v>0</v>
      </c>
      <c r="T1958" s="2">
        <v>1</v>
      </c>
      <c r="U1958" s="2">
        <v>0</v>
      </c>
      <c r="V1958" s="2">
        <v>0</v>
      </c>
      <c r="W1958" s="2">
        <v>3</v>
      </c>
      <c r="X1958" s="2">
        <v>3</v>
      </c>
    </row>
    <row r="1959" spans="1:24" x14ac:dyDescent="0.35">
      <c r="A1959">
        <v>16</v>
      </c>
      <c r="B1959">
        <v>41452</v>
      </c>
      <c r="C1959">
        <v>67</v>
      </c>
      <c r="D1959">
        <v>1</v>
      </c>
      <c r="E1959" s="28">
        <v>7.2301369863013702</v>
      </c>
      <c r="F1959" s="28"/>
      <c r="G1959" s="28"/>
      <c r="H1959" s="28"/>
      <c r="I1959" s="28"/>
      <c r="J1959" s="28"/>
      <c r="L1959" s="37">
        <v>16</v>
      </c>
      <c r="M1959" s="3">
        <v>86</v>
      </c>
      <c r="N1959" s="3">
        <v>13</v>
      </c>
      <c r="O1959" s="3">
        <v>0</v>
      </c>
      <c r="P1959" s="3">
        <v>3</v>
      </c>
      <c r="Q1959" s="3">
        <v>0</v>
      </c>
      <c r="R1959" s="3">
        <v>0</v>
      </c>
      <c r="S1959" s="3">
        <v>0</v>
      </c>
      <c r="T1959" s="3">
        <v>1</v>
      </c>
      <c r="U1959" s="3">
        <v>1</v>
      </c>
      <c r="V1959" s="3">
        <v>0</v>
      </c>
      <c r="W1959" s="3">
        <v>2</v>
      </c>
      <c r="X1959" s="3">
        <v>7</v>
      </c>
    </row>
    <row r="1960" spans="1:24" x14ac:dyDescent="0.35">
      <c r="A1960">
        <v>16</v>
      </c>
      <c r="B1960">
        <v>46779</v>
      </c>
      <c r="C1960">
        <v>60</v>
      </c>
      <c r="D1960">
        <v>1</v>
      </c>
      <c r="E1960" s="28">
        <v>6.8794520547945206</v>
      </c>
      <c r="F1960" s="28"/>
      <c r="G1960" s="28"/>
      <c r="H1960" s="28"/>
      <c r="I1960" s="28"/>
      <c r="J1960" s="28"/>
      <c r="L1960" s="38">
        <v>16</v>
      </c>
      <c r="M1960" s="2">
        <v>55</v>
      </c>
      <c r="N1960" s="2">
        <v>12</v>
      </c>
      <c r="O1960" s="2">
        <v>1</v>
      </c>
      <c r="P1960" s="2">
        <v>3</v>
      </c>
      <c r="Q1960" s="2">
        <v>0</v>
      </c>
      <c r="R1960" s="2">
        <v>0</v>
      </c>
      <c r="S1960" s="2">
        <v>7</v>
      </c>
      <c r="T1960" s="2">
        <v>1</v>
      </c>
      <c r="U1960" s="2">
        <v>0</v>
      </c>
      <c r="V1960" s="2">
        <v>1</v>
      </c>
      <c r="W1960" s="2">
        <v>2</v>
      </c>
      <c r="X1960" s="2">
        <v>4</v>
      </c>
    </row>
    <row r="1961" spans="1:24" x14ac:dyDescent="0.35">
      <c r="A1961">
        <v>16</v>
      </c>
      <c r="B1961">
        <v>34596</v>
      </c>
      <c r="C1961">
        <v>46</v>
      </c>
      <c r="D1961">
        <v>1</v>
      </c>
      <c r="E1961" s="28">
        <v>7.1260273972602741</v>
      </c>
      <c r="F1961" s="28"/>
      <c r="G1961" s="28"/>
      <c r="H1961" s="28"/>
      <c r="I1961" s="28"/>
      <c r="J1961" s="28"/>
      <c r="L1961" s="37">
        <v>16</v>
      </c>
      <c r="M1961" s="3">
        <v>48</v>
      </c>
      <c r="N1961" s="3">
        <v>14</v>
      </c>
      <c r="O1961" s="3">
        <v>0</v>
      </c>
      <c r="P1961" s="3">
        <v>2</v>
      </c>
      <c r="Q1961" s="3">
        <v>0</v>
      </c>
      <c r="R1961" s="3">
        <v>0</v>
      </c>
      <c r="S1961" s="3">
        <v>7</v>
      </c>
      <c r="T1961" s="3">
        <v>1</v>
      </c>
      <c r="U1961" s="3">
        <v>1</v>
      </c>
      <c r="V1961" s="3">
        <v>0</v>
      </c>
      <c r="W1961" s="3">
        <v>2</v>
      </c>
      <c r="X1961" s="3">
        <v>8</v>
      </c>
    </row>
    <row r="1962" spans="1:24" x14ac:dyDescent="0.35">
      <c r="A1962">
        <v>16</v>
      </c>
      <c r="B1962">
        <v>34596</v>
      </c>
      <c r="C1962">
        <v>46</v>
      </c>
      <c r="D1962">
        <v>1</v>
      </c>
      <c r="E1962" s="28">
        <v>7.1260273972602741</v>
      </c>
      <c r="F1962" s="28"/>
      <c r="G1962" s="28"/>
      <c r="H1962" s="28"/>
      <c r="I1962" s="28"/>
      <c r="J1962" s="28"/>
      <c r="L1962" s="38">
        <v>16</v>
      </c>
      <c r="M1962" s="2">
        <v>48</v>
      </c>
      <c r="N1962" s="2">
        <v>14</v>
      </c>
      <c r="O1962" s="2">
        <v>0</v>
      </c>
      <c r="P1962" s="2">
        <v>2</v>
      </c>
      <c r="Q1962" s="2">
        <v>0</v>
      </c>
      <c r="R1962" s="2">
        <v>0</v>
      </c>
      <c r="S1962" s="2">
        <v>7</v>
      </c>
      <c r="T1962" s="2">
        <v>1</v>
      </c>
      <c r="U1962" s="2">
        <v>1</v>
      </c>
      <c r="V1962" s="2">
        <v>0</v>
      </c>
      <c r="W1962" s="2">
        <v>2</v>
      </c>
      <c r="X1962" s="2">
        <v>8</v>
      </c>
    </row>
    <row r="1963" spans="1:24" x14ac:dyDescent="0.35">
      <c r="A1963">
        <v>15</v>
      </c>
      <c r="B1963">
        <v>40479</v>
      </c>
      <c r="C1963">
        <v>38</v>
      </c>
      <c r="D1963">
        <v>1</v>
      </c>
      <c r="E1963" s="28">
        <v>6.7808219178082192</v>
      </c>
      <c r="F1963" s="28"/>
      <c r="G1963" s="28"/>
      <c r="H1963" s="28"/>
      <c r="I1963" s="28"/>
      <c r="J1963" s="28"/>
      <c r="L1963" s="37">
        <v>15</v>
      </c>
      <c r="M1963" s="3">
        <v>95</v>
      </c>
      <c r="N1963" s="3">
        <v>5</v>
      </c>
      <c r="O1963" s="3">
        <v>0</v>
      </c>
      <c r="P1963" s="3">
        <v>8</v>
      </c>
      <c r="Q1963" s="3">
        <v>2</v>
      </c>
      <c r="R1963" s="3">
        <v>0</v>
      </c>
      <c r="S1963" s="3">
        <v>0</v>
      </c>
      <c r="T1963" s="3">
        <v>1</v>
      </c>
      <c r="U1963" s="3">
        <v>0</v>
      </c>
      <c r="V1963" s="3">
        <v>0</v>
      </c>
      <c r="W1963" s="3">
        <v>3</v>
      </c>
      <c r="X1963" s="3">
        <v>4</v>
      </c>
    </row>
    <row r="1964" spans="1:24" x14ac:dyDescent="0.35">
      <c r="A1964">
        <v>15</v>
      </c>
      <c r="B1964">
        <v>24163</v>
      </c>
      <c r="C1964">
        <v>50</v>
      </c>
      <c r="D1964">
        <v>1</v>
      </c>
      <c r="E1964" s="28">
        <v>6.6273972602739724</v>
      </c>
      <c r="F1964" s="28"/>
      <c r="G1964" s="28"/>
      <c r="H1964" s="28"/>
      <c r="I1964" s="28"/>
      <c r="J1964" s="28"/>
      <c r="L1964" s="38">
        <v>15</v>
      </c>
      <c r="M1964" s="2">
        <v>3</v>
      </c>
      <c r="N1964" s="2">
        <v>4</v>
      </c>
      <c r="O1964" s="2">
        <v>1</v>
      </c>
      <c r="P1964" s="2">
        <v>7</v>
      </c>
      <c r="Q1964" s="2">
        <v>2</v>
      </c>
      <c r="R1964" s="2">
        <v>1</v>
      </c>
      <c r="S1964" s="2">
        <v>2</v>
      </c>
      <c r="T1964" s="2">
        <v>2</v>
      </c>
      <c r="U1964" s="2">
        <v>1</v>
      </c>
      <c r="V1964" s="2">
        <v>0</v>
      </c>
      <c r="W1964" s="2">
        <v>3</v>
      </c>
      <c r="X1964" s="2">
        <v>4</v>
      </c>
    </row>
    <row r="1965" spans="1:24" x14ac:dyDescent="0.35">
      <c r="A1965">
        <v>15</v>
      </c>
      <c r="B1965">
        <v>27190</v>
      </c>
      <c r="C1965">
        <v>47</v>
      </c>
      <c r="D1965">
        <v>1</v>
      </c>
      <c r="E1965" s="28">
        <v>6.7863013698630139</v>
      </c>
      <c r="F1965" s="28"/>
      <c r="G1965" s="28"/>
      <c r="H1965" s="28"/>
      <c r="I1965" s="28"/>
      <c r="J1965" s="28"/>
      <c r="L1965" s="37">
        <v>15</v>
      </c>
      <c r="M1965" s="3">
        <v>13</v>
      </c>
      <c r="N1965" s="3">
        <v>1</v>
      </c>
      <c r="O1965" s="3">
        <v>6</v>
      </c>
      <c r="P1965" s="3">
        <v>7</v>
      </c>
      <c r="Q1965" s="3">
        <v>0</v>
      </c>
      <c r="R1965" s="3">
        <v>1</v>
      </c>
      <c r="S1965" s="3">
        <v>3</v>
      </c>
      <c r="T1965" s="3">
        <v>1</v>
      </c>
      <c r="U1965" s="3">
        <v>1</v>
      </c>
      <c r="V1965" s="3">
        <v>0</v>
      </c>
      <c r="W1965" s="3">
        <v>2</v>
      </c>
      <c r="X1965" s="3">
        <v>8</v>
      </c>
    </row>
    <row r="1966" spans="1:24" x14ac:dyDescent="0.35">
      <c r="A1966">
        <v>15</v>
      </c>
      <c r="B1966">
        <v>29938</v>
      </c>
      <c r="C1966">
        <v>35</v>
      </c>
      <c r="D1966">
        <v>1</v>
      </c>
      <c r="E1966" s="28">
        <v>6.5863013698630137</v>
      </c>
      <c r="F1966" s="28"/>
      <c r="G1966" s="28"/>
      <c r="H1966" s="28"/>
      <c r="I1966" s="28"/>
      <c r="J1966" s="28"/>
      <c r="L1966" s="38">
        <v>15</v>
      </c>
      <c r="M1966" s="2">
        <v>52</v>
      </c>
      <c r="N1966" s="2">
        <v>3</v>
      </c>
      <c r="O1966" s="2">
        <v>3</v>
      </c>
      <c r="P1966" s="2">
        <v>7</v>
      </c>
      <c r="Q1966" s="2">
        <v>0</v>
      </c>
      <c r="R1966" s="2">
        <v>2</v>
      </c>
      <c r="S1966" s="2">
        <v>11</v>
      </c>
      <c r="T1966" s="2">
        <v>2</v>
      </c>
      <c r="U1966" s="2">
        <v>1</v>
      </c>
      <c r="V1966" s="2">
        <v>0</v>
      </c>
      <c r="W1966" s="2">
        <v>3</v>
      </c>
      <c r="X1966" s="2">
        <v>6</v>
      </c>
    </row>
    <row r="1967" spans="1:24" x14ac:dyDescent="0.35">
      <c r="A1967">
        <v>15</v>
      </c>
      <c r="B1967">
        <v>18988</v>
      </c>
      <c r="C1967">
        <v>36</v>
      </c>
      <c r="D1967">
        <v>1</v>
      </c>
      <c r="E1967" s="28">
        <v>6.0164383561643833</v>
      </c>
      <c r="F1967" s="28"/>
      <c r="G1967" s="28"/>
      <c r="H1967" s="28"/>
      <c r="I1967" s="28"/>
      <c r="J1967" s="28"/>
      <c r="L1967" s="37">
        <v>15</v>
      </c>
      <c r="M1967" s="3">
        <v>43</v>
      </c>
      <c r="N1967" s="3">
        <v>6</v>
      </c>
      <c r="O1967" s="3">
        <v>0</v>
      </c>
      <c r="P1967" s="3">
        <v>6</v>
      </c>
      <c r="Q1967" s="3">
        <v>2</v>
      </c>
      <c r="R1967" s="3">
        <v>1</v>
      </c>
      <c r="S1967" s="3">
        <v>1</v>
      </c>
      <c r="T1967" s="3">
        <v>2</v>
      </c>
      <c r="U1967" s="3">
        <v>1</v>
      </c>
      <c r="V1967" s="3">
        <v>0</v>
      </c>
      <c r="W1967" s="3">
        <v>3</v>
      </c>
      <c r="X1967" s="3">
        <v>7</v>
      </c>
    </row>
    <row r="1968" spans="1:24" x14ac:dyDescent="0.35">
      <c r="A1968">
        <v>15</v>
      </c>
      <c r="B1968">
        <v>15033</v>
      </c>
      <c r="C1968">
        <v>69</v>
      </c>
      <c r="D1968">
        <v>0</v>
      </c>
      <c r="E1968" s="28">
        <v>6.117808219178082</v>
      </c>
      <c r="F1968" s="28"/>
      <c r="G1968" s="28"/>
      <c r="H1968" s="28"/>
      <c r="I1968" s="28"/>
      <c r="J1968" s="28"/>
      <c r="L1968" s="38">
        <v>15</v>
      </c>
      <c r="M1968" s="2">
        <v>37</v>
      </c>
      <c r="N1968" s="2">
        <v>0</v>
      </c>
      <c r="O1968" s="2">
        <v>4</v>
      </c>
      <c r="P1968" s="2">
        <v>5</v>
      </c>
      <c r="Q1968" s="2">
        <v>6</v>
      </c>
      <c r="R1968" s="2">
        <v>0</v>
      </c>
      <c r="S1968" s="2">
        <v>4</v>
      </c>
      <c r="T1968" s="2">
        <v>1</v>
      </c>
      <c r="U1968" s="2">
        <v>1</v>
      </c>
      <c r="V1968" s="2">
        <v>0</v>
      </c>
      <c r="W1968" s="2">
        <v>3</v>
      </c>
      <c r="X1968" s="2">
        <v>3</v>
      </c>
    </row>
    <row r="1969" spans="1:24" x14ac:dyDescent="0.35">
      <c r="A1969">
        <v>15</v>
      </c>
      <c r="B1969">
        <v>36627</v>
      </c>
      <c r="C1969">
        <v>45</v>
      </c>
      <c r="D1969">
        <v>1</v>
      </c>
      <c r="E1969" s="28">
        <v>6.8493150684931505</v>
      </c>
      <c r="F1969" s="28"/>
      <c r="G1969" s="28"/>
      <c r="H1969" s="28"/>
      <c r="I1969" s="28"/>
      <c r="J1969" s="28"/>
      <c r="L1969" s="37">
        <v>15</v>
      </c>
      <c r="M1969" s="3">
        <v>78</v>
      </c>
      <c r="N1969" s="3">
        <v>9</v>
      </c>
      <c r="O1969" s="3">
        <v>1</v>
      </c>
      <c r="P1969" s="3">
        <v>5</v>
      </c>
      <c r="Q1969" s="3">
        <v>0</v>
      </c>
      <c r="R1969" s="3">
        <v>0</v>
      </c>
      <c r="S1969" s="3">
        <v>1</v>
      </c>
      <c r="T1969" s="3">
        <v>1</v>
      </c>
      <c r="U1969" s="3">
        <v>0</v>
      </c>
      <c r="V1969" s="3">
        <v>0</v>
      </c>
      <c r="W1969" s="3">
        <v>3</v>
      </c>
      <c r="X1969" s="3">
        <v>5</v>
      </c>
    </row>
    <row r="1970" spans="1:24" x14ac:dyDescent="0.35">
      <c r="A1970">
        <v>15</v>
      </c>
      <c r="B1970">
        <v>40737</v>
      </c>
      <c r="C1970">
        <v>63</v>
      </c>
      <c r="D1970">
        <v>1</v>
      </c>
      <c r="E1970" s="28">
        <v>6.4712328767123291</v>
      </c>
      <c r="F1970" s="28"/>
      <c r="G1970" s="28"/>
      <c r="H1970" s="28"/>
      <c r="I1970" s="28"/>
      <c r="J1970" s="28"/>
      <c r="L1970" s="38">
        <v>15</v>
      </c>
      <c r="M1970" s="2">
        <v>24</v>
      </c>
      <c r="N1970" s="2">
        <v>11</v>
      </c>
      <c r="O1970" s="2">
        <v>0</v>
      </c>
      <c r="P1970" s="2">
        <v>4</v>
      </c>
      <c r="Q1970" s="2">
        <v>0</v>
      </c>
      <c r="R1970" s="2">
        <v>0</v>
      </c>
      <c r="S1970" s="2">
        <v>2</v>
      </c>
      <c r="T1970" s="2">
        <v>1</v>
      </c>
      <c r="U1970" s="2">
        <v>1</v>
      </c>
      <c r="V1970" s="2">
        <v>0</v>
      </c>
      <c r="W1970" s="2">
        <v>2</v>
      </c>
      <c r="X1970" s="2">
        <v>8</v>
      </c>
    </row>
    <row r="1971" spans="1:24" x14ac:dyDescent="0.35">
      <c r="A1971">
        <v>15</v>
      </c>
      <c r="B1971">
        <v>31859</v>
      </c>
      <c r="C1971">
        <v>44</v>
      </c>
      <c r="D1971">
        <v>1</v>
      </c>
      <c r="E1971" s="28">
        <v>6.956164383561644</v>
      </c>
      <c r="F1971" s="28"/>
      <c r="G1971" s="28"/>
      <c r="H1971" s="28"/>
      <c r="I1971" s="28"/>
      <c r="J1971" s="28"/>
      <c r="L1971" s="37">
        <v>15</v>
      </c>
      <c r="M1971" s="3">
        <v>77</v>
      </c>
      <c r="N1971" s="3">
        <v>3</v>
      </c>
      <c r="O1971" s="3">
        <v>1</v>
      </c>
      <c r="P1971" s="3">
        <v>3</v>
      </c>
      <c r="Q1971" s="3">
        <v>8</v>
      </c>
      <c r="R1971" s="3">
        <v>0</v>
      </c>
      <c r="S1971" s="3">
        <v>5</v>
      </c>
      <c r="T1971" s="3">
        <v>1</v>
      </c>
      <c r="U1971" s="3">
        <v>1</v>
      </c>
      <c r="V1971" s="3">
        <v>0</v>
      </c>
      <c r="W1971" s="3">
        <v>2</v>
      </c>
      <c r="X1971" s="3">
        <v>7</v>
      </c>
    </row>
    <row r="1972" spans="1:24" x14ac:dyDescent="0.35">
      <c r="A1972">
        <v>15</v>
      </c>
      <c r="B1972">
        <v>23295</v>
      </c>
      <c r="C1972">
        <v>61</v>
      </c>
      <c r="D1972">
        <v>0</v>
      </c>
      <c r="E1972" s="28">
        <v>6.8767123287671232</v>
      </c>
      <c r="F1972" s="28"/>
      <c r="G1972" s="28"/>
      <c r="H1972" s="28"/>
      <c r="I1972" s="28"/>
      <c r="J1972" s="28"/>
      <c r="L1972" s="38">
        <v>15</v>
      </c>
      <c r="M1972" s="2">
        <v>72</v>
      </c>
      <c r="N1972" s="2">
        <v>0</v>
      </c>
      <c r="O1972" s="2">
        <v>0</v>
      </c>
      <c r="P1972" s="2">
        <v>1</v>
      </c>
      <c r="Q1972" s="2">
        <v>2</v>
      </c>
      <c r="R1972" s="2">
        <v>12</v>
      </c>
      <c r="S1972" s="2">
        <v>5</v>
      </c>
      <c r="T1972" s="2">
        <v>1</v>
      </c>
      <c r="U1972" s="2">
        <v>1</v>
      </c>
      <c r="V1972" s="2">
        <v>0</v>
      </c>
      <c r="W1972" s="2">
        <v>2</v>
      </c>
      <c r="X1972" s="2">
        <v>8</v>
      </c>
    </row>
    <row r="1973" spans="1:24" x14ac:dyDescent="0.35">
      <c r="A1973">
        <v>15</v>
      </c>
      <c r="B1973">
        <v>46102</v>
      </c>
      <c r="C1973">
        <v>58</v>
      </c>
      <c r="D1973">
        <v>1</v>
      </c>
      <c r="E1973" s="28">
        <v>6.2191780821917808</v>
      </c>
      <c r="F1973" s="28"/>
      <c r="G1973" s="28"/>
      <c r="H1973" s="28"/>
      <c r="I1973" s="28"/>
      <c r="J1973" s="28"/>
      <c r="L1973" s="37">
        <v>15</v>
      </c>
      <c r="M1973" s="3">
        <v>3</v>
      </c>
      <c r="N1973" s="3">
        <v>14</v>
      </c>
      <c r="O1973" s="3">
        <v>0</v>
      </c>
      <c r="P1973" s="3">
        <v>1</v>
      </c>
      <c r="Q1973" s="3">
        <v>0</v>
      </c>
      <c r="R1973" s="3">
        <v>0</v>
      </c>
      <c r="S1973" s="3">
        <v>1</v>
      </c>
      <c r="T1973" s="3">
        <v>1</v>
      </c>
      <c r="U1973" s="3">
        <v>1</v>
      </c>
      <c r="V1973" s="3">
        <v>0</v>
      </c>
      <c r="W1973" s="3">
        <v>2</v>
      </c>
      <c r="X1973" s="3">
        <v>7</v>
      </c>
    </row>
    <row r="1974" spans="1:24" x14ac:dyDescent="0.35">
      <c r="A1974">
        <v>14</v>
      </c>
      <c r="B1974">
        <v>22775</v>
      </c>
      <c r="C1974">
        <v>42</v>
      </c>
      <c r="D1974">
        <v>1</v>
      </c>
      <c r="E1974" s="28">
        <v>6.9424657534246572</v>
      </c>
      <c r="F1974" s="28"/>
      <c r="G1974" s="28"/>
      <c r="H1974" s="28"/>
      <c r="I1974" s="28"/>
      <c r="J1974" s="28"/>
      <c r="L1974" s="38">
        <v>14</v>
      </c>
      <c r="M1974" s="2">
        <v>40</v>
      </c>
      <c r="N1974" s="2">
        <v>5</v>
      </c>
      <c r="O1974" s="2">
        <v>1</v>
      </c>
      <c r="P1974" s="2">
        <v>8</v>
      </c>
      <c r="Q1974" s="2">
        <v>0</v>
      </c>
      <c r="R1974" s="2">
        <v>0</v>
      </c>
      <c r="S1974" s="2">
        <v>1</v>
      </c>
      <c r="T1974" s="2">
        <v>1</v>
      </c>
      <c r="U1974" s="2">
        <v>1</v>
      </c>
      <c r="V1974" s="2">
        <v>0</v>
      </c>
      <c r="W1974" s="2">
        <v>2</v>
      </c>
      <c r="X1974" s="2">
        <v>8</v>
      </c>
    </row>
    <row r="1975" spans="1:24" x14ac:dyDescent="0.35">
      <c r="A1975">
        <v>14</v>
      </c>
      <c r="B1975">
        <v>37406</v>
      </c>
      <c r="C1975">
        <v>40</v>
      </c>
      <c r="D1975">
        <v>1</v>
      </c>
      <c r="E1975" s="28">
        <v>6.6328767123287671</v>
      </c>
      <c r="F1975" s="28"/>
      <c r="G1975" s="28"/>
      <c r="H1975" s="28"/>
      <c r="I1975" s="28"/>
      <c r="J1975" s="28"/>
      <c r="L1975" s="37">
        <v>14</v>
      </c>
      <c r="M1975" s="3">
        <v>18</v>
      </c>
      <c r="N1975" s="3">
        <v>2</v>
      </c>
      <c r="O1975" s="3">
        <v>0</v>
      </c>
      <c r="P1975" s="3">
        <v>8</v>
      </c>
      <c r="Q1975" s="3">
        <v>2</v>
      </c>
      <c r="R1975" s="3">
        <v>2</v>
      </c>
      <c r="S1975" s="3">
        <v>3</v>
      </c>
      <c r="T1975" s="3">
        <v>1</v>
      </c>
      <c r="U1975" s="3">
        <v>1</v>
      </c>
      <c r="V1975" s="3">
        <v>0</v>
      </c>
      <c r="W1975" s="3">
        <v>2</v>
      </c>
      <c r="X1975" s="3">
        <v>8</v>
      </c>
    </row>
    <row r="1976" spans="1:24" x14ac:dyDescent="0.35">
      <c r="A1976">
        <v>14</v>
      </c>
      <c r="B1976">
        <v>15759</v>
      </c>
      <c r="C1976">
        <v>64</v>
      </c>
      <c r="D1976">
        <v>0</v>
      </c>
      <c r="E1976" s="28">
        <v>6.7287671232876711</v>
      </c>
      <c r="F1976" s="28"/>
      <c r="G1976" s="28"/>
      <c r="H1976" s="28"/>
      <c r="I1976" s="28"/>
      <c r="J1976" s="28"/>
      <c r="L1976" s="38">
        <v>14</v>
      </c>
      <c r="M1976" s="2">
        <v>12</v>
      </c>
      <c r="N1976" s="2">
        <v>1</v>
      </c>
      <c r="O1976" s="2">
        <v>2</v>
      </c>
      <c r="P1976" s="2">
        <v>5</v>
      </c>
      <c r="Q1976" s="2">
        <v>6</v>
      </c>
      <c r="R1976" s="2">
        <v>0</v>
      </c>
      <c r="S1976" s="2">
        <v>3</v>
      </c>
      <c r="T1976" s="2">
        <v>1</v>
      </c>
      <c r="U1976" s="2">
        <v>1</v>
      </c>
      <c r="V1976" s="2">
        <v>0</v>
      </c>
      <c r="W1976" s="2">
        <v>2</v>
      </c>
      <c r="X1976" s="2">
        <v>7</v>
      </c>
    </row>
    <row r="1977" spans="1:24" x14ac:dyDescent="0.35">
      <c r="A1977">
        <v>14</v>
      </c>
      <c r="B1977">
        <v>18169</v>
      </c>
      <c r="C1977">
        <v>35</v>
      </c>
      <c r="D1977">
        <v>1</v>
      </c>
      <c r="E1977" s="28">
        <v>7.2712328767123289</v>
      </c>
      <c r="F1977" s="28"/>
      <c r="G1977" s="28"/>
      <c r="H1977" s="28"/>
      <c r="I1977" s="28"/>
      <c r="J1977" s="28"/>
      <c r="L1977" s="37">
        <v>14</v>
      </c>
      <c r="M1977" s="3">
        <v>40</v>
      </c>
      <c r="N1977" s="3">
        <v>9</v>
      </c>
      <c r="O1977" s="3">
        <v>0</v>
      </c>
      <c r="P1977" s="3">
        <v>5</v>
      </c>
      <c r="Q1977" s="3">
        <v>0</v>
      </c>
      <c r="R1977" s="3">
        <v>0</v>
      </c>
      <c r="S1977" s="3">
        <v>7</v>
      </c>
      <c r="T1977" s="3">
        <v>1</v>
      </c>
      <c r="U1977" s="3">
        <v>1</v>
      </c>
      <c r="V1977" s="3">
        <v>0</v>
      </c>
      <c r="W1977" s="3">
        <v>2</v>
      </c>
      <c r="X1977" s="3">
        <v>8</v>
      </c>
    </row>
    <row r="1978" spans="1:24" x14ac:dyDescent="0.35">
      <c r="A1978">
        <v>14</v>
      </c>
      <c r="B1978">
        <v>28359</v>
      </c>
      <c r="C1978">
        <v>37</v>
      </c>
      <c r="D1978">
        <v>1</v>
      </c>
      <c r="E1978" s="28">
        <v>6.5863013698630137</v>
      </c>
      <c r="F1978" s="28"/>
      <c r="G1978" s="28"/>
      <c r="H1978" s="28"/>
      <c r="I1978" s="28"/>
      <c r="J1978" s="28"/>
      <c r="L1978" s="38">
        <v>14</v>
      </c>
      <c r="M1978" s="2">
        <v>35</v>
      </c>
      <c r="N1978" s="2">
        <v>6</v>
      </c>
      <c r="O1978" s="2">
        <v>0</v>
      </c>
      <c r="P1978" s="2">
        <v>5</v>
      </c>
      <c r="Q1978" s="2">
        <v>2</v>
      </c>
      <c r="R1978" s="2">
        <v>1</v>
      </c>
      <c r="S1978" s="2">
        <v>2</v>
      </c>
      <c r="T1978" s="2">
        <v>1</v>
      </c>
      <c r="U1978" s="2">
        <v>1</v>
      </c>
      <c r="V1978" s="2">
        <v>0</v>
      </c>
      <c r="W1978" s="2">
        <v>2</v>
      </c>
      <c r="X1978" s="2">
        <v>7</v>
      </c>
    </row>
    <row r="1979" spans="1:24" x14ac:dyDescent="0.35">
      <c r="A1979">
        <v>14</v>
      </c>
      <c r="B1979">
        <v>34633</v>
      </c>
      <c r="C1979">
        <v>64</v>
      </c>
      <c r="D1979">
        <v>1</v>
      </c>
      <c r="E1979" s="28">
        <v>6.3452054794520549</v>
      </c>
      <c r="F1979" s="28"/>
      <c r="G1979" s="28"/>
      <c r="H1979" s="28"/>
      <c r="I1979" s="28"/>
      <c r="J1979" s="28"/>
      <c r="L1979" s="37">
        <v>14</v>
      </c>
      <c r="M1979" s="3">
        <v>31</v>
      </c>
      <c r="N1979" s="3">
        <v>8</v>
      </c>
      <c r="O1979" s="3">
        <v>1</v>
      </c>
      <c r="P1979" s="3">
        <v>5</v>
      </c>
      <c r="Q1979" s="3">
        <v>0</v>
      </c>
      <c r="R1979" s="3">
        <v>0</v>
      </c>
      <c r="S1979" s="3">
        <v>1</v>
      </c>
      <c r="T1979" s="3">
        <v>1</v>
      </c>
      <c r="U1979" s="3">
        <v>1</v>
      </c>
      <c r="V1979" s="3">
        <v>0</v>
      </c>
      <c r="W1979" s="3">
        <v>2</v>
      </c>
      <c r="X1979" s="3">
        <v>6</v>
      </c>
    </row>
    <row r="1980" spans="1:24" x14ac:dyDescent="0.35">
      <c r="A1980">
        <v>14</v>
      </c>
      <c r="B1980">
        <v>34242</v>
      </c>
      <c r="C1980">
        <v>61</v>
      </c>
      <c r="D1980">
        <v>1</v>
      </c>
      <c r="E1980" s="28">
        <v>6.183561643835616</v>
      </c>
      <c r="F1980" s="28"/>
      <c r="G1980" s="28"/>
      <c r="H1980" s="28"/>
      <c r="I1980" s="28"/>
      <c r="J1980" s="28"/>
      <c r="L1980" s="38">
        <v>14</v>
      </c>
      <c r="M1980" s="2">
        <v>25</v>
      </c>
      <c r="N1980" s="2">
        <v>8</v>
      </c>
      <c r="O1980" s="2">
        <v>2</v>
      </c>
      <c r="P1980" s="2">
        <v>4</v>
      </c>
      <c r="Q1980" s="2">
        <v>0</v>
      </c>
      <c r="R1980" s="2">
        <v>0</v>
      </c>
      <c r="S1980" s="2">
        <v>1</v>
      </c>
      <c r="T1980" s="2">
        <v>1</v>
      </c>
      <c r="U1980" s="2">
        <v>0</v>
      </c>
      <c r="V1980" s="2">
        <v>0</v>
      </c>
      <c r="W1980" s="2">
        <v>3</v>
      </c>
      <c r="X1980" s="2">
        <v>5</v>
      </c>
    </row>
    <row r="1981" spans="1:24" x14ac:dyDescent="0.35">
      <c r="A1981">
        <v>14</v>
      </c>
      <c r="B1981">
        <v>39996</v>
      </c>
      <c r="C1981">
        <v>46</v>
      </c>
      <c r="D1981">
        <v>1</v>
      </c>
      <c r="E1981" s="28">
        <v>6.0191780821917806</v>
      </c>
      <c r="F1981" s="28"/>
      <c r="G1981" s="28"/>
      <c r="H1981" s="28"/>
      <c r="I1981" s="28"/>
      <c r="J1981" s="28"/>
      <c r="L1981" s="37">
        <v>14</v>
      </c>
      <c r="M1981" s="3">
        <v>85</v>
      </c>
      <c r="N1981" s="3">
        <v>11</v>
      </c>
      <c r="O1981" s="3">
        <v>0</v>
      </c>
      <c r="P1981" s="3">
        <v>3</v>
      </c>
      <c r="Q1981" s="3">
        <v>0</v>
      </c>
      <c r="R1981" s="3">
        <v>0</v>
      </c>
      <c r="S1981" s="3">
        <v>1</v>
      </c>
      <c r="T1981" s="3">
        <v>1</v>
      </c>
      <c r="U1981" s="3">
        <v>1</v>
      </c>
      <c r="V1981" s="3">
        <v>0</v>
      </c>
      <c r="W1981" s="3">
        <v>2</v>
      </c>
      <c r="X1981" s="3">
        <v>6</v>
      </c>
    </row>
    <row r="1982" spans="1:24" x14ac:dyDescent="0.35">
      <c r="A1982">
        <v>13</v>
      </c>
      <c r="B1982">
        <v>28420</v>
      </c>
      <c r="C1982">
        <v>53</v>
      </c>
      <c r="D1982">
        <v>1</v>
      </c>
      <c r="E1982" s="28">
        <v>6.4273972602739722</v>
      </c>
      <c r="F1982" s="28"/>
      <c r="G1982" s="28"/>
      <c r="H1982" s="28"/>
      <c r="I1982" s="28"/>
      <c r="J1982" s="28"/>
      <c r="L1982" s="38">
        <v>13</v>
      </c>
      <c r="M1982" s="2">
        <v>36</v>
      </c>
      <c r="N1982" s="2">
        <v>4</v>
      </c>
      <c r="O1982" s="2">
        <v>2</v>
      </c>
      <c r="P1982" s="2">
        <v>5</v>
      </c>
      <c r="Q1982" s="2">
        <v>2</v>
      </c>
      <c r="R1982" s="2">
        <v>0</v>
      </c>
      <c r="S1982" s="2">
        <v>0</v>
      </c>
      <c r="T1982" s="2">
        <v>1</v>
      </c>
      <c r="U1982" s="2">
        <v>1</v>
      </c>
      <c r="V1982" s="2">
        <v>0</v>
      </c>
      <c r="W1982" s="2">
        <v>2</v>
      </c>
      <c r="X1982" s="2">
        <v>6</v>
      </c>
    </row>
    <row r="1983" spans="1:24" x14ac:dyDescent="0.35">
      <c r="A1983">
        <v>13</v>
      </c>
      <c r="B1983">
        <v>16581</v>
      </c>
      <c r="C1983">
        <v>35</v>
      </c>
      <c r="D1983">
        <v>0</v>
      </c>
      <c r="E1983" s="28">
        <v>7.375342465753425</v>
      </c>
      <c r="F1983" s="28"/>
      <c r="G1983" s="28"/>
      <c r="H1983" s="28"/>
      <c r="I1983" s="28"/>
      <c r="J1983" s="28"/>
      <c r="L1983" s="37">
        <v>13</v>
      </c>
      <c r="M1983" s="3">
        <v>51</v>
      </c>
      <c r="N1983" s="3">
        <v>1</v>
      </c>
      <c r="O1983" s="3">
        <v>3</v>
      </c>
      <c r="P1983" s="3">
        <v>4</v>
      </c>
      <c r="Q1983" s="3">
        <v>2</v>
      </c>
      <c r="R1983" s="3">
        <v>3</v>
      </c>
      <c r="S1983" s="3">
        <v>11</v>
      </c>
      <c r="T1983" s="3">
        <v>1</v>
      </c>
      <c r="U1983" s="3">
        <v>0</v>
      </c>
      <c r="V1983" s="3">
        <v>0</v>
      </c>
      <c r="W1983" s="3">
        <v>3</v>
      </c>
      <c r="X1983" s="3">
        <v>4</v>
      </c>
    </row>
    <row r="1984" spans="1:24" x14ac:dyDescent="0.35">
      <c r="A1984">
        <v>13</v>
      </c>
      <c r="B1984">
        <v>7500</v>
      </c>
      <c r="C1984">
        <v>41</v>
      </c>
      <c r="D1984">
        <v>1</v>
      </c>
      <c r="E1984" s="28">
        <v>7.7479452054794518</v>
      </c>
      <c r="F1984" s="28"/>
      <c r="G1984" s="28"/>
      <c r="H1984" s="28"/>
      <c r="I1984" s="28"/>
      <c r="J1984" s="28"/>
      <c r="L1984" s="38">
        <v>13</v>
      </c>
      <c r="M1984" s="2">
        <v>61</v>
      </c>
      <c r="N1984" s="2">
        <v>5</v>
      </c>
      <c r="O1984" s="2">
        <v>2</v>
      </c>
      <c r="P1984" s="2">
        <v>3</v>
      </c>
      <c r="Q1984" s="2">
        <v>3</v>
      </c>
      <c r="R1984" s="2">
        <v>0</v>
      </c>
      <c r="S1984" s="2">
        <v>5</v>
      </c>
      <c r="T1984" s="2">
        <v>1</v>
      </c>
      <c r="U1984" s="2">
        <v>1</v>
      </c>
      <c r="V1984" s="2">
        <v>0</v>
      </c>
      <c r="W1984" s="2">
        <v>2</v>
      </c>
      <c r="X1984" s="2">
        <v>8</v>
      </c>
    </row>
    <row r="1985" spans="1:24" x14ac:dyDescent="0.35">
      <c r="A1985">
        <v>13</v>
      </c>
      <c r="B1985">
        <v>36736</v>
      </c>
      <c r="C1985">
        <v>57</v>
      </c>
      <c r="D1985">
        <v>1</v>
      </c>
      <c r="E1985" s="28">
        <v>7.0520547945205481</v>
      </c>
      <c r="F1985" s="28"/>
      <c r="G1985" s="28"/>
      <c r="H1985" s="28"/>
      <c r="I1985" s="28"/>
      <c r="J1985" s="28"/>
      <c r="L1985" s="37">
        <v>13</v>
      </c>
      <c r="M1985" s="3">
        <v>52</v>
      </c>
      <c r="N1985" s="3">
        <v>10</v>
      </c>
      <c r="O1985" s="3">
        <v>0</v>
      </c>
      <c r="P1985" s="3">
        <v>3</v>
      </c>
      <c r="Q1985" s="3">
        <v>0</v>
      </c>
      <c r="R1985" s="3">
        <v>0</v>
      </c>
      <c r="S1985" s="3">
        <v>4</v>
      </c>
      <c r="T1985" s="3">
        <v>1</v>
      </c>
      <c r="U1985" s="3">
        <v>1</v>
      </c>
      <c r="V1985" s="3">
        <v>0</v>
      </c>
      <c r="W1985" s="3">
        <v>2</v>
      </c>
      <c r="X1985" s="3">
        <v>6</v>
      </c>
    </row>
    <row r="1986" spans="1:24" x14ac:dyDescent="0.35">
      <c r="A1986">
        <v>13</v>
      </c>
      <c r="B1986">
        <v>18100</v>
      </c>
      <c r="C1986">
        <v>74</v>
      </c>
      <c r="D1986">
        <v>0</v>
      </c>
      <c r="E1986" s="28">
        <v>6.8109589041095893</v>
      </c>
      <c r="F1986" s="28"/>
      <c r="G1986" s="28"/>
      <c r="H1986" s="28"/>
      <c r="I1986" s="28"/>
      <c r="J1986" s="28"/>
      <c r="L1986" s="38">
        <v>13</v>
      </c>
      <c r="M1986" s="2">
        <v>14</v>
      </c>
      <c r="N1986" s="2">
        <v>3</v>
      </c>
      <c r="O1986" s="2">
        <v>1</v>
      </c>
      <c r="P1986" s="2">
        <v>2</v>
      </c>
      <c r="Q1986" s="2">
        <v>4</v>
      </c>
      <c r="R1986" s="2">
        <v>3</v>
      </c>
      <c r="S1986" s="2">
        <v>1</v>
      </c>
      <c r="T1986" s="2">
        <v>1</v>
      </c>
      <c r="U1986" s="2">
        <v>0</v>
      </c>
      <c r="V1986" s="2">
        <v>0</v>
      </c>
      <c r="W1986" s="2">
        <v>3</v>
      </c>
      <c r="X1986" s="2">
        <v>5</v>
      </c>
    </row>
    <row r="1987" spans="1:24" x14ac:dyDescent="0.35">
      <c r="A1987">
        <v>13</v>
      </c>
      <c r="B1987">
        <v>36143</v>
      </c>
      <c r="C1987">
        <v>39</v>
      </c>
      <c r="D1987">
        <v>1</v>
      </c>
      <c r="E1987" s="28">
        <v>6.1643835616438354</v>
      </c>
      <c r="F1987" s="28"/>
      <c r="G1987" s="28"/>
      <c r="H1987" s="28"/>
      <c r="I1987" s="28"/>
      <c r="J1987" s="28"/>
      <c r="L1987" s="37">
        <v>13</v>
      </c>
      <c r="M1987" s="3">
        <v>33</v>
      </c>
      <c r="N1987" s="3">
        <v>12</v>
      </c>
      <c r="O1987" s="3">
        <v>0</v>
      </c>
      <c r="P1987" s="3">
        <v>1</v>
      </c>
      <c r="Q1987" s="3">
        <v>0</v>
      </c>
      <c r="R1987" s="3">
        <v>0</v>
      </c>
      <c r="S1987" s="3">
        <v>6</v>
      </c>
      <c r="T1987" s="3">
        <v>1</v>
      </c>
      <c r="U1987" s="3">
        <v>0</v>
      </c>
      <c r="V1987" s="3">
        <v>1</v>
      </c>
      <c r="W1987" s="3">
        <v>2</v>
      </c>
      <c r="X1987" s="3">
        <v>3</v>
      </c>
    </row>
    <row r="1988" spans="1:24" x14ac:dyDescent="0.35">
      <c r="A1988">
        <v>12</v>
      </c>
      <c r="B1988">
        <v>40246</v>
      </c>
      <c r="C1988">
        <v>43</v>
      </c>
      <c r="D1988">
        <v>1</v>
      </c>
      <c r="E1988" s="28">
        <v>7.441095890410959</v>
      </c>
      <c r="F1988" s="28"/>
      <c r="G1988" s="28"/>
      <c r="H1988" s="28"/>
      <c r="I1988" s="28"/>
      <c r="J1988" s="28"/>
      <c r="L1988" s="38">
        <v>12</v>
      </c>
      <c r="M1988" s="2">
        <v>68</v>
      </c>
      <c r="N1988" s="2">
        <v>2</v>
      </c>
      <c r="O1988" s="2">
        <v>1</v>
      </c>
      <c r="P1988" s="2">
        <v>6</v>
      </c>
      <c r="Q1988" s="2">
        <v>2</v>
      </c>
      <c r="R1988" s="2">
        <v>1</v>
      </c>
      <c r="S1988" s="2">
        <v>1</v>
      </c>
      <c r="T1988" s="2">
        <v>1</v>
      </c>
      <c r="U1988" s="2">
        <v>1</v>
      </c>
      <c r="V1988" s="2">
        <v>0</v>
      </c>
      <c r="W1988" s="2">
        <v>2</v>
      </c>
      <c r="X1988" s="2">
        <v>6</v>
      </c>
    </row>
    <row r="1989" spans="1:24" x14ac:dyDescent="0.35">
      <c r="A1989">
        <v>12</v>
      </c>
      <c r="B1989">
        <v>26304</v>
      </c>
      <c r="C1989">
        <v>51</v>
      </c>
      <c r="D1989">
        <v>1</v>
      </c>
      <c r="E1989" s="28">
        <v>6.9315068493150687</v>
      </c>
      <c r="F1989" s="28"/>
      <c r="G1989" s="28"/>
      <c r="H1989" s="28"/>
      <c r="I1989" s="28"/>
      <c r="J1989" s="28"/>
      <c r="L1989" s="37">
        <v>12</v>
      </c>
      <c r="M1989" s="3">
        <v>5</v>
      </c>
      <c r="N1989" s="3">
        <v>4</v>
      </c>
      <c r="O1989" s="3">
        <v>1</v>
      </c>
      <c r="P1989" s="3">
        <v>5</v>
      </c>
      <c r="Q1989" s="3">
        <v>2</v>
      </c>
      <c r="R1989" s="3">
        <v>0</v>
      </c>
      <c r="S1989" s="3">
        <v>4</v>
      </c>
      <c r="T1989" s="3">
        <v>1</v>
      </c>
      <c r="U1989" s="3">
        <v>1</v>
      </c>
      <c r="V1989" s="3">
        <v>0</v>
      </c>
      <c r="W1989" s="3">
        <v>2</v>
      </c>
      <c r="X1989" s="3">
        <v>7</v>
      </c>
    </row>
    <row r="1990" spans="1:24" x14ac:dyDescent="0.35">
      <c r="A1990">
        <v>12</v>
      </c>
      <c r="B1990">
        <v>31880</v>
      </c>
      <c r="C1990">
        <v>50</v>
      </c>
      <c r="D1990">
        <v>1</v>
      </c>
      <c r="E1990" s="28">
        <v>7.5753424657534243</v>
      </c>
      <c r="F1990" s="28"/>
      <c r="G1990" s="28"/>
      <c r="H1990" s="28"/>
      <c r="I1990" s="28"/>
      <c r="J1990" s="28"/>
      <c r="L1990" s="38">
        <v>12</v>
      </c>
      <c r="M1990" s="2">
        <v>13</v>
      </c>
      <c r="N1990" s="2">
        <v>4</v>
      </c>
      <c r="O1990" s="2">
        <v>1</v>
      </c>
      <c r="P1990" s="2">
        <v>5</v>
      </c>
      <c r="Q1990" s="2">
        <v>2</v>
      </c>
      <c r="R1990" s="2">
        <v>0</v>
      </c>
      <c r="S1990" s="2">
        <v>3</v>
      </c>
      <c r="T1990" s="2">
        <v>1</v>
      </c>
      <c r="U1990" s="2">
        <v>1</v>
      </c>
      <c r="V1990" s="2">
        <v>0</v>
      </c>
      <c r="W1990" s="2">
        <v>2</v>
      </c>
      <c r="X1990" s="2">
        <v>8</v>
      </c>
    </row>
    <row r="1991" spans="1:24" x14ac:dyDescent="0.35">
      <c r="A1991">
        <v>12</v>
      </c>
      <c r="B1991">
        <v>25252</v>
      </c>
      <c r="C1991">
        <v>34</v>
      </c>
      <c r="D1991">
        <v>1</v>
      </c>
      <c r="E1991" s="28">
        <v>6.8794520547945206</v>
      </c>
      <c r="F1991" s="28"/>
      <c r="G1991" s="28"/>
      <c r="H1991" s="28"/>
      <c r="I1991" s="28"/>
      <c r="J1991" s="28"/>
      <c r="L1991" s="37">
        <v>12</v>
      </c>
      <c r="M1991" s="3">
        <v>26</v>
      </c>
      <c r="N1991" s="3">
        <v>1</v>
      </c>
      <c r="O1991" s="3">
        <v>3</v>
      </c>
      <c r="P1991" s="3">
        <v>4</v>
      </c>
      <c r="Q1991" s="3">
        <v>2</v>
      </c>
      <c r="R1991" s="3">
        <v>2</v>
      </c>
      <c r="S1991" s="3">
        <v>6</v>
      </c>
      <c r="T1991" s="3">
        <v>1</v>
      </c>
      <c r="U1991" s="3">
        <v>1</v>
      </c>
      <c r="V1991" s="3">
        <v>0</v>
      </c>
      <c r="W1991" s="3">
        <v>2</v>
      </c>
      <c r="X1991" s="3">
        <v>8</v>
      </c>
    </row>
    <row r="1992" spans="1:24" x14ac:dyDescent="0.35">
      <c r="A1992">
        <v>12</v>
      </c>
      <c r="B1992">
        <v>33181</v>
      </c>
      <c r="C1992">
        <v>44</v>
      </c>
      <c r="D1992">
        <v>1</v>
      </c>
      <c r="E1992" s="28">
        <v>6.4</v>
      </c>
      <c r="F1992" s="28"/>
      <c r="G1992" s="28"/>
      <c r="H1992" s="28"/>
      <c r="I1992" s="28"/>
      <c r="J1992" s="28"/>
      <c r="L1992" s="38">
        <v>12</v>
      </c>
      <c r="M1992" s="2">
        <v>90</v>
      </c>
      <c r="N1992" s="2">
        <v>9</v>
      </c>
      <c r="O1992" s="2">
        <v>0</v>
      </c>
      <c r="P1992" s="2">
        <v>3</v>
      </c>
      <c r="Q1992" s="2">
        <v>0</v>
      </c>
      <c r="R1992" s="2">
        <v>0</v>
      </c>
      <c r="S1992" s="2">
        <v>4</v>
      </c>
      <c r="T1992" s="2">
        <v>1</v>
      </c>
      <c r="U1992" s="2">
        <v>1</v>
      </c>
      <c r="V1992" s="2">
        <v>0</v>
      </c>
      <c r="W1992" s="2">
        <v>2</v>
      </c>
      <c r="X1992" s="2">
        <v>6</v>
      </c>
    </row>
    <row r="1993" spans="1:24" x14ac:dyDescent="0.35">
      <c r="A1993">
        <v>12</v>
      </c>
      <c r="B1993">
        <v>41145</v>
      </c>
      <c r="C1993">
        <v>70</v>
      </c>
      <c r="D1993">
        <v>1</v>
      </c>
      <c r="E1993" s="28">
        <v>6.3013698630136989</v>
      </c>
      <c r="F1993" s="28"/>
      <c r="G1993" s="28"/>
      <c r="H1993" s="28"/>
      <c r="I1993" s="28"/>
      <c r="J1993" s="28"/>
      <c r="L1993" s="37">
        <v>12</v>
      </c>
      <c r="M1993" s="3">
        <v>20</v>
      </c>
      <c r="N1993" s="3">
        <v>9</v>
      </c>
      <c r="O1993" s="3">
        <v>0</v>
      </c>
      <c r="P1993" s="3">
        <v>3</v>
      </c>
      <c r="Q1993" s="3">
        <v>0</v>
      </c>
      <c r="R1993" s="3">
        <v>0</v>
      </c>
      <c r="S1993" s="3">
        <v>1</v>
      </c>
      <c r="T1993" s="3">
        <v>1</v>
      </c>
      <c r="U1993" s="3">
        <v>0</v>
      </c>
      <c r="V1993" s="3">
        <v>0</v>
      </c>
      <c r="W1993" s="3">
        <v>3</v>
      </c>
      <c r="X1993" s="3">
        <v>3</v>
      </c>
    </row>
    <row r="1994" spans="1:24" x14ac:dyDescent="0.35">
      <c r="A1994">
        <v>12</v>
      </c>
      <c r="B1994">
        <v>17487</v>
      </c>
      <c r="C1994">
        <v>31</v>
      </c>
      <c r="D1994">
        <v>1</v>
      </c>
      <c r="E1994" s="28">
        <v>7.1972602739726028</v>
      </c>
      <c r="F1994" s="28"/>
      <c r="G1994" s="28"/>
      <c r="H1994" s="28"/>
      <c r="I1994" s="28"/>
      <c r="J1994" s="28"/>
      <c r="L1994" s="38">
        <v>12</v>
      </c>
      <c r="M1994" s="2">
        <v>37</v>
      </c>
      <c r="N1994" s="2">
        <v>0</v>
      </c>
      <c r="O1994" s="2">
        <v>0</v>
      </c>
      <c r="P1994" s="2">
        <v>1</v>
      </c>
      <c r="Q1994" s="2">
        <v>7</v>
      </c>
      <c r="R1994" s="2">
        <v>4</v>
      </c>
      <c r="S1994" s="2">
        <v>6</v>
      </c>
      <c r="T1994" s="2">
        <v>1</v>
      </c>
      <c r="U1994" s="2">
        <v>1</v>
      </c>
      <c r="V1994" s="2">
        <v>0</v>
      </c>
      <c r="W1994" s="2">
        <v>2</v>
      </c>
      <c r="X1994" s="2">
        <v>7</v>
      </c>
    </row>
    <row r="1995" spans="1:24" x14ac:dyDescent="0.35">
      <c r="A1995">
        <v>12</v>
      </c>
      <c r="B1995">
        <v>26868</v>
      </c>
      <c r="C1995">
        <v>29</v>
      </c>
      <c r="D1995">
        <v>1</v>
      </c>
      <c r="E1995" s="28">
        <v>6.0794520547945208</v>
      </c>
      <c r="F1995" s="28"/>
      <c r="G1995" s="28"/>
      <c r="H1995" s="28"/>
      <c r="I1995" s="28"/>
      <c r="J1995" s="28"/>
      <c r="L1995" s="37">
        <v>12</v>
      </c>
      <c r="M1995" s="3">
        <v>52</v>
      </c>
      <c r="N1995" s="3">
        <v>0</v>
      </c>
      <c r="O1995" s="3">
        <v>0</v>
      </c>
      <c r="P1995" s="3">
        <v>1</v>
      </c>
      <c r="Q1995" s="3">
        <v>8</v>
      </c>
      <c r="R1995" s="3">
        <v>3</v>
      </c>
      <c r="S1995" s="3">
        <v>2</v>
      </c>
      <c r="T1995" s="3">
        <v>1</v>
      </c>
      <c r="U1995" s="3">
        <v>1</v>
      </c>
      <c r="V1995" s="3">
        <v>0</v>
      </c>
      <c r="W1995" s="3">
        <v>2</v>
      </c>
      <c r="X1995" s="3">
        <v>7</v>
      </c>
    </row>
    <row r="1996" spans="1:24" x14ac:dyDescent="0.35">
      <c r="A1996">
        <v>11</v>
      </c>
      <c r="B1996">
        <v>27590</v>
      </c>
      <c r="C1996">
        <v>38</v>
      </c>
      <c r="D1996">
        <v>1</v>
      </c>
      <c r="E1996" s="28">
        <v>7.0986301369863014</v>
      </c>
      <c r="F1996" s="28"/>
      <c r="G1996" s="28"/>
      <c r="H1996" s="28"/>
      <c r="I1996" s="28"/>
      <c r="J1996" s="28"/>
      <c r="L1996" s="38">
        <v>11</v>
      </c>
      <c r="M1996" s="2">
        <v>38</v>
      </c>
      <c r="N1996" s="2">
        <v>6</v>
      </c>
      <c r="O1996" s="2">
        <v>0</v>
      </c>
      <c r="P1996" s="2">
        <v>5</v>
      </c>
      <c r="Q1996" s="2">
        <v>0</v>
      </c>
      <c r="R1996" s="2">
        <v>0</v>
      </c>
      <c r="S1996" s="2">
        <v>1</v>
      </c>
      <c r="T1996" s="2">
        <v>1</v>
      </c>
      <c r="U1996" s="2">
        <v>1</v>
      </c>
      <c r="V1996" s="2">
        <v>0</v>
      </c>
      <c r="W1996" s="2">
        <v>2</v>
      </c>
      <c r="X1996" s="2">
        <v>7</v>
      </c>
    </row>
    <row r="1997" spans="1:24" x14ac:dyDescent="0.35">
      <c r="A1997">
        <v>11</v>
      </c>
      <c r="B1997">
        <v>36807</v>
      </c>
      <c r="C1997">
        <v>66</v>
      </c>
      <c r="D1997">
        <v>1</v>
      </c>
      <c r="E1997" s="28">
        <v>7.4383561643835616</v>
      </c>
      <c r="F1997" s="28"/>
      <c r="G1997" s="28"/>
      <c r="H1997" s="28"/>
      <c r="I1997" s="28"/>
      <c r="J1997" s="28"/>
      <c r="L1997" s="37">
        <v>11</v>
      </c>
      <c r="M1997" s="3">
        <v>88</v>
      </c>
      <c r="N1997" s="3">
        <v>4</v>
      </c>
      <c r="O1997" s="3">
        <v>2</v>
      </c>
      <c r="P1997" s="3">
        <v>5</v>
      </c>
      <c r="Q1997" s="3">
        <v>0</v>
      </c>
      <c r="R1997" s="3">
        <v>0</v>
      </c>
      <c r="S1997" s="3">
        <v>5</v>
      </c>
      <c r="T1997" s="3">
        <v>1</v>
      </c>
      <c r="U1997" s="3">
        <v>1</v>
      </c>
      <c r="V1997" s="3">
        <v>0</v>
      </c>
      <c r="W1997" s="3">
        <v>2</v>
      </c>
      <c r="X1997" s="3">
        <v>6</v>
      </c>
    </row>
    <row r="1998" spans="1:24" x14ac:dyDescent="0.35">
      <c r="A1998">
        <v>11</v>
      </c>
      <c r="B1998">
        <v>22280</v>
      </c>
      <c r="C1998">
        <v>45</v>
      </c>
      <c r="D1998">
        <v>1</v>
      </c>
      <c r="E1998" s="28">
        <v>7.0273972602739727</v>
      </c>
      <c r="F1998" s="28"/>
      <c r="G1998" s="28"/>
      <c r="H1998" s="28"/>
      <c r="I1998" s="28"/>
      <c r="J1998" s="28"/>
      <c r="L1998" s="38">
        <v>11</v>
      </c>
      <c r="M1998" s="2">
        <v>85</v>
      </c>
      <c r="N1998" s="2">
        <v>2</v>
      </c>
      <c r="O1998" s="2">
        <v>1</v>
      </c>
      <c r="P1998" s="2">
        <v>4</v>
      </c>
      <c r="Q1998" s="2">
        <v>3</v>
      </c>
      <c r="R1998" s="2">
        <v>1</v>
      </c>
      <c r="S1998" s="2">
        <v>2</v>
      </c>
      <c r="T1998" s="2">
        <v>1</v>
      </c>
      <c r="U1998" s="2">
        <v>1</v>
      </c>
      <c r="V1998" s="2">
        <v>0</v>
      </c>
      <c r="W1998" s="2">
        <v>2</v>
      </c>
      <c r="X1998" s="2">
        <v>8</v>
      </c>
    </row>
    <row r="1999" spans="1:24" x14ac:dyDescent="0.35">
      <c r="A1999">
        <v>11</v>
      </c>
      <c r="B1999">
        <v>28764</v>
      </c>
      <c r="C1999">
        <v>54</v>
      </c>
      <c r="D1999">
        <v>1</v>
      </c>
      <c r="E1999" s="28">
        <v>5.9808219178082194</v>
      </c>
      <c r="F1999" s="28"/>
      <c r="G1999" s="28"/>
      <c r="H1999" s="28"/>
      <c r="I1999" s="28"/>
      <c r="J1999" s="28"/>
      <c r="L1999" s="37">
        <v>11</v>
      </c>
      <c r="M1999" s="3">
        <v>16</v>
      </c>
      <c r="N1999" s="3">
        <v>8</v>
      </c>
      <c r="O1999" s="3">
        <v>0</v>
      </c>
      <c r="P1999" s="3">
        <v>3</v>
      </c>
      <c r="Q1999" s="3">
        <v>0</v>
      </c>
      <c r="R1999" s="3">
        <v>0</v>
      </c>
      <c r="S1999" s="3">
        <v>1</v>
      </c>
      <c r="T1999" s="3">
        <v>1</v>
      </c>
      <c r="U1999" s="3">
        <v>1</v>
      </c>
      <c r="V1999" s="3">
        <v>0</v>
      </c>
      <c r="W1999" s="3">
        <v>2</v>
      </c>
      <c r="X1999" s="3">
        <v>8</v>
      </c>
    </row>
    <row r="2000" spans="1:24" x14ac:dyDescent="0.35">
      <c r="A2000">
        <v>11</v>
      </c>
      <c r="B2000">
        <v>35946</v>
      </c>
      <c r="C2000">
        <v>71</v>
      </c>
      <c r="D2000">
        <v>1</v>
      </c>
      <c r="E2000" s="28">
        <v>6.6684931506849319</v>
      </c>
      <c r="F2000" s="28"/>
      <c r="G2000" s="28"/>
      <c r="H2000" s="28"/>
      <c r="I2000" s="28"/>
      <c r="J2000" s="28"/>
      <c r="L2000" s="38">
        <v>11</v>
      </c>
      <c r="M2000" s="2">
        <v>24</v>
      </c>
      <c r="N2000" s="2">
        <v>8</v>
      </c>
      <c r="O2000" s="2">
        <v>0</v>
      </c>
      <c r="P2000" s="2">
        <v>3</v>
      </c>
      <c r="Q2000" s="2">
        <v>0</v>
      </c>
      <c r="R2000" s="2">
        <v>0</v>
      </c>
      <c r="S2000" s="2">
        <v>0</v>
      </c>
      <c r="T2000" s="2">
        <v>1</v>
      </c>
      <c r="U2000" s="2">
        <v>0</v>
      </c>
      <c r="V2000" s="2">
        <v>0</v>
      </c>
      <c r="W2000" s="2">
        <v>3</v>
      </c>
      <c r="X2000" s="2">
        <v>5</v>
      </c>
    </row>
    <row r="2001" spans="1:24" x14ac:dyDescent="0.35">
      <c r="A2001">
        <v>11</v>
      </c>
      <c r="B2001">
        <v>25930</v>
      </c>
      <c r="C2001">
        <v>53</v>
      </c>
      <c r="D2001">
        <v>1</v>
      </c>
      <c r="E2001" s="28">
        <v>6.6328767123287671</v>
      </c>
      <c r="F2001" s="28"/>
      <c r="G2001" s="28"/>
      <c r="H2001" s="28"/>
      <c r="I2001" s="28"/>
      <c r="J2001" s="28"/>
      <c r="L2001" s="37">
        <v>11</v>
      </c>
      <c r="M2001" s="3">
        <v>87</v>
      </c>
      <c r="N2001" s="3">
        <v>6</v>
      </c>
      <c r="O2001" s="3">
        <v>1</v>
      </c>
      <c r="P2001" s="3">
        <v>2</v>
      </c>
      <c r="Q2001" s="3">
        <v>2</v>
      </c>
      <c r="R2001" s="3">
        <v>0</v>
      </c>
      <c r="S2001" s="3">
        <v>4</v>
      </c>
      <c r="T2001" s="3">
        <v>1</v>
      </c>
      <c r="U2001" s="3">
        <v>1</v>
      </c>
      <c r="V2001" s="3">
        <v>0</v>
      </c>
      <c r="W2001" s="3">
        <v>2</v>
      </c>
      <c r="X2001" s="3">
        <v>7</v>
      </c>
    </row>
    <row r="2002" spans="1:24" x14ac:dyDescent="0.35">
      <c r="A2002">
        <v>11</v>
      </c>
      <c r="B2002">
        <v>32474</v>
      </c>
      <c r="C2002">
        <v>53</v>
      </c>
      <c r="D2002">
        <v>1</v>
      </c>
      <c r="E2002" s="28">
        <v>6.0493150684931507</v>
      </c>
      <c r="F2002" s="28"/>
      <c r="G2002" s="28"/>
      <c r="H2002" s="28"/>
      <c r="I2002" s="28"/>
      <c r="J2002" s="28"/>
      <c r="L2002" s="38">
        <v>11</v>
      </c>
      <c r="M2002" s="2">
        <v>0</v>
      </c>
      <c r="N2002" s="2">
        <v>10</v>
      </c>
      <c r="O2002" s="2">
        <v>0</v>
      </c>
      <c r="P2002" s="2">
        <v>1</v>
      </c>
      <c r="Q2002" s="2">
        <v>0</v>
      </c>
      <c r="R2002" s="2">
        <v>0</v>
      </c>
      <c r="S2002" s="2">
        <v>0</v>
      </c>
      <c r="T2002" s="2">
        <v>1</v>
      </c>
      <c r="U2002" s="2">
        <v>1</v>
      </c>
      <c r="V2002" s="2">
        <v>0</v>
      </c>
      <c r="W2002" s="2">
        <v>2</v>
      </c>
      <c r="X2002" s="2">
        <v>7</v>
      </c>
    </row>
    <row r="2003" spans="1:24" x14ac:dyDescent="0.35">
      <c r="A2003">
        <v>10</v>
      </c>
      <c r="B2003">
        <v>26751</v>
      </c>
      <c r="C2003">
        <v>46</v>
      </c>
      <c r="D2003">
        <v>1</v>
      </c>
      <c r="E2003" s="28">
        <v>6.0191780821917806</v>
      </c>
      <c r="F2003" s="28"/>
      <c r="G2003" s="28"/>
      <c r="H2003" s="28"/>
      <c r="I2003" s="28"/>
      <c r="J2003" s="28"/>
      <c r="L2003" s="37">
        <v>10</v>
      </c>
      <c r="M2003" s="3">
        <v>26</v>
      </c>
      <c r="N2003" s="3">
        <v>1</v>
      </c>
      <c r="O2003" s="3">
        <v>1</v>
      </c>
      <c r="P2003" s="3">
        <v>5</v>
      </c>
      <c r="Q2003" s="3">
        <v>0</v>
      </c>
      <c r="R2003" s="3">
        <v>3</v>
      </c>
      <c r="S2003" s="3">
        <v>1</v>
      </c>
      <c r="T2003" s="3">
        <v>1</v>
      </c>
      <c r="U2003" s="3">
        <v>1</v>
      </c>
      <c r="V2003" s="3">
        <v>0</v>
      </c>
      <c r="W2003" s="3">
        <v>2</v>
      </c>
      <c r="X2003" s="3">
        <v>8</v>
      </c>
    </row>
    <row r="2004" spans="1:24" x14ac:dyDescent="0.35">
      <c r="A2004">
        <v>10</v>
      </c>
      <c r="B2004">
        <v>42997</v>
      </c>
      <c r="C2004">
        <v>43</v>
      </c>
      <c r="D2004">
        <v>1</v>
      </c>
      <c r="E2004" s="28">
        <v>6.4739726027397264</v>
      </c>
      <c r="F2004" s="28"/>
      <c r="G2004" s="28"/>
      <c r="H2004" s="28"/>
      <c r="I2004" s="28"/>
      <c r="J2004" s="28"/>
      <c r="L2004" s="38">
        <v>10</v>
      </c>
      <c r="M2004" s="2">
        <v>91</v>
      </c>
      <c r="N2004" s="2">
        <v>4</v>
      </c>
      <c r="O2004" s="2">
        <v>0</v>
      </c>
      <c r="P2004" s="2">
        <v>5</v>
      </c>
      <c r="Q2004" s="2">
        <v>0</v>
      </c>
      <c r="R2004" s="2">
        <v>1</v>
      </c>
      <c r="S2004" s="2">
        <v>5</v>
      </c>
      <c r="T2004" s="2">
        <v>1</v>
      </c>
      <c r="U2004" s="2">
        <v>1</v>
      </c>
      <c r="V2004" s="2">
        <v>0</v>
      </c>
      <c r="W2004" s="2">
        <v>2</v>
      </c>
      <c r="X2004" s="2">
        <v>7</v>
      </c>
    </row>
    <row r="2005" spans="1:24" x14ac:dyDescent="0.35">
      <c r="A2005">
        <v>10</v>
      </c>
      <c r="B2005">
        <v>19485</v>
      </c>
      <c r="C2005">
        <v>34</v>
      </c>
      <c r="D2005">
        <v>1</v>
      </c>
      <c r="E2005" s="28">
        <v>6.6767123287671231</v>
      </c>
      <c r="F2005" s="28"/>
      <c r="G2005" s="28"/>
      <c r="H2005" s="28"/>
      <c r="I2005" s="28"/>
      <c r="J2005" s="28"/>
      <c r="L2005" s="37">
        <v>10</v>
      </c>
      <c r="M2005" s="3">
        <v>80</v>
      </c>
      <c r="N2005" s="3">
        <v>6</v>
      </c>
      <c r="O2005" s="3">
        <v>0</v>
      </c>
      <c r="P2005" s="3">
        <v>4</v>
      </c>
      <c r="Q2005" s="3">
        <v>0</v>
      </c>
      <c r="R2005" s="3">
        <v>0</v>
      </c>
      <c r="S2005" s="3">
        <v>0</v>
      </c>
      <c r="T2005" s="3">
        <v>1</v>
      </c>
      <c r="U2005" s="3">
        <v>1</v>
      </c>
      <c r="V2005" s="3">
        <v>0</v>
      </c>
      <c r="W2005" s="3">
        <v>2</v>
      </c>
      <c r="X2005" s="3">
        <v>7</v>
      </c>
    </row>
    <row r="2006" spans="1:24" x14ac:dyDescent="0.35">
      <c r="A2006">
        <v>10</v>
      </c>
      <c r="B2006">
        <v>7500</v>
      </c>
      <c r="C2006">
        <v>33</v>
      </c>
      <c r="D2006">
        <v>0</v>
      </c>
      <c r="E2006" s="28">
        <v>7.3835616438356162</v>
      </c>
      <c r="F2006" s="28"/>
      <c r="G2006" s="28"/>
      <c r="H2006" s="28"/>
      <c r="I2006" s="28"/>
      <c r="J2006" s="28"/>
      <c r="L2006" s="38">
        <v>10</v>
      </c>
      <c r="M2006" s="2">
        <v>94</v>
      </c>
      <c r="N2006" s="2">
        <v>0</v>
      </c>
      <c r="O2006" s="2">
        <v>2</v>
      </c>
      <c r="P2006" s="2">
        <v>3</v>
      </c>
      <c r="Q2006" s="2">
        <v>4</v>
      </c>
      <c r="R2006" s="2">
        <v>1</v>
      </c>
      <c r="S2006" s="2">
        <v>5</v>
      </c>
      <c r="T2006" s="2">
        <v>1</v>
      </c>
      <c r="U2006" s="2">
        <v>0</v>
      </c>
      <c r="V2006" s="2">
        <v>0</v>
      </c>
      <c r="W2006" s="2">
        <v>3</v>
      </c>
      <c r="X2006" s="2">
        <v>6</v>
      </c>
    </row>
    <row r="2007" spans="1:24" x14ac:dyDescent="0.35">
      <c r="A2007">
        <v>10</v>
      </c>
      <c r="B2007">
        <v>29298</v>
      </c>
      <c r="C2007">
        <v>69</v>
      </c>
      <c r="D2007">
        <v>1</v>
      </c>
      <c r="E2007" s="28">
        <v>6.7232876712328764</v>
      </c>
      <c r="F2007" s="28"/>
      <c r="G2007" s="28"/>
      <c r="H2007" s="28"/>
      <c r="I2007" s="28"/>
      <c r="J2007" s="28"/>
      <c r="L2007" s="37">
        <v>10</v>
      </c>
      <c r="M2007" s="3">
        <v>60</v>
      </c>
      <c r="N2007" s="3">
        <v>6</v>
      </c>
      <c r="O2007" s="3">
        <v>0</v>
      </c>
      <c r="P2007" s="3">
        <v>2</v>
      </c>
      <c r="Q2007" s="3">
        <v>2</v>
      </c>
      <c r="R2007" s="3">
        <v>0</v>
      </c>
      <c r="S2007" s="3">
        <v>1</v>
      </c>
      <c r="T2007" s="3">
        <v>1</v>
      </c>
      <c r="U2007" s="3">
        <v>1</v>
      </c>
      <c r="V2007" s="3">
        <v>0</v>
      </c>
      <c r="W2007" s="3">
        <v>2</v>
      </c>
      <c r="X2007" s="3">
        <v>5</v>
      </c>
    </row>
    <row r="2008" spans="1:24" x14ac:dyDescent="0.35">
      <c r="A2008">
        <v>9</v>
      </c>
      <c r="B2008">
        <v>26326</v>
      </c>
      <c r="C2008">
        <v>44</v>
      </c>
      <c r="D2008">
        <v>0</v>
      </c>
      <c r="E2008" s="28">
        <v>6.7315068493150685</v>
      </c>
      <c r="F2008" s="28"/>
      <c r="G2008" s="28"/>
      <c r="H2008" s="28"/>
      <c r="I2008" s="28"/>
      <c r="J2008" s="28"/>
      <c r="L2008" s="38">
        <v>9</v>
      </c>
      <c r="M2008" s="2">
        <v>12</v>
      </c>
      <c r="N2008" s="2">
        <v>1</v>
      </c>
      <c r="O2008" s="2">
        <v>0</v>
      </c>
      <c r="P2008" s="2">
        <v>5</v>
      </c>
      <c r="Q2008" s="2">
        <v>0</v>
      </c>
      <c r="R2008" s="2">
        <v>3</v>
      </c>
      <c r="S2008" s="2">
        <v>9</v>
      </c>
      <c r="T2008" s="2">
        <v>1</v>
      </c>
      <c r="U2008" s="2">
        <v>0</v>
      </c>
      <c r="V2008" s="2">
        <v>0</v>
      </c>
      <c r="W2008" s="2">
        <v>3</v>
      </c>
      <c r="X2008" s="2">
        <v>3</v>
      </c>
    </row>
    <row r="2009" spans="1:24" x14ac:dyDescent="0.35">
      <c r="A2009">
        <v>9</v>
      </c>
      <c r="B2009">
        <v>38285</v>
      </c>
      <c r="C2009">
        <v>61</v>
      </c>
      <c r="D2009">
        <v>1</v>
      </c>
      <c r="E2009" s="28">
        <v>5.9287671232876713</v>
      </c>
      <c r="F2009" s="28"/>
      <c r="G2009" s="28"/>
      <c r="H2009" s="28"/>
      <c r="I2009" s="28"/>
      <c r="J2009" s="28"/>
      <c r="L2009" s="37">
        <v>9</v>
      </c>
      <c r="M2009" s="3">
        <v>96</v>
      </c>
      <c r="N2009" s="3">
        <v>2</v>
      </c>
      <c r="O2009" s="3">
        <v>0</v>
      </c>
      <c r="P2009" s="3">
        <v>5</v>
      </c>
      <c r="Q2009" s="3">
        <v>2</v>
      </c>
      <c r="R2009" s="3">
        <v>0</v>
      </c>
      <c r="S2009" s="3">
        <v>1</v>
      </c>
      <c r="T2009" s="3">
        <v>1</v>
      </c>
      <c r="U2009" s="3">
        <v>0</v>
      </c>
      <c r="V2009" s="3">
        <v>0</v>
      </c>
      <c r="W2009" s="3">
        <v>3</v>
      </c>
      <c r="X2009" s="3">
        <v>2</v>
      </c>
    </row>
    <row r="2010" spans="1:24" x14ac:dyDescent="0.35">
      <c r="A2010">
        <v>9</v>
      </c>
      <c r="B2010">
        <v>20427</v>
      </c>
      <c r="C2010">
        <v>47</v>
      </c>
      <c r="D2010">
        <v>1</v>
      </c>
      <c r="E2010" s="28">
        <v>6.1808219178082195</v>
      </c>
      <c r="F2010" s="28"/>
      <c r="G2010" s="28"/>
      <c r="H2010" s="28"/>
      <c r="I2010" s="28"/>
      <c r="J2010" s="28"/>
      <c r="L2010" s="38">
        <v>9</v>
      </c>
      <c r="M2010" s="2">
        <v>63</v>
      </c>
      <c r="N2010" s="2">
        <v>5</v>
      </c>
      <c r="O2010" s="2">
        <v>0</v>
      </c>
      <c r="P2010" s="2">
        <v>4</v>
      </c>
      <c r="Q2010" s="2">
        <v>0</v>
      </c>
      <c r="R2010" s="2">
        <v>0</v>
      </c>
      <c r="S2010" s="2">
        <v>1</v>
      </c>
      <c r="T2010" s="2">
        <v>1</v>
      </c>
      <c r="U2010" s="2">
        <v>1</v>
      </c>
      <c r="V2010" s="2">
        <v>0</v>
      </c>
      <c r="W2010" s="2">
        <v>2</v>
      </c>
      <c r="X2010" s="2">
        <v>8</v>
      </c>
    </row>
    <row r="2011" spans="1:24" x14ac:dyDescent="0.35">
      <c r="A2011">
        <v>9</v>
      </c>
      <c r="B2011">
        <v>23536</v>
      </c>
      <c r="C2011">
        <v>37</v>
      </c>
      <c r="D2011">
        <v>1</v>
      </c>
      <c r="E2011" s="28">
        <v>5.9835616438356167</v>
      </c>
      <c r="F2011" s="28"/>
      <c r="G2011" s="28"/>
      <c r="H2011" s="28"/>
      <c r="I2011" s="28"/>
      <c r="J2011" s="28"/>
      <c r="L2011" s="37">
        <v>9</v>
      </c>
      <c r="M2011" s="3">
        <v>53</v>
      </c>
      <c r="N2011" s="3">
        <v>6</v>
      </c>
      <c r="O2011" s="3">
        <v>0</v>
      </c>
      <c r="P2011" s="3">
        <v>3</v>
      </c>
      <c r="Q2011" s="3">
        <v>0</v>
      </c>
      <c r="R2011" s="3">
        <v>0</v>
      </c>
      <c r="S2011" s="3">
        <v>1</v>
      </c>
      <c r="T2011" s="3">
        <v>1</v>
      </c>
      <c r="U2011" s="3">
        <v>0</v>
      </c>
      <c r="V2011" s="3">
        <v>0</v>
      </c>
      <c r="W2011" s="3">
        <v>3</v>
      </c>
      <c r="X2011" s="3">
        <v>3</v>
      </c>
    </row>
    <row r="2012" spans="1:24" x14ac:dyDescent="0.35">
      <c r="A2012">
        <v>9</v>
      </c>
      <c r="B2012">
        <v>18492</v>
      </c>
      <c r="C2012">
        <v>38</v>
      </c>
      <c r="D2012">
        <v>1</v>
      </c>
      <c r="E2012" s="28">
        <v>5.9808219178082194</v>
      </c>
      <c r="F2012" s="28"/>
      <c r="G2012" s="28"/>
      <c r="H2012" s="28"/>
      <c r="I2012" s="28"/>
      <c r="J2012" s="28"/>
      <c r="L2012" s="38">
        <v>9</v>
      </c>
      <c r="M2012" s="2">
        <v>75</v>
      </c>
      <c r="N2012" s="2">
        <v>2</v>
      </c>
      <c r="O2012" s="2">
        <v>2</v>
      </c>
      <c r="P2012" s="2">
        <v>2</v>
      </c>
      <c r="Q2012" s="2">
        <v>2</v>
      </c>
      <c r="R2012" s="2">
        <v>1</v>
      </c>
      <c r="S2012" s="2">
        <v>1</v>
      </c>
      <c r="T2012" s="2">
        <v>1</v>
      </c>
      <c r="U2012" s="2">
        <v>1</v>
      </c>
      <c r="V2012" s="2">
        <v>0</v>
      </c>
      <c r="W2012" s="2">
        <v>2</v>
      </c>
      <c r="X2012" s="2">
        <v>8</v>
      </c>
    </row>
    <row r="2013" spans="1:24" x14ac:dyDescent="0.35">
      <c r="A2013">
        <v>9</v>
      </c>
      <c r="B2013">
        <v>17688</v>
      </c>
      <c r="C2013">
        <v>41</v>
      </c>
      <c r="D2013">
        <v>1</v>
      </c>
      <c r="E2013" s="28">
        <v>7.3726027397260276</v>
      </c>
      <c r="F2013" s="28"/>
      <c r="G2013" s="28"/>
      <c r="H2013" s="28"/>
      <c r="I2013" s="28"/>
      <c r="J2013" s="28"/>
      <c r="L2013" s="37">
        <v>9</v>
      </c>
      <c r="M2013" s="3">
        <v>82</v>
      </c>
      <c r="N2013" s="3">
        <v>2</v>
      </c>
      <c r="O2013" s="3">
        <v>2</v>
      </c>
      <c r="P2013" s="3">
        <v>1</v>
      </c>
      <c r="Q2013" s="3">
        <v>3</v>
      </c>
      <c r="R2013" s="3">
        <v>1</v>
      </c>
      <c r="S2013" s="3">
        <v>2</v>
      </c>
      <c r="T2013" s="3">
        <v>1</v>
      </c>
      <c r="U2013" s="3">
        <v>1</v>
      </c>
      <c r="V2013" s="3">
        <v>0</v>
      </c>
      <c r="W2013" s="3">
        <v>2</v>
      </c>
      <c r="X2013" s="3">
        <v>8</v>
      </c>
    </row>
    <row r="2014" spans="1:24" x14ac:dyDescent="0.35">
      <c r="A2014">
        <v>8</v>
      </c>
      <c r="B2014">
        <v>25176</v>
      </c>
      <c r="C2014">
        <v>44</v>
      </c>
      <c r="D2014">
        <v>1</v>
      </c>
      <c r="E2014" s="28">
        <v>6.8</v>
      </c>
      <c r="F2014" s="28"/>
      <c r="G2014" s="28"/>
      <c r="H2014" s="28"/>
      <c r="I2014" s="28"/>
      <c r="J2014" s="28"/>
      <c r="L2014" s="38">
        <v>8</v>
      </c>
      <c r="M2014" s="2">
        <v>79</v>
      </c>
      <c r="N2014" s="2">
        <v>4</v>
      </c>
      <c r="O2014" s="2">
        <v>0</v>
      </c>
      <c r="P2014" s="2">
        <v>4</v>
      </c>
      <c r="Q2014" s="2">
        <v>0</v>
      </c>
      <c r="R2014" s="2">
        <v>0</v>
      </c>
      <c r="S2014" s="2">
        <v>5</v>
      </c>
      <c r="T2014" s="2">
        <v>1</v>
      </c>
      <c r="U2014" s="2">
        <v>1</v>
      </c>
      <c r="V2014" s="2">
        <v>0</v>
      </c>
      <c r="W2014" s="2">
        <v>2</v>
      </c>
      <c r="X2014" s="2">
        <v>7</v>
      </c>
    </row>
    <row r="2015" spans="1:24" x14ac:dyDescent="0.35">
      <c r="A2015">
        <v>8</v>
      </c>
      <c r="B2015">
        <v>30523</v>
      </c>
      <c r="C2015">
        <v>62</v>
      </c>
      <c r="D2015">
        <v>1</v>
      </c>
      <c r="E2015" s="28">
        <v>6.9095890410958907</v>
      </c>
      <c r="F2015" s="28"/>
      <c r="G2015" s="28"/>
      <c r="H2015" s="28"/>
      <c r="I2015" s="28"/>
      <c r="J2015" s="28"/>
      <c r="L2015" s="37">
        <v>8</v>
      </c>
      <c r="M2015" s="3">
        <v>0</v>
      </c>
      <c r="N2015" s="3">
        <v>5</v>
      </c>
      <c r="O2015" s="3">
        <v>0</v>
      </c>
      <c r="P2015" s="3">
        <v>3</v>
      </c>
      <c r="Q2015" s="3">
        <v>0</v>
      </c>
      <c r="R2015" s="3">
        <v>0</v>
      </c>
      <c r="S2015" s="3">
        <v>5</v>
      </c>
      <c r="T2015" s="3">
        <v>1</v>
      </c>
      <c r="U2015" s="3">
        <v>1</v>
      </c>
      <c r="V2015" s="3">
        <v>0</v>
      </c>
      <c r="W2015" s="3">
        <v>2</v>
      </c>
      <c r="X2015" s="3">
        <v>7</v>
      </c>
    </row>
    <row r="2016" spans="1:24" x14ac:dyDescent="0.35">
      <c r="A2016">
        <v>8</v>
      </c>
      <c r="B2016">
        <v>32583</v>
      </c>
      <c r="C2016">
        <v>59</v>
      </c>
      <c r="D2016">
        <v>1</v>
      </c>
      <c r="E2016" s="28">
        <v>5.9534246575342467</v>
      </c>
      <c r="F2016" s="28"/>
      <c r="G2016" s="28"/>
      <c r="H2016" s="28"/>
      <c r="I2016" s="28"/>
      <c r="J2016" s="28"/>
      <c r="L2016" s="38">
        <v>8</v>
      </c>
      <c r="M2016" s="2">
        <v>10</v>
      </c>
      <c r="N2016" s="2">
        <v>5</v>
      </c>
      <c r="O2016" s="2">
        <v>0</v>
      </c>
      <c r="P2016" s="2">
        <v>3</v>
      </c>
      <c r="Q2016" s="2">
        <v>0</v>
      </c>
      <c r="R2016" s="2">
        <v>0</v>
      </c>
      <c r="S2016" s="2">
        <v>1</v>
      </c>
      <c r="T2016" s="2">
        <v>1</v>
      </c>
      <c r="U2016" s="2">
        <v>1</v>
      </c>
      <c r="V2016" s="2">
        <v>0</v>
      </c>
      <c r="W2016" s="2">
        <v>2</v>
      </c>
      <c r="X2016" s="2">
        <v>7</v>
      </c>
    </row>
    <row r="2017" spans="1:24" x14ac:dyDescent="0.35">
      <c r="A2017">
        <v>8</v>
      </c>
      <c r="B2017">
        <v>14421</v>
      </c>
      <c r="C2017">
        <v>24</v>
      </c>
      <c r="D2017">
        <v>0</v>
      </c>
      <c r="E2017" s="28">
        <v>6.2767123287671236</v>
      </c>
      <c r="F2017" s="28"/>
      <c r="G2017" s="28"/>
      <c r="H2017" s="28"/>
      <c r="I2017" s="28"/>
      <c r="J2017" s="28"/>
      <c r="L2017" s="37">
        <v>8</v>
      </c>
      <c r="M2017" s="3">
        <v>81</v>
      </c>
      <c r="N2017" s="3">
        <v>0</v>
      </c>
      <c r="O2017" s="3">
        <v>0</v>
      </c>
      <c r="P2017" s="3">
        <v>2</v>
      </c>
      <c r="Q2017" s="3">
        <v>3</v>
      </c>
      <c r="R2017" s="3">
        <v>3</v>
      </c>
      <c r="S2017" s="3">
        <v>8</v>
      </c>
      <c r="T2017" s="3">
        <v>1</v>
      </c>
      <c r="U2017" s="3">
        <v>1</v>
      </c>
      <c r="V2017" s="3">
        <v>0</v>
      </c>
      <c r="W2017" s="3">
        <v>2</v>
      </c>
      <c r="X2017" s="3">
        <v>5</v>
      </c>
    </row>
    <row r="2018" spans="1:24" x14ac:dyDescent="0.35">
      <c r="A2018">
        <v>8</v>
      </c>
      <c r="B2018">
        <v>4023</v>
      </c>
      <c r="C2018">
        <v>57</v>
      </c>
      <c r="D2018">
        <v>1</v>
      </c>
      <c r="E2018" s="28">
        <v>5.9315068493150687</v>
      </c>
      <c r="F2018" s="28"/>
      <c r="G2018" s="28"/>
      <c r="H2018" s="28"/>
      <c r="I2018" s="28"/>
      <c r="J2018" s="28"/>
      <c r="L2018" s="38">
        <v>8</v>
      </c>
      <c r="M2018" s="2">
        <v>29</v>
      </c>
      <c r="N2018" s="2">
        <v>5</v>
      </c>
      <c r="O2018" s="2">
        <v>0</v>
      </c>
      <c r="P2018" s="2">
        <v>1</v>
      </c>
      <c r="Q2018" s="2">
        <v>1</v>
      </c>
      <c r="R2018" s="2">
        <v>1</v>
      </c>
      <c r="S2018" s="2">
        <v>1</v>
      </c>
      <c r="T2018" s="2">
        <v>15</v>
      </c>
      <c r="U2018" s="2">
        <v>0</v>
      </c>
      <c r="V2018" s="2">
        <v>0</v>
      </c>
      <c r="W2018" s="2">
        <v>0</v>
      </c>
      <c r="X2018" s="2">
        <v>19</v>
      </c>
    </row>
    <row r="2019" spans="1:24" x14ac:dyDescent="0.35">
      <c r="A2019">
        <v>8</v>
      </c>
      <c r="B2019">
        <v>34578</v>
      </c>
      <c r="C2019">
        <v>48</v>
      </c>
      <c r="D2019">
        <v>1</v>
      </c>
      <c r="E2019" s="28">
        <v>6.1315068493150688</v>
      </c>
      <c r="F2019" s="28"/>
      <c r="G2019" s="28"/>
      <c r="H2019" s="28"/>
      <c r="I2019" s="28"/>
      <c r="J2019" s="28"/>
      <c r="L2019" s="37">
        <v>8</v>
      </c>
      <c r="M2019" s="3">
        <v>1</v>
      </c>
      <c r="N2019" s="3">
        <v>7</v>
      </c>
      <c r="O2019" s="3">
        <v>0</v>
      </c>
      <c r="P2019" s="3">
        <v>1</v>
      </c>
      <c r="Q2019" s="3">
        <v>0</v>
      </c>
      <c r="R2019" s="3">
        <v>0</v>
      </c>
      <c r="S2019" s="3">
        <v>0</v>
      </c>
      <c r="T2019" s="3">
        <v>1</v>
      </c>
      <c r="U2019" s="3">
        <v>1</v>
      </c>
      <c r="V2019" s="3">
        <v>0</v>
      </c>
      <c r="W2019" s="3">
        <v>2</v>
      </c>
      <c r="X2019" s="3">
        <v>6</v>
      </c>
    </row>
    <row r="2020" spans="1:24" x14ac:dyDescent="0.35">
      <c r="A2020">
        <v>8</v>
      </c>
      <c r="B2020">
        <v>11448</v>
      </c>
      <c r="C2020">
        <v>45</v>
      </c>
      <c r="D2020">
        <v>0</v>
      </c>
      <c r="E2020" s="28">
        <v>6.4520547945205475</v>
      </c>
      <c r="F2020" s="28"/>
      <c r="G2020" s="28"/>
      <c r="H2020" s="28"/>
      <c r="I2020" s="28"/>
      <c r="J2020" s="28"/>
      <c r="L2020" s="38">
        <v>8</v>
      </c>
      <c r="M2020" s="2">
        <v>16</v>
      </c>
      <c r="N2020" s="2">
        <v>0</v>
      </c>
      <c r="O2020" s="2">
        <v>0</v>
      </c>
      <c r="P2020" s="2">
        <v>0</v>
      </c>
      <c r="Q2020" s="2">
        <v>6</v>
      </c>
      <c r="R2020" s="2">
        <v>2</v>
      </c>
      <c r="S2020" s="2">
        <v>6</v>
      </c>
      <c r="T2020" s="2">
        <v>1</v>
      </c>
      <c r="U2020" s="2">
        <v>1</v>
      </c>
      <c r="V2020" s="2">
        <v>0</v>
      </c>
      <c r="W2020" s="2">
        <v>2</v>
      </c>
      <c r="X2020" s="2">
        <v>6</v>
      </c>
    </row>
    <row r="2021" spans="1:24" x14ac:dyDescent="0.35">
      <c r="A2021">
        <v>7</v>
      </c>
      <c r="B2021">
        <v>1730</v>
      </c>
      <c r="C2021">
        <v>49</v>
      </c>
      <c r="D2021">
        <v>0</v>
      </c>
      <c r="E2021" s="28">
        <v>6.0301369863013701</v>
      </c>
      <c r="F2021" s="28"/>
      <c r="G2021" s="28"/>
      <c r="H2021" s="28"/>
      <c r="I2021" s="28"/>
      <c r="J2021" s="28"/>
      <c r="L2021" s="37">
        <v>7</v>
      </c>
      <c r="M2021" s="3">
        <v>65</v>
      </c>
      <c r="N2021" s="3">
        <v>1</v>
      </c>
      <c r="O2021" s="3">
        <v>1</v>
      </c>
      <c r="P2021" s="3">
        <v>3</v>
      </c>
      <c r="Q2021" s="3">
        <v>1</v>
      </c>
      <c r="R2021" s="3">
        <v>1</v>
      </c>
      <c r="S2021" s="3">
        <v>1</v>
      </c>
      <c r="T2021" s="3">
        <v>15</v>
      </c>
      <c r="U2021" s="3">
        <v>0</v>
      </c>
      <c r="V2021" s="3">
        <v>0</v>
      </c>
      <c r="W2021" s="3">
        <v>0</v>
      </c>
      <c r="X2021" s="3">
        <v>20</v>
      </c>
    </row>
    <row r="2022" spans="1:24" x14ac:dyDescent="0.35">
      <c r="A2022">
        <v>6</v>
      </c>
      <c r="B2022">
        <v>33590</v>
      </c>
      <c r="C2022">
        <v>46</v>
      </c>
      <c r="D2022">
        <v>1</v>
      </c>
      <c r="E2022" s="28">
        <v>6.5671232876712331</v>
      </c>
      <c r="F2022" s="28"/>
      <c r="G2022" s="28"/>
      <c r="H2022" s="28"/>
      <c r="I2022" s="28"/>
      <c r="J2022" s="28"/>
      <c r="L2022" s="38">
        <v>6</v>
      </c>
      <c r="M2022" s="2">
        <v>65</v>
      </c>
      <c r="N2022" s="2">
        <v>4</v>
      </c>
      <c r="O2022" s="2">
        <v>0</v>
      </c>
      <c r="P2022" s="2">
        <v>2</v>
      </c>
      <c r="Q2022" s="2">
        <v>0</v>
      </c>
      <c r="R2022" s="2">
        <v>0</v>
      </c>
      <c r="S2022" s="2">
        <v>2</v>
      </c>
      <c r="T2022" s="2">
        <v>1</v>
      </c>
      <c r="U2022" s="2">
        <v>1</v>
      </c>
      <c r="V2022" s="2">
        <v>0</v>
      </c>
      <c r="W2022" s="2">
        <v>2</v>
      </c>
      <c r="X2022" s="2">
        <v>7</v>
      </c>
    </row>
    <row r="2023" spans="1:24" x14ac:dyDescent="0.35">
      <c r="A2023">
        <v>5</v>
      </c>
      <c r="B2023">
        <v>4861</v>
      </c>
      <c r="C2023">
        <v>55</v>
      </c>
      <c r="D2023">
        <v>0</v>
      </c>
      <c r="E2023" s="28">
        <v>5.934246575342466</v>
      </c>
      <c r="F2023" s="28"/>
      <c r="G2023" s="28"/>
      <c r="H2023" s="28"/>
      <c r="I2023" s="28"/>
      <c r="J2023" s="28"/>
      <c r="L2023" s="37">
        <v>5</v>
      </c>
      <c r="M2023" s="3">
        <v>20</v>
      </c>
      <c r="N2023" s="3">
        <v>2</v>
      </c>
      <c r="O2023" s="3">
        <v>1</v>
      </c>
      <c r="P2023" s="3">
        <v>1</v>
      </c>
      <c r="Q2023" s="3">
        <v>1</v>
      </c>
      <c r="R2023" s="3">
        <v>0</v>
      </c>
      <c r="S2023" s="3">
        <v>1</v>
      </c>
      <c r="T2023" s="3">
        <v>0</v>
      </c>
      <c r="U2023" s="3">
        <v>0</v>
      </c>
      <c r="V2023" s="3">
        <v>0</v>
      </c>
      <c r="W2023" s="3">
        <v>0</v>
      </c>
      <c r="X2023" s="3">
        <v>14</v>
      </c>
    </row>
    <row r="2024" spans="1:24" x14ac:dyDescent="0.35">
      <c r="A2024">
        <v>4</v>
      </c>
      <c r="B2024">
        <v>3502</v>
      </c>
      <c r="C2024">
        <v>47</v>
      </c>
      <c r="D2024">
        <v>1</v>
      </c>
      <c r="E2024" s="28">
        <v>7.1260273972602741</v>
      </c>
      <c r="F2024" s="28"/>
      <c r="G2024" s="28"/>
      <c r="H2024" s="28"/>
      <c r="I2024" s="28"/>
      <c r="J2024" s="28"/>
      <c r="L2024" s="38">
        <v>4</v>
      </c>
      <c r="M2024" s="2">
        <v>56</v>
      </c>
      <c r="N2024" s="2">
        <v>2</v>
      </c>
      <c r="O2024" s="2">
        <v>1</v>
      </c>
      <c r="P2024" s="2">
        <v>1</v>
      </c>
      <c r="Q2024" s="2">
        <v>0</v>
      </c>
      <c r="R2024" s="2">
        <v>0</v>
      </c>
      <c r="S2024" s="2">
        <v>1</v>
      </c>
      <c r="T2024" s="2">
        <v>0</v>
      </c>
      <c r="U2024" s="2">
        <v>0</v>
      </c>
      <c r="V2024" s="2">
        <v>0</v>
      </c>
      <c r="W2024" s="2">
        <v>0</v>
      </c>
      <c r="X2024" s="2">
        <v>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BEAC8-69BA-4729-A0F2-99592E8944B1}">
  <dimension ref="A1:B17"/>
  <sheetViews>
    <sheetView zoomScale="145" zoomScaleNormal="145" workbookViewId="0">
      <selection activeCell="B8" sqref="B8"/>
    </sheetView>
  </sheetViews>
  <sheetFormatPr defaultRowHeight="14.5" x14ac:dyDescent="0.35"/>
  <cols>
    <col min="1" max="1" width="22.81640625" bestFit="1" customWidth="1"/>
    <col min="2" max="2" width="20.81640625" bestFit="1" customWidth="1"/>
  </cols>
  <sheetData>
    <row r="1" spans="1:2" x14ac:dyDescent="0.35">
      <c r="B1" s="4" t="s">
        <v>69</v>
      </c>
    </row>
    <row r="2" spans="1:2" x14ac:dyDescent="0.35">
      <c r="A2" s="4" t="s">
        <v>68</v>
      </c>
      <c r="B2">
        <v>2205</v>
      </c>
    </row>
    <row r="3" spans="1:2" x14ac:dyDescent="0.35">
      <c r="A3" s="4" t="s">
        <v>74</v>
      </c>
      <c r="B3">
        <v>2021</v>
      </c>
    </row>
    <row r="4" spans="1:2" x14ac:dyDescent="0.35">
      <c r="A4" s="4" t="s">
        <v>75</v>
      </c>
      <c r="B4" s="19">
        <f>(B2-B3)/B2</f>
        <v>8.3446712018140592E-2</v>
      </c>
    </row>
    <row r="5" spans="1:2" x14ac:dyDescent="0.35">
      <c r="A5" s="16" t="s">
        <v>179</v>
      </c>
      <c r="B5" s="19"/>
    </row>
    <row r="7" spans="1:2" x14ac:dyDescent="0.35">
      <c r="A7" s="4" t="s">
        <v>70</v>
      </c>
    </row>
    <row r="8" spans="1:2" x14ac:dyDescent="0.35">
      <c r="A8" t="s">
        <v>45</v>
      </c>
    </row>
    <row r="9" spans="1:2" x14ac:dyDescent="0.35">
      <c r="A9" t="s">
        <v>65</v>
      </c>
    </row>
    <row r="10" spans="1:2" x14ac:dyDescent="0.35">
      <c r="A10" t="s">
        <v>67</v>
      </c>
    </row>
    <row r="11" spans="1:2" x14ac:dyDescent="0.35">
      <c r="A11" t="s">
        <v>72</v>
      </c>
    </row>
    <row r="12" spans="1:2" x14ac:dyDescent="0.35">
      <c r="A12" t="s">
        <v>39</v>
      </c>
    </row>
    <row r="13" spans="1:2" x14ac:dyDescent="0.35">
      <c r="A13" t="s">
        <v>40</v>
      </c>
    </row>
    <row r="14" spans="1:2" x14ac:dyDescent="0.35">
      <c r="A14" t="s">
        <v>44</v>
      </c>
    </row>
    <row r="15" spans="1:2" x14ac:dyDescent="0.35">
      <c r="A15" t="s">
        <v>41</v>
      </c>
    </row>
    <row r="16" spans="1:2" x14ac:dyDescent="0.35">
      <c r="A16" t="s">
        <v>42</v>
      </c>
    </row>
    <row r="17" spans="1:1" x14ac:dyDescent="0.35">
      <c r="A17" t="s">
        <v>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0F49-5F40-4F15-9B25-C11287519F8C}">
  <dimension ref="A1:AN27"/>
  <sheetViews>
    <sheetView topLeftCell="W1" zoomScale="130" zoomScaleNormal="130" workbookViewId="0">
      <selection activeCell="Z11" sqref="Z11"/>
    </sheetView>
  </sheetViews>
  <sheetFormatPr defaultRowHeight="14.5" x14ac:dyDescent="0.35"/>
  <cols>
    <col min="1" max="1" width="15.54296875" customWidth="1"/>
    <col min="2" max="12" width="15.26953125" bestFit="1" customWidth="1"/>
    <col min="13" max="14" width="10.7265625" bestFit="1" customWidth="1"/>
    <col min="15" max="15" width="19.36328125" customWidth="1"/>
    <col min="16" max="16" width="20.6328125" customWidth="1"/>
    <col min="17" max="21" width="15" customWidth="1"/>
    <col min="22" max="22" width="10.1796875" customWidth="1"/>
    <col min="23" max="23" width="14.36328125" customWidth="1"/>
    <col min="24" max="24" width="11.6328125" customWidth="1"/>
    <col min="25" max="25" width="10.453125" customWidth="1"/>
    <col min="26" max="26" width="7.6328125" bestFit="1" customWidth="1"/>
    <col min="27" max="27" width="15.453125" customWidth="1"/>
    <col min="28" max="28" width="16.7265625" customWidth="1"/>
    <col min="29" max="29" width="15.90625" customWidth="1"/>
    <col min="30" max="30" width="14.26953125" customWidth="1"/>
    <col min="31" max="31" width="16.81640625" customWidth="1"/>
    <col min="32" max="32" width="15.26953125" customWidth="1"/>
    <col min="33" max="33" width="18.7265625" customWidth="1"/>
    <col min="34" max="34" width="15.90625" customWidth="1"/>
    <col min="35" max="35" width="21.26953125" customWidth="1"/>
    <col min="36" max="36" width="17.7265625" customWidth="1"/>
    <col min="37" max="37" width="15.08984375" customWidth="1"/>
    <col min="38" max="38" width="10" customWidth="1"/>
    <col min="39" max="39" width="17" customWidth="1"/>
    <col min="40" max="40" width="20.08984375" customWidth="1"/>
    <col min="41" max="41" width="7.6328125" bestFit="1" customWidth="1"/>
    <col min="42" max="501" width="5.81640625" bestFit="1" customWidth="1"/>
    <col min="502" max="502" width="6.81640625" bestFit="1" customWidth="1"/>
    <col min="503" max="856" width="5.81640625" bestFit="1" customWidth="1"/>
    <col min="857" max="857" width="6.81640625" bestFit="1" customWidth="1"/>
    <col min="858" max="950" width="5.81640625" bestFit="1" customWidth="1"/>
    <col min="951" max="952" width="6.81640625" bestFit="1" customWidth="1"/>
    <col min="953" max="998" width="5.81640625" bestFit="1" customWidth="1"/>
    <col min="999" max="999" width="6.81640625" bestFit="1" customWidth="1"/>
    <col min="1000" max="1000" width="5.81640625" bestFit="1" customWidth="1"/>
    <col min="1001" max="1001" width="6.81640625" bestFit="1" customWidth="1"/>
    <col min="1002" max="1073" width="5.81640625" bestFit="1" customWidth="1"/>
    <col min="1074" max="1074" width="6.81640625" bestFit="1" customWidth="1"/>
    <col min="1075" max="1137" width="5.81640625" bestFit="1" customWidth="1"/>
    <col min="1138" max="1139" width="6.81640625" bestFit="1" customWidth="1"/>
    <col min="1140" max="1141" width="5.81640625" bestFit="1" customWidth="1"/>
    <col min="1142" max="1142" width="6.81640625" bestFit="1" customWidth="1"/>
    <col min="1143" max="1203" width="5.81640625" bestFit="1" customWidth="1"/>
    <col min="1204" max="1204" width="6.81640625" bestFit="1" customWidth="1"/>
    <col min="1205" max="1283" width="5.81640625" bestFit="1" customWidth="1"/>
    <col min="1284" max="1284" width="6.81640625" bestFit="1" customWidth="1"/>
    <col min="1285" max="1304" width="5.81640625" bestFit="1" customWidth="1"/>
    <col min="1305" max="1305" width="6.81640625" bestFit="1" customWidth="1"/>
    <col min="1306" max="1309" width="5.81640625" bestFit="1" customWidth="1"/>
    <col min="1310" max="1310" width="6.81640625" bestFit="1" customWidth="1"/>
    <col min="1311" max="1321" width="5.81640625" bestFit="1" customWidth="1"/>
    <col min="1322" max="1322" width="6.81640625" bestFit="1" customWidth="1"/>
    <col min="1323" max="1369" width="5.81640625" bestFit="1" customWidth="1"/>
    <col min="1370" max="1370" width="6.81640625" bestFit="1" customWidth="1"/>
    <col min="1371" max="1387" width="5.81640625" bestFit="1" customWidth="1"/>
    <col min="1388" max="1388" width="6.81640625" bestFit="1" customWidth="1"/>
    <col min="1389" max="1418" width="5.81640625" bestFit="1" customWidth="1"/>
    <col min="1419" max="1419" width="6.81640625" bestFit="1" customWidth="1"/>
    <col min="1420" max="1557" width="5.81640625" bestFit="1" customWidth="1"/>
    <col min="1558" max="1558" width="6.81640625" bestFit="1" customWidth="1"/>
    <col min="1559" max="1581" width="5.81640625" bestFit="1" customWidth="1"/>
    <col min="1582" max="1582" width="6.81640625" bestFit="1" customWidth="1"/>
    <col min="1583" max="1671" width="5.81640625" bestFit="1" customWidth="1"/>
    <col min="1672" max="1672" width="6.81640625" bestFit="1" customWidth="1"/>
    <col min="1673" max="1783" width="5.81640625" bestFit="1" customWidth="1"/>
    <col min="1784" max="1784" width="6.81640625" bestFit="1" customWidth="1"/>
    <col min="1785" max="1816" width="5.81640625" bestFit="1" customWidth="1"/>
    <col min="1817" max="1817" width="6.81640625" bestFit="1" customWidth="1"/>
    <col min="1818" max="1820" width="5.81640625" bestFit="1" customWidth="1"/>
    <col min="1821" max="1821" width="6.81640625" bestFit="1" customWidth="1"/>
    <col min="1822" max="1838" width="5.81640625" bestFit="1" customWidth="1"/>
    <col min="1839" max="1839" width="6.81640625" bestFit="1" customWidth="1"/>
    <col min="1840" max="1856" width="5.81640625" bestFit="1" customWidth="1"/>
    <col min="1857" max="1857" width="6.81640625" bestFit="1" customWidth="1"/>
    <col min="1858" max="1927" width="5.81640625" bestFit="1" customWidth="1"/>
    <col min="1928" max="1928" width="6.81640625" bestFit="1" customWidth="1"/>
    <col min="1929" max="1959" width="5.81640625" bestFit="1" customWidth="1"/>
    <col min="1960" max="1964" width="6.81640625" bestFit="1" customWidth="1"/>
    <col min="1965" max="1965" width="10.7265625" bestFit="1" customWidth="1"/>
  </cols>
  <sheetData>
    <row r="1" spans="1:40" ht="15.5" x14ac:dyDescent="0.35">
      <c r="A1" s="12" t="s">
        <v>71</v>
      </c>
      <c r="B1" s="12"/>
      <c r="C1" s="12"/>
      <c r="D1" s="12"/>
    </row>
    <row r="2" spans="1:40" ht="15.5" x14ac:dyDescent="0.35">
      <c r="A2" s="6" t="s">
        <v>49</v>
      </c>
      <c r="B2" s="7">
        <f>COUNT(ifood_data[[#All],[Customer ID]])</f>
        <v>2021</v>
      </c>
      <c r="C2" s="8"/>
      <c r="D2" s="8"/>
    </row>
    <row r="3" spans="1:40" ht="29" x14ac:dyDescent="0.35">
      <c r="A3" s="1" t="s">
        <v>50</v>
      </c>
      <c r="B3" s="7">
        <f>COLUMNS(ifood_data[[#Headers],[Customer ID]:[AcceptedCmpOverallSum]])</f>
        <v>43</v>
      </c>
    </row>
    <row r="5" spans="1:40" ht="15.5" x14ac:dyDescent="0.35">
      <c r="A5" s="12" t="s">
        <v>62</v>
      </c>
      <c r="B5" s="12"/>
      <c r="C5" s="12"/>
      <c r="D5" s="12"/>
    </row>
    <row r="7" spans="1:40" ht="29" x14ac:dyDescent="0.35">
      <c r="A7" s="11" t="s">
        <v>57</v>
      </c>
      <c r="B7" s="11" t="s">
        <v>0</v>
      </c>
      <c r="C7" s="11" t="s">
        <v>1</v>
      </c>
      <c r="D7" s="11" t="s">
        <v>2</v>
      </c>
      <c r="E7" s="11" t="s">
        <v>3</v>
      </c>
      <c r="F7" s="11" t="s">
        <v>4</v>
      </c>
      <c r="G7" s="11" t="s">
        <v>5</v>
      </c>
      <c r="H7" s="11" t="s">
        <v>6</v>
      </c>
      <c r="I7" s="11" t="s">
        <v>7</v>
      </c>
      <c r="J7" s="11" t="s">
        <v>8</v>
      </c>
      <c r="K7" s="11" t="s">
        <v>9</v>
      </c>
      <c r="L7" s="11" t="s">
        <v>10</v>
      </c>
      <c r="M7" s="11" t="s">
        <v>11</v>
      </c>
      <c r="N7" s="11" t="s">
        <v>12</v>
      </c>
      <c r="O7" s="11" t="s">
        <v>13</v>
      </c>
      <c r="P7" s="11" t="s">
        <v>14</v>
      </c>
      <c r="Q7" s="11" t="s">
        <v>15</v>
      </c>
      <c r="R7" s="11" t="s">
        <v>16</v>
      </c>
      <c r="S7" s="11" t="s">
        <v>17</v>
      </c>
      <c r="T7" s="11" t="s">
        <v>18</v>
      </c>
      <c r="U7" s="11" t="s">
        <v>19</v>
      </c>
      <c r="V7" s="11" t="s">
        <v>20</v>
      </c>
      <c r="W7" s="11" t="s">
        <v>21</v>
      </c>
      <c r="X7" s="11" t="s">
        <v>22</v>
      </c>
      <c r="Y7" s="11" t="s">
        <v>23</v>
      </c>
      <c r="Z7" s="11" t="s">
        <v>24</v>
      </c>
      <c r="AA7" s="11" t="s">
        <v>25</v>
      </c>
      <c r="AB7" s="11" t="s">
        <v>26</v>
      </c>
      <c r="AC7" s="11" t="s">
        <v>27</v>
      </c>
      <c r="AD7" s="11" t="s">
        <v>28</v>
      </c>
      <c r="AE7" s="11" t="s">
        <v>29</v>
      </c>
      <c r="AF7" s="11" t="s">
        <v>30</v>
      </c>
      <c r="AG7" s="11" t="s">
        <v>31</v>
      </c>
      <c r="AH7" s="11" t="s">
        <v>32</v>
      </c>
      <c r="AI7" s="11" t="s">
        <v>33</v>
      </c>
      <c r="AJ7" s="11" t="s">
        <v>34</v>
      </c>
      <c r="AK7" s="11" t="s">
        <v>35</v>
      </c>
      <c r="AL7" s="11" t="s">
        <v>36</v>
      </c>
      <c r="AM7" s="11" t="s">
        <v>37</v>
      </c>
      <c r="AN7" s="11" t="s">
        <v>38</v>
      </c>
    </row>
    <row r="8" spans="1:40" x14ac:dyDescent="0.35">
      <c r="A8" s="13" t="s">
        <v>48</v>
      </c>
      <c r="B8" s="7">
        <f>COUNTBLANK(ifood_data[[#All],[Kidhome]])</f>
        <v>0</v>
      </c>
      <c r="C8" s="7">
        <f>COUNTBLANK(ifood_data[[#All],[Teenhome]])</f>
        <v>0</v>
      </c>
      <c r="D8" s="7">
        <f>COUNTBLANK(ifood_data[[#All],[Recency]])</f>
        <v>0</v>
      </c>
      <c r="E8" s="7">
        <f>COUNTBLANK(ifood_data[[#All],[MntWines]])</f>
        <v>0</v>
      </c>
      <c r="F8" s="7">
        <f>COUNTBLANK(ifood_data[[#All],[MntFruits]])</f>
        <v>0</v>
      </c>
      <c r="G8" s="7">
        <f>COUNTBLANK(ifood_data[[#All],[MntMeatProducts]])</f>
        <v>0</v>
      </c>
      <c r="H8" s="7">
        <f>COUNTBLANK(ifood_data[[#All],[MntFishProducts]])</f>
        <v>0</v>
      </c>
      <c r="I8" s="7">
        <f>COUNTBLANK(ifood_data[[#All],[MntSweetProducts]])</f>
        <v>0</v>
      </c>
      <c r="J8" s="7">
        <f>COUNTBLANK(ifood_data[[#All],[MntGoldProds]])</f>
        <v>0</v>
      </c>
      <c r="K8" s="7">
        <f>COUNTBLANK(ifood_data[[#All],[NumDealsPurchases]])</f>
        <v>0</v>
      </c>
      <c r="L8" s="7">
        <f>COUNTBLANK(ifood_data[[#All],[NumWebPurchases]])</f>
        <v>0</v>
      </c>
      <c r="M8" s="7">
        <f>COUNTBLANK(ifood_data[[#All],[NumCatalogPurchases]])</f>
        <v>0</v>
      </c>
      <c r="N8" s="7">
        <f>COUNTBLANK(ifood_data[[#All],[NumStorePurchases]])</f>
        <v>0</v>
      </c>
      <c r="O8" s="7">
        <f>COUNTBLANK(ifood_data[[#All],[NumWebVisitsMonth]])</f>
        <v>0</v>
      </c>
      <c r="P8" s="7">
        <f>COUNTBLANK(ifood_data[[#All],[AcceptedCmp3]])</f>
        <v>0</v>
      </c>
      <c r="Q8" s="7">
        <f>COUNTBLANK(ifood_data[[#All],[AcceptedCmp4]])</f>
        <v>0</v>
      </c>
      <c r="R8" s="7">
        <f>COUNTBLANK(ifood_data[[#All],[AcceptedCmp5]])</f>
        <v>0</v>
      </c>
      <c r="S8" s="7">
        <f>COUNTBLANK(ifood_data[[#All],[AcceptedCmp1]])</f>
        <v>0</v>
      </c>
      <c r="T8" s="7">
        <f>COUNTBLANK(ifood_data[[#All],[AcceptedCmp2]])</f>
        <v>0</v>
      </c>
      <c r="U8" s="7">
        <f>COUNTBLANK(ifood_data[[#All],[Complain]])</f>
        <v>0</v>
      </c>
      <c r="V8" s="7">
        <f>COUNTBLANK(ifood_data[[#All],[Z_CostContact]])</f>
        <v>0</v>
      </c>
      <c r="W8" s="7">
        <f>COUNTBLANK(ifood_data[[#All],[Z_Revenue]])</f>
        <v>0</v>
      </c>
      <c r="X8" s="7">
        <f>COUNTBLANK(ifood_data[[#All],[Response]])</f>
        <v>0</v>
      </c>
      <c r="Y8" s="7">
        <f>COUNTBLANK(ifood_data[[#All],[Age]])</f>
        <v>0</v>
      </c>
      <c r="Z8" s="7">
        <f>COUNTBLANK(ifood_data[[#All],[Customer_Days]])</f>
        <v>0</v>
      </c>
      <c r="AA8" s="7">
        <f>COUNTBLANK(ifood_data[[#All],[marital_Divorced]])</f>
        <v>0</v>
      </c>
      <c r="AB8" s="7">
        <f>COUNTBLANK(ifood_data[[#All],[marital_Married]])</f>
        <v>0</v>
      </c>
      <c r="AC8" s="7">
        <f>COUNTBLANK(ifood_data[[#All],[marital_Single]])</f>
        <v>0</v>
      </c>
      <c r="AD8" s="7">
        <f>COUNTBLANK(ifood_data[[#All],[marital_Together]])</f>
        <v>0</v>
      </c>
      <c r="AE8" s="7">
        <f>COUNTBLANK(ifood_data[[#All],[marital_Widow]])</f>
        <v>0</v>
      </c>
      <c r="AF8" s="7">
        <f>COUNTBLANK(ifood_data[[#All],[education_2n Cycle]])</f>
        <v>0</v>
      </c>
      <c r="AG8" s="7">
        <f>COUNTBLANK(ifood_data[[#All],[education_Basic]])</f>
        <v>0</v>
      </c>
      <c r="AH8" s="7">
        <f>COUNTBLANK(ifood_data[[#All],[education_Graduation]])</f>
        <v>0</v>
      </c>
      <c r="AI8" s="7">
        <f>COUNTBLANK(ifood_data[[#All],[education_Master]])</f>
        <v>0</v>
      </c>
      <c r="AJ8" s="7">
        <f>COUNTBLANK(ifood_data[[#All],[education_PhD]])</f>
        <v>0</v>
      </c>
      <c r="AK8" s="7">
        <f>COUNTBLANK(ifood_data[[#All],[MntTotal]])</f>
        <v>0</v>
      </c>
      <c r="AL8" s="7">
        <f>COUNTBLANK(ifood_data[[#All],[MntRegularProds]])</f>
        <v>0</v>
      </c>
      <c r="AM8" s="7">
        <f>COUNTBLANK(ifood_data[[#All],[AcceptedCmpOverallSum]])</f>
        <v>0</v>
      </c>
      <c r="AN8" s="7" t="e">
        <f>COUNTBLANK(#REF!)</f>
        <v>#REF!</v>
      </c>
    </row>
    <row r="9" spans="1:40" x14ac:dyDescent="0.35">
      <c r="A9" s="13" t="s">
        <v>51</v>
      </c>
      <c r="B9" s="7" t="str">
        <f>IF(TYPE(ifood_data[Kidhome])=1,"Number",
(IF(TYPE(ifood_data[Kidhome])=2,"Text",
(IF(TYPE(ifood_data[Kidhome])=2,"Logical Value",
"Mixed Types")))))</f>
        <v>Number</v>
      </c>
      <c r="C9" s="7" t="str">
        <f>IF(TYPE(ifood_data[Kidhome])=1,"Number",
(IF(TYPE(ifood_data[Kidhome])=2,"Text",
(IF(TYPE(ifood_data[Kidhome])=2,"Logical Value",
"Mixed Types")))))</f>
        <v>Number</v>
      </c>
      <c r="D9" s="7" t="str">
        <f>IF(TYPE(ifood_data[Teenhome])=1,"Number",
(IF(TYPE(ifood_data[Teenhome])=2,"Text",
(IF(TYPE(ifood_data[Teenhome])=2,"Logical Value",
"Mixed Types")))))</f>
        <v>Number</v>
      </c>
      <c r="E9" s="7" t="str">
        <f>IF(TYPE(ifood_data[Teenhome])=1,"Number",
(IF(TYPE(ifood_data[Teenhome])=2,"Text",
(IF(TYPE(ifood_data[Teenhome])=2,"Logical Value",
"Mixed Types")))))</f>
        <v>Number</v>
      </c>
      <c r="F9" s="7" t="str">
        <f>IF(TYPE(ifood_data[Recency])=1,"Number",
(IF(TYPE(ifood_data[Recency])=2,"Text",
(IF(TYPE(ifood_data[Recency])=2,"Logical Value",
"Mixed Types")))))</f>
        <v>Number</v>
      </c>
      <c r="G9" s="7" t="str">
        <f>IF(TYPE(ifood_data[Recency])=1,"Number",
(IF(TYPE(ifood_data[Recency])=2,"Text",
(IF(TYPE(ifood_data[Recency])=2,"Logical Value",
"Mixed Types")))))</f>
        <v>Number</v>
      </c>
      <c r="H9" s="7" t="str">
        <f>IF(TYPE(ifood_data[MntWines])=1,"Number",
(IF(TYPE(ifood_data[MntWines])=2,"Text",
(IF(TYPE(ifood_data[MntWines])=2,"Logical Value",
"Mixed Types")))))</f>
        <v>Number</v>
      </c>
      <c r="I9" s="7" t="str">
        <f>IF(TYPE(ifood_data[MntWines])=1,"Number",
(IF(TYPE(ifood_data[MntWines])=2,"Text",
(IF(TYPE(ifood_data[MntWines])=2,"Logical Value",
"Mixed Types")))))</f>
        <v>Number</v>
      </c>
      <c r="J9" s="7" t="str">
        <f>IF(TYPE(ifood_data[MntFruits])=1,"Number",
(IF(TYPE(ifood_data[MntFruits])=2,"Text",
(IF(TYPE(ifood_data[MntFruits])=2,"Logical Value",
"Mixed Types")))))</f>
        <v>Number</v>
      </c>
      <c r="K9" s="7" t="str">
        <f>IF(TYPE(ifood_data[MntFruits])=1,"Number",
(IF(TYPE(ifood_data[MntFruits])=2,"Text",
(IF(TYPE(ifood_data[MntFruits])=2,"Logical Value",
"Mixed Types")))))</f>
        <v>Number</v>
      </c>
      <c r="L9" s="7" t="str">
        <f>IF(TYPE(ifood_data[MntMeatProducts])=1,"Number",
(IF(TYPE(ifood_data[MntMeatProducts])=2,"Text",
(IF(TYPE(ifood_data[MntMeatProducts])=2,"Logical Value",
"Mixed Types")))))</f>
        <v>Number</v>
      </c>
      <c r="M9" s="7" t="str">
        <f>IF(TYPE(ifood_data[MntMeatProducts])=1,"Number",
(IF(TYPE(ifood_data[MntMeatProducts])=2,"Text",
(IF(TYPE(ifood_data[MntMeatProducts])=2,"Logical Value",
"Mixed Types")))))</f>
        <v>Number</v>
      </c>
      <c r="N9" s="7" t="str">
        <f>IF(TYPE(ifood_data[MntFishProducts])=1,"Number",
(IF(TYPE(ifood_data[MntFishProducts])=2,"Text",
(IF(TYPE(ifood_data[MntFishProducts])=2,"Logical Value",
"Mixed Types")))))</f>
        <v>Number</v>
      </c>
      <c r="O9" s="7" t="str">
        <f>IF(TYPE(ifood_data[MntFishProducts])=1,"Number",
(IF(TYPE(ifood_data[MntFishProducts])=2,"Text",
(IF(TYPE(ifood_data[MntFishProducts])=2,"Logical Value",
"Mixed Types")))))</f>
        <v>Number</v>
      </c>
      <c r="P9" s="7" t="str">
        <f>IF(TYPE(ifood_data[MntSweetProducts])=1,"Number",
(IF(TYPE(ifood_data[MntSweetProducts])=2,"Text",
(IF(TYPE(ifood_data[MntSweetProducts])=2,"Logical Value",
"Mixed Types")))))</f>
        <v>Number</v>
      </c>
      <c r="Q9" s="7" t="str">
        <f>IF(TYPE(ifood_data[MntSweetProducts])=1,"Number",
(IF(TYPE(ifood_data[MntSweetProducts])=2,"Text",
(IF(TYPE(ifood_data[MntSweetProducts])=2,"Logical Value",
"Mixed Types")))))</f>
        <v>Number</v>
      </c>
      <c r="R9" s="7" t="str">
        <f>IF(TYPE(ifood_data[MntGoldProds])=1,"Number",
(IF(TYPE(ifood_data[MntGoldProds])=2,"Text",
(IF(TYPE(ifood_data[MntGoldProds])=2,"Logical Value",
"Mixed Types")))))</f>
        <v>Number</v>
      </c>
      <c r="S9" s="7" t="str">
        <f>IF(TYPE(ifood_data[MntGoldProds])=1,"Number",
(IF(TYPE(ifood_data[MntGoldProds])=2,"Text",
(IF(TYPE(ifood_data[MntGoldProds])=2,"Logical Value",
"Mixed Types")))))</f>
        <v>Number</v>
      </c>
      <c r="T9" s="7" t="str">
        <f>IF(TYPE(ifood_data[NumDealsPurchases])=1,"Number",
(IF(TYPE(ifood_data[NumDealsPurchases])=2,"Text",
(IF(TYPE(ifood_data[NumDealsPurchases])=2,"Logical Value",
"Mixed Types")))))</f>
        <v>Number</v>
      </c>
      <c r="U9" s="7" t="str">
        <f>IF(TYPE(ifood_data[NumDealsPurchases])=1,"Number",
(IF(TYPE(ifood_data[NumDealsPurchases])=2,"Text",
(IF(TYPE(ifood_data[NumDealsPurchases])=2,"Logical Value",
"Mixed Types")))))</f>
        <v>Number</v>
      </c>
      <c r="V9" s="7" t="str">
        <f>IF(TYPE(ifood_data[NumWebPurchases])=1,"Number",
(IF(TYPE(ifood_data[NumWebPurchases])=2,"Text",
(IF(TYPE(ifood_data[NumWebPurchases])=2,"Logical Value",
"Mixed Types")))))</f>
        <v>Number</v>
      </c>
      <c r="W9" s="7" t="str">
        <f>IF(TYPE(ifood_data[NumWebPurchases])=1,"Number",
(IF(TYPE(ifood_data[NumWebPurchases])=2,"Text",
(IF(TYPE(ifood_data[NumWebPurchases])=2,"Logical Value",
"Mixed Types")))))</f>
        <v>Number</v>
      </c>
      <c r="X9" s="7" t="str">
        <f>IF(TYPE(ifood_data[NumCatalogPurchases])=1,"Number",
(IF(TYPE(ifood_data[NumCatalogPurchases])=2,"Text",
(IF(TYPE(ifood_data[NumCatalogPurchases])=2,"Logical Value",
"Mixed Types")))))</f>
        <v>Number</v>
      </c>
      <c r="Y9" s="7" t="str">
        <f>IF(TYPE(ifood_data[NumCatalogPurchases])=1,"Number",
(IF(TYPE(ifood_data[NumCatalogPurchases])=2,"Text",
(IF(TYPE(ifood_data[NumCatalogPurchases])=2,"Logical Value",
"Mixed Types")))))</f>
        <v>Number</v>
      </c>
      <c r="Z9" s="7" t="str">
        <f>IF(TYPE(ifood_data[NumStorePurchases])=1,"Number",
(IF(TYPE(ifood_data[NumStorePurchases])=2,"Text",
(IF(TYPE(ifood_data[NumStorePurchases])=2,"Logical Value",
"Mixed Types")))))</f>
        <v>Number</v>
      </c>
      <c r="AA9" s="7" t="str">
        <f>IF(TYPE(ifood_data[NumStorePurchases])=1,"Number",
(IF(TYPE(ifood_data[NumStorePurchases])=2,"Text",
(IF(TYPE(ifood_data[NumStorePurchases])=2,"Logical Value",
"Mixed Types")))))</f>
        <v>Number</v>
      </c>
      <c r="AB9" s="7" t="str">
        <f>IF(TYPE(ifood_data[NumWebVisitsMonth])=1,"Number",
(IF(TYPE(ifood_data[NumWebVisitsMonth])=2,"Text",
(IF(TYPE(ifood_data[NumWebVisitsMonth])=2,"Logical Value",
"Mixed Types")))))</f>
        <v>Number</v>
      </c>
      <c r="AC9" s="7" t="str">
        <f>IF(TYPE(ifood_data[NumWebVisitsMonth])=1,"Number",
(IF(TYPE(ifood_data[NumWebVisitsMonth])=2,"Text",
(IF(TYPE(ifood_data[NumWebVisitsMonth])=2,"Logical Value",
"Mixed Types")))))</f>
        <v>Number</v>
      </c>
      <c r="AD9" s="7" t="str">
        <f>IF(TYPE(ifood_data[AcceptedCmp3])=1,"Number",
(IF(TYPE(ifood_data[AcceptedCmp3])=2,"Text",
(IF(TYPE(ifood_data[AcceptedCmp3])=2,"Logical Value",
"Mixed Types")))))</f>
        <v>Number</v>
      </c>
      <c r="AE9" s="7" t="str">
        <f>IF(TYPE(ifood_data[AcceptedCmp3])=1,"Number",
(IF(TYPE(ifood_data[AcceptedCmp3])=2,"Text",
(IF(TYPE(ifood_data[AcceptedCmp3])=2,"Logical Value",
"Mixed Types")))))</f>
        <v>Number</v>
      </c>
      <c r="AF9" s="7" t="str">
        <f>IF(TYPE(ifood_data[AcceptedCmp4])=1,"Number",
(IF(TYPE(ifood_data[AcceptedCmp4])=2,"Text",
(IF(TYPE(ifood_data[AcceptedCmp4])=2,"Logical Value",
"Mixed Types")))))</f>
        <v>Number</v>
      </c>
      <c r="AG9" s="7" t="str">
        <f>IF(TYPE(ifood_data[AcceptedCmp4])=1,"Number",
(IF(TYPE(ifood_data[AcceptedCmp4])=2,"Text",
(IF(TYPE(ifood_data[AcceptedCmp4])=2,"Logical Value",
"Mixed Types")))))</f>
        <v>Number</v>
      </c>
      <c r="AH9" s="7" t="str">
        <f>IF(TYPE(ifood_data[AcceptedCmp5])=1,"Number",
(IF(TYPE(ifood_data[AcceptedCmp5])=2,"Text",
(IF(TYPE(ifood_data[AcceptedCmp5])=2,"Logical Value",
"Mixed Types")))))</f>
        <v>Number</v>
      </c>
      <c r="AI9" s="7" t="str">
        <f>IF(TYPE(ifood_data[AcceptedCmp5])=1,"Number",
(IF(TYPE(ifood_data[AcceptedCmp5])=2,"Text",
(IF(TYPE(ifood_data[AcceptedCmp5])=2,"Logical Value",
"Mixed Types")))))</f>
        <v>Number</v>
      </c>
      <c r="AJ9" s="7" t="str">
        <f>IF(TYPE(ifood_data[AcceptedCmp1])=1,"Number",
(IF(TYPE(ifood_data[AcceptedCmp1])=2,"Text",
(IF(TYPE(ifood_data[AcceptedCmp1])=2,"Logical Value",
"Mixed Types")))))</f>
        <v>Number</v>
      </c>
      <c r="AK9" s="7" t="str">
        <f>IF(TYPE(ifood_data[AcceptedCmp1])=1,"Number",
(IF(TYPE(ifood_data[AcceptedCmp1])=2,"Text",
(IF(TYPE(ifood_data[AcceptedCmp1])=2,"Logical Value",
"Mixed Types")))))</f>
        <v>Number</v>
      </c>
      <c r="AL9" s="7" t="str">
        <f>IF(TYPE(ifood_data[AcceptedCmp2])=1,"Number",
(IF(TYPE(ifood_data[AcceptedCmp2])=2,"Text",
(IF(TYPE(ifood_data[AcceptedCmp2])=2,"Logical Value",
"Mixed Types")))))</f>
        <v>Number</v>
      </c>
      <c r="AM9" s="7" t="str">
        <f>IF(TYPE(ifood_data[AcceptedCmp2])=1,"Number",
(IF(TYPE(ifood_data[AcceptedCmp2])=2,"Text",
(IF(TYPE(ifood_data[AcceptedCmp2])=2,"Logical Value",
"Mixed Types")))))</f>
        <v>Number</v>
      </c>
      <c r="AN9" s="7" t="str">
        <f>IF(TYPE(ifood_data[Complain])=1,"Number",
(IF(TYPE(ifood_data[Complain])=2,"Text",
(IF(TYPE(ifood_data[Complain])=2,"Logical Value",
"Mixed Types")))))</f>
        <v>Number</v>
      </c>
    </row>
    <row r="10" spans="1:40" x14ac:dyDescent="0.35">
      <c r="A10" s="13" t="s">
        <v>52</v>
      </c>
      <c r="B10" s="7">
        <f>MAX(ifood_data[[#All],[Income]])</f>
        <v>113734</v>
      </c>
      <c r="C10" s="7">
        <f>MAX(ifood_data[[#All],[Kidhome]])</f>
        <v>2</v>
      </c>
      <c r="D10" s="7">
        <f>MAX(ifood_data[[#All],[Teenhome]])</f>
        <v>2</v>
      </c>
      <c r="E10" s="7">
        <f>MAX(ifood_data[[#All],[Recency]])</f>
        <v>99</v>
      </c>
      <c r="F10" s="7">
        <f>MAX(ifood_data[[#All],[MntWines]])</f>
        <v>1493</v>
      </c>
      <c r="G10" s="7">
        <f>MAX(ifood_data[[#All],[MntFruits]])</f>
        <v>199</v>
      </c>
      <c r="H10" s="7">
        <f>MAX(ifood_data[[#All],[MntMeatProducts]])</f>
        <v>1725</v>
      </c>
      <c r="I10" s="7">
        <f>MAX(ifood_data[[#All],[MntFishProducts]])</f>
        <v>259</v>
      </c>
      <c r="J10" s="7">
        <f>MAX(ifood_data[[#All],[MntSweetProducts]])</f>
        <v>262</v>
      </c>
      <c r="K10" s="7">
        <f>MAX(ifood_data[[#All],[MntGoldProds]])</f>
        <v>321</v>
      </c>
      <c r="L10" s="7">
        <f>MAX(ifood_data[[#All],[NumDealsPurchases]])</f>
        <v>15</v>
      </c>
      <c r="M10" s="7">
        <f>MAX(ifood_data[[#All],[NumWebPurchases]])</f>
        <v>27</v>
      </c>
      <c r="N10" s="7">
        <f>MAX(ifood_data[[#All],[NumCatalogPurchases]])</f>
        <v>28</v>
      </c>
      <c r="O10" s="7">
        <f>MAX(ifood_data[[#All],[NumStorePurchases]])</f>
        <v>13</v>
      </c>
      <c r="P10" s="7">
        <f>MAX(ifood_data[[#All],[NumWebVisitsMonth]])</f>
        <v>20</v>
      </c>
      <c r="Q10" s="7">
        <f>MAX(ifood_data[[#All],[AcceptedCmp3]])</f>
        <v>1</v>
      </c>
      <c r="R10" s="7">
        <f>MAX(ifood_data[[#All],[AcceptedCmp4]])</f>
        <v>1</v>
      </c>
      <c r="S10" s="7">
        <f>MAX(ifood_data[[#All],[AcceptedCmp5]])</f>
        <v>1</v>
      </c>
      <c r="T10" s="7">
        <f>MAX(ifood_data[[#All],[AcceptedCmp1]])</f>
        <v>1</v>
      </c>
      <c r="U10" s="7">
        <f>MAX(ifood_data[[#All],[AcceptedCmp2]])</f>
        <v>1</v>
      </c>
      <c r="V10" s="7">
        <f>MAX(ifood_data[[#All],[Complain]])</f>
        <v>1</v>
      </c>
      <c r="W10" s="7">
        <f>MAX(ifood_data[[#All],[Z_CostContact]])</f>
        <v>3</v>
      </c>
      <c r="X10" s="7">
        <f>MAX(ifood_data[[#All],[Z_Revenue]])</f>
        <v>11</v>
      </c>
      <c r="Y10" s="7">
        <f>MAX(ifood_data[[#All],[Response]])</f>
        <v>1</v>
      </c>
      <c r="Z10" s="7">
        <f>MAX(ifood_data[[#All],[Age]])</f>
        <v>80</v>
      </c>
      <c r="AA10" s="7">
        <f>MAX(ifood_data[[#All],[Customer_Days]])</f>
        <v>2858</v>
      </c>
      <c r="AB10" s="7">
        <f>MAX(ifood_data[[#All],[marital_Divorced]])</f>
        <v>1</v>
      </c>
      <c r="AC10" s="7">
        <f>MAX(ifood_data[[#All],[marital_Married]])</f>
        <v>1</v>
      </c>
      <c r="AD10" s="7">
        <f>MAX(ifood_data[[#All],[marital_Single]])</f>
        <v>1</v>
      </c>
      <c r="AE10" s="7">
        <f>MAX(ifood_data[[#All],[marital_Together]])</f>
        <v>1</v>
      </c>
      <c r="AF10" s="7">
        <f>MAX(ifood_data[[#All],[marital_Widow]])</f>
        <v>1</v>
      </c>
      <c r="AG10" s="7">
        <f>MAX(ifood_data[[#All],[education_2n Cycle]])</f>
        <v>1</v>
      </c>
      <c r="AH10" s="7">
        <f>MAX(ifood_data[[#All],[education_Basic]])</f>
        <v>1</v>
      </c>
      <c r="AI10" s="7">
        <f>MAX(ifood_data[[#All],[education_Graduation]])</f>
        <v>1</v>
      </c>
      <c r="AJ10" s="7">
        <f>MAX(ifood_data[[#All],[education_Master]])</f>
        <v>1</v>
      </c>
      <c r="AK10" s="7">
        <f>MAX(ifood_data[[#All],[education_PhD]])</f>
        <v>1</v>
      </c>
      <c r="AL10" s="7">
        <f>MAX(ifood_data[[#All],[MntTotal]])</f>
        <v>2491</v>
      </c>
      <c r="AM10" s="7">
        <f>MAX(ifood_data[[#All],[MntRegularProds]])</f>
        <v>2458</v>
      </c>
      <c r="AN10" s="7">
        <f>MAX(ifood_data[[#All],[AcceptedCmpOverallSum]])</f>
        <v>4</v>
      </c>
    </row>
    <row r="11" spans="1:40" x14ac:dyDescent="0.35">
      <c r="A11" s="13" t="s">
        <v>53</v>
      </c>
      <c r="B11" s="7">
        <f>MIN(ifood_data[[#All],[Income]])</f>
        <v>1730</v>
      </c>
      <c r="C11" s="7">
        <f>MIN(ifood_data[[#All],[Kidhome]])</f>
        <v>0</v>
      </c>
      <c r="D11" s="7">
        <f>MIN(ifood_data[[#All],[Teenhome]])</f>
        <v>0</v>
      </c>
      <c r="E11" s="7">
        <f>MIN(ifood_data[[#All],[Recency]])</f>
        <v>0</v>
      </c>
      <c r="F11" s="7">
        <f>MIN(ifood_data[[#All],[MntWines]])</f>
        <v>0</v>
      </c>
      <c r="G11" s="7">
        <f>MIN(ifood_data[[#All],[MntFruits]])</f>
        <v>0</v>
      </c>
      <c r="H11" s="7">
        <f>MIN(ifood_data[[#All],[MntMeatProducts]])</f>
        <v>0</v>
      </c>
      <c r="I11" s="7">
        <f>MIN(ifood_data[[#All],[MntFishProducts]])</f>
        <v>0</v>
      </c>
      <c r="J11" s="7">
        <f>MIN(ifood_data[[#All],[MntSweetProducts]])</f>
        <v>0</v>
      </c>
      <c r="K11" s="7">
        <f>MIN(ifood_data[[#All],[MntGoldProds]])</f>
        <v>0</v>
      </c>
      <c r="L11" s="7">
        <f>MIN(ifood_data[[#All],[NumDealsPurchases]])</f>
        <v>0</v>
      </c>
      <c r="M11" s="7">
        <f>MIN(ifood_data[[#All],[NumWebPurchases]])</f>
        <v>0</v>
      </c>
      <c r="N11" s="7">
        <f>MIN(ifood_data[[#All],[NumCatalogPurchases]])</f>
        <v>0</v>
      </c>
      <c r="O11" s="7">
        <f>MIN(ifood_data[[#All],[NumStorePurchases]])</f>
        <v>0</v>
      </c>
      <c r="P11" s="7">
        <f>MIN(ifood_data[[#All],[NumWebVisitsMonth]])</f>
        <v>0</v>
      </c>
      <c r="Q11" s="7">
        <f>MIN(ifood_data[[#All],[AcceptedCmp3]])</f>
        <v>0</v>
      </c>
      <c r="R11" s="7">
        <f>MIN(ifood_data[[#All],[AcceptedCmp4]])</f>
        <v>0</v>
      </c>
      <c r="S11" s="7">
        <f>MIN(ifood_data[[#All],[AcceptedCmp5]])</f>
        <v>0</v>
      </c>
      <c r="T11" s="7">
        <f>MIN(ifood_data[[#All],[AcceptedCmp1]])</f>
        <v>0</v>
      </c>
      <c r="U11" s="7">
        <f>MIN(ifood_data[[#All],[AcceptedCmp2]])</f>
        <v>0</v>
      </c>
      <c r="V11" s="7">
        <f>MIN(ifood_data[[#All],[Complain]])</f>
        <v>0</v>
      </c>
      <c r="W11" s="7">
        <f>MIN(ifood_data[[#All],[Z_CostContact]])</f>
        <v>3</v>
      </c>
      <c r="X11" s="7">
        <f>MIN(ifood_data[[#All],[Z_Revenue]])</f>
        <v>11</v>
      </c>
      <c r="Y11" s="7">
        <f>MIN(ifood_data[[#All],[Response]])</f>
        <v>0</v>
      </c>
      <c r="Z11" s="7">
        <f>MIN(ifood_data[[#All],[Age]])</f>
        <v>24</v>
      </c>
      <c r="AA11" s="7">
        <f>MIN(ifood_data[[#All],[Customer_Days]])</f>
        <v>2159</v>
      </c>
      <c r="AB11" s="7">
        <f>MIN(ifood_data[[#All],[marital_Divorced]])</f>
        <v>0</v>
      </c>
      <c r="AC11" s="7">
        <f>MIN(ifood_data[[#All],[marital_Married]])</f>
        <v>0</v>
      </c>
      <c r="AD11" s="7">
        <f>MIN(ifood_data[[#All],[marital_Single]])</f>
        <v>0</v>
      </c>
      <c r="AE11" s="7">
        <f>MIN(ifood_data[[#All],[marital_Together]])</f>
        <v>0</v>
      </c>
      <c r="AF11" s="7">
        <f>MIN(ifood_data[[#All],[marital_Widow]])</f>
        <v>0</v>
      </c>
      <c r="AG11" s="7">
        <f>MIN(ifood_data[[#All],[education_2n Cycle]])</f>
        <v>0</v>
      </c>
      <c r="AH11" s="7">
        <f>MIN(ifood_data[[#All],[education_Basic]])</f>
        <v>0</v>
      </c>
      <c r="AI11" s="7">
        <f>MIN(ifood_data[[#All],[education_Graduation]])</f>
        <v>0</v>
      </c>
      <c r="AJ11" s="7">
        <f>MIN(ifood_data[[#All],[education_Master]])</f>
        <v>0</v>
      </c>
      <c r="AK11" s="7">
        <f>MIN(ifood_data[[#All],[education_PhD]])</f>
        <v>0</v>
      </c>
      <c r="AL11" s="7">
        <f>MIN(ifood_data[[#All],[MntTotal]])</f>
        <v>4</v>
      </c>
      <c r="AM11" s="7">
        <f>MIN(ifood_data[[#All],[MntRegularProds]])</f>
        <v>-283</v>
      </c>
      <c r="AN11" s="7">
        <f>MIN(ifood_data[[#All],[AcceptedCmpOverallSum]])</f>
        <v>0</v>
      </c>
    </row>
    <row r="12" spans="1:40" x14ac:dyDescent="0.35">
      <c r="A12" s="13" t="s">
        <v>54</v>
      </c>
      <c r="B12" s="15">
        <f>_xlfn.STDEV.S(ifood_data[[#All],[Income]])</f>
        <v>20713.046400850606</v>
      </c>
      <c r="C12" s="15">
        <f>_xlfn.STDEV.S(ifood_data[[#All],[Kidhome]])</f>
        <v>0.53619626071957183</v>
      </c>
      <c r="D12" s="15">
        <f>_xlfn.STDEV.S(ifood_data[[#All],[Teenhome]])</f>
        <v>0.54639314653345106</v>
      </c>
      <c r="E12" s="15">
        <f>_xlfn.STDEV.S(ifood_data[[#All],[Recency]])</f>
        <v>28.950916650075275</v>
      </c>
      <c r="F12" s="15">
        <f>_xlfn.STDEV.S(ifood_data[[#All],[MntWines]])</f>
        <v>337.60387703295822</v>
      </c>
      <c r="G12" s="15">
        <f>_xlfn.STDEV.S(ifood_data[[#All],[MntFruits]])</f>
        <v>39.776518257711196</v>
      </c>
      <c r="H12" s="15">
        <f>_xlfn.STDEV.S(ifood_data[[#All],[MntMeatProducts]])</f>
        <v>219.86912596419867</v>
      </c>
      <c r="I12" s="15">
        <f>_xlfn.STDEV.S(ifood_data[[#All],[MntFishProducts]])</f>
        <v>54.89219647737864</v>
      </c>
      <c r="J12" s="15">
        <f>_xlfn.STDEV.S(ifood_data[[#All],[MntSweetProducts]])</f>
        <v>41.575453936023713</v>
      </c>
      <c r="K12" s="15">
        <f>_xlfn.STDEV.S(ifood_data[[#All],[MntGoldProds]])</f>
        <v>51.678210585855417</v>
      </c>
      <c r="L12" s="15">
        <f>_xlfn.STDEV.S(ifood_data[[#All],[NumDealsPurchases]])</f>
        <v>1.8927776876953497</v>
      </c>
      <c r="M12" s="15">
        <f>_xlfn.STDEV.S(ifood_data[[#All],[NumWebPurchases]])</f>
        <v>2.7535878984855189</v>
      </c>
      <c r="N12" s="15">
        <f>_xlfn.STDEV.S(ifood_data[[#All],[NumCatalogPurchases]])</f>
        <v>2.7991261346779228</v>
      </c>
      <c r="O12" s="15">
        <f>_xlfn.STDEV.S(ifood_data[[#All],[NumStorePurchases]])</f>
        <v>3.2304343024359099</v>
      </c>
      <c r="P12" s="15">
        <f>_xlfn.STDEV.S(ifood_data[[#All],[NumWebVisitsMonth]])</f>
        <v>2.4263188956090218</v>
      </c>
      <c r="Q12" s="15">
        <f>_xlfn.STDEV.S(ifood_data[[#All],[AcceptedCmp3]])</f>
        <v>0.26299678253993691</v>
      </c>
      <c r="R12" s="15">
        <f>_xlfn.STDEV.S(ifood_data[[#All],[AcceptedCmp4]])</f>
        <v>0.26617228158066414</v>
      </c>
      <c r="S12" s="15">
        <f>_xlfn.STDEV.S(ifood_data[[#All],[AcceptedCmp5]])</f>
        <v>0.25895137561576959</v>
      </c>
      <c r="T12" s="15">
        <f>_xlfn.STDEV.S(ifood_data[[#All],[AcceptedCmp1]])</f>
        <v>0.24800930423709669</v>
      </c>
      <c r="U12" s="15">
        <f>_xlfn.STDEV.S(ifood_data[[#All],[AcceptedCmp2]])</f>
        <v>0.11271955939697986</v>
      </c>
      <c r="V12" s="15">
        <f>_xlfn.STDEV.S(ifood_data[[#All],[Complain]])</f>
        <v>9.6527263774590991E-2</v>
      </c>
      <c r="W12" s="15">
        <f>_xlfn.STDEV.S(ifood_data[[#All],[Z_CostContact]])</f>
        <v>0</v>
      </c>
      <c r="X12" s="15">
        <f>_xlfn.STDEV.S(ifood_data[[#All],[Z_Revenue]])</f>
        <v>0</v>
      </c>
      <c r="Y12" s="15">
        <f>_xlfn.STDEV.S(ifood_data[[#All],[Response]])</f>
        <v>0.36092703035493562</v>
      </c>
      <c r="Z12" s="15">
        <f>_xlfn.STDEV.S(ifood_data[[#All],[Age]])</f>
        <v>11.667616335483146</v>
      </c>
      <c r="AA12" s="15">
        <f>_xlfn.STDEV.S(ifood_data[[#All],[Customer_Days]])</f>
        <v>202.54676200713422</v>
      </c>
      <c r="AB12" s="15">
        <f>_xlfn.STDEV.S(ifood_data[[#All],[marital_Divorced]])</f>
        <v>0.30777059311091259</v>
      </c>
      <c r="AC12" s="15">
        <f>_xlfn.STDEV.S(ifood_data[[#All],[marital_Married]])</f>
        <v>0.48751190126087002</v>
      </c>
      <c r="AD12" s="15">
        <f>_xlfn.STDEV.S(ifood_data[[#All],[marital_Single]])</f>
        <v>0.41380574999649888</v>
      </c>
      <c r="AE12" s="15">
        <f>_xlfn.STDEV.S(ifood_data[[#All],[marital_Together]])</f>
        <v>0.43418612939145468</v>
      </c>
      <c r="AF12" s="15">
        <f>_xlfn.STDEV.S(ifood_data[[#All],[marital_Widow]])</f>
        <v>0.18290215110359465</v>
      </c>
      <c r="AG12" s="15">
        <f>_xlfn.STDEV.S(ifood_data[[#All],[education_2n Cycle]])</f>
        <v>0.28703804069770927</v>
      </c>
      <c r="AH12" s="15">
        <f>_xlfn.STDEV.S(ifood_data[[#All],[education_Basic]])</f>
        <v>0.15384828303608117</v>
      </c>
      <c r="AI12" s="15">
        <f>_xlfn.STDEV.S(ifood_data[[#All],[education_Graduation]])</f>
        <v>0.50011878797249576</v>
      </c>
      <c r="AJ12" s="15">
        <f>_xlfn.STDEV.S(ifood_data[[#All],[education_Master]])</f>
        <v>0.37195666675719202</v>
      </c>
      <c r="AK12" s="15">
        <f>_xlfn.STDEV.S(ifood_data[[#All],[education_PhD]])</f>
        <v>0.41245508119973012</v>
      </c>
      <c r="AL12" s="15">
        <f>_xlfn.STDEV.S(ifood_data[[#All],[MntTotal]])</f>
        <v>576.77574884685134</v>
      </c>
      <c r="AM12" s="15">
        <f>_xlfn.STDEV.S(ifood_data[[#All],[MntRegularProds]])</f>
        <v>554.79785653374199</v>
      </c>
      <c r="AN12" s="15">
        <f>_xlfn.STDEV.S(ifood_data[[#All],[AcceptedCmpOverallSum]])</f>
        <v>0.6808116406054483</v>
      </c>
    </row>
    <row r="13" spans="1:40" x14ac:dyDescent="0.35">
      <c r="A13" s="13" t="s">
        <v>55</v>
      </c>
      <c r="B13" s="15">
        <f>AVERAGE(ifood_data[[#All],[Income]])</f>
        <v>51687.258782780802</v>
      </c>
      <c r="C13" s="15">
        <f>AVERAGE(ifood_data[[#All],[Kidhome]])</f>
        <v>0.4433448787728847</v>
      </c>
      <c r="D13" s="15">
        <f>AVERAGE(ifood_data[[#All],[Teenhome]])</f>
        <v>0.50964868876793668</v>
      </c>
      <c r="E13" s="15">
        <f>AVERAGE(ifood_data[[#All],[Recency]])</f>
        <v>48.880752102919345</v>
      </c>
      <c r="F13" s="15">
        <f>AVERAGE(ifood_data[[#All],[MntWines]])</f>
        <v>306.49233052944089</v>
      </c>
      <c r="G13" s="15">
        <f>AVERAGE(ifood_data[[#All],[MntFruits]])</f>
        <v>26.364670954972787</v>
      </c>
      <c r="H13" s="15">
        <f>AVERAGE(ifood_data[[#All],[MntMeatProducts]])</f>
        <v>166.05987135081642</v>
      </c>
      <c r="I13" s="15">
        <f>AVERAGE(ifood_data[[#All],[MntFishProducts]])</f>
        <v>37.603661553686294</v>
      </c>
      <c r="J13" s="15">
        <f>AVERAGE(ifood_data[[#All],[MntSweetProducts]])</f>
        <v>27.268678871845619</v>
      </c>
      <c r="K13" s="15">
        <f>AVERAGE(ifood_data[[#All],[MntGoldProds]])</f>
        <v>43.921820880752101</v>
      </c>
      <c r="L13" s="15">
        <f>AVERAGE(ifood_data[[#All],[NumDealsPurchases]])</f>
        <v>2.3300346363186542</v>
      </c>
      <c r="M13" s="15">
        <f>AVERAGE(ifood_data[[#All],[NumWebPurchases]])</f>
        <v>4.1152894606630381</v>
      </c>
      <c r="N13" s="15">
        <f>AVERAGE(ifood_data[[#All],[NumCatalogPurchases]])</f>
        <v>2.64473033151905</v>
      </c>
      <c r="O13" s="15">
        <f>AVERAGE(ifood_data[[#All],[NumStorePurchases]])</f>
        <v>5.8075210291934685</v>
      </c>
      <c r="P13" s="15">
        <f>AVERAGE(ifood_data[[#All],[NumWebVisitsMonth]])</f>
        <v>5.3404255319148932</v>
      </c>
      <c r="Q13" s="15">
        <f>AVERAGE(ifood_data[[#All],[AcceptedCmp3]])</f>
        <v>7.4715487382483917E-2</v>
      </c>
      <c r="R13" s="15">
        <f>AVERAGE(ifood_data[[#All],[AcceptedCmp4]])</f>
        <v>7.6694705591291434E-2</v>
      </c>
      <c r="S13" s="15">
        <f>AVERAGE(ifood_data[[#All],[AcceptedCmp5]])</f>
        <v>7.2241464621474516E-2</v>
      </c>
      <c r="T13" s="15">
        <f>AVERAGE(ifood_data[[#All],[AcceptedCmp1]])</f>
        <v>6.580900544285008E-2</v>
      </c>
      <c r="U13" s="15">
        <f>AVERAGE(ifood_data[[#All],[AcceptedCmp2]])</f>
        <v>1.2864918357248886E-2</v>
      </c>
      <c r="V13" s="15">
        <f>AVERAGE(ifood_data[[#All],[Complain]])</f>
        <v>9.4012864918357249E-3</v>
      </c>
      <c r="W13" s="15">
        <f>AVERAGE(ifood_data[[#All],[Z_CostContact]])</f>
        <v>3</v>
      </c>
      <c r="X13" s="15">
        <f>AVERAGE(ifood_data[[#All],[Z_Revenue]])</f>
        <v>11</v>
      </c>
      <c r="Y13" s="15">
        <f>AVERAGE(ifood_data[[#All],[Response]])</f>
        <v>0.15388421573478475</v>
      </c>
      <c r="Z13" s="15">
        <f>AVERAGE(ifood_data[[#All],[Age]])</f>
        <v>51.117268678871845</v>
      </c>
      <c r="AA13" s="15">
        <f>AVERAGE(ifood_data[[#All],[Customer_Days]])</f>
        <v>2511.6130628401779</v>
      </c>
      <c r="AB13" s="15">
        <f>AVERAGE(ifood_data[[#All],[marital_Divorced]])</f>
        <v>0.10588817417120237</v>
      </c>
      <c r="AC13" s="15">
        <f>AVERAGE(ifood_data[[#All],[marital_Married]])</f>
        <v>0.388421573478476</v>
      </c>
      <c r="AD13" s="15">
        <f>AVERAGE(ifood_data[[#All],[marital_Single]])</f>
        <v>0.21919841662543296</v>
      </c>
      <c r="AE13" s="15">
        <f>AVERAGE(ifood_data[[#All],[marital_Together]])</f>
        <v>0.25185551707075704</v>
      </c>
      <c r="AF13" s="15">
        <f>AVERAGE(ifood_data[[#All],[marital_Widow]])</f>
        <v>3.4636318654131616E-2</v>
      </c>
      <c r="AG13" s="15">
        <f>AVERAGE(ifood_data[[#All],[education_2n Cycle]])</f>
        <v>9.0549233052944086E-2</v>
      </c>
      <c r="AH13" s="15">
        <f>AVERAGE(ifood_data[[#All],[education_Basic]])</f>
        <v>2.4245423057892134E-2</v>
      </c>
      <c r="AI13" s="15">
        <f>AVERAGE(ifood_data[[#All],[education_Graduation]])</f>
        <v>0.50222662048490851</v>
      </c>
      <c r="AJ13" s="15">
        <f>AVERAGE(ifood_data[[#All],[education_Master]])</f>
        <v>0.16575952498762989</v>
      </c>
      <c r="AK13" s="15">
        <f>AVERAGE(ifood_data[[#All],[education_PhD]])</f>
        <v>0.21721919841662543</v>
      </c>
      <c r="AL13" s="15">
        <f>AVERAGE(ifood_data[[#All],[MntTotal]])</f>
        <v>563.78921326076204</v>
      </c>
      <c r="AM13" s="15">
        <f>AVERAGE(ifood_data[[#All],[MntRegularProds]])</f>
        <v>519.86739238000985</v>
      </c>
      <c r="AN13" s="15">
        <f>AVERAGE(ifood_data[[#All],[AcceptedCmpOverallSum]])</f>
        <v>0.30232558139534882</v>
      </c>
    </row>
    <row r="14" spans="1:40" x14ac:dyDescent="0.35">
      <c r="A14" s="13" t="s">
        <v>58</v>
      </c>
      <c r="B14" s="7">
        <f>_xlfn.QUARTILE.INC(ifood_data[[#All],[Income]],1)</f>
        <v>35416</v>
      </c>
      <c r="C14" s="7">
        <f>_xlfn.QUARTILE.INC(ifood_data[[#All],[Kidhome]],1)</f>
        <v>0</v>
      </c>
      <c r="D14" s="7">
        <f>_xlfn.QUARTILE.INC(ifood_data[[#All],[Teenhome]],1)</f>
        <v>0</v>
      </c>
      <c r="E14" s="7">
        <f>_xlfn.QUARTILE.INC(ifood_data[[#All],[Recency]],1)</f>
        <v>24</v>
      </c>
      <c r="F14" s="7">
        <f>_xlfn.QUARTILE.INC(ifood_data[[#All],[MntWines]],1)</f>
        <v>24</v>
      </c>
      <c r="G14" s="7">
        <f>_xlfn.QUARTILE.INC(ifood_data[[#All],[MntFruits]],1)</f>
        <v>2</v>
      </c>
      <c r="H14" s="7">
        <f>_xlfn.QUARTILE.INC(ifood_data[[#All],[MntMeatProducts]],1)</f>
        <v>16</v>
      </c>
      <c r="I14" s="7">
        <f>_xlfn.QUARTILE.INC(ifood_data[[#All],[MntFishProducts]],1)</f>
        <v>3</v>
      </c>
      <c r="J14" s="7">
        <f>_xlfn.QUARTILE.INC(ifood_data[[#All],[MntSweetProducts]],1)</f>
        <v>1</v>
      </c>
      <c r="K14" s="7">
        <f>_xlfn.QUARTILE.INC(ifood_data[[#All],[MntGoldProds]],1)</f>
        <v>9</v>
      </c>
      <c r="L14" s="7">
        <f>_xlfn.QUARTILE.INC(ifood_data[[#All],[NumDealsPurchases]],1)</f>
        <v>1</v>
      </c>
      <c r="M14" s="7">
        <f>_xlfn.QUARTILE.INC(ifood_data[[#All],[NumWebPurchases]],1)</f>
        <v>2</v>
      </c>
      <c r="N14" s="7">
        <f>_xlfn.QUARTILE.INC(ifood_data[[#All],[NumCatalogPurchases]],1)</f>
        <v>0</v>
      </c>
      <c r="O14" s="7">
        <f>_xlfn.QUARTILE.INC(ifood_data[[#All],[NumStorePurchases]],1)</f>
        <v>3</v>
      </c>
      <c r="P14" s="7">
        <f>_xlfn.QUARTILE.INC(ifood_data[[#All],[NumWebVisitsMonth]],1)</f>
        <v>3</v>
      </c>
      <c r="Q14" s="7">
        <f>_xlfn.QUARTILE.INC(ifood_data[[#All],[AcceptedCmp3]],1)</f>
        <v>0</v>
      </c>
      <c r="R14" s="7">
        <f>_xlfn.QUARTILE.INC(ifood_data[[#All],[AcceptedCmp4]],1)</f>
        <v>0</v>
      </c>
      <c r="S14" s="7">
        <f>_xlfn.QUARTILE.INC(ifood_data[[#All],[AcceptedCmp5]],1)</f>
        <v>0</v>
      </c>
      <c r="T14" s="7">
        <f>_xlfn.QUARTILE.INC(ifood_data[[#All],[AcceptedCmp1]],1)</f>
        <v>0</v>
      </c>
      <c r="U14" s="7">
        <f>_xlfn.QUARTILE.INC(ifood_data[[#All],[AcceptedCmp2]],1)</f>
        <v>0</v>
      </c>
      <c r="V14" s="7">
        <f>_xlfn.QUARTILE.INC(ifood_data[[#All],[Complain]],1)</f>
        <v>0</v>
      </c>
      <c r="W14" s="7">
        <f>_xlfn.QUARTILE.INC(ifood_data[[#All],[Z_CostContact]],1)</f>
        <v>3</v>
      </c>
      <c r="X14" s="7">
        <f>_xlfn.QUARTILE.INC(ifood_data[[#All],[Z_Revenue]],1)</f>
        <v>11</v>
      </c>
      <c r="Y14" s="7">
        <f>_xlfn.QUARTILE.INC(ifood_data[[#All],[Response]],1)</f>
        <v>0</v>
      </c>
      <c r="Z14" s="7">
        <f>_xlfn.QUARTILE.INC(ifood_data[[#All],[Age]],1)</f>
        <v>43</v>
      </c>
      <c r="AA14" s="7">
        <f>_xlfn.QUARTILE.INC(ifood_data[[#All],[Customer_Days]],1)</f>
        <v>2337</v>
      </c>
      <c r="AB14" s="7">
        <f>_xlfn.QUARTILE.INC(ifood_data[[#All],[marital_Divorced]],1)</f>
        <v>0</v>
      </c>
      <c r="AC14" s="7">
        <f>_xlfn.QUARTILE.INC(ifood_data[[#All],[marital_Married]],1)</f>
        <v>0</v>
      </c>
      <c r="AD14" s="7">
        <f>_xlfn.QUARTILE.INC(ifood_data[[#All],[marital_Single]],1)</f>
        <v>0</v>
      </c>
      <c r="AE14" s="7">
        <f>_xlfn.QUARTILE.INC(ifood_data[[#All],[marital_Together]],1)</f>
        <v>0</v>
      </c>
      <c r="AF14" s="7">
        <f>_xlfn.QUARTILE.INC(ifood_data[[#All],[marital_Widow]],1)</f>
        <v>0</v>
      </c>
      <c r="AG14" s="7">
        <f>_xlfn.QUARTILE.INC(ifood_data[[#All],[education_2n Cycle]],1)</f>
        <v>0</v>
      </c>
      <c r="AH14" s="7">
        <f>_xlfn.QUARTILE.INC(ifood_data[[#All],[education_Basic]],1)</f>
        <v>0</v>
      </c>
      <c r="AI14" s="7">
        <f>_xlfn.QUARTILE.INC(ifood_data[[#All],[education_Graduation]],1)</f>
        <v>0</v>
      </c>
      <c r="AJ14" s="7">
        <f>_xlfn.QUARTILE.INC(ifood_data[[#All],[education_Master]],1)</f>
        <v>0</v>
      </c>
      <c r="AK14" s="7">
        <f>_xlfn.QUARTILE.INC(ifood_data[[#All],[education_PhD]],1)</f>
        <v>0</v>
      </c>
      <c r="AL14" s="7">
        <f>_xlfn.QUARTILE.INC(ifood_data[[#All],[MntTotal]],1)</f>
        <v>55</v>
      </c>
      <c r="AM14" s="7">
        <f>_xlfn.QUARTILE.INC(ifood_data[[#All],[MntRegularProds]],1)</f>
        <v>42</v>
      </c>
      <c r="AN14" s="7">
        <f>_xlfn.QUARTILE.INC(ifood_data[[#All],[AcceptedCmpOverallSum]],1)</f>
        <v>0</v>
      </c>
    </row>
    <row r="15" spans="1:40" x14ac:dyDescent="0.35">
      <c r="A15" s="13" t="s">
        <v>56</v>
      </c>
      <c r="B15" s="7">
        <f>_xlfn.QUARTILE.INC(ifood_data[[#All],[Income]],2)</f>
        <v>51412</v>
      </c>
      <c r="C15" s="7">
        <f>_xlfn.QUARTILE.INC(ifood_data[[#All],[Kidhome]],2)</f>
        <v>0</v>
      </c>
      <c r="D15" s="7">
        <f>_xlfn.QUARTILE.INC(ifood_data[[#All],[Teenhome]],2)</f>
        <v>0</v>
      </c>
      <c r="E15" s="7">
        <f>_xlfn.QUARTILE.INC(ifood_data[[#All],[Recency]],2)</f>
        <v>49</v>
      </c>
      <c r="F15" s="7">
        <f>_xlfn.QUARTILE.INC(ifood_data[[#All],[MntWines]],2)</f>
        <v>178</v>
      </c>
      <c r="G15" s="7">
        <f>_xlfn.QUARTILE.INC(ifood_data[[#All],[MntFruits]],2)</f>
        <v>8</v>
      </c>
      <c r="H15" s="7">
        <f>_xlfn.QUARTILE.INC(ifood_data[[#All],[MntMeatProducts]],2)</f>
        <v>68</v>
      </c>
      <c r="I15" s="7">
        <f>_xlfn.QUARTILE.INC(ifood_data[[#All],[MntFishProducts]],2)</f>
        <v>12</v>
      </c>
      <c r="J15" s="7">
        <f>_xlfn.QUARTILE.INC(ifood_data[[#All],[MntSweetProducts]],2)</f>
        <v>8</v>
      </c>
      <c r="K15" s="7">
        <f>_xlfn.QUARTILE.INC(ifood_data[[#All],[MntGoldProds]],2)</f>
        <v>25</v>
      </c>
      <c r="L15" s="7">
        <f>_xlfn.QUARTILE.INC(ifood_data[[#All],[NumDealsPurchases]],2)</f>
        <v>2</v>
      </c>
      <c r="M15" s="7">
        <f>_xlfn.QUARTILE.INC(ifood_data[[#All],[NumWebPurchases]],2)</f>
        <v>4</v>
      </c>
      <c r="N15" s="7">
        <f>_xlfn.QUARTILE.INC(ifood_data[[#All],[NumCatalogPurchases]],2)</f>
        <v>2</v>
      </c>
      <c r="O15" s="7">
        <f>_xlfn.QUARTILE.INC(ifood_data[[#All],[NumStorePurchases]],2)</f>
        <v>5</v>
      </c>
      <c r="P15" s="7">
        <f>_xlfn.QUARTILE.INC(ifood_data[[#All],[NumWebVisitsMonth]],2)</f>
        <v>6</v>
      </c>
      <c r="Q15" s="7">
        <f>_xlfn.QUARTILE.INC(ifood_data[[#All],[AcceptedCmp3]],2)</f>
        <v>0</v>
      </c>
      <c r="R15" s="7">
        <f>_xlfn.QUARTILE.INC(ifood_data[[#All],[AcceptedCmp4]],2)</f>
        <v>0</v>
      </c>
      <c r="S15" s="7">
        <f>_xlfn.QUARTILE.INC(ifood_data[[#All],[AcceptedCmp5]],2)</f>
        <v>0</v>
      </c>
      <c r="T15" s="7">
        <f>_xlfn.QUARTILE.INC(ifood_data[[#All],[AcceptedCmp1]],2)</f>
        <v>0</v>
      </c>
      <c r="U15" s="7">
        <f>_xlfn.QUARTILE.INC(ifood_data[[#All],[AcceptedCmp2]],2)</f>
        <v>0</v>
      </c>
      <c r="V15" s="7">
        <f>_xlfn.QUARTILE.INC(ifood_data[[#All],[Complain]],2)</f>
        <v>0</v>
      </c>
      <c r="W15" s="7">
        <f>_xlfn.QUARTILE.INC(ifood_data[[#All],[Z_CostContact]],2)</f>
        <v>3</v>
      </c>
      <c r="X15" s="7">
        <f>_xlfn.QUARTILE.INC(ifood_data[[#All],[Z_Revenue]],2)</f>
        <v>11</v>
      </c>
      <c r="Y15" s="7">
        <f>_xlfn.QUARTILE.INC(ifood_data[[#All],[Response]],2)</f>
        <v>0</v>
      </c>
      <c r="Z15" s="7">
        <f>_xlfn.QUARTILE.INC(ifood_data[[#All],[Age]],2)</f>
        <v>50</v>
      </c>
      <c r="AA15" s="7">
        <f>_xlfn.QUARTILE.INC(ifood_data[[#All],[Customer_Days]],2)</f>
        <v>2511</v>
      </c>
      <c r="AB15" s="7">
        <f>_xlfn.QUARTILE.INC(ifood_data[[#All],[marital_Divorced]],2)</f>
        <v>0</v>
      </c>
      <c r="AC15" s="7">
        <f>_xlfn.QUARTILE.INC(ifood_data[[#All],[marital_Married]],2)</f>
        <v>0</v>
      </c>
      <c r="AD15" s="7">
        <f>_xlfn.QUARTILE.INC(ifood_data[[#All],[marital_Single]],2)</f>
        <v>0</v>
      </c>
      <c r="AE15" s="7">
        <f>_xlfn.QUARTILE.INC(ifood_data[[#All],[marital_Together]],2)</f>
        <v>0</v>
      </c>
      <c r="AF15" s="7">
        <f>_xlfn.QUARTILE.INC(ifood_data[[#All],[marital_Widow]],2)</f>
        <v>0</v>
      </c>
      <c r="AG15" s="7">
        <f>_xlfn.QUARTILE.INC(ifood_data[[#All],[education_2n Cycle]],2)</f>
        <v>0</v>
      </c>
      <c r="AH15" s="7">
        <f>_xlfn.QUARTILE.INC(ifood_data[[#All],[education_Basic]],2)</f>
        <v>0</v>
      </c>
      <c r="AI15" s="7">
        <f>_xlfn.QUARTILE.INC(ifood_data[[#All],[education_Graduation]],2)</f>
        <v>1</v>
      </c>
      <c r="AJ15" s="7">
        <f>_xlfn.QUARTILE.INC(ifood_data[[#All],[education_Master]],2)</f>
        <v>0</v>
      </c>
      <c r="AK15" s="7">
        <f>_xlfn.QUARTILE.INC(ifood_data[[#All],[education_PhD]],2)</f>
        <v>0</v>
      </c>
      <c r="AL15" s="7">
        <f>_xlfn.QUARTILE.INC(ifood_data[[#All],[MntTotal]],2)</f>
        <v>343</v>
      </c>
      <c r="AM15" s="7">
        <f>_xlfn.QUARTILE.INC(ifood_data[[#All],[MntRegularProds]],2)</f>
        <v>288</v>
      </c>
      <c r="AN15" s="7">
        <f>_xlfn.QUARTILE.INC(ifood_data[[#All],[AcceptedCmpOverallSum]],2)</f>
        <v>0</v>
      </c>
    </row>
    <row r="16" spans="1:40" x14ac:dyDescent="0.35">
      <c r="A16" s="13" t="s">
        <v>59</v>
      </c>
      <c r="B16" s="7">
        <f>_xlfn.QUARTILE.INC(ifood_data[[#All],[Income]],3)</f>
        <v>68274</v>
      </c>
      <c r="C16" s="7">
        <f>_xlfn.QUARTILE.INC(ifood_data[[#All],[Kidhome]],3)</f>
        <v>1</v>
      </c>
      <c r="D16" s="7">
        <f>_xlfn.QUARTILE.INC(ifood_data[[#All],[Teenhome]],3)</f>
        <v>1</v>
      </c>
      <c r="E16" s="7">
        <f>_xlfn.QUARTILE.INC(ifood_data[[#All],[Recency]],3)</f>
        <v>74</v>
      </c>
      <c r="F16" s="7">
        <f>_xlfn.QUARTILE.INC(ifood_data[[#All],[MntWines]],3)</f>
        <v>507</v>
      </c>
      <c r="G16" s="7">
        <f>_xlfn.QUARTILE.INC(ifood_data[[#All],[MntFruits]],3)</f>
        <v>33</v>
      </c>
      <c r="H16" s="7">
        <f>_xlfn.QUARTILE.INC(ifood_data[[#All],[MntMeatProducts]],3)</f>
        <v>230</v>
      </c>
      <c r="I16" s="7">
        <f>_xlfn.QUARTILE.INC(ifood_data[[#All],[MntFishProducts]],3)</f>
        <v>50</v>
      </c>
      <c r="J16" s="7">
        <f>_xlfn.QUARTILE.INC(ifood_data[[#All],[MntSweetProducts]],3)</f>
        <v>34</v>
      </c>
      <c r="K16" s="7">
        <f>_xlfn.QUARTILE.INC(ifood_data[[#All],[MntGoldProds]],3)</f>
        <v>56</v>
      </c>
      <c r="L16" s="7">
        <f>_xlfn.QUARTILE.INC(ifood_data[[#All],[NumDealsPurchases]],3)</f>
        <v>3</v>
      </c>
      <c r="M16" s="7">
        <f>_xlfn.QUARTILE.INC(ifood_data[[#All],[NumWebPurchases]],3)</f>
        <v>6</v>
      </c>
      <c r="N16" s="7">
        <f>_xlfn.QUARTILE.INC(ifood_data[[#All],[NumCatalogPurchases]],3)</f>
        <v>4</v>
      </c>
      <c r="O16" s="7">
        <f>_xlfn.QUARTILE.INC(ifood_data[[#All],[NumStorePurchases]],3)</f>
        <v>8</v>
      </c>
      <c r="P16" s="7">
        <f>_xlfn.QUARTILE.INC(ifood_data[[#All],[NumWebVisitsMonth]],3)</f>
        <v>7</v>
      </c>
      <c r="Q16" s="7">
        <f>_xlfn.QUARTILE.INC(ifood_data[[#All],[AcceptedCmp3]],3)</f>
        <v>0</v>
      </c>
      <c r="R16" s="7">
        <f>_xlfn.QUARTILE.INC(ifood_data[[#All],[AcceptedCmp4]],3)</f>
        <v>0</v>
      </c>
      <c r="S16" s="7">
        <f>_xlfn.QUARTILE.INC(ifood_data[[#All],[AcceptedCmp5]],3)</f>
        <v>0</v>
      </c>
      <c r="T16" s="7">
        <f>_xlfn.QUARTILE.INC(ifood_data[[#All],[AcceptedCmp1]],3)</f>
        <v>0</v>
      </c>
      <c r="U16" s="7">
        <f>_xlfn.QUARTILE.INC(ifood_data[[#All],[AcceptedCmp2]],3)</f>
        <v>0</v>
      </c>
      <c r="V16" s="7">
        <f>_xlfn.QUARTILE.INC(ifood_data[[#All],[Complain]],3)</f>
        <v>0</v>
      </c>
      <c r="W16" s="7">
        <f>_xlfn.QUARTILE.INC(ifood_data[[#All],[Z_CostContact]],3)</f>
        <v>3</v>
      </c>
      <c r="X16" s="7">
        <f>_xlfn.QUARTILE.INC(ifood_data[[#All],[Z_Revenue]],3)</f>
        <v>11</v>
      </c>
      <c r="Y16" s="7">
        <f>_xlfn.QUARTILE.INC(ifood_data[[#All],[Response]],3)</f>
        <v>0</v>
      </c>
      <c r="Z16" s="7">
        <f>_xlfn.QUARTILE.INC(ifood_data[[#All],[Age]],3)</f>
        <v>61</v>
      </c>
      <c r="AA16" s="7">
        <f>_xlfn.QUARTILE.INC(ifood_data[[#All],[Customer_Days]],3)</f>
        <v>2688</v>
      </c>
      <c r="AB16" s="7">
        <f>_xlfn.QUARTILE.INC(ifood_data[[#All],[marital_Divorced]],3)</f>
        <v>0</v>
      </c>
      <c r="AC16" s="7">
        <f>_xlfn.QUARTILE.INC(ifood_data[[#All],[marital_Married]],3)</f>
        <v>1</v>
      </c>
      <c r="AD16" s="7">
        <f>_xlfn.QUARTILE.INC(ifood_data[[#All],[marital_Single]],3)</f>
        <v>0</v>
      </c>
      <c r="AE16" s="7">
        <f>_xlfn.QUARTILE.INC(ifood_data[[#All],[marital_Together]],3)</f>
        <v>1</v>
      </c>
      <c r="AF16" s="7">
        <f>_xlfn.QUARTILE.INC(ifood_data[[#All],[marital_Widow]],3)</f>
        <v>0</v>
      </c>
      <c r="AG16" s="7">
        <f>_xlfn.QUARTILE.INC(ifood_data[[#All],[education_2n Cycle]],3)</f>
        <v>0</v>
      </c>
      <c r="AH16" s="7">
        <f>_xlfn.QUARTILE.INC(ifood_data[[#All],[education_Basic]],3)</f>
        <v>0</v>
      </c>
      <c r="AI16" s="7">
        <f>_xlfn.QUARTILE.INC(ifood_data[[#All],[education_Graduation]],3)</f>
        <v>1</v>
      </c>
      <c r="AJ16" s="7">
        <f>_xlfn.QUARTILE.INC(ifood_data[[#All],[education_Master]],3)</f>
        <v>0</v>
      </c>
      <c r="AK16" s="7">
        <f>_xlfn.QUARTILE.INC(ifood_data[[#All],[education_PhD]],3)</f>
        <v>0</v>
      </c>
      <c r="AL16" s="7">
        <f>_xlfn.QUARTILE.INC(ifood_data[[#All],[MntTotal]],3)</f>
        <v>964</v>
      </c>
      <c r="AM16" s="7">
        <f>_xlfn.QUARTILE.INC(ifood_data[[#All],[MntRegularProds]],3)</f>
        <v>883</v>
      </c>
      <c r="AN16" s="7">
        <f>_xlfn.QUARTILE.INC(ifood_data[[#All],[AcceptedCmpOverallSum]],3)</f>
        <v>0</v>
      </c>
    </row>
    <row r="17" spans="1:40" ht="29" x14ac:dyDescent="0.35">
      <c r="A17" s="13" t="s">
        <v>61</v>
      </c>
      <c r="B17" s="7">
        <f>B14-1.5*(B16-B14)</f>
        <v>-13871</v>
      </c>
      <c r="C17" s="7">
        <f t="shared" ref="C17:AN17" si="0">C14-1.5*(C16-C14)</f>
        <v>-1.5</v>
      </c>
      <c r="D17" s="7">
        <f t="shared" si="0"/>
        <v>-1.5</v>
      </c>
      <c r="E17" s="7">
        <f t="shared" si="0"/>
        <v>-51</v>
      </c>
      <c r="F17" s="7">
        <f t="shared" si="0"/>
        <v>-700.5</v>
      </c>
      <c r="G17" s="7">
        <f t="shared" si="0"/>
        <v>-44.5</v>
      </c>
      <c r="H17" s="7">
        <f t="shared" si="0"/>
        <v>-305</v>
      </c>
      <c r="I17" s="7">
        <f t="shared" si="0"/>
        <v>-67.5</v>
      </c>
      <c r="J17" s="7">
        <f t="shared" si="0"/>
        <v>-48.5</v>
      </c>
      <c r="K17" s="7">
        <f t="shared" si="0"/>
        <v>-61.5</v>
      </c>
      <c r="L17" s="7">
        <f t="shared" si="0"/>
        <v>-2</v>
      </c>
      <c r="M17" s="7">
        <f t="shared" si="0"/>
        <v>-4</v>
      </c>
      <c r="N17" s="7">
        <f t="shared" si="0"/>
        <v>-6</v>
      </c>
      <c r="O17" s="7">
        <f t="shared" si="0"/>
        <v>-4.5</v>
      </c>
      <c r="P17" s="7">
        <f t="shared" si="0"/>
        <v>-3</v>
      </c>
      <c r="Q17" s="7">
        <f t="shared" si="0"/>
        <v>0</v>
      </c>
      <c r="R17" s="7">
        <f t="shared" si="0"/>
        <v>0</v>
      </c>
      <c r="S17" s="7">
        <f t="shared" si="0"/>
        <v>0</v>
      </c>
      <c r="T17" s="7">
        <f t="shared" si="0"/>
        <v>0</v>
      </c>
      <c r="U17" s="7">
        <f t="shared" si="0"/>
        <v>0</v>
      </c>
      <c r="V17" s="7">
        <f t="shared" si="0"/>
        <v>0</v>
      </c>
      <c r="W17" s="7">
        <f t="shared" si="0"/>
        <v>3</v>
      </c>
      <c r="X17" s="7">
        <f t="shared" si="0"/>
        <v>11</v>
      </c>
      <c r="Y17" s="7">
        <f t="shared" si="0"/>
        <v>0</v>
      </c>
      <c r="Z17" s="7">
        <f t="shared" si="0"/>
        <v>16</v>
      </c>
      <c r="AA17" s="7">
        <f t="shared" si="0"/>
        <v>1810.5</v>
      </c>
      <c r="AB17" s="7">
        <f t="shared" si="0"/>
        <v>0</v>
      </c>
      <c r="AC17" s="7">
        <f t="shared" si="0"/>
        <v>-1.5</v>
      </c>
      <c r="AD17" s="7">
        <f t="shared" si="0"/>
        <v>0</v>
      </c>
      <c r="AE17" s="7">
        <f t="shared" si="0"/>
        <v>-1.5</v>
      </c>
      <c r="AF17" s="7">
        <f t="shared" si="0"/>
        <v>0</v>
      </c>
      <c r="AG17" s="7">
        <f t="shared" si="0"/>
        <v>0</v>
      </c>
      <c r="AH17" s="7">
        <f t="shared" si="0"/>
        <v>0</v>
      </c>
      <c r="AI17" s="7">
        <f t="shared" si="0"/>
        <v>-1.5</v>
      </c>
      <c r="AJ17" s="7">
        <f t="shared" si="0"/>
        <v>0</v>
      </c>
      <c r="AK17" s="7">
        <f t="shared" si="0"/>
        <v>0</v>
      </c>
      <c r="AL17" s="7">
        <f t="shared" si="0"/>
        <v>-1308.5</v>
      </c>
      <c r="AM17" s="7">
        <f t="shared" si="0"/>
        <v>-1219.5</v>
      </c>
      <c r="AN17" s="7">
        <f t="shared" si="0"/>
        <v>0</v>
      </c>
    </row>
    <row r="18" spans="1:40" ht="29" x14ac:dyDescent="0.35">
      <c r="A18" s="13" t="s">
        <v>60</v>
      </c>
      <c r="B18" s="7">
        <f>B16+1.5*(B16-B14)</f>
        <v>117561</v>
      </c>
      <c r="C18" s="7">
        <f t="shared" ref="C18:AN18" si="1">C16+1.5*(C16-C14)</f>
        <v>2.5</v>
      </c>
      <c r="D18" s="7">
        <f t="shared" si="1"/>
        <v>2.5</v>
      </c>
      <c r="E18" s="7">
        <f t="shared" si="1"/>
        <v>149</v>
      </c>
      <c r="F18" s="7">
        <f t="shared" si="1"/>
        <v>1231.5</v>
      </c>
      <c r="G18" s="7">
        <f t="shared" si="1"/>
        <v>79.5</v>
      </c>
      <c r="H18" s="7">
        <f t="shared" si="1"/>
        <v>551</v>
      </c>
      <c r="I18" s="7">
        <f t="shared" si="1"/>
        <v>120.5</v>
      </c>
      <c r="J18" s="7">
        <f t="shared" si="1"/>
        <v>83.5</v>
      </c>
      <c r="K18" s="7">
        <f t="shared" si="1"/>
        <v>126.5</v>
      </c>
      <c r="L18" s="7">
        <f t="shared" si="1"/>
        <v>6</v>
      </c>
      <c r="M18" s="7">
        <f t="shared" si="1"/>
        <v>12</v>
      </c>
      <c r="N18" s="7">
        <f t="shared" si="1"/>
        <v>10</v>
      </c>
      <c r="O18" s="7">
        <f t="shared" si="1"/>
        <v>15.5</v>
      </c>
      <c r="P18" s="7">
        <f t="shared" si="1"/>
        <v>13</v>
      </c>
      <c r="Q18" s="7">
        <f t="shared" si="1"/>
        <v>0</v>
      </c>
      <c r="R18" s="7">
        <f t="shared" si="1"/>
        <v>0</v>
      </c>
      <c r="S18" s="7">
        <f t="shared" si="1"/>
        <v>0</v>
      </c>
      <c r="T18" s="7">
        <f t="shared" si="1"/>
        <v>0</v>
      </c>
      <c r="U18" s="7">
        <f t="shared" si="1"/>
        <v>0</v>
      </c>
      <c r="V18" s="7">
        <f t="shared" si="1"/>
        <v>0</v>
      </c>
      <c r="W18" s="7">
        <f t="shared" si="1"/>
        <v>3</v>
      </c>
      <c r="X18" s="7">
        <f t="shared" si="1"/>
        <v>11</v>
      </c>
      <c r="Y18" s="7">
        <f t="shared" si="1"/>
        <v>0</v>
      </c>
      <c r="Z18" s="7">
        <f t="shared" si="1"/>
        <v>88</v>
      </c>
      <c r="AA18" s="7">
        <f t="shared" si="1"/>
        <v>3214.5</v>
      </c>
      <c r="AB18" s="7">
        <f t="shared" si="1"/>
        <v>0</v>
      </c>
      <c r="AC18" s="7">
        <f t="shared" si="1"/>
        <v>2.5</v>
      </c>
      <c r="AD18" s="7">
        <f t="shared" si="1"/>
        <v>0</v>
      </c>
      <c r="AE18" s="7">
        <f t="shared" si="1"/>
        <v>2.5</v>
      </c>
      <c r="AF18" s="7">
        <f t="shared" si="1"/>
        <v>0</v>
      </c>
      <c r="AG18" s="7">
        <f t="shared" si="1"/>
        <v>0</v>
      </c>
      <c r="AH18" s="7">
        <f t="shared" si="1"/>
        <v>0</v>
      </c>
      <c r="AI18" s="7">
        <f t="shared" si="1"/>
        <v>2.5</v>
      </c>
      <c r="AJ18" s="7">
        <f t="shared" si="1"/>
        <v>0</v>
      </c>
      <c r="AK18" s="7">
        <f t="shared" si="1"/>
        <v>0</v>
      </c>
      <c r="AL18" s="7">
        <f t="shared" si="1"/>
        <v>2327.5</v>
      </c>
      <c r="AM18" s="7">
        <f t="shared" si="1"/>
        <v>2144.5</v>
      </c>
      <c r="AN18" s="7">
        <f t="shared" si="1"/>
        <v>0</v>
      </c>
    </row>
    <row r="19" spans="1:40" ht="29" x14ac:dyDescent="0.35">
      <c r="A19" s="13" t="s">
        <v>63</v>
      </c>
      <c r="B19" s="7" t="str">
        <f>IF(B11&lt;B17,"Yes","No")</f>
        <v>No</v>
      </c>
      <c r="C19" s="7" t="str">
        <f t="shared" ref="C19:AN19" si="2">IF(C11&lt;C17,"Yes","No")</f>
        <v>No</v>
      </c>
      <c r="D19" s="7" t="str">
        <f t="shared" si="2"/>
        <v>No</v>
      </c>
      <c r="E19" s="7" t="str">
        <f t="shared" si="2"/>
        <v>No</v>
      </c>
      <c r="F19" s="7" t="str">
        <f t="shared" si="2"/>
        <v>No</v>
      </c>
      <c r="G19" s="7" t="str">
        <f t="shared" si="2"/>
        <v>No</v>
      </c>
      <c r="H19" s="7" t="str">
        <f t="shared" si="2"/>
        <v>No</v>
      </c>
      <c r="I19" s="7" t="str">
        <f t="shared" si="2"/>
        <v>No</v>
      </c>
      <c r="J19" s="7" t="str">
        <f t="shared" si="2"/>
        <v>No</v>
      </c>
      <c r="K19" s="7" t="str">
        <f t="shared" si="2"/>
        <v>No</v>
      </c>
      <c r="L19" s="7" t="str">
        <f t="shared" si="2"/>
        <v>No</v>
      </c>
      <c r="M19" s="7" t="str">
        <f t="shared" si="2"/>
        <v>No</v>
      </c>
      <c r="N19" s="7" t="str">
        <f t="shared" si="2"/>
        <v>No</v>
      </c>
      <c r="O19" s="7" t="str">
        <f t="shared" si="2"/>
        <v>No</v>
      </c>
      <c r="P19" s="7" t="str">
        <f t="shared" si="2"/>
        <v>No</v>
      </c>
      <c r="Q19" s="7" t="str">
        <f t="shared" si="2"/>
        <v>No</v>
      </c>
      <c r="R19" s="7" t="str">
        <f t="shared" si="2"/>
        <v>No</v>
      </c>
      <c r="S19" s="7" t="str">
        <f t="shared" si="2"/>
        <v>No</v>
      </c>
      <c r="T19" s="7" t="str">
        <f t="shared" si="2"/>
        <v>No</v>
      </c>
      <c r="U19" s="7" t="str">
        <f t="shared" si="2"/>
        <v>No</v>
      </c>
      <c r="V19" s="7" t="str">
        <f t="shared" si="2"/>
        <v>No</v>
      </c>
      <c r="W19" s="7" t="str">
        <f t="shared" si="2"/>
        <v>No</v>
      </c>
      <c r="X19" s="7" t="str">
        <f t="shared" si="2"/>
        <v>No</v>
      </c>
      <c r="Y19" s="7" t="str">
        <f t="shared" si="2"/>
        <v>No</v>
      </c>
      <c r="Z19" s="7" t="str">
        <f t="shared" si="2"/>
        <v>No</v>
      </c>
      <c r="AA19" s="7" t="str">
        <f t="shared" si="2"/>
        <v>No</v>
      </c>
      <c r="AB19" s="7" t="str">
        <f t="shared" si="2"/>
        <v>No</v>
      </c>
      <c r="AC19" s="7" t="str">
        <f t="shared" si="2"/>
        <v>No</v>
      </c>
      <c r="AD19" s="7" t="str">
        <f t="shared" si="2"/>
        <v>No</v>
      </c>
      <c r="AE19" s="7" t="str">
        <f t="shared" si="2"/>
        <v>No</v>
      </c>
      <c r="AF19" s="7" t="str">
        <f t="shared" si="2"/>
        <v>No</v>
      </c>
      <c r="AG19" s="7" t="str">
        <f t="shared" si="2"/>
        <v>No</v>
      </c>
      <c r="AH19" s="7" t="str">
        <f t="shared" si="2"/>
        <v>No</v>
      </c>
      <c r="AI19" s="7" t="str">
        <f t="shared" si="2"/>
        <v>No</v>
      </c>
      <c r="AJ19" s="7" t="str">
        <f t="shared" si="2"/>
        <v>No</v>
      </c>
      <c r="AK19" s="7" t="str">
        <f t="shared" si="2"/>
        <v>No</v>
      </c>
      <c r="AL19" s="7" t="str">
        <f t="shared" si="2"/>
        <v>No</v>
      </c>
      <c r="AM19" s="7" t="str">
        <f t="shared" si="2"/>
        <v>No</v>
      </c>
      <c r="AN19" s="7" t="str">
        <f t="shared" si="2"/>
        <v>No</v>
      </c>
    </row>
    <row r="20" spans="1:40" ht="29" x14ac:dyDescent="0.35">
      <c r="A20" s="13" t="s">
        <v>64</v>
      </c>
      <c r="B20" s="7" t="str">
        <f>IF(B10&gt;B18,"Yes","No")</f>
        <v>No</v>
      </c>
      <c r="C20" s="7" t="str">
        <f t="shared" ref="C20:AN20" si="3">IF(C10&gt;C18,"Yes","No")</f>
        <v>No</v>
      </c>
      <c r="D20" s="7" t="str">
        <f t="shared" si="3"/>
        <v>No</v>
      </c>
      <c r="E20" s="7" t="str">
        <f t="shared" si="3"/>
        <v>No</v>
      </c>
      <c r="F20" s="7" t="str">
        <f t="shared" si="3"/>
        <v>Yes</v>
      </c>
      <c r="G20" s="7" t="str">
        <f t="shared" si="3"/>
        <v>Yes</v>
      </c>
      <c r="H20" s="7" t="str">
        <f t="shared" si="3"/>
        <v>Yes</v>
      </c>
      <c r="I20" s="7" t="str">
        <f t="shared" si="3"/>
        <v>Yes</v>
      </c>
      <c r="J20" s="7" t="str">
        <f t="shared" si="3"/>
        <v>Yes</v>
      </c>
      <c r="K20" s="7" t="str">
        <f t="shared" si="3"/>
        <v>Yes</v>
      </c>
      <c r="L20" s="7" t="str">
        <f t="shared" si="3"/>
        <v>Yes</v>
      </c>
      <c r="M20" s="7" t="str">
        <f t="shared" si="3"/>
        <v>Yes</v>
      </c>
      <c r="N20" s="7" t="str">
        <f t="shared" si="3"/>
        <v>Yes</v>
      </c>
      <c r="O20" s="7" t="str">
        <f t="shared" si="3"/>
        <v>No</v>
      </c>
      <c r="P20" s="7" t="str">
        <f t="shared" si="3"/>
        <v>Yes</v>
      </c>
      <c r="Q20" s="7" t="str">
        <f t="shared" si="3"/>
        <v>Yes</v>
      </c>
      <c r="R20" s="7" t="str">
        <f t="shared" si="3"/>
        <v>Yes</v>
      </c>
      <c r="S20" s="7" t="str">
        <f t="shared" si="3"/>
        <v>Yes</v>
      </c>
      <c r="T20" s="7" t="str">
        <f t="shared" si="3"/>
        <v>Yes</v>
      </c>
      <c r="U20" s="7" t="str">
        <f t="shared" si="3"/>
        <v>Yes</v>
      </c>
      <c r="V20" s="7" t="str">
        <f t="shared" si="3"/>
        <v>Yes</v>
      </c>
      <c r="W20" s="7" t="str">
        <f t="shared" si="3"/>
        <v>No</v>
      </c>
      <c r="X20" s="7" t="str">
        <f t="shared" si="3"/>
        <v>No</v>
      </c>
      <c r="Y20" s="7" t="str">
        <f t="shared" si="3"/>
        <v>Yes</v>
      </c>
      <c r="Z20" s="7" t="str">
        <f t="shared" si="3"/>
        <v>No</v>
      </c>
      <c r="AA20" s="7" t="str">
        <f t="shared" si="3"/>
        <v>No</v>
      </c>
      <c r="AB20" s="7" t="str">
        <f t="shared" si="3"/>
        <v>Yes</v>
      </c>
      <c r="AC20" s="7" t="str">
        <f t="shared" si="3"/>
        <v>No</v>
      </c>
      <c r="AD20" s="7" t="str">
        <f t="shared" si="3"/>
        <v>Yes</v>
      </c>
      <c r="AE20" s="7" t="str">
        <f t="shared" si="3"/>
        <v>No</v>
      </c>
      <c r="AF20" s="7" t="str">
        <f t="shared" si="3"/>
        <v>Yes</v>
      </c>
      <c r="AG20" s="7" t="str">
        <f t="shared" si="3"/>
        <v>Yes</v>
      </c>
      <c r="AH20" s="7" t="str">
        <f t="shared" si="3"/>
        <v>Yes</v>
      </c>
      <c r="AI20" s="7" t="str">
        <f t="shared" si="3"/>
        <v>No</v>
      </c>
      <c r="AJ20" s="7" t="str">
        <f t="shared" si="3"/>
        <v>Yes</v>
      </c>
      <c r="AK20" s="7" t="str">
        <f t="shared" si="3"/>
        <v>Yes</v>
      </c>
      <c r="AL20" s="7" t="str">
        <f t="shared" si="3"/>
        <v>Yes</v>
      </c>
      <c r="AM20" s="7" t="str">
        <f t="shared" si="3"/>
        <v>Yes</v>
      </c>
      <c r="AN20" s="7" t="str">
        <f t="shared" si="3"/>
        <v>Yes</v>
      </c>
    </row>
    <row r="22" spans="1:40" ht="14.5" customHeight="1" x14ac:dyDescent="0.35">
      <c r="A22" s="67" t="s">
        <v>113</v>
      </c>
      <c r="B22" s="67"/>
      <c r="C22" s="67"/>
      <c r="D22" s="67"/>
      <c r="E22" s="17"/>
    </row>
    <row r="23" spans="1:40" x14ac:dyDescent="0.35">
      <c r="A23" s="67"/>
      <c r="B23" s="67"/>
      <c r="C23" s="67"/>
      <c r="D23" s="67"/>
      <c r="E23" s="17"/>
    </row>
    <row r="24" spans="1:40" x14ac:dyDescent="0.35">
      <c r="A24" s="67"/>
      <c r="B24" s="67"/>
      <c r="C24" s="67"/>
      <c r="D24" s="67"/>
      <c r="E24" s="17"/>
    </row>
    <row r="25" spans="1:40" x14ac:dyDescent="0.35">
      <c r="A25" s="17"/>
      <c r="B25" s="17"/>
      <c r="C25" s="17"/>
      <c r="D25" s="17"/>
      <c r="E25" s="17"/>
    </row>
    <row r="26" spans="1:40" x14ac:dyDescent="0.35">
      <c r="A26" s="17"/>
      <c r="B26" s="17"/>
      <c r="C26" s="17"/>
      <c r="D26" s="17"/>
      <c r="E26" s="17"/>
    </row>
    <row r="27" spans="1:40" x14ac:dyDescent="0.35">
      <c r="A27" s="17"/>
      <c r="B27" s="17"/>
      <c r="C27" s="17"/>
      <c r="D27" s="17"/>
      <c r="E27" s="17"/>
    </row>
  </sheetData>
  <mergeCells count="1">
    <mergeCell ref="A22:D2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8829B-AEF3-45C0-9DCB-864D56FC5684}">
  <dimension ref="A1:AL62"/>
  <sheetViews>
    <sheetView topLeftCell="A46" zoomScale="130" zoomScaleNormal="130" workbookViewId="0">
      <selection activeCell="AF18" sqref="AF18"/>
    </sheetView>
  </sheetViews>
  <sheetFormatPr defaultRowHeight="14.5" x14ac:dyDescent="0.35"/>
  <cols>
    <col min="1" max="1" width="18.36328125" bestFit="1" customWidth="1"/>
    <col min="2" max="2" width="11.26953125" bestFit="1" customWidth="1"/>
    <col min="3" max="3" width="18.36328125" bestFit="1" customWidth="1"/>
    <col min="4" max="4" width="16" bestFit="1" customWidth="1"/>
    <col min="5" max="5" width="18.36328125" bestFit="1" customWidth="1"/>
    <col min="6" max="6" width="14.81640625" bestFit="1" customWidth="1"/>
    <col min="7" max="7" width="10.7265625" bestFit="1" customWidth="1"/>
    <col min="8" max="8" width="18.36328125" bestFit="1" customWidth="1"/>
    <col min="9" max="9" width="16.54296875" bestFit="1" customWidth="1"/>
    <col min="10" max="10" width="22.81640625" bestFit="1" customWidth="1"/>
    <col min="11" max="11" width="14.453125" bestFit="1" customWidth="1"/>
    <col min="12" max="16" width="10.54296875" bestFit="1" customWidth="1"/>
    <col min="17" max="17" width="15.54296875" bestFit="1" customWidth="1"/>
    <col min="18" max="22" width="10.54296875" bestFit="1" customWidth="1"/>
    <col min="23" max="23" width="15.54296875" bestFit="1" customWidth="1"/>
    <col min="24" max="24" width="4.54296875" customWidth="1"/>
    <col min="25" max="25" width="10.6328125" style="1" bestFit="1" customWidth="1"/>
    <col min="26" max="30" width="10.7265625" bestFit="1" customWidth="1"/>
    <col min="31" max="31" width="10.7265625" customWidth="1"/>
    <col min="32" max="32" width="11.08984375" style="1" customWidth="1"/>
    <col min="33" max="37" width="10.7265625" bestFit="1" customWidth="1"/>
    <col min="38" max="38" width="12.54296875" bestFit="1" customWidth="1"/>
  </cols>
  <sheetData>
    <row r="1" spans="1:38" ht="15.5" x14ac:dyDescent="0.35">
      <c r="A1" s="68" t="s">
        <v>79</v>
      </c>
      <c r="B1" s="68"/>
    </row>
    <row r="2" spans="1:38" ht="15" thickBot="1" x14ac:dyDescent="0.4">
      <c r="A2" s="20" t="s">
        <v>80</v>
      </c>
      <c r="B2" s="20" t="s">
        <v>81</v>
      </c>
    </row>
    <row r="3" spans="1:38" x14ac:dyDescent="0.35">
      <c r="A3" t="s">
        <v>66</v>
      </c>
      <c r="B3" t="s">
        <v>76</v>
      </c>
    </row>
    <row r="4" spans="1:38" x14ac:dyDescent="0.35">
      <c r="A4" t="s">
        <v>24</v>
      </c>
      <c r="B4" t="s">
        <v>77</v>
      </c>
    </row>
    <row r="5" spans="1:38" x14ac:dyDescent="0.35">
      <c r="A5" t="s">
        <v>67</v>
      </c>
      <c r="B5" t="s">
        <v>20</v>
      </c>
    </row>
    <row r="6" spans="1:38" ht="43.5" x14ac:dyDescent="0.35">
      <c r="A6" t="s">
        <v>72</v>
      </c>
      <c r="B6" s="1" t="s">
        <v>78</v>
      </c>
    </row>
    <row r="7" spans="1:38" x14ac:dyDescent="0.35">
      <c r="A7" t="s">
        <v>0</v>
      </c>
      <c r="B7" t="s">
        <v>82</v>
      </c>
    </row>
    <row r="10" spans="1:38" ht="16" customHeight="1" thickBot="1" x14ac:dyDescent="0.4">
      <c r="A10" s="69" t="s">
        <v>104</v>
      </c>
      <c r="B10" s="69"/>
      <c r="R10" s="70" t="s">
        <v>136</v>
      </c>
      <c r="S10" s="70"/>
      <c r="T10" s="70"/>
      <c r="U10" s="70"/>
      <c r="V10" s="70"/>
      <c r="W10" s="70"/>
      <c r="Y10" s="30"/>
      <c r="Z10" s="71" t="s">
        <v>137</v>
      </c>
      <c r="AA10" s="71"/>
      <c r="AB10" s="71"/>
      <c r="AC10" s="71"/>
      <c r="AD10" s="71"/>
      <c r="AF10" s="33"/>
      <c r="AG10" s="70" t="s">
        <v>149</v>
      </c>
      <c r="AH10" s="70"/>
      <c r="AI10" s="70"/>
      <c r="AJ10" s="70"/>
      <c r="AK10" s="70"/>
    </row>
    <row r="11" spans="1:38" x14ac:dyDescent="0.35">
      <c r="J11" s="4"/>
      <c r="K11" s="4"/>
      <c r="L11" s="4"/>
      <c r="M11" s="4"/>
      <c r="N11" s="4"/>
      <c r="O11" s="4"/>
      <c r="P11" s="4"/>
      <c r="Q11" s="4"/>
      <c r="R11" s="4" t="s">
        <v>114</v>
      </c>
      <c r="S11" s="4"/>
      <c r="T11" s="4"/>
      <c r="U11" s="4"/>
      <c r="V11" s="4"/>
      <c r="W11" s="4"/>
      <c r="Y11" s="14"/>
      <c r="Z11" s="4" t="s">
        <v>114</v>
      </c>
      <c r="AA11" s="4"/>
      <c r="AB11" s="4"/>
      <c r="AC11" s="4"/>
      <c r="AD11" s="4"/>
      <c r="AG11" s="4" t="s">
        <v>151</v>
      </c>
      <c r="AH11" s="4"/>
      <c r="AI11" s="4"/>
      <c r="AJ11" s="4"/>
      <c r="AK11" s="4"/>
    </row>
    <row r="12" spans="1:38" x14ac:dyDescent="0.35">
      <c r="A12" s="5" t="s">
        <v>0</v>
      </c>
      <c r="B12" t="s">
        <v>89</v>
      </c>
      <c r="C12" t="s">
        <v>107</v>
      </c>
      <c r="D12" t="s">
        <v>108</v>
      </c>
      <c r="E12" t="s">
        <v>109</v>
      </c>
      <c r="F12" t="s">
        <v>110</v>
      </c>
      <c r="G12" t="s">
        <v>111</v>
      </c>
      <c r="H12" t="s">
        <v>112</v>
      </c>
      <c r="J12" s="4" t="s">
        <v>0</v>
      </c>
      <c r="K12" s="4" t="s">
        <v>89</v>
      </c>
      <c r="L12" s="4" t="s">
        <v>107</v>
      </c>
      <c r="M12" s="4" t="s">
        <v>108</v>
      </c>
      <c r="N12" s="4" t="s">
        <v>109</v>
      </c>
      <c r="O12" s="4" t="s">
        <v>110</v>
      </c>
      <c r="P12" s="4" t="s">
        <v>111</v>
      </c>
      <c r="Q12" s="4" t="s">
        <v>112</v>
      </c>
      <c r="R12" s="4" t="s">
        <v>107</v>
      </c>
      <c r="S12" s="4" t="s">
        <v>108</v>
      </c>
      <c r="T12" s="4" t="s">
        <v>109</v>
      </c>
      <c r="U12" s="4" t="s">
        <v>110</v>
      </c>
      <c r="V12" s="4" t="s">
        <v>111</v>
      </c>
      <c r="W12" s="4" t="s">
        <v>112</v>
      </c>
      <c r="Y12" s="14" t="s">
        <v>0</v>
      </c>
      <c r="Z12" s="4" t="s">
        <v>107</v>
      </c>
      <c r="AA12" s="4" t="s">
        <v>108</v>
      </c>
      <c r="AB12" s="4" t="s">
        <v>109</v>
      </c>
      <c r="AC12" s="4" t="s">
        <v>110</v>
      </c>
      <c r="AD12" s="4" t="s">
        <v>111</v>
      </c>
      <c r="AF12" s="14" t="s">
        <v>0</v>
      </c>
      <c r="AG12" s="4" t="s">
        <v>107</v>
      </c>
      <c r="AH12" s="4" t="s">
        <v>108</v>
      </c>
      <c r="AI12" s="4" t="s">
        <v>109</v>
      </c>
      <c r="AJ12" s="4" t="s">
        <v>110</v>
      </c>
      <c r="AK12" s="4" t="s">
        <v>111</v>
      </c>
      <c r="AL12" s="4" t="s">
        <v>145</v>
      </c>
    </row>
    <row r="13" spans="1:38" x14ac:dyDescent="0.35">
      <c r="A13" s="6" t="s">
        <v>85</v>
      </c>
      <c r="B13">
        <v>498</v>
      </c>
      <c r="C13">
        <v>0</v>
      </c>
      <c r="D13">
        <v>0</v>
      </c>
      <c r="E13">
        <v>39</v>
      </c>
      <c r="F13">
        <v>1</v>
      </c>
      <c r="G13">
        <v>0</v>
      </c>
      <c r="H13">
        <v>40</v>
      </c>
      <c r="J13" t="s">
        <v>85</v>
      </c>
      <c r="K13">
        <v>498</v>
      </c>
      <c r="L13">
        <v>0</v>
      </c>
      <c r="M13">
        <v>0</v>
      </c>
      <c r="N13">
        <v>39</v>
      </c>
      <c r="O13">
        <v>1</v>
      </c>
      <c r="P13">
        <v>0</v>
      </c>
      <c r="Q13">
        <v>40</v>
      </c>
      <c r="R13" s="18">
        <f>IFERROR(L13/L$17,0)</f>
        <v>0</v>
      </c>
      <c r="S13" s="18">
        <f t="shared" ref="S13:W17" si="0">IFERROR(M13/M$17,0)</f>
        <v>0</v>
      </c>
      <c r="T13" s="18">
        <f t="shared" si="0"/>
        <v>0.25827814569536423</v>
      </c>
      <c r="U13" s="18">
        <f t="shared" si="0"/>
        <v>6.4516129032258064E-3</v>
      </c>
      <c r="V13" s="18">
        <f t="shared" si="0"/>
        <v>0</v>
      </c>
      <c r="W13" s="18">
        <f t="shared" si="0"/>
        <v>9.3896713615023469E-2</v>
      </c>
      <c r="Y13" s="1" t="s">
        <v>85</v>
      </c>
      <c r="Z13" s="18">
        <f>IFERROR(L13/$Q13,0)</f>
        <v>0</v>
      </c>
      <c r="AA13" s="18">
        <f t="shared" ref="AA13:AD13" si="1">IFERROR(M13/$Q13,0)</f>
        <v>0</v>
      </c>
      <c r="AB13" s="18">
        <f t="shared" si="1"/>
        <v>0.97499999999999998</v>
      </c>
      <c r="AC13" s="18">
        <f t="shared" si="1"/>
        <v>2.5000000000000001E-2</v>
      </c>
      <c r="AD13" s="18">
        <f t="shared" si="1"/>
        <v>0</v>
      </c>
      <c r="AF13" s="1" t="s">
        <v>85</v>
      </c>
      <c r="AG13" s="25">
        <f>IFERROR(AVERAGEIFS('Cleaned Data'!$AN$2:$AN$2022,'Cleaned Data'!$AV$2:$AV$2022,Demographics!$AF13,'Cleaned Data'!Q$2:Q$2022,"=1"),0)</f>
        <v>0</v>
      </c>
      <c r="AH13" s="25">
        <f>IFERROR(AVERAGEIFS('Cleaned Data'!$AN$2:$AN$2022,'Cleaned Data'!$AV$2:$AV$2022,Demographics!$AF13,'Cleaned Data'!R$2:R$2022,"=1"),0)</f>
        <v>0</v>
      </c>
      <c r="AI13" s="25">
        <f>IFERROR(AVERAGEIFS('Cleaned Data'!$AN$2:$AN$2022,'Cleaned Data'!$AV$2:$AV$2022,Demographics!$AF13,'Cleaned Data'!S$2:S$2022,"=1"),0)</f>
        <v>53.051282051282051</v>
      </c>
      <c r="AJ13" s="25">
        <f>IFERROR(AVERAGEIFS('Cleaned Data'!$AN$2:$AN$2022,'Cleaned Data'!$AV$2:$AV$2022,Demographics!$AF13,'Cleaned Data'!T$2:T$2022,"=1"),0)</f>
        <v>51</v>
      </c>
      <c r="AK13" s="25">
        <f>IFERROR(AVERAGEIFS('Cleaned Data'!$AN$2:$AN$2022,'Cleaned Data'!$AV$2:$AV$2022,Demographics!$AF13,'Cleaned Data'!U$2:U$2022,"=1"),0)</f>
        <v>0</v>
      </c>
      <c r="AL13" s="25">
        <f>IFERROR(AVERAGEIFS('Cleaned Data'!$AN$2:$AN$2022,'Cleaned Data'!$AV$2:$AV$2022,Demographics!$AF13,'Cleaned Data'!V$2:V$2022,"=1"),0)</f>
        <v>53</v>
      </c>
    </row>
    <row r="14" spans="1:38" x14ac:dyDescent="0.35">
      <c r="A14" s="6" t="s">
        <v>86</v>
      </c>
      <c r="B14">
        <v>466</v>
      </c>
      <c r="C14">
        <v>3</v>
      </c>
      <c r="D14">
        <v>3</v>
      </c>
      <c r="E14">
        <v>42</v>
      </c>
      <c r="F14">
        <v>16</v>
      </c>
      <c r="G14">
        <v>0</v>
      </c>
      <c r="H14">
        <v>58</v>
      </c>
      <c r="J14" t="s">
        <v>86</v>
      </c>
      <c r="K14">
        <v>466</v>
      </c>
      <c r="L14">
        <v>3</v>
      </c>
      <c r="M14">
        <v>3</v>
      </c>
      <c r="N14">
        <v>42</v>
      </c>
      <c r="O14">
        <v>16</v>
      </c>
      <c r="P14">
        <v>0</v>
      </c>
      <c r="Q14">
        <v>58</v>
      </c>
      <c r="R14" s="18">
        <f t="shared" ref="R14:R17" si="2">IFERROR(L14/L$17,0)</f>
        <v>2.2556390977443608E-2</v>
      </c>
      <c r="S14" s="18">
        <f t="shared" si="0"/>
        <v>0.11538461538461539</v>
      </c>
      <c r="T14" s="18">
        <f t="shared" si="0"/>
        <v>0.27814569536423839</v>
      </c>
      <c r="U14" s="18">
        <f t="shared" si="0"/>
        <v>0.1032258064516129</v>
      </c>
      <c r="V14" s="18">
        <f t="shared" si="0"/>
        <v>0</v>
      </c>
      <c r="W14" s="18">
        <f t="shared" si="0"/>
        <v>0.13615023474178403</v>
      </c>
      <c r="Y14" s="1" t="s">
        <v>86</v>
      </c>
      <c r="Z14" s="18">
        <f t="shared" ref="Z14:Z17" si="3">IFERROR(L14/$Q14,0)</f>
        <v>5.1724137931034482E-2</v>
      </c>
      <c r="AA14" s="18">
        <f t="shared" ref="AA14:AA17" si="4">IFERROR(M14/$Q14,0)</f>
        <v>5.1724137931034482E-2</v>
      </c>
      <c r="AB14" s="18">
        <f t="shared" ref="AB14:AB17" si="5">IFERROR(N14/$Q14,0)</f>
        <v>0.72413793103448276</v>
      </c>
      <c r="AC14" s="18">
        <f t="shared" ref="AC14:AC17" si="6">IFERROR(O14/$Q14,0)</f>
        <v>0.27586206896551724</v>
      </c>
      <c r="AD14" s="18">
        <f t="shared" ref="AD14:AD17" si="7">IFERROR(P14/$Q14,0)</f>
        <v>0</v>
      </c>
      <c r="AF14" s="1" t="s">
        <v>86</v>
      </c>
      <c r="AG14" s="25">
        <f>IFERROR(AVERAGEIFS('Cleaned Data'!$AN$2:$AN$2022,'Cleaned Data'!$AV$2:$AV$2022,Demographics!$AF14,'Cleaned Data'!Q$2:Q$2022,"=1"),0)</f>
        <v>727</v>
      </c>
      <c r="AH14" s="25">
        <f>IFERROR(AVERAGEIFS('Cleaned Data'!$AN$2:$AN$2022,'Cleaned Data'!$AV$2:$AV$2022,Demographics!$AF14,'Cleaned Data'!R$2:R$2022,"=1"),0)</f>
        <v>882.33333333333337</v>
      </c>
      <c r="AI14" s="25">
        <f>IFERROR(AVERAGEIFS('Cleaned Data'!$AN$2:$AN$2022,'Cleaned Data'!$AV$2:$AV$2022,Demographics!$AF14,'Cleaned Data'!S$2:S$2022,"=1"),0)</f>
        <v>286.3095238095238</v>
      </c>
      <c r="AJ14" s="25">
        <f>IFERROR(AVERAGEIFS('Cleaned Data'!$AN$2:$AN$2022,'Cleaned Data'!$AV$2:$AV$2022,Demographics!$AF14,'Cleaned Data'!T$2:T$2022,"=1"),0)</f>
        <v>464</v>
      </c>
      <c r="AK14" s="25">
        <f>IFERROR(AVERAGEIFS('Cleaned Data'!$AN$2:$AN$2022,'Cleaned Data'!$AV$2:$AV$2022,Demographics!$AF14,'Cleaned Data'!U$2:U$2022,"=1"),0)</f>
        <v>0</v>
      </c>
      <c r="AL14" s="25">
        <f>IFERROR(AVERAGEIFS('Cleaned Data'!$AN$2:$AN$2022,'Cleaned Data'!$AV$2:$AV$2022,Demographics!$AF14,'Cleaned Data'!V$2:V$2022,"=1"),0)</f>
        <v>335.32758620689657</v>
      </c>
    </row>
    <row r="15" spans="1:38" x14ac:dyDescent="0.35">
      <c r="A15" s="6" t="s">
        <v>87</v>
      </c>
      <c r="B15">
        <v>735</v>
      </c>
      <c r="C15">
        <v>38</v>
      </c>
      <c r="D15">
        <v>11</v>
      </c>
      <c r="E15">
        <v>40</v>
      </c>
      <c r="F15">
        <v>86</v>
      </c>
      <c r="G15">
        <v>25</v>
      </c>
      <c r="H15">
        <v>159</v>
      </c>
      <c r="J15" t="s">
        <v>87</v>
      </c>
      <c r="K15">
        <v>735</v>
      </c>
      <c r="L15">
        <v>38</v>
      </c>
      <c r="M15">
        <v>11</v>
      </c>
      <c r="N15">
        <v>40</v>
      </c>
      <c r="O15">
        <v>86</v>
      </c>
      <c r="P15">
        <v>25</v>
      </c>
      <c r="Q15">
        <v>159</v>
      </c>
      <c r="R15" s="18">
        <f t="shared" si="2"/>
        <v>0.2857142857142857</v>
      </c>
      <c r="S15" s="18">
        <f t="shared" si="0"/>
        <v>0.42307692307692307</v>
      </c>
      <c r="T15" s="18">
        <f t="shared" si="0"/>
        <v>0.26490066225165565</v>
      </c>
      <c r="U15" s="18">
        <f t="shared" si="0"/>
        <v>0.55483870967741933</v>
      </c>
      <c r="V15" s="18">
        <f t="shared" si="0"/>
        <v>0.17123287671232876</v>
      </c>
      <c r="W15" s="18">
        <f t="shared" si="0"/>
        <v>0.37323943661971831</v>
      </c>
      <c r="Y15" s="1" t="s">
        <v>87</v>
      </c>
      <c r="Z15" s="18">
        <f t="shared" si="3"/>
        <v>0.2389937106918239</v>
      </c>
      <c r="AA15" s="18">
        <f t="shared" si="4"/>
        <v>6.9182389937106917E-2</v>
      </c>
      <c r="AB15" s="18">
        <f t="shared" si="5"/>
        <v>0.25157232704402516</v>
      </c>
      <c r="AC15" s="18">
        <f t="shared" si="6"/>
        <v>0.54088050314465408</v>
      </c>
      <c r="AD15" s="18">
        <f t="shared" si="7"/>
        <v>0.15723270440251572</v>
      </c>
      <c r="AF15" s="1" t="s">
        <v>87</v>
      </c>
      <c r="AG15" s="25">
        <f>IFERROR(AVERAGEIFS('Cleaned Data'!$AN$2:$AN$2022,'Cleaned Data'!$AV$2:$AV$2022,Demographics!$AF15,'Cleaned Data'!Q$2:Q$2022,"=1"),0)</f>
        <v>1221.2631578947369</v>
      </c>
      <c r="AH15" s="25">
        <f>IFERROR(AVERAGEIFS('Cleaned Data'!$AN$2:$AN$2022,'Cleaned Data'!$AV$2:$AV$2022,Demographics!$AF15,'Cleaned Data'!R$2:R$2022,"=1"),0)</f>
        <v>1123.3636363636363</v>
      </c>
      <c r="AI15" s="25">
        <f>IFERROR(AVERAGEIFS('Cleaned Data'!$AN$2:$AN$2022,'Cleaned Data'!$AV$2:$AV$2022,Demographics!$AF15,'Cleaned Data'!S$2:S$2022,"=1"),0)</f>
        <v>947.25</v>
      </c>
      <c r="AJ15" s="25">
        <f>IFERROR(AVERAGEIFS('Cleaned Data'!$AN$2:$AN$2022,'Cleaned Data'!$AV$2:$AV$2022,Demographics!$AF15,'Cleaned Data'!T$2:T$2022,"=1"),0)</f>
        <v>896.43023255813955</v>
      </c>
      <c r="AK15" s="25">
        <f>IFERROR(AVERAGEIFS('Cleaned Data'!$AN$2:$AN$2022,'Cleaned Data'!$AV$2:$AV$2022,Demographics!$AF15,'Cleaned Data'!U$2:U$2022,"=1"),0)</f>
        <v>1391.24</v>
      </c>
      <c r="AL15" s="25">
        <f>IFERROR(AVERAGEIFS('Cleaned Data'!$AN$2:$AN$2022,'Cleaned Data'!$AV$2:$AV$2022,Demographics!$AF15,'Cleaned Data'!V$2:V$2022,"=1"),0)</f>
        <v>983.13207547169816</v>
      </c>
    </row>
    <row r="16" spans="1:38" x14ac:dyDescent="0.35">
      <c r="A16" s="6" t="s">
        <v>88</v>
      </c>
      <c r="B16">
        <v>322</v>
      </c>
      <c r="C16">
        <v>92</v>
      </c>
      <c r="D16">
        <v>12</v>
      </c>
      <c r="E16">
        <v>30</v>
      </c>
      <c r="F16">
        <v>52</v>
      </c>
      <c r="G16">
        <v>121</v>
      </c>
      <c r="H16">
        <v>169</v>
      </c>
      <c r="J16" t="s">
        <v>88</v>
      </c>
      <c r="K16">
        <v>322</v>
      </c>
      <c r="L16">
        <v>92</v>
      </c>
      <c r="M16">
        <v>12</v>
      </c>
      <c r="N16">
        <v>30</v>
      </c>
      <c r="O16">
        <v>52</v>
      </c>
      <c r="P16">
        <v>121</v>
      </c>
      <c r="Q16">
        <v>169</v>
      </c>
      <c r="R16" s="18">
        <f t="shared" si="2"/>
        <v>0.69172932330827064</v>
      </c>
      <c r="S16" s="18">
        <f t="shared" si="0"/>
        <v>0.46153846153846156</v>
      </c>
      <c r="T16" s="18">
        <f t="shared" si="0"/>
        <v>0.19867549668874171</v>
      </c>
      <c r="U16" s="18">
        <f t="shared" si="0"/>
        <v>0.33548387096774196</v>
      </c>
      <c r="V16" s="18">
        <f t="shared" si="0"/>
        <v>0.82876712328767121</v>
      </c>
      <c r="W16" s="18">
        <f t="shared" si="0"/>
        <v>0.39671361502347419</v>
      </c>
      <c r="Y16" s="1" t="s">
        <v>88</v>
      </c>
      <c r="Z16" s="18">
        <f t="shared" si="3"/>
        <v>0.54437869822485208</v>
      </c>
      <c r="AA16" s="18">
        <f t="shared" si="4"/>
        <v>7.1005917159763315E-2</v>
      </c>
      <c r="AB16" s="18">
        <f t="shared" si="5"/>
        <v>0.17751479289940827</v>
      </c>
      <c r="AC16" s="18">
        <f t="shared" si="6"/>
        <v>0.30769230769230771</v>
      </c>
      <c r="AD16" s="18">
        <f t="shared" si="7"/>
        <v>0.71597633136094674</v>
      </c>
      <c r="AF16" s="1" t="s">
        <v>88</v>
      </c>
      <c r="AG16" s="25">
        <f>IFERROR(AVERAGEIFS('Cleaned Data'!$AN$2:$AN$2022,'Cleaned Data'!$AV$2:$AV$2022,Demographics!$AF16,'Cleaned Data'!Q$2:Q$2022,"=1"),0)</f>
        <v>1516.25</v>
      </c>
      <c r="AH16" s="25">
        <f>IFERROR(AVERAGEIFS('Cleaned Data'!$AN$2:$AN$2022,'Cleaned Data'!$AV$2:$AV$2022,Demographics!$AF16,'Cleaned Data'!R$2:R$2022,"=1"),0)</f>
        <v>1463.9166666666667</v>
      </c>
      <c r="AI16" s="25">
        <f>IFERROR(AVERAGEIFS('Cleaned Data'!$AN$2:$AN$2022,'Cleaned Data'!$AV$2:$AV$2022,Demographics!$AF16,'Cleaned Data'!S$2:S$2022,"=1"),0)</f>
        <v>1550.9</v>
      </c>
      <c r="AJ16" s="25">
        <f>IFERROR(AVERAGEIFS('Cleaned Data'!$AN$2:$AN$2022,'Cleaned Data'!$AV$2:$AV$2022,Demographics!$AF16,'Cleaned Data'!T$2:T$2022,"=1"),0)</f>
        <v>1522.6153846153845</v>
      </c>
      <c r="AK16" s="25">
        <f>IFERROR(AVERAGEIFS('Cleaned Data'!$AN$2:$AN$2022,'Cleaned Data'!$AV$2:$AV$2022,Demographics!$AF16,'Cleaned Data'!U$2:U$2022,"=1"),0)</f>
        <v>1566.5454545454545</v>
      </c>
      <c r="AL16" s="42">
        <f>IFERROR(AVERAGEIFS('Cleaned Data'!$AN$2:$AN$2022,'Cleaned Data'!$AV$2:$AV$2022,Demographics!$AF16,'Cleaned Data'!V$2:V$2022,"=1"),0)</f>
        <v>1525.9230769230769</v>
      </c>
    </row>
    <row r="17" spans="1:38" x14ac:dyDescent="0.35">
      <c r="A17" s="6" t="s">
        <v>47</v>
      </c>
      <c r="B17">
        <v>2021</v>
      </c>
      <c r="C17">
        <v>133</v>
      </c>
      <c r="D17">
        <v>26</v>
      </c>
      <c r="E17">
        <v>151</v>
      </c>
      <c r="F17">
        <v>155</v>
      </c>
      <c r="G17">
        <v>146</v>
      </c>
      <c r="H17">
        <v>426</v>
      </c>
      <c r="J17" t="s">
        <v>47</v>
      </c>
      <c r="K17">
        <v>2021</v>
      </c>
      <c r="L17">
        <v>133</v>
      </c>
      <c r="M17">
        <v>26</v>
      </c>
      <c r="N17">
        <v>151</v>
      </c>
      <c r="O17">
        <v>155</v>
      </c>
      <c r="P17">
        <v>146</v>
      </c>
      <c r="Q17">
        <v>426</v>
      </c>
      <c r="R17" s="18">
        <f t="shared" si="2"/>
        <v>1</v>
      </c>
      <c r="S17" s="18">
        <f t="shared" si="0"/>
        <v>1</v>
      </c>
      <c r="T17" s="18">
        <f t="shared" si="0"/>
        <v>1</v>
      </c>
      <c r="U17" s="18">
        <f t="shared" si="0"/>
        <v>1</v>
      </c>
      <c r="V17" s="18">
        <f t="shared" si="0"/>
        <v>1</v>
      </c>
      <c r="W17" s="18">
        <f t="shared" si="0"/>
        <v>1</v>
      </c>
      <c r="Y17" s="1" t="s">
        <v>47</v>
      </c>
      <c r="Z17" s="18">
        <f t="shared" si="3"/>
        <v>0.31220657276995306</v>
      </c>
      <c r="AA17" s="18">
        <f t="shared" si="4"/>
        <v>6.1032863849765258E-2</v>
      </c>
      <c r="AB17" s="18">
        <f t="shared" si="5"/>
        <v>0.35446009389671362</v>
      </c>
      <c r="AC17" s="18">
        <f t="shared" si="6"/>
        <v>0.36384976525821594</v>
      </c>
      <c r="AD17" s="18">
        <f t="shared" si="7"/>
        <v>0.34272300469483569</v>
      </c>
      <c r="AF17" s="1" t="s">
        <v>128</v>
      </c>
      <c r="AG17" s="25">
        <f ca="1">AVERAGEIF(ifood_data[[#All],[AcceptedCmp1]],"=1",'Cleaned Data'!$AN$2:$AN$2022)</f>
        <v>1299.3834586466166</v>
      </c>
      <c r="AH17" s="25">
        <f ca="1">AVERAGEIF(ifood_data[[#All],[AcceptedCmp2]],"=1",'Cleaned Data'!$AN$2:$AN$2022)</f>
        <v>1089.7307692307693</v>
      </c>
      <c r="AI17" s="25">
        <f ca="1">AVERAGEIF(ifood_data[[#All],[AcceptedCmp3]],"=1",'Cleaned Data'!$AN$2:$AN$2022)</f>
        <v>554.00662251655626</v>
      </c>
      <c r="AJ17" s="25">
        <f ca="1">AVERAGEIF(ifood_data[[#All],[AcceptedCmp4]],"=1",'Cleaned Data'!$AN$2:$AN$2022)</f>
        <v>878.65161290322578</v>
      </c>
      <c r="AK17" s="25">
        <f ca="1">AVERAGEIF(ifood_data[[#All],[AcceptedCmp5]],"=1",'Cleaned Data'!$AN$2:$AN$2022)</f>
        <v>1352.9657534246576</v>
      </c>
      <c r="AL17" s="25">
        <f>IFERROR(AVERAGEIFS('Cleaned Data'!$AN$2:$AN$2022,'Cleaned Data'!V$2:V$2022,"=1"),0)</f>
        <v>1022.9295774647887</v>
      </c>
    </row>
    <row r="18" spans="1:38" x14ac:dyDescent="0.35">
      <c r="Z18" s="18"/>
      <c r="AA18" s="18"/>
      <c r="AB18" s="18"/>
      <c r="AC18" s="18"/>
      <c r="AD18" s="18"/>
    </row>
    <row r="19" spans="1:38" x14ac:dyDescent="0.35">
      <c r="J19" s="4"/>
      <c r="K19" s="4"/>
      <c r="L19" s="4"/>
      <c r="M19" s="4"/>
      <c r="N19" s="4"/>
      <c r="O19" s="4"/>
      <c r="P19" s="4"/>
      <c r="Q19" s="4"/>
      <c r="R19" s="4" t="s">
        <v>114</v>
      </c>
      <c r="S19" s="4"/>
      <c r="T19" s="4"/>
      <c r="U19" s="4"/>
      <c r="V19" s="4"/>
      <c r="W19" s="4"/>
      <c r="Y19" s="14"/>
      <c r="Z19" s="4" t="s">
        <v>114</v>
      </c>
      <c r="AA19" s="4"/>
      <c r="AB19" s="4"/>
      <c r="AC19" s="4"/>
      <c r="AD19" s="4"/>
      <c r="AG19" s="4" t="s">
        <v>151</v>
      </c>
      <c r="AH19" s="4"/>
      <c r="AI19" s="4"/>
      <c r="AJ19" s="4"/>
      <c r="AK19" s="4"/>
    </row>
    <row r="20" spans="1:38" x14ac:dyDescent="0.35">
      <c r="A20" s="5" t="s">
        <v>72</v>
      </c>
      <c r="B20" t="s">
        <v>89</v>
      </c>
      <c r="C20" t="s">
        <v>107</v>
      </c>
      <c r="D20" t="s">
        <v>108</v>
      </c>
      <c r="E20" t="s">
        <v>109</v>
      </c>
      <c r="F20" t="s">
        <v>110</v>
      </c>
      <c r="G20" t="s">
        <v>111</v>
      </c>
      <c r="H20" t="s">
        <v>112</v>
      </c>
      <c r="J20" s="4" t="s">
        <v>72</v>
      </c>
      <c r="K20" s="4" t="s">
        <v>89</v>
      </c>
      <c r="L20" s="4" t="s">
        <v>107</v>
      </c>
      <c r="M20" s="4" t="s">
        <v>108</v>
      </c>
      <c r="N20" s="4" t="s">
        <v>109</v>
      </c>
      <c r="O20" s="4" t="s">
        <v>110</v>
      </c>
      <c r="P20" s="4" t="s">
        <v>111</v>
      </c>
      <c r="Q20" s="4" t="s">
        <v>112</v>
      </c>
      <c r="R20" s="4" t="s">
        <v>107</v>
      </c>
      <c r="S20" s="4" t="s">
        <v>108</v>
      </c>
      <c r="T20" s="4" t="s">
        <v>109</v>
      </c>
      <c r="U20" s="4" t="s">
        <v>110</v>
      </c>
      <c r="V20" s="4" t="s">
        <v>111</v>
      </c>
      <c r="W20" s="4" t="s">
        <v>112</v>
      </c>
      <c r="Y20" s="14" t="s">
        <v>72</v>
      </c>
      <c r="Z20" s="4" t="s">
        <v>107</v>
      </c>
      <c r="AA20" s="4" t="s">
        <v>108</v>
      </c>
      <c r="AB20" s="4" t="s">
        <v>109</v>
      </c>
      <c r="AC20" s="4" t="s">
        <v>110</v>
      </c>
      <c r="AD20" s="4" t="s">
        <v>111</v>
      </c>
      <c r="AF20" s="14" t="s">
        <v>72</v>
      </c>
      <c r="AG20" s="4" t="s">
        <v>107</v>
      </c>
      <c r="AH20" s="4" t="s">
        <v>108</v>
      </c>
      <c r="AI20" s="4" t="s">
        <v>109</v>
      </c>
      <c r="AJ20" s="4" t="s">
        <v>110</v>
      </c>
      <c r="AK20" s="4" t="s">
        <v>111</v>
      </c>
      <c r="AL20" s="4" t="s">
        <v>145</v>
      </c>
    </row>
    <row r="21" spans="1:38" x14ac:dyDescent="0.35">
      <c r="A21" s="6" t="s">
        <v>95</v>
      </c>
      <c r="B21">
        <v>49</v>
      </c>
      <c r="C21">
        <v>0</v>
      </c>
      <c r="D21">
        <v>0</v>
      </c>
      <c r="E21">
        <v>5</v>
      </c>
      <c r="F21">
        <v>0</v>
      </c>
      <c r="G21">
        <v>0</v>
      </c>
      <c r="H21">
        <v>5</v>
      </c>
      <c r="J21" t="s">
        <v>95</v>
      </c>
      <c r="K21">
        <v>49</v>
      </c>
      <c r="L21">
        <v>0</v>
      </c>
      <c r="M21">
        <v>0</v>
      </c>
      <c r="N21">
        <v>5</v>
      </c>
      <c r="O21">
        <v>0</v>
      </c>
      <c r="P21">
        <v>0</v>
      </c>
      <c r="Q21">
        <v>5</v>
      </c>
      <c r="R21" s="18">
        <f>IFERROR(L21/L$24,0)</f>
        <v>0</v>
      </c>
      <c r="S21" s="18">
        <f t="shared" ref="S21:W24" si="8">IFERROR(M21/M$24,0)</f>
        <v>0</v>
      </c>
      <c r="T21" s="18">
        <f t="shared" si="8"/>
        <v>3.3112582781456956E-2</v>
      </c>
      <c r="U21" s="18">
        <f t="shared" si="8"/>
        <v>0</v>
      </c>
      <c r="V21" s="18">
        <f t="shared" si="8"/>
        <v>0</v>
      </c>
      <c r="W21" s="18">
        <f t="shared" si="8"/>
        <v>1.1737089201877934E-2</v>
      </c>
      <c r="Y21" s="34" t="s">
        <v>95</v>
      </c>
      <c r="Z21" s="18">
        <f t="shared" ref="Z21:Z48" si="9">IFERROR(L21/$Q21,0)</f>
        <v>0</v>
      </c>
      <c r="AA21" s="18">
        <f t="shared" ref="AA21:AA48" si="10">IFERROR(M21/$Q21,0)</f>
        <v>0</v>
      </c>
      <c r="AB21" s="18">
        <f t="shared" ref="AB21:AB48" si="11">IFERROR(N21/$Q21,0)</f>
        <v>1</v>
      </c>
      <c r="AC21" s="18">
        <f t="shared" ref="AC21:AC48" si="12">IFERROR(O21/$Q21,0)</f>
        <v>0</v>
      </c>
      <c r="AD21" s="18">
        <f t="shared" ref="AD21:AD48" si="13">IFERROR(P21/$Q21,0)</f>
        <v>0</v>
      </c>
      <c r="AF21" s="1" t="s">
        <v>95</v>
      </c>
      <c r="AG21" s="25">
        <f>IFERROR(AVERAGEIFS('Cleaned Data'!$AN$2:$AN$2022,'Cleaned Data'!$AU$2:$AU$2022,Demographics!$AF21,'Cleaned Data'!Q$2:Q$2022,"=1"),0)</f>
        <v>0</v>
      </c>
      <c r="AH21" s="25">
        <f>IFERROR(AVERAGEIFS('Cleaned Data'!$AN$2:$AN$2022,'Cleaned Data'!$AU$2:$AU$2022,Demographics!$AF21,'Cleaned Data'!R$2:R$2022,"=1"),0)</f>
        <v>0</v>
      </c>
      <c r="AI21" s="25">
        <f>IFERROR(AVERAGEIFS('Cleaned Data'!$AN$2:$AN$2022,'Cleaned Data'!$AU$2:$AU$2022,Demographics!$AF21,'Cleaned Data'!S$2:S$2022,"=1"),0)</f>
        <v>27.6</v>
      </c>
      <c r="AJ21" s="25">
        <f>IFERROR(AVERAGEIFS('Cleaned Data'!$AN$2:$AN$2022,'Cleaned Data'!$AU$2:$AU$2022,Demographics!$AF21,'Cleaned Data'!T$2:T$2022,"=1"),0)</f>
        <v>0</v>
      </c>
      <c r="AK21" s="25">
        <f>IFERROR(AVERAGEIFS('Cleaned Data'!$AN$2:$AN$2022,'Cleaned Data'!$AU$2:$AU$2022,Demographics!$AF21,'Cleaned Data'!U$2:U$2022,"=1"),0)</f>
        <v>0</v>
      </c>
      <c r="AL21" s="25">
        <f>IFERROR(AVERAGEIFS('Cleaned Data'!$AN$2:$AN$2022,'Cleaned Data'!$AU$2:$AU$2022,Demographics!$AF21,'Cleaned Data'!V$2:V$2022,"=1"),0)</f>
        <v>27.6</v>
      </c>
    </row>
    <row r="22" spans="1:38" ht="43.5" x14ac:dyDescent="0.35">
      <c r="A22" s="6" t="s">
        <v>96</v>
      </c>
      <c r="B22">
        <v>957</v>
      </c>
      <c r="C22">
        <v>58</v>
      </c>
      <c r="D22">
        <v>12</v>
      </c>
      <c r="E22">
        <v>73</v>
      </c>
      <c r="F22">
        <v>81</v>
      </c>
      <c r="G22">
        <v>70</v>
      </c>
      <c r="H22">
        <v>208</v>
      </c>
      <c r="J22" t="s">
        <v>96</v>
      </c>
      <c r="K22">
        <v>957</v>
      </c>
      <c r="L22">
        <v>58</v>
      </c>
      <c r="M22">
        <v>12</v>
      </c>
      <c r="N22">
        <v>73</v>
      </c>
      <c r="O22">
        <v>81</v>
      </c>
      <c r="P22">
        <v>70</v>
      </c>
      <c r="Q22">
        <v>208</v>
      </c>
      <c r="R22" s="18">
        <f t="shared" ref="R22:R24" si="14">IFERROR(L22/L$24,0)</f>
        <v>0.43609022556390975</v>
      </c>
      <c r="S22" s="18">
        <f t="shared" si="8"/>
        <v>0.46153846153846156</v>
      </c>
      <c r="T22" s="18">
        <f t="shared" si="8"/>
        <v>0.48344370860927155</v>
      </c>
      <c r="U22" s="18">
        <f t="shared" si="8"/>
        <v>0.52258064516129032</v>
      </c>
      <c r="V22" s="18">
        <f t="shared" si="8"/>
        <v>0.47945205479452052</v>
      </c>
      <c r="W22" s="18">
        <f t="shared" si="8"/>
        <v>0.48826291079812206</v>
      </c>
      <c r="Y22" s="34" t="s">
        <v>96</v>
      </c>
      <c r="Z22" s="18">
        <f t="shared" si="9"/>
        <v>0.27884615384615385</v>
      </c>
      <c r="AA22" s="18">
        <f t="shared" si="10"/>
        <v>5.7692307692307696E-2</v>
      </c>
      <c r="AB22" s="18">
        <f t="shared" si="11"/>
        <v>0.35096153846153844</v>
      </c>
      <c r="AC22" s="18">
        <f t="shared" si="12"/>
        <v>0.38942307692307693</v>
      </c>
      <c r="AD22" s="18">
        <f t="shared" si="13"/>
        <v>0.33653846153846156</v>
      </c>
      <c r="AF22" s="1" t="s">
        <v>96</v>
      </c>
      <c r="AG22" s="25">
        <f>IFERROR(AVERAGEIFS('Cleaned Data'!$AN$2:$AN$2022,'Cleaned Data'!$AU$2:$AU$2022,Demographics!$AF22,'Cleaned Data'!Q$2:Q$2022,"=1"),0)</f>
        <v>1372.5172413793102</v>
      </c>
      <c r="AH22" s="25">
        <f>IFERROR(AVERAGEIFS('Cleaned Data'!$AN$2:$AN$2022,'Cleaned Data'!$AU$2:$AU$2022,Demographics!$AF22,'Cleaned Data'!R$2:R$2022,"=1"),0)</f>
        <v>1160.5</v>
      </c>
      <c r="AI22" s="25">
        <f>IFERROR(AVERAGEIFS('Cleaned Data'!$AN$2:$AN$2022,'Cleaned Data'!$AU$2:$AU$2022,Demographics!$AF22,'Cleaned Data'!S$2:S$2022,"=1"),0)</f>
        <v>661.36986301369859</v>
      </c>
      <c r="AJ22" s="25">
        <f>IFERROR(AVERAGEIFS('Cleaned Data'!$AN$2:$AN$2022,'Cleaned Data'!$AU$2:$AU$2022,Demographics!$AF22,'Cleaned Data'!T$2:T$2022,"=1"),0)</f>
        <v>1031.358024691358</v>
      </c>
      <c r="AK22" s="25">
        <f>IFERROR(AVERAGEIFS('Cleaned Data'!$AN$2:$AN$2022,'Cleaned Data'!$AU$2:$AU$2022,Demographics!$AF22,'Cleaned Data'!U$2:U$2022,"=1"),0)</f>
        <v>1514.7</v>
      </c>
      <c r="AL22" s="42">
        <f>IFERROR(AVERAGEIFS('Cleaned Data'!$AN$2:$AN$2022,'Cleaned Data'!$AU$2:$AU$2022,Demographics!$AF22,'Cleaned Data'!V$2:V$2022,"=1"),0)</f>
        <v>1031.5192307692307</v>
      </c>
    </row>
    <row r="23" spans="1:38" ht="43.5" x14ac:dyDescent="0.35">
      <c r="A23" s="6" t="s">
        <v>97</v>
      </c>
      <c r="B23">
        <v>1015</v>
      </c>
      <c r="C23">
        <v>75</v>
      </c>
      <c r="D23">
        <v>14</v>
      </c>
      <c r="E23">
        <v>73</v>
      </c>
      <c r="F23">
        <v>74</v>
      </c>
      <c r="G23">
        <v>76</v>
      </c>
      <c r="H23">
        <v>213</v>
      </c>
      <c r="J23" t="s">
        <v>97</v>
      </c>
      <c r="K23">
        <v>1015</v>
      </c>
      <c r="L23">
        <v>75</v>
      </c>
      <c r="M23">
        <v>14</v>
      </c>
      <c r="N23">
        <v>73</v>
      </c>
      <c r="O23">
        <v>74</v>
      </c>
      <c r="P23">
        <v>76</v>
      </c>
      <c r="Q23">
        <v>213</v>
      </c>
      <c r="R23" s="18">
        <f t="shared" si="14"/>
        <v>0.56390977443609025</v>
      </c>
      <c r="S23" s="18">
        <f t="shared" si="8"/>
        <v>0.53846153846153844</v>
      </c>
      <c r="T23" s="18">
        <f t="shared" si="8"/>
        <v>0.48344370860927155</v>
      </c>
      <c r="U23" s="18">
        <f t="shared" si="8"/>
        <v>0.47741935483870968</v>
      </c>
      <c r="V23" s="18">
        <f t="shared" si="8"/>
        <v>0.52054794520547942</v>
      </c>
      <c r="W23" s="18">
        <f t="shared" si="8"/>
        <v>0.5</v>
      </c>
      <c r="Y23" s="34" t="s">
        <v>97</v>
      </c>
      <c r="Z23" s="18">
        <f t="shared" si="9"/>
        <v>0.352112676056338</v>
      </c>
      <c r="AA23" s="18">
        <f t="shared" si="10"/>
        <v>6.5727699530516437E-2</v>
      </c>
      <c r="AB23" s="18">
        <f t="shared" si="11"/>
        <v>0.34272300469483569</v>
      </c>
      <c r="AC23" s="18">
        <f t="shared" si="12"/>
        <v>0.34741784037558687</v>
      </c>
      <c r="AD23" s="18">
        <f t="shared" si="13"/>
        <v>0.35680751173708919</v>
      </c>
      <c r="AF23" s="1" t="s">
        <v>97</v>
      </c>
      <c r="AG23" s="25">
        <f>IFERROR(AVERAGEIFS('Cleaned Data'!$AN$2:$AN$2022,'Cleaned Data'!$AU$2:$AU$2022,Demographics!$AF23,'Cleaned Data'!Q$2:Q$2022,"=1"),0)</f>
        <v>1446.3733333333332</v>
      </c>
      <c r="AH23" s="25">
        <f>IFERROR(AVERAGEIFS('Cleaned Data'!$AN$2:$AN$2022,'Cleaned Data'!$AU$2:$AU$2022,Demographics!$AF23,'Cleaned Data'!R$2:R$2022,"=1"),0)</f>
        <v>1331.7857142857142</v>
      </c>
      <c r="AI23" s="25">
        <f>IFERROR(AVERAGEIFS('Cleaned Data'!$AN$2:$AN$2022,'Cleaned Data'!$AU$2:$AU$2022,Demographics!$AF23,'Cleaned Data'!S$2:S$2022,"=1"),0)</f>
        <v>686.20547945205476</v>
      </c>
      <c r="AJ23" s="25">
        <f>IFERROR(AVERAGEIFS('Cleaned Data'!$AN$2:$AN$2022,'Cleaned Data'!$AU$2:$AU$2022,Demographics!$AF23,'Cleaned Data'!T$2:T$2022,"=1"),0)</f>
        <v>1083.8378378378379</v>
      </c>
      <c r="AK23" s="25">
        <f>IFERROR(AVERAGEIFS('Cleaned Data'!$AN$2:$AN$2022,'Cleaned Data'!$AU$2:$AU$2022,Demographics!$AF23,'Cleaned Data'!U$2:U$2022,"=1"),0)</f>
        <v>1556.6315789473683</v>
      </c>
      <c r="AL23" s="42">
        <f>IFERROR(AVERAGEIFS('Cleaned Data'!$AN$2:$AN$2022,'Cleaned Data'!$AU$2:$AU$2022,Demographics!$AF23,'Cleaned Data'!V$2:V$2022,"=1"),0)</f>
        <v>1037.9061032863849</v>
      </c>
    </row>
    <row r="24" spans="1:38" x14ac:dyDescent="0.35">
      <c r="A24" s="6" t="s">
        <v>47</v>
      </c>
      <c r="B24">
        <v>2021</v>
      </c>
      <c r="C24">
        <v>133</v>
      </c>
      <c r="D24">
        <v>26</v>
      </c>
      <c r="E24">
        <v>151</v>
      </c>
      <c r="F24">
        <v>155</v>
      </c>
      <c r="G24">
        <v>146</v>
      </c>
      <c r="H24">
        <v>426</v>
      </c>
      <c r="J24" t="s">
        <v>47</v>
      </c>
      <c r="K24">
        <v>2021</v>
      </c>
      <c r="L24">
        <v>133</v>
      </c>
      <c r="M24">
        <v>26</v>
      </c>
      <c r="N24">
        <v>151</v>
      </c>
      <c r="O24">
        <v>155</v>
      </c>
      <c r="P24">
        <v>146</v>
      </c>
      <c r="Q24">
        <v>426</v>
      </c>
      <c r="R24" s="18">
        <f t="shared" si="14"/>
        <v>1</v>
      </c>
      <c r="S24" s="18">
        <f t="shared" si="8"/>
        <v>1</v>
      </c>
      <c r="T24" s="18">
        <f t="shared" si="8"/>
        <v>1</v>
      </c>
      <c r="U24" s="18">
        <f t="shared" si="8"/>
        <v>1</v>
      </c>
      <c r="V24" s="18">
        <f t="shared" si="8"/>
        <v>1</v>
      </c>
      <c r="W24" s="18">
        <f t="shared" si="8"/>
        <v>1</v>
      </c>
      <c r="Y24" s="34" t="s">
        <v>47</v>
      </c>
      <c r="Z24" s="18">
        <f t="shared" si="9"/>
        <v>0.31220657276995306</v>
      </c>
      <c r="AA24" s="18">
        <f t="shared" si="10"/>
        <v>6.1032863849765258E-2</v>
      </c>
      <c r="AB24" s="18">
        <f t="shared" si="11"/>
        <v>0.35446009389671362</v>
      </c>
      <c r="AC24" s="18">
        <f t="shared" si="12"/>
        <v>0.36384976525821594</v>
      </c>
      <c r="AD24" s="18">
        <f t="shared" si="13"/>
        <v>0.34272300469483569</v>
      </c>
      <c r="AF24" s="1" t="s">
        <v>128</v>
      </c>
      <c r="AG24" s="25">
        <f ca="1">AVERAGEIF(ifood_data[[#All],[AcceptedCmp1]],"=1",'Cleaned Data'!$AN$2:$AN$2022)</f>
        <v>1299.3834586466166</v>
      </c>
      <c r="AH24" s="25">
        <f ca="1">AVERAGEIF(ifood_data[[#All],[AcceptedCmp2]],"=1",'Cleaned Data'!$AN$2:$AN$2022)</f>
        <v>1089.7307692307693</v>
      </c>
      <c r="AI24" s="25">
        <f ca="1">AVERAGEIF(ifood_data[[#All],[AcceptedCmp3]],"=1",'Cleaned Data'!$AN$2:$AN$2022)</f>
        <v>554.00662251655626</v>
      </c>
      <c r="AJ24" s="25">
        <f ca="1">AVERAGEIF(ifood_data[[#All],[AcceptedCmp4]],"=1",'Cleaned Data'!$AN$2:$AN$2022)</f>
        <v>878.65161290322578</v>
      </c>
      <c r="AK24" s="25">
        <f ca="1">AVERAGEIF(ifood_data[[#All],[AcceptedCmp5]],"=1",'Cleaned Data'!$AN$2:$AN$2022)</f>
        <v>1352.9657534246576</v>
      </c>
      <c r="AL24" s="25">
        <f>IFERROR(AVERAGEIFS('Cleaned Data'!$AN$2:$AN$2022,'Cleaned Data'!V$2:V$2022,"=1"),0)</f>
        <v>1022.9295774647887</v>
      </c>
    </row>
    <row r="25" spans="1:38" x14ac:dyDescent="0.35">
      <c r="R25" s="18"/>
      <c r="S25" s="18"/>
      <c r="T25" s="18"/>
      <c r="U25" s="18"/>
      <c r="V25" s="18"/>
      <c r="W25" s="18"/>
      <c r="Y25" s="34"/>
      <c r="Z25" s="18"/>
      <c r="AA25" s="18"/>
      <c r="AB25" s="18"/>
      <c r="AC25" s="18"/>
      <c r="AD25" s="18"/>
    </row>
    <row r="26" spans="1:38" x14ac:dyDescent="0.35">
      <c r="J26" s="4"/>
      <c r="K26" s="4"/>
      <c r="L26" s="4"/>
      <c r="M26" s="4"/>
      <c r="N26" s="4"/>
      <c r="O26" s="4"/>
      <c r="P26" s="4"/>
      <c r="Q26" s="4"/>
      <c r="R26" s="4" t="s">
        <v>114</v>
      </c>
      <c r="S26" s="4"/>
      <c r="T26" s="4"/>
      <c r="U26" s="4"/>
      <c r="V26" s="4"/>
      <c r="W26" s="4"/>
      <c r="Y26" s="14"/>
      <c r="Z26" s="4" t="s">
        <v>114</v>
      </c>
      <c r="AA26" s="4"/>
      <c r="AB26" s="4"/>
      <c r="AC26" s="4"/>
      <c r="AD26" s="4"/>
      <c r="AG26" s="4" t="s">
        <v>151</v>
      </c>
      <c r="AH26" s="4"/>
      <c r="AI26" s="4"/>
      <c r="AJ26" s="4"/>
      <c r="AK26" s="4"/>
    </row>
    <row r="27" spans="1:38" x14ac:dyDescent="0.35">
      <c r="A27" s="5" t="s">
        <v>24</v>
      </c>
      <c r="B27" t="s">
        <v>89</v>
      </c>
      <c r="C27" t="s">
        <v>107</v>
      </c>
      <c r="D27" t="s">
        <v>108</v>
      </c>
      <c r="E27" t="s">
        <v>109</v>
      </c>
      <c r="F27" t="s">
        <v>110</v>
      </c>
      <c r="G27" t="s">
        <v>111</v>
      </c>
      <c r="H27" t="s">
        <v>112</v>
      </c>
      <c r="J27" s="4" t="s">
        <v>24</v>
      </c>
      <c r="K27" s="4" t="s">
        <v>89</v>
      </c>
      <c r="L27" s="4" t="s">
        <v>107</v>
      </c>
      <c r="M27" s="4" t="s">
        <v>108</v>
      </c>
      <c r="N27" s="4" t="s">
        <v>109</v>
      </c>
      <c r="O27" s="4" t="s">
        <v>110</v>
      </c>
      <c r="P27" s="4" t="s">
        <v>111</v>
      </c>
      <c r="Q27" s="4" t="s">
        <v>112</v>
      </c>
      <c r="R27" s="4" t="s">
        <v>107</v>
      </c>
      <c r="S27" s="4" t="s">
        <v>108</v>
      </c>
      <c r="T27" s="4" t="s">
        <v>109</v>
      </c>
      <c r="U27" s="4" t="s">
        <v>110</v>
      </c>
      <c r="V27" s="4" t="s">
        <v>111</v>
      </c>
      <c r="W27" s="4" t="s">
        <v>112</v>
      </c>
      <c r="Y27" s="14" t="s">
        <v>24</v>
      </c>
      <c r="Z27" s="4" t="s">
        <v>107</v>
      </c>
      <c r="AA27" s="4" t="s">
        <v>108</v>
      </c>
      <c r="AB27" s="4" t="s">
        <v>109</v>
      </c>
      <c r="AC27" s="4" t="s">
        <v>110</v>
      </c>
      <c r="AD27" s="4" t="s">
        <v>111</v>
      </c>
      <c r="AF27" s="14" t="s">
        <v>24</v>
      </c>
      <c r="AG27" s="4" t="s">
        <v>107</v>
      </c>
      <c r="AH27" s="4" t="s">
        <v>108</v>
      </c>
      <c r="AI27" s="4" t="s">
        <v>109</v>
      </c>
      <c r="AJ27" s="4" t="s">
        <v>110</v>
      </c>
      <c r="AK27" s="4" t="s">
        <v>111</v>
      </c>
      <c r="AL27" s="4" t="s">
        <v>145</v>
      </c>
    </row>
    <row r="28" spans="1:38" x14ac:dyDescent="0.35">
      <c r="A28" s="6" t="s">
        <v>90</v>
      </c>
      <c r="B28">
        <v>55</v>
      </c>
      <c r="C28">
        <v>7</v>
      </c>
      <c r="D28">
        <v>2</v>
      </c>
      <c r="E28">
        <v>7</v>
      </c>
      <c r="F28">
        <v>4</v>
      </c>
      <c r="G28">
        <v>11</v>
      </c>
      <c r="H28">
        <v>19</v>
      </c>
      <c r="J28" t="s">
        <v>90</v>
      </c>
      <c r="K28">
        <v>55</v>
      </c>
      <c r="L28">
        <v>7</v>
      </c>
      <c r="M28">
        <v>2</v>
      </c>
      <c r="N28">
        <v>7</v>
      </c>
      <c r="O28">
        <v>4</v>
      </c>
      <c r="P28">
        <v>11</v>
      </c>
      <c r="Q28">
        <v>19</v>
      </c>
      <c r="R28" s="18">
        <f>IFERROR(L28/L$33,0)</f>
        <v>5.2631578947368418E-2</v>
      </c>
      <c r="S28" s="18">
        <f t="shared" ref="S28:W33" si="15">IFERROR(M28/M$33,0)</f>
        <v>7.6923076923076927E-2</v>
      </c>
      <c r="T28" s="18">
        <f t="shared" si="15"/>
        <v>4.6357615894039736E-2</v>
      </c>
      <c r="U28" s="18">
        <f t="shared" si="15"/>
        <v>2.5806451612903226E-2</v>
      </c>
      <c r="V28" s="18">
        <f t="shared" si="15"/>
        <v>7.5342465753424653E-2</v>
      </c>
      <c r="W28" s="18">
        <f t="shared" si="15"/>
        <v>4.4600938967136149E-2</v>
      </c>
      <c r="Y28" s="34" t="s">
        <v>90</v>
      </c>
      <c r="Z28" s="18">
        <f t="shared" si="9"/>
        <v>0.36842105263157893</v>
      </c>
      <c r="AA28" s="18">
        <f t="shared" si="10"/>
        <v>0.10526315789473684</v>
      </c>
      <c r="AB28" s="18">
        <f t="shared" si="11"/>
        <v>0.36842105263157893</v>
      </c>
      <c r="AC28" s="18">
        <f t="shared" si="12"/>
        <v>0.21052631578947367</v>
      </c>
      <c r="AD28" s="18">
        <f t="shared" si="13"/>
        <v>0.57894736842105265</v>
      </c>
      <c r="AF28" s="1" t="s">
        <v>90</v>
      </c>
      <c r="AG28" s="25">
        <v>1374</v>
      </c>
      <c r="AH28" s="25">
        <v>1194</v>
      </c>
      <c r="AI28" s="25">
        <v>886</v>
      </c>
      <c r="AJ28" s="25">
        <v>1418</v>
      </c>
      <c r="AK28" s="25">
        <v>1477</v>
      </c>
      <c r="AL28" s="25">
        <v>1301</v>
      </c>
    </row>
    <row r="29" spans="1:38" x14ac:dyDescent="0.35">
      <c r="A29" s="6" t="s">
        <v>91</v>
      </c>
      <c r="B29">
        <v>327</v>
      </c>
      <c r="C29">
        <v>27</v>
      </c>
      <c r="D29">
        <v>3</v>
      </c>
      <c r="E29">
        <v>37</v>
      </c>
      <c r="F29">
        <v>16</v>
      </c>
      <c r="G29">
        <v>34</v>
      </c>
      <c r="H29">
        <v>74</v>
      </c>
      <c r="J29" t="s">
        <v>91</v>
      </c>
      <c r="K29">
        <v>327</v>
      </c>
      <c r="L29">
        <v>27</v>
      </c>
      <c r="M29">
        <v>3</v>
      </c>
      <c r="N29">
        <v>37</v>
      </c>
      <c r="O29">
        <v>16</v>
      </c>
      <c r="P29">
        <v>34</v>
      </c>
      <c r="Q29">
        <v>74</v>
      </c>
      <c r="R29" s="18">
        <f t="shared" ref="R29:R33" si="16">IFERROR(L29/L$33,0)</f>
        <v>0.20300751879699247</v>
      </c>
      <c r="S29" s="18">
        <f t="shared" si="15"/>
        <v>0.11538461538461539</v>
      </c>
      <c r="T29" s="18">
        <f t="shared" si="15"/>
        <v>0.24503311258278146</v>
      </c>
      <c r="U29" s="18">
        <f t="shared" si="15"/>
        <v>0.1032258064516129</v>
      </c>
      <c r="V29" s="18">
        <f t="shared" si="15"/>
        <v>0.23287671232876711</v>
      </c>
      <c r="W29" s="18">
        <f t="shared" si="15"/>
        <v>0.17370892018779344</v>
      </c>
      <c r="Y29" s="34" t="s">
        <v>91</v>
      </c>
      <c r="Z29" s="18">
        <f t="shared" si="9"/>
        <v>0.36486486486486486</v>
      </c>
      <c r="AA29" s="18">
        <f t="shared" si="10"/>
        <v>4.0540540540540543E-2</v>
      </c>
      <c r="AB29" s="18">
        <f t="shared" si="11"/>
        <v>0.5</v>
      </c>
      <c r="AC29" s="18">
        <f t="shared" si="12"/>
        <v>0.21621621621621623</v>
      </c>
      <c r="AD29" s="18">
        <f t="shared" si="13"/>
        <v>0.45945945945945948</v>
      </c>
      <c r="AF29" s="1" t="s">
        <v>91</v>
      </c>
      <c r="AG29" s="25">
        <f>IFERROR(AVERAGEIFS('Cleaned Data'!$AN$2:$AN$2022,'Cleaned Data'!$AW$2:$AW$2022,Demographics!$AF29,'Cleaned Data'!Q$2:Q$2022,"=1"),0)</f>
        <v>1448.4074074074074</v>
      </c>
      <c r="AH29" s="25">
        <f>IFERROR(AVERAGEIFS('Cleaned Data'!$AN$2:$AN$2022,'Cleaned Data'!$AW$2:$AW$2022,Demographics!$AF29,'Cleaned Data'!R$2:R$2022,"=1"),0)</f>
        <v>1642</v>
      </c>
      <c r="AI29" s="25">
        <f>IFERROR(AVERAGEIFS('Cleaned Data'!$AN$2:$AN$2022,'Cleaned Data'!$AW$2:$AW$2022,Demographics!$AF29,'Cleaned Data'!S$2:S$2022,"=1"),0)</f>
        <v>616.08108108108104</v>
      </c>
      <c r="AJ29" s="25">
        <f>IFERROR(AVERAGEIFS('Cleaned Data'!$AN$2:$AN$2022,'Cleaned Data'!$AW$2:$AW$2022,Demographics!$AF29,'Cleaned Data'!T$2:T$2022,"=1"),0)</f>
        <v>1335.875</v>
      </c>
      <c r="AK29" s="25">
        <f>IFERROR(AVERAGEIFS('Cleaned Data'!$AN$2:$AN$2022,'Cleaned Data'!$AW$2:$AW$2022,Demographics!$AF29,'Cleaned Data'!U$2:U$2022,"=1"),0)</f>
        <v>1540.2647058823529</v>
      </c>
      <c r="AL29" s="25">
        <f>IFERROR(AVERAGEIFS('Cleaned Data'!$AN$2:$AN$2022,'Cleaned Data'!$AW$2:$AW$2022,Demographics!$AF29,'Cleaned Data'!V$2:V$2022,"=1"),0)</f>
        <v>1019.2432432432432</v>
      </c>
    </row>
    <row r="30" spans="1:38" x14ac:dyDescent="0.35">
      <c r="A30" s="6" t="s">
        <v>92</v>
      </c>
      <c r="B30">
        <v>669</v>
      </c>
      <c r="C30">
        <v>34</v>
      </c>
      <c r="D30">
        <v>7</v>
      </c>
      <c r="E30">
        <v>53</v>
      </c>
      <c r="F30">
        <v>40</v>
      </c>
      <c r="G30">
        <v>34</v>
      </c>
      <c r="H30">
        <v>117</v>
      </c>
      <c r="J30" t="s">
        <v>92</v>
      </c>
      <c r="K30">
        <v>669</v>
      </c>
      <c r="L30">
        <v>34</v>
      </c>
      <c r="M30">
        <v>7</v>
      </c>
      <c r="N30">
        <v>53</v>
      </c>
      <c r="O30">
        <v>40</v>
      </c>
      <c r="P30">
        <v>34</v>
      </c>
      <c r="Q30">
        <v>117</v>
      </c>
      <c r="R30" s="18">
        <f t="shared" si="16"/>
        <v>0.25563909774436089</v>
      </c>
      <c r="S30" s="18">
        <f t="shared" si="15"/>
        <v>0.26923076923076922</v>
      </c>
      <c r="T30" s="18">
        <f t="shared" si="15"/>
        <v>0.35099337748344372</v>
      </c>
      <c r="U30" s="18">
        <f t="shared" si="15"/>
        <v>0.25806451612903225</v>
      </c>
      <c r="V30" s="18">
        <f t="shared" si="15"/>
        <v>0.23287671232876711</v>
      </c>
      <c r="W30" s="18">
        <f t="shared" si="15"/>
        <v>0.27464788732394368</v>
      </c>
      <c r="Y30" s="34" t="s">
        <v>92</v>
      </c>
      <c r="Z30" s="18">
        <f t="shared" si="9"/>
        <v>0.29059829059829062</v>
      </c>
      <c r="AA30" s="18">
        <f t="shared" si="10"/>
        <v>5.9829059829059832E-2</v>
      </c>
      <c r="AB30" s="18">
        <f t="shared" si="11"/>
        <v>0.45299145299145299</v>
      </c>
      <c r="AC30" s="18">
        <f t="shared" si="12"/>
        <v>0.34188034188034189</v>
      </c>
      <c r="AD30" s="18">
        <f t="shared" si="13"/>
        <v>0.29059829059829062</v>
      </c>
      <c r="AF30" s="1" t="s">
        <v>92</v>
      </c>
      <c r="AG30" s="25">
        <f>IFERROR(AVERAGEIFS('Cleaned Data'!$AN$2:$AN$2022,'Cleaned Data'!$AW$2:$AW$2022,Demographics!$AF30,'Cleaned Data'!Q$2:Q$2022,"=1"),0)</f>
        <v>1463.3235294117646</v>
      </c>
      <c r="AH30" s="25">
        <f>IFERROR(AVERAGEIFS('Cleaned Data'!$AN$2:$AN$2022,'Cleaned Data'!$AW$2:$AW$2022,Demographics!$AF30,'Cleaned Data'!R$2:R$2022,"=1"),0)</f>
        <v>1297.7142857142858</v>
      </c>
      <c r="AI30" s="25">
        <f>IFERROR(AVERAGEIFS('Cleaned Data'!$AN$2:$AN$2022,'Cleaned Data'!$AW$2:$AW$2022,Demographics!$AF30,'Cleaned Data'!S$2:S$2022,"=1"),0)</f>
        <v>550.16981132075466</v>
      </c>
      <c r="AJ30" s="25">
        <f>IFERROR(AVERAGEIFS('Cleaned Data'!$AN$2:$AN$2022,'Cleaned Data'!$AW$2:$AW$2022,Demographics!$AF30,'Cleaned Data'!T$2:T$2022,"=1"),0)</f>
        <v>1038.2750000000001</v>
      </c>
      <c r="AK30" s="25">
        <f>IFERROR(AVERAGEIFS('Cleaned Data'!$AN$2:$AN$2022,'Cleaned Data'!$AW$2:$AW$2022,Demographics!$AF30,'Cleaned Data'!U$2:U$2022,"=1"),0)</f>
        <v>1531.5294117647059</v>
      </c>
      <c r="AL30" s="25">
        <f>IFERROR(AVERAGEIFS('Cleaned Data'!$AN$2:$AN$2022,'Cleaned Data'!$AW$2:$AW$2022,Demographics!$AF30,'Cleaned Data'!V$2:V$2022,"=1"),0)</f>
        <v>914.50427350427356</v>
      </c>
    </row>
    <row r="31" spans="1:38" x14ac:dyDescent="0.35">
      <c r="A31" s="6" t="s">
        <v>93</v>
      </c>
      <c r="B31">
        <v>455</v>
      </c>
      <c r="C31">
        <v>25</v>
      </c>
      <c r="D31">
        <v>7</v>
      </c>
      <c r="E31">
        <v>23</v>
      </c>
      <c r="F31">
        <v>43</v>
      </c>
      <c r="G31">
        <v>25</v>
      </c>
      <c r="H31">
        <v>97</v>
      </c>
      <c r="J31" t="s">
        <v>93</v>
      </c>
      <c r="K31">
        <v>455</v>
      </c>
      <c r="L31">
        <v>25</v>
      </c>
      <c r="M31">
        <v>7</v>
      </c>
      <c r="N31">
        <v>23</v>
      </c>
      <c r="O31">
        <v>43</v>
      </c>
      <c r="P31">
        <v>25</v>
      </c>
      <c r="Q31">
        <v>97</v>
      </c>
      <c r="R31" s="18">
        <f t="shared" si="16"/>
        <v>0.18796992481203006</v>
      </c>
      <c r="S31" s="18">
        <f t="shared" si="15"/>
        <v>0.26923076923076922</v>
      </c>
      <c r="T31" s="18">
        <f t="shared" si="15"/>
        <v>0.15231788079470199</v>
      </c>
      <c r="U31" s="18">
        <f t="shared" si="15"/>
        <v>0.27741935483870966</v>
      </c>
      <c r="V31" s="18">
        <f t="shared" si="15"/>
        <v>0.17123287671232876</v>
      </c>
      <c r="W31" s="18">
        <f t="shared" si="15"/>
        <v>0.22769953051643194</v>
      </c>
      <c r="Y31" s="34" t="s">
        <v>93</v>
      </c>
      <c r="Z31" s="18">
        <f t="shared" si="9"/>
        <v>0.25773195876288657</v>
      </c>
      <c r="AA31" s="18">
        <f t="shared" si="10"/>
        <v>7.2164948453608241E-2</v>
      </c>
      <c r="AB31" s="18">
        <f t="shared" si="11"/>
        <v>0.23711340206185566</v>
      </c>
      <c r="AC31" s="18">
        <f t="shared" si="12"/>
        <v>0.44329896907216493</v>
      </c>
      <c r="AD31" s="18">
        <f t="shared" si="13"/>
        <v>0.25773195876288657</v>
      </c>
      <c r="AF31" s="1" t="s">
        <v>93</v>
      </c>
      <c r="AG31" s="25">
        <f>IFERROR(AVERAGEIFS('Cleaned Data'!$AN$2:$AN$2022,'Cleaned Data'!$AW$2:$AW$2022,Demographics!$AF31,'Cleaned Data'!Q$2:Q$2022,"=1"),0)</f>
        <v>1361.16</v>
      </c>
      <c r="AH31" s="25">
        <f>IFERROR(AVERAGEIFS('Cleaned Data'!$AN$2:$AN$2022,'Cleaned Data'!$AW$2:$AW$2022,Demographics!$AF31,'Cleaned Data'!R$2:R$2022,"=1"),0)</f>
        <v>1078.4285714285713</v>
      </c>
      <c r="AI31" s="25">
        <f>IFERROR(AVERAGEIFS('Cleaned Data'!$AN$2:$AN$2022,'Cleaned Data'!$AW$2:$AW$2022,Demographics!$AF31,'Cleaned Data'!S$2:S$2022,"=1"),0)</f>
        <v>633.56521739130437</v>
      </c>
      <c r="AJ31" s="25">
        <f>IFERROR(AVERAGEIFS('Cleaned Data'!$AN$2:$AN$2022,'Cleaned Data'!$AW$2:$AW$2022,Demographics!$AF31,'Cleaned Data'!T$2:T$2022,"=1"),0)</f>
        <v>945.62790697674416</v>
      </c>
      <c r="AK31" s="25">
        <f>IFERROR(AVERAGEIFS('Cleaned Data'!$AN$2:$AN$2022,'Cleaned Data'!$AW$2:$AW$2022,Demographics!$AF31,'Cleaned Data'!U$2:U$2022,"=1"),0)</f>
        <v>1510.8</v>
      </c>
      <c r="AL31" s="25">
        <f>IFERROR(AVERAGEIFS('Cleaned Data'!$AN$2:$AN$2022,'Cleaned Data'!$AW$2:$AW$2022,Demographics!$AF31,'Cleaned Data'!V$2:V$2022,"=1"),0)</f>
        <v>987.52577319587624</v>
      </c>
    </row>
    <row r="32" spans="1:38" x14ac:dyDescent="0.35">
      <c r="A32" s="6" t="s">
        <v>94</v>
      </c>
      <c r="B32">
        <v>515</v>
      </c>
      <c r="C32">
        <v>40</v>
      </c>
      <c r="D32">
        <v>7</v>
      </c>
      <c r="E32">
        <v>31</v>
      </c>
      <c r="F32">
        <v>52</v>
      </c>
      <c r="G32">
        <v>42</v>
      </c>
      <c r="H32">
        <v>119</v>
      </c>
      <c r="J32" t="s">
        <v>94</v>
      </c>
      <c r="K32">
        <v>515</v>
      </c>
      <c r="L32">
        <v>40</v>
      </c>
      <c r="M32">
        <v>7</v>
      </c>
      <c r="N32">
        <v>31</v>
      </c>
      <c r="O32">
        <v>52</v>
      </c>
      <c r="P32">
        <v>42</v>
      </c>
      <c r="Q32">
        <v>119</v>
      </c>
      <c r="R32" s="18">
        <f t="shared" si="16"/>
        <v>0.3007518796992481</v>
      </c>
      <c r="S32" s="18">
        <f t="shared" si="15"/>
        <v>0.26923076923076922</v>
      </c>
      <c r="T32" s="18">
        <f t="shared" si="15"/>
        <v>0.20529801324503311</v>
      </c>
      <c r="U32" s="18">
        <f t="shared" si="15"/>
        <v>0.33548387096774196</v>
      </c>
      <c r="V32" s="18">
        <f t="shared" si="15"/>
        <v>0.28767123287671231</v>
      </c>
      <c r="W32" s="18">
        <f t="shared" si="15"/>
        <v>0.27934272300469482</v>
      </c>
      <c r="Y32" s="34" t="s">
        <v>94</v>
      </c>
      <c r="Z32" s="18">
        <f t="shared" si="9"/>
        <v>0.33613445378151263</v>
      </c>
      <c r="AA32" s="18">
        <f t="shared" si="10"/>
        <v>5.8823529411764705E-2</v>
      </c>
      <c r="AB32" s="18">
        <f t="shared" si="11"/>
        <v>0.26050420168067229</v>
      </c>
      <c r="AC32" s="18">
        <f t="shared" si="12"/>
        <v>0.43697478991596639</v>
      </c>
      <c r="AD32" s="18">
        <f t="shared" si="13"/>
        <v>0.35294117647058826</v>
      </c>
      <c r="AF32" s="1" t="s">
        <v>94</v>
      </c>
      <c r="AG32" s="25">
        <f>IFERROR(AVERAGEIFS('Cleaned Data'!$AN$2:$AN$2022,'Cleaned Data'!$AW$2:$AW$2022,Demographics!$AF32,'Cleaned Data'!Q$2:Q$2022,"=1"),0)</f>
        <v>1389.375</v>
      </c>
      <c r="AH32" s="25">
        <f>IFERROR(AVERAGEIFS('Cleaned Data'!$AN$2:$AN$2022,'Cleaned Data'!$AW$2:$AW$2022,Demographics!$AF32,'Cleaned Data'!R$2:R$2022,"=1"),0)</f>
        <v>1232</v>
      </c>
      <c r="AI32" s="25">
        <f>IFERROR(AVERAGEIFS('Cleaned Data'!$AN$2:$AN$2022,'Cleaned Data'!$AW$2:$AW$2022,Demographics!$AF32,'Cleaned Data'!S$2:S$2022,"=1"),0)</f>
        <v>831.77419354838707</v>
      </c>
      <c r="AJ32" s="25">
        <f>IFERROR(AVERAGEIFS('Cleaned Data'!$AN$2:$AN$2022,'Cleaned Data'!$AW$2:$AW$2022,Demographics!$AF32,'Cleaned Data'!T$2:T$2022,"=1"),0)</f>
        <v>1048.1346153846155</v>
      </c>
      <c r="AK32" s="25">
        <f>IFERROR(AVERAGEIFS('Cleaned Data'!$AN$2:$AN$2022,'Cleaned Data'!$AW$2:$AW$2022,Demographics!$AF32,'Cleaned Data'!U$2:U$2022,"=1"),0)</f>
        <v>1568.4047619047619</v>
      </c>
      <c r="AL32" s="42">
        <f>IFERROR(AVERAGEIFS('Cleaned Data'!$AN$2:$AN$2022,'Cleaned Data'!$AW$2:$AW$2022,Demographics!$AF32,'Cleaned Data'!V$2:V$2022,"=1"),0)</f>
        <v>1116.2184873949579</v>
      </c>
    </row>
    <row r="33" spans="1:38" x14ac:dyDescent="0.35">
      <c r="A33" s="6" t="s">
        <v>47</v>
      </c>
      <c r="B33">
        <v>2021</v>
      </c>
      <c r="C33">
        <v>133</v>
      </c>
      <c r="D33">
        <v>26</v>
      </c>
      <c r="E33">
        <v>151</v>
      </c>
      <c r="F33">
        <v>155</v>
      </c>
      <c r="G33">
        <v>146</v>
      </c>
      <c r="H33">
        <v>426</v>
      </c>
      <c r="J33" t="s">
        <v>47</v>
      </c>
      <c r="K33">
        <v>2021</v>
      </c>
      <c r="L33">
        <v>133</v>
      </c>
      <c r="M33">
        <v>26</v>
      </c>
      <c r="N33">
        <v>151</v>
      </c>
      <c r="O33">
        <v>155</v>
      </c>
      <c r="P33">
        <v>146</v>
      </c>
      <c r="Q33">
        <v>426</v>
      </c>
      <c r="R33" s="18">
        <f t="shared" si="16"/>
        <v>1</v>
      </c>
      <c r="S33" s="18">
        <f t="shared" si="15"/>
        <v>1</v>
      </c>
      <c r="T33" s="18">
        <f t="shared" si="15"/>
        <v>1</v>
      </c>
      <c r="U33" s="18">
        <f t="shared" si="15"/>
        <v>1</v>
      </c>
      <c r="V33" s="18">
        <f t="shared" si="15"/>
        <v>1</v>
      </c>
      <c r="W33" s="18">
        <f t="shared" si="15"/>
        <v>1</v>
      </c>
      <c r="Y33" s="34" t="s">
        <v>47</v>
      </c>
      <c r="Z33" s="18">
        <f t="shared" si="9"/>
        <v>0.31220657276995306</v>
      </c>
      <c r="AA33" s="18">
        <f t="shared" si="10"/>
        <v>6.1032863849765258E-2</v>
      </c>
      <c r="AB33" s="18">
        <f t="shared" si="11"/>
        <v>0.35446009389671362</v>
      </c>
      <c r="AC33" s="18">
        <f t="shared" si="12"/>
        <v>0.36384976525821594</v>
      </c>
      <c r="AD33" s="18">
        <f t="shared" si="13"/>
        <v>0.34272300469483569</v>
      </c>
      <c r="AF33" s="1" t="s">
        <v>128</v>
      </c>
      <c r="AG33" s="25">
        <f ca="1">AVERAGEIF(ifood_data[[#All],[AcceptedCmp1]],"=1",'Cleaned Data'!$AN$2:$AN$2022)</f>
        <v>1299.3834586466166</v>
      </c>
      <c r="AH33" s="25">
        <f ca="1">AVERAGEIF(ifood_data[[#All],[AcceptedCmp2]],"=1",'Cleaned Data'!$AN$2:$AN$2022)</f>
        <v>1089.7307692307693</v>
      </c>
      <c r="AI33" s="25">
        <f ca="1">AVERAGEIF(ifood_data[[#All],[AcceptedCmp3]],"=1",'Cleaned Data'!$AN$2:$AN$2022)</f>
        <v>554.00662251655626</v>
      </c>
      <c r="AJ33" s="25">
        <f ca="1">AVERAGEIF(ifood_data[[#All],[AcceptedCmp4]],"=1",'Cleaned Data'!$AN$2:$AN$2022)</f>
        <v>878.65161290322578</v>
      </c>
      <c r="AK33" s="25">
        <f ca="1">AVERAGEIF(ifood_data[[#All],[AcceptedCmp5]],"=1",'Cleaned Data'!$AN$2:$AN$2022)</f>
        <v>1352.9657534246576</v>
      </c>
      <c r="AL33" s="25">
        <f>IFERROR(AVERAGEIFS('Cleaned Data'!$AN$2:$AN$2022,'Cleaned Data'!V$2:V$2022,"=1"),0)</f>
        <v>1022.9295774647887</v>
      </c>
    </row>
    <row r="34" spans="1:38" x14ac:dyDescent="0.35">
      <c r="Z34" s="18"/>
      <c r="AA34" s="18"/>
      <c r="AB34" s="18"/>
      <c r="AC34" s="18"/>
      <c r="AD34" s="18"/>
    </row>
    <row r="35" spans="1:38" x14ac:dyDescent="0.35">
      <c r="J35" s="4"/>
      <c r="K35" s="4"/>
      <c r="L35" s="4"/>
      <c r="M35" s="4"/>
      <c r="N35" s="4"/>
      <c r="O35" s="4"/>
      <c r="P35" s="4"/>
      <c r="Q35" s="4"/>
      <c r="R35" s="4" t="s">
        <v>114</v>
      </c>
      <c r="S35" s="4"/>
      <c r="T35" s="4"/>
      <c r="U35" s="4"/>
      <c r="V35" s="4"/>
      <c r="W35" s="4"/>
      <c r="Y35" s="14"/>
      <c r="Z35" s="4" t="s">
        <v>114</v>
      </c>
      <c r="AA35" s="4"/>
      <c r="AB35" s="4"/>
      <c r="AC35" s="4"/>
      <c r="AD35" s="4"/>
      <c r="AG35" s="4" t="s">
        <v>151</v>
      </c>
      <c r="AH35" s="4"/>
      <c r="AI35" s="4"/>
      <c r="AJ35" s="4"/>
      <c r="AK35" s="4"/>
    </row>
    <row r="36" spans="1:38" ht="29" x14ac:dyDescent="0.35">
      <c r="A36" s="5" t="s">
        <v>103</v>
      </c>
      <c r="B36" t="s">
        <v>89</v>
      </c>
      <c r="C36" t="s">
        <v>107</v>
      </c>
      <c r="D36" t="s">
        <v>108</v>
      </c>
      <c r="E36" t="s">
        <v>109</v>
      </c>
      <c r="F36" t="s">
        <v>110</v>
      </c>
      <c r="G36" t="s">
        <v>111</v>
      </c>
      <c r="H36" t="s">
        <v>112</v>
      </c>
      <c r="J36" s="4" t="s">
        <v>103</v>
      </c>
      <c r="K36" s="4" t="s">
        <v>89</v>
      </c>
      <c r="L36" s="4" t="s">
        <v>107</v>
      </c>
      <c r="M36" s="4" t="s">
        <v>108</v>
      </c>
      <c r="N36" s="4" t="s">
        <v>109</v>
      </c>
      <c r="O36" s="4" t="s">
        <v>110</v>
      </c>
      <c r="P36" s="4" t="s">
        <v>111</v>
      </c>
      <c r="Q36" s="4" t="s">
        <v>112</v>
      </c>
      <c r="R36" s="4" t="s">
        <v>107</v>
      </c>
      <c r="S36" s="4" t="s">
        <v>108</v>
      </c>
      <c r="T36" s="4" t="s">
        <v>109</v>
      </c>
      <c r="U36" s="4" t="s">
        <v>110</v>
      </c>
      <c r="V36" s="4" t="s">
        <v>111</v>
      </c>
      <c r="W36" s="4" t="s">
        <v>112</v>
      </c>
      <c r="Y36" s="14" t="s">
        <v>103</v>
      </c>
      <c r="Z36" s="4" t="s">
        <v>107</v>
      </c>
      <c r="AA36" s="4" t="s">
        <v>108</v>
      </c>
      <c r="AB36" s="4" t="s">
        <v>109</v>
      </c>
      <c r="AC36" s="4" t="s">
        <v>110</v>
      </c>
      <c r="AD36" s="4" t="s">
        <v>111</v>
      </c>
      <c r="AF36" s="14" t="s">
        <v>103</v>
      </c>
      <c r="AG36" s="4" t="s">
        <v>107</v>
      </c>
      <c r="AH36" s="4" t="s">
        <v>108</v>
      </c>
      <c r="AI36" s="4" t="s">
        <v>109</v>
      </c>
      <c r="AJ36" s="4" t="s">
        <v>110</v>
      </c>
      <c r="AK36" s="4" t="s">
        <v>111</v>
      </c>
      <c r="AL36" s="4" t="s">
        <v>145</v>
      </c>
    </row>
    <row r="37" spans="1:38" x14ac:dyDescent="0.35">
      <c r="A37" s="6" t="s">
        <v>98</v>
      </c>
      <c r="B37">
        <v>214</v>
      </c>
      <c r="C37">
        <v>11</v>
      </c>
      <c r="D37">
        <v>5</v>
      </c>
      <c r="E37">
        <v>16</v>
      </c>
      <c r="F37">
        <v>18</v>
      </c>
      <c r="G37">
        <v>12</v>
      </c>
      <c r="H37">
        <v>42</v>
      </c>
      <c r="J37" t="s">
        <v>98</v>
      </c>
      <c r="K37">
        <v>214</v>
      </c>
      <c r="L37">
        <v>11</v>
      </c>
      <c r="M37">
        <v>5</v>
      </c>
      <c r="N37">
        <v>16</v>
      </c>
      <c r="O37">
        <v>18</v>
      </c>
      <c r="P37">
        <v>12</v>
      </c>
      <c r="Q37">
        <v>42</v>
      </c>
      <c r="R37" s="18">
        <f>IFERROR(L37/L$42,0)</f>
        <v>8.2706766917293228E-2</v>
      </c>
      <c r="S37" s="18">
        <f t="shared" ref="S37:W37" si="17">IFERROR(M37/M$42,0)</f>
        <v>0.19230769230769232</v>
      </c>
      <c r="T37" s="18">
        <f t="shared" si="17"/>
        <v>0.10596026490066225</v>
      </c>
      <c r="U37" s="18">
        <f t="shared" si="17"/>
        <v>0.11612903225806452</v>
      </c>
      <c r="V37" s="18">
        <f t="shared" si="17"/>
        <v>8.2191780821917804E-2</v>
      </c>
      <c r="W37" s="18">
        <f t="shared" si="17"/>
        <v>9.8591549295774641E-2</v>
      </c>
      <c r="Y37" s="34" t="s">
        <v>98</v>
      </c>
      <c r="Z37" s="18">
        <f t="shared" si="9"/>
        <v>0.26190476190476192</v>
      </c>
      <c r="AA37" s="18">
        <f t="shared" si="10"/>
        <v>0.11904761904761904</v>
      </c>
      <c r="AB37" s="18">
        <f t="shared" si="11"/>
        <v>0.38095238095238093</v>
      </c>
      <c r="AC37" s="18">
        <f t="shared" si="12"/>
        <v>0.42857142857142855</v>
      </c>
      <c r="AD37" s="18">
        <f t="shared" si="13"/>
        <v>0.2857142857142857</v>
      </c>
      <c r="AF37" s="1" t="s">
        <v>98</v>
      </c>
      <c r="AG37" s="25">
        <f>IFERROR(AVERAGEIFS('Cleaned Data'!$AN$2:$AN$2022,'Cleaned Data'!$AT$2:$AT$2022,Demographics!$AF37,'Cleaned Data'!Q$2:Q$2022,"=1"),0)</f>
        <v>1299.7272727272727</v>
      </c>
      <c r="AH37" s="25">
        <f>IFERROR(AVERAGEIFS('Cleaned Data'!$AN$2:$AN$2022,'Cleaned Data'!$AT$2:$AT$2022,Demographics!$AF37,'Cleaned Data'!R$2:R$2022,"=1"),0)</f>
        <v>1283.4000000000001</v>
      </c>
      <c r="AI37" s="25">
        <f>IFERROR(AVERAGEIFS('Cleaned Data'!$AN$2:$AN$2022,'Cleaned Data'!$AT$2:$AT$2022,Demographics!$AF37,'Cleaned Data'!S$2:S$2022,"=1"),0)</f>
        <v>805.5625</v>
      </c>
      <c r="AJ37" s="25">
        <f>IFERROR(AVERAGEIFS('Cleaned Data'!$AN$2:$AN$2022,'Cleaned Data'!$AT$2:$AT$2022,Demographics!$AF37,'Cleaned Data'!T$2:T$2022,"=1"),0)</f>
        <v>965.05555555555554</v>
      </c>
      <c r="AK37" s="25">
        <f>IFERROR(AVERAGEIFS('Cleaned Data'!$AN$2:$AN$2022,'Cleaned Data'!$AT$2:$AT$2022,Demographics!$AF37,'Cleaned Data'!U$2:U$2022,"=1"),0)</f>
        <v>1372.1666666666667</v>
      </c>
      <c r="AL37" s="25">
        <f>IFERROR(AVERAGEIFS('Cleaned Data'!$AN$2:$AN$2022,'Cleaned Data'!$AT$2:$AT$2022,Demographics!$AF37,'Cleaned Data'!V$2:V$2022,"=1"),0)</f>
        <v>961.30952380952385</v>
      </c>
    </row>
    <row r="38" spans="1:38" ht="29" x14ac:dyDescent="0.35">
      <c r="A38" s="6" t="s">
        <v>99</v>
      </c>
      <c r="B38">
        <v>509</v>
      </c>
      <c r="C38">
        <v>28</v>
      </c>
      <c r="D38">
        <v>9</v>
      </c>
      <c r="E38">
        <v>34</v>
      </c>
      <c r="F38">
        <v>39</v>
      </c>
      <c r="G38">
        <v>38</v>
      </c>
      <c r="H38">
        <v>104</v>
      </c>
      <c r="J38" t="s">
        <v>99</v>
      </c>
      <c r="K38">
        <v>509</v>
      </c>
      <c r="L38">
        <v>28</v>
      </c>
      <c r="M38">
        <v>9</v>
      </c>
      <c r="N38">
        <v>34</v>
      </c>
      <c r="O38">
        <v>39</v>
      </c>
      <c r="P38">
        <v>38</v>
      </c>
      <c r="Q38">
        <v>104</v>
      </c>
      <c r="R38" s="18">
        <f t="shared" ref="R38:R42" si="18">IFERROR(L38/L$42,0)</f>
        <v>0.21052631578947367</v>
      </c>
      <c r="S38" s="18">
        <f t="shared" ref="S38:S42" si="19">IFERROR(M38/M$42,0)</f>
        <v>0.34615384615384615</v>
      </c>
      <c r="T38" s="18">
        <f t="shared" ref="T38:T42" si="20">IFERROR(N38/N$42,0)</f>
        <v>0.2251655629139073</v>
      </c>
      <c r="U38" s="18">
        <f t="shared" ref="U38:U42" si="21">IFERROR(O38/O$42,0)</f>
        <v>0.25161290322580643</v>
      </c>
      <c r="V38" s="18">
        <f t="shared" ref="V38:V42" si="22">IFERROR(P38/P$42,0)</f>
        <v>0.26027397260273971</v>
      </c>
      <c r="W38" s="18">
        <f t="shared" ref="W38:W42" si="23">IFERROR(Q38/Q$42,0)</f>
        <v>0.24413145539906103</v>
      </c>
      <c r="Y38" s="34" t="s">
        <v>99</v>
      </c>
      <c r="Z38" s="18">
        <f t="shared" si="9"/>
        <v>0.26923076923076922</v>
      </c>
      <c r="AA38" s="18">
        <f t="shared" si="10"/>
        <v>8.6538461538461536E-2</v>
      </c>
      <c r="AB38" s="18">
        <f t="shared" si="11"/>
        <v>0.32692307692307693</v>
      </c>
      <c r="AC38" s="18">
        <f t="shared" si="12"/>
        <v>0.375</v>
      </c>
      <c r="AD38" s="18">
        <f t="shared" si="13"/>
        <v>0.36538461538461536</v>
      </c>
      <c r="AF38" s="1" t="s">
        <v>99</v>
      </c>
      <c r="AG38" s="25">
        <f>IFERROR(AVERAGEIFS('Cleaned Data'!$AN$2:$AN$2022,'Cleaned Data'!$AT$2:$AT$2022,Demographics!$AF38,'Cleaned Data'!Q$2:Q$2022,"=1"),0)</f>
        <v>1561.7857142857142</v>
      </c>
      <c r="AH38" s="25">
        <f>IFERROR(AVERAGEIFS('Cleaned Data'!$AN$2:$AN$2022,'Cleaned Data'!$AT$2:$AT$2022,Demographics!$AF38,'Cleaned Data'!R$2:R$2022,"=1"),0)</f>
        <v>1224.6666666666667</v>
      </c>
      <c r="AI38" s="25">
        <f>IFERROR(AVERAGEIFS('Cleaned Data'!$AN$2:$AN$2022,'Cleaned Data'!$AT$2:$AT$2022,Demographics!$AF38,'Cleaned Data'!S$2:S$2022,"=1"),0)</f>
        <v>661.55882352941171</v>
      </c>
      <c r="AJ38" s="25">
        <f>IFERROR(AVERAGEIFS('Cleaned Data'!$AN$2:$AN$2022,'Cleaned Data'!$AT$2:$AT$2022,Demographics!$AF38,'Cleaned Data'!T$2:T$2022,"=1"),0)</f>
        <v>1042.2051282051282</v>
      </c>
      <c r="AK38" s="25">
        <f>IFERROR(AVERAGEIFS('Cleaned Data'!$AN$2:$AN$2022,'Cleaned Data'!$AT$2:$AT$2022,Demographics!$AF38,'Cleaned Data'!U$2:U$2022,"=1"),0)</f>
        <v>1626.3947368421052</v>
      </c>
      <c r="AL38" s="42">
        <f>IFERROR(AVERAGEIFS('Cleaned Data'!$AN$2:$AN$2022,'Cleaned Data'!$AT$2:$AT$2022,Demographics!$AF38,'Cleaned Data'!V$2:V$2022,"=1"),0)</f>
        <v>1042.0192307692307</v>
      </c>
    </row>
    <row r="39" spans="1:38" x14ac:dyDescent="0.35">
      <c r="A39" s="6" t="s">
        <v>100</v>
      </c>
      <c r="B39">
        <v>785</v>
      </c>
      <c r="C39">
        <v>59</v>
      </c>
      <c r="D39">
        <v>6</v>
      </c>
      <c r="E39">
        <v>59</v>
      </c>
      <c r="F39">
        <v>59</v>
      </c>
      <c r="G39">
        <v>59</v>
      </c>
      <c r="H39">
        <v>168</v>
      </c>
      <c r="J39" t="s">
        <v>100</v>
      </c>
      <c r="K39">
        <v>785</v>
      </c>
      <c r="L39">
        <v>59</v>
      </c>
      <c r="M39">
        <v>6</v>
      </c>
      <c r="N39">
        <v>59</v>
      </c>
      <c r="O39">
        <v>59</v>
      </c>
      <c r="P39">
        <v>59</v>
      </c>
      <c r="Q39">
        <v>168</v>
      </c>
      <c r="R39" s="18">
        <f t="shared" si="18"/>
        <v>0.44360902255639095</v>
      </c>
      <c r="S39" s="18">
        <f t="shared" si="19"/>
        <v>0.23076923076923078</v>
      </c>
      <c r="T39" s="18">
        <f t="shared" si="20"/>
        <v>0.39072847682119205</v>
      </c>
      <c r="U39" s="18">
        <f t="shared" si="21"/>
        <v>0.38064516129032255</v>
      </c>
      <c r="V39" s="18">
        <f t="shared" si="22"/>
        <v>0.4041095890410959</v>
      </c>
      <c r="W39" s="18">
        <f t="shared" si="23"/>
        <v>0.39436619718309857</v>
      </c>
      <c r="Y39" s="34" t="s">
        <v>100</v>
      </c>
      <c r="Z39" s="18">
        <f t="shared" si="9"/>
        <v>0.35119047619047616</v>
      </c>
      <c r="AA39" s="18">
        <f t="shared" si="10"/>
        <v>3.5714285714285712E-2</v>
      </c>
      <c r="AB39" s="18">
        <f t="shared" si="11"/>
        <v>0.35119047619047616</v>
      </c>
      <c r="AC39" s="18">
        <f t="shared" si="12"/>
        <v>0.35119047619047616</v>
      </c>
      <c r="AD39" s="18">
        <f t="shared" si="13"/>
        <v>0.35119047619047616</v>
      </c>
      <c r="AF39" s="1" t="s">
        <v>100</v>
      </c>
      <c r="AG39" s="25">
        <f>IFERROR(AVERAGEIFS('Cleaned Data'!$AN$2:$AN$2022,'Cleaned Data'!$AT$2:$AT$2022,Demographics!$AF39,'Cleaned Data'!Q$2:Q$2022,"=1"),0)</f>
        <v>1369.3050847457628</v>
      </c>
      <c r="AH39" s="25">
        <f>IFERROR(AVERAGEIFS('Cleaned Data'!$AN$2:$AN$2022,'Cleaned Data'!$AT$2:$AT$2022,Demographics!$AF39,'Cleaned Data'!R$2:R$2022,"=1"),0)</f>
        <v>1391.6666666666667</v>
      </c>
      <c r="AI39" s="25">
        <f>IFERROR(AVERAGEIFS('Cleaned Data'!$AN$2:$AN$2022,'Cleaned Data'!$AT$2:$AT$2022,Demographics!$AF39,'Cleaned Data'!S$2:S$2022,"=1"),0)</f>
        <v>672.25423728813564</v>
      </c>
      <c r="AJ39" s="25">
        <f>IFERROR(AVERAGEIFS('Cleaned Data'!$AN$2:$AN$2022,'Cleaned Data'!$AT$2:$AT$2022,Demographics!$AF39,'Cleaned Data'!T$2:T$2022,"=1"),0)</f>
        <v>1046.949152542373</v>
      </c>
      <c r="AK39" s="25">
        <f>IFERROR(AVERAGEIFS('Cleaned Data'!$AN$2:$AN$2022,'Cleaned Data'!$AT$2:$AT$2022,Demographics!$AF39,'Cleaned Data'!U$2:U$2022,"=1"),0)</f>
        <v>1520.5084745762713</v>
      </c>
      <c r="AL39" s="42">
        <f>IFERROR(AVERAGEIFS('Cleaned Data'!$AN$2:$AN$2022,'Cleaned Data'!$AT$2:$AT$2022,Demographics!$AF39,'Cleaned Data'!V$2:V$2022,"=1"),0)</f>
        <v>1025.8214285714287</v>
      </c>
    </row>
    <row r="40" spans="1:38" x14ac:dyDescent="0.35">
      <c r="A40" s="6" t="s">
        <v>101</v>
      </c>
      <c r="B40">
        <v>443</v>
      </c>
      <c r="C40">
        <v>30</v>
      </c>
      <c r="D40">
        <v>5</v>
      </c>
      <c r="E40">
        <v>39</v>
      </c>
      <c r="F40">
        <v>29</v>
      </c>
      <c r="G40">
        <v>30</v>
      </c>
      <c r="H40">
        <v>95</v>
      </c>
      <c r="J40" t="s">
        <v>101</v>
      </c>
      <c r="K40">
        <v>443</v>
      </c>
      <c r="L40">
        <v>30</v>
      </c>
      <c r="M40">
        <v>5</v>
      </c>
      <c r="N40">
        <v>39</v>
      </c>
      <c r="O40">
        <v>29</v>
      </c>
      <c r="P40">
        <v>30</v>
      </c>
      <c r="Q40">
        <v>95</v>
      </c>
      <c r="R40" s="18">
        <f t="shared" si="18"/>
        <v>0.22556390977443608</v>
      </c>
      <c r="S40" s="18">
        <f t="shared" si="19"/>
        <v>0.19230769230769232</v>
      </c>
      <c r="T40" s="18">
        <f t="shared" si="20"/>
        <v>0.25827814569536423</v>
      </c>
      <c r="U40" s="18">
        <f t="shared" si="21"/>
        <v>0.18709677419354839</v>
      </c>
      <c r="V40" s="18">
        <f t="shared" si="22"/>
        <v>0.20547945205479451</v>
      </c>
      <c r="W40" s="18">
        <f t="shared" si="23"/>
        <v>0.22300469483568075</v>
      </c>
      <c r="Y40" s="34" t="s">
        <v>101</v>
      </c>
      <c r="Z40" s="18">
        <f t="shared" si="9"/>
        <v>0.31578947368421051</v>
      </c>
      <c r="AA40" s="18">
        <f t="shared" si="10"/>
        <v>5.2631578947368418E-2</v>
      </c>
      <c r="AB40" s="18">
        <f t="shared" si="11"/>
        <v>0.41052631578947368</v>
      </c>
      <c r="AC40" s="18">
        <f t="shared" si="12"/>
        <v>0.30526315789473685</v>
      </c>
      <c r="AD40" s="18">
        <f t="shared" si="13"/>
        <v>0.31578947368421051</v>
      </c>
      <c r="AF40" s="1" t="s">
        <v>101</v>
      </c>
      <c r="AG40" s="25">
        <f>IFERROR(AVERAGEIFS('Cleaned Data'!$AN$2:$AN$2022,'Cleaned Data'!$AT$2:$AT$2022,Demographics!$AF40,'Cleaned Data'!Q$2:Q$2022,"=1"),0)</f>
        <v>1400.4333333333334</v>
      </c>
      <c r="AH40" s="25">
        <f>IFERROR(AVERAGEIFS('Cleaned Data'!$AN$2:$AN$2022,'Cleaned Data'!$AT$2:$AT$2022,Demographics!$AF40,'Cleaned Data'!R$2:R$2022,"=1"),0)</f>
        <v>1035.2</v>
      </c>
      <c r="AI40" s="25">
        <f>IFERROR(AVERAGEIFS('Cleaned Data'!$AN$2:$AN$2022,'Cleaned Data'!$AT$2:$AT$2022,Demographics!$AF40,'Cleaned Data'!S$2:S$2022,"=1"),0)</f>
        <v>530.97435897435901</v>
      </c>
      <c r="AJ40" s="25">
        <f>IFERROR(AVERAGEIFS('Cleaned Data'!$AN$2:$AN$2022,'Cleaned Data'!$AT$2:$AT$2022,Demographics!$AF40,'Cleaned Data'!T$2:T$2022,"=1"),0)</f>
        <v>1186.5862068965516</v>
      </c>
      <c r="AK40" s="25">
        <f>IFERROR(AVERAGEIFS('Cleaned Data'!$AN$2:$AN$2022,'Cleaned Data'!$AT$2:$AT$2022,Demographics!$AF40,'Cleaned Data'!U$2:U$2022,"=1"),0)</f>
        <v>1591.1</v>
      </c>
      <c r="AL40" s="42">
        <f>IFERROR(AVERAGEIFS('Cleaned Data'!$AN$2:$AN$2022,'Cleaned Data'!$AT$2:$AT$2022,Demographics!$AF40,'Cleaned Data'!V$2:V$2022,"=1"),0)</f>
        <v>1011.7263157894737</v>
      </c>
    </row>
    <row r="41" spans="1:38" x14ac:dyDescent="0.35">
      <c r="A41" s="6" t="s">
        <v>102</v>
      </c>
      <c r="B41">
        <v>70</v>
      </c>
      <c r="C41">
        <v>5</v>
      </c>
      <c r="D41">
        <v>1</v>
      </c>
      <c r="E41">
        <v>3</v>
      </c>
      <c r="F41">
        <v>10</v>
      </c>
      <c r="G41">
        <v>7</v>
      </c>
      <c r="H41">
        <v>17</v>
      </c>
      <c r="J41" t="s">
        <v>102</v>
      </c>
      <c r="K41">
        <v>70</v>
      </c>
      <c r="L41">
        <v>5</v>
      </c>
      <c r="M41">
        <v>1</v>
      </c>
      <c r="N41">
        <v>3</v>
      </c>
      <c r="O41">
        <v>10</v>
      </c>
      <c r="P41">
        <v>7</v>
      </c>
      <c r="Q41">
        <v>17</v>
      </c>
      <c r="R41" s="18">
        <f t="shared" si="18"/>
        <v>3.7593984962406013E-2</v>
      </c>
      <c r="S41" s="18">
        <f t="shared" si="19"/>
        <v>3.8461538461538464E-2</v>
      </c>
      <c r="T41" s="18">
        <f t="shared" si="20"/>
        <v>1.9867549668874173E-2</v>
      </c>
      <c r="U41" s="18">
        <f t="shared" si="21"/>
        <v>6.4516129032258063E-2</v>
      </c>
      <c r="V41" s="18">
        <f t="shared" si="22"/>
        <v>4.7945205479452052E-2</v>
      </c>
      <c r="W41" s="18">
        <f t="shared" si="23"/>
        <v>3.9906103286384977E-2</v>
      </c>
      <c r="Y41" s="34" t="s">
        <v>102</v>
      </c>
      <c r="Z41" s="18">
        <f t="shared" si="9"/>
        <v>0.29411764705882354</v>
      </c>
      <c r="AA41" s="18">
        <f t="shared" si="10"/>
        <v>5.8823529411764705E-2</v>
      </c>
      <c r="AB41" s="18">
        <f t="shared" si="11"/>
        <v>0.17647058823529413</v>
      </c>
      <c r="AC41" s="18">
        <f t="shared" si="12"/>
        <v>0.58823529411764708</v>
      </c>
      <c r="AD41" s="18">
        <f t="shared" si="13"/>
        <v>0.41176470588235292</v>
      </c>
      <c r="AF41" s="1" t="s">
        <v>102</v>
      </c>
      <c r="AG41" s="25">
        <f>IFERROR(AVERAGEIFS('Cleaned Data'!$AN$2:$AN$2022,'Cleaned Data'!$AT$2:$AT$2022,Demographics!$AF41,'Cleaned Data'!Q$2:Q$2022,"=1"),0)</f>
        <v>1451</v>
      </c>
      <c r="AH41" s="25">
        <f>IFERROR(AVERAGEIFS('Cleaned Data'!$AN$2:$AN$2022,'Cleaned Data'!$AT$2:$AT$2022,Demographics!$AF41,'Cleaned Data'!R$2:R$2022,"=1"),0)</f>
        <v>1606</v>
      </c>
      <c r="AI41" s="25">
        <f>IFERROR(AVERAGEIFS('Cleaned Data'!$AN$2:$AN$2022,'Cleaned Data'!$AT$2:$AT$2022,Demographics!$AF41,'Cleaned Data'!S$2:S$2022,"=1"),0)</f>
        <v>919.33333333333337</v>
      </c>
      <c r="AJ41" s="25">
        <f>IFERROR(AVERAGEIFS('Cleaned Data'!$AN$2:$AN$2022,'Cleaned Data'!$AT$2:$AT$2022,Demographics!$AF41,'Cleaned Data'!T$2:T$2022,"=1"),0)</f>
        <v>954.6</v>
      </c>
      <c r="AK41" s="25">
        <f>IFERROR(AVERAGEIFS('Cleaned Data'!$AN$2:$AN$2022,'Cleaned Data'!$AT$2:$AT$2022,Demographics!$AF41,'Cleaned Data'!U$2:U$2022,"=1"),0)</f>
        <v>1231.5714285714287</v>
      </c>
      <c r="AL41" s="25">
        <f>IFERROR(AVERAGEIFS('Cleaned Data'!$AN$2:$AN$2022,'Cleaned Data'!$AT$2:$AT$2022,Demographics!$AF41,'Cleaned Data'!V$2:V$2022,"=1"),0)</f>
        <v>1092.4117647058824</v>
      </c>
    </row>
    <row r="42" spans="1:38" x14ac:dyDescent="0.35">
      <c r="A42" s="6" t="s">
        <v>47</v>
      </c>
      <c r="B42">
        <v>2021</v>
      </c>
      <c r="C42">
        <v>133</v>
      </c>
      <c r="D42">
        <v>26</v>
      </c>
      <c r="E42">
        <v>151</v>
      </c>
      <c r="F42">
        <v>155</v>
      </c>
      <c r="G42">
        <v>146</v>
      </c>
      <c r="H42">
        <v>426</v>
      </c>
      <c r="J42" t="s">
        <v>47</v>
      </c>
      <c r="K42">
        <v>2021</v>
      </c>
      <c r="L42">
        <v>133</v>
      </c>
      <c r="M42">
        <v>26</v>
      </c>
      <c r="N42">
        <v>151</v>
      </c>
      <c r="O42">
        <v>155</v>
      </c>
      <c r="P42">
        <v>146</v>
      </c>
      <c r="Q42">
        <v>426</v>
      </c>
      <c r="R42" s="18">
        <f t="shared" si="18"/>
        <v>1</v>
      </c>
      <c r="S42" s="18">
        <f t="shared" si="19"/>
        <v>1</v>
      </c>
      <c r="T42" s="18">
        <f t="shared" si="20"/>
        <v>1</v>
      </c>
      <c r="U42" s="18">
        <f t="shared" si="21"/>
        <v>1</v>
      </c>
      <c r="V42" s="18">
        <f t="shared" si="22"/>
        <v>1</v>
      </c>
      <c r="W42" s="18">
        <f t="shared" si="23"/>
        <v>1</v>
      </c>
      <c r="Y42" s="34" t="s">
        <v>47</v>
      </c>
      <c r="Z42" s="18">
        <f t="shared" si="9"/>
        <v>0.31220657276995306</v>
      </c>
      <c r="AA42" s="18">
        <f t="shared" si="10"/>
        <v>6.1032863849765258E-2</v>
      </c>
      <c r="AB42" s="18">
        <f t="shared" si="11"/>
        <v>0.35446009389671362</v>
      </c>
      <c r="AC42" s="18">
        <f t="shared" si="12"/>
        <v>0.36384976525821594</v>
      </c>
      <c r="AD42" s="18">
        <f t="shared" si="13"/>
        <v>0.34272300469483569</v>
      </c>
      <c r="AF42" s="1" t="s">
        <v>128</v>
      </c>
      <c r="AG42" s="25">
        <f ca="1">AVERAGEIF(ifood_data[[#All],[AcceptedCmp1]],"=1",'Cleaned Data'!$AN$2:$AN$2022)</f>
        <v>1299.3834586466166</v>
      </c>
      <c r="AH42" s="25">
        <f ca="1">AVERAGEIF(ifood_data[[#All],[AcceptedCmp2]],"=1",'Cleaned Data'!$AN$2:$AN$2022)</f>
        <v>1089.7307692307693</v>
      </c>
      <c r="AI42" s="25">
        <f ca="1">AVERAGEIF(ifood_data[[#All],[AcceptedCmp3]],"=1",'Cleaned Data'!$AN$2:$AN$2022)</f>
        <v>554.00662251655626</v>
      </c>
      <c r="AJ42" s="25">
        <f ca="1">AVERAGEIF(ifood_data[[#All],[AcceptedCmp4]],"=1",'Cleaned Data'!$AN$2:$AN$2022)</f>
        <v>878.65161290322578</v>
      </c>
      <c r="AK42" s="25">
        <f ca="1">AVERAGEIF(ifood_data[[#All],[AcceptedCmp5]],"=1",'Cleaned Data'!$AN$2:$AN$2022)</f>
        <v>1352.9657534246576</v>
      </c>
      <c r="AL42" s="25">
        <f>IFERROR(AVERAGEIFS('Cleaned Data'!$AN$2:$AN$2022,'Cleaned Data'!V$2:V$2022,"=1"),0)</f>
        <v>1022.9295774647887</v>
      </c>
    </row>
    <row r="43" spans="1:38" x14ac:dyDescent="0.35">
      <c r="Z43" s="18"/>
      <c r="AA43" s="18"/>
      <c r="AB43" s="18"/>
      <c r="AC43" s="18"/>
      <c r="AD43" s="18"/>
    </row>
    <row r="44" spans="1:38" x14ac:dyDescent="0.35">
      <c r="J44" s="4"/>
      <c r="K44" s="4"/>
      <c r="L44" s="4"/>
      <c r="M44" s="4"/>
      <c r="N44" s="4"/>
      <c r="O44" s="4"/>
      <c r="P44" s="4"/>
      <c r="Q44" s="4"/>
      <c r="R44" s="4" t="s">
        <v>114</v>
      </c>
      <c r="S44" s="4"/>
      <c r="T44" s="4"/>
      <c r="U44" s="4"/>
      <c r="V44" s="4"/>
      <c r="W44" s="4"/>
      <c r="Y44" s="14"/>
      <c r="Z44" s="4" t="s">
        <v>114</v>
      </c>
      <c r="AA44" s="4"/>
      <c r="AB44" s="4"/>
      <c r="AC44" s="4"/>
      <c r="AD44" s="4"/>
      <c r="AG44" s="4" t="s">
        <v>151</v>
      </c>
      <c r="AH44" s="4"/>
      <c r="AI44" s="4"/>
      <c r="AJ44" s="4"/>
      <c r="AK44" s="4"/>
    </row>
    <row r="45" spans="1:38" ht="29" x14ac:dyDescent="0.35">
      <c r="A45" s="5" t="s">
        <v>73</v>
      </c>
      <c r="B45" t="s">
        <v>89</v>
      </c>
      <c r="C45" t="s">
        <v>107</v>
      </c>
      <c r="D45" t="s">
        <v>108</v>
      </c>
      <c r="E45" t="s">
        <v>109</v>
      </c>
      <c r="F45" t="s">
        <v>110</v>
      </c>
      <c r="G45" t="s">
        <v>111</v>
      </c>
      <c r="H45" t="s">
        <v>112</v>
      </c>
      <c r="J45" s="4" t="s">
        <v>73</v>
      </c>
      <c r="K45" s="4" t="s">
        <v>89</v>
      </c>
      <c r="L45" s="4" t="s">
        <v>107</v>
      </c>
      <c r="M45" s="4" t="s">
        <v>108</v>
      </c>
      <c r="N45" s="4" t="s">
        <v>109</v>
      </c>
      <c r="O45" s="4" t="s">
        <v>110</v>
      </c>
      <c r="P45" s="4" t="s">
        <v>111</v>
      </c>
      <c r="Q45" s="4" t="s">
        <v>112</v>
      </c>
      <c r="R45" s="4" t="s">
        <v>107</v>
      </c>
      <c r="S45" s="4" t="s">
        <v>108</v>
      </c>
      <c r="T45" s="4" t="s">
        <v>109</v>
      </c>
      <c r="U45" s="4" t="s">
        <v>110</v>
      </c>
      <c r="V45" s="4" t="s">
        <v>111</v>
      </c>
      <c r="W45" s="4" t="s">
        <v>112</v>
      </c>
      <c r="Y45" s="14" t="s">
        <v>73</v>
      </c>
      <c r="Z45" s="4" t="s">
        <v>107</v>
      </c>
      <c r="AA45" s="4" t="s">
        <v>108</v>
      </c>
      <c r="AB45" s="4" t="s">
        <v>109</v>
      </c>
      <c r="AC45" s="4" t="s">
        <v>110</v>
      </c>
      <c r="AD45" s="4" t="s">
        <v>111</v>
      </c>
      <c r="AF45" s="14" t="s">
        <v>73</v>
      </c>
      <c r="AG45" s="4" t="s">
        <v>107</v>
      </c>
      <c r="AH45" s="4" t="s">
        <v>108</v>
      </c>
      <c r="AI45" s="4" t="s">
        <v>109</v>
      </c>
      <c r="AJ45" s="4" t="s">
        <v>110</v>
      </c>
      <c r="AK45" s="4" t="s">
        <v>111</v>
      </c>
      <c r="AL45" s="4" t="s">
        <v>145</v>
      </c>
    </row>
    <row r="46" spans="1:38" x14ac:dyDescent="0.35">
      <c r="A46" s="6">
        <v>0</v>
      </c>
      <c r="B46">
        <v>567</v>
      </c>
      <c r="C46">
        <v>103</v>
      </c>
      <c r="D46">
        <v>17</v>
      </c>
      <c r="E46">
        <v>45</v>
      </c>
      <c r="F46">
        <v>62</v>
      </c>
      <c r="G46">
        <v>124</v>
      </c>
      <c r="H46">
        <v>209</v>
      </c>
      <c r="J46" s="6" t="s">
        <v>106</v>
      </c>
      <c r="K46">
        <v>567</v>
      </c>
      <c r="L46">
        <v>103</v>
      </c>
      <c r="M46">
        <v>17</v>
      </c>
      <c r="N46">
        <v>45</v>
      </c>
      <c r="O46">
        <v>62</v>
      </c>
      <c r="P46">
        <v>124</v>
      </c>
      <c r="Q46">
        <v>209</v>
      </c>
      <c r="R46" s="18">
        <f>IFERROR(L46/L$48,0)</f>
        <v>0.77443609022556392</v>
      </c>
      <c r="S46" s="18">
        <f t="shared" ref="S46:W46" si="24">IFERROR(M46/M$48,0)</f>
        <v>0.65384615384615385</v>
      </c>
      <c r="T46" s="18">
        <f t="shared" si="24"/>
        <v>0.29801324503311261</v>
      </c>
      <c r="U46" s="18">
        <f t="shared" si="24"/>
        <v>0.4</v>
      </c>
      <c r="V46" s="18">
        <f t="shared" si="24"/>
        <v>0.84931506849315064</v>
      </c>
      <c r="W46" s="18">
        <f t="shared" si="24"/>
        <v>0.49061032863849763</v>
      </c>
      <c r="Y46" s="34" t="s">
        <v>106</v>
      </c>
      <c r="Z46" s="18">
        <f t="shared" si="9"/>
        <v>0.49282296650717705</v>
      </c>
      <c r="AA46" s="18">
        <f t="shared" si="10"/>
        <v>8.1339712918660281E-2</v>
      </c>
      <c r="AB46" s="18">
        <f t="shared" si="11"/>
        <v>0.21531100478468901</v>
      </c>
      <c r="AC46" s="18">
        <f t="shared" si="12"/>
        <v>0.29665071770334928</v>
      </c>
      <c r="AD46" s="18">
        <f t="shared" si="13"/>
        <v>0.59330143540669855</v>
      </c>
      <c r="AF46" s="1" t="s">
        <v>106</v>
      </c>
      <c r="AG46" s="25">
        <f>IFERROR(AVERAGEIFS('Cleaned Data'!$AN$2:$AN$2022,'Cleaned Data'!$AS$2:$AS$2022,Demographics!$AF46,'Cleaned Data'!Q$2:Q$2022,"=1"),0)</f>
        <v>1494.5533980582525</v>
      </c>
      <c r="AH46" s="25">
        <f>IFERROR(AVERAGEIFS('Cleaned Data'!$AN$2:$AN$2022,'Cleaned Data'!$AS$2:$AS$2022,Demographics!$AF46,'Cleaned Data'!R$2:R$2022,"=1"),0)</f>
        <v>1355.0588235294117</v>
      </c>
      <c r="AI46" s="25">
        <f>IFERROR(AVERAGEIFS('Cleaned Data'!$AN$2:$AN$2022,'Cleaned Data'!$AS$2:$AS$2022,Demographics!$AF46,'Cleaned Data'!S$2:S$2022,"=1"),0)</f>
        <v>1250.8888888888889</v>
      </c>
      <c r="AJ46" s="25">
        <f>IFERROR(AVERAGEIFS('Cleaned Data'!$AN$2:$AN$2022,'Cleaned Data'!$AS$2:$AS$2022,Demographics!$AF46,'Cleaned Data'!T$2:T$2022,"=1"),0)</f>
        <v>1445.5</v>
      </c>
      <c r="AK46" s="25">
        <f>IFERROR(AVERAGEIFS('Cleaned Data'!$AN$2:$AN$2022,'Cleaned Data'!$AS$2:$AS$2022,Demographics!$AF46,'Cleaned Data'!U$2:U$2022,"=1"),0)</f>
        <v>1559.508064516129</v>
      </c>
      <c r="AL46" s="42">
        <f>IFERROR(AVERAGEIFS('Cleaned Data'!$AN$2:$AN$2022,'Cleaned Data'!$AS$2:$AS$2022,Demographics!$AF46,'Cleaned Data'!V$2:V$2022,"=1"),0)</f>
        <v>1423.3540669856459</v>
      </c>
    </row>
    <row r="47" spans="1:38" x14ac:dyDescent="0.35">
      <c r="A47" s="6">
        <v>1</v>
      </c>
      <c r="B47">
        <v>1454</v>
      </c>
      <c r="C47">
        <v>30</v>
      </c>
      <c r="D47">
        <v>9</v>
      </c>
      <c r="E47">
        <v>106</v>
      </c>
      <c r="F47">
        <v>93</v>
      </c>
      <c r="G47">
        <v>22</v>
      </c>
      <c r="H47">
        <v>217</v>
      </c>
      <c r="J47" s="6" t="s">
        <v>105</v>
      </c>
      <c r="K47">
        <v>1454</v>
      </c>
      <c r="L47">
        <v>30</v>
      </c>
      <c r="M47">
        <v>9</v>
      </c>
      <c r="N47">
        <v>106</v>
      </c>
      <c r="O47">
        <v>93</v>
      </c>
      <c r="P47">
        <v>22</v>
      </c>
      <c r="Q47">
        <v>217</v>
      </c>
      <c r="R47" s="18">
        <f t="shared" ref="R47:R48" si="25">IFERROR(L47/L$48,0)</f>
        <v>0.22556390977443608</v>
      </c>
      <c r="S47" s="18">
        <f t="shared" ref="S47:S48" si="26">IFERROR(M47/M$48,0)</f>
        <v>0.34615384615384615</v>
      </c>
      <c r="T47" s="18">
        <f t="shared" ref="T47:T48" si="27">IFERROR(N47/N$48,0)</f>
        <v>0.70198675496688745</v>
      </c>
      <c r="U47" s="18">
        <f t="shared" ref="U47:U48" si="28">IFERROR(O47/O$48,0)</f>
        <v>0.6</v>
      </c>
      <c r="V47" s="18">
        <f t="shared" ref="V47:V48" si="29">IFERROR(P47/P$48,0)</f>
        <v>0.15068493150684931</v>
      </c>
      <c r="W47" s="18">
        <f t="shared" ref="W47:W48" si="30">IFERROR(Q47/Q$48,0)</f>
        <v>0.50938967136150237</v>
      </c>
      <c r="Y47" s="34" t="s">
        <v>105</v>
      </c>
      <c r="Z47" s="18">
        <f t="shared" si="9"/>
        <v>0.13824884792626729</v>
      </c>
      <c r="AA47" s="18">
        <f t="shared" si="10"/>
        <v>4.1474654377880185E-2</v>
      </c>
      <c r="AB47" s="18">
        <f t="shared" si="11"/>
        <v>0.48847926267281105</v>
      </c>
      <c r="AC47" s="18">
        <f t="shared" si="12"/>
        <v>0.42857142857142855</v>
      </c>
      <c r="AD47" s="18">
        <f t="shared" si="13"/>
        <v>0.10138248847926268</v>
      </c>
      <c r="AF47" s="1" t="s">
        <v>105</v>
      </c>
      <c r="AG47" s="25">
        <f>IFERROR(AVERAGEIFS('Cleaned Data'!$AN$2:$AN$2022,'Cleaned Data'!$AS$2:$AS$2022,Demographics!$AF47,'Cleaned Data'!Q$2:Q$2022,"=1"),0)</f>
        <v>1138.1666666666667</v>
      </c>
      <c r="AH47" s="25">
        <f>IFERROR(AVERAGEIFS('Cleaned Data'!$AN$2:$AN$2022,'Cleaned Data'!$AS$2:$AS$2022,Demographics!$AF47,'Cleaned Data'!R$2:R$2022,"=1"),0)</f>
        <v>1059.4444444444443</v>
      </c>
      <c r="AI47" s="25">
        <f>IFERROR(AVERAGEIFS('Cleaned Data'!$AN$2:$AN$2022,'Cleaned Data'!$AS$2:$AS$2022,Demographics!$AF47,'Cleaned Data'!S$2:S$2022,"=1"),0)</f>
        <v>398.31132075471697</v>
      </c>
      <c r="AJ47" s="25">
        <f>IFERROR(AVERAGEIFS('Cleaned Data'!$AN$2:$AN$2022,'Cleaned Data'!$AS$2:$AS$2022,Demographics!$AF47,'Cleaned Data'!T$2:T$2022,"=1"),0)</f>
        <v>797.02150537634407</v>
      </c>
      <c r="AK47" s="25">
        <f>IFERROR(AVERAGEIFS('Cleaned Data'!$AN$2:$AN$2022,'Cleaned Data'!$AS$2:$AS$2022,Demographics!$AF47,'Cleaned Data'!U$2:U$2022,"=1"),0)</f>
        <v>1407</v>
      </c>
      <c r="AL47" s="25">
        <f>IFERROR(AVERAGEIFS('Cleaned Data'!$AN$2:$AN$2022,'Cleaned Data'!$AS$2:$AS$2022,Demographics!$AF47,'Cleaned Data'!V$2:V$2022,"=1"),0)</f>
        <v>637.26728110599083</v>
      </c>
    </row>
    <row r="48" spans="1:38" x14ac:dyDescent="0.35">
      <c r="A48" s="6" t="s">
        <v>47</v>
      </c>
      <c r="B48">
        <v>2021</v>
      </c>
      <c r="C48">
        <v>133</v>
      </c>
      <c r="D48">
        <v>26</v>
      </c>
      <c r="E48">
        <v>151</v>
      </c>
      <c r="F48">
        <v>155</v>
      </c>
      <c r="G48">
        <v>146</v>
      </c>
      <c r="H48">
        <v>426</v>
      </c>
      <c r="J48" t="s">
        <v>47</v>
      </c>
      <c r="K48">
        <v>2021</v>
      </c>
      <c r="L48">
        <v>133</v>
      </c>
      <c r="M48">
        <v>26</v>
      </c>
      <c r="N48">
        <v>151</v>
      </c>
      <c r="O48">
        <v>155</v>
      </c>
      <c r="P48">
        <v>146</v>
      </c>
      <c r="Q48">
        <v>426</v>
      </c>
      <c r="R48" s="18">
        <f t="shared" si="25"/>
        <v>1</v>
      </c>
      <c r="S48" s="18">
        <f t="shared" si="26"/>
        <v>1</v>
      </c>
      <c r="T48" s="18">
        <f t="shared" si="27"/>
        <v>1</v>
      </c>
      <c r="U48" s="18">
        <f t="shared" si="28"/>
        <v>1</v>
      </c>
      <c r="V48" s="18">
        <f t="shared" si="29"/>
        <v>1</v>
      </c>
      <c r="W48" s="18">
        <f t="shared" si="30"/>
        <v>1</v>
      </c>
      <c r="Y48" s="34" t="s">
        <v>47</v>
      </c>
      <c r="Z48" s="18">
        <f t="shared" si="9"/>
        <v>0.31220657276995306</v>
      </c>
      <c r="AA48" s="18">
        <f t="shared" si="10"/>
        <v>6.1032863849765258E-2</v>
      </c>
      <c r="AB48" s="18">
        <f t="shared" si="11"/>
        <v>0.35446009389671362</v>
      </c>
      <c r="AC48" s="18">
        <f t="shared" si="12"/>
        <v>0.36384976525821594</v>
      </c>
      <c r="AD48" s="18">
        <f t="shared" si="13"/>
        <v>0.34272300469483569</v>
      </c>
      <c r="AF48" s="1" t="s">
        <v>128</v>
      </c>
      <c r="AG48" s="25">
        <f ca="1">AVERAGEIF(ifood_data[[#All],[AcceptedCmp1]],"=1",'Cleaned Data'!$AN$2:$AN$2022)</f>
        <v>1299.3834586466166</v>
      </c>
      <c r="AH48" s="25">
        <f ca="1">AVERAGEIF(ifood_data[[#All],[AcceptedCmp2]],"=1",'Cleaned Data'!$AN$2:$AN$2022)</f>
        <v>1089.7307692307693</v>
      </c>
      <c r="AI48" s="25">
        <f ca="1">AVERAGEIF(ifood_data[[#All],[AcceptedCmp3]],"=1",'Cleaned Data'!$AN$2:$AN$2022)</f>
        <v>554.00662251655626</v>
      </c>
      <c r="AJ48" s="25">
        <f ca="1">AVERAGEIF(ifood_data[[#All],[AcceptedCmp4]],"=1",'Cleaned Data'!$AN$2:$AN$2022)</f>
        <v>878.65161290322578</v>
      </c>
      <c r="AK48" s="25">
        <f ca="1">AVERAGEIF(ifood_data[[#All],[AcceptedCmp5]],"=1",'Cleaned Data'!$AN$2:$AN$2022)</f>
        <v>1352.9657534246576</v>
      </c>
      <c r="AL48" s="25">
        <f>IFERROR(AVERAGEIFS('Cleaned Data'!$AN$2:$AN$2022,'Cleaned Data'!V$2:V$2022,"=1"),0)</f>
        <v>1022.9295774647887</v>
      </c>
    </row>
    <row r="50" spans="1:9" x14ac:dyDescent="0.35">
      <c r="A50" s="16"/>
    </row>
    <row r="51" spans="1:9" x14ac:dyDescent="0.35">
      <c r="A51" s="16"/>
    </row>
    <row r="52" spans="1:9" x14ac:dyDescent="0.35">
      <c r="A52" s="4" t="s">
        <v>230</v>
      </c>
    </row>
    <row r="53" spans="1:9" x14ac:dyDescent="0.35">
      <c r="A53" s="4"/>
    </row>
    <row r="54" spans="1:9" x14ac:dyDescent="0.35">
      <c r="A54" s="5" t="s">
        <v>124</v>
      </c>
      <c r="B54" t="s">
        <v>120</v>
      </c>
      <c r="C54" s="5" t="s">
        <v>124</v>
      </c>
      <c r="D54" t="s">
        <v>119</v>
      </c>
      <c r="E54" s="5" t="s">
        <v>124</v>
      </c>
      <c r="F54" t="s">
        <v>118</v>
      </c>
      <c r="H54" s="5" t="s">
        <v>124</v>
      </c>
      <c r="I54" t="s">
        <v>130</v>
      </c>
    </row>
    <row r="55" spans="1:9" x14ac:dyDescent="0.35">
      <c r="A55" s="5" t="s">
        <v>38</v>
      </c>
      <c r="B55" s="6">
        <v>1</v>
      </c>
      <c r="C55" s="5" t="s">
        <v>38</v>
      </c>
      <c r="D55" s="6">
        <v>1</v>
      </c>
      <c r="E55" s="5" t="s">
        <v>38</v>
      </c>
      <c r="F55" s="6">
        <v>1</v>
      </c>
      <c r="H55" s="5" t="s">
        <v>38</v>
      </c>
      <c r="I55" s="6">
        <v>1</v>
      </c>
    </row>
    <row r="56" spans="1:9" x14ac:dyDescent="0.35">
      <c r="A56" s="5" t="s">
        <v>83</v>
      </c>
      <c r="B56" t="s">
        <v>88</v>
      </c>
      <c r="C56" s="5" t="s">
        <v>83</v>
      </c>
      <c r="D56" t="s">
        <v>88</v>
      </c>
      <c r="E56" s="5" t="s">
        <v>83</v>
      </c>
      <c r="F56" t="s">
        <v>88</v>
      </c>
      <c r="H56" s="5" t="s">
        <v>83</v>
      </c>
      <c r="I56" t="s">
        <v>88</v>
      </c>
    </row>
    <row r="57" spans="1:9" x14ac:dyDescent="0.35">
      <c r="A57" s="5" t="s">
        <v>84</v>
      </c>
      <c r="B57" t="s">
        <v>94</v>
      </c>
      <c r="C57" s="5" t="s">
        <v>84</v>
      </c>
      <c r="D57" t="s">
        <v>94</v>
      </c>
      <c r="E57" s="5" t="s">
        <v>84</v>
      </c>
      <c r="F57" t="s">
        <v>94</v>
      </c>
      <c r="H57" s="5" t="s">
        <v>84</v>
      </c>
      <c r="I57" t="s">
        <v>94</v>
      </c>
    </row>
    <row r="58" spans="1:9" x14ac:dyDescent="0.35">
      <c r="A58" s="5" t="s">
        <v>73</v>
      </c>
      <c r="B58" t="s">
        <v>106</v>
      </c>
      <c r="C58" s="5" t="s">
        <v>73</v>
      </c>
      <c r="D58" t="s">
        <v>106</v>
      </c>
      <c r="E58" s="5" t="s">
        <v>73</v>
      </c>
      <c r="F58" t="s">
        <v>106</v>
      </c>
      <c r="H58" s="5" t="s">
        <v>73</v>
      </c>
      <c r="I58" t="s">
        <v>106</v>
      </c>
    </row>
    <row r="59" spans="1:9" x14ac:dyDescent="0.35">
      <c r="A59" s="5" t="s">
        <v>72</v>
      </c>
      <c r="B59" t="s">
        <v>130</v>
      </c>
      <c r="C59" s="5" t="s">
        <v>72</v>
      </c>
      <c r="D59" t="s">
        <v>130</v>
      </c>
      <c r="E59" s="5" t="s">
        <v>72</v>
      </c>
      <c r="F59" t="s">
        <v>130</v>
      </c>
      <c r="H59" s="5" t="s">
        <v>72</v>
      </c>
      <c r="I59" t="s">
        <v>130</v>
      </c>
    </row>
    <row r="61" spans="1:9" x14ac:dyDescent="0.35">
      <c r="A61" t="s">
        <v>180</v>
      </c>
      <c r="C61" t="s">
        <v>180</v>
      </c>
      <c r="E61" t="s">
        <v>180</v>
      </c>
      <c r="H61" t="s">
        <v>180</v>
      </c>
      <c r="I61" t="s">
        <v>189</v>
      </c>
    </row>
    <row r="62" spans="1:9" x14ac:dyDescent="0.35">
      <c r="A62" s="25">
        <v>1912.625</v>
      </c>
      <c r="C62" s="25">
        <v>1619.8333333333333</v>
      </c>
      <c r="E62" s="25">
        <v>1708.5714285714287</v>
      </c>
      <c r="H62" s="25">
        <v>1607.3023255813953</v>
      </c>
      <c r="I62" s="25">
        <v>43</v>
      </c>
    </row>
  </sheetData>
  <mergeCells count="5">
    <mergeCell ref="A1:B1"/>
    <mergeCell ref="A10:B10"/>
    <mergeCell ref="R10:W10"/>
    <mergeCell ref="Z10:AD10"/>
    <mergeCell ref="AG10:AK1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2251C-099E-417D-AE23-740DB778D6D8}">
  <dimension ref="A1:W90"/>
  <sheetViews>
    <sheetView topLeftCell="F7" zoomScale="130" zoomScaleNormal="130" workbookViewId="0">
      <selection activeCell="K14" sqref="K14"/>
    </sheetView>
  </sheetViews>
  <sheetFormatPr defaultRowHeight="14.5" x14ac:dyDescent="0.35"/>
  <cols>
    <col min="1" max="1" width="18.453125" bestFit="1" customWidth="1"/>
    <col min="2" max="2" width="16.54296875" bestFit="1" customWidth="1"/>
    <col min="3" max="5" width="5.6328125" bestFit="1" customWidth="1"/>
    <col min="6" max="6" width="3.90625" bestFit="1" customWidth="1"/>
    <col min="7" max="7" width="10.7265625" bestFit="1" customWidth="1"/>
    <col min="8" max="8" width="16.54296875" bestFit="1" customWidth="1"/>
    <col min="9" max="9" width="18.453125" bestFit="1" customWidth="1"/>
    <col min="10" max="10" width="16.453125" bestFit="1" customWidth="1"/>
    <col min="11" max="11" width="17.1796875" bestFit="1" customWidth="1"/>
    <col min="12" max="12" width="14" bestFit="1" customWidth="1"/>
    <col min="13" max="13" width="10.7265625" bestFit="1" customWidth="1"/>
    <col min="14" max="15" width="12.7265625" bestFit="1" customWidth="1"/>
    <col min="16" max="17" width="5.6328125" bestFit="1" customWidth="1"/>
    <col min="18" max="18" width="5" bestFit="1" customWidth="1"/>
    <col min="19" max="19" width="9.7265625" bestFit="1" customWidth="1"/>
    <col min="20" max="21" width="10.7265625" bestFit="1" customWidth="1"/>
    <col min="22" max="22" width="10.36328125" bestFit="1" customWidth="1"/>
    <col min="23" max="23" width="25.7265625" bestFit="1" customWidth="1"/>
    <col min="24" max="24" width="5" bestFit="1" customWidth="1"/>
    <col min="25" max="25" width="28.08984375" bestFit="1" customWidth="1"/>
    <col min="26" max="26" width="22.90625" bestFit="1" customWidth="1"/>
    <col min="27" max="27" width="7.81640625" bestFit="1" customWidth="1"/>
    <col min="28" max="28" width="5" bestFit="1" customWidth="1"/>
    <col min="29" max="29" width="25.26953125" bestFit="1" customWidth="1"/>
    <col min="30" max="30" width="10.36328125" bestFit="1" customWidth="1"/>
    <col min="31" max="31" width="25.7265625" bestFit="1" customWidth="1"/>
    <col min="32" max="32" width="7.81640625" bestFit="1" customWidth="1"/>
    <col min="33" max="33" width="5" bestFit="1" customWidth="1"/>
    <col min="34" max="34" width="28.08984375" bestFit="1" customWidth="1"/>
    <col min="35" max="35" width="22.90625" bestFit="1" customWidth="1"/>
    <col min="36" max="36" width="5" bestFit="1" customWidth="1"/>
    <col min="37" max="37" width="25.26953125" bestFit="1" customWidth="1"/>
    <col min="38" max="38" width="8.6328125" bestFit="1" customWidth="1"/>
    <col min="39" max="39" width="10.7265625" bestFit="1" customWidth="1"/>
    <col min="40" max="40" width="22.90625" bestFit="1" customWidth="1"/>
    <col min="41" max="41" width="7.81640625" bestFit="1" customWidth="1"/>
    <col min="42" max="42" width="5" bestFit="1" customWidth="1"/>
    <col min="43" max="43" width="25.26953125" bestFit="1" customWidth="1"/>
    <col min="44" max="44" width="14.7265625" bestFit="1" customWidth="1"/>
    <col min="45" max="45" width="25.7265625" bestFit="1" customWidth="1"/>
    <col min="46" max="46" width="5" bestFit="1" customWidth="1"/>
    <col min="47" max="47" width="28.08984375" bestFit="1" customWidth="1"/>
    <col min="48" max="48" width="22.90625" bestFit="1" customWidth="1"/>
    <col min="49" max="49" width="5" bestFit="1" customWidth="1"/>
    <col min="50" max="50" width="25.26953125" bestFit="1" customWidth="1"/>
    <col min="51" max="51" width="14.08984375" bestFit="1" customWidth="1"/>
    <col min="52" max="52" width="10.36328125" bestFit="1" customWidth="1"/>
    <col min="53" max="53" width="25.7265625" bestFit="1" customWidth="1"/>
    <col min="54" max="54" width="7.81640625" bestFit="1" customWidth="1"/>
    <col min="55" max="55" width="5" bestFit="1" customWidth="1"/>
    <col min="56" max="56" width="28.08984375" bestFit="1" customWidth="1"/>
    <col min="57" max="57" width="22.90625" bestFit="1" customWidth="1"/>
    <col min="58" max="58" width="5" bestFit="1" customWidth="1"/>
    <col min="59" max="59" width="25.26953125" bestFit="1" customWidth="1"/>
    <col min="60" max="60" width="14.7265625" bestFit="1" customWidth="1"/>
    <col min="61" max="61" width="25.7265625" bestFit="1" customWidth="1"/>
    <col min="62" max="62" width="5" bestFit="1" customWidth="1"/>
    <col min="63" max="63" width="28.08984375" bestFit="1" customWidth="1"/>
    <col min="64" max="64" width="22.90625" bestFit="1" customWidth="1"/>
    <col min="65" max="65" width="5" bestFit="1" customWidth="1"/>
    <col min="66" max="66" width="25.26953125" bestFit="1" customWidth="1"/>
    <col min="67" max="67" width="14.08984375" bestFit="1" customWidth="1"/>
    <col min="68" max="68" width="8.6328125" bestFit="1" customWidth="1"/>
    <col min="69" max="69" width="10.7265625" bestFit="1" customWidth="1"/>
    <col min="70" max="70" width="5" bestFit="1" customWidth="1"/>
    <col min="71" max="71" width="28.08984375" bestFit="1" customWidth="1"/>
    <col min="72" max="72" width="22.90625" bestFit="1" customWidth="1"/>
    <col min="73" max="74" width="7.81640625" bestFit="1" customWidth="1"/>
    <col min="75" max="75" width="5" bestFit="1" customWidth="1"/>
    <col min="76" max="76" width="25.26953125" bestFit="1" customWidth="1"/>
    <col min="77" max="77" width="14.7265625" bestFit="1" customWidth="1"/>
    <col min="78" max="78" width="25.7265625" bestFit="1" customWidth="1"/>
    <col min="79" max="80" width="7.81640625" bestFit="1" customWidth="1"/>
    <col min="81" max="81" width="5" bestFit="1" customWidth="1"/>
    <col min="82" max="82" width="28.08984375" bestFit="1" customWidth="1"/>
    <col min="83" max="83" width="22.90625" bestFit="1" customWidth="1"/>
    <col min="84" max="85" width="7.81640625" bestFit="1" customWidth="1"/>
    <col min="86" max="86" width="5" bestFit="1" customWidth="1"/>
    <col min="87" max="87" width="25.26953125" bestFit="1" customWidth="1"/>
    <col min="88" max="88" width="14.08984375" bestFit="1" customWidth="1"/>
    <col min="89" max="89" width="10.36328125" bestFit="1" customWidth="1"/>
    <col min="90" max="90" width="25.7265625" bestFit="1" customWidth="1"/>
    <col min="91" max="92" width="7.81640625" bestFit="1" customWidth="1"/>
    <col min="93" max="93" width="5" bestFit="1" customWidth="1"/>
    <col min="94" max="94" width="28.08984375" bestFit="1" customWidth="1"/>
    <col min="95" max="95" width="22.90625" bestFit="1" customWidth="1"/>
    <col min="96" max="97" width="7.81640625" bestFit="1" customWidth="1"/>
    <col min="98" max="98" width="5" bestFit="1" customWidth="1"/>
    <col min="99" max="99" width="25.26953125" bestFit="1" customWidth="1"/>
    <col min="100" max="100" width="14.7265625" bestFit="1" customWidth="1"/>
    <col min="101" max="101" width="25.7265625" bestFit="1" customWidth="1"/>
    <col min="102" max="103" width="7.81640625" bestFit="1" customWidth="1"/>
    <col min="104" max="104" width="5" bestFit="1" customWidth="1"/>
    <col min="105" max="105" width="28.08984375" bestFit="1" customWidth="1"/>
    <col min="106" max="106" width="22.90625" bestFit="1" customWidth="1"/>
    <col min="107" max="108" width="7.81640625" bestFit="1" customWidth="1"/>
    <col min="109" max="109" width="5" bestFit="1" customWidth="1"/>
    <col min="110" max="110" width="25.26953125" bestFit="1" customWidth="1"/>
    <col min="111" max="111" width="14.08984375" bestFit="1" customWidth="1"/>
    <col min="112" max="112" width="8.6328125" bestFit="1" customWidth="1"/>
    <col min="113" max="113" width="10.7265625" bestFit="1" customWidth="1"/>
  </cols>
  <sheetData>
    <row r="1" spans="1:7" x14ac:dyDescent="0.35">
      <c r="A1" s="21" t="s">
        <v>125</v>
      </c>
    </row>
    <row r="3" spans="1:7" x14ac:dyDescent="0.35">
      <c r="A3" s="9" t="s">
        <v>116</v>
      </c>
      <c r="B3" s="9" t="s">
        <v>123</v>
      </c>
    </row>
    <row r="4" spans="1:7" x14ac:dyDescent="0.35">
      <c r="A4" s="10">
        <v>10</v>
      </c>
      <c r="B4" s="10" t="s">
        <v>118</v>
      </c>
    </row>
    <row r="5" spans="1:7" x14ac:dyDescent="0.35">
      <c r="A5" s="10">
        <v>9</v>
      </c>
      <c r="B5" s="10" t="s">
        <v>118</v>
      </c>
    </row>
    <row r="6" spans="1:7" x14ac:dyDescent="0.35">
      <c r="A6" s="10">
        <v>8</v>
      </c>
      <c r="B6" s="10" t="s">
        <v>119</v>
      </c>
    </row>
    <row r="7" spans="1:7" x14ac:dyDescent="0.35">
      <c r="A7" s="10">
        <v>7</v>
      </c>
      <c r="B7" s="23" t="s">
        <v>119</v>
      </c>
    </row>
    <row r="8" spans="1:7" x14ac:dyDescent="0.35">
      <c r="A8" s="10">
        <v>6</v>
      </c>
      <c r="B8" s="10" t="s">
        <v>120</v>
      </c>
    </row>
    <row r="9" spans="1:7" x14ac:dyDescent="0.35">
      <c r="A9" s="10">
        <v>5</v>
      </c>
      <c r="B9" s="10" t="s">
        <v>120</v>
      </c>
      <c r="D9" s="7"/>
      <c r="F9" s="7"/>
      <c r="G9" s="7"/>
    </row>
    <row r="10" spans="1:7" x14ac:dyDescent="0.35">
      <c r="A10" s="10">
        <v>4</v>
      </c>
      <c r="B10" s="23" t="s">
        <v>121</v>
      </c>
    </row>
    <row r="11" spans="1:7" x14ac:dyDescent="0.35">
      <c r="A11" s="10">
        <v>3</v>
      </c>
      <c r="B11" s="10" t="s">
        <v>121</v>
      </c>
    </row>
    <row r="12" spans="1:7" x14ac:dyDescent="0.35">
      <c r="A12" s="10">
        <v>2</v>
      </c>
      <c r="B12" s="10" t="s">
        <v>121</v>
      </c>
    </row>
    <row r="13" spans="1:7" x14ac:dyDescent="0.35">
      <c r="A13" s="10">
        <v>1</v>
      </c>
      <c r="B13" s="10" t="s">
        <v>121</v>
      </c>
    </row>
    <row r="14" spans="1:7" x14ac:dyDescent="0.35">
      <c r="A14" s="10">
        <v>0</v>
      </c>
      <c r="B14" s="23" t="s">
        <v>122</v>
      </c>
    </row>
    <row r="15" spans="1:7" x14ac:dyDescent="0.35">
      <c r="A15" s="10"/>
      <c r="B15" s="23"/>
    </row>
    <row r="16" spans="1:7" x14ac:dyDescent="0.35">
      <c r="A16" s="5" t="s">
        <v>45</v>
      </c>
      <c r="B16" t="s">
        <v>130</v>
      </c>
    </row>
    <row r="17" spans="1:18" x14ac:dyDescent="0.35">
      <c r="A17" s="72" t="s">
        <v>150</v>
      </c>
      <c r="B17" s="72"/>
      <c r="C17" s="72"/>
      <c r="D17" s="72"/>
      <c r="E17" s="72"/>
      <c r="F17" s="72"/>
      <c r="G17" s="72"/>
      <c r="H17" s="72"/>
      <c r="I17" s="29"/>
      <c r="K17" s="72" t="s">
        <v>186</v>
      </c>
      <c r="L17" s="72"/>
      <c r="M17" s="72"/>
      <c r="N17" s="72"/>
      <c r="O17" s="72"/>
      <c r="P17" s="72"/>
      <c r="Q17" s="72"/>
      <c r="R17" s="72"/>
    </row>
    <row r="18" spans="1:18" ht="29.5" thickBot="1" x14ac:dyDescent="0.4">
      <c r="A18" s="5" t="s">
        <v>124</v>
      </c>
      <c r="B18" t="s">
        <v>175</v>
      </c>
      <c r="C18" t="s">
        <v>107</v>
      </c>
      <c r="D18" t="s">
        <v>108</v>
      </c>
      <c r="E18" t="s">
        <v>109</v>
      </c>
      <c r="F18" t="s">
        <v>110</v>
      </c>
      <c r="G18" t="s">
        <v>111</v>
      </c>
      <c r="H18" t="s">
        <v>145</v>
      </c>
      <c r="I18" s="4"/>
      <c r="K18" s="20" t="s">
        <v>124</v>
      </c>
      <c r="L18" s="32" t="s">
        <v>175</v>
      </c>
      <c r="M18" s="20" t="s">
        <v>107</v>
      </c>
      <c r="N18" s="20" t="s">
        <v>108</v>
      </c>
      <c r="O18" s="20" t="s">
        <v>109</v>
      </c>
      <c r="P18" s="20" t="s">
        <v>110</v>
      </c>
      <c r="Q18" s="20" t="s">
        <v>111</v>
      </c>
      <c r="R18" s="20" t="s">
        <v>145</v>
      </c>
    </row>
    <row r="19" spans="1:18" x14ac:dyDescent="0.35">
      <c r="A19" s="6" t="s">
        <v>121</v>
      </c>
      <c r="B19">
        <v>859</v>
      </c>
      <c r="C19">
        <v>18</v>
      </c>
      <c r="D19">
        <v>4</v>
      </c>
      <c r="E19">
        <v>59</v>
      </c>
      <c r="F19">
        <v>39</v>
      </c>
      <c r="G19">
        <v>20</v>
      </c>
      <c r="H19">
        <v>115</v>
      </c>
      <c r="K19" t="s">
        <v>118</v>
      </c>
      <c r="L19" s="25">
        <f>IFERROR(AVERAGEIFS('Cleaned Data'!$AN$2:$AN$2022,'Cleaned Data'!$BD$2:$BD$2022,'RFM Analysis'!$K19),0)</f>
        <v>1302.6967213114754</v>
      </c>
      <c r="M19" s="25">
        <f>IFERROR(AVERAGEIFS('Cleaned Data'!$AN$2:$AN$2022,'Cleaned Data'!$BD$2:$BD$2022,'RFM Analysis'!$K19,'Cleaned Data'!Q$2:Q$2022,"=1"),0)</f>
        <v>1579.4074074074074</v>
      </c>
      <c r="N19" s="25">
        <f>IFERROR(AVERAGEIFS('Cleaned Data'!$AN$2:$AN$2022,'Cleaned Data'!$BD$2:$BD$2022,'RFM Analysis'!$K19,'Cleaned Data'!R$2:R$2022,"=1"),0)</f>
        <v>1266.25</v>
      </c>
      <c r="O19" s="25">
        <f>IFERROR(AVERAGEIFS('Cleaned Data'!$AN$2:$AN$2022,'Cleaned Data'!$BD$2:$BD$2022,'RFM Analysis'!$K19,'Cleaned Data'!S$2:S$2022,"=1"),0)</f>
        <v>1359.4117647058824</v>
      </c>
      <c r="P19" s="25">
        <f>IFERROR(AVERAGEIFS('Cleaned Data'!$AN$2:$AN$2022,'Cleaned Data'!$BD$2:$BD$2022,'RFM Analysis'!$K19,'Cleaned Data'!T$2:T$2022,"=1"),0)</f>
        <v>1335.0588235294117</v>
      </c>
      <c r="Q19" s="25">
        <f>IFERROR(AVERAGEIFS('Cleaned Data'!$AN$2:$AN$2022,'Cleaned Data'!$BD$2:$BD$2022,'RFM Analysis'!$K19,'Cleaned Data'!U$2:U$2022,"=1"),0)</f>
        <v>1580.4347826086957</v>
      </c>
      <c r="R19" s="25">
        <f>IFERROR(AVERAGEIFS('Cleaned Data'!$AN$2:$AN$2022,'Cleaned Data'!$BD$2:$BD$2022,'RFM Analysis'!$K19,'Cleaned Data'!V$2:V$2022,"=1"),0)</f>
        <v>1436.3214285714287</v>
      </c>
    </row>
    <row r="20" spans="1:18" x14ac:dyDescent="0.35">
      <c r="A20" s="6" t="s">
        <v>122</v>
      </c>
      <c r="B20">
        <v>237</v>
      </c>
      <c r="C20">
        <v>0</v>
      </c>
      <c r="D20">
        <v>0</v>
      </c>
      <c r="E20">
        <v>13</v>
      </c>
      <c r="F20">
        <v>0</v>
      </c>
      <c r="G20">
        <v>0</v>
      </c>
      <c r="H20">
        <v>13</v>
      </c>
      <c r="K20" t="s">
        <v>119</v>
      </c>
      <c r="L20" s="25">
        <f>IFERROR(AVERAGEIFS('Cleaned Data'!$AN$2:$AN$2022,'Cleaned Data'!$BD$2:$BD$2022,'RFM Analysis'!$K20),0)</f>
        <v>1040.3861171366593</v>
      </c>
      <c r="M20" s="25">
        <f>IFERROR(AVERAGEIFS('Cleaned Data'!$AN$2:$AN$2022,'Cleaned Data'!$BD$2:$BD$2022,'RFM Analysis'!$K20,'Cleaned Data'!Q$2:Q$2022,"=1"),0)</f>
        <v>1461.2121212121212</v>
      </c>
      <c r="N20" s="25">
        <f>IFERROR(AVERAGEIFS('Cleaned Data'!$AN$2:$AN$2022,'Cleaned Data'!$BD$2:$BD$2022,'RFM Analysis'!$K20,'Cleaned Data'!R$2:R$2022,"=1"),0)</f>
        <v>1345.6428571428571</v>
      </c>
      <c r="O20" s="25">
        <f>IFERROR(AVERAGEIFS('Cleaned Data'!$AN$2:$AN$2022,'Cleaned Data'!$BD$2:$BD$2022,'RFM Analysis'!$K20,'Cleaned Data'!S$2:S$2022,"=1"),0)</f>
        <v>1087.5</v>
      </c>
      <c r="P20" s="25">
        <f>IFERROR(AVERAGEIFS('Cleaned Data'!$AN$2:$AN$2022,'Cleaned Data'!$BD$2:$BD$2022,'RFM Analysis'!$K20,'Cleaned Data'!T$2:T$2022,"=1"),0)</f>
        <v>1200.4347826086957</v>
      </c>
      <c r="Q20" s="25">
        <f>IFERROR(AVERAGEIFS('Cleaned Data'!$AN$2:$AN$2022,'Cleaned Data'!$BD$2:$BD$2022,'RFM Analysis'!$K20,'Cleaned Data'!U$2:U$2022,"=1"),0)</f>
        <v>1558.875</v>
      </c>
      <c r="R20" s="25">
        <f>IFERROR(AVERAGEIFS('Cleaned Data'!$AN$2:$AN$2022,'Cleaned Data'!$BD$2:$BD$2022,'RFM Analysis'!$K20,'Cleaned Data'!V$2:V$2022,"=1"),0)</f>
        <v>1282.1509433962265</v>
      </c>
    </row>
    <row r="21" spans="1:18" x14ac:dyDescent="0.35">
      <c r="A21" s="6" t="s">
        <v>119</v>
      </c>
      <c r="B21">
        <v>461</v>
      </c>
      <c r="C21">
        <v>66</v>
      </c>
      <c r="D21">
        <v>14</v>
      </c>
      <c r="E21">
        <v>36</v>
      </c>
      <c r="F21">
        <v>69</v>
      </c>
      <c r="G21">
        <v>72</v>
      </c>
      <c r="H21">
        <v>159</v>
      </c>
      <c r="K21" t="s">
        <v>120</v>
      </c>
      <c r="L21" s="25">
        <f>IFERROR(AVERAGEIFS('Cleaned Data'!$AN$2:$AN$2022,'Cleaned Data'!$BD$2:$BD$2022,'RFM Analysis'!$K21),0)</f>
        <v>818.92105263157896</v>
      </c>
      <c r="M21" s="25">
        <f>IFERROR(AVERAGEIFS('Cleaned Data'!$AN$2:$AN$2022,'Cleaned Data'!$BD$2:$BD$2022,'RFM Analysis'!$K21,'Cleaned Data'!Q$2:Q$2022,"=1"),0)</f>
        <v>1464.6818181818182</v>
      </c>
      <c r="N21" s="25">
        <f>IFERROR(AVERAGEIFS('Cleaned Data'!$AN$2:$AN$2022,'Cleaned Data'!$BD$2:$BD$2022,'RFM Analysis'!$K21,'Cleaned Data'!R$2:R$2022,"=1"),0)</f>
        <v>1462.25</v>
      </c>
      <c r="O21" s="25">
        <f>IFERROR(AVERAGEIFS('Cleaned Data'!$AN$2:$AN$2022,'Cleaned Data'!$BD$2:$BD$2022,'RFM Analysis'!$K21,'Cleaned Data'!S$2:S$2022,"=1"),0)</f>
        <v>902.46153846153845</v>
      </c>
      <c r="P21" s="25">
        <f>IFERROR(AVERAGEIFS('Cleaned Data'!$AN$2:$AN$2022,'Cleaned Data'!$BD$2:$BD$2022,'RFM Analysis'!$K21,'Cleaned Data'!T$2:T$2022,"=1"),0)</f>
        <v>1150.7666666666667</v>
      </c>
      <c r="Q21" s="25">
        <f>IFERROR(AVERAGEIFS('Cleaned Data'!$AN$2:$AN$2022,'Cleaned Data'!$BD$2:$BD$2022,'RFM Analysis'!$K21,'Cleaned Data'!U$2:U$2022,"=1"),0)</f>
        <v>1662.0645161290322</v>
      </c>
      <c r="R21" s="25">
        <f>IFERROR(AVERAGEIFS('Cleaned Data'!$AN$2:$AN$2022,'Cleaned Data'!$BD$2:$BD$2022,'RFM Analysis'!$K21,'Cleaned Data'!V$2:V$2022,"=1"),0)</f>
        <v>1169.6626506024097</v>
      </c>
    </row>
    <row r="22" spans="1:18" x14ac:dyDescent="0.35">
      <c r="A22" s="6" t="s">
        <v>120</v>
      </c>
      <c r="B22">
        <v>342</v>
      </c>
      <c r="C22">
        <v>22</v>
      </c>
      <c r="D22">
        <v>4</v>
      </c>
      <c r="E22">
        <v>26</v>
      </c>
      <c r="F22">
        <v>30</v>
      </c>
      <c r="G22">
        <v>31</v>
      </c>
      <c r="H22">
        <v>83</v>
      </c>
      <c r="K22" t="s">
        <v>121</v>
      </c>
      <c r="L22" s="25">
        <f>IFERROR(AVERAGEIFS('Cleaned Data'!$AN$2:$AN$2022,'Cleaned Data'!$BD$2:$BD$2022,'RFM Analysis'!$K22),0)</f>
        <v>246.72642607683352</v>
      </c>
      <c r="M22" s="25">
        <f>IFERROR(AVERAGEIFS('Cleaned Data'!$AN$2:$AN$2022,'Cleaned Data'!$BD$2:$BD$2022,'RFM Analysis'!$K22,'Cleaned Data'!Q$2:Q$2022,"=1"),0)</f>
        <v>932.05555555555554</v>
      </c>
      <c r="N22" s="25">
        <f>IFERROR(AVERAGEIFS('Cleaned Data'!$AN$2:$AN$2022,'Cleaned Data'!$BD$2:$BD$2022,'RFM Analysis'!$K22,'Cleaned Data'!R$2:R$2022,"=1"),0)</f>
        <v>704.5</v>
      </c>
      <c r="O22" s="25">
        <f>IFERROR(AVERAGEIFS('Cleaned Data'!$AN$2:$AN$2022,'Cleaned Data'!$BD$2:$BD$2022,'RFM Analysis'!$K22,'Cleaned Data'!S$2:S$2022,"=1"),0)</f>
        <v>210.52542372881356</v>
      </c>
      <c r="P22" s="25">
        <f>IFERROR(AVERAGEIFS('Cleaned Data'!$AN$2:$AN$2022,'Cleaned Data'!$BD$2:$BD$2022,'RFM Analysis'!$K22,'Cleaned Data'!T$2:T$2022,"=1"),0)</f>
        <v>607.56410256410254</v>
      </c>
      <c r="Q22" s="25">
        <f>IFERROR(AVERAGEIFS('Cleaned Data'!$AN$2:$AN$2022,'Cleaned Data'!$BD$2:$BD$2022,'RFM Analysis'!$K22,'Cleaned Data'!U$2:U$2022,"=1"),0)</f>
        <v>1211</v>
      </c>
      <c r="R22" s="25">
        <f>IFERROR(AVERAGEIFS('Cleaned Data'!$AN$2:$AN$2022,'Cleaned Data'!$BD$2:$BD$2022,'RFM Analysis'!$K22,'Cleaned Data'!V$2:V$2022,"=1"),0)</f>
        <v>469.77391304347827</v>
      </c>
    </row>
    <row r="23" spans="1:18" x14ac:dyDescent="0.35">
      <c r="A23" s="6" t="s">
        <v>118</v>
      </c>
      <c r="B23">
        <v>122</v>
      </c>
      <c r="C23">
        <v>27</v>
      </c>
      <c r="D23">
        <v>4</v>
      </c>
      <c r="E23">
        <v>17</v>
      </c>
      <c r="F23">
        <v>17</v>
      </c>
      <c r="G23">
        <v>23</v>
      </c>
      <c r="H23">
        <v>56</v>
      </c>
      <c r="K23" t="s">
        <v>122</v>
      </c>
      <c r="L23" s="25">
        <f>IFERROR(AVERAGEIFS('Cleaned Data'!$AN$2:$AN$2022,'Cleaned Data'!$BD$2:$BD$2022,'RFM Analysis'!$K23),0)</f>
        <v>37.392405063291136</v>
      </c>
      <c r="M23" s="25">
        <f>IFERROR(AVERAGEIFS('Cleaned Data'!$AN$2:$AN$2022,'Cleaned Data'!$BD$2:$BD$2022,'RFM Analysis'!$K23,'Cleaned Data'!Q$2:Q$2022,"=1"),0)</f>
        <v>0</v>
      </c>
      <c r="N23" s="25">
        <f>IFERROR(AVERAGEIFS('Cleaned Data'!$AN$2:$AN$2022,'Cleaned Data'!$BD$2:$BD$2022,'RFM Analysis'!$K23,'Cleaned Data'!R$2:R$2022,"=1"),0)</f>
        <v>0</v>
      </c>
      <c r="O23" s="25">
        <f>IFERROR(AVERAGEIFS('Cleaned Data'!$AN$2:$AN$2022,'Cleaned Data'!$BD$2:$BD$2022,'RFM Analysis'!$K23,'Cleaned Data'!S$2:S$2022,"=1"),0)</f>
        <v>28.153846153846153</v>
      </c>
      <c r="P23" s="25">
        <f>IFERROR(AVERAGEIFS('Cleaned Data'!$AN$2:$AN$2022,'Cleaned Data'!$BD$2:$BD$2022,'RFM Analysis'!$K23,'Cleaned Data'!T$2:T$2022,"=1"),0)</f>
        <v>0</v>
      </c>
      <c r="Q23" s="25">
        <f>IFERROR(AVERAGEIFS('Cleaned Data'!$AN$2:$AN$2022,'Cleaned Data'!$BD$2:$BD$2022,'RFM Analysis'!$K23,'Cleaned Data'!U$2:U$2022,"=1"),0)</f>
        <v>0</v>
      </c>
      <c r="R23" s="25">
        <f>IFERROR(AVERAGEIFS('Cleaned Data'!$AN$2:$AN$2022,'Cleaned Data'!$BD$2:$BD$2022,'RFM Analysis'!$K23,'Cleaned Data'!V$2:V$2022,"=1"),0)</f>
        <v>28.153846153846153</v>
      </c>
    </row>
    <row r="24" spans="1:18" x14ac:dyDescent="0.35">
      <c r="A24" s="6" t="s">
        <v>47</v>
      </c>
      <c r="B24">
        <v>2021</v>
      </c>
      <c r="C24">
        <v>133</v>
      </c>
      <c r="D24">
        <v>26</v>
      </c>
      <c r="E24">
        <v>151</v>
      </c>
      <c r="F24">
        <v>155</v>
      </c>
      <c r="G24">
        <v>146</v>
      </c>
      <c r="H24">
        <v>426</v>
      </c>
      <c r="K24" t="s">
        <v>128</v>
      </c>
      <c r="L24" s="25">
        <f>IFERROR(AVERAGE('Cleaned Data'!$AN$2:$AN$2022),0)</f>
        <v>563.78921326076204</v>
      </c>
      <c r="M24" s="25">
        <f>IFERROR(AVERAGEIFS('Cleaned Data'!$AN$2:$AN$2022,'Cleaned Data'!Q$2:Q$2022,"=1"),0)</f>
        <v>1414.1654135338347</v>
      </c>
      <c r="N24" s="25">
        <f>IFERROR(AVERAGEIFS('Cleaned Data'!$AN$2:$AN$2022,'Cleaned Data'!R$2:R$2022,"=1"),0)</f>
        <v>1252.7307692307693</v>
      </c>
      <c r="O24" s="25">
        <f>IFERROR(AVERAGEIFS('Cleaned Data'!$AN$2:$AN$2022,'Cleaned Data'!S$2:S$2022,"=1"),0)</f>
        <v>652.39072847682121</v>
      </c>
      <c r="P24" s="25">
        <f>IFERROR(AVERAGEIFS('Cleaned Data'!$AN$2:$AN$2022,'Cleaned Data'!T$2:T$2022,"=1"),0)</f>
        <v>1056.4129032258065</v>
      </c>
      <c r="Q24" s="25">
        <f>IFERROR(AVERAGEIFS('Cleaned Data'!$AN$2:$AN$2022,'Cleaned Data'!U$2:U$2022,"=1"),0)</f>
        <v>1536.527397260274</v>
      </c>
      <c r="R24" s="25">
        <f>IFERROR(AVERAGEIFS('Cleaned Data'!$AN$2:$AN$2022,'Cleaned Data'!V$2:V$2022,"=1"),0)</f>
        <v>1022.9295774647887</v>
      </c>
    </row>
    <row r="25" spans="1:18" x14ac:dyDescent="0.35">
      <c r="A25" s="6"/>
    </row>
    <row r="26" spans="1:18" x14ac:dyDescent="0.35">
      <c r="A26" s="6"/>
    </row>
    <row r="27" spans="1:18" ht="44" thickBot="1" x14ac:dyDescent="0.4">
      <c r="A27" s="30" t="s">
        <v>124</v>
      </c>
      <c r="B27" s="30" t="s">
        <v>175</v>
      </c>
      <c r="C27" s="30" t="s">
        <v>107</v>
      </c>
      <c r="D27" s="31" t="s">
        <v>108</v>
      </c>
      <c r="E27" s="31" t="s">
        <v>109</v>
      </c>
      <c r="F27" s="31" t="s">
        <v>110</v>
      </c>
      <c r="G27" s="31" t="s">
        <v>111</v>
      </c>
      <c r="H27" s="31" t="s">
        <v>145</v>
      </c>
      <c r="I27" s="30" t="s">
        <v>175</v>
      </c>
      <c r="J27" s="30" t="s">
        <v>107</v>
      </c>
      <c r="K27" s="31" t="s">
        <v>108</v>
      </c>
      <c r="L27" s="31" t="s">
        <v>109</v>
      </c>
      <c r="M27" s="31" t="s">
        <v>110</v>
      </c>
      <c r="N27" s="31" t="s">
        <v>111</v>
      </c>
      <c r="O27" s="31" t="s">
        <v>145</v>
      </c>
    </row>
    <row r="28" spans="1:18" x14ac:dyDescent="0.35">
      <c r="A28" s="7" t="s">
        <v>118</v>
      </c>
      <c r="B28" s="46">
        <v>122</v>
      </c>
      <c r="C28" s="46">
        <v>27</v>
      </c>
      <c r="D28" s="46">
        <v>4</v>
      </c>
      <c r="E28" s="46">
        <v>17</v>
      </c>
      <c r="F28" s="46">
        <v>17</v>
      </c>
      <c r="G28" s="46">
        <v>23</v>
      </c>
      <c r="H28" s="46">
        <v>56</v>
      </c>
      <c r="I28" s="39">
        <f>B28/B$33</f>
        <v>6.0366155368629389E-2</v>
      </c>
      <c r="J28" s="39">
        <f t="shared" ref="J28:O28" si="0">C28/C$33</f>
        <v>0.20300751879699247</v>
      </c>
      <c r="K28" s="39">
        <f t="shared" si="0"/>
        <v>0.15384615384615385</v>
      </c>
      <c r="L28" s="39">
        <f t="shared" si="0"/>
        <v>0.11258278145695365</v>
      </c>
      <c r="M28" s="39">
        <f t="shared" si="0"/>
        <v>0.10967741935483871</v>
      </c>
      <c r="N28" s="39">
        <f t="shared" si="0"/>
        <v>0.15753424657534246</v>
      </c>
      <c r="O28" s="39">
        <f t="shared" si="0"/>
        <v>0.13145539906103287</v>
      </c>
    </row>
    <row r="29" spans="1:18" x14ac:dyDescent="0.35">
      <c r="A29" s="7" t="s">
        <v>119</v>
      </c>
      <c r="B29" s="46">
        <v>461</v>
      </c>
      <c r="C29" s="46">
        <v>66</v>
      </c>
      <c r="D29" s="46">
        <v>14</v>
      </c>
      <c r="E29" s="46">
        <v>36</v>
      </c>
      <c r="F29" s="46">
        <v>69</v>
      </c>
      <c r="G29" s="46">
        <v>72</v>
      </c>
      <c r="H29" s="46">
        <v>159</v>
      </c>
      <c r="I29" s="39">
        <f t="shared" ref="I29:I32" si="1">B29/B$33</f>
        <v>0.2281048985650668</v>
      </c>
      <c r="J29" s="39">
        <f t="shared" ref="J29:J32" si="2">C29/C$33</f>
        <v>0.49624060150375937</v>
      </c>
      <c r="K29" s="39">
        <f t="shared" ref="K29:K32" si="3">D29/D$33</f>
        <v>0.53846153846153844</v>
      </c>
      <c r="L29" s="39">
        <f t="shared" ref="L29:L32" si="4">E29/E$33</f>
        <v>0.23841059602649006</v>
      </c>
      <c r="M29" s="39">
        <f t="shared" ref="M29:M32" si="5">F29/F$33</f>
        <v>0.44516129032258067</v>
      </c>
      <c r="N29" s="39">
        <f t="shared" ref="N29:N32" si="6">G29/G$33</f>
        <v>0.49315068493150682</v>
      </c>
      <c r="O29" s="39">
        <f t="shared" ref="O29:O32" si="7">H29/H$33</f>
        <v>0.37323943661971831</v>
      </c>
    </row>
    <row r="30" spans="1:18" x14ac:dyDescent="0.35">
      <c r="A30" s="7" t="s">
        <v>120</v>
      </c>
      <c r="B30" s="44">
        <v>342</v>
      </c>
      <c r="C30" s="44">
        <v>22</v>
      </c>
      <c r="D30" s="44">
        <v>4</v>
      </c>
      <c r="E30" s="44">
        <v>26</v>
      </c>
      <c r="F30" s="44">
        <v>30</v>
      </c>
      <c r="G30" s="44">
        <v>31</v>
      </c>
      <c r="H30" s="44">
        <v>83</v>
      </c>
      <c r="I30" s="39">
        <f t="shared" si="1"/>
        <v>0.16922315685304304</v>
      </c>
      <c r="J30" s="39">
        <f t="shared" si="2"/>
        <v>0.16541353383458646</v>
      </c>
      <c r="K30" s="39">
        <f t="shared" si="3"/>
        <v>0.15384615384615385</v>
      </c>
      <c r="L30" s="39">
        <f t="shared" si="4"/>
        <v>0.17218543046357615</v>
      </c>
      <c r="M30" s="39">
        <f t="shared" si="5"/>
        <v>0.19354838709677419</v>
      </c>
      <c r="N30" s="39">
        <f t="shared" si="6"/>
        <v>0.21232876712328766</v>
      </c>
      <c r="O30" s="39">
        <f t="shared" si="7"/>
        <v>0.19483568075117372</v>
      </c>
    </row>
    <row r="31" spans="1:18" x14ac:dyDescent="0.35">
      <c r="A31" s="7" t="s">
        <v>121</v>
      </c>
      <c r="B31" s="44">
        <v>859</v>
      </c>
      <c r="C31" s="44">
        <v>18</v>
      </c>
      <c r="D31" s="44">
        <v>4</v>
      </c>
      <c r="E31" s="44">
        <v>59</v>
      </c>
      <c r="F31" s="44">
        <v>39</v>
      </c>
      <c r="G31" s="44">
        <v>20</v>
      </c>
      <c r="H31" s="44">
        <v>115</v>
      </c>
      <c r="I31" s="39">
        <f t="shared" si="1"/>
        <v>0.42503711034141511</v>
      </c>
      <c r="J31" s="39">
        <f t="shared" si="2"/>
        <v>0.13533834586466165</v>
      </c>
      <c r="K31" s="39">
        <f t="shared" si="3"/>
        <v>0.15384615384615385</v>
      </c>
      <c r="L31" s="39">
        <f t="shared" si="4"/>
        <v>0.39072847682119205</v>
      </c>
      <c r="M31" s="39">
        <f t="shared" si="5"/>
        <v>0.25161290322580643</v>
      </c>
      <c r="N31" s="39">
        <f t="shared" si="6"/>
        <v>0.13698630136986301</v>
      </c>
      <c r="O31" s="39">
        <f t="shared" si="7"/>
        <v>0.2699530516431925</v>
      </c>
    </row>
    <row r="32" spans="1:18" ht="15" thickBot="1" x14ac:dyDescent="0.4">
      <c r="A32" s="40" t="s">
        <v>122</v>
      </c>
      <c r="B32" s="45">
        <v>237</v>
      </c>
      <c r="C32" s="45">
        <v>0</v>
      </c>
      <c r="D32" s="45">
        <v>0</v>
      </c>
      <c r="E32" s="45">
        <v>13</v>
      </c>
      <c r="F32" s="45">
        <v>0</v>
      </c>
      <c r="G32" s="45">
        <v>0</v>
      </c>
      <c r="H32" s="45">
        <v>13</v>
      </c>
      <c r="I32" s="41">
        <f t="shared" si="1"/>
        <v>0.11726867887184562</v>
      </c>
      <c r="J32" s="41">
        <f t="shared" si="2"/>
        <v>0</v>
      </c>
      <c r="K32" s="41">
        <f t="shared" si="3"/>
        <v>0</v>
      </c>
      <c r="L32" s="41">
        <f t="shared" si="4"/>
        <v>8.6092715231788075E-2</v>
      </c>
      <c r="M32" s="41">
        <f t="shared" si="5"/>
        <v>0</v>
      </c>
      <c r="N32" s="41">
        <f t="shared" si="6"/>
        <v>0</v>
      </c>
      <c r="O32" s="41">
        <f t="shared" si="7"/>
        <v>3.0516431924882629E-2</v>
      </c>
    </row>
    <row r="33" spans="1:23" ht="15" thickTop="1" x14ac:dyDescent="0.35">
      <c r="A33" s="7" t="s">
        <v>128</v>
      </c>
      <c r="B33" s="7">
        <v>2021</v>
      </c>
      <c r="C33" s="7">
        <v>133</v>
      </c>
      <c r="D33" s="7">
        <v>26</v>
      </c>
      <c r="E33" s="7">
        <v>151</v>
      </c>
      <c r="F33" s="7">
        <v>155</v>
      </c>
      <c r="G33" s="7">
        <v>146</v>
      </c>
      <c r="H33" s="7">
        <v>426</v>
      </c>
      <c r="I33" s="44"/>
      <c r="J33" s="44"/>
      <c r="K33" s="44"/>
      <c r="L33" s="44"/>
      <c r="M33" s="44"/>
      <c r="N33" s="44"/>
      <c r="O33" s="44"/>
    </row>
    <row r="36" spans="1:23" ht="16" thickBot="1" x14ac:dyDescent="0.4">
      <c r="A36" s="69" t="s">
        <v>187</v>
      </c>
      <c r="B36" s="69"/>
      <c r="C36" s="69"/>
      <c r="D36" s="69"/>
      <c r="E36" s="69"/>
      <c r="F36" s="69"/>
      <c r="I36" s="68" t="s">
        <v>188</v>
      </c>
      <c r="J36" s="68"/>
      <c r="K36" s="68"/>
      <c r="L36" s="68"/>
      <c r="M36" s="68"/>
      <c r="N36" s="68"/>
      <c r="O36" s="68"/>
      <c r="Q36" s="68" t="s">
        <v>190</v>
      </c>
      <c r="R36" s="68"/>
      <c r="S36" s="68"/>
      <c r="T36" s="68"/>
      <c r="U36" s="68"/>
      <c r="V36" s="68"/>
      <c r="W36" s="68"/>
    </row>
    <row r="38" spans="1:23" ht="58" x14ac:dyDescent="0.35">
      <c r="A38" s="22" t="s">
        <v>126</v>
      </c>
      <c r="B38" s="5" t="s">
        <v>127</v>
      </c>
      <c r="I38" s="22" t="s">
        <v>133</v>
      </c>
      <c r="J38" s="5" t="s">
        <v>127</v>
      </c>
      <c r="Q38" s="22" t="s">
        <v>189</v>
      </c>
      <c r="R38" s="5" t="s">
        <v>127</v>
      </c>
    </row>
    <row r="39" spans="1:23" ht="29" x14ac:dyDescent="0.35">
      <c r="A39" s="22" t="s">
        <v>0</v>
      </c>
      <c r="B39" t="s">
        <v>121</v>
      </c>
      <c r="C39" t="s">
        <v>122</v>
      </c>
      <c r="D39" t="s">
        <v>119</v>
      </c>
      <c r="E39" t="s">
        <v>120</v>
      </c>
      <c r="F39" t="s">
        <v>118</v>
      </c>
      <c r="G39" t="s">
        <v>47</v>
      </c>
      <c r="I39" s="22" t="s">
        <v>0</v>
      </c>
      <c r="J39" t="s">
        <v>121</v>
      </c>
      <c r="K39" t="s">
        <v>122</v>
      </c>
      <c r="L39" t="s">
        <v>119</v>
      </c>
      <c r="M39" t="s">
        <v>120</v>
      </c>
      <c r="N39" t="s">
        <v>118</v>
      </c>
      <c r="O39" t="s">
        <v>47</v>
      </c>
      <c r="Q39" s="22" t="s">
        <v>0</v>
      </c>
      <c r="R39" t="s">
        <v>121</v>
      </c>
      <c r="S39" t="s">
        <v>122</v>
      </c>
      <c r="T39" t="s">
        <v>119</v>
      </c>
      <c r="U39" t="s">
        <v>120</v>
      </c>
      <c r="V39" t="s">
        <v>118</v>
      </c>
      <c r="W39" t="s">
        <v>47</v>
      </c>
    </row>
    <row r="40" spans="1:23" x14ac:dyDescent="0.35">
      <c r="A40" s="24" t="s">
        <v>85</v>
      </c>
      <c r="B40">
        <v>29</v>
      </c>
      <c r="C40">
        <v>9</v>
      </c>
      <c r="D40">
        <v>1</v>
      </c>
      <c r="E40">
        <v>1</v>
      </c>
      <c r="F40">
        <v>0</v>
      </c>
      <c r="G40">
        <v>40</v>
      </c>
      <c r="I40" s="61" t="s">
        <v>85</v>
      </c>
      <c r="J40" s="48">
        <v>58.432352941176468</v>
      </c>
      <c r="K40" s="48">
        <v>30.31297709923664</v>
      </c>
      <c r="L40" s="48">
        <v>389</v>
      </c>
      <c r="M40" s="48">
        <v>214.6</v>
      </c>
      <c r="N40" s="48">
        <v>1729</v>
      </c>
      <c r="O40" s="48">
        <v>64.644578313253007</v>
      </c>
      <c r="Q40" s="61" t="s">
        <v>85</v>
      </c>
      <c r="R40" s="48">
        <v>340</v>
      </c>
      <c r="S40" s="48">
        <v>131</v>
      </c>
      <c r="T40" s="48">
        <v>6</v>
      </c>
      <c r="U40" s="48">
        <v>20</v>
      </c>
      <c r="V40" s="48">
        <v>1</v>
      </c>
      <c r="W40" s="48">
        <v>498</v>
      </c>
    </row>
    <row r="41" spans="1:23" ht="29" x14ac:dyDescent="0.35">
      <c r="A41" s="24" t="s">
        <v>86</v>
      </c>
      <c r="B41">
        <v>31</v>
      </c>
      <c r="C41">
        <v>3</v>
      </c>
      <c r="D41">
        <v>10</v>
      </c>
      <c r="E41">
        <v>13</v>
      </c>
      <c r="F41">
        <v>1</v>
      </c>
      <c r="G41">
        <v>58</v>
      </c>
      <c r="I41" s="61" t="s">
        <v>86</v>
      </c>
      <c r="J41" s="48">
        <v>143.02681992337165</v>
      </c>
      <c r="K41" s="48">
        <v>41.386363636363633</v>
      </c>
      <c r="L41" s="48">
        <v>505.36</v>
      </c>
      <c r="M41" s="48">
        <v>339.375</v>
      </c>
      <c r="N41" s="48">
        <v>699</v>
      </c>
      <c r="O41" s="48">
        <v>193.25536480686696</v>
      </c>
      <c r="Q41" s="61" t="s">
        <v>86</v>
      </c>
      <c r="R41" s="48">
        <v>261</v>
      </c>
      <c r="S41" s="48">
        <v>88</v>
      </c>
      <c r="T41" s="48">
        <v>50</v>
      </c>
      <c r="U41" s="48">
        <v>64</v>
      </c>
      <c r="V41" s="48">
        <v>3</v>
      </c>
      <c r="W41" s="48">
        <v>466</v>
      </c>
    </row>
    <row r="42" spans="1:23" ht="29" x14ac:dyDescent="0.35">
      <c r="A42" s="24" t="s">
        <v>87</v>
      </c>
      <c r="B42">
        <v>29</v>
      </c>
      <c r="C42">
        <v>1</v>
      </c>
      <c r="D42">
        <v>68</v>
      </c>
      <c r="E42">
        <v>37</v>
      </c>
      <c r="F42">
        <v>24</v>
      </c>
      <c r="G42">
        <v>159</v>
      </c>
      <c r="I42" s="61" t="s">
        <v>87</v>
      </c>
      <c r="J42" s="48">
        <v>482.87922705314008</v>
      </c>
      <c r="K42" s="48">
        <v>69.388888888888886</v>
      </c>
      <c r="L42" s="48">
        <v>954.25670498084287</v>
      </c>
      <c r="M42" s="48">
        <v>785.4406779661017</v>
      </c>
      <c r="N42" s="48">
        <v>1192.7777777777778</v>
      </c>
      <c r="O42" s="48">
        <v>782.54285714285709</v>
      </c>
      <c r="Q42" s="61" t="s">
        <v>87</v>
      </c>
      <c r="R42" s="48">
        <v>207</v>
      </c>
      <c r="S42" s="48">
        <v>18</v>
      </c>
      <c r="T42" s="48">
        <v>261</v>
      </c>
      <c r="U42" s="48">
        <v>177</v>
      </c>
      <c r="V42" s="48">
        <v>72</v>
      </c>
      <c r="W42" s="48">
        <v>735</v>
      </c>
    </row>
    <row r="43" spans="1:23" x14ac:dyDescent="0.35">
      <c r="A43" s="24" t="s">
        <v>88</v>
      </c>
      <c r="B43">
        <v>26</v>
      </c>
      <c r="D43">
        <v>80</v>
      </c>
      <c r="E43">
        <v>32</v>
      </c>
      <c r="F43">
        <v>31</v>
      </c>
      <c r="G43">
        <v>169</v>
      </c>
      <c r="I43" s="61" t="s">
        <v>88</v>
      </c>
      <c r="J43" s="48">
        <v>1074.2156862745098</v>
      </c>
      <c r="K43" s="48"/>
      <c r="L43" s="48">
        <v>1409.4097222222222</v>
      </c>
      <c r="M43" s="48">
        <v>1420.1975308641975</v>
      </c>
      <c r="N43" s="48">
        <v>1504.8478260869565</v>
      </c>
      <c r="O43" s="48">
        <v>1372.6677018633541</v>
      </c>
      <c r="Q43" s="61" t="s">
        <v>88</v>
      </c>
      <c r="R43" s="48">
        <v>51</v>
      </c>
      <c r="S43" s="48"/>
      <c r="T43" s="48">
        <v>144</v>
      </c>
      <c r="U43" s="48">
        <v>81</v>
      </c>
      <c r="V43" s="48">
        <v>46</v>
      </c>
      <c r="W43" s="48">
        <v>322</v>
      </c>
    </row>
    <row r="44" spans="1:23" ht="43.5" x14ac:dyDescent="0.35">
      <c r="A44" s="24" t="s">
        <v>47</v>
      </c>
      <c r="B44">
        <v>115</v>
      </c>
      <c r="C44">
        <v>13</v>
      </c>
      <c r="D44">
        <v>159</v>
      </c>
      <c r="E44">
        <v>83</v>
      </c>
      <c r="F44">
        <v>56</v>
      </c>
      <c r="G44">
        <v>426</v>
      </c>
      <c r="I44" s="24" t="s">
        <v>47</v>
      </c>
      <c r="J44" s="25">
        <v>246.72642607683352</v>
      </c>
      <c r="K44" s="25">
        <v>37.392405063291136</v>
      </c>
      <c r="L44" s="25">
        <v>1040.3861171366593</v>
      </c>
      <c r="M44" s="25">
        <v>818.92105263157896</v>
      </c>
      <c r="N44" s="25">
        <v>1302.6967213114754</v>
      </c>
      <c r="O44" s="25">
        <v>563.78921326076204</v>
      </c>
      <c r="Q44" s="24" t="s">
        <v>47</v>
      </c>
      <c r="R44" s="25">
        <v>859</v>
      </c>
      <c r="S44" s="25">
        <v>237</v>
      </c>
      <c r="T44" s="25">
        <v>461</v>
      </c>
      <c r="U44" s="25">
        <v>342</v>
      </c>
      <c r="V44" s="25">
        <v>122</v>
      </c>
      <c r="W44" s="25">
        <v>2021</v>
      </c>
    </row>
    <row r="45" spans="1:23" x14ac:dyDescent="0.35">
      <c r="A45" s="1"/>
    </row>
    <row r="46" spans="1:23" x14ac:dyDescent="0.35">
      <c r="A46" s="1"/>
    </row>
    <row r="47" spans="1:23" ht="58" x14ac:dyDescent="0.35">
      <c r="A47" s="22" t="s">
        <v>126</v>
      </c>
      <c r="B47" s="5" t="s">
        <v>127</v>
      </c>
      <c r="I47" s="22" t="s">
        <v>133</v>
      </c>
      <c r="J47" s="5" t="s">
        <v>127</v>
      </c>
      <c r="Q47" s="22" t="s">
        <v>189</v>
      </c>
      <c r="R47" s="5" t="s">
        <v>127</v>
      </c>
    </row>
    <row r="48" spans="1:23" ht="29" x14ac:dyDescent="0.35">
      <c r="A48" s="22" t="s">
        <v>72</v>
      </c>
      <c r="B48" t="s">
        <v>121</v>
      </c>
      <c r="C48" t="s">
        <v>122</v>
      </c>
      <c r="D48" t="s">
        <v>119</v>
      </c>
      <c r="E48" t="s">
        <v>120</v>
      </c>
      <c r="F48" t="s">
        <v>118</v>
      </c>
      <c r="G48" t="s">
        <v>47</v>
      </c>
      <c r="I48" s="22" t="s">
        <v>72</v>
      </c>
      <c r="J48" t="s">
        <v>121</v>
      </c>
      <c r="K48" t="s">
        <v>122</v>
      </c>
      <c r="L48" t="s">
        <v>119</v>
      </c>
      <c r="M48" t="s">
        <v>120</v>
      </c>
      <c r="N48" t="s">
        <v>118</v>
      </c>
      <c r="O48" t="s">
        <v>47</v>
      </c>
      <c r="Q48" s="22" t="s">
        <v>72</v>
      </c>
      <c r="R48" t="s">
        <v>121</v>
      </c>
      <c r="S48" t="s">
        <v>122</v>
      </c>
      <c r="T48" t="s">
        <v>119</v>
      </c>
      <c r="U48" t="s">
        <v>120</v>
      </c>
      <c r="V48" t="s">
        <v>118</v>
      </c>
      <c r="W48" t="s">
        <v>47</v>
      </c>
    </row>
    <row r="49" spans="1:23" ht="43.5" x14ac:dyDescent="0.35">
      <c r="A49" s="24" t="s">
        <v>95</v>
      </c>
      <c r="B49">
        <v>4</v>
      </c>
      <c r="C49">
        <v>1</v>
      </c>
      <c r="E49">
        <v>0</v>
      </c>
      <c r="G49">
        <v>5</v>
      </c>
      <c r="I49" s="24" t="s">
        <v>95</v>
      </c>
      <c r="J49" s="25">
        <v>50.090909090909093</v>
      </c>
      <c r="K49" s="48">
        <v>24.53846153846154</v>
      </c>
      <c r="L49" s="48"/>
      <c r="M49" s="48">
        <v>341.66666666666669</v>
      </c>
      <c r="N49" s="48"/>
      <c r="O49" s="48">
        <v>61.163265306122447</v>
      </c>
      <c r="P49" s="62"/>
      <c r="Q49" s="61" t="s">
        <v>95</v>
      </c>
      <c r="R49" s="48">
        <v>33</v>
      </c>
      <c r="S49" s="48">
        <v>13</v>
      </c>
      <c r="T49" s="48"/>
      <c r="U49" s="48">
        <v>3</v>
      </c>
      <c r="V49" s="48"/>
      <c r="W49" s="48">
        <v>49</v>
      </c>
    </row>
    <row r="50" spans="1:23" ht="87" x14ac:dyDescent="0.35">
      <c r="A50" s="24" t="s">
        <v>96</v>
      </c>
      <c r="B50">
        <v>51</v>
      </c>
      <c r="C50">
        <v>7</v>
      </c>
      <c r="D50">
        <v>83</v>
      </c>
      <c r="E50">
        <v>39</v>
      </c>
      <c r="F50">
        <v>28</v>
      </c>
      <c r="G50">
        <v>208</v>
      </c>
      <c r="I50" s="24" t="s">
        <v>96</v>
      </c>
      <c r="J50" s="25">
        <v>242.22962962962964</v>
      </c>
      <c r="K50" s="48">
        <v>41.339805825242721</v>
      </c>
      <c r="L50" s="48">
        <v>1043.4533333333334</v>
      </c>
      <c r="M50" s="48">
        <v>836.00617283950612</v>
      </c>
      <c r="N50" s="48">
        <v>1318.016129032258</v>
      </c>
      <c r="O50" s="48">
        <v>579.19331243469173</v>
      </c>
      <c r="P50" s="62"/>
      <c r="Q50" s="61" t="s">
        <v>96</v>
      </c>
      <c r="R50" s="48">
        <v>405</v>
      </c>
      <c r="S50" s="48">
        <v>103</v>
      </c>
      <c r="T50" s="48">
        <v>225</v>
      </c>
      <c r="U50" s="48">
        <v>162</v>
      </c>
      <c r="V50" s="48">
        <v>62</v>
      </c>
      <c r="W50" s="48">
        <v>957</v>
      </c>
    </row>
    <row r="51" spans="1:23" ht="72.5" x14ac:dyDescent="0.35">
      <c r="A51" s="24" t="s">
        <v>97</v>
      </c>
      <c r="B51">
        <v>60</v>
      </c>
      <c r="C51">
        <v>5</v>
      </c>
      <c r="D51">
        <v>76</v>
      </c>
      <c r="E51">
        <v>44</v>
      </c>
      <c r="F51">
        <v>28</v>
      </c>
      <c r="G51">
        <v>213</v>
      </c>
      <c r="I51" s="24" t="s">
        <v>97</v>
      </c>
      <c r="J51" s="25">
        <v>266.46555819477436</v>
      </c>
      <c r="K51" s="48">
        <v>35.413223140495866</v>
      </c>
      <c r="L51" s="48">
        <v>1037.4618644067796</v>
      </c>
      <c r="M51" s="48">
        <v>811.37288135593224</v>
      </c>
      <c r="N51" s="48">
        <v>1286.8666666666666</v>
      </c>
      <c r="O51" s="48">
        <v>573.53004926108372</v>
      </c>
      <c r="P51" s="62"/>
      <c r="Q51" s="61" t="s">
        <v>97</v>
      </c>
      <c r="R51" s="48">
        <v>421</v>
      </c>
      <c r="S51" s="48">
        <v>121</v>
      </c>
      <c r="T51" s="48">
        <v>236</v>
      </c>
      <c r="U51" s="48">
        <v>177</v>
      </c>
      <c r="V51" s="48">
        <v>60</v>
      </c>
      <c r="W51" s="48">
        <v>1015</v>
      </c>
    </row>
    <row r="52" spans="1:23" ht="43.5" x14ac:dyDescent="0.35">
      <c r="A52" s="24" t="s">
        <v>47</v>
      </c>
      <c r="B52">
        <v>115</v>
      </c>
      <c r="C52">
        <v>13</v>
      </c>
      <c r="D52">
        <v>159</v>
      </c>
      <c r="E52">
        <v>83</v>
      </c>
      <c r="F52">
        <v>56</v>
      </c>
      <c r="G52">
        <v>426</v>
      </c>
      <c r="I52" s="24" t="s">
        <v>47</v>
      </c>
      <c r="J52" s="25">
        <v>246.72642607683352</v>
      </c>
      <c r="K52" s="25">
        <v>37.392405063291136</v>
      </c>
      <c r="L52" s="25">
        <v>1040.3861171366593</v>
      </c>
      <c r="M52" s="25">
        <v>818.92105263157896</v>
      </c>
      <c r="N52" s="25">
        <v>1302.6967213114754</v>
      </c>
      <c r="O52" s="25">
        <v>563.78921326076204</v>
      </c>
      <c r="Q52" s="24" t="s">
        <v>47</v>
      </c>
      <c r="R52" s="25">
        <v>859</v>
      </c>
      <c r="S52" s="25">
        <v>237</v>
      </c>
      <c r="T52" s="25">
        <v>461</v>
      </c>
      <c r="U52" s="25">
        <v>342</v>
      </c>
      <c r="V52" s="25">
        <v>122</v>
      </c>
      <c r="W52" s="25">
        <v>2021</v>
      </c>
    </row>
    <row r="53" spans="1:23" x14ac:dyDescent="0.35">
      <c r="A53" s="1"/>
    </row>
    <row r="54" spans="1:23" x14ac:dyDescent="0.35">
      <c r="A54" s="1"/>
    </row>
    <row r="55" spans="1:23" ht="58" x14ac:dyDescent="0.35">
      <c r="A55" s="22" t="s">
        <v>126</v>
      </c>
      <c r="B55" s="5" t="s">
        <v>127</v>
      </c>
      <c r="I55" s="22" t="s">
        <v>133</v>
      </c>
      <c r="J55" s="5" t="s">
        <v>127</v>
      </c>
      <c r="Q55" s="22" t="s">
        <v>189</v>
      </c>
      <c r="R55" s="5" t="s">
        <v>127</v>
      </c>
    </row>
    <row r="56" spans="1:23" ht="43.5" x14ac:dyDescent="0.35">
      <c r="A56" s="22" t="s">
        <v>84</v>
      </c>
      <c r="B56" t="s">
        <v>121</v>
      </c>
      <c r="C56" t="s">
        <v>122</v>
      </c>
      <c r="D56" t="s">
        <v>119</v>
      </c>
      <c r="E56" t="s">
        <v>120</v>
      </c>
      <c r="F56" t="s">
        <v>118</v>
      </c>
      <c r="G56" t="s">
        <v>47</v>
      </c>
      <c r="I56" s="22" t="s">
        <v>84</v>
      </c>
      <c r="J56" t="s">
        <v>121</v>
      </c>
      <c r="K56" t="s">
        <v>122</v>
      </c>
      <c r="L56" t="s">
        <v>119</v>
      </c>
      <c r="M56" t="s">
        <v>120</v>
      </c>
      <c r="N56" t="s">
        <v>118</v>
      </c>
      <c r="O56" t="s">
        <v>47</v>
      </c>
      <c r="Q56" s="22" t="s">
        <v>84</v>
      </c>
      <c r="R56" t="s">
        <v>121</v>
      </c>
      <c r="S56" t="s">
        <v>122</v>
      </c>
      <c r="T56" t="s">
        <v>119</v>
      </c>
      <c r="U56" t="s">
        <v>120</v>
      </c>
      <c r="V56" t="s">
        <v>118</v>
      </c>
      <c r="W56" t="s">
        <v>47</v>
      </c>
    </row>
    <row r="57" spans="1:23" x14ac:dyDescent="0.35">
      <c r="A57" s="24" t="s">
        <v>90</v>
      </c>
      <c r="B57">
        <v>3</v>
      </c>
      <c r="C57">
        <v>1</v>
      </c>
      <c r="D57">
        <v>9</v>
      </c>
      <c r="E57">
        <v>2</v>
      </c>
      <c r="F57">
        <v>4</v>
      </c>
      <c r="G57">
        <v>19</v>
      </c>
      <c r="I57" s="24" t="s">
        <v>90</v>
      </c>
      <c r="J57" s="48">
        <v>325.78260869565219</v>
      </c>
      <c r="K57" s="48">
        <v>27.5</v>
      </c>
      <c r="L57" s="48">
        <v>1500.125</v>
      </c>
      <c r="M57" s="48">
        <v>736.8</v>
      </c>
      <c r="N57" s="48">
        <v>1524.8</v>
      </c>
      <c r="O57" s="48">
        <v>781.23636363636365</v>
      </c>
      <c r="P57" s="62"/>
      <c r="Q57" s="61" t="s">
        <v>90</v>
      </c>
      <c r="R57" s="48">
        <v>23</v>
      </c>
      <c r="S57" s="48">
        <v>6</v>
      </c>
      <c r="T57" s="48">
        <v>16</v>
      </c>
      <c r="U57" s="48">
        <v>5</v>
      </c>
      <c r="V57" s="48">
        <v>5</v>
      </c>
      <c r="W57" s="48">
        <v>55</v>
      </c>
    </row>
    <row r="58" spans="1:23" x14ac:dyDescent="0.35">
      <c r="A58" s="24" t="s">
        <v>91</v>
      </c>
      <c r="B58">
        <v>24</v>
      </c>
      <c r="C58">
        <v>3</v>
      </c>
      <c r="D58">
        <v>31</v>
      </c>
      <c r="E58">
        <v>10</v>
      </c>
      <c r="F58">
        <v>6</v>
      </c>
      <c r="G58">
        <v>74</v>
      </c>
      <c r="I58" s="24" t="s">
        <v>91</v>
      </c>
      <c r="J58" s="48">
        <v>167.17791411042944</v>
      </c>
      <c r="K58" s="48">
        <v>33.392156862745097</v>
      </c>
      <c r="L58" s="48">
        <v>1206.2295081967213</v>
      </c>
      <c r="M58" s="48">
        <v>906.16666666666663</v>
      </c>
      <c r="N58" s="48">
        <v>1445.8</v>
      </c>
      <c r="O58" s="48">
        <v>474.15902140672785</v>
      </c>
      <c r="P58" s="62"/>
      <c r="Q58" s="61" t="s">
        <v>91</v>
      </c>
      <c r="R58" s="48">
        <v>163</v>
      </c>
      <c r="S58" s="48">
        <v>51</v>
      </c>
      <c r="T58" s="48">
        <v>61</v>
      </c>
      <c r="U58" s="48">
        <v>42</v>
      </c>
      <c r="V58" s="48">
        <v>10</v>
      </c>
      <c r="W58" s="48">
        <v>327</v>
      </c>
    </row>
    <row r="59" spans="1:23" x14ac:dyDescent="0.35">
      <c r="A59" s="24" t="s">
        <v>92</v>
      </c>
      <c r="B59">
        <v>34</v>
      </c>
      <c r="C59">
        <v>4</v>
      </c>
      <c r="D59">
        <v>43</v>
      </c>
      <c r="E59">
        <v>22</v>
      </c>
      <c r="F59">
        <v>14</v>
      </c>
      <c r="G59">
        <v>117</v>
      </c>
      <c r="I59" s="24" t="s">
        <v>92</v>
      </c>
      <c r="J59" s="48">
        <v>188.62258064516129</v>
      </c>
      <c r="K59" s="48">
        <v>34.623529411764707</v>
      </c>
      <c r="L59" s="48">
        <v>1010.8705035971223</v>
      </c>
      <c r="M59" s="48">
        <v>780.45192307692309</v>
      </c>
      <c r="N59" s="48">
        <v>1299.7741935483871</v>
      </c>
      <c r="O59" s="48">
        <v>483.38863976083707</v>
      </c>
      <c r="P59" s="62"/>
      <c r="Q59" s="61" t="s">
        <v>92</v>
      </c>
      <c r="R59" s="48">
        <v>310</v>
      </c>
      <c r="S59" s="48">
        <v>85</v>
      </c>
      <c r="T59" s="48">
        <v>139</v>
      </c>
      <c r="U59" s="48">
        <v>104</v>
      </c>
      <c r="V59" s="48">
        <v>31</v>
      </c>
      <c r="W59" s="48">
        <v>669</v>
      </c>
    </row>
    <row r="60" spans="1:23" x14ac:dyDescent="0.35">
      <c r="A60" s="24" t="s">
        <v>93</v>
      </c>
      <c r="B60">
        <v>26</v>
      </c>
      <c r="C60">
        <v>2</v>
      </c>
      <c r="D60">
        <v>32</v>
      </c>
      <c r="E60">
        <v>22</v>
      </c>
      <c r="F60">
        <v>15</v>
      </c>
      <c r="G60">
        <v>97</v>
      </c>
      <c r="I60" s="24" t="s">
        <v>93</v>
      </c>
      <c r="J60" s="48">
        <v>286.5595238095238</v>
      </c>
      <c r="K60" s="48">
        <v>42.186440677966104</v>
      </c>
      <c r="L60" s="48">
        <v>940.71028037383178</v>
      </c>
      <c r="M60" s="48">
        <v>805.1882352941177</v>
      </c>
      <c r="N60" s="48">
        <v>1286.1111111111111</v>
      </c>
      <c r="O60" s="48">
        <v>584.67692307692312</v>
      </c>
      <c r="P60" s="62"/>
      <c r="Q60" s="61" t="s">
        <v>93</v>
      </c>
      <c r="R60" s="48">
        <v>168</v>
      </c>
      <c r="S60" s="48">
        <v>59</v>
      </c>
      <c r="T60" s="48">
        <v>107</v>
      </c>
      <c r="U60" s="48">
        <v>85</v>
      </c>
      <c r="V60" s="48">
        <v>36</v>
      </c>
      <c r="W60" s="48">
        <v>455</v>
      </c>
    </row>
    <row r="61" spans="1:23" x14ac:dyDescent="0.35">
      <c r="A61" s="24" t="s">
        <v>94</v>
      </c>
      <c r="B61">
        <v>28</v>
      </c>
      <c r="C61">
        <v>3</v>
      </c>
      <c r="D61">
        <v>44</v>
      </c>
      <c r="E61">
        <v>27</v>
      </c>
      <c r="F61">
        <v>17</v>
      </c>
      <c r="G61">
        <v>119</v>
      </c>
      <c r="I61" s="24" t="s">
        <v>94</v>
      </c>
      <c r="J61" s="48">
        <v>361.94871794871796</v>
      </c>
      <c r="K61" s="48">
        <v>43.388888888888886</v>
      </c>
      <c r="L61" s="48">
        <v>1020.7898550724638</v>
      </c>
      <c r="M61" s="48">
        <v>836.98113207547169</v>
      </c>
      <c r="N61" s="48">
        <v>1256.3499999999999</v>
      </c>
      <c r="O61" s="48">
        <v>683.46601941747576</v>
      </c>
      <c r="P61" s="62"/>
      <c r="Q61" s="61" t="s">
        <v>94</v>
      </c>
      <c r="R61" s="48">
        <v>195</v>
      </c>
      <c r="S61" s="48">
        <v>36</v>
      </c>
      <c r="T61" s="48">
        <v>138</v>
      </c>
      <c r="U61" s="48">
        <v>106</v>
      </c>
      <c r="V61" s="48">
        <v>40</v>
      </c>
      <c r="W61" s="48">
        <v>515</v>
      </c>
    </row>
    <row r="62" spans="1:23" ht="43.5" x14ac:dyDescent="0.35">
      <c r="A62" s="24" t="s">
        <v>47</v>
      </c>
      <c r="B62">
        <v>115</v>
      </c>
      <c r="C62">
        <v>13</v>
      </c>
      <c r="D62">
        <v>159</v>
      </c>
      <c r="E62">
        <v>83</v>
      </c>
      <c r="F62">
        <v>56</v>
      </c>
      <c r="G62">
        <v>426</v>
      </c>
      <c r="I62" s="24" t="s">
        <v>47</v>
      </c>
      <c r="J62" s="25">
        <v>246.72642607683352</v>
      </c>
      <c r="K62" s="25">
        <v>37.392405063291136</v>
      </c>
      <c r="L62" s="25">
        <v>1040.3861171366593</v>
      </c>
      <c r="M62" s="25">
        <v>818.92105263157896</v>
      </c>
      <c r="N62" s="25">
        <v>1302.6967213114754</v>
      </c>
      <c r="O62" s="25">
        <v>563.78921326076204</v>
      </c>
      <c r="Q62" s="24" t="s">
        <v>47</v>
      </c>
      <c r="R62" s="25">
        <v>859</v>
      </c>
      <c r="S62" s="25">
        <v>237</v>
      </c>
      <c r="T62" s="25">
        <v>461</v>
      </c>
      <c r="U62" s="25">
        <v>342</v>
      </c>
      <c r="V62" s="25">
        <v>122</v>
      </c>
      <c r="W62" s="25">
        <v>2021</v>
      </c>
    </row>
    <row r="63" spans="1:23" x14ac:dyDescent="0.35">
      <c r="A63" s="1"/>
    </row>
    <row r="64" spans="1:23" x14ac:dyDescent="0.35">
      <c r="A64" s="1"/>
    </row>
    <row r="65" spans="1:23" ht="58" x14ac:dyDescent="0.35">
      <c r="A65" s="22" t="s">
        <v>126</v>
      </c>
      <c r="B65" s="5" t="s">
        <v>127</v>
      </c>
      <c r="I65" s="22" t="s">
        <v>133</v>
      </c>
      <c r="J65" s="5" t="s">
        <v>127</v>
      </c>
      <c r="Q65" s="22" t="s">
        <v>189</v>
      </c>
      <c r="R65" s="5" t="s">
        <v>127</v>
      </c>
    </row>
    <row r="66" spans="1:23" ht="58" x14ac:dyDescent="0.35">
      <c r="A66" s="22" t="s">
        <v>103</v>
      </c>
      <c r="B66" t="s">
        <v>121</v>
      </c>
      <c r="C66" t="s">
        <v>122</v>
      </c>
      <c r="D66" t="s">
        <v>119</v>
      </c>
      <c r="E66" t="s">
        <v>120</v>
      </c>
      <c r="F66" t="s">
        <v>118</v>
      </c>
      <c r="G66" t="s">
        <v>47</v>
      </c>
      <c r="I66" s="22" t="s">
        <v>103</v>
      </c>
      <c r="J66" t="s">
        <v>121</v>
      </c>
      <c r="K66" t="s">
        <v>122</v>
      </c>
      <c r="L66" t="s">
        <v>119</v>
      </c>
      <c r="M66" t="s">
        <v>120</v>
      </c>
      <c r="N66" t="s">
        <v>118</v>
      </c>
      <c r="O66" t="s">
        <v>47</v>
      </c>
      <c r="Q66" s="22" t="s">
        <v>103</v>
      </c>
      <c r="R66" t="s">
        <v>121</v>
      </c>
      <c r="S66" t="s">
        <v>122</v>
      </c>
      <c r="T66" t="s">
        <v>119</v>
      </c>
      <c r="U66" t="s">
        <v>120</v>
      </c>
      <c r="V66" t="s">
        <v>118</v>
      </c>
      <c r="W66" t="s">
        <v>47</v>
      </c>
    </row>
    <row r="67" spans="1:23" ht="29" x14ac:dyDescent="0.35">
      <c r="A67" s="24" t="s">
        <v>98</v>
      </c>
      <c r="B67">
        <v>10</v>
      </c>
      <c r="C67">
        <v>2</v>
      </c>
      <c r="D67">
        <v>15</v>
      </c>
      <c r="E67">
        <v>10</v>
      </c>
      <c r="F67">
        <v>5</v>
      </c>
      <c r="G67">
        <v>42</v>
      </c>
      <c r="I67" s="24" t="s">
        <v>98</v>
      </c>
      <c r="J67" s="25">
        <v>281.81395348837208</v>
      </c>
      <c r="K67" s="25">
        <v>31.5</v>
      </c>
      <c r="L67" s="25">
        <v>954.0333333333333</v>
      </c>
      <c r="M67" s="25">
        <v>811.75</v>
      </c>
      <c r="N67" s="25">
        <v>1268.5999999999999</v>
      </c>
      <c r="O67" s="25">
        <v>565.22897196261681</v>
      </c>
      <c r="Q67" s="24" t="s">
        <v>98</v>
      </c>
      <c r="R67" s="25">
        <v>86</v>
      </c>
      <c r="S67" s="25">
        <v>26</v>
      </c>
      <c r="T67" s="25">
        <v>60</v>
      </c>
      <c r="U67" s="25">
        <v>32</v>
      </c>
      <c r="V67" s="25">
        <v>10</v>
      </c>
      <c r="W67" s="25">
        <v>214</v>
      </c>
    </row>
    <row r="68" spans="1:23" ht="43.5" x14ac:dyDescent="0.35">
      <c r="A68" s="24" t="s">
        <v>99</v>
      </c>
      <c r="B68">
        <v>31</v>
      </c>
      <c r="C68">
        <v>3</v>
      </c>
      <c r="D68">
        <v>41</v>
      </c>
      <c r="E68">
        <v>16</v>
      </c>
      <c r="F68">
        <v>13</v>
      </c>
      <c r="G68">
        <v>104</v>
      </c>
      <c r="I68" s="24" t="s">
        <v>99</v>
      </c>
      <c r="J68" s="48">
        <v>235.68837209302325</v>
      </c>
      <c r="K68" s="48">
        <v>34.446153846153848</v>
      </c>
      <c r="L68" s="48">
        <v>1049.9583333333333</v>
      </c>
      <c r="M68" s="48">
        <v>885.46341463414637</v>
      </c>
      <c r="N68" s="48">
        <v>1310.0740740740741</v>
      </c>
      <c r="O68" s="48">
        <v>563.62868369351668</v>
      </c>
      <c r="P68" s="62"/>
      <c r="Q68" s="61" t="s">
        <v>99</v>
      </c>
      <c r="R68" s="48">
        <v>215</v>
      </c>
      <c r="S68" s="48">
        <v>65</v>
      </c>
      <c r="T68" s="48">
        <v>120</v>
      </c>
      <c r="U68" s="48">
        <v>82</v>
      </c>
      <c r="V68" s="48">
        <v>27</v>
      </c>
      <c r="W68" s="48">
        <v>509</v>
      </c>
    </row>
    <row r="69" spans="1:23" ht="29" x14ac:dyDescent="0.35">
      <c r="A69" s="24" t="s">
        <v>100</v>
      </c>
      <c r="B69">
        <v>46</v>
      </c>
      <c r="C69">
        <v>5</v>
      </c>
      <c r="D69">
        <v>55</v>
      </c>
      <c r="E69">
        <v>34</v>
      </c>
      <c r="F69">
        <v>28</v>
      </c>
      <c r="G69">
        <v>168</v>
      </c>
      <c r="I69" s="24" t="s">
        <v>100</v>
      </c>
      <c r="J69" s="48">
        <v>231.22096317280455</v>
      </c>
      <c r="K69" s="48">
        <v>40.695121951219512</v>
      </c>
      <c r="L69" s="48">
        <v>1022.6770186335403</v>
      </c>
      <c r="M69" s="48">
        <v>799.90977443609017</v>
      </c>
      <c r="N69" s="48">
        <v>1347.2857142857142</v>
      </c>
      <c r="O69" s="48">
        <v>549.61146496815286</v>
      </c>
      <c r="P69" s="62"/>
      <c r="Q69" s="61" t="s">
        <v>100</v>
      </c>
      <c r="R69" s="48">
        <v>353</v>
      </c>
      <c r="S69" s="48">
        <v>82</v>
      </c>
      <c r="T69" s="48">
        <v>161</v>
      </c>
      <c r="U69" s="48">
        <v>133</v>
      </c>
      <c r="V69" s="48">
        <v>56</v>
      </c>
      <c r="W69" s="48">
        <v>785</v>
      </c>
    </row>
    <row r="70" spans="1:23" x14ac:dyDescent="0.35">
      <c r="A70" s="24" t="s">
        <v>101</v>
      </c>
      <c r="B70">
        <v>26</v>
      </c>
      <c r="C70">
        <v>3</v>
      </c>
      <c r="D70">
        <v>42</v>
      </c>
      <c r="E70">
        <v>17</v>
      </c>
      <c r="F70">
        <v>7</v>
      </c>
      <c r="G70">
        <v>95</v>
      </c>
      <c r="I70" s="24" t="s">
        <v>101</v>
      </c>
      <c r="J70" s="48">
        <v>259.93989071038249</v>
      </c>
      <c r="K70" s="48">
        <v>38.85</v>
      </c>
      <c r="L70" s="48">
        <v>1125.2788461538462</v>
      </c>
      <c r="M70" s="48">
        <v>781.92</v>
      </c>
      <c r="N70" s="48">
        <v>1238.4285714285713</v>
      </c>
      <c r="O70" s="48">
        <v>567.90067720090292</v>
      </c>
      <c r="P70" s="62"/>
      <c r="Q70" s="61" t="s">
        <v>101</v>
      </c>
      <c r="R70" s="48">
        <v>183</v>
      </c>
      <c r="S70" s="48">
        <v>60</v>
      </c>
      <c r="T70" s="48">
        <v>104</v>
      </c>
      <c r="U70" s="48">
        <v>75</v>
      </c>
      <c r="V70" s="48">
        <v>21</v>
      </c>
      <c r="W70" s="48">
        <v>443</v>
      </c>
    </row>
    <row r="71" spans="1:23" ht="29" x14ac:dyDescent="0.35">
      <c r="A71" s="24" t="s">
        <v>102</v>
      </c>
      <c r="B71">
        <v>2</v>
      </c>
      <c r="C71">
        <v>0</v>
      </c>
      <c r="D71">
        <v>6</v>
      </c>
      <c r="E71">
        <v>6</v>
      </c>
      <c r="F71">
        <v>3</v>
      </c>
      <c r="G71">
        <v>17</v>
      </c>
      <c r="I71" s="24" t="s">
        <v>102</v>
      </c>
      <c r="J71" s="48">
        <v>356.31818181818181</v>
      </c>
      <c r="K71" s="48">
        <v>34</v>
      </c>
      <c r="L71" s="48">
        <v>918.8125</v>
      </c>
      <c r="M71" s="48">
        <v>822.75</v>
      </c>
      <c r="N71" s="48">
        <v>1177</v>
      </c>
      <c r="O71" s="48">
        <v>693.52857142857147</v>
      </c>
      <c r="P71" s="62"/>
      <c r="Q71" s="61" t="s">
        <v>102</v>
      </c>
      <c r="R71" s="48">
        <v>22</v>
      </c>
      <c r="S71" s="48">
        <v>4</v>
      </c>
      <c r="T71" s="48">
        <v>16</v>
      </c>
      <c r="U71" s="48">
        <v>20</v>
      </c>
      <c r="V71" s="48">
        <v>8</v>
      </c>
      <c r="W71" s="48">
        <v>70</v>
      </c>
    </row>
    <row r="72" spans="1:23" ht="43.5" x14ac:dyDescent="0.35">
      <c r="A72" s="24" t="s">
        <v>47</v>
      </c>
      <c r="B72">
        <v>115</v>
      </c>
      <c r="C72">
        <v>13</v>
      </c>
      <c r="D72">
        <v>159</v>
      </c>
      <c r="E72">
        <v>83</v>
      </c>
      <c r="F72">
        <v>56</v>
      </c>
      <c r="G72">
        <v>426</v>
      </c>
      <c r="I72" s="24" t="s">
        <v>47</v>
      </c>
      <c r="J72" s="25">
        <v>246.72642607683352</v>
      </c>
      <c r="K72" s="25">
        <v>37.392405063291136</v>
      </c>
      <c r="L72" s="25">
        <v>1040.3861171366593</v>
      </c>
      <c r="M72" s="25">
        <v>818.92105263157896</v>
      </c>
      <c r="N72" s="25">
        <v>1302.6967213114754</v>
      </c>
      <c r="O72" s="25">
        <v>563.78921326076204</v>
      </c>
      <c r="Q72" s="24" t="s">
        <v>47</v>
      </c>
      <c r="R72" s="25">
        <v>859</v>
      </c>
      <c r="S72" s="25">
        <v>237</v>
      </c>
      <c r="T72" s="25">
        <v>461</v>
      </c>
      <c r="U72" s="25">
        <v>342</v>
      </c>
      <c r="V72" s="25">
        <v>122</v>
      </c>
      <c r="W72" s="25">
        <v>2021</v>
      </c>
    </row>
    <row r="73" spans="1:23" x14ac:dyDescent="0.35">
      <c r="A73" s="1"/>
    </row>
    <row r="74" spans="1:23" x14ac:dyDescent="0.35">
      <c r="A74" s="1"/>
    </row>
    <row r="75" spans="1:23" ht="58" x14ac:dyDescent="0.35">
      <c r="A75" s="22" t="s">
        <v>126</v>
      </c>
      <c r="B75" s="5" t="s">
        <v>127</v>
      </c>
      <c r="I75" s="22" t="s">
        <v>133</v>
      </c>
      <c r="J75" s="5" t="s">
        <v>127</v>
      </c>
      <c r="Q75" s="22" t="s">
        <v>189</v>
      </c>
      <c r="R75" s="5" t="s">
        <v>127</v>
      </c>
    </row>
    <row r="76" spans="1:23" ht="43.5" x14ac:dyDescent="0.35">
      <c r="A76" s="22" t="s">
        <v>46</v>
      </c>
      <c r="B76" t="s">
        <v>121</v>
      </c>
      <c r="C76" t="s">
        <v>122</v>
      </c>
      <c r="D76" t="s">
        <v>119</v>
      </c>
      <c r="E76" t="s">
        <v>120</v>
      </c>
      <c r="F76" t="s">
        <v>118</v>
      </c>
      <c r="G76" t="s">
        <v>47</v>
      </c>
      <c r="I76" s="22" t="s">
        <v>46</v>
      </c>
      <c r="J76" t="s">
        <v>121</v>
      </c>
      <c r="K76" t="s">
        <v>122</v>
      </c>
      <c r="L76" t="s">
        <v>119</v>
      </c>
      <c r="M76" t="s">
        <v>120</v>
      </c>
      <c r="N76" t="s">
        <v>118</v>
      </c>
      <c r="O76" t="s">
        <v>47</v>
      </c>
      <c r="Q76" s="22" t="s">
        <v>46</v>
      </c>
      <c r="R76" t="s">
        <v>121</v>
      </c>
      <c r="S76" t="s">
        <v>122</v>
      </c>
      <c r="T76" t="s">
        <v>119</v>
      </c>
      <c r="U76" t="s">
        <v>120</v>
      </c>
      <c r="V76" t="s">
        <v>118</v>
      </c>
      <c r="W76" t="s">
        <v>47</v>
      </c>
    </row>
    <row r="77" spans="1:23" ht="43.5" x14ac:dyDescent="0.35">
      <c r="A77" s="24" t="s">
        <v>105</v>
      </c>
      <c r="B77">
        <v>77</v>
      </c>
      <c r="C77">
        <v>12</v>
      </c>
      <c r="D77">
        <v>69</v>
      </c>
      <c r="E77">
        <v>39</v>
      </c>
      <c r="F77">
        <v>20</v>
      </c>
      <c r="G77">
        <v>217</v>
      </c>
      <c r="I77" s="24" t="s">
        <v>105</v>
      </c>
      <c r="J77" s="25">
        <v>162.34890510948904</v>
      </c>
      <c r="K77" s="48">
        <v>37.348837209302324</v>
      </c>
      <c r="L77" s="48">
        <v>815.69372693726939</v>
      </c>
      <c r="M77" s="48">
        <v>590.79090909090905</v>
      </c>
      <c r="N77" s="48">
        <v>1114.9206349206349</v>
      </c>
      <c r="O77" s="48">
        <v>371.73727647867952</v>
      </c>
      <c r="P77" s="62"/>
      <c r="Q77" s="61" t="s">
        <v>105</v>
      </c>
      <c r="R77" s="48">
        <v>685</v>
      </c>
      <c r="S77" s="48">
        <v>215</v>
      </c>
      <c r="T77" s="48">
        <v>271</v>
      </c>
      <c r="U77" s="48">
        <v>220</v>
      </c>
      <c r="V77" s="48">
        <v>63</v>
      </c>
      <c r="W77" s="48">
        <v>1454</v>
      </c>
    </row>
    <row r="78" spans="1:23" ht="43.5" x14ac:dyDescent="0.35">
      <c r="A78" s="24" t="s">
        <v>106</v>
      </c>
      <c r="B78">
        <v>38</v>
      </c>
      <c r="C78">
        <v>1</v>
      </c>
      <c r="D78">
        <v>90</v>
      </c>
      <c r="E78">
        <v>44</v>
      </c>
      <c r="F78">
        <v>36</v>
      </c>
      <c r="G78">
        <v>209</v>
      </c>
      <c r="I78" s="24" t="s">
        <v>106</v>
      </c>
      <c r="J78" s="25">
        <v>578.90229885057477</v>
      </c>
      <c r="K78" s="48">
        <v>37.81818181818182</v>
      </c>
      <c r="L78" s="48">
        <v>1360.8684210526317</v>
      </c>
      <c r="M78" s="48">
        <v>1230.3032786885246</v>
      </c>
      <c r="N78" s="48">
        <v>1503.2033898305085</v>
      </c>
      <c r="O78" s="48">
        <v>1056.2821869488537</v>
      </c>
      <c r="P78" s="62"/>
      <c r="Q78" s="61" t="s">
        <v>106</v>
      </c>
      <c r="R78" s="48">
        <v>174</v>
      </c>
      <c r="S78" s="48">
        <v>22</v>
      </c>
      <c r="T78" s="48">
        <v>190</v>
      </c>
      <c r="U78" s="48">
        <v>122</v>
      </c>
      <c r="V78" s="48">
        <v>59</v>
      </c>
      <c r="W78" s="48">
        <v>567</v>
      </c>
    </row>
    <row r="79" spans="1:23" ht="43.5" x14ac:dyDescent="0.35">
      <c r="A79" s="24" t="s">
        <v>47</v>
      </c>
      <c r="B79">
        <v>115</v>
      </c>
      <c r="C79">
        <v>13</v>
      </c>
      <c r="D79">
        <v>159</v>
      </c>
      <c r="E79">
        <v>83</v>
      </c>
      <c r="F79">
        <v>56</v>
      </c>
      <c r="G79">
        <v>426</v>
      </c>
      <c r="I79" s="24" t="s">
        <v>47</v>
      </c>
      <c r="J79" s="25">
        <v>246.72642607683352</v>
      </c>
      <c r="K79" s="25">
        <v>37.392405063291136</v>
      </c>
      <c r="L79" s="25">
        <v>1040.3861171366593</v>
      </c>
      <c r="M79" s="25">
        <v>818.92105263157896</v>
      </c>
      <c r="N79" s="25">
        <v>1302.6967213114754</v>
      </c>
      <c r="O79" s="25">
        <v>563.78921326076204</v>
      </c>
      <c r="Q79" s="24" t="s">
        <v>47</v>
      </c>
      <c r="R79" s="25">
        <v>859</v>
      </c>
      <c r="S79" s="25">
        <v>237</v>
      </c>
      <c r="T79" s="25">
        <v>461</v>
      </c>
      <c r="U79" s="25">
        <v>342</v>
      </c>
      <c r="V79" s="25">
        <v>122</v>
      </c>
      <c r="W79" s="25">
        <v>2021</v>
      </c>
    </row>
    <row r="82" spans="1:17" x14ac:dyDescent="0.35">
      <c r="A82" s="5" t="s">
        <v>124</v>
      </c>
      <c r="B82" t="s">
        <v>119</v>
      </c>
      <c r="Q82" s="24" t="s">
        <v>193</v>
      </c>
    </row>
    <row r="83" spans="1:17" x14ac:dyDescent="0.35">
      <c r="A83" s="5" t="s">
        <v>73</v>
      </c>
      <c r="B83" t="s">
        <v>130</v>
      </c>
    </row>
    <row r="84" spans="1:17" x14ac:dyDescent="0.35">
      <c r="A84" s="5" t="s">
        <v>67</v>
      </c>
      <c r="B84" t="s">
        <v>130</v>
      </c>
    </row>
    <row r="85" spans="1:17" x14ac:dyDescent="0.35">
      <c r="A85" s="5" t="s">
        <v>72</v>
      </c>
      <c r="B85" t="s">
        <v>130</v>
      </c>
    </row>
    <row r="86" spans="1:17" x14ac:dyDescent="0.35">
      <c r="A86" s="5" t="s">
        <v>83</v>
      </c>
      <c r="B86" t="s">
        <v>130</v>
      </c>
    </row>
    <row r="87" spans="1:17" x14ac:dyDescent="0.35">
      <c r="A87" s="5" t="s">
        <v>84</v>
      </c>
      <c r="B87" t="s">
        <v>183</v>
      </c>
    </row>
    <row r="89" spans="1:17" x14ac:dyDescent="0.35">
      <c r="A89" t="s">
        <v>133</v>
      </c>
      <c r="B89" t="s">
        <v>189</v>
      </c>
      <c r="C89" s="4" t="s">
        <v>229</v>
      </c>
    </row>
    <row r="90" spans="1:17" x14ac:dyDescent="0.35">
      <c r="A90" s="48">
        <v>985.81632653061229</v>
      </c>
      <c r="B90" s="48">
        <v>245</v>
      </c>
      <c r="C90" s="18">
        <f>GETPIVOTDATA("Count of MntTotal",$A$89)/GETPIVOTDATA("MntTotal",$Q$38,"Customer Segment","Loyal Customer")</f>
        <v>0.53145336225596529</v>
      </c>
    </row>
  </sheetData>
  <mergeCells count="5">
    <mergeCell ref="A36:F36"/>
    <mergeCell ref="A17:H17"/>
    <mergeCell ref="K17:R17"/>
    <mergeCell ref="I36:O36"/>
    <mergeCell ref="Q36:W3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A0069-4024-45EA-BBF7-1DED8B2E63C0}">
  <dimension ref="A1:H38"/>
  <sheetViews>
    <sheetView zoomScale="130" zoomScaleNormal="130" workbookViewId="0">
      <selection activeCell="I12" sqref="I12"/>
    </sheetView>
  </sheetViews>
  <sheetFormatPr defaultRowHeight="14.5" x14ac:dyDescent="0.35"/>
  <cols>
    <col min="1" max="1" width="19.36328125" bestFit="1" customWidth="1"/>
    <col min="2" max="2" width="14.7265625" bestFit="1" customWidth="1"/>
    <col min="3" max="7" width="10.7265625" bestFit="1" customWidth="1"/>
    <col min="8" max="8" width="12.7265625" bestFit="1" customWidth="1"/>
  </cols>
  <sheetData>
    <row r="1" spans="1:8" x14ac:dyDescent="0.35">
      <c r="A1" s="72" t="s">
        <v>163</v>
      </c>
      <c r="B1" s="72"/>
      <c r="C1" s="72"/>
      <c r="D1" s="72"/>
      <c r="E1" s="72"/>
      <c r="F1" s="72"/>
      <c r="G1" s="72"/>
      <c r="H1" s="72"/>
    </row>
    <row r="2" spans="1:8" ht="15" thickBot="1" x14ac:dyDescent="0.4">
      <c r="A2" s="20" t="s">
        <v>142</v>
      </c>
      <c r="B2" s="20" t="s">
        <v>175</v>
      </c>
      <c r="C2" s="20" t="s">
        <v>107</v>
      </c>
      <c r="D2" s="20" t="s">
        <v>108</v>
      </c>
      <c r="E2" s="20" t="s">
        <v>109</v>
      </c>
      <c r="F2" s="20" t="s">
        <v>110</v>
      </c>
      <c r="G2" s="20" t="s">
        <v>111</v>
      </c>
      <c r="H2" s="20" t="s">
        <v>145</v>
      </c>
    </row>
    <row r="3" spans="1:8" x14ac:dyDescent="0.35">
      <c r="A3" t="s">
        <v>118</v>
      </c>
      <c r="B3" s="25">
        <f>SUMIFS('Cleaned Data'!$AN$2:$AN$2022,'Cleaned Data'!$BD$2:$BD$2022,$A3)/COUNTIFS('Cleaned Data'!$BD$2:$BD$2022,$A3)</f>
        <v>1302.6967213114754</v>
      </c>
      <c r="C3" s="25">
        <f>SUMIFS('Cleaned Data'!$AN$2:$AN$2022,'Cleaned Data'!$BD$2:$BD$2022,$A3,'Cleaned Data'!Q$2:Q$2022,"=1")/COUNTIFS('Cleaned Data'!$BD$2:$BD$2022,$A3,'Cleaned Data'!Q$2:Q$2022,"=1")</f>
        <v>1579.4074074074074</v>
      </c>
      <c r="D3" s="25">
        <f>SUMIFS('Cleaned Data'!$AN$2:$AN$2022,'Cleaned Data'!$BD$2:$BD$2022,$A3,'Cleaned Data'!R$2:R$2022,"=1")/COUNTIFS('Cleaned Data'!$BD$2:$BD$2022,$A3,'Cleaned Data'!R$2:R$2022,"=1")</f>
        <v>1266.25</v>
      </c>
      <c r="E3" s="25">
        <f>SUMIFS('Cleaned Data'!$AN$2:$AN$2022,'Cleaned Data'!$BD$2:$BD$2022,$A3,'Cleaned Data'!S$2:S$2022,"=1")/COUNTIFS('Cleaned Data'!$BD$2:$BD$2022,$A3,'Cleaned Data'!S$2:S$2022,"=1")</f>
        <v>1359.4117647058824</v>
      </c>
      <c r="F3" s="25">
        <f>SUMIFS('Cleaned Data'!$AN$2:$AN$2022,'Cleaned Data'!$BD$2:$BD$2022,$A3,'Cleaned Data'!T$2:T$2022,"=1")/COUNTIFS('Cleaned Data'!$BD$2:$BD$2022,$A3,'Cleaned Data'!T$2:T$2022,"=1")</f>
        <v>1335.0588235294117</v>
      </c>
      <c r="G3" s="25">
        <f>SUMIFS('Cleaned Data'!$AN$2:$AN$2022,'Cleaned Data'!$BD$2:$BD$2022,$A3,'Cleaned Data'!U$2:U$2022,"=1")/COUNTIFS('Cleaned Data'!$BD$2:$BD$2022,$A3,'Cleaned Data'!U$2:U$2022,"=1")</f>
        <v>1580.4347826086957</v>
      </c>
      <c r="H3" s="25">
        <f>SUMIFS('Cleaned Data'!$AN$2:$AN$2022,'Cleaned Data'!$BD$2:$BD$2022,$A3,'Cleaned Data'!V$2:V$2022,"=1")/COUNTIFS('Cleaned Data'!$BD$2:$BD$2022,$A3,'Cleaned Data'!V$2:V$2022,"=1")</f>
        <v>1436.3214285714287</v>
      </c>
    </row>
    <row r="4" spans="1:8" x14ac:dyDescent="0.35">
      <c r="A4" s="6" t="s">
        <v>119</v>
      </c>
      <c r="B4" s="25">
        <f>SUMIFS('Cleaned Data'!$AN$2:$AN$2022,'Cleaned Data'!$BD$2:$BD$2022,$A4)/COUNTIFS('Cleaned Data'!$BD$2:$BD$2022,$A4)</f>
        <v>1040.3861171366593</v>
      </c>
      <c r="C4" s="25">
        <f>SUMIFS('Cleaned Data'!$AN$2:$AN$2022,'Cleaned Data'!$BD$2:$BD$2022,$A4,'Cleaned Data'!Q$2:Q$2022,"=1")/COUNTIFS('Cleaned Data'!$BD$2:$BD$2022,$A4,'Cleaned Data'!Q$2:Q$2022,"=1")</f>
        <v>1461.2121212121212</v>
      </c>
      <c r="D4" s="25">
        <f>SUMIFS('Cleaned Data'!$AN$2:$AN$2022,'Cleaned Data'!$BD$2:$BD$2022,$A4,'Cleaned Data'!R$2:R$2022,"=1")/COUNTIFS('Cleaned Data'!$BD$2:$BD$2022,$A4,'Cleaned Data'!R$2:R$2022,"=1")</f>
        <v>1345.6428571428571</v>
      </c>
      <c r="E4" s="25">
        <f>SUMIFS('Cleaned Data'!$AN$2:$AN$2022,'Cleaned Data'!$BD$2:$BD$2022,$A4,'Cleaned Data'!S$2:S$2022,"=1")/COUNTIFS('Cleaned Data'!$BD$2:$BD$2022,$A4,'Cleaned Data'!S$2:S$2022,"=1")</f>
        <v>1087.5</v>
      </c>
      <c r="F4" s="25">
        <f>SUMIFS('Cleaned Data'!$AN$2:$AN$2022,'Cleaned Data'!$BD$2:$BD$2022,$A4,'Cleaned Data'!T$2:T$2022,"=1")/COUNTIFS('Cleaned Data'!$BD$2:$BD$2022,$A4,'Cleaned Data'!T$2:T$2022,"=1")</f>
        <v>1200.4347826086957</v>
      </c>
      <c r="G4" s="25">
        <f>SUMIFS('Cleaned Data'!$AN$2:$AN$2022,'Cleaned Data'!$BD$2:$BD$2022,$A4,'Cleaned Data'!U$2:U$2022,"=1")/COUNTIFS('Cleaned Data'!$BD$2:$BD$2022,$A4,'Cleaned Data'!U$2:U$2022,"=1")</f>
        <v>1558.875</v>
      </c>
      <c r="H4" s="25">
        <f>SUMIFS('Cleaned Data'!$AN$2:$AN$2022,'Cleaned Data'!$BD$2:$BD$2022,$A4,'Cleaned Data'!V$2:V$2022,"=1")/COUNTIFS('Cleaned Data'!$BD$2:$BD$2022,$A4,'Cleaned Data'!V$2:V$2022,"=1")</f>
        <v>1282.1509433962265</v>
      </c>
    </row>
    <row r="5" spans="1:8" x14ac:dyDescent="0.35">
      <c r="A5" s="6" t="s">
        <v>120</v>
      </c>
      <c r="B5" s="25">
        <f>SUMIFS('Cleaned Data'!$AN$2:$AN$2022,'Cleaned Data'!$BD$2:$BD$2022,$A5)/COUNTIFS('Cleaned Data'!$BD$2:$BD$2022,$A5)</f>
        <v>818.92105263157896</v>
      </c>
      <c r="C5" s="25">
        <f>SUMIFS('Cleaned Data'!$AN$2:$AN$2022,'Cleaned Data'!$BD$2:$BD$2022,$A5,'Cleaned Data'!Q$2:Q$2022,"=1")/COUNTIFS('Cleaned Data'!$BD$2:$BD$2022,$A5,'Cleaned Data'!Q$2:Q$2022,"=1")</f>
        <v>1464.6818181818182</v>
      </c>
      <c r="D5" s="25">
        <f>SUMIFS('Cleaned Data'!$AN$2:$AN$2022,'Cleaned Data'!$BD$2:$BD$2022,$A5,'Cleaned Data'!R$2:R$2022,"=1")/COUNTIFS('Cleaned Data'!$BD$2:$BD$2022,$A5,'Cleaned Data'!R$2:R$2022,"=1")</f>
        <v>1462.25</v>
      </c>
      <c r="E5" s="25">
        <f>SUMIFS('Cleaned Data'!$AN$2:$AN$2022,'Cleaned Data'!$BD$2:$BD$2022,$A5,'Cleaned Data'!S$2:S$2022,"=1")/COUNTIFS('Cleaned Data'!$BD$2:$BD$2022,$A5,'Cleaned Data'!S$2:S$2022,"=1")</f>
        <v>902.46153846153845</v>
      </c>
      <c r="F5" s="25">
        <f>SUMIFS('Cleaned Data'!$AN$2:$AN$2022,'Cleaned Data'!$BD$2:$BD$2022,$A5,'Cleaned Data'!T$2:T$2022,"=1")/COUNTIFS('Cleaned Data'!$BD$2:$BD$2022,$A5,'Cleaned Data'!T$2:T$2022,"=1")</f>
        <v>1150.7666666666667</v>
      </c>
      <c r="G5" s="25">
        <f>SUMIFS('Cleaned Data'!$AN$2:$AN$2022,'Cleaned Data'!$BD$2:$BD$2022,$A5,'Cleaned Data'!U$2:U$2022,"=1")/COUNTIFS('Cleaned Data'!$BD$2:$BD$2022,$A5,'Cleaned Data'!U$2:U$2022,"=1")</f>
        <v>1662.0645161290322</v>
      </c>
      <c r="H5" s="25">
        <f>SUMIFS('Cleaned Data'!$AN$2:$AN$2022,'Cleaned Data'!$BD$2:$BD$2022,$A5,'Cleaned Data'!V$2:V$2022,"=1")/COUNTIFS('Cleaned Data'!$BD$2:$BD$2022,$A5,'Cleaned Data'!V$2:V$2022,"=1")</f>
        <v>1169.6626506024097</v>
      </c>
    </row>
    <row r="6" spans="1:8" x14ac:dyDescent="0.35">
      <c r="A6" s="6" t="s">
        <v>121</v>
      </c>
      <c r="B6" s="25">
        <f>SUMIFS('Cleaned Data'!$AN$2:$AN$2022,'Cleaned Data'!$BD$2:$BD$2022,$A6)/COUNTIFS('Cleaned Data'!$BD$2:$BD$2022,$A6)</f>
        <v>246.72642607683352</v>
      </c>
      <c r="C6" s="25">
        <f>SUMIFS('Cleaned Data'!$AN$2:$AN$2022,'Cleaned Data'!$BD$2:$BD$2022,$A6,'Cleaned Data'!Q$2:Q$2022,"=1")/COUNTIFS('Cleaned Data'!$BD$2:$BD$2022,$A6,'Cleaned Data'!Q$2:Q$2022,"=1")</f>
        <v>932.05555555555554</v>
      </c>
      <c r="D6" s="25">
        <f>SUMIFS('Cleaned Data'!$AN$2:$AN$2022,'Cleaned Data'!$BD$2:$BD$2022,$A6,'Cleaned Data'!R$2:R$2022,"=1")/COUNTIFS('Cleaned Data'!$BD$2:$BD$2022,$A6,'Cleaned Data'!R$2:R$2022,"=1")</f>
        <v>704.5</v>
      </c>
      <c r="E6" s="25">
        <f>SUMIFS('Cleaned Data'!$AN$2:$AN$2022,'Cleaned Data'!$BD$2:$BD$2022,$A6,'Cleaned Data'!S$2:S$2022,"=1")/COUNTIFS('Cleaned Data'!$BD$2:$BD$2022,$A6,'Cleaned Data'!S$2:S$2022,"=1")</f>
        <v>210.52542372881356</v>
      </c>
      <c r="F6" s="25">
        <f>SUMIFS('Cleaned Data'!$AN$2:$AN$2022,'Cleaned Data'!$BD$2:$BD$2022,$A6,'Cleaned Data'!T$2:T$2022,"=1")/COUNTIFS('Cleaned Data'!$BD$2:$BD$2022,$A6,'Cleaned Data'!T$2:T$2022,"=1")</f>
        <v>607.56410256410254</v>
      </c>
      <c r="G6" s="25">
        <f>SUMIFS('Cleaned Data'!$AN$2:$AN$2022,'Cleaned Data'!$BD$2:$BD$2022,$A6,'Cleaned Data'!U$2:U$2022,"=1")/COUNTIFS('Cleaned Data'!$BD$2:$BD$2022,$A6,'Cleaned Data'!U$2:U$2022,"=1")</f>
        <v>1211</v>
      </c>
      <c r="H6" s="25">
        <f>SUMIFS('Cleaned Data'!$AN$2:$AN$2022,'Cleaned Data'!$BD$2:$BD$2022,$A6,'Cleaned Data'!V$2:V$2022,"=1")/COUNTIFS('Cleaned Data'!$BD$2:$BD$2022,$A6,'Cleaned Data'!V$2:V$2022,"=1")</f>
        <v>469.77391304347827</v>
      </c>
    </row>
    <row r="7" spans="1:8" ht="15" thickBot="1" x14ac:dyDescent="0.4">
      <c r="A7" s="50" t="s">
        <v>122</v>
      </c>
      <c r="B7" s="49">
        <f>SUMIFS('Cleaned Data'!$AN$2:$AN$2022,'Cleaned Data'!$BD$2:$BD$2022,$A7)/COUNTIFS('Cleaned Data'!$BD$2:$BD$2022,$A7)</f>
        <v>37.392405063291136</v>
      </c>
      <c r="C7" s="49">
        <f>IFERROR(SUMIFS('Cleaned Data'!$AN$2:$AN$2022,'Cleaned Data'!$BD$2:$BD$2022,$A7,'Cleaned Data'!Q$2:Q$2022,"=1")/COUNTIFS('Cleaned Data'!$BD$2:$BD$2022,$A7,'Cleaned Data'!Q$2:Q$2022,"=1"),0)</f>
        <v>0</v>
      </c>
      <c r="D7" s="49">
        <f>IFERROR(SUMIFS('Cleaned Data'!$AN$2:$AN$2022,'Cleaned Data'!$BD$2:$BD$2022,$A7,'Cleaned Data'!R$2:R$2022,"=1")/COUNTIFS('Cleaned Data'!$BD$2:$BD$2022,$A7,'Cleaned Data'!R$2:R$2022,"=1"),0)</f>
        <v>0</v>
      </c>
      <c r="E7" s="49">
        <f>IFERROR(SUMIFS('Cleaned Data'!$AN$2:$AN$2022,'Cleaned Data'!$BD$2:$BD$2022,$A7,'Cleaned Data'!S$2:S$2022,"=1")/COUNTIFS('Cleaned Data'!$BD$2:$BD$2022,$A7,'Cleaned Data'!S$2:S$2022,"=1"),0)</f>
        <v>28.153846153846153</v>
      </c>
      <c r="F7" s="49">
        <f>IFERROR(SUMIFS('Cleaned Data'!$AN$2:$AN$2022,'Cleaned Data'!$BD$2:$BD$2022,$A7,'Cleaned Data'!T$2:T$2022,"=1")/COUNTIFS('Cleaned Data'!$BD$2:$BD$2022,$A7,'Cleaned Data'!T$2:T$2022,"=1"),0)</f>
        <v>0</v>
      </c>
      <c r="G7" s="49">
        <f>IFERROR(SUMIFS('Cleaned Data'!$AN$2:$AN$2022,'Cleaned Data'!$BD$2:$BD$2022,$A7,'Cleaned Data'!U$2:U$2022,"=1")/COUNTIFS('Cleaned Data'!$BD$2:$BD$2022,$A7,'Cleaned Data'!U$2:U$2022,"=1"),0)</f>
        <v>0</v>
      </c>
      <c r="H7" s="49">
        <f>IFERROR(SUMIFS('Cleaned Data'!$AN$2:$AN$2022,'Cleaned Data'!$BD$2:$BD$2022,$A7,'Cleaned Data'!V$2:V$2022,"=1")/COUNTIFS('Cleaned Data'!$BD$2:$BD$2022,$A7,'Cleaned Data'!V$2:V$2022,"=1"),0)</f>
        <v>28.153846153846153</v>
      </c>
    </row>
    <row r="8" spans="1:8" ht="15" thickTop="1" x14ac:dyDescent="0.35">
      <c r="A8" t="s">
        <v>89</v>
      </c>
      <c r="B8" s="25">
        <f>SUM('Cleaned Data'!$AN$2:$AN$2022)/COUNT('Cleaned Data'!$AC$2:$AC$2022)</f>
        <v>563.78921326076204</v>
      </c>
      <c r="C8" s="25">
        <f>SUMIFS('Cleaned Data'!$AN$2:$AN$2022,'Cleaned Data'!Q$2:Q$2022,"=1")/COUNTIFS('Cleaned Data'!Q$2:Q$2022,"=1")</f>
        <v>1414.1654135338347</v>
      </c>
      <c r="D8" s="25">
        <f>SUMIFS('Cleaned Data'!$AN$2:$AN$2022,'Cleaned Data'!R$2:R$2022,"=1")/COUNTIFS('Cleaned Data'!R$2:R$2022,"=1")</f>
        <v>1252.7307692307693</v>
      </c>
      <c r="E8" s="25">
        <f>SUMIFS('Cleaned Data'!$AN$2:$AN$2022,'Cleaned Data'!S$2:S$2022,"=1")/COUNTIFS('Cleaned Data'!S$2:S$2022,"=1")</f>
        <v>652.39072847682121</v>
      </c>
      <c r="F8" s="25">
        <f>SUMIFS('Cleaned Data'!$AN$2:$AN$2022,'Cleaned Data'!T$2:T$2022,"=1")/COUNTIFS('Cleaned Data'!T$2:T$2022,"=1")</f>
        <v>1056.4129032258065</v>
      </c>
      <c r="G8" s="25">
        <f>SUMIFS('Cleaned Data'!$AN$2:$AN$2022,'Cleaned Data'!U$2:U$2022,"=1")/COUNTIFS('Cleaned Data'!U$2:U$2022,"=1")</f>
        <v>1536.527397260274</v>
      </c>
      <c r="H8" s="25">
        <f>SUMIFS('Cleaned Data'!$AN$2:$AN$2022,'Cleaned Data'!V$2:V$2022,"=1")/COUNTIFS('Cleaned Data'!V$2:V$2022,"=1")</f>
        <v>1022.9295774647887</v>
      </c>
    </row>
    <row r="9" spans="1:8" x14ac:dyDescent="0.35">
      <c r="B9" s="25"/>
      <c r="C9" s="25"/>
      <c r="D9" s="25"/>
      <c r="E9" s="25"/>
      <c r="F9" s="25"/>
      <c r="G9" s="25"/>
      <c r="H9" s="25"/>
    </row>
    <row r="10" spans="1:8" x14ac:dyDescent="0.35">
      <c r="A10" s="6"/>
    </row>
    <row r="11" spans="1:8" x14ac:dyDescent="0.35">
      <c r="A11" s="72" t="s">
        <v>89</v>
      </c>
      <c r="B11" s="72"/>
      <c r="C11" s="72"/>
      <c r="D11" s="72"/>
      <c r="E11" s="72"/>
      <c r="F11" s="72"/>
      <c r="G11" s="72"/>
      <c r="H11" s="72"/>
    </row>
    <row r="12" spans="1:8" ht="15" thickBot="1" x14ac:dyDescent="0.4">
      <c r="A12" s="20" t="s">
        <v>124</v>
      </c>
      <c r="B12" s="20" t="s">
        <v>175</v>
      </c>
      <c r="C12" s="20" t="s">
        <v>107</v>
      </c>
      <c r="D12" s="20" t="s">
        <v>108</v>
      </c>
      <c r="E12" s="20" t="s">
        <v>109</v>
      </c>
      <c r="F12" s="20" t="s">
        <v>110</v>
      </c>
      <c r="G12" s="20" t="s">
        <v>111</v>
      </c>
      <c r="H12" s="20" t="s">
        <v>145</v>
      </c>
    </row>
    <row r="13" spans="1:8" x14ac:dyDescent="0.35">
      <c r="A13" t="s">
        <v>118</v>
      </c>
      <c r="B13" s="25">
        <v>122</v>
      </c>
      <c r="C13">
        <v>27</v>
      </c>
      <c r="D13">
        <v>4</v>
      </c>
      <c r="E13">
        <v>17</v>
      </c>
      <c r="F13">
        <v>17</v>
      </c>
      <c r="G13">
        <v>23</v>
      </c>
      <c r="H13">
        <v>56</v>
      </c>
    </row>
    <row r="14" spans="1:8" x14ac:dyDescent="0.35">
      <c r="A14" t="s">
        <v>119</v>
      </c>
      <c r="B14">
        <v>461</v>
      </c>
      <c r="C14">
        <v>66</v>
      </c>
      <c r="D14">
        <v>14</v>
      </c>
      <c r="E14">
        <v>36</v>
      </c>
      <c r="F14">
        <v>69</v>
      </c>
      <c r="G14">
        <v>72</v>
      </c>
      <c r="H14">
        <v>159</v>
      </c>
    </row>
    <row r="15" spans="1:8" x14ac:dyDescent="0.35">
      <c r="A15" t="s">
        <v>120</v>
      </c>
      <c r="B15">
        <v>342</v>
      </c>
      <c r="C15">
        <v>22</v>
      </c>
      <c r="D15">
        <v>4</v>
      </c>
      <c r="E15">
        <v>26</v>
      </c>
      <c r="F15">
        <v>30</v>
      </c>
      <c r="G15">
        <v>31</v>
      </c>
      <c r="H15">
        <v>83</v>
      </c>
    </row>
    <row r="16" spans="1:8" x14ac:dyDescent="0.35">
      <c r="A16" t="s">
        <v>121</v>
      </c>
      <c r="B16">
        <v>859</v>
      </c>
      <c r="C16">
        <v>18</v>
      </c>
      <c r="D16">
        <v>4</v>
      </c>
      <c r="E16">
        <v>59</v>
      </c>
      <c r="F16">
        <v>39</v>
      </c>
      <c r="G16">
        <v>20</v>
      </c>
      <c r="H16">
        <v>115</v>
      </c>
    </row>
    <row r="17" spans="1:8" ht="15" thickBot="1" x14ac:dyDescent="0.4">
      <c r="A17" s="43" t="s">
        <v>122</v>
      </c>
      <c r="B17" s="43">
        <v>237</v>
      </c>
      <c r="C17" s="43">
        <v>0</v>
      </c>
      <c r="D17" s="43">
        <v>0</v>
      </c>
      <c r="E17" s="43">
        <v>13</v>
      </c>
      <c r="F17" s="43">
        <v>0</v>
      </c>
      <c r="G17" s="43">
        <v>0</v>
      </c>
      <c r="H17" s="43">
        <v>13</v>
      </c>
    </row>
    <row r="18" spans="1:8" ht="15" thickTop="1" x14ac:dyDescent="0.35">
      <c r="A18" t="s">
        <v>128</v>
      </c>
      <c r="B18">
        <v>2021</v>
      </c>
      <c r="C18">
        <v>133</v>
      </c>
      <c r="D18">
        <v>26</v>
      </c>
      <c r="E18">
        <v>151</v>
      </c>
      <c r="F18">
        <v>155</v>
      </c>
      <c r="G18">
        <v>146</v>
      </c>
      <c r="H18">
        <v>426</v>
      </c>
    </row>
    <row r="21" spans="1:8" x14ac:dyDescent="0.35">
      <c r="A21" s="72" t="s">
        <v>191</v>
      </c>
      <c r="B21" s="72"/>
      <c r="C21" s="72"/>
      <c r="D21" s="72"/>
      <c r="E21" s="72"/>
      <c r="F21" s="72"/>
      <c r="G21" s="72"/>
      <c r="H21" s="72"/>
    </row>
    <row r="22" spans="1:8" x14ac:dyDescent="0.35">
      <c r="A22" s="20" t="s">
        <v>124</v>
      </c>
      <c r="B22" s="20" t="s">
        <v>175</v>
      </c>
      <c r="C22" s="20" t="s">
        <v>107</v>
      </c>
      <c r="D22" s="20" t="s">
        <v>108</v>
      </c>
      <c r="E22" s="20" t="s">
        <v>109</v>
      </c>
      <c r="F22" s="20" t="s">
        <v>110</v>
      </c>
      <c r="G22" s="20" t="s">
        <v>111</v>
      </c>
      <c r="H22" s="20" t="s">
        <v>145</v>
      </c>
    </row>
    <row r="23" spans="1:8" x14ac:dyDescent="0.35">
      <c r="A23" t="s">
        <v>118</v>
      </c>
      <c r="B23" s="25">
        <f t="shared" ref="B23:H28" si="0">B13*B3</f>
        <v>158929</v>
      </c>
      <c r="C23" s="25">
        <f t="shared" si="0"/>
        <v>42644</v>
      </c>
      <c r="D23" s="25">
        <f t="shared" si="0"/>
        <v>5065</v>
      </c>
      <c r="E23" s="25">
        <f t="shared" si="0"/>
        <v>23110</v>
      </c>
      <c r="F23" s="25">
        <f t="shared" si="0"/>
        <v>22696</v>
      </c>
      <c r="G23" s="25">
        <f t="shared" si="0"/>
        <v>36350</v>
      </c>
      <c r="H23" s="25">
        <f t="shared" si="0"/>
        <v>80434</v>
      </c>
    </row>
    <row r="24" spans="1:8" x14ac:dyDescent="0.35">
      <c r="A24" t="s">
        <v>119</v>
      </c>
      <c r="B24" s="25">
        <f t="shared" si="0"/>
        <v>479617.99999999994</v>
      </c>
      <c r="C24" s="25">
        <f t="shared" si="0"/>
        <v>96440</v>
      </c>
      <c r="D24" s="25">
        <f t="shared" si="0"/>
        <v>18839</v>
      </c>
      <c r="E24" s="25">
        <f t="shared" si="0"/>
        <v>39150</v>
      </c>
      <c r="F24" s="25">
        <f t="shared" si="0"/>
        <v>82830</v>
      </c>
      <c r="G24" s="25">
        <f t="shared" si="0"/>
        <v>112239</v>
      </c>
      <c r="H24" s="25">
        <f t="shared" si="0"/>
        <v>203862</v>
      </c>
    </row>
    <row r="25" spans="1:8" x14ac:dyDescent="0.35">
      <c r="A25" t="s">
        <v>120</v>
      </c>
      <c r="B25" s="25">
        <f t="shared" si="0"/>
        <v>280071</v>
      </c>
      <c r="C25" s="25">
        <f t="shared" si="0"/>
        <v>32223</v>
      </c>
      <c r="D25" s="25">
        <f t="shared" si="0"/>
        <v>5849</v>
      </c>
      <c r="E25" s="25">
        <f t="shared" si="0"/>
        <v>23464</v>
      </c>
      <c r="F25" s="25">
        <f t="shared" si="0"/>
        <v>34523</v>
      </c>
      <c r="G25" s="25">
        <f t="shared" si="0"/>
        <v>51524</v>
      </c>
      <c r="H25" s="25">
        <f t="shared" si="0"/>
        <v>97082</v>
      </c>
    </row>
    <row r="26" spans="1:8" x14ac:dyDescent="0.35">
      <c r="A26" t="s">
        <v>121</v>
      </c>
      <c r="B26" s="25">
        <f t="shared" si="0"/>
        <v>211938</v>
      </c>
      <c r="C26" s="25">
        <f t="shared" si="0"/>
        <v>16777</v>
      </c>
      <c r="D26" s="25">
        <f t="shared" si="0"/>
        <v>2818</v>
      </c>
      <c r="E26" s="25">
        <f t="shared" si="0"/>
        <v>12421</v>
      </c>
      <c r="F26" s="25">
        <f t="shared" si="0"/>
        <v>23695</v>
      </c>
      <c r="G26" s="25">
        <f t="shared" si="0"/>
        <v>24220</v>
      </c>
      <c r="H26" s="25">
        <f t="shared" si="0"/>
        <v>54024</v>
      </c>
    </row>
    <row r="27" spans="1:8" ht="15" thickBot="1" x14ac:dyDescent="0.4">
      <c r="A27" s="43" t="s">
        <v>122</v>
      </c>
      <c r="B27" s="49">
        <f t="shared" si="0"/>
        <v>8862</v>
      </c>
      <c r="C27" s="49">
        <f t="shared" si="0"/>
        <v>0</v>
      </c>
      <c r="D27" s="49">
        <f t="shared" si="0"/>
        <v>0</v>
      </c>
      <c r="E27" s="49">
        <f t="shared" si="0"/>
        <v>366</v>
      </c>
      <c r="F27" s="49">
        <f t="shared" si="0"/>
        <v>0</v>
      </c>
      <c r="G27" s="49">
        <f t="shared" si="0"/>
        <v>0</v>
      </c>
      <c r="H27" s="49">
        <f t="shared" si="0"/>
        <v>366</v>
      </c>
    </row>
    <row r="28" spans="1:8" ht="15" thickTop="1" x14ac:dyDescent="0.35">
      <c r="A28" t="s">
        <v>128</v>
      </c>
      <c r="B28" s="25">
        <f t="shared" si="0"/>
        <v>1139418</v>
      </c>
      <c r="C28" s="25">
        <f t="shared" si="0"/>
        <v>188084</v>
      </c>
      <c r="D28" s="25">
        <f t="shared" si="0"/>
        <v>32571</v>
      </c>
      <c r="E28" s="25">
        <f t="shared" si="0"/>
        <v>98511</v>
      </c>
      <c r="F28" s="25">
        <f t="shared" si="0"/>
        <v>163744</v>
      </c>
      <c r="G28" s="25">
        <f t="shared" si="0"/>
        <v>224333</v>
      </c>
      <c r="H28" s="25">
        <f t="shared" si="0"/>
        <v>435768</v>
      </c>
    </row>
    <row r="31" spans="1:8" x14ac:dyDescent="0.35">
      <c r="A31" s="72" t="s">
        <v>192</v>
      </c>
      <c r="B31" s="72"/>
      <c r="C31" s="72"/>
      <c r="D31" s="72"/>
      <c r="E31" s="72"/>
      <c r="F31" s="72"/>
      <c r="G31" s="72"/>
      <c r="H31" s="72"/>
    </row>
    <row r="32" spans="1:8" ht="15" thickBot="1" x14ac:dyDescent="0.4">
      <c r="A32" s="20" t="s">
        <v>124</v>
      </c>
      <c r="B32" s="20" t="s">
        <v>175</v>
      </c>
      <c r="C32" s="20" t="s">
        <v>107</v>
      </c>
      <c r="D32" s="20" t="s">
        <v>108</v>
      </c>
      <c r="E32" s="20" t="s">
        <v>109</v>
      </c>
      <c r="F32" s="20" t="s">
        <v>110</v>
      </c>
      <c r="G32" s="20" t="s">
        <v>111</v>
      </c>
      <c r="H32" s="20" t="s">
        <v>145</v>
      </c>
    </row>
    <row r="33" spans="1:8" x14ac:dyDescent="0.35">
      <c r="A33" t="s">
        <v>118</v>
      </c>
      <c r="B33" s="18">
        <f>B23/B$28</f>
        <v>0.13948261305333073</v>
      </c>
      <c r="C33" s="18">
        <f t="shared" ref="C33:H33" si="1">C23/C$28</f>
        <v>0.2267284830182259</v>
      </c>
      <c r="D33" s="18">
        <f t="shared" si="1"/>
        <v>0.15550643210217679</v>
      </c>
      <c r="E33" s="18">
        <f t="shared" si="1"/>
        <v>0.23459309112687923</v>
      </c>
      <c r="F33" s="18">
        <f t="shared" si="1"/>
        <v>0.13860660543287082</v>
      </c>
      <c r="G33" s="18">
        <f t="shared" si="1"/>
        <v>0.16203590198499551</v>
      </c>
      <c r="H33" s="18">
        <f t="shared" si="1"/>
        <v>0.18457986818674157</v>
      </c>
    </row>
    <row r="34" spans="1:8" x14ac:dyDescent="0.35">
      <c r="A34" t="s">
        <v>119</v>
      </c>
      <c r="B34" s="18">
        <f t="shared" ref="B34:H34" si="2">B24/B$28</f>
        <v>0.42093244094792248</v>
      </c>
      <c r="C34" s="18">
        <f t="shared" si="2"/>
        <v>0.51274962250909173</v>
      </c>
      <c r="D34" s="18">
        <f t="shared" si="2"/>
        <v>0.57839796137668475</v>
      </c>
      <c r="E34" s="18">
        <f t="shared" si="2"/>
        <v>0.3974175472789841</v>
      </c>
      <c r="F34" s="18">
        <f t="shared" si="2"/>
        <v>0.50585059605237448</v>
      </c>
      <c r="G34" s="18">
        <f t="shared" si="2"/>
        <v>0.5003231802721847</v>
      </c>
      <c r="H34" s="18">
        <f t="shared" si="2"/>
        <v>0.46782232747700614</v>
      </c>
    </row>
    <row r="35" spans="1:8" x14ac:dyDescent="0.35">
      <c r="A35" t="s">
        <v>120</v>
      </c>
      <c r="B35" s="18">
        <f t="shared" ref="B35:H35" si="3">B25/B$28</f>
        <v>0.24580180407892449</v>
      </c>
      <c r="C35" s="18">
        <f t="shared" si="3"/>
        <v>0.17132238786924991</v>
      </c>
      <c r="D35" s="18">
        <f t="shared" si="3"/>
        <v>0.17957692425777533</v>
      </c>
      <c r="E35" s="18">
        <f t="shared" si="3"/>
        <v>0.2381865984509344</v>
      </c>
      <c r="F35" s="18">
        <f t="shared" si="3"/>
        <v>0.21083520617549345</v>
      </c>
      <c r="G35" s="18">
        <f t="shared" si="3"/>
        <v>0.22967641853851195</v>
      </c>
      <c r="H35" s="18">
        <f t="shared" si="3"/>
        <v>0.2227836830607112</v>
      </c>
    </row>
    <row r="36" spans="1:8" x14ac:dyDescent="0.35">
      <c r="A36" t="s">
        <v>121</v>
      </c>
      <c r="B36" s="18">
        <f t="shared" ref="B36:H36" si="4">B26/B$28</f>
        <v>0.18600548701179023</v>
      </c>
      <c r="C36" s="18">
        <f t="shared" si="4"/>
        <v>8.919950660343251E-2</v>
      </c>
      <c r="D36" s="18">
        <f t="shared" si="4"/>
        <v>8.6518682263363109E-2</v>
      </c>
      <c r="E36" s="18">
        <f t="shared" si="4"/>
        <v>0.126087442011552</v>
      </c>
      <c r="F36" s="18">
        <f t="shared" si="4"/>
        <v>0.14470759233926128</v>
      </c>
      <c r="G36" s="18">
        <f t="shared" si="4"/>
        <v>0.10796449920430788</v>
      </c>
      <c r="H36" s="18">
        <f t="shared" si="4"/>
        <v>0.12397422481687503</v>
      </c>
    </row>
    <row r="37" spans="1:8" ht="15" thickBot="1" x14ac:dyDescent="0.4">
      <c r="A37" s="43" t="s">
        <v>122</v>
      </c>
      <c r="B37" s="51">
        <f t="shared" ref="B37:H37" si="5">B27/B$28</f>
        <v>7.7776549080319952E-3</v>
      </c>
      <c r="C37" s="51">
        <f t="shared" si="5"/>
        <v>0</v>
      </c>
      <c r="D37" s="51">
        <f t="shared" si="5"/>
        <v>0</v>
      </c>
      <c r="E37" s="51">
        <f t="shared" si="5"/>
        <v>3.7153211316502724E-3</v>
      </c>
      <c r="F37" s="51">
        <f t="shared" si="5"/>
        <v>0</v>
      </c>
      <c r="G37" s="51">
        <f t="shared" si="5"/>
        <v>0</v>
      </c>
      <c r="H37" s="51">
        <f t="shared" si="5"/>
        <v>8.3989645866607921E-4</v>
      </c>
    </row>
    <row r="38" spans="1:8" ht="15" thickTop="1" x14ac:dyDescent="0.35"/>
  </sheetData>
  <mergeCells count="4">
    <mergeCell ref="A1:H1"/>
    <mergeCell ref="A11:H11"/>
    <mergeCell ref="A21:H21"/>
    <mergeCell ref="A31:H31"/>
  </mergeCells>
  <conditionalFormatting sqref="B33:H37">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67E05-F537-4FDE-8484-0FF4892F2E58}">
  <dimension ref="A1:AC2130"/>
  <sheetViews>
    <sheetView topLeftCell="A82" workbookViewId="0">
      <selection activeCell="H115" sqref="H115"/>
    </sheetView>
  </sheetViews>
  <sheetFormatPr defaultRowHeight="14.5" x14ac:dyDescent="0.35"/>
  <cols>
    <col min="1" max="1" width="17.26953125" bestFit="1" customWidth="1"/>
    <col min="2" max="2" width="12.453125" bestFit="1" customWidth="1"/>
    <col min="3" max="3" width="13.54296875" bestFit="1" customWidth="1"/>
    <col min="4" max="4" width="12.453125" bestFit="1" customWidth="1"/>
    <col min="5" max="5" width="21.1796875" customWidth="1"/>
    <col min="6" max="9" width="12.453125" bestFit="1" customWidth="1"/>
    <col min="11" max="11" width="19.08984375" customWidth="1"/>
    <col min="12" max="12" width="11.81640625" bestFit="1" customWidth="1"/>
    <col min="13" max="13" width="13.54296875" bestFit="1" customWidth="1"/>
    <col min="14" max="14" width="12.453125" bestFit="1" customWidth="1"/>
    <col min="15" max="15" width="11.81640625" bestFit="1" customWidth="1"/>
    <col min="16" max="19" width="12.453125" bestFit="1" customWidth="1"/>
    <col min="21" max="21" width="17.26953125" bestFit="1" customWidth="1"/>
    <col min="22" max="22" width="12.453125" bestFit="1" customWidth="1"/>
    <col min="23" max="23" width="13.54296875" bestFit="1" customWidth="1"/>
    <col min="24" max="24" width="12.453125" bestFit="1" customWidth="1"/>
    <col min="25" max="25" width="11.81640625" bestFit="1" customWidth="1"/>
    <col min="26" max="29" width="12.453125" bestFit="1" customWidth="1"/>
  </cols>
  <sheetData>
    <row r="1" spans="1:29" ht="16" thickBot="1" x14ac:dyDescent="0.4">
      <c r="A1" s="69" t="s">
        <v>225</v>
      </c>
      <c r="B1" s="69"/>
      <c r="C1" s="69"/>
      <c r="D1" s="69"/>
      <c r="E1" s="69"/>
      <c r="F1" s="69"/>
      <c r="G1" s="69"/>
      <c r="H1" s="69"/>
      <c r="I1" s="69"/>
      <c r="K1" s="69" t="s">
        <v>226</v>
      </c>
      <c r="L1" s="69"/>
      <c r="M1" s="69"/>
      <c r="N1" s="69"/>
      <c r="O1" s="69"/>
      <c r="P1" s="69"/>
      <c r="Q1" s="69"/>
      <c r="R1" s="69"/>
      <c r="S1" s="69"/>
      <c r="U1" s="69" t="s">
        <v>227</v>
      </c>
      <c r="V1" s="69"/>
      <c r="W1" s="69"/>
      <c r="X1" s="69"/>
      <c r="Y1" s="69"/>
      <c r="Z1" s="69"/>
      <c r="AA1" s="69"/>
      <c r="AB1" s="69"/>
      <c r="AC1" s="69"/>
    </row>
    <row r="3" spans="1:29" x14ac:dyDescent="0.35">
      <c r="A3" s="4" t="s">
        <v>219</v>
      </c>
      <c r="U3" s="4" t="s">
        <v>219</v>
      </c>
    </row>
    <row r="5" spans="1:29" x14ac:dyDescent="0.35">
      <c r="A5" t="s">
        <v>194</v>
      </c>
      <c r="K5" t="s">
        <v>194</v>
      </c>
      <c r="U5" t="s">
        <v>194</v>
      </c>
    </row>
    <row r="6" spans="1:29" ht="15" thickBot="1" x14ac:dyDescent="0.4"/>
    <row r="7" spans="1:29" x14ac:dyDescent="0.35">
      <c r="A7" s="56" t="s">
        <v>195</v>
      </c>
      <c r="B7" s="56"/>
      <c r="K7" s="56" t="s">
        <v>195</v>
      </c>
      <c r="L7" s="56"/>
      <c r="U7" s="56" t="s">
        <v>195</v>
      </c>
      <c r="V7" s="56"/>
    </row>
    <row r="8" spans="1:29" x14ac:dyDescent="0.35">
      <c r="A8" t="s">
        <v>196</v>
      </c>
      <c r="B8">
        <v>0.86287527733603842</v>
      </c>
      <c r="K8" t="s">
        <v>196</v>
      </c>
      <c r="L8">
        <v>0.81920299275463127</v>
      </c>
      <c r="U8" t="s">
        <v>196</v>
      </c>
      <c r="V8">
        <v>0.65914654338711753</v>
      </c>
    </row>
    <row r="9" spans="1:29" x14ac:dyDescent="0.35">
      <c r="A9" t="s">
        <v>197</v>
      </c>
      <c r="B9">
        <v>0.74455374423774512</v>
      </c>
      <c r="K9" t="s">
        <v>197</v>
      </c>
      <c r="L9" s="60">
        <v>0.67109354333814442</v>
      </c>
      <c r="U9" t="s">
        <v>197</v>
      </c>
      <c r="V9">
        <v>0.43447416565918517</v>
      </c>
    </row>
    <row r="10" spans="1:29" x14ac:dyDescent="0.35">
      <c r="A10" t="s">
        <v>198</v>
      </c>
      <c r="B10">
        <v>0.74304103546731859</v>
      </c>
      <c r="K10" t="s">
        <v>198</v>
      </c>
      <c r="L10">
        <v>0.67093063771325001</v>
      </c>
      <c r="U10" t="s">
        <v>198</v>
      </c>
      <c r="V10">
        <v>0.43074542389430065</v>
      </c>
    </row>
    <row r="11" spans="1:29" x14ac:dyDescent="0.35">
      <c r="A11" t="s">
        <v>199</v>
      </c>
      <c r="B11">
        <v>292.09119057601765</v>
      </c>
      <c r="K11" t="s">
        <v>199</v>
      </c>
      <c r="L11">
        <v>330.8649146961767</v>
      </c>
      <c r="U11" t="s">
        <v>199</v>
      </c>
      <c r="V11">
        <v>367.7372727800269</v>
      </c>
    </row>
    <row r="12" spans="1:29" ht="15" thickBot="1" x14ac:dyDescent="0.4">
      <c r="A12" s="54" t="s">
        <v>200</v>
      </c>
      <c r="B12" s="54">
        <v>2021</v>
      </c>
      <c r="K12" s="54" t="s">
        <v>200</v>
      </c>
      <c r="L12" s="54">
        <v>2021</v>
      </c>
      <c r="U12" s="54" t="s">
        <v>200</v>
      </c>
      <c r="V12" s="54">
        <v>459</v>
      </c>
    </row>
    <row r="14" spans="1:29" ht="15" thickBot="1" x14ac:dyDescent="0.4">
      <c r="A14" t="s">
        <v>201</v>
      </c>
      <c r="K14" t="s">
        <v>201</v>
      </c>
      <c r="U14" t="s">
        <v>201</v>
      </c>
    </row>
    <row r="15" spans="1:29" x14ac:dyDescent="0.35">
      <c r="A15" s="55"/>
      <c r="B15" s="55" t="s">
        <v>205</v>
      </c>
      <c r="C15" s="55" t="s">
        <v>206</v>
      </c>
      <c r="D15" s="55" t="s">
        <v>207</v>
      </c>
      <c r="E15" s="55" t="s">
        <v>208</v>
      </c>
      <c r="F15" s="55" t="s">
        <v>209</v>
      </c>
      <c r="K15" s="55"/>
      <c r="L15" s="55" t="s">
        <v>205</v>
      </c>
      <c r="M15" s="55" t="s">
        <v>206</v>
      </c>
      <c r="N15" s="55" t="s">
        <v>207</v>
      </c>
      <c r="O15" s="55" t="s">
        <v>208</v>
      </c>
      <c r="P15" s="55" t="s">
        <v>209</v>
      </c>
      <c r="U15" s="55"/>
      <c r="V15" s="55" t="s">
        <v>205</v>
      </c>
      <c r="W15" s="55" t="s">
        <v>206</v>
      </c>
      <c r="X15" s="55" t="s">
        <v>207</v>
      </c>
      <c r="Y15" s="55" t="s">
        <v>208</v>
      </c>
      <c r="Z15" s="55" t="s">
        <v>209</v>
      </c>
    </row>
    <row r="16" spans="1:29" x14ac:dyDescent="0.35">
      <c r="A16" t="s">
        <v>202</v>
      </c>
      <c r="B16">
        <v>9</v>
      </c>
      <c r="C16">
        <v>500335599.81727517</v>
      </c>
      <c r="D16">
        <v>55592844.424141683</v>
      </c>
      <c r="E16">
        <v>733.05152239174868</v>
      </c>
      <c r="F16">
        <v>0</v>
      </c>
      <c r="K16" t="s">
        <v>202</v>
      </c>
      <c r="L16">
        <v>1</v>
      </c>
      <c r="M16">
        <v>450970790.40727371</v>
      </c>
      <c r="N16">
        <v>450970790.40727371</v>
      </c>
      <c r="O16">
        <v>4119.5234588924704</v>
      </c>
      <c r="P16">
        <v>0</v>
      </c>
      <c r="U16" t="s">
        <v>202</v>
      </c>
      <c r="V16">
        <v>3</v>
      </c>
      <c r="W16">
        <v>47271371.98325517</v>
      </c>
      <c r="X16">
        <v>15757123.99441839</v>
      </c>
      <c r="Y16">
        <v>116.52031517732205</v>
      </c>
      <c r="Z16">
        <v>5.4300831317959112E-56</v>
      </c>
    </row>
    <row r="17" spans="1:29" x14ac:dyDescent="0.35">
      <c r="A17" t="s">
        <v>203</v>
      </c>
      <c r="B17">
        <v>2012</v>
      </c>
      <c r="C17">
        <v>171658334.38757634</v>
      </c>
      <c r="D17">
        <v>85317.263612115479</v>
      </c>
      <c r="K17" t="s">
        <v>203</v>
      </c>
      <c r="L17">
        <v>2019</v>
      </c>
      <c r="M17">
        <v>221023143.7975778</v>
      </c>
      <c r="N17">
        <v>109471.59177690827</v>
      </c>
      <c r="U17" t="s">
        <v>203</v>
      </c>
      <c r="V17">
        <v>455</v>
      </c>
      <c r="W17">
        <v>61529969.315219827</v>
      </c>
      <c r="X17">
        <v>135230.70179169191</v>
      </c>
    </row>
    <row r="18" spans="1:29" ht="15" thickBot="1" x14ac:dyDescent="0.4">
      <c r="A18" s="54" t="s">
        <v>128</v>
      </c>
      <c r="B18" s="54">
        <v>2021</v>
      </c>
      <c r="C18" s="54">
        <v>671993934.20485151</v>
      </c>
      <c r="D18" s="54"/>
      <c r="E18" s="54"/>
      <c r="F18" s="54"/>
      <c r="K18" s="54" t="s">
        <v>128</v>
      </c>
      <c r="L18" s="54">
        <v>2020</v>
      </c>
      <c r="M18" s="54">
        <v>671993934.20485151</v>
      </c>
      <c r="N18" s="54"/>
      <c r="O18" s="54"/>
      <c r="P18" s="54"/>
      <c r="U18" s="54" t="s">
        <v>128</v>
      </c>
      <c r="V18" s="54">
        <v>458</v>
      </c>
      <c r="W18" s="54">
        <v>108801341.298475</v>
      </c>
      <c r="X18" s="54"/>
      <c r="Y18" s="54"/>
      <c r="Z18" s="54"/>
    </row>
    <row r="19" spans="1:29" ht="15" thickBot="1" x14ac:dyDescent="0.4"/>
    <row r="20" spans="1:29" x14ac:dyDescent="0.35">
      <c r="A20" s="55"/>
      <c r="B20" s="55" t="s">
        <v>210</v>
      </c>
      <c r="C20" s="55" t="s">
        <v>199</v>
      </c>
      <c r="D20" s="55" t="s">
        <v>211</v>
      </c>
      <c r="E20" s="55" t="s">
        <v>212</v>
      </c>
      <c r="F20" s="55" t="s">
        <v>213</v>
      </c>
      <c r="G20" s="55" t="s">
        <v>214</v>
      </c>
      <c r="H20" s="55" t="s">
        <v>215</v>
      </c>
      <c r="I20" s="55" t="s">
        <v>216</v>
      </c>
      <c r="K20" s="55"/>
      <c r="L20" s="55" t="s">
        <v>210</v>
      </c>
      <c r="M20" s="55" t="s">
        <v>199</v>
      </c>
      <c r="N20" s="55" t="s">
        <v>211</v>
      </c>
      <c r="O20" s="55" t="s">
        <v>212</v>
      </c>
      <c r="P20" s="55" t="s">
        <v>213</v>
      </c>
      <c r="Q20" s="55" t="s">
        <v>214</v>
      </c>
      <c r="R20" s="55" t="s">
        <v>215</v>
      </c>
      <c r="S20" s="55" t="s">
        <v>216</v>
      </c>
      <c r="U20" s="55"/>
      <c r="V20" s="55" t="s">
        <v>210</v>
      </c>
      <c r="W20" s="55" t="s">
        <v>199</v>
      </c>
      <c r="X20" s="55" t="s">
        <v>211</v>
      </c>
      <c r="Y20" s="55" t="s">
        <v>212</v>
      </c>
      <c r="Z20" s="55" t="s">
        <v>213</v>
      </c>
      <c r="AA20" s="55" t="s">
        <v>214</v>
      </c>
      <c r="AB20" s="55" t="s">
        <v>215</v>
      </c>
      <c r="AC20" s="55" t="s">
        <v>216</v>
      </c>
    </row>
    <row r="21" spans="1:29" x14ac:dyDescent="0.35">
      <c r="A21" t="s">
        <v>204</v>
      </c>
      <c r="B21">
        <v>-1404.4408708239114</v>
      </c>
      <c r="C21">
        <v>98.168499685460091</v>
      </c>
      <c r="D21">
        <v>-14.306431037693914</v>
      </c>
      <c r="E21">
        <v>2.7479524263381743E-44</v>
      </c>
      <c r="F21">
        <v>-1596.9634097745791</v>
      </c>
      <c r="G21">
        <v>-1211.9183318732437</v>
      </c>
      <c r="H21">
        <v>-1596.9634097745791</v>
      </c>
      <c r="I21">
        <v>-1211.9183318732437</v>
      </c>
      <c r="K21" t="s">
        <v>204</v>
      </c>
      <c r="L21">
        <v>-615.27659103288227</v>
      </c>
      <c r="M21">
        <v>19.789702626351882</v>
      </c>
      <c r="N21">
        <v>-31.090744648865144</v>
      </c>
      <c r="O21">
        <v>9.5366813883881636E-174</v>
      </c>
      <c r="P21">
        <v>-654.08696152750588</v>
      </c>
      <c r="Q21">
        <v>-576.46622053825865</v>
      </c>
      <c r="R21">
        <v>-654.08696152750588</v>
      </c>
      <c r="S21">
        <v>-576.46622053825865</v>
      </c>
      <c r="U21" t="s">
        <v>204</v>
      </c>
      <c r="V21">
        <v>-73.357858100531473</v>
      </c>
      <c r="W21">
        <v>136.94731595853736</v>
      </c>
      <c r="X21">
        <v>-0.53566481085866302</v>
      </c>
      <c r="Y21">
        <v>0.59245196076911555</v>
      </c>
      <c r="Z21">
        <v>-342.48554954362237</v>
      </c>
      <c r="AA21">
        <v>195.76983334255942</v>
      </c>
      <c r="AB21">
        <v>-342.48554954362237</v>
      </c>
      <c r="AC21">
        <v>195.76983334255942</v>
      </c>
    </row>
    <row r="22" spans="1:29" ht="15" thickBot="1" x14ac:dyDescent="0.4">
      <c r="A22" t="s">
        <v>0</v>
      </c>
      <c r="B22">
        <v>2.0491957277013972E-2</v>
      </c>
      <c r="C22">
        <v>3.5570867957607054E-4</v>
      </c>
      <c r="D22">
        <v>57.608819951866366</v>
      </c>
      <c r="E22">
        <v>0</v>
      </c>
      <c r="F22">
        <v>1.979436142561361E-2</v>
      </c>
      <c r="G22">
        <v>2.1189553128414335E-2</v>
      </c>
      <c r="H22">
        <v>1.979436142561361E-2</v>
      </c>
      <c r="I22">
        <v>2.1189553128414335E-2</v>
      </c>
      <c r="K22" s="54" t="s">
        <v>0</v>
      </c>
      <c r="L22" s="54">
        <v>2.2811536770575278E-2</v>
      </c>
      <c r="M22" s="54">
        <v>3.5541115432905261E-4</v>
      </c>
      <c r="N22" s="54">
        <v>64.183513918236585</v>
      </c>
      <c r="O22" s="54">
        <v>0</v>
      </c>
      <c r="P22" s="54">
        <v>2.211452586354604E-2</v>
      </c>
      <c r="Q22" s="54">
        <v>2.3508547677604515E-2</v>
      </c>
      <c r="R22" s="54">
        <v>2.211452586354604E-2</v>
      </c>
      <c r="S22" s="54">
        <v>2.3508547677604515E-2</v>
      </c>
      <c r="U22" t="s">
        <v>0</v>
      </c>
      <c r="V22">
        <v>1.8923924672408467E-2</v>
      </c>
      <c r="W22">
        <v>1.4288631806814451E-3</v>
      </c>
      <c r="X22">
        <v>13.244042486547508</v>
      </c>
      <c r="Y22">
        <v>4.2877482539836631E-34</v>
      </c>
      <c r="Z22">
        <v>1.6115934997596178E-2</v>
      </c>
      <c r="AA22">
        <v>2.1731914347220757E-2</v>
      </c>
      <c r="AB22">
        <v>1.6115934997596178E-2</v>
      </c>
      <c r="AC22">
        <v>2.1731914347220757E-2</v>
      </c>
    </row>
    <row r="23" spans="1:29" x14ac:dyDescent="0.35">
      <c r="A23" t="s">
        <v>24</v>
      </c>
      <c r="B23">
        <v>-1.8360550404343472</v>
      </c>
      <c r="C23">
        <v>0.58531841573387944</v>
      </c>
      <c r="D23">
        <v>-3.1368482369246466</v>
      </c>
      <c r="E23">
        <v>1.7324531808077066E-3</v>
      </c>
      <c r="F23">
        <v>-2.9839485893092634</v>
      </c>
      <c r="G23">
        <v>-0.68816149155943118</v>
      </c>
      <c r="H23">
        <v>-2.9839485893092634</v>
      </c>
      <c r="I23">
        <v>-0.68816149155943118</v>
      </c>
      <c r="U23" t="s">
        <v>24</v>
      </c>
      <c r="V23">
        <v>-0.975837576786872</v>
      </c>
      <c r="W23">
        <v>1.4633999932533956</v>
      </c>
      <c r="X23">
        <v>-0.66682901550205242</v>
      </c>
      <c r="Y23">
        <v>0.50521935715795108</v>
      </c>
      <c r="Z23">
        <v>-3.8516986996245182</v>
      </c>
      <c r="AA23">
        <v>1.9000235460507744</v>
      </c>
      <c r="AB23">
        <v>-3.8516986996245182</v>
      </c>
      <c r="AC23">
        <v>1.9000235460507744</v>
      </c>
    </row>
    <row r="24" spans="1:29" ht="15" thickBot="1" x14ac:dyDescent="0.4">
      <c r="A24" t="s">
        <v>178</v>
      </c>
      <c r="B24">
        <v>176.79398877382187</v>
      </c>
      <c r="C24">
        <v>11.720842720521354</v>
      </c>
      <c r="D24">
        <v>15.083726741276323</v>
      </c>
      <c r="E24">
        <v>8.6867104154378459E-49</v>
      </c>
      <c r="F24">
        <v>153.80773140586456</v>
      </c>
      <c r="G24">
        <v>199.78024614177917</v>
      </c>
      <c r="H24">
        <v>153.80773140586456</v>
      </c>
      <c r="I24">
        <v>199.78024614177917</v>
      </c>
      <c r="U24" s="54" t="s">
        <v>65</v>
      </c>
      <c r="V24" s="54">
        <v>-203.34589474325284</v>
      </c>
      <c r="W24" s="54">
        <v>39.077138731209125</v>
      </c>
      <c r="X24" s="54">
        <v>-5.2037048091458589</v>
      </c>
      <c r="Y24" s="54">
        <v>2.961529182962474E-7</v>
      </c>
      <c r="Z24" s="54">
        <v>-280.13995281822667</v>
      </c>
      <c r="AA24" s="54">
        <v>-126.55183666827902</v>
      </c>
      <c r="AB24" s="54">
        <v>-280.13995281822667</v>
      </c>
      <c r="AC24" s="54">
        <v>-126.55183666827902</v>
      </c>
    </row>
    <row r="25" spans="1:29" x14ac:dyDescent="0.35">
      <c r="A25" t="s">
        <v>26</v>
      </c>
      <c r="B25">
        <v>-13.636009039539825</v>
      </c>
      <c r="C25">
        <v>40.509782714156323</v>
      </c>
      <c r="D25">
        <v>-0.33661027351733147</v>
      </c>
      <c r="E25">
        <v>0.73644581490411087</v>
      </c>
      <c r="F25">
        <v>-93.081515953244576</v>
      </c>
      <c r="G25">
        <v>65.809497874164919</v>
      </c>
      <c r="H25">
        <v>-93.081515953244576</v>
      </c>
      <c r="I25">
        <v>65.809497874164919</v>
      </c>
      <c r="K25" t="s">
        <v>194</v>
      </c>
    </row>
    <row r="26" spans="1:29" ht="15" thickBot="1" x14ac:dyDescent="0.4">
      <c r="A26" t="s">
        <v>27</v>
      </c>
      <c r="B26">
        <v>-9.3931531061165039</v>
      </c>
      <c r="C26">
        <v>37.026100204510335</v>
      </c>
      <c r="D26">
        <v>-0.25369004713524423</v>
      </c>
      <c r="E26">
        <v>0.79976094410112142</v>
      </c>
      <c r="F26">
        <v>-82.006657862265456</v>
      </c>
      <c r="G26">
        <v>63.220351650032455</v>
      </c>
      <c r="H26">
        <v>-82.006657862265456</v>
      </c>
      <c r="I26">
        <v>63.220351650032455</v>
      </c>
    </row>
    <row r="27" spans="1:29" x14ac:dyDescent="0.35">
      <c r="A27" t="s">
        <v>28</v>
      </c>
      <c r="B27">
        <v>-12.151890967116501</v>
      </c>
      <c r="C27">
        <v>38.337815680929253</v>
      </c>
      <c r="D27">
        <v>-0.31696878789996719</v>
      </c>
      <c r="E27">
        <v>0.7513001708819359</v>
      </c>
      <c r="F27">
        <v>-87.337858322879342</v>
      </c>
      <c r="G27">
        <v>63.034076388646341</v>
      </c>
      <c r="H27">
        <v>-87.337858322879342</v>
      </c>
      <c r="I27">
        <v>63.034076388646341</v>
      </c>
      <c r="K27" s="56" t="s">
        <v>195</v>
      </c>
      <c r="L27" s="56"/>
      <c r="U27" s="4" t="s">
        <v>220</v>
      </c>
    </row>
    <row r="28" spans="1:29" x14ac:dyDescent="0.35">
      <c r="A28" t="s">
        <v>29</v>
      </c>
      <c r="B28">
        <v>3.5427818056166838</v>
      </c>
      <c r="C28">
        <v>37.704191012162852</v>
      </c>
      <c r="D28">
        <v>9.3962546616471132E-2</v>
      </c>
      <c r="E28">
        <v>0.92514826431368236</v>
      </c>
      <c r="F28">
        <v>-70.400556495372584</v>
      </c>
      <c r="G28">
        <v>77.486120106605952</v>
      </c>
      <c r="H28">
        <v>-70.400556495372584</v>
      </c>
      <c r="I28">
        <v>77.486120106605952</v>
      </c>
      <c r="K28" t="s">
        <v>196</v>
      </c>
      <c r="L28">
        <v>0.12557043876558446</v>
      </c>
    </row>
    <row r="29" spans="1:29" x14ac:dyDescent="0.35">
      <c r="A29" t="s">
        <v>30</v>
      </c>
      <c r="B29">
        <v>0</v>
      </c>
      <c r="C29">
        <v>0</v>
      </c>
      <c r="D29">
        <v>65535</v>
      </c>
      <c r="E29" t="e">
        <v>#NUM!</v>
      </c>
      <c r="F29">
        <v>0</v>
      </c>
      <c r="G29">
        <v>0</v>
      </c>
      <c r="H29">
        <v>0</v>
      </c>
      <c r="I29">
        <v>0</v>
      </c>
      <c r="K29" t="s">
        <v>197</v>
      </c>
      <c r="L29">
        <v>1.5767935091781395E-2</v>
      </c>
      <c r="U29" t="s">
        <v>194</v>
      </c>
    </row>
    <row r="30" spans="1:29" ht="15" thickBot="1" x14ac:dyDescent="0.4">
      <c r="A30" s="54" t="s">
        <v>65</v>
      </c>
      <c r="B30" s="54">
        <v>-287.39872510263814</v>
      </c>
      <c r="C30" s="54">
        <v>16.071183147985227</v>
      </c>
      <c r="D30" s="54">
        <v>-17.882860425162168</v>
      </c>
      <c r="E30" s="54" t="e">
        <v>#NUM!</v>
      </c>
      <c r="F30" s="54">
        <v>-318.91662538129106</v>
      </c>
      <c r="G30" s="54">
        <v>-255.88082482398525</v>
      </c>
      <c r="H30" s="54">
        <v>-318.91662538129106</v>
      </c>
      <c r="I30" s="54">
        <v>-255.88082482398525</v>
      </c>
      <c r="K30" t="s">
        <v>198</v>
      </c>
      <c r="L30">
        <v>1.5280450166121059E-2</v>
      </c>
    </row>
    <row r="31" spans="1:29" x14ac:dyDescent="0.35">
      <c r="K31" t="s">
        <v>199</v>
      </c>
      <c r="L31">
        <v>572.35208836873198</v>
      </c>
      <c r="U31" s="56" t="s">
        <v>195</v>
      </c>
      <c r="V31" s="56"/>
    </row>
    <row r="32" spans="1:29" ht="15" thickBot="1" x14ac:dyDescent="0.4">
      <c r="K32" s="54" t="s">
        <v>200</v>
      </c>
      <c r="L32" s="54">
        <v>2021</v>
      </c>
      <c r="U32" t="s">
        <v>196</v>
      </c>
      <c r="V32">
        <v>0.65872717447478313</v>
      </c>
    </row>
    <row r="33" spans="1:29" x14ac:dyDescent="0.35">
      <c r="A33" s="4" t="s">
        <v>220</v>
      </c>
      <c r="U33" t="s">
        <v>197</v>
      </c>
      <c r="V33">
        <v>0.43392149039153144</v>
      </c>
    </row>
    <row r="34" spans="1:29" ht="15" thickBot="1" x14ac:dyDescent="0.4">
      <c r="K34" t="s">
        <v>201</v>
      </c>
      <c r="U34" t="s">
        <v>198</v>
      </c>
      <c r="V34">
        <v>0.43143868991079254</v>
      </c>
    </row>
    <row r="35" spans="1:29" x14ac:dyDescent="0.35">
      <c r="A35" t="s">
        <v>194</v>
      </c>
      <c r="K35" s="55"/>
      <c r="L35" s="55" t="s">
        <v>205</v>
      </c>
      <c r="M35" s="55" t="s">
        <v>206</v>
      </c>
      <c r="N35" s="55" t="s">
        <v>207</v>
      </c>
      <c r="O35" s="55" t="s">
        <v>208</v>
      </c>
      <c r="P35" s="55" t="s">
        <v>209</v>
      </c>
      <c r="U35" t="s">
        <v>199</v>
      </c>
      <c r="V35">
        <v>367.5132803592889</v>
      </c>
    </row>
    <row r="36" spans="1:29" ht="15" thickBot="1" x14ac:dyDescent="0.4">
      <c r="K36" t="s">
        <v>202</v>
      </c>
      <c r="L36">
        <v>1</v>
      </c>
      <c r="M36">
        <v>10595956.736612916</v>
      </c>
      <c r="N36">
        <v>10595956.736612916</v>
      </c>
      <c r="O36">
        <v>32.345482417579383</v>
      </c>
      <c r="P36">
        <v>1.4786237736309977E-8</v>
      </c>
      <c r="U36" s="54" t="s">
        <v>200</v>
      </c>
      <c r="V36" s="54">
        <v>459</v>
      </c>
    </row>
    <row r="37" spans="1:29" x14ac:dyDescent="0.35">
      <c r="A37" s="56" t="s">
        <v>195</v>
      </c>
      <c r="B37" s="56"/>
      <c r="K37" t="s">
        <v>203</v>
      </c>
      <c r="L37">
        <v>2019</v>
      </c>
      <c r="M37">
        <v>661397977.46823859</v>
      </c>
      <c r="N37">
        <v>327586.91306004883</v>
      </c>
    </row>
    <row r="38" spans="1:29" ht="15" thickBot="1" x14ac:dyDescent="0.4">
      <c r="A38" t="s">
        <v>196</v>
      </c>
      <c r="B38">
        <v>0.86280456923988547</v>
      </c>
      <c r="K38" s="54" t="s">
        <v>128</v>
      </c>
      <c r="L38" s="54">
        <v>2020</v>
      </c>
      <c r="M38" s="54">
        <v>671993934.20485151</v>
      </c>
      <c r="N38" s="54"/>
      <c r="O38" s="54"/>
      <c r="P38" s="54"/>
      <c r="U38" t="s">
        <v>201</v>
      </c>
    </row>
    <row r="39" spans="1:29" ht="15" thickBot="1" x14ac:dyDescent="0.4">
      <c r="A39" t="s">
        <v>197</v>
      </c>
      <c r="B39">
        <v>0.74443172470122432</v>
      </c>
      <c r="U39" s="55"/>
      <c r="V39" s="55" t="s">
        <v>205</v>
      </c>
      <c r="W39" s="55" t="s">
        <v>206</v>
      </c>
      <c r="X39" s="55" t="s">
        <v>207</v>
      </c>
      <c r="Y39" s="55" t="s">
        <v>208</v>
      </c>
      <c r="Z39" s="55" t="s">
        <v>209</v>
      </c>
    </row>
    <row r="40" spans="1:29" x14ac:dyDescent="0.35">
      <c r="A40" t="s">
        <v>198</v>
      </c>
      <c r="B40">
        <v>0.74379756024638866</v>
      </c>
      <c r="K40" s="55"/>
      <c r="L40" s="55" t="s">
        <v>210</v>
      </c>
      <c r="M40" s="55" t="s">
        <v>199</v>
      </c>
      <c r="N40" s="55" t="s">
        <v>211</v>
      </c>
      <c r="O40" s="55" t="s">
        <v>212</v>
      </c>
      <c r="P40" s="55" t="s">
        <v>213</v>
      </c>
      <c r="Q40" s="55" t="s">
        <v>214</v>
      </c>
      <c r="R40" s="55" t="s">
        <v>215</v>
      </c>
      <c r="S40" s="55" t="s">
        <v>216</v>
      </c>
      <c r="U40" t="s">
        <v>202</v>
      </c>
      <c r="V40">
        <v>2</v>
      </c>
      <c r="W40">
        <v>47211240.172831953</v>
      </c>
      <c r="X40">
        <v>23605620.086415976</v>
      </c>
      <c r="Y40">
        <v>174.77098693906876</v>
      </c>
      <c r="Z40">
        <v>4.5277272760807803E-57</v>
      </c>
    </row>
    <row r="41" spans="1:29" x14ac:dyDescent="0.35">
      <c r="A41" t="s">
        <v>199</v>
      </c>
      <c r="B41">
        <v>291.94337359765433</v>
      </c>
      <c r="K41" t="s">
        <v>204</v>
      </c>
      <c r="L41">
        <v>246.48202990425364</v>
      </c>
      <c r="M41">
        <v>57.226351909903244</v>
      </c>
      <c r="N41">
        <v>4.3071421063553581</v>
      </c>
      <c r="O41">
        <v>1.7330844725692303E-5</v>
      </c>
      <c r="P41">
        <v>134.25316211310172</v>
      </c>
      <c r="Q41">
        <v>358.71089769540555</v>
      </c>
      <c r="R41">
        <v>134.25316211310172</v>
      </c>
      <c r="S41">
        <v>358.71089769540555</v>
      </c>
      <c r="U41" t="s">
        <v>203</v>
      </c>
      <c r="V41">
        <v>456</v>
      </c>
      <c r="W41">
        <v>61590101.125643045</v>
      </c>
      <c r="X41">
        <v>135066.01124044528</v>
      </c>
    </row>
    <row r="42" spans="1:29" ht="15" thickBot="1" x14ac:dyDescent="0.4">
      <c r="A42" s="54" t="s">
        <v>200</v>
      </c>
      <c r="B42" s="54">
        <v>2021</v>
      </c>
      <c r="K42" s="54" t="s">
        <v>24</v>
      </c>
      <c r="L42" s="54">
        <v>6.207436186582874</v>
      </c>
      <c r="M42" s="54">
        <v>1.091454026138214</v>
      </c>
      <c r="N42" s="54">
        <v>5.6873088906420035</v>
      </c>
      <c r="O42" s="54">
        <v>1.4786237736339396E-8</v>
      </c>
      <c r="P42" s="54">
        <v>4.0669424190885275</v>
      </c>
      <c r="Q42" s="54">
        <v>8.3479299540772196</v>
      </c>
      <c r="R42" s="54">
        <v>4.0669424190885275</v>
      </c>
      <c r="S42" s="54">
        <v>8.3479299540772196</v>
      </c>
      <c r="U42" s="54" t="s">
        <v>128</v>
      </c>
      <c r="V42" s="54">
        <v>458</v>
      </c>
      <c r="W42" s="54">
        <v>108801341.298475</v>
      </c>
      <c r="X42" s="54"/>
      <c r="Y42" s="54"/>
      <c r="Z42" s="54"/>
    </row>
    <row r="43" spans="1:29" ht="15" thickBot="1" x14ac:dyDescent="0.4"/>
    <row r="44" spans="1:29" ht="15" thickBot="1" x14ac:dyDescent="0.4">
      <c r="A44" t="s">
        <v>201</v>
      </c>
      <c r="U44" s="55"/>
      <c r="V44" s="55" t="s">
        <v>210</v>
      </c>
      <c r="W44" s="55" t="s">
        <v>199</v>
      </c>
      <c r="X44" s="55" t="s">
        <v>211</v>
      </c>
      <c r="Y44" s="55" t="s">
        <v>212</v>
      </c>
      <c r="Z44" s="55" t="s">
        <v>213</v>
      </c>
      <c r="AA44" s="55" t="s">
        <v>214</v>
      </c>
      <c r="AB44" s="55" t="s">
        <v>215</v>
      </c>
      <c r="AC44" s="55" t="s">
        <v>216</v>
      </c>
    </row>
    <row r="45" spans="1:29" x14ac:dyDescent="0.35">
      <c r="A45" s="55"/>
      <c r="B45" s="55" t="s">
        <v>205</v>
      </c>
      <c r="C45" s="55" t="s">
        <v>206</v>
      </c>
      <c r="D45" s="55" t="s">
        <v>207</v>
      </c>
      <c r="E45" s="55" t="s">
        <v>208</v>
      </c>
      <c r="F45" s="55" t="s">
        <v>209</v>
      </c>
      <c r="K45" t="s">
        <v>194</v>
      </c>
      <c r="U45" t="s">
        <v>204</v>
      </c>
      <c r="V45">
        <v>-129.14650611038684</v>
      </c>
      <c r="W45">
        <v>108.35506922344317</v>
      </c>
      <c r="X45">
        <v>-1.191882456777992</v>
      </c>
      <c r="Y45">
        <v>0.23392725920968624</v>
      </c>
      <c r="Z45">
        <v>-342.08371396077962</v>
      </c>
      <c r="AA45">
        <v>83.790701740005943</v>
      </c>
      <c r="AB45">
        <v>-342.08371396077962</v>
      </c>
      <c r="AC45">
        <v>83.790701740005943</v>
      </c>
    </row>
    <row r="46" spans="1:29" ht="15" thickBot="1" x14ac:dyDescent="0.4">
      <c r="A46" t="s">
        <v>202</v>
      </c>
      <c r="B46">
        <v>5</v>
      </c>
      <c r="C46">
        <v>500253603.42887866</v>
      </c>
      <c r="D46">
        <v>100050720.68577573</v>
      </c>
      <c r="E46">
        <v>1173.8780359333225</v>
      </c>
      <c r="F46">
        <v>0</v>
      </c>
      <c r="U46" t="s">
        <v>0</v>
      </c>
      <c r="V46">
        <v>1.8998310183179039E-2</v>
      </c>
      <c r="W46">
        <v>1.4236344595592214E-3</v>
      </c>
      <c r="X46">
        <v>13.344935601700174</v>
      </c>
      <c r="Y46" s="57">
        <v>1.5833651846547601E-34</v>
      </c>
      <c r="Z46">
        <v>1.6200612309044356E-2</v>
      </c>
      <c r="AA46">
        <v>2.1796008057313722E-2</v>
      </c>
      <c r="AB46">
        <v>1.6200612309044356E-2</v>
      </c>
      <c r="AC46">
        <v>2.1796008057313722E-2</v>
      </c>
    </row>
    <row r="47" spans="1:29" ht="15" thickBot="1" x14ac:dyDescent="0.4">
      <c r="A47" t="s">
        <v>203</v>
      </c>
      <c r="B47">
        <v>2015</v>
      </c>
      <c r="C47">
        <v>171740330.77597281</v>
      </c>
      <c r="D47">
        <v>85230.933387579556</v>
      </c>
      <c r="K47" s="56" t="s">
        <v>195</v>
      </c>
      <c r="L47" s="56"/>
      <c r="U47" s="54" t="s">
        <v>65</v>
      </c>
      <c r="V47" s="54">
        <v>-204.96457565466451</v>
      </c>
      <c r="W47" s="54">
        <v>38.97791486311224</v>
      </c>
      <c r="X47" s="54">
        <v>-5.2584797410145212</v>
      </c>
      <c r="Y47" s="58">
        <v>2.2373443747651528E-7</v>
      </c>
      <c r="Z47" s="54">
        <v>-281.56319183630347</v>
      </c>
      <c r="AA47" s="54">
        <v>-128.36595947302555</v>
      </c>
      <c r="AB47" s="54">
        <v>-281.56319183630347</v>
      </c>
      <c r="AC47" s="54">
        <v>-128.36595947302555</v>
      </c>
    </row>
    <row r="48" spans="1:29" ht="15" thickBot="1" x14ac:dyDescent="0.4">
      <c r="A48" s="54" t="s">
        <v>128</v>
      </c>
      <c r="B48" s="54">
        <v>2020</v>
      </c>
      <c r="C48" s="54">
        <v>671993934.20485151</v>
      </c>
      <c r="D48" s="54"/>
      <c r="E48" s="54"/>
      <c r="F48" s="54"/>
      <c r="K48" t="s">
        <v>196</v>
      </c>
      <c r="L48">
        <v>0.53334698622575616</v>
      </c>
    </row>
    <row r="49" spans="1:19" ht="15" thickBot="1" x14ac:dyDescent="0.4">
      <c r="K49" t="s">
        <v>197</v>
      </c>
      <c r="L49">
        <v>0.28445900771609689</v>
      </c>
    </row>
    <row r="50" spans="1:19" x14ac:dyDescent="0.35">
      <c r="A50" s="55"/>
      <c r="B50" s="55" t="s">
        <v>210</v>
      </c>
      <c r="C50" s="55" t="s">
        <v>199</v>
      </c>
      <c r="D50" s="55" t="s">
        <v>211</v>
      </c>
      <c r="E50" s="55" t="s">
        <v>212</v>
      </c>
      <c r="F50" s="55" t="s">
        <v>213</v>
      </c>
      <c r="G50" s="55" t="s">
        <v>214</v>
      </c>
      <c r="H50" s="55" t="s">
        <v>215</v>
      </c>
      <c r="I50" s="55" t="s">
        <v>216</v>
      </c>
      <c r="K50" t="s">
        <v>198</v>
      </c>
      <c r="L50">
        <v>0.28410460405473781</v>
      </c>
    </row>
    <row r="51" spans="1:19" x14ac:dyDescent="0.35">
      <c r="A51" t="s">
        <v>204</v>
      </c>
      <c r="B51">
        <v>-1412.8752246215131</v>
      </c>
      <c r="C51">
        <v>88.714568562083983</v>
      </c>
      <c r="D51">
        <v>-15.926078969011259</v>
      </c>
      <c r="E51">
        <v>7.03260959238986E-54</v>
      </c>
      <c r="F51">
        <v>-1586.8570897836112</v>
      </c>
      <c r="G51">
        <v>-1238.893359459415</v>
      </c>
      <c r="H51">
        <v>-1586.8570897836112</v>
      </c>
      <c r="I51">
        <v>-1238.893359459415</v>
      </c>
      <c r="K51" t="s">
        <v>199</v>
      </c>
      <c r="L51">
        <v>488.01343290248235</v>
      </c>
    </row>
    <row r="52" spans="1:19" ht="15" thickBot="1" x14ac:dyDescent="0.4">
      <c r="A52" t="s">
        <v>0</v>
      </c>
      <c r="B52">
        <v>2.0492822705928688E-2</v>
      </c>
      <c r="C52">
        <v>3.5534421951336132E-4</v>
      </c>
      <c r="D52">
        <v>57.670342109387079</v>
      </c>
      <c r="E52">
        <v>0</v>
      </c>
      <c r="F52">
        <v>1.9795942237618238E-2</v>
      </c>
      <c r="G52">
        <v>2.1189703174239138E-2</v>
      </c>
      <c r="H52">
        <v>1.9795942237618238E-2</v>
      </c>
      <c r="I52">
        <v>2.1189703174239138E-2</v>
      </c>
      <c r="K52" s="54" t="s">
        <v>200</v>
      </c>
      <c r="L52" s="54">
        <v>2021</v>
      </c>
    </row>
    <row r="53" spans="1:19" x14ac:dyDescent="0.35">
      <c r="A53" t="s">
        <v>24</v>
      </c>
      <c r="B53">
        <v>-1.8116445856950247</v>
      </c>
      <c r="C53">
        <v>0.58036690645959477</v>
      </c>
      <c r="D53">
        <v>-3.1215504632174471</v>
      </c>
      <c r="E53">
        <v>1.8245389624770797E-3</v>
      </c>
      <c r="F53">
        <v>-2.9498264931405229</v>
      </c>
      <c r="G53">
        <v>-0.67346267824952677</v>
      </c>
      <c r="H53">
        <v>-2.9498264931405229</v>
      </c>
      <c r="I53">
        <v>-0.67346267824952677</v>
      </c>
    </row>
    <row r="54" spans="1:19" ht="15" thickBot="1" x14ac:dyDescent="0.4">
      <c r="A54" t="s">
        <v>178</v>
      </c>
      <c r="B54">
        <v>176.75438639027169</v>
      </c>
      <c r="C54">
        <v>11.713046527260095</v>
      </c>
      <c r="D54">
        <v>15.090385407323906</v>
      </c>
      <c r="E54">
        <v>7.8676997849171361E-49</v>
      </c>
      <c r="F54">
        <v>153.78343906365512</v>
      </c>
      <c r="G54">
        <v>199.72533371688826</v>
      </c>
      <c r="H54">
        <v>153.78343906365512</v>
      </c>
      <c r="I54">
        <v>199.72533371688826</v>
      </c>
      <c r="K54" t="s">
        <v>201</v>
      </c>
    </row>
    <row r="55" spans="1:19" x14ac:dyDescent="0.35">
      <c r="A55" t="s">
        <v>30</v>
      </c>
      <c r="B55">
        <v>6.8750762884212362</v>
      </c>
      <c r="C55">
        <v>36.082513359504695</v>
      </c>
      <c r="D55">
        <v>0.19053762192012696</v>
      </c>
      <c r="E55">
        <v>0.84890705895869201</v>
      </c>
      <c r="F55">
        <v>-63.887855615257031</v>
      </c>
      <c r="G55">
        <v>77.638008192099505</v>
      </c>
      <c r="H55">
        <v>-63.887855615257031</v>
      </c>
      <c r="I55">
        <v>77.638008192099505</v>
      </c>
      <c r="K55" s="55"/>
      <c r="L55" s="55" t="s">
        <v>205</v>
      </c>
      <c r="M55" s="55" t="s">
        <v>206</v>
      </c>
      <c r="N55" s="55" t="s">
        <v>207</v>
      </c>
      <c r="O55" s="55" t="s">
        <v>208</v>
      </c>
      <c r="P55" s="55" t="s">
        <v>209</v>
      </c>
    </row>
    <row r="56" spans="1:19" ht="15" thickBot="1" x14ac:dyDescent="0.4">
      <c r="A56" s="54" t="s">
        <v>65</v>
      </c>
      <c r="B56" s="54">
        <v>-286.96449263440087</v>
      </c>
      <c r="C56" s="54">
        <v>15.9973669320105</v>
      </c>
      <c r="D56" s="54">
        <v>-17.938232826315254</v>
      </c>
      <c r="E56" s="54">
        <v>7.1376579638995973E-67</v>
      </c>
      <c r="F56" s="54">
        <v>-318.33760058753137</v>
      </c>
      <c r="G56" s="54">
        <v>-255.5913846812704</v>
      </c>
      <c r="H56" s="54">
        <v>-318.33760058753137</v>
      </c>
      <c r="I56" s="54">
        <v>-255.5913846812704</v>
      </c>
      <c r="K56" t="s">
        <v>202</v>
      </c>
      <c r="L56">
        <v>1</v>
      </c>
      <c r="M56">
        <v>191154727.71514815</v>
      </c>
      <c r="N56">
        <v>191154727.71514815</v>
      </c>
      <c r="O56">
        <v>802.64127809874969</v>
      </c>
      <c r="P56">
        <v>5.9609603086587726E-149</v>
      </c>
    </row>
    <row r="57" spans="1:19" x14ac:dyDescent="0.35">
      <c r="K57" t="s">
        <v>203</v>
      </c>
      <c r="L57">
        <v>2019</v>
      </c>
      <c r="M57">
        <v>480839206.48970336</v>
      </c>
      <c r="N57">
        <v>238157.11069326565</v>
      </c>
    </row>
    <row r="58" spans="1:19" ht="15" thickBot="1" x14ac:dyDescent="0.4">
      <c r="K58" s="54" t="s">
        <v>128</v>
      </c>
      <c r="L58" s="54">
        <v>2020</v>
      </c>
      <c r="M58" s="54">
        <v>671993934.20485151</v>
      </c>
      <c r="N58" s="54"/>
      <c r="O58" s="54"/>
      <c r="P58" s="54"/>
    </row>
    <row r="59" spans="1:19" ht="15" thickBot="1" x14ac:dyDescent="0.4">
      <c r="A59" s="4" t="s">
        <v>221</v>
      </c>
    </row>
    <row r="60" spans="1:19" x14ac:dyDescent="0.35">
      <c r="K60" s="55"/>
      <c r="L60" s="55" t="s">
        <v>210</v>
      </c>
      <c r="M60" s="55" t="s">
        <v>199</v>
      </c>
      <c r="N60" s="55" t="s">
        <v>211</v>
      </c>
      <c r="O60" s="55" t="s">
        <v>212</v>
      </c>
      <c r="P60" s="55" t="s">
        <v>213</v>
      </c>
      <c r="Q60" s="55" t="s">
        <v>214</v>
      </c>
      <c r="R60" s="55" t="s">
        <v>215</v>
      </c>
      <c r="S60" s="55" t="s">
        <v>216</v>
      </c>
    </row>
    <row r="61" spans="1:19" x14ac:dyDescent="0.35">
      <c r="A61" t="s">
        <v>194</v>
      </c>
      <c r="K61" t="s">
        <v>204</v>
      </c>
      <c r="L61">
        <v>1056.2821869488389</v>
      </c>
      <c r="M61">
        <v>20.494637776489828</v>
      </c>
      <c r="N61">
        <v>51.53944160752819</v>
      </c>
      <c r="O61">
        <v>0</v>
      </c>
      <c r="P61">
        <v>1016.0893401801602</v>
      </c>
      <c r="Q61">
        <v>1096.4750337175176</v>
      </c>
      <c r="R61">
        <v>1016.0893401801602</v>
      </c>
      <c r="S61">
        <v>1096.4750337175176</v>
      </c>
    </row>
    <row r="62" spans="1:19" ht="15" thickBot="1" x14ac:dyDescent="0.4">
      <c r="K62" s="54" t="s">
        <v>65</v>
      </c>
      <c r="L62" s="54">
        <v>-684.54491047015347</v>
      </c>
      <c r="M62" s="54">
        <v>24.162462914711899</v>
      </c>
      <c r="N62" s="54">
        <v>-28.330924413063528</v>
      </c>
      <c r="O62" s="54">
        <v>5.9609603087242685E-149</v>
      </c>
      <c r="P62" s="54">
        <v>-731.93087454895999</v>
      </c>
      <c r="Q62" s="54">
        <v>-637.15894639134694</v>
      </c>
      <c r="R62" s="54">
        <v>-731.93087454895999</v>
      </c>
      <c r="S62" s="54">
        <v>-637.15894639134694</v>
      </c>
    </row>
    <row r="63" spans="1:19" x14ac:dyDescent="0.35">
      <c r="A63" s="56" t="s">
        <v>195</v>
      </c>
      <c r="B63" s="56"/>
    </row>
    <row r="64" spans="1:19" x14ac:dyDescent="0.35">
      <c r="A64" t="s">
        <v>196</v>
      </c>
      <c r="B64">
        <v>0.86280190083570507</v>
      </c>
    </row>
    <row r="65" spans="1:9" x14ac:dyDescent="0.35">
      <c r="A65" t="s">
        <v>197</v>
      </c>
      <c r="B65" s="57">
        <v>0.74442712008570588</v>
      </c>
    </row>
    <row r="66" spans="1:9" x14ac:dyDescent="0.35">
      <c r="A66" t="s">
        <v>198</v>
      </c>
      <c r="B66">
        <v>0.74392003103825688</v>
      </c>
    </row>
    <row r="67" spans="1:9" x14ac:dyDescent="0.35">
      <c r="A67" t="s">
        <v>199</v>
      </c>
      <c r="B67">
        <v>291.87358735737018</v>
      </c>
    </row>
    <row r="68" spans="1:9" ht="15" thickBot="1" x14ac:dyDescent="0.4">
      <c r="A68" s="54" t="s">
        <v>200</v>
      </c>
      <c r="B68" s="54">
        <v>2021</v>
      </c>
    </row>
    <row r="70" spans="1:9" ht="15" thickBot="1" x14ac:dyDescent="0.4">
      <c r="A70" t="s">
        <v>201</v>
      </c>
    </row>
    <row r="71" spans="1:9" x14ac:dyDescent="0.35">
      <c r="A71" s="55"/>
      <c r="B71" s="55" t="s">
        <v>205</v>
      </c>
      <c r="C71" s="55" t="s">
        <v>206</v>
      </c>
      <c r="D71" s="55" t="s">
        <v>207</v>
      </c>
      <c r="E71" s="55" t="s">
        <v>208</v>
      </c>
      <c r="F71" s="55" t="s">
        <v>209</v>
      </c>
    </row>
    <row r="72" spans="1:9" x14ac:dyDescent="0.35">
      <c r="A72" t="s">
        <v>202</v>
      </c>
      <c r="B72">
        <v>4</v>
      </c>
      <c r="C72">
        <v>500250509.15518093</v>
      </c>
      <c r="D72">
        <v>125062627.28879523</v>
      </c>
      <c r="E72">
        <v>1468.0402265256603</v>
      </c>
      <c r="F72">
        <v>0</v>
      </c>
    </row>
    <row r="73" spans="1:9" x14ac:dyDescent="0.35">
      <c r="A73" t="s">
        <v>203</v>
      </c>
      <c r="B73">
        <v>2016</v>
      </c>
      <c r="C73">
        <v>171743425.04967061</v>
      </c>
      <c r="D73">
        <v>85190.190996860416</v>
      </c>
    </row>
    <row r="74" spans="1:9" ht="15" thickBot="1" x14ac:dyDescent="0.4">
      <c r="A74" s="54" t="s">
        <v>128</v>
      </c>
      <c r="B74" s="54">
        <v>2020</v>
      </c>
      <c r="C74" s="54">
        <v>671993934.20485151</v>
      </c>
      <c r="D74" s="54"/>
      <c r="E74" s="54"/>
      <c r="F74" s="54"/>
    </row>
    <row r="75" spans="1:9" ht="15" thickBot="1" x14ac:dyDescent="0.4"/>
    <row r="76" spans="1:9" x14ac:dyDescent="0.35">
      <c r="A76" s="55"/>
      <c r="B76" s="55" t="s">
        <v>210</v>
      </c>
      <c r="C76" s="55" t="s">
        <v>199</v>
      </c>
      <c r="D76" s="55" t="s">
        <v>211</v>
      </c>
      <c r="E76" s="55" t="s">
        <v>212</v>
      </c>
      <c r="F76" s="55" t="s">
        <v>213</v>
      </c>
      <c r="G76" s="55" t="s">
        <v>214</v>
      </c>
      <c r="H76" s="55" t="s">
        <v>215</v>
      </c>
      <c r="I76" s="55" t="s">
        <v>216</v>
      </c>
    </row>
    <row r="77" spans="1:9" x14ac:dyDescent="0.35">
      <c r="A77" t="s">
        <v>204</v>
      </c>
      <c r="B77">
        <v>-1413.9578529878554</v>
      </c>
      <c r="C77">
        <v>88.511260240807346</v>
      </c>
      <c r="D77">
        <v>-15.974892337325036</v>
      </c>
      <c r="E77">
        <v>3.5012136023493239E-54</v>
      </c>
      <c r="F77">
        <v>-1587.5409499150587</v>
      </c>
      <c r="G77">
        <v>-1240.3747560606521</v>
      </c>
      <c r="H77">
        <v>-1587.5409499150587</v>
      </c>
      <c r="I77">
        <v>-1240.3747560606521</v>
      </c>
    </row>
    <row r="78" spans="1:9" x14ac:dyDescent="0.35">
      <c r="A78" t="s">
        <v>0</v>
      </c>
      <c r="B78">
        <v>2.04927236331096E-2</v>
      </c>
      <c r="C78">
        <v>3.5525889758034583E-4</v>
      </c>
      <c r="D78">
        <v>57.683913823650087</v>
      </c>
      <c r="E78" s="57">
        <v>0</v>
      </c>
      <c r="F78">
        <v>1.9796010700933887E-2</v>
      </c>
      <c r="G78">
        <v>2.1189436565285314E-2</v>
      </c>
      <c r="H78">
        <v>1.9796010700933887E-2</v>
      </c>
      <c r="I78">
        <v>2.1189436565285314E-2</v>
      </c>
    </row>
    <row r="79" spans="1:9" x14ac:dyDescent="0.35">
      <c r="A79" t="s">
        <v>24</v>
      </c>
      <c r="B79">
        <v>-1.7930923357609316</v>
      </c>
      <c r="C79">
        <v>0.57200415871256216</v>
      </c>
      <c r="D79">
        <v>-3.134754019615404</v>
      </c>
      <c r="E79" s="57">
        <v>1.7447571690204461E-3</v>
      </c>
      <c r="F79">
        <v>-2.914873373048537</v>
      </c>
      <c r="G79">
        <v>-0.67131129847332627</v>
      </c>
      <c r="H79">
        <v>-2.914873373048537</v>
      </c>
      <c r="I79">
        <v>-0.67131129847332627</v>
      </c>
    </row>
    <row r="80" spans="1:9" x14ac:dyDescent="0.35">
      <c r="A80" t="s">
        <v>178</v>
      </c>
      <c r="B80">
        <v>176.81792201933388</v>
      </c>
      <c r="C80">
        <v>11.705500311254941</v>
      </c>
      <c r="D80">
        <v>15.105541610154152</v>
      </c>
      <c r="E80" s="57">
        <v>6.3821153787924262E-49</v>
      </c>
      <c r="F80">
        <v>153.86178073762613</v>
      </c>
      <c r="G80">
        <v>199.77406330104162</v>
      </c>
      <c r="H80">
        <v>153.86178073762613</v>
      </c>
      <c r="I80">
        <v>199.77406330104162</v>
      </c>
    </row>
    <row r="81" spans="1:9" ht="15" thickBot="1" x14ac:dyDescent="0.4">
      <c r="A81" s="54" t="s">
        <v>65</v>
      </c>
      <c r="B81" s="54">
        <v>-287.04741878522248</v>
      </c>
      <c r="C81" s="54">
        <v>15.987622945011118</v>
      </c>
      <c r="D81" s="54">
        <v>-17.954352549626186</v>
      </c>
      <c r="E81" s="58">
        <v>5.5285088178790629E-67</v>
      </c>
      <c r="F81" s="54">
        <v>-318.40140804883902</v>
      </c>
      <c r="G81" s="54">
        <v>-255.69342952160594</v>
      </c>
      <c r="H81" s="54">
        <v>-318.40140804883902</v>
      </c>
      <c r="I81" s="54">
        <v>-255.69342952160594</v>
      </c>
    </row>
    <row r="83" spans="1:9" x14ac:dyDescent="0.35">
      <c r="A83" s="4" t="s">
        <v>223</v>
      </c>
    </row>
    <row r="85" spans="1:9" x14ac:dyDescent="0.35">
      <c r="A85" t="s">
        <v>194</v>
      </c>
    </row>
    <row r="86" spans="1:9" ht="15" thickBot="1" x14ac:dyDescent="0.4"/>
    <row r="87" spans="1:9" x14ac:dyDescent="0.35">
      <c r="A87" s="56" t="s">
        <v>195</v>
      </c>
      <c r="B87" s="56"/>
    </row>
    <row r="88" spans="1:9" x14ac:dyDescent="0.35">
      <c r="A88" t="s">
        <v>196</v>
      </c>
      <c r="B88">
        <v>0.84587265979418669</v>
      </c>
    </row>
    <row r="89" spans="1:9" x14ac:dyDescent="0.35">
      <c r="A89" t="s">
        <v>197</v>
      </c>
      <c r="B89" s="57">
        <v>0.71550055658729195</v>
      </c>
    </row>
    <row r="90" spans="1:9" x14ac:dyDescent="0.35">
      <c r="A90" t="s">
        <v>198</v>
      </c>
      <c r="B90">
        <v>0.71507740421731769</v>
      </c>
    </row>
    <row r="91" spans="1:9" x14ac:dyDescent="0.35">
      <c r="A91" t="s">
        <v>199</v>
      </c>
      <c r="B91">
        <v>307.87217361924939</v>
      </c>
    </row>
    <row r="92" spans="1:9" ht="15" thickBot="1" x14ac:dyDescent="0.4">
      <c r="A92" s="54" t="s">
        <v>200</v>
      </c>
      <c r="B92" s="54">
        <v>2021</v>
      </c>
    </row>
    <row r="94" spans="1:9" ht="15" thickBot="1" x14ac:dyDescent="0.4">
      <c r="A94" t="s">
        <v>201</v>
      </c>
    </row>
    <row r="95" spans="1:9" x14ac:dyDescent="0.35">
      <c r="A95" s="55"/>
      <c r="B95" s="55" t="s">
        <v>205</v>
      </c>
      <c r="C95" s="55" t="s">
        <v>206</v>
      </c>
      <c r="D95" s="55" t="s">
        <v>207</v>
      </c>
      <c r="E95" s="55" t="s">
        <v>208</v>
      </c>
      <c r="F95" s="55" t="s">
        <v>209</v>
      </c>
    </row>
    <row r="96" spans="1:9" x14ac:dyDescent="0.35">
      <c r="A96" t="s">
        <v>202</v>
      </c>
      <c r="B96">
        <v>3</v>
      </c>
      <c r="C96">
        <v>480812033.94685531</v>
      </c>
      <c r="D96">
        <v>160270677.98228511</v>
      </c>
      <c r="E96">
        <v>1690.8816004759242</v>
      </c>
      <c r="F96">
        <v>0</v>
      </c>
    </row>
    <row r="97" spans="1:9" x14ac:dyDescent="0.35">
      <c r="A97" t="s">
        <v>203</v>
      </c>
      <c r="B97">
        <v>2017</v>
      </c>
      <c r="C97">
        <v>191181900.25799617</v>
      </c>
      <c r="D97">
        <v>94785.275289041238</v>
      </c>
    </row>
    <row r="98" spans="1:9" ht="15" thickBot="1" x14ac:dyDescent="0.4">
      <c r="A98" s="54" t="s">
        <v>128</v>
      </c>
      <c r="B98" s="54">
        <v>2020</v>
      </c>
      <c r="C98" s="54">
        <v>671993934.20485151</v>
      </c>
      <c r="D98" s="54"/>
      <c r="E98" s="54"/>
      <c r="F98" s="54"/>
    </row>
    <row r="99" spans="1:9" ht="15" thickBot="1" x14ac:dyDescent="0.4"/>
    <row r="100" spans="1:9" x14ac:dyDescent="0.35">
      <c r="A100" s="55"/>
      <c r="B100" s="55" t="s">
        <v>210</v>
      </c>
      <c r="C100" s="55" t="s">
        <v>199</v>
      </c>
      <c r="D100" s="55" t="s">
        <v>211</v>
      </c>
      <c r="E100" s="55" t="s">
        <v>212</v>
      </c>
      <c r="F100" s="55" t="s">
        <v>213</v>
      </c>
      <c r="G100" s="55" t="s">
        <v>214</v>
      </c>
      <c r="H100" s="55" t="s">
        <v>215</v>
      </c>
      <c r="I100" s="55" t="s">
        <v>216</v>
      </c>
    </row>
    <row r="101" spans="1:9" x14ac:dyDescent="0.35">
      <c r="A101" t="s">
        <v>204</v>
      </c>
      <c r="B101">
        <v>-187.81525627446592</v>
      </c>
      <c r="C101">
        <v>37.224560709408081</v>
      </c>
      <c r="D101">
        <v>-5.0454660228400696</v>
      </c>
      <c r="E101">
        <v>4.9296364047747015E-7</v>
      </c>
      <c r="F101">
        <v>-260.81786167919654</v>
      </c>
      <c r="G101">
        <v>-114.81265086973531</v>
      </c>
      <c r="H101">
        <v>-260.81786167919654</v>
      </c>
      <c r="I101">
        <v>-114.81265086973531</v>
      </c>
    </row>
    <row r="102" spans="1:9" x14ac:dyDescent="0.35">
      <c r="A102" t="s">
        <v>0</v>
      </c>
      <c r="B102">
        <v>2.0388768143898877E-2</v>
      </c>
      <c r="C102">
        <v>3.7466153122138121E-4</v>
      </c>
      <c r="D102">
        <v>54.419166220327796</v>
      </c>
      <c r="E102" s="57">
        <v>0</v>
      </c>
      <c r="F102">
        <v>1.9654004122434576E-2</v>
      </c>
      <c r="G102">
        <v>2.1123532165363178E-2</v>
      </c>
      <c r="H102">
        <v>1.9654004122434576E-2</v>
      </c>
      <c r="I102">
        <v>2.1123532165363178E-2</v>
      </c>
    </row>
    <row r="103" spans="1:9" x14ac:dyDescent="0.35">
      <c r="A103" t="s">
        <v>24</v>
      </c>
      <c r="B103">
        <v>-1.8364390788942748</v>
      </c>
      <c r="C103">
        <v>0.60335006391689305</v>
      </c>
      <c r="D103">
        <v>-3.0437372741328335</v>
      </c>
      <c r="E103" s="57">
        <v>2.3667697369185053E-3</v>
      </c>
      <c r="F103">
        <v>-3.0196935162236533</v>
      </c>
      <c r="G103">
        <v>-0.65318464156489653</v>
      </c>
      <c r="H103">
        <v>-3.0196935162236533</v>
      </c>
      <c r="I103">
        <v>-0.65318464156489653</v>
      </c>
    </row>
    <row r="104" spans="1:9" ht="15" thickBot="1" x14ac:dyDescent="0.4">
      <c r="A104" s="54" t="s">
        <v>65</v>
      </c>
      <c r="B104" s="54">
        <v>-289.6136310730152</v>
      </c>
      <c r="C104" s="54">
        <v>16.863006948472265</v>
      </c>
      <c r="D104" s="54">
        <v>-17.174495151308307</v>
      </c>
      <c r="E104" s="58">
        <v>8.2472421391898636E-62</v>
      </c>
      <c r="F104" s="54">
        <v>-322.68436229820384</v>
      </c>
      <c r="G104" s="54">
        <v>-256.54289984782656</v>
      </c>
      <c r="H104" s="54">
        <v>-322.68436229820384</v>
      </c>
      <c r="I104" s="54">
        <v>-256.54289984782656</v>
      </c>
    </row>
    <row r="106" spans="1:9" ht="15.5" x14ac:dyDescent="0.35">
      <c r="A106" s="73" t="s">
        <v>222</v>
      </c>
      <c r="B106" s="73"/>
      <c r="C106" s="73"/>
      <c r="D106" s="73"/>
      <c r="E106" s="73"/>
      <c r="F106" s="73"/>
      <c r="G106" s="73"/>
    </row>
    <row r="109" spans="1:9" x14ac:dyDescent="0.35">
      <c r="A109" s="53" t="s">
        <v>36</v>
      </c>
      <c r="B109" s="53" t="s">
        <v>0</v>
      </c>
      <c r="C109" s="53" t="s">
        <v>24</v>
      </c>
      <c r="D109" s="53" t="s">
        <v>65</v>
      </c>
      <c r="E109" s="59" t="s">
        <v>224</v>
      </c>
    </row>
    <row r="110" spans="1:9" x14ac:dyDescent="0.35">
      <c r="A110" s="3">
        <v>274</v>
      </c>
      <c r="B110" s="3">
        <v>113734</v>
      </c>
      <c r="C110" s="3">
        <v>75</v>
      </c>
      <c r="D110" s="3">
        <v>0</v>
      </c>
      <c r="E110" s="25">
        <f t="shared" ref="E110:E173" si="0">$B$101+$B110*$B$102+$C110*$B$103+$D110*$B$104</f>
        <v>1993.3479688866585</v>
      </c>
    </row>
    <row r="111" spans="1:9" x14ac:dyDescent="0.35">
      <c r="A111" s="3">
        <v>1517</v>
      </c>
      <c r="B111" s="3">
        <v>105471</v>
      </c>
      <c r="C111" s="3">
        <v>50</v>
      </c>
      <c r="D111" s="3">
        <v>0</v>
      </c>
      <c r="E111" s="25">
        <f t="shared" si="0"/>
        <v>1870.7865546859789</v>
      </c>
    </row>
    <row r="112" spans="1:9" x14ac:dyDescent="0.35">
      <c r="A112" s="3">
        <v>967</v>
      </c>
      <c r="B112" s="3">
        <v>101970</v>
      </c>
      <c r="C112" s="3">
        <v>37</v>
      </c>
      <c r="D112" s="3">
        <v>0</v>
      </c>
      <c r="E112" s="25">
        <f t="shared" si="0"/>
        <v>1823.2791854398147</v>
      </c>
    </row>
    <row r="113" spans="1:5" x14ac:dyDescent="0.35">
      <c r="A113" s="2">
        <v>964</v>
      </c>
      <c r="B113" s="2">
        <v>102692</v>
      </c>
      <c r="C113" s="2">
        <v>46</v>
      </c>
      <c r="D113" s="2">
        <v>0</v>
      </c>
      <c r="E113" s="25">
        <f t="shared" si="0"/>
        <v>1821.4719243296613</v>
      </c>
    </row>
    <row r="114" spans="1:5" x14ac:dyDescent="0.35">
      <c r="A114" s="2">
        <v>1182</v>
      </c>
      <c r="B114" s="2">
        <v>102160</v>
      </c>
      <c r="C114" s="2">
        <v>43</v>
      </c>
      <c r="D114" s="2">
        <v>0</v>
      </c>
      <c r="E114" s="25">
        <f t="shared" si="0"/>
        <v>1816.1344169137897</v>
      </c>
    </row>
    <row r="115" spans="1:5" x14ac:dyDescent="0.35">
      <c r="A115" s="3">
        <v>1527</v>
      </c>
      <c r="B115" s="3">
        <v>96843</v>
      </c>
      <c r="C115" s="3">
        <v>30</v>
      </c>
      <c r="D115" s="3">
        <v>0</v>
      </c>
      <c r="E115" s="25">
        <f t="shared" si="0"/>
        <v>1731.6010447183048</v>
      </c>
    </row>
    <row r="116" spans="1:5" x14ac:dyDescent="0.35">
      <c r="A116" s="2">
        <v>1970</v>
      </c>
      <c r="B116" s="2">
        <v>98777</v>
      </c>
      <c r="C116" s="2">
        <v>60</v>
      </c>
      <c r="D116" s="2">
        <v>0</v>
      </c>
      <c r="E116" s="25">
        <f t="shared" si="0"/>
        <v>1715.9397499417769</v>
      </c>
    </row>
    <row r="117" spans="1:5" x14ac:dyDescent="0.35">
      <c r="A117" s="3">
        <v>1966</v>
      </c>
      <c r="B117" s="3">
        <v>95529</v>
      </c>
      <c r="C117" s="3">
        <v>26</v>
      </c>
      <c r="D117" s="3">
        <v>0</v>
      </c>
      <c r="E117" s="25">
        <f t="shared" si="0"/>
        <v>1712.1559596927987</v>
      </c>
    </row>
    <row r="118" spans="1:5" x14ac:dyDescent="0.35">
      <c r="A118" s="2">
        <v>1920</v>
      </c>
      <c r="B118" s="2">
        <v>96876</v>
      </c>
      <c r="C118" s="2">
        <v>43</v>
      </c>
      <c r="D118" s="2">
        <v>0</v>
      </c>
      <c r="E118" s="25">
        <f t="shared" si="0"/>
        <v>1708.4001660414278</v>
      </c>
    </row>
    <row r="119" spans="1:5" x14ac:dyDescent="0.35">
      <c r="A119" s="3">
        <v>747</v>
      </c>
      <c r="B119" s="3">
        <v>96547</v>
      </c>
      <c r="C119" s="3">
        <v>40</v>
      </c>
      <c r="D119" s="3">
        <v>0</v>
      </c>
      <c r="E119" s="25">
        <f t="shared" si="0"/>
        <v>1707.2015785587682</v>
      </c>
    </row>
    <row r="120" spans="1:5" x14ac:dyDescent="0.35">
      <c r="A120" s="2">
        <v>1881</v>
      </c>
      <c r="B120" s="2">
        <v>95169</v>
      </c>
      <c r="C120" s="2">
        <v>33</v>
      </c>
      <c r="D120" s="2">
        <v>0</v>
      </c>
      <c r="E120" s="25">
        <f t="shared" si="0"/>
        <v>1691.9609296087351</v>
      </c>
    </row>
    <row r="121" spans="1:5" x14ac:dyDescent="0.35">
      <c r="A121" s="2">
        <v>2057</v>
      </c>
      <c r="B121" s="2">
        <v>92859</v>
      </c>
      <c r="C121" s="2">
        <v>28</v>
      </c>
      <c r="D121" s="2">
        <v>0</v>
      </c>
      <c r="E121" s="25">
        <f t="shared" si="0"/>
        <v>1654.0450705908002</v>
      </c>
    </row>
    <row r="122" spans="1:5" x14ac:dyDescent="0.35">
      <c r="A122" s="3">
        <v>1762</v>
      </c>
      <c r="B122" s="3">
        <v>92910</v>
      </c>
      <c r="C122" s="3">
        <v>34</v>
      </c>
      <c r="D122" s="3">
        <v>0</v>
      </c>
      <c r="E122" s="25">
        <f t="shared" si="0"/>
        <v>1644.0662632927733</v>
      </c>
    </row>
    <row r="123" spans="1:5" x14ac:dyDescent="0.35">
      <c r="A123" s="2">
        <v>1089</v>
      </c>
      <c r="B123" s="2">
        <v>92533</v>
      </c>
      <c r="C123" s="2">
        <v>35</v>
      </c>
      <c r="D123" s="2">
        <v>0</v>
      </c>
      <c r="E123" s="25">
        <f t="shared" si="0"/>
        <v>1634.5432586236293</v>
      </c>
    </row>
    <row r="124" spans="1:5" x14ac:dyDescent="0.35">
      <c r="A124" s="3">
        <v>2304</v>
      </c>
      <c r="B124" s="3">
        <v>93790</v>
      </c>
      <c r="C124" s="3">
        <v>50</v>
      </c>
      <c r="D124" s="3">
        <v>0</v>
      </c>
      <c r="E124" s="25">
        <f t="shared" si="0"/>
        <v>1632.6253539970962</v>
      </c>
    </row>
    <row r="125" spans="1:5" x14ac:dyDescent="0.35">
      <c r="A125" s="2">
        <v>2012</v>
      </c>
      <c r="B125" s="2">
        <v>92491</v>
      </c>
      <c r="C125" s="2">
        <v>37</v>
      </c>
      <c r="D125" s="2">
        <v>0</v>
      </c>
      <c r="E125" s="25">
        <f t="shared" si="0"/>
        <v>1630.0140522037968</v>
      </c>
    </row>
    <row r="126" spans="1:5" x14ac:dyDescent="0.35">
      <c r="A126" s="2">
        <v>1467</v>
      </c>
      <c r="B126" s="2">
        <v>91820</v>
      </c>
      <c r="C126" s="2">
        <v>34</v>
      </c>
      <c r="D126" s="2">
        <v>0</v>
      </c>
      <c r="E126" s="25">
        <f t="shared" si="0"/>
        <v>1621.8425060159238</v>
      </c>
    </row>
    <row r="127" spans="1:5" x14ac:dyDescent="0.35">
      <c r="A127" s="2">
        <v>1694</v>
      </c>
      <c r="B127" s="2">
        <v>92955</v>
      </c>
      <c r="C127" s="2">
        <v>47</v>
      </c>
      <c r="D127" s="2">
        <v>0</v>
      </c>
      <c r="E127" s="25">
        <f t="shared" si="0"/>
        <v>1621.1100498336232</v>
      </c>
    </row>
    <row r="128" spans="1:5" x14ac:dyDescent="0.35">
      <c r="A128" s="2">
        <v>1036</v>
      </c>
      <c r="B128" s="2">
        <v>91172</v>
      </c>
      <c r="C128" s="2">
        <v>30</v>
      </c>
      <c r="D128" s="2">
        <v>0</v>
      </c>
      <c r="E128" s="25">
        <f t="shared" si="0"/>
        <v>1615.9763405742542</v>
      </c>
    </row>
    <row r="129" spans="1:5" x14ac:dyDescent="0.35">
      <c r="A129" s="2">
        <v>2068</v>
      </c>
      <c r="B129" s="2">
        <v>94642</v>
      </c>
      <c r="C129" s="2">
        <v>69</v>
      </c>
      <c r="D129" s="2">
        <v>0</v>
      </c>
      <c r="E129" s="25">
        <f t="shared" si="0"/>
        <v>1615.1042419567063</v>
      </c>
    </row>
    <row r="130" spans="1:5" x14ac:dyDescent="0.35">
      <c r="A130" s="3">
        <v>2130</v>
      </c>
      <c r="B130" s="3">
        <v>94384</v>
      </c>
      <c r="C130" s="3">
        <v>67</v>
      </c>
      <c r="D130" s="3">
        <v>0</v>
      </c>
      <c r="E130" s="25">
        <f t="shared" si="0"/>
        <v>1613.5168179333693</v>
      </c>
    </row>
    <row r="131" spans="1:5" x14ac:dyDescent="0.35">
      <c r="A131" s="2">
        <v>2066</v>
      </c>
      <c r="B131" s="2">
        <v>92163</v>
      </c>
      <c r="C131" s="2">
        <v>45</v>
      </c>
      <c r="D131" s="2">
        <v>0</v>
      </c>
      <c r="E131" s="25">
        <f t="shared" si="0"/>
        <v>1608.6350236214439</v>
      </c>
    </row>
    <row r="132" spans="1:5" x14ac:dyDescent="0.35">
      <c r="A132" s="3">
        <v>2429</v>
      </c>
      <c r="B132" s="3">
        <v>90638</v>
      </c>
      <c r="C132" s="3">
        <v>29</v>
      </c>
      <c r="D132" s="3">
        <v>0</v>
      </c>
      <c r="E132" s="25">
        <f t="shared" si="0"/>
        <v>1606.9251774643067</v>
      </c>
    </row>
    <row r="133" spans="1:5" x14ac:dyDescent="0.35">
      <c r="A133" s="2">
        <v>2429</v>
      </c>
      <c r="B133" s="2">
        <v>90638</v>
      </c>
      <c r="C133" s="2">
        <v>29</v>
      </c>
      <c r="D133" s="2">
        <v>0</v>
      </c>
      <c r="E133" s="25">
        <f t="shared" si="0"/>
        <v>1606.9251774643067</v>
      </c>
    </row>
    <row r="134" spans="1:5" x14ac:dyDescent="0.35">
      <c r="A134" s="3">
        <v>1880</v>
      </c>
      <c r="B134" s="3">
        <v>90273</v>
      </c>
      <c r="C134" s="3">
        <v>29</v>
      </c>
      <c r="D134" s="3">
        <v>0</v>
      </c>
      <c r="E134" s="25">
        <f t="shared" si="0"/>
        <v>1599.4832770917833</v>
      </c>
    </row>
    <row r="135" spans="1:5" x14ac:dyDescent="0.35">
      <c r="A135" s="2">
        <v>1360</v>
      </c>
      <c r="B135" s="2">
        <v>91065</v>
      </c>
      <c r="C135" s="2">
        <v>39</v>
      </c>
      <c r="D135" s="2">
        <v>0</v>
      </c>
      <c r="E135" s="25">
        <f t="shared" si="0"/>
        <v>1597.2667906728088</v>
      </c>
    </row>
    <row r="136" spans="1:5" x14ac:dyDescent="0.35">
      <c r="A136" s="2">
        <v>1605</v>
      </c>
      <c r="B136" s="2">
        <v>90247</v>
      </c>
      <c r="C136" s="2">
        <v>32</v>
      </c>
      <c r="D136" s="2">
        <v>0</v>
      </c>
      <c r="E136" s="25">
        <f t="shared" si="0"/>
        <v>1593.4438518833595</v>
      </c>
    </row>
    <row r="137" spans="1:5" x14ac:dyDescent="0.35">
      <c r="A137" s="2">
        <v>1728</v>
      </c>
      <c r="B137" s="2">
        <v>90687</v>
      </c>
      <c r="C137" s="2">
        <v>37</v>
      </c>
      <c r="D137" s="2">
        <v>0</v>
      </c>
      <c r="E137" s="25">
        <f t="shared" si="0"/>
        <v>1593.2327144722035</v>
      </c>
    </row>
    <row r="138" spans="1:5" x14ac:dyDescent="0.35">
      <c r="A138" s="2">
        <v>1949</v>
      </c>
      <c r="B138" s="2">
        <v>91700</v>
      </c>
      <c r="C138" s="2">
        <v>49</v>
      </c>
      <c r="D138" s="2">
        <v>0</v>
      </c>
      <c r="E138" s="25">
        <f t="shared" si="0"/>
        <v>1591.8492676552419</v>
      </c>
    </row>
    <row r="139" spans="1:5" x14ac:dyDescent="0.35">
      <c r="A139" s="3">
        <v>653</v>
      </c>
      <c r="B139" s="3">
        <v>89891</v>
      </c>
      <c r="C139" s="3">
        <v>29</v>
      </c>
      <c r="D139" s="3">
        <v>0</v>
      </c>
      <c r="E139" s="25">
        <f t="shared" si="0"/>
        <v>1591.6947676608143</v>
      </c>
    </row>
    <row r="140" spans="1:5" x14ac:dyDescent="0.35">
      <c r="A140" s="2">
        <v>1235</v>
      </c>
      <c r="B140" s="2">
        <v>92556</v>
      </c>
      <c r="C140" s="2">
        <v>60</v>
      </c>
      <c r="D140" s="2">
        <v>0</v>
      </c>
      <c r="E140" s="25">
        <f t="shared" si="0"/>
        <v>1589.101223318582</v>
      </c>
    </row>
    <row r="141" spans="1:5" x14ac:dyDescent="0.35">
      <c r="A141" s="3">
        <v>1238</v>
      </c>
      <c r="B141" s="3">
        <v>90000</v>
      </c>
      <c r="C141" s="3">
        <v>36</v>
      </c>
      <c r="D141" s="3">
        <v>0</v>
      </c>
      <c r="E141" s="25">
        <f t="shared" si="0"/>
        <v>1581.0620698362391</v>
      </c>
    </row>
    <row r="142" spans="1:5" x14ac:dyDescent="0.35">
      <c r="A142" s="3">
        <v>1681</v>
      </c>
      <c r="B142" s="3">
        <v>90300</v>
      </c>
      <c r="C142" s="3">
        <v>41</v>
      </c>
      <c r="D142" s="3">
        <v>0</v>
      </c>
      <c r="E142" s="25">
        <f t="shared" si="0"/>
        <v>1577.9965048849376</v>
      </c>
    </row>
    <row r="143" spans="1:5" x14ac:dyDescent="0.35">
      <c r="A143" s="3">
        <v>1629</v>
      </c>
      <c r="B143" s="3">
        <v>89616</v>
      </c>
      <c r="C143" s="3">
        <v>37</v>
      </c>
      <c r="D143" s="3">
        <v>0</v>
      </c>
      <c r="E143" s="25">
        <f t="shared" si="0"/>
        <v>1571.3963437900879</v>
      </c>
    </row>
    <row r="144" spans="1:5" x14ac:dyDescent="0.35">
      <c r="A144" s="3">
        <v>1691</v>
      </c>
      <c r="B144" s="3">
        <v>90765</v>
      </c>
      <c r="C144" s="3">
        <v>50</v>
      </c>
      <c r="D144" s="3">
        <v>0</v>
      </c>
      <c r="E144" s="25">
        <f t="shared" si="0"/>
        <v>1570.9493303618019</v>
      </c>
    </row>
    <row r="145" spans="1:5" x14ac:dyDescent="0.35">
      <c r="A145" s="3">
        <v>2098</v>
      </c>
      <c r="B145" s="3">
        <v>93027</v>
      </c>
      <c r="C145" s="3">
        <v>79</v>
      </c>
      <c r="D145" s="3">
        <v>0</v>
      </c>
      <c r="E145" s="25">
        <f t="shared" si="0"/>
        <v>1563.8119906153672</v>
      </c>
    </row>
    <row r="146" spans="1:5" x14ac:dyDescent="0.35">
      <c r="A146" s="3">
        <v>1780</v>
      </c>
      <c r="B146" s="3">
        <v>92344</v>
      </c>
      <c r="C146" s="3">
        <v>72</v>
      </c>
      <c r="D146" s="3">
        <v>0</v>
      </c>
      <c r="E146" s="25">
        <f t="shared" si="0"/>
        <v>1562.741535525344</v>
      </c>
    </row>
    <row r="147" spans="1:5" x14ac:dyDescent="0.35">
      <c r="A147" s="2">
        <v>1916</v>
      </c>
      <c r="B147" s="2">
        <v>88420</v>
      </c>
      <c r="C147" s="2">
        <v>31</v>
      </c>
      <c r="D147" s="2">
        <v>0</v>
      </c>
      <c r="E147" s="25">
        <f t="shared" si="0"/>
        <v>1558.0300115633504</v>
      </c>
    </row>
    <row r="148" spans="1:5" x14ac:dyDescent="0.35">
      <c r="A148" s="2">
        <v>1649</v>
      </c>
      <c r="B148" s="2">
        <v>91249</v>
      </c>
      <c r="C148" s="2">
        <v>64</v>
      </c>
      <c r="D148" s="2">
        <v>0</v>
      </c>
      <c r="E148" s="25">
        <f t="shared" si="0"/>
        <v>1555.107347038929</v>
      </c>
    </row>
    <row r="149" spans="1:5" x14ac:dyDescent="0.35">
      <c r="A149" s="2">
        <v>2169</v>
      </c>
      <c r="B149" s="2">
        <v>91712</v>
      </c>
      <c r="C149" s="2">
        <v>73</v>
      </c>
      <c r="D149" s="2">
        <v>0</v>
      </c>
      <c r="E149" s="25">
        <f t="shared" si="0"/>
        <v>1548.0193949795059</v>
      </c>
    </row>
    <row r="150" spans="1:5" x14ac:dyDescent="0.35">
      <c r="A150" s="2">
        <v>1606</v>
      </c>
      <c r="B150" s="2">
        <v>90933</v>
      </c>
      <c r="C150" s="2">
        <v>66</v>
      </c>
      <c r="D150" s="2">
        <v>0</v>
      </c>
      <c r="E150" s="25">
        <f t="shared" si="0"/>
        <v>1544.9916181476685</v>
      </c>
    </row>
    <row r="151" spans="1:5" x14ac:dyDescent="0.35">
      <c r="A151" s="2">
        <v>1570</v>
      </c>
      <c r="B151" s="2">
        <v>88325</v>
      </c>
      <c r="C151" s="2">
        <v>39</v>
      </c>
      <c r="D151" s="2">
        <v>0</v>
      </c>
      <c r="E151" s="25">
        <f t="shared" si="0"/>
        <v>1541.4015659585257</v>
      </c>
    </row>
    <row r="152" spans="1:5" x14ac:dyDescent="0.35">
      <c r="A152" s="2">
        <v>2491</v>
      </c>
      <c r="B152" s="2">
        <v>87679</v>
      </c>
      <c r="C152" s="2">
        <v>32</v>
      </c>
      <c r="D152" s="2">
        <v>0</v>
      </c>
      <c r="E152" s="25">
        <f t="shared" si="0"/>
        <v>1541.0854952898271</v>
      </c>
    </row>
    <row r="153" spans="1:5" x14ac:dyDescent="0.35">
      <c r="A153" s="2">
        <v>1995</v>
      </c>
      <c r="B153" s="2">
        <v>89572</v>
      </c>
      <c r="C153" s="2">
        <v>54</v>
      </c>
      <c r="D153" s="2">
        <v>0</v>
      </c>
      <c r="E153" s="25">
        <f t="shared" si="0"/>
        <v>1539.2797736505536</v>
      </c>
    </row>
    <row r="154" spans="1:5" x14ac:dyDescent="0.35">
      <c r="A154" s="2">
        <v>1571</v>
      </c>
      <c r="B154" s="2">
        <v>90369</v>
      </c>
      <c r="C154" s="2">
        <v>64</v>
      </c>
      <c r="D154" s="2">
        <v>0</v>
      </c>
      <c r="E154" s="25">
        <f t="shared" si="0"/>
        <v>1537.1652310722982</v>
      </c>
    </row>
    <row r="155" spans="1:5" x14ac:dyDescent="0.35">
      <c r="A155" s="2">
        <v>912</v>
      </c>
      <c r="B155" s="2">
        <v>87000</v>
      </c>
      <c r="C155" s="2">
        <v>28</v>
      </c>
      <c r="D155" s="2">
        <v>0</v>
      </c>
      <c r="E155" s="25">
        <f t="shared" si="0"/>
        <v>1534.5872780356967</v>
      </c>
    </row>
    <row r="156" spans="1:5" x14ac:dyDescent="0.35">
      <c r="A156" s="2">
        <v>2244</v>
      </c>
      <c r="B156" s="2">
        <v>90226</v>
      </c>
      <c r="C156" s="2">
        <v>64</v>
      </c>
      <c r="D156" s="2">
        <v>0</v>
      </c>
      <c r="E156" s="25">
        <f t="shared" si="0"/>
        <v>1534.2496372277203</v>
      </c>
    </row>
    <row r="157" spans="1:5" x14ac:dyDescent="0.35">
      <c r="A157" s="3">
        <v>1331</v>
      </c>
      <c r="B157" s="3">
        <v>90842</v>
      </c>
      <c r="C157" s="3">
        <v>72</v>
      </c>
      <c r="D157" s="3">
        <v>0</v>
      </c>
      <c r="E157" s="25">
        <f t="shared" si="0"/>
        <v>1532.117605773208</v>
      </c>
    </row>
    <row r="158" spans="1:5" x14ac:dyDescent="0.35">
      <c r="A158" s="3">
        <v>1868</v>
      </c>
      <c r="B158" s="3">
        <v>87188</v>
      </c>
      <c r="C158" s="3">
        <v>37</v>
      </c>
      <c r="D158" s="3">
        <v>0</v>
      </c>
      <c r="E158" s="25">
        <f t="shared" si="0"/>
        <v>1521.8924147367011</v>
      </c>
    </row>
    <row r="159" spans="1:5" x14ac:dyDescent="0.35">
      <c r="A159" s="2">
        <v>1254</v>
      </c>
      <c r="B159" s="2">
        <v>87171</v>
      </c>
      <c r="C159" s="2">
        <v>39</v>
      </c>
      <c r="D159" s="2">
        <v>0</v>
      </c>
      <c r="E159" s="25">
        <f t="shared" si="0"/>
        <v>1517.8729275204664</v>
      </c>
    </row>
    <row r="160" spans="1:5" x14ac:dyDescent="0.35">
      <c r="A160" s="2">
        <v>807</v>
      </c>
      <c r="B160" s="2">
        <v>89058</v>
      </c>
      <c r="C160" s="2">
        <v>60</v>
      </c>
      <c r="D160" s="2">
        <v>0</v>
      </c>
      <c r="E160" s="25">
        <f t="shared" si="0"/>
        <v>1517.7813123512237</v>
      </c>
    </row>
    <row r="161" spans="1:5" x14ac:dyDescent="0.35">
      <c r="A161" s="2">
        <v>1869</v>
      </c>
      <c r="B161" s="2">
        <v>89120</v>
      </c>
      <c r="C161" s="2">
        <v>61</v>
      </c>
      <c r="D161" s="2">
        <v>0</v>
      </c>
      <c r="E161" s="25">
        <f t="shared" si="0"/>
        <v>1517.2089768972512</v>
      </c>
    </row>
    <row r="162" spans="1:5" x14ac:dyDescent="0.35">
      <c r="A162" s="2">
        <v>708</v>
      </c>
      <c r="B162" s="2">
        <v>86037</v>
      </c>
      <c r="C162" s="2">
        <v>29</v>
      </c>
      <c r="D162" s="2">
        <v>0</v>
      </c>
      <c r="E162" s="25">
        <f t="shared" si="0"/>
        <v>1513.1164552342279</v>
      </c>
    </row>
    <row r="163" spans="1:5" x14ac:dyDescent="0.35">
      <c r="A163" s="2">
        <v>726</v>
      </c>
      <c r="B163" s="2">
        <v>86580</v>
      </c>
      <c r="C163" s="2">
        <v>37</v>
      </c>
      <c r="D163" s="2">
        <v>0</v>
      </c>
      <c r="E163" s="25">
        <f t="shared" si="0"/>
        <v>1509.4960437052109</v>
      </c>
    </row>
    <row r="164" spans="1:5" x14ac:dyDescent="0.35">
      <c r="A164" s="3">
        <v>1998</v>
      </c>
      <c r="B164" s="3">
        <v>88347</v>
      </c>
      <c r="C164" s="3">
        <v>59</v>
      </c>
      <c r="D164" s="3">
        <v>0</v>
      </c>
      <c r="E164" s="25">
        <f t="shared" si="0"/>
        <v>1505.1213372798061</v>
      </c>
    </row>
    <row r="165" spans="1:5" x14ac:dyDescent="0.35">
      <c r="A165" s="3">
        <v>1029</v>
      </c>
      <c r="B165" s="3">
        <v>85710</v>
      </c>
      <c r="C165" s="3">
        <v>31</v>
      </c>
      <c r="D165" s="3">
        <v>0</v>
      </c>
      <c r="E165" s="25">
        <f t="shared" si="0"/>
        <v>1502.7764498933843</v>
      </c>
    </row>
    <row r="166" spans="1:5" x14ac:dyDescent="0.35">
      <c r="A166" s="3">
        <v>494</v>
      </c>
      <c r="B166" s="3">
        <v>86836</v>
      </c>
      <c r="C166" s="3">
        <v>45</v>
      </c>
      <c r="D166" s="3">
        <v>0</v>
      </c>
      <c r="E166" s="25">
        <f t="shared" si="0"/>
        <v>1500.0240557188945</v>
      </c>
    </row>
    <row r="167" spans="1:5" x14ac:dyDescent="0.35">
      <c r="A167" s="2">
        <v>1667</v>
      </c>
      <c r="B167" s="2">
        <v>86979</v>
      </c>
      <c r="C167" s="2">
        <v>49</v>
      </c>
      <c r="D167" s="2">
        <v>0</v>
      </c>
      <c r="E167" s="25">
        <f t="shared" si="0"/>
        <v>1495.5938932478953</v>
      </c>
    </row>
    <row r="168" spans="1:5" x14ac:dyDescent="0.35">
      <c r="A168" s="2">
        <v>2074</v>
      </c>
      <c r="B168" s="2">
        <v>86857</v>
      </c>
      <c r="C168" s="2">
        <v>48</v>
      </c>
      <c r="D168" s="2">
        <v>0</v>
      </c>
      <c r="E168" s="25">
        <f t="shared" si="0"/>
        <v>1494.9429026132339</v>
      </c>
    </row>
    <row r="169" spans="1:5" x14ac:dyDescent="0.35">
      <c r="A169" s="2">
        <v>1358</v>
      </c>
      <c r="B169" s="2">
        <v>85738</v>
      </c>
      <c r="C169" s="2">
        <v>42</v>
      </c>
      <c r="D169" s="2">
        <v>0</v>
      </c>
      <c r="E169" s="25">
        <f t="shared" si="0"/>
        <v>1483.1465055335766</v>
      </c>
    </row>
    <row r="170" spans="1:5" x14ac:dyDescent="0.35">
      <c r="A170" s="2">
        <v>1072</v>
      </c>
      <c r="B170" s="2">
        <v>87305</v>
      </c>
      <c r="C170" s="2">
        <v>60</v>
      </c>
      <c r="D170" s="2">
        <v>0</v>
      </c>
      <c r="E170" s="25">
        <f t="shared" si="0"/>
        <v>1482.0398017949692</v>
      </c>
    </row>
    <row r="171" spans="1:5" x14ac:dyDescent="0.35">
      <c r="A171" s="2">
        <v>1059</v>
      </c>
      <c r="B171" s="2">
        <v>87195</v>
      </c>
      <c r="C171" s="2">
        <v>61</v>
      </c>
      <c r="D171" s="2">
        <v>0</v>
      </c>
      <c r="E171" s="25">
        <f t="shared" si="0"/>
        <v>1477.9605982202459</v>
      </c>
    </row>
    <row r="172" spans="1:5" x14ac:dyDescent="0.35">
      <c r="A172" s="3">
        <v>1920</v>
      </c>
      <c r="B172" s="3">
        <v>85844</v>
      </c>
      <c r="C172" s="3">
        <v>47</v>
      </c>
      <c r="D172" s="3">
        <v>0</v>
      </c>
      <c r="E172" s="25">
        <f t="shared" si="0"/>
        <v>1476.1255195623585</v>
      </c>
    </row>
    <row r="173" spans="1:5" x14ac:dyDescent="0.35">
      <c r="A173" s="2">
        <v>1153</v>
      </c>
      <c r="B173" s="2">
        <v>84219</v>
      </c>
      <c r="C173" s="2">
        <v>32</v>
      </c>
      <c r="D173" s="2">
        <v>0</v>
      </c>
      <c r="E173" s="25">
        <f t="shared" si="0"/>
        <v>1470.5403575119367</v>
      </c>
    </row>
    <row r="174" spans="1:5" x14ac:dyDescent="0.35">
      <c r="A174" s="3">
        <v>1182</v>
      </c>
      <c r="B174" s="3">
        <v>85072</v>
      </c>
      <c r="C174" s="3">
        <v>43</v>
      </c>
      <c r="D174" s="3">
        <v>0</v>
      </c>
      <c r="E174" s="25">
        <f t="shared" ref="E174:E237" si="1">$B$101+$B174*$B$102+$C174*$B$103+$D174*$B$104</f>
        <v>1467.7311468708458</v>
      </c>
    </row>
    <row r="175" spans="1:5" x14ac:dyDescent="0.35">
      <c r="A175" s="3">
        <v>1412</v>
      </c>
      <c r="B175" s="3">
        <v>86429</v>
      </c>
      <c r="C175" s="3">
        <v>59</v>
      </c>
      <c r="D175" s="3">
        <v>0</v>
      </c>
      <c r="E175" s="25">
        <f t="shared" si="1"/>
        <v>1466.0156799798078</v>
      </c>
    </row>
    <row r="176" spans="1:5" x14ac:dyDescent="0.35">
      <c r="A176" s="3">
        <v>1503</v>
      </c>
      <c r="B176" s="3">
        <v>83528</v>
      </c>
      <c r="C176" s="3">
        <v>28</v>
      </c>
      <c r="D176" s="3">
        <v>0</v>
      </c>
      <c r="E176" s="25">
        <f t="shared" si="1"/>
        <v>1463.7974750400799</v>
      </c>
    </row>
    <row r="177" spans="1:5" x14ac:dyDescent="0.35">
      <c r="A177" s="2">
        <v>1298</v>
      </c>
      <c r="B177" s="2">
        <v>83257</v>
      </c>
      <c r="C177" s="2">
        <v>25</v>
      </c>
      <c r="D177" s="2">
        <v>0</v>
      </c>
      <c r="E177" s="25">
        <f t="shared" si="1"/>
        <v>1463.7814361097662</v>
      </c>
    </row>
    <row r="178" spans="1:5" x14ac:dyDescent="0.35">
      <c r="A178" s="3">
        <v>1259</v>
      </c>
      <c r="B178" s="3">
        <v>86111</v>
      </c>
      <c r="C178" s="3">
        <v>58</v>
      </c>
      <c r="D178" s="3">
        <v>0</v>
      </c>
      <c r="E178" s="25">
        <f t="shared" si="1"/>
        <v>1461.3684907889424</v>
      </c>
    </row>
    <row r="179" spans="1:5" x14ac:dyDescent="0.35">
      <c r="A179" s="3">
        <v>1098</v>
      </c>
      <c r="B179" s="3">
        <v>86718</v>
      </c>
      <c r="C179" s="3">
        <v>66</v>
      </c>
      <c r="D179" s="3">
        <v>0</v>
      </c>
      <c r="E179" s="25">
        <f t="shared" si="1"/>
        <v>1459.0529604211345</v>
      </c>
    </row>
    <row r="180" spans="1:5" x14ac:dyDescent="0.35">
      <c r="A180" s="3">
        <v>1919</v>
      </c>
      <c r="B180" s="3">
        <v>84169</v>
      </c>
      <c r="C180" s="3">
        <v>38</v>
      </c>
      <c r="D180" s="3">
        <v>0</v>
      </c>
      <c r="E180" s="25">
        <f t="shared" si="1"/>
        <v>1458.5022846313764</v>
      </c>
    </row>
    <row r="181" spans="1:5" x14ac:dyDescent="0.35">
      <c r="A181" s="3">
        <v>1158</v>
      </c>
      <c r="B181" s="3">
        <v>86424</v>
      </c>
      <c r="C181" s="3">
        <v>64</v>
      </c>
      <c r="D181" s="3">
        <v>0</v>
      </c>
      <c r="E181" s="25">
        <f t="shared" si="1"/>
        <v>1456.731540744617</v>
      </c>
    </row>
    <row r="182" spans="1:5" x14ac:dyDescent="0.35">
      <c r="A182" s="3">
        <v>1555</v>
      </c>
      <c r="B182" s="3">
        <v>84906</v>
      </c>
      <c r="C182" s="3">
        <v>48</v>
      </c>
      <c r="D182" s="3">
        <v>0</v>
      </c>
      <c r="E182" s="25">
        <f t="shared" si="1"/>
        <v>1455.164415964487</v>
      </c>
    </row>
    <row r="183" spans="1:5" x14ac:dyDescent="0.35">
      <c r="A183" s="2">
        <v>1554</v>
      </c>
      <c r="B183" s="2">
        <v>85620</v>
      </c>
      <c r="C183" s="2">
        <v>56</v>
      </c>
      <c r="D183" s="2">
        <v>0</v>
      </c>
      <c r="E183" s="25">
        <f t="shared" si="1"/>
        <v>1455.0304837880767</v>
      </c>
    </row>
    <row r="184" spans="1:5" x14ac:dyDescent="0.35">
      <c r="A184" s="3">
        <v>1301</v>
      </c>
      <c r="B184" s="3">
        <v>85696</v>
      </c>
      <c r="C184" s="3">
        <v>58</v>
      </c>
      <c r="D184" s="3">
        <v>0</v>
      </c>
      <c r="E184" s="25">
        <f t="shared" si="1"/>
        <v>1452.9071520092243</v>
      </c>
    </row>
    <row r="185" spans="1:5" x14ac:dyDescent="0.35">
      <c r="A185" s="3">
        <v>2056</v>
      </c>
      <c r="B185" s="3">
        <v>83512</v>
      </c>
      <c r="C185" s="3">
        <v>34</v>
      </c>
      <c r="D185" s="3">
        <v>0</v>
      </c>
      <c r="E185" s="25">
        <f t="shared" si="1"/>
        <v>1452.4526202764118</v>
      </c>
    </row>
    <row r="186" spans="1:5" x14ac:dyDescent="0.35">
      <c r="A186" s="3">
        <v>1550</v>
      </c>
      <c r="B186" s="3">
        <v>86610</v>
      </c>
      <c r="C186" s="3">
        <v>69</v>
      </c>
      <c r="D186" s="3">
        <v>0</v>
      </c>
      <c r="E186" s="25">
        <f t="shared" si="1"/>
        <v>1451.3416562249106</v>
      </c>
    </row>
    <row r="187" spans="1:5" x14ac:dyDescent="0.35">
      <c r="A187" s="2">
        <v>972</v>
      </c>
      <c r="B187" s="2">
        <v>84835</v>
      </c>
      <c r="C187" s="2">
        <v>50</v>
      </c>
      <c r="D187" s="2">
        <v>0</v>
      </c>
      <c r="E187" s="25">
        <f t="shared" si="1"/>
        <v>1450.0439352684816</v>
      </c>
    </row>
    <row r="188" spans="1:5" x14ac:dyDescent="0.35">
      <c r="A188" s="2">
        <v>1329</v>
      </c>
      <c r="B188" s="2">
        <v>85485</v>
      </c>
      <c r="C188" s="2">
        <v>62</v>
      </c>
      <c r="D188" s="2">
        <v>0</v>
      </c>
      <c r="E188" s="25">
        <f t="shared" si="1"/>
        <v>1441.2593656152847</v>
      </c>
    </row>
    <row r="189" spans="1:5" x14ac:dyDescent="0.35">
      <c r="A189" s="3">
        <v>1835</v>
      </c>
      <c r="B189" s="3">
        <v>83829</v>
      </c>
      <c r="C189" s="3">
        <v>45</v>
      </c>
      <c r="D189" s="3">
        <v>0</v>
      </c>
      <c r="E189" s="25">
        <f t="shared" si="1"/>
        <v>1438.7150299101909</v>
      </c>
    </row>
    <row r="190" spans="1:5" x14ac:dyDescent="0.35">
      <c r="A190" s="2">
        <v>1738</v>
      </c>
      <c r="B190" s="2">
        <v>85683</v>
      </c>
      <c r="C190" s="2">
        <v>66</v>
      </c>
      <c r="D190" s="2">
        <v>0</v>
      </c>
      <c r="E190" s="25">
        <f t="shared" si="1"/>
        <v>1437.9505853921994</v>
      </c>
    </row>
    <row r="191" spans="1:5" x14ac:dyDescent="0.35">
      <c r="A191" s="2">
        <v>1508</v>
      </c>
      <c r="B191" s="2">
        <v>83917</v>
      </c>
      <c r="C191" s="2">
        <v>47</v>
      </c>
      <c r="D191" s="2">
        <v>0</v>
      </c>
      <c r="E191" s="25">
        <f t="shared" si="1"/>
        <v>1436.8363633490653</v>
      </c>
    </row>
    <row r="192" spans="1:5" x14ac:dyDescent="0.35">
      <c r="A192" s="3">
        <v>1672</v>
      </c>
      <c r="B192" s="3">
        <v>84618</v>
      </c>
      <c r="C192" s="3">
        <v>55</v>
      </c>
      <c r="D192" s="3">
        <v>0</v>
      </c>
      <c r="E192" s="25">
        <f t="shared" si="1"/>
        <v>1436.437377186784</v>
      </c>
    </row>
    <row r="193" spans="1:5" x14ac:dyDescent="0.35">
      <c r="A193" s="2">
        <v>1672</v>
      </c>
      <c r="B193" s="2">
        <v>84865</v>
      </c>
      <c r="C193" s="2">
        <v>59</v>
      </c>
      <c r="D193" s="2">
        <v>0</v>
      </c>
      <c r="E193" s="25">
        <f t="shared" si="1"/>
        <v>1434.1276466027502</v>
      </c>
    </row>
    <row r="194" spans="1:5" x14ac:dyDescent="0.35">
      <c r="A194" s="2">
        <v>1285</v>
      </c>
      <c r="B194" s="2">
        <v>82733</v>
      </c>
      <c r="C194" s="2">
        <v>36</v>
      </c>
      <c r="D194" s="2">
        <v>0</v>
      </c>
      <c r="E194" s="25">
        <f t="shared" si="1"/>
        <v>1432.896891734526</v>
      </c>
    </row>
    <row r="195" spans="1:5" x14ac:dyDescent="0.35">
      <c r="A195" s="3">
        <v>1112</v>
      </c>
      <c r="B195" s="3">
        <v>85431</v>
      </c>
      <c r="C195" s="3">
        <v>68</v>
      </c>
      <c r="D195" s="3">
        <v>0</v>
      </c>
      <c r="E195" s="25">
        <f t="shared" si="1"/>
        <v>1429.1397376621483</v>
      </c>
    </row>
    <row r="196" spans="1:5" x14ac:dyDescent="0.35">
      <c r="A196" s="2">
        <v>1805</v>
      </c>
      <c r="B196" s="2">
        <v>82333</v>
      </c>
      <c r="C196" s="2">
        <v>34</v>
      </c>
      <c r="D196" s="2">
        <v>0</v>
      </c>
      <c r="E196" s="25">
        <f t="shared" si="1"/>
        <v>1428.4142626347552</v>
      </c>
    </row>
    <row r="197" spans="1:5" x14ac:dyDescent="0.35">
      <c r="A197" s="2">
        <v>1413</v>
      </c>
      <c r="B197" s="2">
        <v>83443</v>
      </c>
      <c r="C197" s="2">
        <v>48</v>
      </c>
      <c r="D197" s="2">
        <v>0</v>
      </c>
      <c r="E197" s="25">
        <f t="shared" si="1"/>
        <v>1425.335648169963</v>
      </c>
    </row>
    <row r="198" spans="1:5" x14ac:dyDescent="0.35">
      <c r="A198" s="2">
        <v>1719</v>
      </c>
      <c r="B198" s="2">
        <v>83145</v>
      </c>
      <c r="C198" s="2">
        <v>46</v>
      </c>
      <c r="D198" s="2">
        <v>0</v>
      </c>
      <c r="E198" s="25">
        <f t="shared" si="1"/>
        <v>1422.9326734208698</v>
      </c>
    </row>
    <row r="199" spans="1:5" x14ac:dyDescent="0.35">
      <c r="A199" s="2">
        <v>952</v>
      </c>
      <c r="B199" s="2">
        <v>84953</v>
      </c>
      <c r="C199" s="2">
        <v>67</v>
      </c>
      <c r="D199" s="2">
        <v>0</v>
      </c>
      <c r="E199" s="25">
        <f t="shared" si="1"/>
        <v>1421.2303455682588</v>
      </c>
    </row>
    <row r="200" spans="1:5" x14ac:dyDescent="0.35">
      <c r="A200" s="3">
        <v>1716</v>
      </c>
      <c r="B200" s="3">
        <v>82497</v>
      </c>
      <c r="C200" s="3">
        <v>40</v>
      </c>
      <c r="D200" s="3">
        <v>0</v>
      </c>
      <c r="E200" s="25">
        <f t="shared" si="1"/>
        <v>1420.7393861369887</v>
      </c>
    </row>
    <row r="201" spans="1:5" x14ac:dyDescent="0.35">
      <c r="A201" s="3">
        <v>442</v>
      </c>
      <c r="B201" s="3">
        <v>84460</v>
      </c>
      <c r="C201" s="3">
        <v>62</v>
      </c>
      <c r="D201" s="3">
        <v>0</v>
      </c>
      <c r="E201" s="25">
        <f t="shared" si="1"/>
        <v>1420.3608782677882</v>
      </c>
    </row>
    <row r="202" spans="1:5" x14ac:dyDescent="0.35">
      <c r="A202" s="2">
        <v>2136</v>
      </c>
      <c r="B202" s="2">
        <v>83151</v>
      </c>
      <c r="C202" s="2">
        <v>48</v>
      </c>
      <c r="D202" s="2">
        <v>0</v>
      </c>
      <c r="E202" s="25">
        <f t="shared" si="1"/>
        <v>1419.3821278719447</v>
      </c>
    </row>
    <row r="203" spans="1:5" x14ac:dyDescent="0.35">
      <c r="A203" s="3">
        <v>1376</v>
      </c>
      <c r="B203" s="3">
        <v>82582</v>
      </c>
      <c r="C203" s="3">
        <v>43</v>
      </c>
      <c r="D203" s="3">
        <v>0</v>
      </c>
      <c r="E203" s="25">
        <f t="shared" si="1"/>
        <v>1416.9631141925374</v>
      </c>
    </row>
    <row r="204" spans="1:5" x14ac:dyDescent="0.35">
      <c r="A204" s="2">
        <v>1089</v>
      </c>
      <c r="B204" s="2">
        <v>82025</v>
      </c>
      <c r="C204" s="2">
        <v>37</v>
      </c>
      <c r="D204" s="2">
        <v>0</v>
      </c>
      <c r="E204" s="25">
        <f t="shared" si="1"/>
        <v>1416.6252048097513</v>
      </c>
    </row>
    <row r="205" spans="1:5" x14ac:dyDescent="0.35">
      <c r="A205" s="3">
        <v>918</v>
      </c>
      <c r="B205" s="3">
        <v>83715</v>
      </c>
      <c r="C205" s="3">
        <v>58</v>
      </c>
      <c r="D205" s="3">
        <v>0</v>
      </c>
      <c r="E205" s="25">
        <f t="shared" si="1"/>
        <v>1412.5170023161609</v>
      </c>
    </row>
    <row r="206" spans="1:5" x14ac:dyDescent="0.35">
      <c r="A206" s="3">
        <v>2074</v>
      </c>
      <c r="B206" s="3">
        <v>82326</v>
      </c>
      <c r="C206" s="3">
        <v>43</v>
      </c>
      <c r="D206" s="3">
        <v>0</v>
      </c>
      <c r="E206" s="25">
        <f t="shared" si="1"/>
        <v>1411.7435895476992</v>
      </c>
    </row>
    <row r="207" spans="1:5" x14ac:dyDescent="0.35">
      <c r="A207" s="2">
        <v>1212</v>
      </c>
      <c r="B207" s="2">
        <v>84574</v>
      </c>
      <c r="C207" s="2">
        <v>68</v>
      </c>
      <c r="D207" s="2">
        <v>0</v>
      </c>
      <c r="E207" s="25">
        <f t="shared" si="1"/>
        <v>1411.666563362827</v>
      </c>
    </row>
    <row r="208" spans="1:5" x14ac:dyDescent="0.35">
      <c r="A208" s="2">
        <v>1367</v>
      </c>
      <c r="B208" s="2">
        <v>82584</v>
      </c>
      <c r="C208" s="2">
        <v>46</v>
      </c>
      <c r="D208" s="2">
        <v>0</v>
      </c>
      <c r="E208" s="25">
        <f t="shared" si="1"/>
        <v>1411.4945744921424</v>
      </c>
    </row>
    <row r="209" spans="1:5" x14ac:dyDescent="0.35">
      <c r="A209" s="3">
        <v>1073</v>
      </c>
      <c r="B209" s="3">
        <v>81217</v>
      </c>
      <c r="C209" s="3">
        <v>31</v>
      </c>
      <c r="D209" s="3">
        <v>0</v>
      </c>
      <c r="E209" s="25">
        <f t="shared" si="1"/>
        <v>1411.1697146228466</v>
      </c>
    </row>
    <row r="210" spans="1:5" x14ac:dyDescent="0.35">
      <c r="A210" s="2">
        <v>702</v>
      </c>
      <c r="B210" s="2">
        <v>81361</v>
      </c>
      <c r="C210" s="2">
        <v>33</v>
      </c>
      <c r="D210" s="2">
        <v>0</v>
      </c>
      <c r="E210" s="25">
        <f t="shared" si="1"/>
        <v>1410.4328190777796</v>
      </c>
    </row>
    <row r="211" spans="1:5" x14ac:dyDescent="0.35">
      <c r="A211" s="3">
        <v>702</v>
      </c>
      <c r="B211" s="3">
        <v>81361</v>
      </c>
      <c r="C211" s="3">
        <v>33</v>
      </c>
      <c r="D211" s="3">
        <v>0</v>
      </c>
      <c r="E211" s="25">
        <f t="shared" si="1"/>
        <v>1410.4328190777796</v>
      </c>
    </row>
    <row r="212" spans="1:5" x14ac:dyDescent="0.35">
      <c r="A212" s="3">
        <v>1871</v>
      </c>
      <c r="B212" s="3">
        <v>82170</v>
      </c>
      <c r="C212" s="3">
        <v>42</v>
      </c>
      <c r="D212" s="3">
        <v>0</v>
      </c>
      <c r="E212" s="25">
        <f t="shared" si="1"/>
        <v>1410.3993807961451</v>
      </c>
    </row>
    <row r="213" spans="1:5" x14ac:dyDescent="0.35">
      <c r="A213" s="3">
        <v>1059</v>
      </c>
      <c r="B213" s="3">
        <v>81698</v>
      </c>
      <c r="C213" s="3">
        <v>37</v>
      </c>
      <c r="D213" s="3">
        <v>0</v>
      </c>
      <c r="E213" s="25">
        <f t="shared" si="1"/>
        <v>1409.9580776266966</v>
      </c>
    </row>
    <row r="214" spans="1:5" x14ac:dyDescent="0.35">
      <c r="A214" s="3">
        <v>1403</v>
      </c>
      <c r="B214" s="3">
        <v>80617</v>
      </c>
      <c r="C214" s="3">
        <v>25</v>
      </c>
      <c r="D214" s="3">
        <v>0</v>
      </c>
      <c r="E214" s="25">
        <f t="shared" si="1"/>
        <v>1409.9550882098729</v>
      </c>
    </row>
    <row r="215" spans="1:5" x14ac:dyDescent="0.35">
      <c r="A215" s="3">
        <v>1540</v>
      </c>
      <c r="B215" s="3">
        <v>84117</v>
      </c>
      <c r="C215" s="3">
        <v>64</v>
      </c>
      <c r="D215" s="3">
        <v>0</v>
      </c>
      <c r="E215" s="25">
        <f t="shared" si="1"/>
        <v>1409.6946526366421</v>
      </c>
    </row>
    <row r="216" spans="1:5" x14ac:dyDescent="0.35">
      <c r="A216" s="3">
        <v>950</v>
      </c>
      <c r="B216" s="3">
        <v>80685</v>
      </c>
      <c r="C216" s="3">
        <v>26</v>
      </c>
      <c r="D216" s="3">
        <v>0</v>
      </c>
      <c r="E216" s="25">
        <f t="shared" si="1"/>
        <v>1409.505085364764</v>
      </c>
    </row>
    <row r="217" spans="1:5" x14ac:dyDescent="0.35">
      <c r="A217" s="3">
        <v>1534</v>
      </c>
      <c r="B217" s="3">
        <v>81741</v>
      </c>
      <c r="C217" s="3">
        <v>40</v>
      </c>
      <c r="D217" s="3">
        <v>0</v>
      </c>
      <c r="E217" s="25">
        <f t="shared" si="1"/>
        <v>1405.3254774202014</v>
      </c>
    </row>
    <row r="218" spans="1:5" x14ac:dyDescent="0.35">
      <c r="A218" s="3">
        <v>1446</v>
      </c>
      <c r="B218" s="3">
        <v>81702</v>
      </c>
      <c r="C218" s="3">
        <v>40</v>
      </c>
      <c r="D218" s="3">
        <v>0</v>
      </c>
      <c r="E218" s="25">
        <f t="shared" si="1"/>
        <v>1404.530315462589</v>
      </c>
    </row>
    <row r="219" spans="1:5" x14ac:dyDescent="0.35">
      <c r="A219" s="2">
        <v>1552</v>
      </c>
      <c r="B219" s="2">
        <v>83003</v>
      </c>
      <c r="C219" s="2">
        <v>55</v>
      </c>
      <c r="D219" s="2">
        <v>0</v>
      </c>
      <c r="E219" s="25">
        <f t="shared" si="1"/>
        <v>1403.5095166343876</v>
      </c>
    </row>
    <row r="220" spans="1:5" x14ac:dyDescent="0.35">
      <c r="A220" s="2">
        <v>715</v>
      </c>
      <c r="B220" s="2">
        <v>80910</v>
      </c>
      <c r="C220" s="2">
        <v>34</v>
      </c>
      <c r="D220" s="2">
        <v>0</v>
      </c>
      <c r="E220" s="25">
        <f t="shared" si="1"/>
        <v>1399.4010455659868</v>
      </c>
    </row>
    <row r="221" spans="1:5" x14ac:dyDescent="0.35">
      <c r="A221" s="2">
        <v>1352</v>
      </c>
      <c r="B221" s="2">
        <v>80134</v>
      </c>
      <c r="C221" s="2">
        <v>26</v>
      </c>
      <c r="D221" s="2">
        <v>0</v>
      </c>
      <c r="E221" s="25">
        <f t="shared" si="1"/>
        <v>1398.2708741174756</v>
      </c>
    </row>
    <row r="222" spans="1:5" x14ac:dyDescent="0.35">
      <c r="A222" s="2">
        <v>729</v>
      </c>
      <c r="B222" s="2">
        <v>83151</v>
      </c>
      <c r="C222" s="2">
        <v>60</v>
      </c>
      <c r="D222" s="2">
        <v>0</v>
      </c>
      <c r="E222" s="25">
        <f t="shared" si="1"/>
        <v>1397.3448589252134</v>
      </c>
    </row>
    <row r="223" spans="1:5" x14ac:dyDescent="0.35">
      <c r="A223" s="2">
        <v>1383</v>
      </c>
      <c r="B223" s="2">
        <v>83844</v>
      </c>
      <c r="C223" s="2">
        <v>68</v>
      </c>
      <c r="D223" s="2">
        <v>0</v>
      </c>
      <c r="E223" s="25">
        <f t="shared" si="1"/>
        <v>1396.7827626177807</v>
      </c>
    </row>
    <row r="224" spans="1:5" x14ac:dyDescent="0.35">
      <c r="A224" s="3">
        <v>1889</v>
      </c>
      <c r="B224" s="3">
        <v>82072</v>
      </c>
      <c r="C224" s="3">
        <v>50</v>
      </c>
      <c r="D224" s="3">
        <v>0</v>
      </c>
      <c r="E224" s="25">
        <f t="shared" si="1"/>
        <v>1393.7097688868889</v>
      </c>
    </row>
    <row r="225" spans="1:5" x14ac:dyDescent="0.35">
      <c r="A225" s="2">
        <v>1349</v>
      </c>
      <c r="B225" s="2">
        <v>82427</v>
      </c>
      <c r="C225" s="2">
        <v>54</v>
      </c>
      <c r="D225" s="2">
        <v>0</v>
      </c>
      <c r="E225" s="25">
        <f t="shared" si="1"/>
        <v>1393.6020252623962</v>
      </c>
    </row>
    <row r="226" spans="1:5" x14ac:dyDescent="0.35">
      <c r="A226" s="2">
        <v>1207</v>
      </c>
      <c r="B226" s="2">
        <v>83837</v>
      </c>
      <c r="C226" s="2">
        <v>72</v>
      </c>
      <c r="D226" s="2">
        <v>0</v>
      </c>
      <c r="E226" s="25">
        <f t="shared" si="1"/>
        <v>1389.2942849251965</v>
      </c>
    </row>
    <row r="227" spans="1:5" x14ac:dyDescent="0.35">
      <c r="A227" s="2">
        <v>1607</v>
      </c>
      <c r="B227" s="2">
        <v>82571</v>
      </c>
      <c r="C227" s="2">
        <v>58</v>
      </c>
      <c r="D227" s="2">
        <v>0</v>
      </c>
      <c r="E227" s="25">
        <f t="shared" si="1"/>
        <v>1389.1922515595406</v>
      </c>
    </row>
    <row r="228" spans="1:5" x14ac:dyDescent="0.35">
      <c r="A228" s="3">
        <v>1599</v>
      </c>
      <c r="B228" s="3">
        <v>83790</v>
      </c>
      <c r="C228" s="3">
        <v>72</v>
      </c>
      <c r="D228" s="3">
        <v>0</v>
      </c>
      <c r="E228" s="25">
        <f t="shared" si="1"/>
        <v>1388.3360128224333</v>
      </c>
    </row>
    <row r="229" spans="1:5" x14ac:dyDescent="0.35">
      <c r="A229" s="2">
        <v>862</v>
      </c>
      <c r="B229" s="2">
        <v>82224</v>
      </c>
      <c r="C229" s="2">
        <v>56</v>
      </c>
      <c r="D229" s="2">
        <v>0</v>
      </c>
      <c r="E229" s="25">
        <f t="shared" si="1"/>
        <v>1385.7902271713961</v>
      </c>
    </row>
    <row r="230" spans="1:5" x14ac:dyDescent="0.35">
      <c r="A230" s="3">
        <v>2062</v>
      </c>
      <c r="B230" s="3">
        <v>81169</v>
      </c>
      <c r="C230" s="3">
        <v>45</v>
      </c>
      <c r="D230" s="3">
        <v>0</v>
      </c>
      <c r="E230" s="25">
        <f t="shared" si="1"/>
        <v>1384.4809066474199</v>
      </c>
    </row>
    <row r="231" spans="1:5" x14ac:dyDescent="0.35">
      <c r="A231" s="3">
        <v>1012</v>
      </c>
      <c r="B231" s="3">
        <v>82504</v>
      </c>
      <c r="C231" s="3">
        <v>60</v>
      </c>
      <c r="D231" s="3">
        <v>0</v>
      </c>
      <c r="E231" s="25">
        <f t="shared" si="1"/>
        <v>1384.1533259361108</v>
      </c>
    </row>
    <row r="232" spans="1:5" x14ac:dyDescent="0.35">
      <c r="A232" s="3">
        <v>1892</v>
      </c>
      <c r="B232" s="3">
        <v>82576</v>
      </c>
      <c r="C232" s="3">
        <v>61</v>
      </c>
      <c r="D232" s="3">
        <v>0</v>
      </c>
      <c r="E232" s="25">
        <f t="shared" si="1"/>
        <v>1383.7848781635769</v>
      </c>
    </row>
    <row r="233" spans="1:5" x14ac:dyDescent="0.35">
      <c r="A233" s="2">
        <v>2051</v>
      </c>
      <c r="B233" s="2">
        <v>80141</v>
      </c>
      <c r="C233" s="2">
        <v>34</v>
      </c>
      <c r="D233" s="2">
        <v>0</v>
      </c>
      <c r="E233" s="25">
        <f t="shared" si="1"/>
        <v>1383.7220828633285</v>
      </c>
    </row>
    <row r="234" spans="1:5" x14ac:dyDescent="0.35">
      <c r="A234" s="3">
        <v>1047</v>
      </c>
      <c r="B234" s="3">
        <v>81657</v>
      </c>
      <c r="C234" s="3">
        <v>51</v>
      </c>
      <c r="D234" s="3">
        <v>0</v>
      </c>
      <c r="E234" s="25">
        <f t="shared" si="1"/>
        <v>1383.4119910282766</v>
      </c>
    </row>
    <row r="235" spans="1:5" x14ac:dyDescent="0.35">
      <c r="A235" s="2">
        <v>1987</v>
      </c>
      <c r="B235" s="2">
        <v>82332</v>
      </c>
      <c r="C235" s="2">
        <v>59</v>
      </c>
      <c r="D235" s="2">
        <v>0</v>
      </c>
      <c r="E235" s="25">
        <f t="shared" si="1"/>
        <v>1382.4828968942543</v>
      </c>
    </row>
    <row r="236" spans="1:5" x14ac:dyDescent="0.35">
      <c r="A236" s="3">
        <v>1282</v>
      </c>
      <c r="B236" s="3">
        <v>82122</v>
      </c>
      <c r="C236" s="3">
        <v>58</v>
      </c>
      <c r="D236" s="3">
        <v>0</v>
      </c>
      <c r="E236" s="25">
        <f t="shared" si="1"/>
        <v>1380.0376946629299</v>
      </c>
    </row>
    <row r="237" spans="1:5" x14ac:dyDescent="0.35">
      <c r="A237" s="2">
        <v>971</v>
      </c>
      <c r="B237" s="2">
        <v>79244</v>
      </c>
      <c r="C237" s="2">
        <v>27</v>
      </c>
      <c r="D237" s="2">
        <v>0</v>
      </c>
      <c r="E237" s="25">
        <f t="shared" si="1"/>
        <v>1378.2884313905115</v>
      </c>
    </row>
    <row r="238" spans="1:5" x14ac:dyDescent="0.35">
      <c r="A238" s="2">
        <v>1879</v>
      </c>
      <c r="B238" s="2">
        <v>81205</v>
      </c>
      <c r="C238" s="2">
        <v>50</v>
      </c>
      <c r="D238" s="2">
        <v>0</v>
      </c>
      <c r="E238" s="25">
        <f t="shared" ref="E238:E301" si="2">$B$101+$B238*$B$102+$C238*$B$103+$D238*$B$104</f>
        <v>1376.0327069061286</v>
      </c>
    </row>
    <row r="239" spans="1:5" x14ac:dyDescent="0.35">
      <c r="A239" s="3">
        <v>1480</v>
      </c>
      <c r="B239" s="3">
        <v>82014</v>
      </c>
      <c r="C239" s="3">
        <v>59</v>
      </c>
      <c r="D239" s="3">
        <v>0</v>
      </c>
      <c r="E239" s="25">
        <f t="shared" si="2"/>
        <v>1375.9992686244946</v>
      </c>
    </row>
    <row r="240" spans="1:5" x14ac:dyDescent="0.35">
      <c r="A240" s="2">
        <v>1790</v>
      </c>
      <c r="B240" s="2">
        <v>82347</v>
      </c>
      <c r="C240" s="2">
        <v>63</v>
      </c>
      <c r="D240" s="2">
        <v>0</v>
      </c>
      <c r="E240" s="25">
        <f t="shared" si="2"/>
        <v>1375.4429721008353</v>
      </c>
    </row>
    <row r="241" spans="1:5" x14ac:dyDescent="0.35">
      <c r="A241" s="3">
        <v>1790</v>
      </c>
      <c r="B241" s="3">
        <v>82347</v>
      </c>
      <c r="C241" s="3">
        <v>63</v>
      </c>
      <c r="D241" s="3">
        <v>0</v>
      </c>
      <c r="E241" s="25">
        <f t="shared" si="2"/>
        <v>1375.4429721008353</v>
      </c>
    </row>
    <row r="242" spans="1:5" x14ac:dyDescent="0.35">
      <c r="A242" s="2">
        <v>1790</v>
      </c>
      <c r="B242" s="2">
        <v>81380</v>
      </c>
      <c r="C242" s="2">
        <v>53</v>
      </c>
      <c r="D242" s="2">
        <v>0</v>
      </c>
      <c r="E242" s="25">
        <f t="shared" si="2"/>
        <v>1374.0914240946281</v>
      </c>
    </row>
    <row r="243" spans="1:5" x14ac:dyDescent="0.35">
      <c r="A243" s="3">
        <v>1767</v>
      </c>
      <c r="B243" s="3">
        <v>82384</v>
      </c>
      <c r="C243" s="3">
        <v>65</v>
      </c>
      <c r="D243" s="3">
        <v>0</v>
      </c>
      <c r="E243" s="25">
        <f t="shared" si="2"/>
        <v>1372.5244783643714</v>
      </c>
    </row>
    <row r="244" spans="1:5" x14ac:dyDescent="0.35">
      <c r="A244" s="3">
        <v>767</v>
      </c>
      <c r="B244" s="3">
        <v>82623</v>
      </c>
      <c r="C244" s="3">
        <v>68</v>
      </c>
      <c r="D244" s="3">
        <v>0</v>
      </c>
      <c r="E244" s="25">
        <f t="shared" si="2"/>
        <v>1371.8880767140802</v>
      </c>
    </row>
    <row r="245" spans="1:5" x14ac:dyDescent="0.35">
      <c r="A245" s="3">
        <v>1661</v>
      </c>
      <c r="B245" s="3">
        <v>79908</v>
      </c>
      <c r="C245" s="3">
        <v>38</v>
      </c>
      <c r="D245" s="3">
        <v>0</v>
      </c>
      <c r="E245" s="25">
        <f t="shared" si="2"/>
        <v>1371.6257435702232</v>
      </c>
    </row>
    <row r="246" spans="1:5" x14ac:dyDescent="0.35">
      <c r="A246" s="3">
        <v>1441</v>
      </c>
      <c r="B246" s="3">
        <v>79529</v>
      </c>
      <c r="C246" s="3">
        <v>34</v>
      </c>
      <c r="D246" s="3">
        <v>0</v>
      </c>
      <c r="E246" s="25">
        <f t="shared" si="2"/>
        <v>1371.2441567592628</v>
      </c>
    </row>
    <row r="247" spans="1:5" x14ac:dyDescent="0.35">
      <c r="A247" s="2">
        <v>1505</v>
      </c>
      <c r="B247" s="2">
        <v>81843</v>
      </c>
      <c r="C247" s="2">
        <v>60</v>
      </c>
      <c r="D247" s="2">
        <v>0</v>
      </c>
      <c r="E247" s="25">
        <f t="shared" si="2"/>
        <v>1370.6763501929936</v>
      </c>
    </row>
    <row r="248" spans="1:5" x14ac:dyDescent="0.35">
      <c r="A248" s="2">
        <v>1707</v>
      </c>
      <c r="B248" s="2">
        <v>79607</v>
      </c>
      <c r="C248" s="2">
        <v>36</v>
      </c>
      <c r="D248" s="2">
        <v>0</v>
      </c>
      <c r="E248" s="25">
        <f t="shared" si="2"/>
        <v>1369.1616025166982</v>
      </c>
    </row>
    <row r="249" spans="1:5" x14ac:dyDescent="0.35">
      <c r="A249" s="2">
        <v>1713</v>
      </c>
      <c r="B249" s="2">
        <v>80952</v>
      </c>
      <c r="C249" s="2">
        <v>51</v>
      </c>
      <c r="D249" s="2">
        <v>0</v>
      </c>
      <c r="E249" s="25">
        <f t="shared" si="2"/>
        <v>1369.0379094868281</v>
      </c>
    </row>
    <row r="250" spans="1:5" x14ac:dyDescent="0.35">
      <c r="A250" s="3">
        <v>706</v>
      </c>
      <c r="B250" s="3">
        <v>82017</v>
      </c>
      <c r="C250" s="3">
        <v>63</v>
      </c>
      <c r="D250" s="3">
        <v>0</v>
      </c>
      <c r="E250" s="25">
        <f t="shared" si="2"/>
        <v>1368.7146786133487</v>
      </c>
    </row>
    <row r="251" spans="1:5" x14ac:dyDescent="0.35">
      <c r="A251" s="2">
        <v>1171</v>
      </c>
      <c r="B251" s="2">
        <v>81168</v>
      </c>
      <c r="C251" s="2">
        <v>55</v>
      </c>
      <c r="D251" s="2">
        <v>0</v>
      </c>
      <c r="E251" s="25">
        <f t="shared" si="2"/>
        <v>1366.0961270903331</v>
      </c>
    </row>
    <row r="252" spans="1:5" x14ac:dyDescent="0.35">
      <c r="A252" s="2">
        <v>1342</v>
      </c>
      <c r="B252" s="2">
        <v>81246</v>
      </c>
      <c r="C252" s="2">
        <v>56</v>
      </c>
      <c r="D252" s="2">
        <v>0</v>
      </c>
      <c r="E252" s="25">
        <f t="shared" si="2"/>
        <v>1365.8500119266628</v>
      </c>
    </row>
    <row r="253" spans="1:5" x14ac:dyDescent="0.35">
      <c r="A253" s="2">
        <v>1549</v>
      </c>
      <c r="B253" s="2">
        <v>80573</v>
      </c>
      <c r="C253" s="2">
        <v>49</v>
      </c>
      <c r="D253" s="2">
        <v>0</v>
      </c>
      <c r="E253" s="25">
        <f t="shared" si="2"/>
        <v>1364.9834445180791</v>
      </c>
    </row>
    <row r="254" spans="1:5" x14ac:dyDescent="0.35">
      <c r="A254" s="2">
        <v>959</v>
      </c>
      <c r="B254" s="2">
        <v>82460</v>
      </c>
      <c r="C254" s="2">
        <v>70</v>
      </c>
      <c r="D254" s="2">
        <v>0</v>
      </c>
      <c r="E254" s="25">
        <f t="shared" si="2"/>
        <v>1364.8918293488362</v>
      </c>
    </row>
    <row r="255" spans="1:5" x14ac:dyDescent="0.35">
      <c r="A255" s="2">
        <v>1270</v>
      </c>
      <c r="B255" s="2">
        <v>82800</v>
      </c>
      <c r="C255" s="2">
        <v>74</v>
      </c>
      <c r="D255" s="2">
        <v>0</v>
      </c>
      <c r="E255" s="25">
        <f t="shared" si="2"/>
        <v>1364.4782542021846</v>
      </c>
    </row>
    <row r="256" spans="1:5" x14ac:dyDescent="0.35">
      <c r="A256" s="3">
        <v>1487</v>
      </c>
      <c r="B256" s="3">
        <v>81051</v>
      </c>
      <c r="C256" s="3">
        <v>55</v>
      </c>
      <c r="D256" s="3">
        <v>0</v>
      </c>
      <c r="E256" s="25">
        <f t="shared" si="2"/>
        <v>1363.7106412174971</v>
      </c>
    </row>
    <row r="257" spans="1:5" x14ac:dyDescent="0.35">
      <c r="A257" s="2">
        <v>1259</v>
      </c>
      <c r="B257" s="2">
        <v>80144</v>
      </c>
      <c r="C257" s="2">
        <v>45</v>
      </c>
      <c r="D257" s="2">
        <v>0</v>
      </c>
      <c r="E257" s="25">
        <f t="shared" si="2"/>
        <v>1363.5824192999235</v>
      </c>
    </row>
    <row r="258" spans="1:5" x14ac:dyDescent="0.35">
      <c r="A258" s="3">
        <v>934</v>
      </c>
      <c r="B258" s="3">
        <v>94871</v>
      </c>
      <c r="C258" s="3">
        <v>51</v>
      </c>
      <c r="D258" s="3">
        <v>1</v>
      </c>
      <c r="E258" s="25">
        <f t="shared" si="2"/>
        <v>1363.2155422087412</v>
      </c>
    </row>
    <row r="259" spans="1:5" x14ac:dyDescent="0.35">
      <c r="A259" s="2">
        <v>2157</v>
      </c>
      <c r="B259" s="2">
        <v>82657</v>
      </c>
      <c r="C259" s="2">
        <v>74</v>
      </c>
      <c r="D259" s="2">
        <v>0</v>
      </c>
      <c r="E259" s="25">
        <f t="shared" si="2"/>
        <v>1361.5626603576072</v>
      </c>
    </row>
    <row r="260" spans="1:5" x14ac:dyDescent="0.35">
      <c r="A260" s="2">
        <v>810</v>
      </c>
      <c r="B260" s="2">
        <v>79941</v>
      </c>
      <c r="C260" s="2">
        <v>44</v>
      </c>
      <c r="D260" s="2">
        <v>0</v>
      </c>
      <c r="E260" s="25">
        <f t="shared" si="2"/>
        <v>1361.2799384456061</v>
      </c>
    </row>
    <row r="261" spans="1:5" x14ac:dyDescent="0.35">
      <c r="A261" s="2">
        <v>1145</v>
      </c>
      <c r="B261" s="2">
        <v>82716</v>
      </c>
      <c r="C261" s="2">
        <v>76</v>
      </c>
      <c r="D261" s="2">
        <v>0</v>
      </c>
      <c r="E261" s="25">
        <f t="shared" si="2"/>
        <v>1359.0927195203087</v>
      </c>
    </row>
    <row r="262" spans="1:5" x14ac:dyDescent="0.35">
      <c r="A262" s="3">
        <v>986</v>
      </c>
      <c r="B262" s="3">
        <v>80336</v>
      </c>
      <c r="C262" s="3">
        <v>50</v>
      </c>
      <c r="D262" s="3">
        <v>0</v>
      </c>
      <c r="E262" s="25">
        <f t="shared" si="2"/>
        <v>1358.3148673890805</v>
      </c>
    </row>
    <row r="263" spans="1:5" x14ac:dyDescent="0.35">
      <c r="A263" s="2">
        <v>871</v>
      </c>
      <c r="B263" s="2">
        <v>81320</v>
      </c>
      <c r="C263" s="2">
        <v>62</v>
      </c>
      <c r="D263" s="2">
        <v>0</v>
      </c>
      <c r="E263" s="25">
        <f t="shared" si="2"/>
        <v>1356.3401462959457</v>
      </c>
    </row>
    <row r="264" spans="1:5" x14ac:dyDescent="0.35">
      <c r="A264" s="3">
        <v>1194</v>
      </c>
      <c r="B264" s="3">
        <v>79689</v>
      </c>
      <c r="C264" s="3">
        <v>44</v>
      </c>
      <c r="D264" s="3">
        <v>0</v>
      </c>
      <c r="E264" s="25">
        <f t="shared" si="2"/>
        <v>1356.1419688733436</v>
      </c>
    </row>
    <row r="265" spans="1:5" x14ac:dyDescent="0.35">
      <c r="A265" s="3">
        <v>1294</v>
      </c>
      <c r="B265" s="3">
        <v>81795</v>
      </c>
      <c r="C265" s="3">
        <v>68</v>
      </c>
      <c r="D265" s="3">
        <v>0</v>
      </c>
      <c r="E265" s="25">
        <f t="shared" si="2"/>
        <v>1355.0061766909319</v>
      </c>
    </row>
    <row r="266" spans="1:5" x14ac:dyDescent="0.35">
      <c r="A266" s="2">
        <v>1150</v>
      </c>
      <c r="B266" s="2">
        <v>80950</v>
      </c>
      <c r="C266" s="2">
        <v>59</v>
      </c>
      <c r="D266" s="2">
        <v>0</v>
      </c>
      <c r="E266" s="25">
        <f t="shared" si="2"/>
        <v>1354.3056193193861</v>
      </c>
    </row>
    <row r="267" spans="1:5" x14ac:dyDescent="0.35">
      <c r="A267" s="3">
        <v>1736</v>
      </c>
      <c r="B267" s="3">
        <v>79930</v>
      </c>
      <c r="C267" s="3">
        <v>48</v>
      </c>
      <c r="D267" s="3">
        <v>0</v>
      </c>
      <c r="E267" s="25">
        <f t="shared" si="2"/>
        <v>1353.7099056804464</v>
      </c>
    </row>
    <row r="268" spans="1:5" x14ac:dyDescent="0.35">
      <c r="A268" s="2">
        <v>1900</v>
      </c>
      <c r="B268" s="2">
        <v>80695</v>
      </c>
      <c r="C268" s="2">
        <v>57</v>
      </c>
      <c r="D268" s="2">
        <v>0</v>
      </c>
      <c r="E268" s="25">
        <f t="shared" si="2"/>
        <v>1352.7793616004806</v>
      </c>
    </row>
    <row r="269" spans="1:5" x14ac:dyDescent="0.35">
      <c r="A269" s="2">
        <v>1177</v>
      </c>
      <c r="B269" s="2">
        <v>82032</v>
      </c>
      <c r="C269" s="2">
        <v>72</v>
      </c>
      <c r="D269" s="2">
        <v>0</v>
      </c>
      <c r="E269" s="25">
        <f t="shared" si="2"/>
        <v>1352.492558425459</v>
      </c>
    </row>
    <row r="270" spans="1:5" x14ac:dyDescent="0.35">
      <c r="A270" s="3">
        <v>1571</v>
      </c>
      <c r="B270" s="3">
        <v>80398</v>
      </c>
      <c r="C270" s="3">
        <v>54</v>
      </c>
      <c r="D270" s="3">
        <v>0</v>
      </c>
      <c r="E270" s="25">
        <f t="shared" si="2"/>
        <v>1352.2332146984254</v>
      </c>
    </row>
    <row r="271" spans="1:5" x14ac:dyDescent="0.35">
      <c r="A271" s="2">
        <v>1101</v>
      </c>
      <c r="B271" s="2">
        <v>79632</v>
      </c>
      <c r="C271" s="2">
        <v>46</v>
      </c>
      <c r="D271" s="2">
        <v>0</v>
      </c>
      <c r="E271" s="25">
        <f t="shared" si="2"/>
        <v>1351.3069309313528</v>
      </c>
    </row>
    <row r="272" spans="1:5" x14ac:dyDescent="0.35">
      <c r="A272" s="3">
        <v>1387</v>
      </c>
      <c r="B272" s="3">
        <v>78285</v>
      </c>
      <c r="C272" s="3">
        <v>32</v>
      </c>
      <c r="D272" s="3">
        <v>0</v>
      </c>
      <c r="E272" s="25">
        <f t="shared" si="2"/>
        <v>1349.5534073460408</v>
      </c>
    </row>
    <row r="273" spans="1:5" x14ac:dyDescent="0.35">
      <c r="A273" s="3">
        <v>1221</v>
      </c>
      <c r="B273" s="3">
        <v>79593</v>
      </c>
      <c r="C273" s="3">
        <v>47</v>
      </c>
      <c r="D273" s="3">
        <v>0</v>
      </c>
      <c r="E273" s="25">
        <f t="shared" si="2"/>
        <v>1348.6753298948465</v>
      </c>
    </row>
    <row r="274" spans="1:5" x14ac:dyDescent="0.35">
      <c r="A274" s="2">
        <v>1889</v>
      </c>
      <c r="B274" s="2">
        <v>78687</v>
      </c>
      <c r="C274" s="2">
        <v>37</v>
      </c>
      <c r="D274" s="2">
        <v>0</v>
      </c>
      <c r="E274" s="25">
        <f t="shared" si="2"/>
        <v>1348.567496745417</v>
      </c>
    </row>
    <row r="275" spans="1:5" x14ac:dyDescent="0.35">
      <c r="A275" s="2">
        <v>1262</v>
      </c>
      <c r="B275" s="2">
        <v>78394</v>
      </c>
      <c r="C275" s="2">
        <v>34</v>
      </c>
      <c r="D275" s="2">
        <v>0</v>
      </c>
      <c r="E275" s="25">
        <f t="shared" si="2"/>
        <v>1348.1029049159374</v>
      </c>
    </row>
    <row r="276" spans="1:5" x14ac:dyDescent="0.35">
      <c r="A276" s="3">
        <v>961</v>
      </c>
      <c r="B276" s="3">
        <v>81698</v>
      </c>
      <c r="C276" s="3">
        <v>71</v>
      </c>
      <c r="D276" s="3">
        <v>0</v>
      </c>
      <c r="E276" s="25">
        <f t="shared" si="2"/>
        <v>1347.5191489442911</v>
      </c>
    </row>
    <row r="277" spans="1:5" x14ac:dyDescent="0.35">
      <c r="A277" s="3">
        <v>1671</v>
      </c>
      <c r="B277" s="3">
        <v>78789</v>
      </c>
      <c r="C277" s="3">
        <v>40</v>
      </c>
      <c r="D277" s="3">
        <v>0</v>
      </c>
      <c r="E277" s="25">
        <f t="shared" si="2"/>
        <v>1345.1378338594118</v>
      </c>
    </row>
    <row r="278" spans="1:5" x14ac:dyDescent="0.35">
      <c r="A278" s="2">
        <v>1541</v>
      </c>
      <c r="B278" s="2">
        <v>80739</v>
      </c>
      <c r="C278" s="2">
        <v>62</v>
      </c>
      <c r="D278" s="2">
        <v>0</v>
      </c>
      <c r="E278" s="25">
        <f t="shared" si="2"/>
        <v>1344.4942720043402</v>
      </c>
    </row>
    <row r="279" spans="1:5" x14ac:dyDescent="0.35">
      <c r="A279" s="2">
        <v>851</v>
      </c>
      <c r="B279" s="2">
        <v>79205</v>
      </c>
      <c r="C279" s="2">
        <v>45</v>
      </c>
      <c r="D279" s="2">
        <v>0</v>
      </c>
      <c r="E279" s="25">
        <f t="shared" si="2"/>
        <v>1344.4373660128022</v>
      </c>
    </row>
    <row r="280" spans="1:5" x14ac:dyDescent="0.35">
      <c r="A280" s="3">
        <v>897</v>
      </c>
      <c r="B280" s="3">
        <v>79734</v>
      </c>
      <c r="C280" s="3">
        <v>51</v>
      </c>
      <c r="D280" s="3">
        <v>0</v>
      </c>
      <c r="E280" s="25">
        <f t="shared" si="2"/>
        <v>1344.204389887559</v>
      </c>
    </row>
    <row r="281" spans="1:5" x14ac:dyDescent="0.35">
      <c r="A281" s="3">
        <v>1914</v>
      </c>
      <c r="B281" s="3">
        <v>79174</v>
      </c>
      <c r="C281" s="3">
        <v>45</v>
      </c>
      <c r="D281" s="3">
        <v>0</v>
      </c>
      <c r="E281" s="25">
        <f t="shared" si="2"/>
        <v>1343.8053142003414</v>
      </c>
    </row>
    <row r="282" spans="1:5" x14ac:dyDescent="0.35">
      <c r="A282" s="2">
        <v>1450</v>
      </c>
      <c r="B282" s="2">
        <v>79946</v>
      </c>
      <c r="C282" s="2">
        <v>54</v>
      </c>
      <c r="D282" s="2">
        <v>0</v>
      </c>
      <c r="E282" s="25">
        <f t="shared" si="2"/>
        <v>1343.0174914973832</v>
      </c>
    </row>
    <row r="283" spans="1:5" x14ac:dyDescent="0.35">
      <c r="A283" s="2">
        <v>1320</v>
      </c>
      <c r="B283" s="2">
        <v>77845</v>
      </c>
      <c r="C283" s="2">
        <v>31</v>
      </c>
      <c r="D283" s="2">
        <v>0</v>
      </c>
      <c r="E283" s="25">
        <f t="shared" si="2"/>
        <v>1342.4187884416197</v>
      </c>
    </row>
    <row r="284" spans="1:5" x14ac:dyDescent="0.35">
      <c r="A284" s="3">
        <v>1798</v>
      </c>
      <c r="B284" s="3">
        <v>81574</v>
      </c>
      <c r="C284" s="3">
        <v>73</v>
      </c>
      <c r="D284" s="3">
        <v>0</v>
      </c>
      <c r="E284" s="25">
        <f t="shared" si="2"/>
        <v>1341.3180635366591</v>
      </c>
    </row>
    <row r="285" spans="1:5" x14ac:dyDescent="0.35">
      <c r="A285" s="3">
        <v>1254</v>
      </c>
      <c r="B285" s="3">
        <v>80124</v>
      </c>
      <c r="C285" s="3">
        <v>57</v>
      </c>
      <c r="D285" s="3">
        <v>0</v>
      </c>
      <c r="E285" s="25">
        <f t="shared" si="2"/>
        <v>1341.1373749903141</v>
      </c>
    </row>
    <row r="286" spans="1:5" x14ac:dyDescent="0.35">
      <c r="A286" s="2">
        <v>1600</v>
      </c>
      <c r="B286" s="2">
        <v>79419</v>
      </c>
      <c r="C286" s="2">
        <v>50</v>
      </c>
      <c r="D286" s="2">
        <v>0</v>
      </c>
      <c r="E286" s="25">
        <f t="shared" si="2"/>
        <v>1339.6183670011255</v>
      </c>
    </row>
    <row r="287" spans="1:5" x14ac:dyDescent="0.35">
      <c r="A287" s="2">
        <v>1644</v>
      </c>
      <c r="B287" s="2">
        <v>80812</v>
      </c>
      <c r="C287" s="2">
        <v>67</v>
      </c>
      <c r="D287" s="2">
        <v>0</v>
      </c>
      <c r="E287" s="25">
        <f t="shared" si="2"/>
        <v>1336.8004566843736</v>
      </c>
    </row>
    <row r="288" spans="1:5" x14ac:dyDescent="0.35">
      <c r="A288" s="3">
        <v>1675</v>
      </c>
      <c r="B288" s="3">
        <v>94472</v>
      </c>
      <c r="C288" s="3">
        <v>62</v>
      </c>
      <c r="D288" s="3">
        <v>1</v>
      </c>
      <c r="E288" s="25">
        <f t="shared" si="2"/>
        <v>1334.8795938514886</v>
      </c>
    </row>
    <row r="289" spans="1:5" x14ac:dyDescent="0.35">
      <c r="A289" s="3">
        <v>1228</v>
      </c>
      <c r="B289" s="3">
        <v>80872</v>
      </c>
      <c r="C289" s="3">
        <v>69</v>
      </c>
      <c r="D289" s="3">
        <v>0</v>
      </c>
      <c r="E289" s="25">
        <f t="shared" si="2"/>
        <v>1334.3509046152192</v>
      </c>
    </row>
    <row r="290" spans="1:5" x14ac:dyDescent="0.35">
      <c r="A290" s="2">
        <v>1332</v>
      </c>
      <c r="B290" s="2">
        <v>80395</v>
      </c>
      <c r="C290" s="2">
        <v>65</v>
      </c>
      <c r="D290" s="2">
        <v>0</v>
      </c>
      <c r="E290" s="25">
        <f t="shared" si="2"/>
        <v>1331.9712185261562</v>
      </c>
    </row>
    <row r="291" spans="1:5" x14ac:dyDescent="0.35">
      <c r="A291" s="3">
        <v>908</v>
      </c>
      <c r="B291" s="3">
        <v>78931</v>
      </c>
      <c r="C291" s="3">
        <v>49</v>
      </c>
      <c r="D291" s="3">
        <v>0</v>
      </c>
      <c r="E291" s="25">
        <f t="shared" si="2"/>
        <v>1331.5050872257971</v>
      </c>
    </row>
    <row r="292" spans="1:5" x14ac:dyDescent="0.35">
      <c r="A292" s="2">
        <v>1182</v>
      </c>
      <c r="B292" s="2">
        <v>81044</v>
      </c>
      <c r="C292" s="2">
        <v>73</v>
      </c>
      <c r="D292" s="2">
        <v>0</v>
      </c>
      <c r="E292" s="25">
        <f t="shared" si="2"/>
        <v>1330.5120164203925</v>
      </c>
    </row>
    <row r="293" spans="1:5" x14ac:dyDescent="0.35">
      <c r="A293" s="3">
        <v>1174</v>
      </c>
      <c r="B293" s="3">
        <v>80317</v>
      </c>
      <c r="C293" s="3">
        <v>65</v>
      </c>
      <c r="D293" s="3">
        <v>0</v>
      </c>
      <c r="E293" s="25">
        <f t="shared" si="2"/>
        <v>1330.3808946109323</v>
      </c>
    </row>
    <row r="294" spans="1:5" x14ac:dyDescent="0.35">
      <c r="A294" s="3">
        <v>1184</v>
      </c>
      <c r="B294" s="3">
        <v>80763</v>
      </c>
      <c r="C294" s="3">
        <v>70</v>
      </c>
      <c r="D294" s="3">
        <v>0</v>
      </c>
      <c r="E294" s="25">
        <f t="shared" si="2"/>
        <v>1330.2920898086397</v>
      </c>
    </row>
    <row r="295" spans="1:5" x14ac:dyDescent="0.35">
      <c r="A295" s="2">
        <v>803</v>
      </c>
      <c r="B295" s="2">
        <v>77882</v>
      </c>
      <c r="C295" s="2">
        <v>39</v>
      </c>
      <c r="D295" s="2">
        <v>0</v>
      </c>
      <c r="E295" s="25">
        <f t="shared" si="2"/>
        <v>1328.4816602317896</v>
      </c>
    </row>
    <row r="296" spans="1:5" x14ac:dyDescent="0.35">
      <c r="A296" s="3">
        <v>1319</v>
      </c>
      <c r="B296" s="3">
        <v>79530</v>
      </c>
      <c r="C296" s="3">
        <v>60</v>
      </c>
      <c r="D296" s="3">
        <v>0</v>
      </c>
      <c r="E296" s="25">
        <f t="shared" si="2"/>
        <v>1323.5171294761553</v>
      </c>
    </row>
    <row r="297" spans="1:5" x14ac:dyDescent="0.35">
      <c r="A297" s="3">
        <v>1549</v>
      </c>
      <c r="B297" s="3">
        <v>80067</v>
      </c>
      <c r="C297" s="3">
        <v>66</v>
      </c>
      <c r="D297" s="3">
        <v>0</v>
      </c>
      <c r="E297" s="25">
        <f t="shared" si="2"/>
        <v>1323.4472634960632</v>
      </c>
    </row>
    <row r="298" spans="1:5" x14ac:dyDescent="0.35">
      <c r="A298" s="2">
        <v>1661</v>
      </c>
      <c r="B298" s="2">
        <v>79143</v>
      </c>
      <c r="C298" s="2">
        <v>56</v>
      </c>
      <c r="D298" s="2">
        <v>0</v>
      </c>
      <c r="E298" s="25">
        <f t="shared" si="2"/>
        <v>1322.9724325200436</v>
      </c>
    </row>
    <row r="299" spans="1:5" x14ac:dyDescent="0.35">
      <c r="A299" s="3">
        <v>1357</v>
      </c>
      <c r="B299" s="3">
        <v>79410</v>
      </c>
      <c r="C299" s="3">
        <v>59</v>
      </c>
      <c r="D299" s="3">
        <v>0</v>
      </c>
      <c r="E299" s="25">
        <f t="shared" si="2"/>
        <v>1322.9069163777817</v>
      </c>
    </row>
    <row r="300" spans="1:5" x14ac:dyDescent="0.35">
      <c r="A300" s="3">
        <v>1713</v>
      </c>
      <c r="B300" s="3">
        <v>78579</v>
      </c>
      <c r="C300" s="3">
        <v>50</v>
      </c>
      <c r="D300" s="3">
        <v>0</v>
      </c>
      <c r="E300" s="25">
        <f t="shared" si="2"/>
        <v>1322.4918017602504</v>
      </c>
    </row>
    <row r="301" spans="1:5" x14ac:dyDescent="0.35">
      <c r="A301" s="3">
        <v>2188</v>
      </c>
      <c r="B301" s="3">
        <v>80360</v>
      </c>
      <c r="C301" s="3">
        <v>71</v>
      </c>
      <c r="D301" s="3">
        <v>0</v>
      </c>
      <c r="E301" s="25">
        <f t="shared" si="2"/>
        <v>1320.2389771677542</v>
      </c>
    </row>
    <row r="302" spans="1:5" x14ac:dyDescent="0.35">
      <c r="A302" s="3">
        <v>1643</v>
      </c>
      <c r="B302" s="3">
        <v>79800</v>
      </c>
      <c r="C302" s="3">
        <v>65</v>
      </c>
      <c r="D302" s="3">
        <v>0</v>
      </c>
      <c r="E302" s="25">
        <f t="shared" ref="E302:E365" si="3">$B$101+$B302*$B$102+$C302*$B$103+$D302*$B$104</f>
        <v>1319.8399014805366</v>
      </c>
    </row>
    <row r="303" spans="1:5" x14ac:dyDescent="0.35">
      <c r="A303" s="2">
        <v>1041</v>
      </c>
      <c r="B303" s="2">
        <v>77583</v>
      </c>
      <c r="C303" s="2">
        <v>42</v>
      </c>
      <c r="D303" s="2">
        <v>0</v>
      </c>
      <c r="E303" s="25">
        <f t="shared" si="3"/>
        <v>1316.876101320081</v>
      </c>
    </row>
    <row r="304" spans="1:5" x14ac:dyDescent="0.35">
      <c r="A304" s="3">
        <v>877</v>
      </c>
      <c r="B304" s="3">
        <v>78825</v>
      </c>
      <c r="C304" s="3">
        <v>56</v>
      </c>
      <c r="D304" s="3">
        <v>0</v>
      </c>
      <c r="E304" s="25">
        <f t="shared" si="3"/>
        <v>1316.4888042502839</v>
      </c>
    </row>
    <row r="305" spans="1:5" x14ac:dyDescent="0.35">
      <c r="A305" s="2">
        <v>908</v>
      </c>
      <c r="B305" s="2">
        <v>78075</v>
      </c>
      <c r="C305" s="2">
        <v>48</v>
      </c>
      <c r="D305" s="2">
        <v>0</v>
      </c>
      <c r="E305" s="25">
        <f t="shared" si="3"/>
        <v>1315.8887407735137</v>
      </c>
    </row>
    <row r="306" spans="1:5" x14ac:dyDescent="0.35">
      <c r="A306" s="2">
        <v>1402</v>
      </c>
      <c r="B306" s="2">
        <v>80589</v>
      </c>
      <c r="C306" s="2">
        <v>76</v>
      </c>
      <c r="D306" s="2">
        <v>0</v>
      </c>
      <c r="E306" s="25">
        <f t="shared" si="3"/>
        <v>1315.7258096782359</v>
      </c>
    </row>
    <row r="307" spans="1:5" x14ac:dyDescent="0.35">
      <c r="A307" s="3">
        <v>1302</v>
      </c>
      <c r="B307" s="3">
        <v>79456</v>
      </c>
      <c r="C307" s="3">
        <v>64</v>
      </c>
      <c r="D307" s="3">
        <v>0</v>
      </c>
      <c r="E307" s="25">
        <f t="shared" si="3"/>
        <v>1314.6626043179297</v>
      </c>
    </row>
    <row r="308" spans="1:5" x14ac:dyDescent="0.35">
      <c r="A308" s="2">
        <v>1302</v>
      </c>
      <c r="B308" s="2">
        <v>78041</v>
      </c>
      <c r="C308" s="2">
        <v>49</v>
      </c>
      <c r="D308" s="2">
        <v>0</v>
      </c>
      <c r="E308" s="25">
        <f t="shared" si="3"/>
        <v>1313.3590835777268</v>
      </c>
    </row>
    <row r="309" spans="1:5" x14ac:dyDescent="0.35">
      <c r="A309" s="2">
        <v>1425</v>
      </c>
      <c r="B309" s="2">
        <v>78420</v>
      </c>
      <c r="C309" s="2">
        <v>54</v>
      </c>
      <c r="D309" s="2">
        <v>0</v>
      </c>
      <c r="E309" s="25">
        <f t="shared" si="3"/>
        <v>1311.9042313097934</v>
      </c>
    </row>
    <row r="310" spans="1:5" x14ac:dyDescent="0.35">
      <c r="A310" s="3">
        <v>1902</v>
      </c>
      <c r="B310" s="3">
        <v>80184</v>
      </c>
      <c r="C310" s="3">
        <v>76</v>
      </c>
      <c r="D310" s="3">
        <v>0</v>
      </c>
      <c r="E310" s="25">
        <f t="shared" si="3"/>
        <v>1307.4683585799569</v>
      </c>
    </row>
    <row r="311" spans="1:5" x14ac:dyDescent="0.35">
      <c r="A311" s="3">
        <v>828</v>
      </c>
      <c r="B311" s="3">
        <v>76630</v>
      </c>
      <c r="C311" s="3">
        <v>37</v>
      </c>
      <c r="D311" s="3">
        <v>0</v>
      </c>
      <c r="E311" s="25">
        <f t="shared" si="3"/>
        <v>1306.6278006734169</v>
      </c>
    </row>
    <row r="312" spans="1:5" x14ac:dyDescent="0.35">
      <c r="A312" s="3">
        <v>1601</v>
      </c>
      <c r="B312" s="3">
        <v>93404</v>
      </c>
      <c r="C312" s="3">
        <v>66</v>
      </c>
      <c r="D312" s="3">
        <v>1</v>
      </c>
      <c r="E312" s="25">
        <f t="shared" si="3"/>
        <v>1305.7586331582274</v>
      </c>
    </row>
    <row r="313" spans="1:5" x14ac:dyDescent="0.35">
      <c r="A313" s="3">
        <v>970</v>
      </c>
      <c r="B313" s="3">
        <v>78468</v>
      </c>
      <c r="C313" s="3">
        <v>60</v>
      </c>
      <c r="D313" s="3">
        <v>0</v>
      </c>
      <c r="E313" s="25">
        <f t="shared" si="3"/>
        <v>1301.8642577073347</v>
      </c>
    </row>
    <row r="314" spans="1:5" x14ac:dyDescent="0.35">
      <c r="A314" s="2">
        <v>2092</v>
      </c>
      <c r="B314" s="2">
        <v>78618</v>
      </c>
      <c r="C314" s="2">
        <v>63</v>
      </c>
      <c r="D314" s="2">
        <v>0</v>
      </c>
      <c r="E314" s="25">
        <f t="shared" si="3"/>
        <v>1299.4132556922366</v>
      </c>
    </row>
    <row r="315" spans="1:5" x14ac:dyDescent="0.35">
      <c r="A315" s="2">
        <v>1237</v>
      </c>
      <c r="B315" s="2">
        <v>78499</v>
      </c>
      <c r="C315" s="2">
        <v>63</v>
      </c>
      <c r="D315" s="2">
        <v>0</v>
      </c>
      <c r="E315" s="25">
        <f t="shared" si="3"/>
        <v>1296.9869922831124</v>
      </c>
    </row>
    <row r="316" spans="1:5" x14ac:dyDescent="0.35">
      <c r="A316" s="3">
        <v>1634</v>
      </c>
      <c r="B316" s="3">
        <v>75794</v>
      </c>
      <c r="C316" s="3">
        <v>33</v>
      </c>
      <c r="D316" s="3">
        <v>0</v>
      </c>
      <c r="E316" s="25">
        <f t="shared" si="3"/>
        <v>1296.9285468206945</v>
      </c>
    </row>
    <row r="317" spans="1:5" x14ac:dyDescent="0.35">
      <c r="A317" s="3">
        <v>1791</v>
      </c>
      <c r="B317" s="3">
        <v>76412</v>
      </c>
      <c r="C317" s="3">
        <v>40</v>
      </c>
      <c r="D317" s="3">
        <v>0</v>
      </c>
      <c r="E317" s="25">
        <f t="shared" si="3"/>
        <v>1296.6737319813642</v>
      </c>
    </row>
    <row r="318" spans="1:5" x14ac:dyDescent="0.35">
      <c r="A318" s="2">
        <v>1302</v>
      </c>
      <c r="B318" s="2">
        <v>78939</v>
      </c>
      <c r="C318" s="2">
        <v>69</v>
      </c>
      <c r="D318" s="2">
        <v>0</v>
      </c>
      <c r="E318" s="25">
        <f t="shared" si="3"/>
        <v>1294.9394157930626</v>
      </c>
    </row>
    <row r="319" spans="1:5" x14ac:dyDescent="0.35">
      <c r="A319" s="2">
        <v>1229</v>
      </c>
      <c r="B319" s="2">
        <v>75114</v>
      </c>
      <c r="C319" s="2">
        <v>28</v>
      </c>
      <c r="D319" s="2">
        <v>0</v>
      </c>
      <c r="E319" s="25">
        <f t="shared" si="3"/>
        <v>1292.2463798773147</v>
      </c>
    </row>
    <row r="320" spans="1:5" x14ac:dyDescent="0.35">
      <c r="A320" s="3">
        <v>1364</v>
      </c>
      <c r="B320" s="3">
        <v>76618</v>
      </c>
      <c r="C320" s="3">
        <v>45</v>
      </c>
      <c r="D320" s="3">
        <v>0</v>
      </c>
      <c r="E320" s="25">
        <f t="shared" si="3"/>
        <v>1291.6916228245359</v>
      </c>
    </row>
    <row r="321" spans="1:5" x14ac:dyDescent="0.35">
      <c r="A321" s="2">
        <v>1103</v>
      </c>
      <c r="B321" s="2">
        <v>77343</v>
      </c>
      <c r="C321" s="2">
        <v>55</v>
      </c>
      <c r="D321" s="2">
        <v>0</v>
      </c>
      <c r="E321" s="25">
        <f t="shared" si="3"/>
        <v>1288.1090889399197</v>
      </c>
    </row>
    <row r="322" spans="1:5" x14ac:dyDescent="0.35">
      <c r="A322" s="3">
        <v>1358</v>
      </c>
      <c r="B322" s="3">
        <v>75777</v>
      </c>
      <c r="C322" s="3">
        <v>38</v>
      </c>
      <c r="D322" s="3">
        <v>0</v>
      </c>
      <c r="E322" s="25">
        <f t="shared" si="3"/>
        <v>1287.399742367777</v>
      </c>
    </row>
    <row r="323" spans="1:5" x14ac:dyDescent="0.35">
      <c r="A323" s="2">
        <v>1096</v>
      </c>
      <c r="B323" s="2">
        <v>77437</v>
      </c>
      <c r="C323" s="2">
        <v>57</v>
      </c>
      <c r="D323" s="2">
        <v>0</v>
      </c>
      <c r="E323" s="25">
        <f t="shared" si="3"/>
        <v>1286.352754987658</v>
      </c>
    </row>
    <row r="324" spans="1:5" x14ac:dyDescent="0.35">
      <c r="A324" s="3">
        <v>755</v>
      </c>
      <c r="B324" s="3">
        <v>78497</v>
      </c>
      <c r="C324" s="3">
        <v>69</v>
      </c>
      <c r="D324" s="3">
        <v>0</v>
      </c>
      <c r="E324" s="25">
        <f t="shared" si="3"/>
        <v>1285.9275802734594</v>
      </c>
    </row>
    <row r="325" spans="1:5" x14ac:dyDescent="0.35">
      <c r="A325" s="3">
        <v>1279</v>
      </c>
      <c r="B325" s="3">
        <v>77863</v>
      </c>
      <c r="C325" s="3">
        <v>62</v>
      </c>
      <c r="D325" s="3">
        <v>0</v>
      </c>
      <c r="E325" s="25">
        <f t="shared" si="3"/>
        <v>1285.8561748224872</v>
      </c>
    </row>
    <row r="326" spans="1:5" x14ac:dyDescent="0.35">
      <c r="A326" s="3">
        <v>1032</v>
      </c>
      <c r="B326" s="3">
        <v>76982</v>
      </c>
      <c r="C326" s="3">
        <v>53</v>
      </c>
      <c r="D326" s="3">
        <v>0</v>
      </c>
      <c r="E326" s="25">
        <f t="shared" si="3"/>
        <v>1284.421621797761</v>
      </c>
    </row>
    <row r="327" spans="1:5" x14ac:dyDescent="0.35">
      <c r="A327" s="3">
        <v>2153</v>
      </c>
      <c r="B327" s="3">
        <v>76653</v>
      </c>
      <c r="C327" s="3">
        <v>51</v>
      </c>
      <c r="D327" s="3">
        <v>0</v>
      </c>
      <c r="E327" s="25">
        <f t="shared" si="3"/>
        <v>1281.3865952362066</v>
      </c>
    </row>
    <row r="328" spans="1:5" x14ac:dyDescent="0.35">
      <c r="A328" s="3">
        <v>1089</v>
      </c>
      <c r="B328" s="3">
        <v>77972</v>
      </c>
      <c r="C328" s="3">
        <v>66</v>
      </c>
      <c r="D328" s="3">
        <v>0</v>
      </c>
      <c r="E328" s="25">
        <f t="shared" si="3"/>
        <v>1280.7327942345953</v>
      </c>
    </row>
    <row r="329" spans="1:5" x14ac:dyDescent="0.35">
      <c r="A329" s="2">
        <v>1792</v>
      </c>
      <c r="B329" s="2">
        <v>78427</v>
      </c>
      <c r="C329" s="2">
        <v>72</v>
      </c>
      <c r="D329" s="2">
        <v>0</v>
      </c>
      <c r="E329" s="25">
        <f t="shared" si="3"/>
        <v>1278.9910492667034</v>
      </c>
    </row>
    <row r="330" spans="1:5" x14ac:dyDescent="0.35">
      <c r="A330" s="2">
        <v>1641</v>
      </c>
      <c r="B330" s="2">
        <v>78569</v>
      </c>
      <c r="C330" s="2">
        <v>74</v>
      </c>
      <c r="D330" s="2">
        <v>0</v>
      </c>
      <c r="E330" s="25">
        <f t="shared" si="3"/>
        <v>1278.2133761853486</v>
      </c>
    </row>
    <row r="331" spans="1:5" x14ac:dyDescent="0.35">
      <c r="A331" s="3">
        <v>2158</v>
      </c>
      <c r="B331" s="3">
        <v>75825</v>
      </c>
      <c r="C331" s="3">
        <v>44</v>
      </c>
      <c r="D331" s="3">
        <v>0</v>
      </c>
      <c r="E331" s="25">
        <f t="shared" si="3"/>
        <v>1277.3597687653182</v>
      </c>
    </row>
    <row r="332" spans="1:5" x14ac:dyDescent="0.35">
      <c r="A332" s="2">
        <v>1046</v>
      </c>
      <c r="B332" s="2">
        <v>74293</v>
      </c>
      <c r="C332" s="2">
        <v>27</v>
      </c>
      <c r="D332" s="2">
        <v>0</v>
      </c>
      <c r="E332" s="25">
        <f t="shared" si="3"/>
        <v>1277.3436403100682</v>
      </c>
    </row>
    <row r="333" spans="1:5" x14ac:dyDescent="0.35">
      <c r="A333" s="3">
        <v>560</v>
      </c>
      <c r="B333" s="3">
        <v>76800</v>
      </c>
      <c r="C333" s="3">
        <v>55</v>
      </c>
      <c r="D333" s="3">
        <v>0</v>
      </c>
      <c r="E333" s="25">
        <f t="shared" si="3"/>
        <v>1277.037987837783</v>
      </c>
    </row>
    <row r="334" spans="1:5" x14ac:dyDescent="0.35">
      <c r="A334" s="3">
        <v>1360</v>
      </c>
      <c r="B334" s="3">
        <v>75507</v>
      </c>
      <c r="C334" s="3">
        <v>41</v>
      </c>
      <c r="D334" s="3">
        <v>0</v>
      </c>
      <c r="E334" s="25">
        <f t="shared" si="3"/>
        <v>1276.3854577322413</v>
      </c>
    </row>
    <row r="335" spans="1:5" x14ac:dyDescent="0.35">
      <c r="A335" s="3">
        <v>1493</v>
      </c>
      <c r="B335" s="3">
        <v>75437</v>
      </c>
      <c r="C335" s="3">
        <v>42</v>
      </c>
      <c r="D335" s="3">
        <v>0</v>
      </c>
      <c r="E335" s="25">
        <f t="shared" si="3"/>
        <v>1273.1218048832743</v>
      </c>
    </row>
    <row r="336" spans="1:5" x14ac:dyDescent="0.35">
      <c r="A336" s="2">
        <v>748</v>
      </c>
      <c r="B336" s="2">
        <v>77297</v>
      </c>
      <c r="C336" s="2">
        <v>63</v>
      </c>
      <c r="D336" s="2">
        <v>0</v>
      </c>
      <c r="E336" s="25">
        <f t="shared" si="3"/>
        <v>1272.4796929741462</v>
      </c>
    </row>
    <row r="337" spans="1:5" x14ac:dyDescent="0.35">
      <c r="A337" s="2">
        <v>1095</v>
      </c>
      <c r="B337" s="2">
        <v>78093</v>
      </c>
      <c r="C337" s="2">
        <v>73</v>
      </c>
      <c r="D337" s="2">
        <v>0</v>
      </c>
      <c r="E337" s="25">
        <f t="shared" si="3"/>
        <v>1270.3447616277469</v>
      </c>
    </row>
    <row r="338" spans="1:5" x14ac:dyDescent="0.35">
      <c r="A338" s="2">
        <v>1678</v>
      </c>
      <c r="B338" s="2">
        <v>74214</v>
      </c>
      <c r="C338" s="2">
        <v>30</v>
      </c>
      <c r="D338" s="2">
        <v>0</v>
      </c>
      <c r="E338" s="25">
        <f t="shared" si="3"/>
        <v>1270.2236103900173</v>
      </c>
    </row>
    <row r="339" spans="1:5" x14ac:dyDescent="0.35">
      <c r="A339" s="2">
        <v>1430</v>
      </c>
      <c r="B339" s="2">
        <v>89694</v>
      </c>
      <c r="C339" s="2">
        <v>47</v>
      </c>
      <c r="D339" s="2">
        <v>1</v>
      </c>
      <c r="E339" s="25">
        <f t="shared" si="3"/>
        <v>1265.0086458433539</v>
      </c>
    </row>
    <row r="340" spans="1:5" x14ac:dyDescent="0.35">
      <c r="A340" s="3">
        <v>1203</v>
      </c>
      <c r="B340" s="3">
        <v>75922</v>
      </c>
      <c r="C340" s="3">
        <v>52</v>
      </c>
      <c r="D340" s="3">
        <v>0</v>
      </c>
      <c r="E340" s="25">
        <f t="shared" si="3"/>
        <v>1264.6459666441224</v>
      </c>
    </row>
    <row r="341" spans="1:5" x14ac:dyDescent="0.35">
      <c r="A341" s="2">
        <v>2304</v>
      </c>
      <c r="B341" s="2">
        <v>75759</v>
      </c>
      <c r="C341" s="2">
        <v>51</v>
      </c>
      <c r="D341" s="2">
        <v>0</v>
      </c>
      <c r="E341" s="25">
        <f t="shared" si="3"/>
        <v>1263.1590365155612</v>
      </c>
    </row>
    <row r="342" spans="1:5" x14ac:dyDescent="0.35">
      <c r="A342" s="2">
        <v>1783</v>
      </c>
      <c r="B342" s="2">
        <v>74985</v>
      </c>
      <c r="C342" s="2">
        <v>43</v>
      </c>
      <c r="D342" s="2">
        <v>0</v>
      </c>
      <c r="E342" s="25">
        <f t="shared" si="3"/>
        <v>1262.0696426033378</v>
      </c>
    </row>
    <row r="343" spans="1:5" x14ac:dyDescent="0.35">
      <c r="A343" s="2">
        <v>2105</v>
      </c>
      <c r="B343" s="2">
        <v>77632</v>
      </c>
      <c r="C343" s="2">
        <v>73</v>
      </c>
      <c r="D343" s="2">
        <v>0</v>
      </c>
      <c r="E343" s="25">
        <f t="shared" si="3"/>
        <v>1260.9455395134094</v>
      </c>
    </row>
    <row r="344" spans="1:5" x14ac:dyDescent="0.35">
      <c r="A344" s="2">
        <v>876</v>
      </c>
      <c r="B344" s="2">
        <v>75012</v>
      </c>
      <c r="C344" s="2">
        <v>44</v>
      </c>
      <c r="D344" s="2">
        <v>0</v>
      </c>
      <c r="E344" s="25">
        <f t="shared" si="3"/>
        <v>1260.7837002643287</v>
      </c>
    </row>
    <row r="345" spans="1:5" x14ac:dyDescent="0.35">
      <c r="A345" s="2">
        <v>1610</v>
      </c>
      <c r="B345" s="2">
        <v>74004</v>
      </c>
      <c r="C345" s="2">
        <v>33</v>
      </c>
      <c r="D345" s="2">
        <v>0</v>
      </c>
      <c r="E345" s="25">
        <f t="shared" si="3"/>
        <v>1260.4326518431158</v>
      </c>
    </row>
    <row r="346" spans="1:5" x14ac:dyDescent="0.35">
      <c r="A346" s="2">
        <v>1412</v>
      </c>
      <c r="B346" s="2">
        <v>75693</v>
      </c>
      <c r="C346" s="2">
        <v>52</v>
      </c>
      <c r="D346" s="2">
        <v>0</v>
      </c>
      <c r="E346" s="25">
        <f t="shared" si="3"/>
        <v>1259.9769387391698</v>
      </c>
    </row>
    <row r="347" spans="1:5" x14ac:dyDescent="0.35">
      <c r="A347" s="2">
        <v>1446</v>
      </c>
      <c r="B347" s="2">
        <v>73687</v>
      </c>
      <c r="C347" s="2">
        <v>30</v>
      </c>
      <c r="D347" s="2">
        <v>0</v>
      </c>
      <c r="E347" s="25">
        <f t="shared" si="3"/>
        <v>1259.4787295781825</v>
      </c>
    </row>
    <row r="348" spans="1:5" x14ac:dyDescent="0.35">
      <c r="A348" s="3">
        <v>1872</v>
      </c>
      <c r="B348" s="3">
        <v>75251</v>
      </c>
      <c r="C348" s="3">
        <v>48</v>
      </c>
      <c r="D348" s="3">
        <v>0</v>
      </c>
      <c r="E348" s="25">
        <f t="shared" si="3"/>
        <v>1258.3108595351432</v>
      </c>
    </row>
    <row r="349" spans="1:5" x14ac:dyDescent="0.35">
      <c r="A349" s="3">
        <v>1146</v>
      </c>
      <c r="B349" s="3">
        <v>77457</v>
      </c>
      <c r="C349" s="3">
        <v>73</v>
      </c>
      <c r="D349" s="3">
        <v>0</v>
      </c>
      <c r="E349" s="25">
        <f t="shared" si="3"/>
        <v>1257.3775050882271</v>
      </c>
    </row>
    <row r="350" spans="1:5" x14ac:dyDescent="0.35">
      <c r="A350" s="2">
        <v>833</v>
      </c>
      <c r="B350" s="2">
        <v>76081</v>
      </c>
      <c r="C350" s="2">
        <v>58</v>
      </c>
      <c r="D350" s="2">
        <v>0</v>
      </c>
      <c r="E350" s="25">
        <f t="shared" si="3"/>
        <v>1256.8691463056366</v>
      </c>
    </row>
    <row r="351" spans="1:5" x14ac:dyDescent="0.35">
      <c r="A351" s="2">
        <v>1954</v>
      </c>
      <c r="B351" s="2">
        <v>75345</v>
      </c>
      <c r="C351" s="2">
        <v>50</v>
      </c>
      <c r="D351" s="2">
        <v>0</v>
      </c>
      <c r="E351" s="25">
        <f t="shared" si="3"/>
        <v>1256.5545255828815</v>
      </c>
    </row>
    <row r="352" spans="1:5" x14ac:dyDescent="0.35">
      <c r="A352" s="3">
        <v>1140</v>
      </c>
      <c r="B352" s="3">
        <v>76773</v>
      </c>
      <c r="C352" s="3">
        <v>66</v>
      </c>
      <c r="D352" s="3">
        <v>0</v>
      </c>
      <c r="E352" s="25">
        <f t="shared" si="3"/>
        <v>1256.2866612300602</v>
      </c>
    </row>
    <row r="353" spans="1:5" x14ac:dyDescent="0.35">
      <c r="A353" s="2">
        <v>1469</v>
      </c>
      <c r="B353" s="2">
        <v>76542</v>
      </c>
      <c r="C353" s="2">
        <v>64</v>
      </c>
      <c r="D353" s="2">
        <v>0</v>
      </c>
      <c r="E353" s="25">
        <f t="shared" si="3"/>
        <v>1255.2497339466083</v>
      </c>
    </row>
    <row r="354" spans="1:5" x14ac:dyDescent="0.35">
      <c r="A354" s="2">
        <v>1886</v>
      </c>
      <c r="B354" s="2">
        <v>74116</v>
      </c>
      <c r="C354" s="2">
        <v>38</v>
      </c>
      <c r="D354" s="2">
        <v>0</v>
      </c>
      <c r="E354" s="25">
        <f t="shared" si="3"/>
        <v>1253.5339984807611</v>
      </c>
    </row>
    <row r="355" spans="1:5" x14ac:dyDescent="0.35">
      <c r="A355" s="3">
        <v>1702</v>
      </c>
      <c r="B355" s="3">
        <v>77598</v>
      </c>
      <c r="C355" s="3">
        <v>77</v>
      </c>
      <c r="D355" s="3">
        <v>0</v>
      </c>
      <c r="E355" s="25">
        <f t="shared" si="3"/>
        <v>1252.90656508094</v>
      </c>
    </row>
    <row r="356" spans="1:5" x14ac:dyDescent="0.35">
      <c r="A356" s="2">
        <v>893</v>
      </c>
      <c r="B356" s="2">
        <v>77142</v>
      </c>
      <c r="C356" s="2">
        <v>72</v>
      </c>
      <c r="D356" s="2">
        <v>0</v>
      </c>
      <c r="E356" s="25">
        <f t="shared" si="3"/>
        <v>1252.7914822017935</v>
      </c>
    </row>
    <row r="357" spans="1:5" x14ac:dyDescent="0.35">
      <c r="A357" s="3">
        <v>1323</v>
      </c>
      <c r="B357" s="3">
        <v>76045</v>
      </c>
      <c r="C357" s="3">
        <v>60</v>
      </c>
      <c r="D357" s="3">
        <v>0</v>
      </c>
      <c r="E357" s="25">
        <f t="shared" si="3"/>
        <v>1252.462272494668</v>
      </c>
    </row>
    <row r="358" spans="1:5" x14ac:dyDescent="0.35">
      <c r="A358" s="2">
        <v>1098</v>
      </c>
      <c r="B358" s="2">
        <v>76842</v>
      </c>
      <c r="C358" s="2">
        <v>70</v>
      </c>
      <c r="D358" s="2">
        <v>0</v>
      </c>
      <c r="E358" s="25">
        <f t="shared" si="3"/>
        <v>1250.3477299164122</v>
      </c>
    </row>
    <row r="359" spans="1:5" x14ac:dyDescent="0.35">
      <c r="A359" s="2">
        <v>1476</v>
      </c>
      <c r="B359" s="2">
        <v>73454</v>
      </c>
      <c r="C359" s="2">
        <v>33</v>
      </c>
      <c r="D359" s="2">
        <v>0</v>
      </c>
      <c r="E359" s="25">
        <f t="shared" si="3"/>
        <v>1249.2188293639711</v>
      </c>
    </row>
    <row r="360" spans="1:5" x14ac:dyDescent="0.35">
      <c r="A360" s="2">
        <v>386</v>
      </c>
      <c r="B360" s="2">
        <v>73395</v>
      </c>
      <c r="C360" s="2">
        <v>33</v>
      </c>
      <c r="D360" s="2">
        <v>0</v>
      </c>
      <c r="E360" s="25">
        <f t="shared" si="3"/>
        <v>1248.015892043481</v>
      </c>
    </row>
    <row r="361" spans="1:5" x14ac:dyDescent="0.35">
      <c r="A361" s="3">
        <v>1988</v>
      </c>
      <c r="B361" s="3">
        <v>74918</v>
      </c>
      <c r="C361" s="3">
        <v>51</v>
      </c>
      <c r="D361" s="3">
        <v>0</v>
      </c>
      <c r="E361" s="25">
        <f t="shared" si="3"/>
        <v>1246.0120825065424</v>
      </c>
    </row>
    <row r="362" spans="1:5" x14ac:dyDescent="0.35">
      <c r="A362" s="2">
        <v>1019</v>
      </c>
      <c r="B362" s="2">
        <v>75276</v>
      </c>
      <c r="C362" s="2">
        <v>55</v>
      </c>
      <c r="D362" s="2">
        <v>0</v>
      </c>
      <c r="E362" s="25">
        <f t="shared" si="3"/>
        <v>1245.9655051864811</v>
      </c>
    </row>
    <row r="363" spans="1:5" x14ac:dyDescent="0.35">
      <c r="A363" s="3">
        <v>1236</v>
      </c>
      <c r="B363" s="3">
        <v>88194</v>
      </c>
      <c r="C363" s="3">
        <v>41</v>
      </c>
      <c r="D363" s="3">
        <v>1</v>
      </c>
      <c r="E363" s="25">
        <f t="shared" si="3"/>
        <v>1245.4441281008712</v>
      </c>
    </row>
    <row r="364" spans="1:5" x14ac:dyDescent="0.35">
      <c r="A364" s="2">
        <v>1682</v>
      </c>
      <c r="B364" s="2">
        <v>76005</v>
      </c>
      <c r="C364" s="2">
        <v>65</v>
      </c>
      <c r="D364" s="2">
        <v>0</v>
      </c>
      <c r="E364" s="25">
        <f t="shared" si="3"/>
        <v>1242.4645263744403</v>
      </c>
    </row>
    <row r="365" spans="1:5" x14ac:dyDescent="0.35">
      <c r="A365" s="2">
        <v>1433</v>
      </c>
      <c r="B365" s="2">
        <v>74538</v>
      </c>
      <c r="C365" s="2">
        <v>49</v>
      </c>
      <c r="D365" s="2">
        <v>0</v>
      </c>
      <c r="E365" s="25">
        <f t="shared" si="3"/>
        <v>1241.9372287696492</v>
      </c>
    </row>
    <row r="366" spans="1:5" x14ac:dyDescent="0.35">
      <c r="A366" s="3">
        <v>1400</v>
      </c>
      <c r="B366" s="3">
        <v>73356</v>
      </c>
      <c r="C366" s="3">
        <v>36</v>
      </c>
      <c r="D366" s="3">
        <v>0</v>
      </c>
      <c r="E366" s="25">
        <f t="shared" ref="E366:E429" si="4">$B$101+$B366*$B$102+$C366*$B$103+$D366*$B$104</f>
        <v>1241.7114128491862</v>
      </c>
    </row>
    <row r="367" spans="1:5" x14ac:dyDescent="0.35">
      <c r="A367" s="2">
        <v>1281</v>
      </c>
      <c r="B367" s="2">
        <v>74165</v>
      </c>
      <c r="C367" s="2">
        <v>45</v>
      </c>
      <c r="D367" s="2">
        <v>0</v>
      </c>
      <c r="E367" s="25">
        <f t="shared" si="4"/>
        <v>1241.6779745675522</v>
      </c>
    </row>
    <row r="368" spans="1:5" x14ac:dyDescent="0.35">
      <c r="A368" s="2">
        <v>769</v>
      </c>
      <c r="B368" s="2">
        <v>88097</v>
      </c>
      <c r="C368" s="2">
        <v>42</v>
      </c>
      <c r="D368" s="2">
        <v>1</v>
      </c>
      <c r="E368" s="25">
        <f t="shared" si="4"/>
        <v>1241.6299785120186</v>
      </c>
    </row>
    <row r="369" spans="1:5" x14ac:dyDescent="0.35">
      <c r="A369" s="3">
        <v>1566</v>
      </c>
      <c r="B369" s="3">
        <v>74068</v>
      </c>
      <c r="C369" s="3">
        <v>44</v>
      </c>
      <c r="D369" s="3">
        <v>0</v>
      </c>
      <c r="E369" s="25">
        <f t="shared" si="4"/>
        <v>1241.5367031364881</v>
      </c>
    </row>
    <row r="370" spans="1:5" x14ac:dyDescent="0.35">
      <c r="A370" s="2">
        <v>1767</v>
      </c>
      <c r="B370" s="2">
        <v>73450</v>
      </c>
      <c r="C370" s="2">
        <v>38</v>
      </c>
      <c r="D370" s="2">
        <v>0</v>
      </c>
      <c r="E370" s="25">
        <f t="shared" si="4"/>
        <v>1239.9550788969241</v>
      </c>
    </row>
    <row r="371" spans="1:5" x14ac:dyDescent="0.35">
      <c r="A371" s="2">
        <v>1046</v>
      </c>
      <c r="B371" s="2">
        <v>72354</v>
      </c>
      <c r="C371" s="2">
        <v>27</v>
      </c>
      <c r="D371" s="2">
        <v>0</v>
      </c>
      <c r="E371" s="25">
        <f t="shared" si="4"/>
        <v>1237.8098188790482</v>
      </c>
    </row>
    <row r="372" spans="1:5" x14ac:dyDescent="0.35">
      <c r="A372" s="3">
        <v>1974</v>
      </c>
      <c r="B372" s="3">
        <v>72903</v>
      </c>
      <c r="C372" s="3">
        <v>35</v>
      </c>
      <c r="D372" s="3">
        <v>0</v>
      </c>
      <c r="E372" s="25">
        <f t="shared" si="4"/>
        <v>1234.3117399588946</v>
      </c>
    </row>
    <row r="373" spans="1:5" x14ac:dyDescent="0.35">
      <c r="A373" s="2">
        <v>1565</v>
      </c>
      <c r="B373" s="2">
        <v>73926</v>
      </c>
      <c r="C373" s="2">
        <v>47</v>
      </c>
      <c r="D373" s="2">
        <v>0</v>
      </c>
      <c r="E373" s="25">
        <f t="shared" si="4"/>
        <v>1233.1321808233715</v>
      </c>
    </row>
    <row r="374" spans="1:5" x14ac:dyDescent="0.35">
      <c r="A374" s="2">
        <v>1322</v>
      </c>
      <c r="B374" s="2">
        <v>76140</v>
      </c>
      <c r="C374" s="2">
        <v>72</v>
      </c>
      <c r="D374" s="2">
        <v>0</v>
      </c>
      <c r="E374" s="25">
        <f t="shared" si="4"/>
        <v>1232.3619365216066</v>
      </c>
    </row>
    <row r="375" spans="1:5" x14ac:dyDescent="0.35">
      <c r="A375" s="3">
        <v>1726</v>
      </c>
      <c r="B375" s="3">
        <v>75261</v>
      </c>
      <c r="C375" s="3">
        <v>65</v>
      </c>
      <c r="D375" s="3">
        <v>0</v>
      </c>
      <c r="E375" s="25">
        <f t="shared" si="4"/>
        <v>1227.2952828753794</v>
      </c>
    </row>
    <row r="376" spans="1:5" x14ac:dyDescent="0.35">
      <c r="A376" s="3">
        <v>865</v>
      </c>
      <c r="B376" s="3">
        <v>72570</v>
      </c>
      <c r="C376" s="3">
        <v>36</v>
      </c>
      <c r="D376" s="3">
        <v>0</v>
      </c>
      <c r="E376" s="25">
        <f t="shared" si="4"/>
        <v>1225.6858410880818</v>
      </c>
    </row>
    <row r="377" spans="1:5" x14ac:dyDescent="0.35">
      <c r="A377" s="3">
        <v>856</v>
      </c>
      <c r="B377" s="3">
        <v>75278</v>
      </c>
      <c r="C377" s="3">
        <v>68</v>
      </c>
      <c r="D377" s="3">
        <v>0</v>
      </c>
      <c r="E377" s="25">
        <f t="shared" si="4"/>
        <v>1222.1325746971431</v>
      </c>
    </row>
    <row r="378" spans="1:5" x14ac:dyDescent="0.35">
      <c r="A378" s="3">
        <v>694</v>
      </c>
      <c r="B378" s="3">
        <v>73170</v>
      </c>
      <c r="C378" s="3">
        <v>45</v>
      </c>
      <c r="D378" s="3">
        <v>0</v>
      </c>
      <c r="E378" s="25">
        <f t="shared" si="4"/>
        <v>1221.3911502643728</v>
      </c>
    </row>
    <row r="379" spans="1:5" x14ac:dyDescent="0.35">
      <c r="A379" s="2">
        <v>606</v>
      </c>
      <c r="B379" s="2">
        <v>75127</v>
      </c>
      <c r="C379" s="2">
        <v>68</v>
      </c>
      <c r="D379" s="2">
        <v>0</v>
      </c>
      <c r="E379" s="25">
        <f t="shared" si="4"/>
        <v>1219.053870707414</v>
      </c>
    </row>
    <row r="380" spans="1:5" x14ac:dyDescent="0.35">
      <c r="A380" s="2">
        <v>1230</v>
      </c>
      <c r="B380" s="2">
        <v>75865</v>
      </c>
      <c r="C380" s="2">
        <v>77</v>
      </c>
      <c r="D380" s="2">
        <v>0</v>
      </c>
      <c r="E380" s="25">
        <f t="shared" si="4"/>
        <v>1217.5728298875631</v>
      </c>
    </row>
    <row r="381" spans="1:5" x14ac:dyDescent="0.35">
      <c r="A381" s="3">
        <v>916</v>
      </c>
      <c r="B381" s="3">
        <v>71163</v>
      </c>
      <c r="C381" s="3">
        <v>25</v>
      </c>
      <c r="D381" s="3">
        <v>0</v>
      </c>
      <c r="E381" s="25">
        <f t="shared" si="4"/>
        <v>1217.1996741774528</v>
      </c>
    </row>
    <row r="382" spans="1:5" x14ac:dyDescent="0.35">
      <c r="A382" s="2">
        <v>595</v>
      </c>
      <c r="B382" s="2">
        <v>73448</v>
      </c>
      <c r="C382" s="2">
        <v>51</v>
      </c>
      <c r="D382" s="2">
        <v>0</v>
      </c>
      <c r="E382" s="25">
        <f t="shared" si="4"/>
        <v>1216.0405933350107</v>
      </c>
    </row>
    <row r="383" spans="1:5" x14ac:dyDescent="0.35">
      <c r="A383" s="3">
        <v>2068</v>
      </c>
      <c r="B383" s="3">
        <v>73455</v>
      </c>
      <c r="C383" s="3">
        <v>52</v>
      </c>
      <c r="D383" s="3">
        <v>0</v>
      </c>
      <c r="E383" s="25">
        <f t="shared" si="4"/>
        <v>1214.346875633124</v>
      </c>
    </row>
    <row r="384" spans="1:5" x14ac:dyDescent="0.35">
      <c r="A384" s="2">
        <v>1634</v>
      </c>
      <c r="B384" s="2">
        <v>74637</v>
      </c>
      <c r="C384" s="2">
        <v>66</v>
      </c>
      <c r="D384" s="2">
        <v>0</v>
      </c>
      <c r="E384" s="25">
        <f t="shared" si="4"/>
        <v>1212.7362524746925</v>
      </c>
    </row>
    <row r="385" spans="1:5" x14ac:dyDescent="0.35">
      <c r="A385" s="2">
        <v>1158</v>
      </c>
      <c r="B385" s="2">
        <v>74250</v>
      </c>
      <c r="C385" s="2">
        <v>62</v>
      </c>
      <c r="D385" s="2">
        <v>0</v>
      </c>
      <c r="E385" s="25">
        <f t="shared" si="4"/>
        <v>1212.1915555185803</v>
      </c>
    </row>
    <row r="386" spans="1:5" x14ac:dyDescent="0.35">
      <c r="A386" s="3">
        <v>1758</v>
      </c>
      <c r="B386" s="3">
        <v>72066</v>
      </c>
      <c r="C386" s="3">
        <v>39</v>
      </c>
      <c r="D386" s="3">
        <v>0</v>
      </c>
      <c r="E386" s="25">
        <f t="shared" si="4"/>
        <v>1209.9005847068738</v>
      </c>
    </row>
    <row r="387" spans="1:5" x14ac:dyDescent="0.35">
      <c r="A387" s="2">
        <v>1492</v>
      </c>
      <c r="B387" s="2">
        <v>74859</v>
      </c>
      <c r="C387" s="2">
        <v>71</v>
      </c>
      <c r="D387" s="2">
        <v>0</v>
      </c>
      <c r="E387" s="25">
        <f t="shared" si="4"/>
        <v>1208.0803636081666</v>
      </c>
    </row>
    <row r="388" spans="1:5" x14ac:dyDescent="0.35">
      <c r="A388" s="2">
        <v>865</v>
      </c>
      <c r="B388" s="2">
        <v>72940</v>
      </c>
      <c r="C388" s="2">
        <v>50</v>
      </c>
      <c r="D388" s="2">
        <v>0</v>
      </c>
      <c r="E388" s="25">
        <f t="shared" si="4"/>
        <v>1207.5195381968047</v>
      </c>
    </row>
    <row r="389" spans="1:5" x14ac:dyDescent="0.35">
      <c r="A389" s="3">
        <v>1117</v>
      </c>
      <c r="B389" s="3">
        <v>71853</v>
      </c>
      <c r="C389" s="3">
        <v>38</v>
      </c>
      <c r="D389" s="3">
        <v>0</v>
      </c>
      <c r="E389" s="25">
        <f t="shared" si="4"/>
        <v>1207.3942161711179</v>
      </c>
    </row>
    <row r="390" spans="1:5" x14ac:dyDescent="0.35">
      <c r="A390" s="3">
        <v>851</v>
      </c>
      <c r="B390" s="3">
        <v>74268</v>
      </c>
      <c r="C390" s="3">
        <v>65</v>
      </c>
      <c r="D390" s="3">
        <v>0</v>
      </c>
      <c r="E390" s="25">
        <f t="shared" si="4"/>
        <v>1207.0492361084878</v>
      </c>
    </row>
    <row r="391" spans="1:5" x14ac:dyDescent="0.35">
      <c r="A391" s="3">
        <v>1348</v>
      </c>
      <c r="B391" s="3">
        <v>72159</v>
      </c>
      <c r="C391" s="3">
        <v>42</v>
      </c>
      <c r="D391" s="3">
        <v>0</v>
      </c>
      <c r="E391" s="25">
        <f t="shared" si="4"/>
        <v>1206.2874229075737</v>
      </c>
    </row>
    <row r="392" spans="1:5" x14ac:dyDescent="0.35">
      <c r="A392" s="3">
        <v>2092</v>
      </c>
      <c r="B392" s="3">
        <v>72335</v>
      </c>
      <c r="C392" s="3">
        <v>44</v>
      </c>
      <c r="D392" s="3">
        <v>0</v>
      </c>
      <c r="E392" s="25">
        <f t="shared" si="4"/>
        <v>1206.2029679431112</v>
      </c>
    </row>
    <row r="393" spans="1:5" x14ac:dyDescent="0.35">
      <c r="A393" s="3">
        <v>1931</v>
      </c>
      <c r="B393" s="3">
        <v>72309</v>
      </c>
      <c r="C393" s="3">
        <v>44</v>
      </c>
      <c r="D393" s="3">
        <v>0</v>
      </c>
      <c r="E393" s="25">
        <f t="shared" si="4"/>
        <v>1205.6728599713701</v>
      </c>
    </row>
    <row r="394" spans="1:5" x14ac:dyDescent="0.35">
      <c r="A394" s="3">
        <v>1118</v>
      </c>
      <c r="B394" s="3">
        <v>70515</v>
      </c>
      <c r="C394" s="3">
        <v>27</v>
      </c>
      <c r="D394" s="3">
        <v>0</v>
      </c>
      <c r="E394" s="25">
        <f t="shared" si="4"/>
        <v>1200.314874262418</v>
      </c>
    </row>
    <row r="395" spans="1:5" x14ac:dyDescent="0.35">
      <c r="A395" s="2">
        <v>1924</v>
      </c>
      <c r="B395" s="2">
        <v>87771</v>
      </c>
      <c r="C395" s="2">
        <v>61</v>
      </c>
      <c r="D395" s="2">
        <v>1</v>
      </c>
      <c r="E395" s="25">
        <f t="shared" si="4"/>
        <v>1200.0908975981165</v>
      </c>
    </row>
    <row r="396" spans="1:5" x14ac:dyDescent="0.35">
      <c r="A396" s="3">
        <v>982</v>
      </c>
      <c r="B396" s="3">
        <v>71847</v>
      </c>
      <c r="C396" s="3">
        <v>42</v>
      </c>
      <c r="D396" s="3">
        <v>0</v>
      </c>
      <c r="E396" s="25">
        <f t="shared" si="4"/>
        <v>1199.9261272466774</v>
      </c>
    </row>
    <row r="397" spans="1:5" x14ac:dyDescent="0.35">
      <c r="A397" s="2">
        <v>1166</v>
      </c>
      <c r="B397" s="2">
        <v>72099</v>
      </c>
      <c r="C397" s="2">
        <v>46</v>
      </c>
      <c r="D397" s="2">
        <v>0</v>
      </c>
      <c r="E397" s="25">
        <f t="shared" si="4"/>
        <v>1197.7183405033625</v>
      </c>
    </row>
    <row r="398" spans="1:5" x14ac:dyDescent="0.35">
      <c r="A398" s="3">
        <v>1233</v>
      </c>
      <c r="B398" s="3">
        <v>71626</v>
      </c>
      <c r="C398" s="3">
        <v>41</v>
      </c>
      <c r="D398" s="3">
        <v>0</v>
      </c>
      <c r="E398" s="25">
        <f t="shared" si="4"/>
        <v>1197.2566485657699</v>
      </c>
    </row>
    <row r="399" spans="1:5" x14ac:dyDescent="0.35">
      <c r="A399" s="2">
        <v>1685</v>
      </c>
      <c r="B399" s="2">
        <v>74485</v>
      </c>
      <c r="C399" s="2">
        <v>73</v>
      </c>
      <c r="D399" s="2">
        <v>0</v>
      </c>
      <c r="E399" s="25">
        <f t="shared" si="4"/>
        <v>1196.7820861645598</v>
      </c>
    </row>
    <row r="400" spans="1:5" x14ac:dyDescent="0.35">
      <c r="A400" s="2">
        <v>1037</v>
      </c>
      <c r="B400" s="2">
        <v>72460</v>
      </c>
      <c r="C400" s="2">
        <v>51</v>
      </c>
      <c r="D400" s="2">
        <v>0</v>
      </c>
      <c r="E400" s="25">
        <f t="shared" si="4"/>
        <v>1195.8964904088389</v>
      </c>
    </row>
    <row r="401" spans="1:5" x14ac:dyDescent="0.35">
      <c r="A401" s="3">
        <v>1464</v>
      </c>
      <c r="B401" s="3">
        <v>73892</v>
      </c>
      <c r="C401" s="3">
        <v>67</v>
      </c>
      <c r="D401" s="3">
        <v>0</v>
      </c>
      <c r="E401" s="25">
        <f t="shared" si="4"/>
        <v>1195.7101811285936</v>
      </c>
    </row>
    <row r="402" spans="1:5" x14ac:dyDescent="0.35">
      <c r="A402" s="2">
        <v>1903</v>
      </c>
      <c r="B402" s="2">
        <v>72968</v>
      </c>
      <c r="C402" s="2">
        <v>57</v>
      </c>
      <c r="D402" s="2">
        <v>0</v>
      </c>
      <c r="E402" s="25">
        <f t="shared" si="4"/>
        <v>1195.2353501525736</v>
      </c>
    </row>
    <row r="403" spans="1:5" x14ac:dyDescent="0.35">
      <c r="A403" s="3">
        <v>1144</v>
      </c>
      <c r="B403" s="3">
        <v>70951</v>
      </c>
      <c r="C403" s="3">
        <v>35</v>
      </c>
      <c r="D403" s="3">
        <v>0</v>
      </c>
      <c r="E403" s="25">
        <f t="shared" si="4"/>
        <v>1194.5128645420036</v>
      </c>
    </row>
    <row r="404" spans="1:5" x14ac:dyDescent="0.35">
      <c r="A404" s="2">
        <v>1058</v>
      </c>
      <c r="B404" s="2">
        <v>85693</v>
      </c>
      <c r="C404" s="2">
        <v>41</v>
      </c>
      <c r="D404" s="2">
        <v>1</v>
      </c>
      <c r="E404" s="25">
        <f t="shared" si="4"/>
        <v>1194.4518189729802</v>
      </c>
    </row>
    <row r="405" spans="1:5" x14ac:dyDescent="0.35">
      <c r="A405" s="3">
        <v>973</v>
      </c>
      <c r="B405" s="3">
        <v>73113</v>
      </c>
      <c r="C405" s="3">
        <v>60</v>
      </c>
      <c r="D405" s="3">
        <v>0</v>
      </c>
      <c r="E405" s="25">
        <f t="shared" si="4"/>
        <v>1192.6824042967564</v>
      </c>
    </row>
    <row r="406" spans="1:5" x14ac:dyDescent="0.35">
      <c r="A406" s="2">
        <v>942</v>
      </c>
      <c r="B406" s="2">
        <v>70596</v>
      </c>
      <c r="C406" s="2">
        <v>35</v>
      </c>
      <c r="D406" s="2">
        <v>0</v>
      </c>
      <c r="E406" s="25">
        <f t="shared" si="4"/>
        <v>1187.2748518509197</v>
      </c>
    </row>
    <row r="407" spans="1:5" x14ac:dyDescent="0.35">
      <c r="A407" s="2">
        <v>1872</v>
      </c>
      <c r="B407" s="2">
        <v>85606</v>
      </c>
      <c r="C407" s="2">
        <v>44</v>
      </c>
      <c r="D407" s="2">
        <v>1</v>
      </c>
      <c r="E407" s="25">
        <f t="shared" si="4"/>
        <v>1187.168678907778</v>
      </c>
    </row>
    <row r="408" spans="1:5" x14ac:dyDescent="0.35">
      <c r="A408" s="2">
        <v>1795</v>
      </c>
      <c r="B408" s="2">
        <v>70643</v>
      </c>
      <c r="C408" s="2">
        <v>36</v>
      </c>
      <c r="D408" s="2">
        <v>0</v>
      </c>
      <c r="E408" s="25">
        <f t="shared" si="4"/>
        <v>1186.3966848747887</v>
      </c>
    </row>
    <row r="409" spans="1:5" x14ac:dyDescent="0.35">
      <c r="A409" s="2">
        <v>928</v>
      </c>
      <c r="B409" s="2">
        <v>71796</v>
      </c>
      <c r="C409" s="2">
        <v>49</v>
      </c>
      <c r="D409" s="2">
        <v>0</v>
      </c>
      <c r="E409" s="25">
        <f t="shared" si="4"/>
        <v>1186.0312265190787</v>
      </c>
    </row>
    <row r="410" spans="1:5" x14ac:dyDescent="0.35">
      <c r="A410" s="3">
        <v>1230</v>
      </c>
      <c r="B410" s="3">
        <v>71466</v>
      </c>
      <c r="C410" s="3">
        <v>46</v>
      </c>
      <c r="D410" s="3">
        <v>0</v>
      </c>
      <c r="E410" s="25">
        <f t="shared" si="4"/>
        <v>1184.8122502682745</v>
      </c>
    </row>
    <row r="411" spans="1:5" x14ac:dyDescent="0.35">
      <c r="A411" s="2">
        <v>1312</v>
      </c>
      <c r="B411" s="2">
        <v>72905</v>
      </c>
      <c r="C411" s="2">
        <v>62</v>
      </c>
      <c r="D411" s="2">
        <v>0</v>
      </c>
      <c r="E411" s="25">
        <f t="shared" si="4"/>
        <v>1184.7686623650368</v>
      </c>
    </row>
    <row r="412" spans="1:5" x14ac:dyDescent="0.35">
      <c r="A412" s="2">
        <v>1627</v>
      </c>
      <c r="B412" s="2">
        <v>86358</v>
      </c>
      <c r="C412" s="2">
        <v>54</v>
      </c>
      <c r="D412" s="2">
        <v>1</v>
      </c>
      <c r="E412" s="25">
        <f t="shared" si="4"/>
        <v>1184.1366417630475</v>
      </c>
    </row>
    <row r="413" spans="1:5" x14ac:dyDescent="0.35">
      <c r="A413" s="3">
        <v>1698</v>
      </c>
      <c r="B413" s="3">
        <v>72190</v>
      </c>
      <c r="C413" s="3">
        <v>55</v>
      </c>
      <c r="D413" s="3">
        <v>0</v>
      </c>
      <c r="E413" s="25">
        <f t="shared" si="4"/>
        <v>1183.0457666944089</v>
      </c>
    </row>
    <row r="414" spans="1:5" x14ac:dyDescent="0.35">
      <c r="A414" s="3">
        <v>1097</v>
      </c>
      <c r="B414" s="3">
        <v>72906</v>
      </c>
      <c r="C414" s="3">
        <v>65</v>
      </c>
      <c r="D414" s="3">
        <v>0</v>
      </c>
      <c r="E414" s="25">
        <f t="shared" si="4"/>
        <v>1179.2797338964976</v>
      </c>
    </row>
    <row r="415" spans="1:5" x14ac:dyDescent="0.35">
      <c r="A415" s="2">
        <v>1419</v>
      </c>
      <c r="B415" s="2">
        <v>72217</v>
      </c>
      <c r="C415" s="2">
        <v>58</v>
      </c>
      <c r="D415" s="2">
        <v>0</v>
      </c>
      <c r="E415" s="25">
        <f t="shared" si="4"/>
        <v>1178.0869461976113</v>
      </c>
    </row>
    <row r="416" spans="1:5" x14ac:dyDescent="0.35">
      <c r="A416" s="2">
        <v>1494</v>
      </c>
      <c r="B416" s="2">
        <v>70893</v>
      </c>
      <c r="C416" s="2">
        <v>44</v>
      </c>
      <c r="D416" s="2">
        <v>0</v>
      </c>
      <c r="E416" s="25">
        <f t="shared" si="4"/>
        <v>1176.8023642796093</v>
      </c>
    </row>
    <row r="417" spans="1:5" x14ac:dyDescent="0.35">
      <c r="A417" s="3">
        <v>871</v>
      </c>
      <c r="B417" s="3">
        <v>69867</v>
      </c>
      <c r="C417" s="3">
        <v>34</v>
      </c>
      <c r="D417" s="3">
        <v>0</v>
      </c>
      <c r="E417" s="25">
        <f t="shared" si="4"/>
        <v>1174.2478789529118</v>
      </c>
    </row>
    <row r="418" spans="1:5" x14ac:dyDescent="0.35">
      <c r="A418" s="2">
        <v>1699</v>
      </c>
      <c r="B418" s="2">
        <v>72025</v>
      </c>
      <c r="C418" s="2">
        <v>58</v>
      </c>
      <c r="D418" s="2">
        <v>0</v>
      </c>
      <c r="E418" s="25">
        <f t="shared" si="4"/>
        <v>1174.1723027139828</v>
      </c>
    </row>
    <row r="419" spans="1:5" x14ac:dyDescent="0.35">
      <c r="A419" s="2">
        <v>1727</v>
      </c>
      <c r="B419" s="2">
        <v>70123</v>
      </c>
      <c r="C419" s="2">
        <v>37</v>
      </c>
      <c r="D419" s="2">
        <v>0</v>
      </c>
      <c r="E419" s="25">
        <f t="shared" si="4"/>
        <v>1173.9580863610668</v>
      </c>
    </row>
    <row r="420" spans="1:5" x14ac:dyDescent="0.35">
      <c r="A420" s="3">
        <v>874</v>
      </c>
      <c r="B420" s="3">
        <v>72635</v>
      </c>
      <c r="C420" s="3">
        <v>65</v>
      </c>
      <c r="D420" s="3">
        <v>0</v>
      </c>
      <c r="E420" s="25">
        <f t="shared" si="4"/>
        <v>1173.7543777295011</v>
      </c>
    </row>
    <row r="421" spans="1:5" x14ac:dyDescent="0.35">
      <c r="A421" s="2">
        <v>734</v>
      </c>
      <c r="B421" s="2">
        <v>71613</v>
      </c>
      <c r="C421" s="2">
        <v>55</v>
      </c>
      <c r="D421" s="2">
        <v>0</v>
      </c>
      <c r="E421" s="25">
        <f t="shared" si="4"/>
        <v>1171.2814474753795</v>
      </c>
    </row>
    <row r="422" spans="1:5" x14ac:dyDescent="0.35">
      <c r="A422" s="3">
        <v>1484</v>
      </c>
      <c r="B422" s="3">
        <v>70440</v>
      </c>
      <c r="C422" s="3">
        <v>42</v>
      </c>
      <c r="D422" s="3">
        <v>0</v>
      </c>
      <c r="E422" s="25">
        <f t="shared" si="4"/>
        <v>1171.2391304682114</v>
      </c>
    </row>
    <row r="423" spans="1:5" x14ac:dyDescent="0.35">
      <c r="A423" s="3">
        <v>485</v>
      </c>
      <c r="B423" s="3">
        <v>70337</v>
      </c>
      <c r="C423" s="3">
        <v>41</v>
      </c>
      <c r="D423" s="3">
        <v>0</v>
      </c>
      <c r="E423" s="25">
        <f t="shared" si="4"/>
        <v>1170.9755264282844</v>
      </c>
    </row>
    <row r="424" spans="1:5" x14ac:dyDescent="0.35">
      <c r="A424" s="3">
        <v>1114</v>
      </c>
      <c r="B424" s="3">
        <v>70038</v>
      </c>
      <c r="C424" s="3">
        <v>38</v>
      </c>
      <c r="D424" s="3">
        <v>0</v>
      </c>
      <c r="E424" s="25">
        <f t="shared" si="4"/>
        <v>1170.3886019899414</v>
      </c>
    </row>
    <row r="425" spans="1:5" x14ac:dyDescent="0.35">
      <c r="A425" s="3">
        <v>387</v>
      </c>
      <c r="B425" s="3">
        <v>71488</v>
      </c>
      <c r="C425" s="3">
        <v>55</v>
      </c>
      <c r="D425" s="3">
        <v>0</v>
      </c>
      <c r="E425" s="25">
        <f t="shared" si="4"/>
        <v>1168.7328514573919</v>
      </c>
    </row>
    <row r="426" spans="1:5" x14ac:dyDescent="0.35">
      <c r="A426" s="3">
        <v>1606</v>
      </c>
      <c r="B426" s="3">
        <v>71670</v>
      </c>
      <c r="C426" s="3">
        <v>58</v>
      </c>
      <c r="D426" s="3">
        <v>0</v>
      </c>
      <c r="E426" s="25">
        <f t="shared" si="4"/>
        <v>1166.9342900228989</v>
      </c>
    </row>
    <row r="427" spans="1:5" x14ac:dyDescent="0.35">
      <c r="A427" s="3">
        <v>1784</v>
      </c>
      <c r="B427" s="3">
        <v>71964</v>
      </c>
      <c r="C427" s="3">
        <v>62</v>
      </c>
      <c r="D427" s="3">
        <v>0</v>
      </c>
      <c r="E427" s="25">
        <f t="shared" si="4"/>
        <v>1165.5828315416277</v>
      </c>
    </row>
    <row r="428" spans="1:5" x14ac:dyDescent="0.35">
      <c r="A428" s="2">
        <v>1376</v>
      </c>
      <c r="B428" s="2">
        <v>72643</v>
      </c>
      <c r="C428" s="2">
        <v>71</v>
      </c>
      <c r="D428" s="2">
        <v>0</v>
      </c>
      <c r="E428" s="25">
        <f t="shared" si="4"/>
        <v>1162.8988534012867</v>
      </c>
    </row>
    <row r="429" spans="1:5" x14ac:dyDescent="0.35">
      <c r="A429" s="2">
        <v>1362</v>
      </c>
      <c r="B429" s="2">
        <v>69520</v>
      </c>
      <c r="C429" s="2">
        <v>37</v>
      </c>
      <c r="D429" s="2">
        <v>0</v>
      </c>
      <c r="E429" s="25">
        <f t="shared" si="4"/>
        <v>1161.6636591702959</v>
      </c>
    </row>
    <row r="430" spans="1:5" x14ac:dyDescent="0.35">
      <c r="A430" s="3">
        <v>1253</v>
      </c>
      <c r="B430" s="3">
        <v>70617</v>
      </c>
      <c r="C430" s="3">
        <v>50</v>
      </c>
      <c r="D430" s="3">
        <v>0</v>
      </c>
      <c r="E430" s="25">
        <f t="shared" ref="E430:E493" si="5">$B$101+$B430*$B$102+$C430*$B$103+$D430*$B$104</f>
        <v>1160.1564297985274</v>
      </c>
    </row>
    <row r="431" spans="1:5" x14ac:dyDescent="0.35">
      <c r="A431" s="3">
        <v>1149</v>
      </c>
      <c r="B431" s="3">
        <v>71691</v>
      </c>
      <c r="C431" s="3">
        <v>62</v>
      </c>
      <c r="D431" s="3">
        <v>0</v>
      </c>
      <c r="E431" s="25">
        <f t="shared" si="5"/>
        <v>1160.0166978383434</v>
      </c>
    </row>
    <row r="432" spans="1:5" x14ac:dyDescent="0.35">
      <c r="A432" s="2">
        <v>1194</v>
      </c>
      <c r="B432" s="2">
        <v>72228</v>
      </c>
      <c r="C432" s="2">
        <v>68</v>
      </c>
      <c r="D432" s="2">
        <v>0</v>
      </c>
      <c r="E432" s="25">
        <f t="shared" si="5"/>
        <v>1159.9468318582515</v>
      </c>
    </row>
    <row r="433" spans="1:5" x14ac:dyDescent="0.35">
      <c r="A433" s="3">
        <v>1553</v>
      </c>
      <c r="B433" s="3">
        <v>68682</v>
      </c>
      <c r="C433" s="3">
        <v>29</v>
      </c>
      <c r="D433" s="3">
        <v>0</v>
      </c>
      <c r="E433" s="25">
        <f t="shared" si="5"/>
        <v>1159.2693840968627</v>
      </c>
    </row>
    <row r="434" spans="1:5" x14ac:dyDescent="0.35">
      <c r="A434" s="2">
        <v>1178</v>
      </c>
      <c r="B434" s="2">
        <v>72282</v>
      </c>
      <c r="C434" s="2">
        <v>69</v>
      </c>
      <c r="D434" s="2">
        <v>0</v>
      </c>
      <c r="E434" s="25">
        <f t="shared" si="5"/>
        <v>1159.2113862591275</v>
      </c>
    </row>
    <row r="435" spans="1:5" x14ac:dyDescent="0.35">
      <c r="A435" s="3">
        <v>826</v>
      </c>
      <c r="B435" s="3">
        <v>69661</v>
      </c>
      <c r="C435" s="3">
        <v>40</v>
      </c>
      <c r="D435" s="3">
        <v>0</v>
      </c>
      <c r="E435" s="25">
        <f t="shared" si="5"/>
        <v>1159.0291582419027</v>
      </c>
    </row>
    <row r="436" spans="1:5" x14ac:dyDescent="0.35">
      <c r="A436" s="3">
        <v>1287</v>
      </c>
      <c r="B436" s="3">
        <v>70924</v>
      </c>
      <c r="C436" s="3">
        <v>55</v>
      </c>
      <c r="D436" s="3">
        <v>0</v>
      </c>
      <c r="E436" s="25">
        <f t="shared" si="5"/>
        <v>1157.233586224233</v>
      </c>
    </row>
    <row r="437" spans="1:5" x14ac:dyDescent="0.35">
      <c r="A437" s="2">
        <v>1047</v>
      </c>
      <c r="B437" s="2">
        <v>84196</v>
      </c>
      <c r="C437" s="2">
        <v>45</v>
      </c>
      <c r="D437" s="2">
        <v>1</v>
      </c>
      <c r="E437" s="25">
        <f t="shared" si="5"/>
        <v>1156.5840767459863</v>
      </c>
    </row>
    <row r="438" spans="1:5" x14ac:dyDescent="0.35">
      <c r="A438" s="3">
        <v>904</v>
      </c>
      <c r="B438" s="3">
        <v>72298</v>
      </c>
      <c r="C438" s="3">
        <v>71</v>
      </c>
      <c r="D438" s="3">
        <v>0</v>
      </c>
      <c r="E438" s="25">
        <f t="shared" si="5"/>
        <v>1155.8647283916414</v>
      </c>
    </row>
    <row r="439" spans="1:5" x14ac:dyDescent="0.35">
      <c r="A439" s="2">
        <v>702</v>
      </c>
      <c r="B439" s="2">
        <v>71367</v>
      </c>
      <c r="C439" s="2">
        <v>61</v>
      </c>
      <c r="D439" s="2">
        <v>0</v>
      </c>
      <c r="E439" s="25">
        <f t="shared" si="5"/>
        <v>1155.2471760386145</v>
      </c>
    </row>
    <row r="440" spans="1:5" x14ac:dyDescent="0.35">
      <c r="A440" s="3">
        <v>1507</v>
      </c>
      <c r="B440" s="3">
        <v>70116</v>
      </c>
      <c r="C440" s="3">
        <v>48</v>
      </c>
      <c r="D440" s="3">
        <v>0</v>
      </c>
      <c r="E440" s="25">
        <f t="shared" si="5"/>
        <v>1153.6145351162227</v>
      </c>
    </row>
    <row r="441" spans="1:5" x14ac:dyDescent="0.35">
      <c r="A441" s="3">
        <v>1500</v>
      </c>
      <c r="B441" s="3">
        <v>68655</v>
      </c>
      <c r="C441" s="3">
        <v>32</v>
      </c>
      <c r="D441" s="3">
        <v>0</v>
      </c>
      <c r="E441" s="25">
        <f t="shared" si="5"/>
        <v>1153.2095701202948</v>
      </c>
    </row>
    <row r="442" spans="1:5" x14ac:dyDescent="0.35">
      <c r="A442" s="3">
        <v>1728</v>
      </c>
      <c r="B442" s="3">
        <v>83033</v>
      </c>
      <c r="C442" s="3">
        <v>34</v>
      </c>
      <c r="D442" s="3">
        <v>1</v>
      </c>
      <c r="E442" s="25">
        <f t="shared" si="5"/>
        <v>1153.0727692624691</v>
      </c>
    </row>
    <row r="443" spans="1:5" x14ac:dyDescent="0.35">
      <c r="A443" s="3">
        <v>1460</v>
      </c>
      <c r="B443" s="3">
        <v>69109</v>
      </c>
      <c r="C443" s="3">
        <v>38</v>
      </c>
      <c r="D443" s="3">
        <v>0</v>
      </c>
      <c r="E443" s="25">
        <f t="shared" si="5"/>
        <v>1151.4474363842592</v>
      </c>
    </row>
    <row r="444" spans="1:5" x14ac:dyDescent="0.35">
      <c r="A444" s="3">
        <v>1677</v>
      </c>
      <c r="B444" s="3">
        <v>72025</v>
      </c>
      <c r="C444" s="3">
        <v>71</v>
      </c>
      <c r="D444" s="3">
        <v>0</v>
      </c>
      <c r="E444" s="25">
        <f t="shared" si="5"/>
        <v>1150.2985946883571</v>
      </c>
    </row>
    <row r="445" spans="1:5" x14ac:dyDescent="0.35">
      <c r="A445" s="2">
        <v>1277</v>
      </c>
      <c r="B445" s="2">
        <v>68487</v>
      </c>
      <c r="C445" s="2">
        <v>32</v>
      </c>
      <c r="D445" s="2">
        <v>0</v>
      </c>
      <c r="E445" s="25">
        <f t="shared" si="5"/>
        <v>1149.7842570721195</v>
      </c>
    </row>
    <row r="446" spans="1:5" x14ac:dyDescent="0.35">
      <c r="A446" s="2">
        <v>758</v>
      </c>
      <c r="B446" s="2">
        <v>69719</v>
      </c>
      <c r="C446" s="2">
        <v>46</v>
      </c>
      <c r="D446" s="2">
        <v>0</v>
      </c>
      <c r="E446" s="25">
        <f t="shared" si="5"/>
        <v>1149.1930723208834</v>
      </c>
    </row>
    <row r="447" spans="1:5" x14ac:dyDescent="0.35">
      <c r="A447" s="2">
        <v>801</v>
      </c>
      <c r="B447" s="2">
        <v>83891</v>
      </c>
      <c r="C447" s="2">
        <v>46</v>
      </c>
      <c r="D447" s="2">
        <v>1</v>
      </c>
      <c r="E447" s="25">
        <f t="shared" si="5"/>
        <v>1148.5290633832028</v>
      </c>
    </row>
    <row r="448" spans="1:5" x14ac:dyDescent="0.35">
      <c r="A448" s="3">
        <v>1466</v>
      </c>
      <c r="B448" s="3">
        <v>69930</v>
      </c>
      <c r="C448" s="3">
        <v>49</v>
      </c>
      <c r="D448" s="3">
        <v>0</v>
      </c>
      <c r="E448" s="25">
        <f t="shared" si="5"/>
        <v>1147.9857851625634</v>
      </c>
    </row>
    <row r="449" spans="1:5" x14ac:dyDescent="0.35">
      <c r="A449" s="2">
        <v>1734</v>
      </c>
      <c r="B449" s="2">
        <v>68126</v>
      </c>
      <c r="C449" s="2">
        <v>29</v>
      </c>
      <c r="D449" s="2">
        <v>0</v>
      </c>
      <c r="E449" s="25">
        <f t="shared" si="5"/>
        <v>1147.9332290088551</v>
      </c>
    </row>
    <row r="450" spans="1:5" x14ac:dyDescent="0.35">
      <c r="A450" s="3">
        <v>1053</v>
      </c>
      <c r="B450" s="3">
        <v>70287</v>
      </c>
      <c r="C450" s="3">
        <v>54</v>
      </c>
      <c r="D450" s="3">
        <v>0</v>
      </c>
      <c r="E450" s="25">
        <f t="shared" si="5"/>
        <v>1146.0823799954637</v>
      </c>
    </row>
    <row r="451" spans="1:5" x14ac:dyDescent="0.35">
      <c r="A451" s="2">
        <v>787</v>
      </c>
      <c r="B451" s="2">
        <v>68627</v>
      </c>
      <c r="C451" s="2">
        <v>38</v>
      </c>
      <c r="D451" s="2">
        <v>0</v>
      </c>
      <c r="E451" s="25">
        <f t="shared" si="5"/>
        <v>1141.6200501388998</v>
      </c>
    </row>
    <row r="452" spans="1:5" x14ac:dyDescent="0.35">
      <c r="A452" s="3">
        <v>1492</v>
      </c>
      <c r="B452" s="3">
        <v>69969</v>
      </c>
      <c r="C452" s="3">
        <v>55</v>
      </c>
      <c r="D452" s="3">
        <v>0</v>
      </c>
      <c r="E452" s="25">
        <f t="shared" si="5"/>
        <v>1137.7623126468097</v>
      </c>
    </row>
    <row r="453" spans="1:5" x14ac:dyDescent="0.35">
      <c r="A453" s="2">
        <v>1313</v>
      </c>
      <c r="B453" s="2">
        <v>69882</v>
      </c>
      <c r="C453" s="2">
        <v>55</v>
      </c>
      <c r="D453" s="2">
        <v>0</v>
      </c>
      <c r="E453" s="25">
        <f t="shared" si="5"/>
        <v>1135.9884898182904</v>
      </c>
    </row>
    <row r="454" spans="1:5" x14ac:dyDescent="0.35">
      <c r="A454" s="2">
        <v>1029</v>
      </c>
      <c r="B454" s="2">
        <v>69759</v>
      </c>
      <c r="C454" s="2">
        <v>54</v>
      </c>
      <c r="D454" s="2">
        <v>0</v>
      </c>
      <c r="E454" s="25">
        <f t="shared" si="5"/>
        <v>1135.3171104154853</v>
      </c>
    </row>
    <row r="455" spans="1:5" x14ac:dyDescent="0.35">
      <c r="A455" s="3">
        <v>1654</v>
      </c>
      <c r="B455" s="3">
        <v>69209</v>
      </c>
      <c r="C455" s="3">
        <v>48</v>
      </c>
      <c r="D455" s="3">
        <v>0</v>
      </c>
      <c r="E455" s="25">
        <f t="shared" si="5"/>
        <v>1135.1219224097063</v>
      </c>
    </row>
    <row r="456" spans="1:5" x14ac:dyDescent="0.35">
      <c r="A456" s="2">
        <v>977</v>
      </c>
      <c r="B456" s="2">
        <v>69476</v>
      </c>
      <c r="C456" s="2">
        <v>51</v>
      </c>
      <c r="D456" s="2">
        <v>0</v>
      </c>
      <c r="E456" s="25">
        <f t="shared" si="5"/>
        <v>1135.0564062674443</v>
      </c>
    </row>
    <row r="457" spans="1:5" x14ac:dyDescent="0.35">
      <c r="A457" s="2">
        <v>1099</v>
      </c>
      <c r="B457" s="2">
        <v>71604</v>
      </c>
      <c r="C457" s="2">
        <v>75</v>
      </c>
      <c r="D457" s="2">
        <v>0</v>
      </c>
      <c r="E457" s="25">
        <f t="shared" si="5"/>
        <v>1134.3691669841985</v>
      </c>
    </row>
    <row r="458" spans="1:5" x14ac:dyDescent="0.35">
      <c r="A458" s="3">
        <v>1271</v>
      </c>
      <c r="B458" s="3">
        <v>70638</v>
      </c>
      <c r="C458" s="3">
        <v>65</v>
      </c>
      <c r="D458" s="3">
        <v>0</v>
      </c>
      <c r="E458" s="25">
        <f t="shared" si="5"/>
        <v>1133.0380077461348</v>
      </c>
    </row>
    <row r="459" spans="1:5" x14ac:dyDescent="0.35">
      <c r="A459" s="3">
        <v>1087</v>
      </c>
      <c r="B459" s="3">
        <v>83664</v>
      </c>
      <c r="C459" s="3">
        <v>52</v>
      </c>
      <c r="D459" s="3">
        <v>1</v>
      </c>
      <c r="E459" s="25">
        <f t="shared" si="5"/>
        <v>1132.8821785411724</v>
      </c>
    </row>
    <row r="460" spans="1:5" x14ac:dyDescent="0.35">
      <c r="A460" s="3">
        <v>1954</v>
      </c>
      <c r="B460" s="3">
        <v>67546</v>
      </c>
      <c r="C460" s="3">
        <v>32</v>
      </c>
      <c r="D460" s="3">
        <v>0</v>
      </c>
      <c r="E460" s="25">
        <f t="shared" si="5"/>
        <v>1130.5984262487109</v>
      </c>
    </row>
    <row r="461" spans="1:5" x14ac:dyDescent="0.35">
      <c r="A461" s="3">
        <v>884</v>
      </c>
      <c r="B461" s="3">
        <v>67605</v>
      </c>
      <c r="C461" s="3">
        <v>33</v>
      </c>
      <c r="D461" s="3">
        <v>0</v>
      </c>
      <c r="E461" s="25">
        <f t="shared" si="5"/>
        <v>1129.9649244903067</v>
      </c>
    </row>
    <row r="462" spans="1:5" x14ac:dyDescent="0.35">
      <c r="A462" s="2">
        <v>1158</v>
      </c>
      <c r="B462" s="2">
        <v>70792</v>
      </c>
      <c r="C462" s="2">
        <v>69</v>
      </c>
      <c r="D462" s="2">
        <v>0</v>
      </c>
      <c r="E462" s="25">
        <f t="shared" si="5"/>
        <v>1128.8321217247183</v>
      </c>
    </row>
    <row r="463" spans="1:5" x14ac:dyDescent="0.35">
      <c r="A463" s="2">
        <v>1290</v>
      </c>
      <c r="B463" s="2">
        <v>83273</v>
      </c>
      <c r="C463" s="2">
        <v>50</v>
      </c>
      <c r="D463" s="2">
        <v>1</v>
      </c>
      <c r="E463" s="25">
        <f t="shared" si="5"/>
        <v>1128.5830483546965</v>
      </c>
    </row>
    <row r="464" spans="1:5" x14ac:dyDescent="0.35">
      <c r="A464" s="2">
        <v>1661</v>
      </c>
      <c r="B464" s="2">
        <v>70503</v>
      </c>
      <c r="C464" s="2">
        <v>67</v>
      </c>
      <c r="D464" s="2">
        <v>0</v>
      </c>
      <c r="E464" s="25">
        <f t="shared" si="5"/>
        <v>1126.61264588892</v>
      </c>
    </row>
    <row r="465" spans="1:5" x14ac:dyDescent="0.35">
      <c r="A465" s="2">
        <v>1243</v>
      </c>
      <c r="B465" s="2">
        <v>67430</v>
      </c>
      <c r="C465" s="2">
        <v>33</v>
      </c>
      <c r="D465" s="2">
        <v>0</v>
      </c>
      <c r="E465" s="25">
        <f t="shared" si="5"/>
        <v>1126.3968900651244</v>
      </c>
    </row>
    <row r="466" spans="1:5" x14ac:dyDescent="0.35">
      <c r="A466" s="2">
        <v>1233</v>
      </c>
      <c r="B466" s="2">
        <v>68092</v>
      </c>
      <c r="C466" s="2">
        <v>42</v>
      </c>
      <c r="D466" s="2">
        <v>0</v>
      </c>
      <c r="E466" s="25">
        <f t="shared" si="5"/>
        <v>1123.3663028663368</v>
      </c>
    </row>
    <row r="467" spans="1:5" x14ac:dyDescent="0.35">
      <c r="A467" s="3">
        <v>1046</v>
      </c>
      <c r="B467" s="3">
        <v>70666</v>
      </c>
      <c r="C467" s="3">
        <v>72</v>
      </c>
      <c r="D467" s="3">
        <v>0</v>
      </c>
      <c r="E467" s="25">
        <f t="shared" si="5"/>
        <v>1120.7538197019041</v>
      </c>
    </row>
    <row r="468" spans="1:5" x14ac:dyDescent="0.35">
      <c r="A468" s="3">
        <v>1180</v>
      </c>
      <c r="B468" s="3">
        <v>66973</v>
      </c>
      <c r="C468" s="3">
        <v>31</v>
      </c>
      <c r="D468" s="3">
        <v>0</v>
      </c>
      <c r="E468" s="25">
        <f t="shared" si="5"/>
        <v>1120.7521011811509</v>
      </c>
    </row>
    <row r="469" spans="1:5" x14ac:dyDescent="0.35">
      <c r="A469" s="3">
        <v>1051</v>
      </c>
      <c r="B469" s="3">
        <v>68695</v>
      </c>
      <c r="C469" s="3">
        <v>51</v>
      </c>
      <c r="D469" s="3">
        <v>0</v>
      </c>
      <c r="E469" s="25">
        <f t="shared" si="5"/>
        <v>1119.1327783470597</v>
      </c>
    </row>
    <row r="470" spans="1:5" x14ac:dyDescent="0.35">
      <c r="A470" s="3">
        <v>993</v>
      </c>
      <c r="B470" s="3">
        <v>66951</v>
      </c>
      <c r="C470" s="3">
        <v>32</v>
      </c>
      <c r="D470" s="3">
        <v>0</v>
      </c>
      <c r="E470" s="25">
        <f t="shared" si="5"/>
        <v>1118.4671092030912</v>
      </c>
    </row>
    <row r="471" spans="1:5" x14ac:dyDescent="0.35">
      <c r="A471" s="2">
        <v>1959</v>
      </c>
      <c r="B471" s="2">
        <v>68743</v>
      </c>
      <c r="C471" s="2">
        <v>53</v>
      </c>
      <c r="D471" s="2">
        <v>0</v>
      </c>
      <c r="E471" s="25">
        <f t="shared" si="5"/>
        <v>1116.438561060178</v>
      </c>
    </row>
    <row r="472" spans="1:5" x14ac:dyDescent="0.35">
      <c r="A472" s="3">
        <v>1622</v>
      </c>
      <c r="B472" s="3">
        <v>68462</v>
      </c>
      <c r="C472" s="3">
        <v>51</v>
      </c>
      <c r="D472" s="3">
        <v>0</v>
      </c>
      <c r="E472" s="25">
        <f t="shared" si="5"/>
        <v>1114.382195369531</v>
      </c>
    </row>
    <row r="473" spans="1:5" x14ac:dyDescent="0.35">
      <c r="A473" s="3">
        <v>804</v>
      </c>
      <c r="B473" s="3">
        <v>70165</v>
      </c>
      <c r="C473" s="3">
        <v>71</v>
      </c>
      <c r="D473" s="3">
        <v>0</v>
      </c>
      <c r="E473" s="25">
        <f t="shared" si="5"/>
        <v>1112.3754859407052</v>
      </c>
    </row>
    <row r="474" spans="1:5" x14ac:dyDescent="0.35">
      <c r="A474" s="2">
        <v>1868</v>
      </c>
      <c r="B474" s="2">
        <v>81929</v>
      </c>
      <c r="C474" s="2">
        <v>44</v>
      </c>
      <c r="D474" s="2">
        <v>1</v>
      </c>
      <c r="E474" s="25">
        <f t="shared" si="5"/>
        <v>1112.1991784426618</v>
      </c>
    </row>
    <row r="475" spans="1:5" x14ac:dyDescent="0.35">
      <c r="A475" s="2">
        <v>1185</v>
      </c>
      <c r="B475" s="2">
        <v>70321</v>
      </c>
      <c r="C475" s="2">
        <v>73</v>
      </c>
      <c r="D475" s="2">
        <v>0</v>
      </c>
      <c r="E475" s="25">
        <f t="shared" si="5"/>
        <v>1111.883255613365</v>
      </c>
    </row>
    <row r="476" spans="1:5" x14ac:dyDescent="0.35">
      <c r="A476" s="2">
        <v>1673</v>
      </c>
      <c r="B476" s="2">
        <v>70356</v>
      </c>
      <c r="C476" s="2">
        <v>75</v>
      </c>
      <c r="D476" s="2">
        <v>0</v>
      </c>
      <c r="E476" s="25">
        <f t="shared" si="5"/>
        <v>1108.9239843406128</v>
      </c>
    </row>
    <row r="477" spans="1:5" x14ac:dyDescent="0.35">
      <c r="A477" s="3">
        <v>1257</v>
      </c>
      <c r="B477" s="3">
        <v>66664</v>
      </c>
      <c r="C477" s="3">
        <v>38</v>
      </c>
      <c r="D477" s="3">
        <v>0</v>
      </c>
      <c r="E477" s="25">
        <f t="shared" si="5"/>
        <v>1101.5968982724266</v>
      </c>
    </row>
    <row r="478" spans="1:5" x14ac:dyDescent="0.35">
      <c r="A478" s="3">
        <v>889</v>
      </c>
      <c r="B478" s="3">
        <v>67023</v>
      </c>
      <c r="C478" s="3">
        <v>42</v>
      </c>
      <c r="D478" s="3">
        <v>0</v>
      </c>
      <c r="E478" s="25">
        <f t="shared" si="5"/>
        <v>1101.5707097205091</v>
      </c>
    </row>
    <row r="479" spans="1:5" x14ac:dyDescent="0.35">
      <c r="A479" s="3">
        <v>1489</v>
      </c>
      <c r="B479" s="3">
        <v>69267</v>
      </c>
      <c r="C479" s="3">
        <v>67</v>
      </c>
      <c r="D479" s="3">
        <v>0</v>
      </c>
      <c r="E479" s="25">
        <f t="shared" si="5"/>
        <v>1101.4121284630612</v>
      </c>
    </row>
    <row r="480" spans="1:5" x14ac:dyDescent="0.35">
      <c r="A480" s="3">
        <v>801</v>
      </c>
      <c r="B480" s="3">
        <v>69755</v>
      </c>
      <c r="C480" s="3">
        <v>75</v>
      </c>
      <c r="D480" s="3">
        <v>0</v>
      </c>
      <c r="E480" s="25">
        <f t="shared" si="5"/>
        <v>1096.6703346861298</v>
      </c>
    </row>
    <row r="481" spans="1:5" x14ac:dyDescent="0.35">
      <c r="A481" s="3">
        <v>1339</v>
      </c>
      <c r="B481" s="3">
        <v>69372</v>
      </c>
      <c r="C481" s="3">
        <v>71</v>
      </c>
      <c r="D481" s="3">
        <v>0</v>
      </c>
      <c r="E481" s="25">
        <f t="shared" si="5"/>
        <v>1096.2071928025932</v>
      </c>
    </row>
    <row r="482" spans="1:5" x14ac:dyDescent="0.35">
      <c r="A482" s="3">
        <v>2262</v>
      </c>
      <c r="B482" s="3">
        <v>69098</v>
      </c>
      <c r="C482" s="3">
        <v>71</v>
      </c>
      <c r="D482" s="3">
        <v>0</v>
      </c>
      <c r="E482" s="25">
        <f t="shared" si="5"/>
        <v>1090.6206703311652</v>
      </c>
    </row>
    <row r="483" spans="1:5" x14ac:dyDescent="0.35">
      <c r="A483" s="2">
        <v>1614</v>
      </c>
      <c r="B483" s="2">
        <v>68281</v>
      </c>
      <c r="C483" s="2">
        <v>62</v>
      </c>
      <c r="D483" s="2">
        <v>0</v>
      </c>
      <c r="E483" s="25">
        <f t="shared" si="5"/>
        <v>1090.4909984676481</v>
      </c>
    </row>
    <row r="484" spans="1:5" x14ac:dyDescent="0.35">
      <c r="A484" s="3">
        <v>1561</v>
      </c>
      <c r="B484" s="3">
        <v>81975</v>
      </c>
      <c r="C484" s="3">
        <v>58</v>
      </c>
      <c r="D484" s="3">
        <v>1</v>
      </c>
      <c r="E484" s="25">
        <f t="shared" si="5"/>
        <v>1087.4269146727615</v>
      </c>
    </row>
    <row r="485" spans="1:5" x14ac:dyDescent="0.35">
      <c r="A485" s="3">
        <v>957</v>
      </c>
      <c r="B485" s="3">
        <v>68148</v>
      </c>
      <c r="C485" s="3">
        <v>63</v>
      </c>
      <c r="D485" s="3">
        <v>0</v>
      </c>
      <c r="E485" s="25">
        <f t="shared" si="5"/>
        <v>1085.9428532256154</v>
      </c>
    </row>
    <row r="486" spans="1:5" x14ac:dyDescent="0.35">
      <c r="A486" s="2">
        <v>1054</v>
      </c>
      <c r="B486" s="2">
        <v>67786</v>
      </c>
      <c r="C486" s="2">
        <v>61</v>
      </c>
      <c r="D486" s="2">
        <v>0</v>
      </c>
      <c r="E486" s="25">
        <f t="shared" si="5"/>
        <v>1082.2349973153125</v>
      </c>
    </row>
    <row r="487" spans="1:5" x14ac:dyDescent="0.35">
      <c r="A487" s="2">
        <v>1293</v>
      </c>
      <c r="B487" s="2">
        <v>80011</v>
      </c>
      <c r="C487" s="2">
        <v>40</v>
      </c>
      <c r="D487" s="2">
        <v>1</v>
      </c>
      <c r="E487" s="25">
        <f t="shared" si="5"/>
        <v>1080.4392774582411</v>
      </c>
    </row>
    <row r="488" spans="1:5" x14ac:dyDescent="0.35">
      <c r="A488" s="2">
        <v>1809</v>
      </c>
      <c r="B488" s="2">
        <v>80427</v>
      </c>
      <c r="C488" s="2">
        <v>45</v>
      </c>
      <c r="D488" s="2">
        <v>1</v>
      </c>
      <c r="E488" s="25">
        <f t="shared" si="5"/>
        <v>1079.7388096116315</v>
      </c>
    </row>
    <row r="489" spans="1:5" x14ac:dyDescent="0.35">
      <c r="A489" s="2">
        <v>432</v>
      </c>
      <c r="B489" s="2">
        <v>65370</v>
      </c>
      <c r="C489" s="2">
        <v>36</v>
      </c>
      <c r="D489" s="2">
        <v>0</v>
      </c>
      <c r="E489" s="25">
        <f t="shared" si="5"/>
        <v>1078.88671045201</v>
      </c>
    </row>
    <row r="490" spans="1:5" x14ac:dyDescent="0.35">
      <c r="A490" s="3">
        <v>818</v>
      </c>
      <c r="B490" s="3">
        <v>66825</v>
      </c>
      <c r="C490" s="3">
        <v>53</v>
      </c>
      <c r="D490" s="3">
        <v>0</v>
      </c>
      <c r="E490" s="25">
        <f t="shared" si="5"/>
        <v>1077.3329037601802</v>
      </c>
    </row>
    <row r="491" spans="1:5" x14ac:dyDescent="0.35">
      <c r="A491" s="3">
        <v>1320</v>
      </c>
      <c r="B491" s="3">
        <v>65819</v>
      </c>
      <c r="C491" s="3">
        <v>42</v>
      </c>
      <c r="D491" s="3">
        <v>0</v>
      </c>
      <c r="E491" s="25">
        <f t="shared" si="5"/>
        <v>1077.0226328752547</v>
      </c>
    </row>
    <row r="492" spans="1:5" x14ac:dyDescent="0.35">
      <c r="A492" s="2">
        <v>1174</v>
      </c>
      <c r="B492" s="2">
        <v>68657</v>
      </c>
      <c r="C492" s="2">
        <v>74</v>
      </c>
      <c r="D492" s="2">
        <v>0</v>
      </c>
      <c r="E492" s="25">
        <f t="shared" si="5"/>
        <v>1076.1199063430229</v>
      </c>
    </row>
    <row r="493" spans="1:5" x14ac:dyDescent="0.35">
      <c r="A493" s="3">
        <v>1288</v>
      </c>
      <c r="B493" s="3">
        <v>66582</v>
      </c>
      <c r="C493" s="3">
        <v>51</v>
      </c>
      <c r="D493" s="3">
        <v>0</v>
      </c>
      <c r="E493" s="25">
        <f t="shared" si="5"/>
        <v>1076.0513112590011</v>
      </c>
    </row>
    <row r="494" spans="1:5" x14ac:dyDescent="0.35">
      <c r="A494" s="3">
        <v>1205</v>
      </c>
      <c r="B494" s="3">
        <v>81300</v>
      </c>
      <c r="C494" s="3">
        <v>57</v>
      </c>
      <c r="D494" s="3">
        <v>1</v>
      </c>
      <c r="E494" s="25">
        <f t="shared" ref="E494:E557" si="6">$B$101+$B494*$B$102+$C494*$B$103+$D494*$B$104</f>
        <v>1075.5009352545239</v>
      </c>
    </row>
    <row r="495" spans="1:5" x14ac:dyDescent="0.35">
      <c r="A495" s="3">
        <v>1645</v>
      </c>
      <c r="B495" s="3">
        <v>64509</v>
      </c>
      <c r="C495" s="3">
        <v>30</v>
      </c>
      <c r="D495" s="3">
        <v>0</v>
      </c>
      <c r="E495" s="25">
        <f t="shared" si="6"/>
        <v>1072.3506155534787</v>
      </c>
    </row>
    <row r="496" spans="1:5" x14ac:dyDescent="0.35">
      <c r="A496" s="2">
        <v>1143</v>
      </c>
      <c r="B496" s="2">
        <v>65169</v>
      </c>
      <c r="C496" s="2">
        <v>38</v>
      </c>
      <c r="D496" s="2">
        <v>0</v>
      </c>
      <c r="E496" s="25">
        <f t="shared" si="6"/>
        <v>1071.1156898972977</v>
      </c>
    </row>
    <row r="497" spans="1:5" x14ac:dyDescent="0.35">
      <c r="A497" s="2">
        <v>658</v>
      </c>
      <c r="B497" s="2">
        <v>65295</v>
      </c>
      <c r="C497" s="2">
        <v>40</v>
      </c>
      <c r="D497" s="2">
        <v>0</v>
      </c>
      <c r="E497" s="25">
        <f t="shared" si="6"/>
        <v>1070.0117965256404</v>
      </c>
    </row>
    <row r="498" spans="1:5" x14ac:dyDescent="0.35">
      <c r="A498" s="3">
        <v>1610</v>
      </c>
      <c r="B498" s="3">
        <v>80134</v>
      </c>
      <c r="C498" s="3">
        <v>48</v>
      </c>
      <c r="D498" s="3">
        <v>1</v>
      </c>
      <c r="E498" s="25">
        <f t="shared" si="6"/>
        <v>1068.2555833087863</v>
      </c>
    </row>
    <row r="499" spans="1:5" x14ac:dyDescent="0.35">
      <c r="A499" s="2">
        <v>571</v>
      </c>
      <c r="B499" s="2">
        <v>65704</v>
      </c>
      <c r="C499" s="2">
        <v>48</v>
      </c>
      <c r="D499" s="2">
        <v>0</v>
      </c>
      <c r="E499" s="25">
        <f t="shared" si="6"/>
        <v>1063.6592900653409</v>
      </c>
    </row>
    <row r="500" spans="1:5" x14ac:dyDescent="0.35">
      <c r="A500" s="3">
        <v>850</v>
      </c>
      <c r="B500" s="3">
        <v>66294</v>
      </c>
      <c r="C500" s="3">
        <v>55</v>
      </c>
      <c r="D500" s="3">
        <v>0</v>
      </c>
      <c r="E500" s="25">
        <f t="shared" si="6"/>
        <v>1062.8335897179813</v>
      </c>
    </row>
    <row r="501" spans="1:5" x14ac:dyDescent="0.35">
      <c r="A501" s="3">
        <v>1169</v>
      </c>
      <c r="B501" s="3">
        <v>80982</v>
      </c>
      <c r="C501" s="3">
        <v>61</v>
      </c>
      <c r="D501" s="3">
        <v>1</v>
      </c>
      <c r="E501" s="25">
        <f t="shared" si="6"/>
        <v>1061.6715506691871</v>
      </c>
    </row>
    <row r="502" spans="1:5" x14ac:dyDescent="0.35">
      <c r="A502" s="3">
        <v>1426</v>
      </c>
      <c r="B502" s="3">
        <v>80995</v>
      </c>
      <c r="C502" s="3">
        <v>62</v>
      </c>
      <c r="D502" s="3">
        <v>1</v>
      </c>
      <c r="E502" s="25">
        <f t="shared" si="6"/>
        <v>1060.1001655761634</v>
      </c>
    </row>
    <row r="503" spans="1:5" x14ac:dyDescent="0.35">
      <c r="A503" s="2">
        <v>1070</v>
      </c>
      <c r="B503" s="2">
        <v>65706</v>
      </c>
      <c r="C503" s="2">
        <v>50</v>
      </c>
      <c r="D503" s="2">
        <v>0</v>
      </c>
      <c r="E503" s="25">
        <f t="shared" si="6"/>
        <v>1060.0271894438401</v>
      </c>
    </row>
    <row r="504" spans="1:5" x14ac:dyDescent="0.35">
      <c r="A504" s="3">
        <v>1177</v>
      </c>
      <c r="B504" s="3">
        <v>65308</v>
      </c>
      <c r="C504" s="3">
        <v>47</v>
      </c>
      <c r="D504" s="3">
        <v>0</v>
      </c>
      <c r="E504" s="25">
        <f t="shared" si="6"/>
        <v>1057.421776959251</v>
      </c>
    </row>
    <row r="505" spans="1:5" x14ac:dyDescent="0.35">
      <c r="A505" s="2">
        <v>1241</v>
      </c>
      <c r="B505" s="2">
        <v>66991</v>
      </c>
      <c r="C505" s="2">
        <v>66</v>
      </c>
      <c r="D505" s="2">
        <v>0</v>
      </c>
      <c r="E505" s="25">
        <f t="shared" si="6"/>
        <v>1056.8437312464414</v>
      </c>
    </row>
    <row r="506" spans="1:5" x14ac:dyDescent="0.35">
      <c r="A506" s="2">
        <v>1092</v>
      </c>
      <c r="B506" s="2">
        <v>65777</v>
      </c>
      <c r="C506" s="2">
        <v>53</v>
      </c>
      <c r="D506" s="2">
        <v>0</v>
      </c>
      <c r="E506" s="25">
        <f t="shared" si="6"/>
        <v>1055.9654747453742</v>
      </c>
    </row>
    <row r="507" spans="1:5" x14ac:dyDescent="0.35">
      <c r="A507" s="2">
        <v>1084</v>
      </c>
      <c r="B507" s="2">
        <v>66636</v>
      </c>
      <c r="C507" s="2">
        <v>63</v>
      </c>
      <c r="D507" s="2">
        <v>0</v>
      </c>
      <c r="E507" s="25">
        <f t="shared" si="6"/>
        <v>1055.1150357920403</v>
      </c>
    </row>
    <row r="508" spans="1:5" x14ac:dyDescent="0.35">
      <c r="A508" s="3">
        <v>1432</v>
      </c>
      <c r="B508" s="3">
        <v>63207</v>
      </c>
      <c r="C508" s="3">
        <v>28</v>
      </c>
      <c r="D508" s="3">
        <v>0</v>
      </c>
      <c r="E508" s="25">
        <f t="shared" si="6"/>
        <v>1049.4773175879109</v>
      </c>
    </row>
    <row r="509" spans="1:5" x14ac:dyDescent="0.35">
      <c r="A509" s="3">
        <v>1042</v>
      </c>
      <c r="B509" s="3">
        <v>78710</v>
      </c>
      <c r="C509" s="3">
        <v>43</v>
      </c>
      <c r="D509" s="3">
        <v>1</v>
      </c>
      <c r="E509" s="25">
        <f t="shared" si="6"/>
        <v>1048.4041728663456</v>
      </c>
    </row>
    <row r="510" spans="1:5" x14ac:dyDescent="0.35">
      <c r="A510" s="3">
        <v>700</v>
      </c>
      <c r="B510" s="3">
        <v>78901</v>
      </c>
      <c r="C510" s="3">
        <v>47</v>
      </c>
      <c r="D510" s="3">
        <v>1</v>
      </c>
      <c r="E510" s="25">
        <f t="shared" si="6"/>
        <v>1044.9526712662532</v>
      </c>
    </row>
    <row r="511" spans="1:5" x14ac:dyDescent="0.35">
      <c r="A511" s="2">
        <v>1270</v>
      </c>
      <c r="B511" s="2">
        <v>65220</v>
      </c>
      <c r="C511" s="2">
        <v>55</v>
      </c>
      <c r="D511" s="2">
        <v>0</v>
      </c>
      <c r="E511" s="25">
        <f t="shared" si="6"/>
        <v>1040.9360527314338</v>
      </c>
    </row>
    <row r="512" spans="1:5" x14ac:dyDescent="0.35">
      <c r="A512" s="2">
        <v>996</v>
      </c>
      <c r="B512" s="2">
        <v>78416</v>
      </c>
      <c r="C512" s="2">
        <v>44</v>
      </c>
      <c r="D512" s="2">
        <v>1</v>
      </c>
      <c r="E512" s="25">
        <f t="shared" si="6"/>
        <v>1040.5734359531452</v>
      </c>
    </row>
    <row r="513" spans="1:5" x14ac:dyDescent="0.35">
      <c r="A513" s="2">
        <v>892</v>
      </c>
      <c r="B513" s="2">
        <v>66835</v>
      </c>
      <c r="C513" s="2">
        <v>74</v>
      </c>
      <c r="D513" s="2">
        <v>0</v>
      </c>
      <c r="E513" s="25">
        <f t="shared" si="6"/>
        <v>1038.9715707848393</v>
      </c>
    </row>
    <row r="514" spans="1:5" x14ac:dyDescent="0.35">
      <c r="A514" s="2">
        <v>548</v>
      </c>
      <c r="B514" s="2">
        <v>79146</v>
      </c>
      <c r="C514" s="2">
        <v>53</v>
      </c>
      <c r="D514" s="2">
        <v>1</v>
      </c>
      <c r="E514" s="25">
        <f t="shared" si="6"/>
        <v>1038.9292849881426</v>
      </c>
    </row>
    <row r="515" spans="1:5" x14ac:dyDescent="0.35">
      <c r="A515" s="3">
        <v>1475</v>
      </c>
      <c r="B515" s="3">
        <v>79823</v>
      </c>
      <c r="C515" s="3">
        <v>61</v>
      </c>
      <c r="D515" s="3">
        <v>1</v>
      </c>
      <c r="E515" s="25">
        <f t="shared" si="6"/>
        <v>1038.0409683904081</v>
      </c>
    </row>
    <row r="516" spans="1:5" x14ac:dyDescent="0.35">
      <c r="A516" s="2">
        <v>917</v>
      </c>
      <c r="B516" s="2">
        <v>63855</v>
      </c>
      <c r="C516" s="2">
        <v>42</v>
      </c>
      <c r="D516" s="2">
        <v>0</v>
      </c>
      <c r="E516" s="25">
        <f t="shared" si="6"/>
        <v>1036.9790922406373</v>
      </c>
    </row>
    <row r="517" spans="1:5" x14ac:dyDescent="0.35">
      <c r="A517" s="2">
        <v>1799</v>
      </c>
      <c r="B517" s="2">
        <v>78642</v>
      </c>
      <c r="C517" s="2">
        <v>49</v>
      </c>
      <c r="D517" s="2">
        <v>1</v>
      </c>
      <c r="E517" s="25">
        <f t="shared" si="6"/>
        <v>1035.999102159195</v>
      </c>
    </row>
    <row r="518" spans="1:5" x14ac:dyDescent="0.35">
      <c r="A518" s="3">
        <v>835</v>
      </c>
      <c r="B518" s="3">
        <v>79803</v>
      </c>
      <c r="C518" s="3">
        <v>62</v>
      </c>
      <c r="D518" s="3">
        <v>1</v>
      </c>
      <c r="E518" s="25">
        <f t="shared" si="6"/>
        <v>1035.7967539486358</v>
      </c>
    </row>
    <row r="519" spans="1:5" x14ac:dyDescent="0.35">
      <c r="A519" s="3">
        <v>998</v>
      </c>
      <c r="B519" s="3">
        <v>65492</v>
      </c>
      <c r="C519" s="3">
        <v>61</v>
      </c>
      <c r="D519" s="3">
        <v>0</v>
      </c>
      <c r="E519" s="25">
        <f t="shared" si="6"/>
        <v>1035.4631631932086</v>
      </c>
    </row>
    <row r="520" spans="1:5" x14ac:dyDescent="0.35">
      <c r="A520" s="2">
        <v>594</v>
      </c>
      <c r="B520" s="2">
        <v>79761</v>
      </c>
      <c r="C520" s="2">
        <v>62</v>
      </c>
      <c r="D520" s="2">
        <v>1</v>
      </c>
      <c r="E520" s="25">
        <f t="shared" si="6"/>
        <v>1034.9404256865923</v>
      </c>
    </row>
    <row r="521" spans="1:5" x14ac:dyDescent="0.35">
      <c r="A521" s="3">
        <v>1308</v>
      </c>
      <c r="B521" s="3">
        <v>64590</v>
      </c>
      <c r="C521" s="3">
        <v>52</v>
      </c>
      <c r="D521" s="3">
        <v>0</v>
      </c>
      <c r="E521" s="25">
        <f t="shared" si="6"/>
        <v>1033.6004460374602</v>
      </c>
    </row>
    <row r="522" spans="1:5" x14ac:dyDescent="0.35">
      <c r="A522" s="3">
        <v>909</v>
      </c>
      <c r="B522" s="3">
        <v>65488</v>
      </c>
      <c r="C522" s="3">
        <v>62</v>
      </c>
      <c r="D522" s="3">
        <v>0</v>
      </c>
      <c r="E522" s="25">
        <f t="shared" si="6"/>
        <v>1033.5451690417387</v>
      </c>
    </row>
    <row r="523" spans="1:5" x14ac:dyDescent="0.35">
      <c r="A523" s="2">
        <v>1006</v>
      </c>
      <c r="B523" s="2">
        <v>65487</v>
      </c>
      <c r="C523" s="2">
        <v>63</v>
      </c>
      <c r="D523" s="2">
        <v>0</v>
      </c>
      <c r="E523" s="25">
        <f t="shared" si="6"/>
        <v>1031.6883411947003</v>
      </c>
    </row>
    <row r="524" spans="1:5" x14ac:dyDescent="0.35">
      <c r="A524" s="3">
        <v>1006</v>
      </c>
      <c r="B524" s="3">
        <v>65487</v>
      </c>
      <c r="C524" s="3">
        <v>63</v>
      </c>
      <c r="D524" s="3">
        <v>0</v>
      </c>
      <c r="E524" s="25">
        <f t="shared" si="6"/>
        <v>1031.6883411947003</v>
      </c>
    </row>
    <row r="525" spans="1:5" x14ac:dyDescent="0.35">
      <c r="A525" s="3">
        <v>1028</v>
      </c>
      <c r="B525" s="3">
        <v>63211</v>
      </c>
      <c r="C525" s="3">
        <v>38</v>
      </c>
      <c r="D525" s="3">
        <v>0</v>
      </c>
      <c r="E525" s="25">
        <f t="shared" si="6"/>
        <v>1031.1944818715438</v>
      </c>
    </row>
    <row r="526" spans="1:5" x14ac:dyDescent="0.35">
      <c r="A526" s="3">
        <v>1228</v>
      </c>
      <c r="B526" s="3">
        <v>78128</v>
      </c>
      <c r="C526" s="3">
        <v>46</v>
      </c>
      <c r="D526" s="3">
        <v>1</v>
      </c>
      <c r="E526" s="25">
        <f t="shared" si="6"/>
        <v>1031.0285925699136</v>
      </c>
    </row>
    <row r="527" spans="1:5" x14ac:dyDescent="0.35">
      <c r="A527" s="2">
        <v>754</v>
      </c>
      <c r="B527" s="2">
        <v>79865</v>
      </c>
      <c r="C527" s="2">
        <v>66</v>
      </c>
      <c r="D527" s="2">
        <v>1</v>
      </c>
      <c r="E527" s="25">
        <f t="shared" si="6"/>
        <v>1029.7151012579807</v>
      </c>
    </row>
    <row r="528" spans="1:5" x14ac:dyDescent="0.35">
      <c r="A528" s="3">
        <v>2036</v>
      </c>
      <c r="B528" s="3">
        <v>77568</v>
      </c>
      <c r="C528" s="3">
        <v>41</v>
      </c>
      <c r="D528" s="3">
        <v>1</v>
      </c>
      <c r="E528" s="25">
        <f t="shared" si="6"/>
        <v>1028.7930778038017</v>
      </c>
    </row>
    <row r="529" spans="1:5" x14ac:dyDescent="0.35">
      <c r="A529" s="3">
        <v>611</v>
      </c>
      <c r="B529" s="3">
        <v>77353</v>
      </c>
      <c r="C529" s="3">
        <v>40</v>
      </c>
      <c r="D529" s="3">
        <v>1</v>
      </c>
      <c r="E529" s="25">
        <f t="shared" si="6"/>
        <v>1026.2459317317575</v>
      </c>
    </row>
    <row r="530" spans="1:5" x14ac:dyDescent="0.35">
      <c r="A530" s="3">
        <v>604</v>
      </c>
      <c r="B530" s="3">
        <v>77981</v>
      </c>
      <c r="C530" s="3">
        <v>48</v>
      </c>
      <c r="D530" s="3">
        <v>1</v>
      </c>
      <c r="E530" s="25">
        <f t="shared" si="6"/>
        <v>1024.358565494972</v>
      </c>
    </row>
    <row r="531" spans="1:5" x14ac:dyDescent="0.35">
      <c r="A531" s="2">
        <v>666</v>
      </c>
      <c r="B531" s="2">
        <v>66000</v>
      </c>
      <c r="C531" s="2">
        <v>73</v>
      </c>
      <c r="D531" s="2">
        <v>0</v>
      </c>
      <c r="E531" s="25">
        <f t="shared" si="6"/>
        <v>1023.7833884635778</v>
      </c>
    </row>
    <row r="532" spans="1:5" x14ac:dyDescent="0.35">
      <c r="A532" s="3">
        <v>890</v>
      </c>
      <c r="B532" s="3">
        <v>77298</v>
      </c>
      <c r="C532" s="3">
        <v>41</v>
      </c>
      <c r="D532" s="3">
        <v>1</v>
      </c>
      <c r="E532" s="25">
        <f t="shared" si="6"/>
        <v>1023.288110404949</v>
      </c>
    </row>
    <row r="533" spans="1:5" x14ac:dyDescent="0.35">
      <c r="A533" s="2">
        <v>1228</v>
      </c>
      <c r="B533" s="2">
        <v>64849</v>
      </c>
      <c r="C533" s="2">
        <v>63</v>
      </c>
      <c r="D533" s="2">
        <v>0</v>
      </c>
      <c r="E533" s="25">
        <f t="shared" si="6"/>
        <v>1018.6803071188932</v>
      </c>
    </row>
    <row r="534" spans="1:5" x14ac:dyDescent="0.35">
      <c r="A534" s="3">
        <v>1958</v>
      </c>
      <c r="B534" s="3">
        <v>78952</v>
      </c>
      <c r="C534" s="3">
        <v>62</v>
      </c>
      <c r="D534" s="3">
        <v>1</v>
      </c>
      <c r="E534" s="25">
        <f t="shared" si="6"/>
        <v>1018.4459122581778</v>
      </c>
    </row>
    <row r="535" spans="1:5" x14ac:dyDescent="0.35">
      <c r="A535" s="2">
        <v>1497</v>
      </c>
      <c r="B535" s="2">
        <v>64857</v>
      </c>
      <c r="C535" s="2">
        <v>64</v>
      </c>
      <c r="D535" s="2">
        <v>0</v>
      </c>
      <c r="E535" s="25">
        <f t="shared" si="6"/>
        <v>1017.0069781851502</v>
      </c>
    </row>
    <row r="536" spans="1:5" x14ac:dyDescent="0.35">
      <c r="A536" s="2">
        <v>1039</v>
      </c>
      <c r="B536" s="2">
        <v>65846</v>
      </c>
      <c r="C536" s="2">
        <v>75</v>
      </c>
      <c r="D536" s="2">
        <v>0</v>
      </c>
      <c r="E536" s="25">
        <f t="shared" si="6"/>
        <v>1016.9706400116291</v>
      </c>
    </row>
    <row r="537" spans="1:5" x14ac:dyDescent="0.35">
      <c r="A537" s="3">
        <v>902</v>
      </c>
      <c r="B537" s="3">
        <v>63206</v>
      </c>
      <c r="C537" s="3">
        <v>46</v>
      </c>
      <c r="D537" s="3">
        <v>0</v>
      </c>
      <c r="E537" s="25">
        <f t="shared" si="6"/>
        <v>1016.4010253996697</v>
      </c>
    </row>
    <row r="538" spans="1:5" x14ac:dyDescent="0.35">
      <c r="A538" s="2">
        <v>1760</v>
      </c>
      <c r="B538" s="2">
        <v>63159</v>
      </c>
      <c r="C538" s="2">
        <v>46</v>
      </c>
      <c r="D538" s="2">
        <v>0</v>
      </c>
      <c r="E538" s="25">
        <f t="shared" si="6"/>
        <v>1015.4427532969065</v>
      </c>
    </row>
    <row r="539" spans="1:5" x14ac:dyDescent="0.35">
      <c r="A539" s="2">
        <v>1140</v>
      </c>
      <c r="B539" s="2">
        <v>61618</v>
      </c>
      <c r="C539" s="2">
        <v>29</v>
      </c>
      <c r="D539" s="2">
        <v>0</v>
      </c>
      <c r="E539" s="25">
        <f t="shared" si="6"/>
        <v>1015.2431259283612</v>
      </c>
    </row>
    <row r="540" spans="1:5" x14ac:dyDescent="0.35">
      <c r="A540" s="2">
        <v>1544</v>
      </c>
      <c r="B540" s="2">
        <v>64260</v>
      </c>
      <c r="C540" s="2">
        <v>59</v>
      </c>
      <c r="D540" s="2">
        <v>0</v>
      </c>
      <c r="E540" s="25">
        <f t="shared" si="6"/>
        <v>1014.0170789977136</v>
      </c>
    </row>
    <row r="541" spans="1:5" x14ac:dyDescent="0.35">
      <c r="A541" s="3">
        <v>700</v>
      </c>
      <c r="B541" s="3">
        <v>77622</v>
      </c>
      <c r="C541" s="3">
        <v>50</v>
      </c>
      <c r="D541" s="3">
        <v>1</v>
      </c>
      <c r="E541" s="25">
        <f t="shared" si="6"/>
        <v>1013.3661195735241</v>
      </c>
    </row>
    <row r="542" spans="1:5" x14ac:dyDescent="0.35">
      <c r="A542" s="3">
        <v>1682</v>
      </c>
      <c r="B542" s="3">
        <v>77870</v>
      </c>
      <c r="C542" s="3">
        <v>53</v>
      </c>
      <c r="D542" s="3">
        <v>1</v>
      </c>
      <c r="E542" s="25">
        <f t="shared" si="6"/>
        <v>1012.9132168365278</v>
      </c>
    </row>
    <row r="543" spans="1:5" x14ac:dyDescent="0.35">
      <c r="A543" s="3">
        <v>1234</v>
      </c>
      <c r="B543" s="3">
        <v>61787</v>
      </c>
      <c r="C543" s="3">
        <v>33</v>
      </c>
      <c r="D543" s="3">
        <v>0</v>
      </c>
      <c r="E543" s="25">
        <f t="shared" si="6"/>
        <v>1011.3430714291029</v>
      </c>
    </row>
    <row r="544" spans="1:5" x14ac:dyDescent="0.35">
      <c r="A544" s="2">
        <v>1502</v>
      </c>
      <c r="B544" s="2">
        <v>77766</v>
      </c>
      <c r="C544" s="2">
        <v>53</v>
      </c>
      <c r="D544" s="2">
        <v>1</v>
      </c>
      <c r="E544" s="25">
        <f t="shared" si="6"/>
        <v>1010.7927849495624</v>
      </c>
    </row>
    <row r="545" spans="1:5" x14ac:dyDescent="0.35">
      <c r="A545" s="3">
        <v>1542</v>
      </c>
      <c r="B545" s="3">
        <v>78353</v>
      </c>
      <c r="C545" s="3">
        <v>61</v>
      </c>
      <c r="D545" s="3">
        <v>1</v>
      </c>
      <c r="E545" s="25">
        <f t="shared" si="6"/>
        <v>1008.0694792188768</v>
      </c>
    </row>
    <row r="546" spans="1:5" x14ac:dyDescent="0.35">
      <c r="A546" s="3">
        <v>1577</v>
      </c>
      <c r="B546" s="3">
        <v>78331</v>
      </c>
      <c r="C546" s="3">
        <v>62</v>
      </c>
      <c r="D546" s="3">
        <v>1</v>
      </c>
      <c r="E546" s="25">
        <f t="shared" si="6"/>
        <v>1005.7844872408167</v>
      </c>
    </row>
    <row r="547" spans="1:5" x14ac:dyDescent="0.35">
      <c r="A547" s="2">
        <v>989</v>
      </c>
      <c r="B547" s="2">
        <v>77044</v>
      </c>
      <c r="C547" s="2">
        <v>48</v>
      </c>
      <c r="D547" s="2">
        <v>1</v>
      </c>
      <c r="E547" s="25">
        <f t="shared" si="6"/>
        <v>1005.2542897441386</v>
      </c>
    </row>
    <row r="548" spans="1:5" x14ac:dyDescent="0.35">
      <c r="A548" s="3">
        <v>987</v>
      </c>
      <c r="B548" s="3">
        <v>77382</v>
      </c>
      <c r="C548" s="3">
        <v>52</v>
      </c>
      <c r="D548" s="3">
        <v>1</v>
      </c>
      <c r="E548" s="25">
        <f t="shared" si="6"/>
        <v>1004.7999370611998</v>
      </c>
    </row>
    <row r="549" spans="1:5" x14ac:dyDescent="0.35">
      <c r="A549" s="3">
        <v>1131</v>
      </c>
      <c r="B549" s="3">
        <v>75433</v>
      </c>
      <c r="C549" s="3">
        <v>31</v>
      </c>
      <c r="D549" s="3">
        <v>1</v>
      </c>
      <c r="E549" s="25">
        <f t="shared" si="6"/>
        <v>1003.6274486055205</v>
      </c>
    </row>
    <row r="550" spans="1:5" x14ac:dyDescent="0.35">
      <c r="A550" s="2">
        <v>725</v>
      </c>
      <c r="B550" s="2">
        <v>65275</v>
      </c>
      <c r="C550" s="2">
        <v>76</v>
      </c>
      <c r="D550" s="2">
        <v>0</v>
      </c>
      <c r="E550" s="25">
        <f t="shared" si="6"/>
        <v>1003.4922143225684</v>
      </c>
    </row>
    <row r="551" spans="1:5" x14ac:dyDescent="0.35">
      <c r="A551" s="3">
        <v>790</v>
      </c>
      <c r="B551" s="3">
        <v>76532</v>
      </c>
      <c r="C551" s="3">
        <v>45</v>
      </c>
      <c r="D551" s="3">
        <v>1</v>
      </c>
      <c r="E551" s="25">
        <f t="shared" si="6"/>
        <v>1000.3245576911455</v>
      </c>
    </row>
    <row r="552" spans="1:5" x14ac:dyDescent="0.35">
      <c r="A552" s="2">
        <v>1482</v>
      </c>
      <c r="B552" s="2">
        <v>62981</v>
      </c>
      <c r="C552" s="2">
        <v>53</v>
      </c>
      <c r="D552" s="2">
        <v>0</v>
      </c>
      <c r="E552" s="25">
        <f t="shared" si="6"/>
        <v>998.95847901503282</v>
      </c>
    </row>
    <row r="553" spans="1:5" x14ac:dyDescent="0.35">
      <c r="A553" s="3">
        <v>892</v>
      </c>
      <c r="B553" s="3">
        <v>65073</v>
      </c>
      <c r="C553" s="3">
        <v>77</v>
      </c>
      <c r="D553" s="3">
        <v>0</v>
      </c>
      <c r="E553" s="25">
        <f t="shared" si="6"/>
        <v>997.5372440786067</v>
      </c>
    </row>
    <row r="554" spans="1:5" x14ac:dyDescent="0.35">
      <c r="A554" s="3">
        <v>490</v>
      </c>
      <c r="B554" s="3">
        <v>78028</v>
      </c>
      <c r="C554" s="3">
        <v>64</v>
      </c>
      <c r="D554" s="3">
        <v>1</v>
      </c>
      <c r="E554" s="25">
        <f t="shared" si="6"/>
        <v>995.93381233542675</v>
      </c>
    </row>
    <row r="555" spans="1:5" x14ac:dyDescent="0.35">
      <c r="A555" s="2">
        <v>767</v>
      </c>
      <c r="B555" s="2">
        <v>75774</v>
      </c>
      <c r="C555" s="2">
        <v>39</v>
      </c>
      <c r="D555" s="2">
        <v>1</v>
      </c>
      <c r="E555" s="25">
        <f t="shared" si="6"/>
        <v>995.88850591143557</v>
      </c>
    </row>
    <row r="556" spans="1:5" x14ac:dyDescent="0.35">
      <c r="A556" s="3">
        <v>1587</v>
      </c>
      <c r="B556" s="3">
        <v>61416</v>
      </c>
      <c r="C556" s="3">
        <v>38</v>
      </c>
      <c r="D556" s="3">
        <v>0</v>
      </c>
      <c r="E556" s="25">
        <f t="shared" si="6"/>
        <v>994.5966430532452</v>
      </c>
    </row>
    <row r="557" spans="1:5" x14ac:dyDescent="0.35">
      <c r="A557" s="2">
        <v>1117</v>
      </c>
      <c r="B557" s="2">
        <v>77226</v>
      </c>
      <c r="C557" s="2">
        <v>57</v>
      </c>
      <c r="D557" s="2">
        <v>1</v>
      </c>
      <c r="E557" s="25">
        <f t="shared" si="6"/>
        <v>992.43709383628004</v>
      </c>
    </row>
    <row r="558" spans="1:5" x14ac:dyDescent="0.35">
      <c r="A558" s="3">
        <v>1056</v>
      </c>
      <c r="B558" s="3">
        <v>63998</v>
      </c>
      <c r="C558" s="3">
        <v>68</v>
      </c>
      <c r="D558" s="3">
        <v>0</v>
      </c>
      <c r="E558" s="25">
        <f t="shared" ref="E558:E621" si="7">$B$101+$B558*$B$102+$C558*$B$103+$D558*$B$104</f>
        <v>992.14727003396354</v>
      </c>
    </row>
    <row r="559" spans="1:5" x14ac:dyDescent="0.35">
      <c r="A559" s="2">
        <v>1375</v>
      </c>
      <c r="B559" s="2">
        <v>76445</v>
      </c>
      <c r="C559" s="2">
        <v>49</v>
      </c>
      <c r="D559" s="2">
        <v>1</v>
      </c>
      <c r="E559" s="25">
        <f t="shared" si="7"/>
        <v>991.20497854704911</v>
      </c>
    </row>
    <row r="560" spans="1:5" x14ac:dyDescent="0.35">
      <c r="A560" s="3">
        <v>1468</v>
      </c>
      <c r="B560" s="3">
        <v>77520</v>
      </c>
      <c r="C560" s="3">
        <v>61</v>
      </c>
      <c r="D560" s="3">
        <v>1</v>
      </c>
      <c r="E560" s="25">
        <f t="shared" si="7"/>
        <v>991.08563535500878</v>
      </c>
    </row>
    <row r="561" spans="1:5" x14ac:dyDescent="0.35">
      <c r="A561" s="2">
        <v>1300</v>
      </c>
      <c r="B561" s="2">
        <v>76068</v>
      </c>
      <c r="C561" s="2">
        <v>45</v>
      </c>
      <c r="D561" s="2">
        <v>1</v>
      </c>
      <c r="E561" s="25">
        <f t="shared" si="7"/>
        <v>990.86416927237644</v>
      </c>
    </row>
    <row r="562" spans="1:5" x14ac:dyDescent="0.35">
      <c r="A562" s="2">
        <v>1517</v>
      </c>
      <c r="B562" s="2">
        <v>76467</v>
      </c>
      <c r="C562" s="2">
        <v>50</v>
      </c>
      <c r="D562" s="2">
        <v>1</v>
      </c>
      <c r="E562" s="25">
        <f t="shared" si="7"/>
        <v>989.8170923673207</v>
      </c>
    </row>
    <row r="563" spans="1:5" x14ac:dyDescent="0.35">
      <c r="A563" s="3">
        <v>866</v>
      </c>
      <c r="B563" s="3">
        <v>76234</v>
      </c>
      <c r="C563" s="3">
        <v>48</v>
      </c>
      <c r="D563" s="3">
        <v>1</v>
      </c>
      <c r="E563" s="25">
        <f t="shared" si="7"/>
        <v>988.73938754758058</v>
      </c>
    </row>
    <row r="564" spans="1:5" x14ac:dyDescent="0.35">
      <c r="A564" s="2">
        <v>1150</v>
      </c>
      <c r="B564" s="2">
        <v>63564</v>
      </c>
      <c r="C564" s="2">
        <v>66</v>
      </c>
      <c r="D564" s="2">
        <v>0</v>
      </c>
      <c r="E564" s="25">
        <f t="shared" si="7"/>
        <v>986.97142281730009</v>
      </c>
    </row>
    <row r="565" spans="1:5" x14ac:dyDescent="0.35">
      <c r="A565" s="3">
        <v>1072</v>
      </c>
      <c r="B565" s="3">
        <v>63033</v>
      </c>
      <c r="C565" s="3">
        <v>61</v>
      </c>
      <c r="D565" s="3">
        <v>0</v>
      </c>
      <c r="E565" s="25">
        <f t="shared" si="7"/>
        <v>985.32718232736113</v>
      </c>
    </row>
    <row r="566" spans="1:5" x14ac:dyDescent="0.35">
      <c r="A566" s="2">
        <v>1113</v>
      </c>
      <c r="B566" s="2">
        <v>77037</v>
      </c>
      <c r="C566" s="2">
        <v>60</v>
      </c>
      <c r="D566" s="2">
        <v>1</v>
      </c>
      <c r="E566" s="25">
        <f t="shared" si="7"/>
        <v>983.07429942040028</v>
      </c>
    </row>
    <row r="567" spans="1:5" x14ac:dyDescent="0.35">
      <c r="A567" s="2">
        <v>649</v>
      </c>
      <c r="B567" s="2">
        <v>77376</v>
      </c>
      <c r="C567" s="2">
        <v>64</v>
      </c>
      <c r="D567" s="2">
        <v>1</v>
      </c>
      <c r="E567" s="25">
        <f t="shared" si="7"/>
        <v>982.64033550560487</v>
      </c>
    </row>
    <row r="568" spans="1:5" x14ac:dyDescent="0.35">
      <c r="A568" s="3">
        <v>1884</v>
      </c>
      <c r="B568" s="3">
        <v>75702</v>
      </c>
      <c r="C568" s="3">
        <v>46</v>
      </c>
      <c r="D568" s="3">
        <v>1</v>
      </c>
      <c r="E568" s="25">
        <f t="shared" si="7"/>
        <v>981.56544105281512</v>
      </c>
    </row>
    <row r="569" spans="1:5" x14ac:dyDescent="0.35">
      <c r="A569" s="2">
        <v>1125</v>
      </c>
      <c r="B569" s="2">
        <v>75484</v>
      </c>
      <c r="C569" s="2">
        <v>44</v>
      </c>
      <c r="D569" s="2">
        <v>1</v>
      </c>
      <c r="E569" s="25">
        <f t="shared" si="7"/>
        <v>980.79356775523377</v>
      </c>
    </row>
    <row r="570" spans="1:5" x14ac:dyDescent="0.35">
      <c r="A570" s="3">
        <v>1664</v>
      </c>
      <c r="B570" s="3">
        <v>77610</v>
      </c>
      <c r="C570" s="3">
        <v>68</v>
      </c>
      <c r="D570" s="3">
        <v>1</v>
      </c>
      <c r="E570" s="25">
        <f t="shared" si="7"/>
        <v>980.06555093570012</v>
      </c>
    </row>
    <row r="571" spans="1:5" x14ac:dyDescent="0.35">
      <c r="A571" s="3">
        <v>1048</v>
      </c>
      <c r="B571" s="3">
        <v>75330</v>
      </c>
      <c r="C571" s="3">
        <v>43</v>
      </c>
      <c r="D571" s="3">
        <v>1</v>
      </c>
      <c r="E571" s="25">
        <f t="shared" si="7"/>
        <v>979.49013653996747</v>
      </c>
    </row>
    <row r="572" spans="1:5" x14ac:dyDescent="0.35">
      <c r="A572" s="3">
        <v>833</v>
      </c>
      <c r="B572" s="3">
        <v>76624</v>
      </c>
      <c r="C572" s="3">
        <v>58</v>
      </c>
      <c r="D572" s="3">
        <v>1</v>
      </c>
      <c r="E572" s="25">
        <f t="shared" si="7"/>
        <v>978.32661633475857</v>
      </c>
    </row>
    <row r="573" spans="1:5" x14ac:dyDescent="0.35">
      <c r="A573" s="3">
        <v>1803</v>
      </c>
      <c r="B573" s="3">
        <v>76998</v>
      </c>
      <c r="C573" s="3">
        <v>65</v>
      </c>
      <c r="D573" s="3">
        <v>1</v>
      </c>
      <c r="E573" s="25">
        <f t="shared" si="7"/>
        <v>973.09694206831671</v>
      </c>
    </row>
    <row r="574" spans="1:5" x14ac:dyDescent="0.35">
      <c r="A574" s="3">
        <v>923</v>
      </c>
      <c r="B574" s="3">
        <v>62820</v>
      </c>
      <c r="C574" s="3">
        <v>66</v>
      </c>
      <c r="D574" s="3">
        <v>0</v>
      </c>
      <c r="E574" s="25">
        <f t="shared" si="7"/>
        <v>971.80217931823961</v>
      </c>
    </row>
    <row r="575" spans="1:5" x14ac:dyDescent="0.35">
      <c r="A575" s="2">
        <v>1775</v>
      </c>
      <c r="B575" s="2">
        <v>61839</v>
      </c>
      <c r="C575" s="2">
        <v>56</v>
      </c>
      <c r="D575" s="2">
        <v>0</v>
      </c>
      <c r="E575" s="25">
        <f t="shared" si="7"/>
        <v>970.16518855801712</v>
      </c>
    </row>
    <row r="576" spans="1:5" x14ac:dyDescent="0.35">
      <c r="A576" s="3">
        <v>450</v>
      </c>
      <c r="B576" s="3">
        <v>61798</v>
      </c>
      <c r="C576" s="3">
        <v>56</v>
      </c>
      <c r="D576" s="3">
        <v>0</v>
      </c>
      <c r="E576" s="25">
        <f t="shared" si="7"/>
        <v>969.32924906411733</v>
      </c>
    </row>
    <row r="577" spans="1:5" x14ac:dyDescent="0.35">
      <c r="A577" s="2">
        <v>1118</v>
      </c>
      <c r="B577" s="2">
        <v>75702</v>
      </c>
      <c r="C577" s="2">
        <v>53</v>
      </c>
      <c r="D577" s="2">
        <v>1</v>
      </c>
      <c r="E577" s="25">
        <f t="shared" si="7"/>
        <v>968.71036750055521</v>
      </c>
    </row>
    <row r="578" spans="1:5" x14ac:dyDescent="0.35">
      <c r="A578" s="2">
        <v>858</v>
      </c>
      <c r="B578" s="2">
        <v>61209</v>
      </c>
      <c r="C578" s="2">
        <v>50</v>
      </c>
      <c r="D578" s="2">
        <v>0</v>
      </c>
      <c r="E578" s="25">
        <f t="shared" si="7"/>
        <v>968.33889910072674</v>
      </c>
    </row>
    <row r="579" spans="1:5" x14ac:dyDescent="0.35">
      <c r="A579" s="2">
        <v>1164</v>
      </c>
      <c r="B579" s="2">
        <v>77027</v>
      </c>
      <c r="C579" s="2">
        <v>68</v>
      </c>
      <c r="D579" s="2">
        <v>1</v>
      </c>
      <c r="E579" s="25">
        <f t="shared" si="7"/>
        <v>968.17889910780684</v>
      </c>
    </row>
    <row r="580" spans="1:5" x14ac:dyDescent="0.35">
      <c r="A580" s="2">
        <v>897</v>
      </c>
      <c r="B580" s="2">
        <v>76320</v>
      </c>
      <c r="C580" s="2">
        <v>61</v>
      </c>
      <c r="D580" s="2">
        <v>1</v>
      </c>
      <c r="E580" s="25">
        <f t="shared" si="7"/>
        <v>966.61911358233044</v>
      </c>
    </row>
    <row r="581" spans="1:5" x14ac:dyDescent="0.35">
      <c r="A581" s="2">
        <v>969</v>
      </c>
      <c r="B581" s="2">
        <v>63285</v>
      </c>
      <c r="C581" s="2">
        <v>75</v>
      </c>
      <c r="D581" s="2">
        <v>0</v>
      </c>
      <c r="E581" s="25">
        <f t="shared" si="7"/>
        <v>964.7550047951039</v>
      </c>
    </row>
    <row r="582" spans="1:5" x14ac:dyDescent="0.35">
      <c r="A582" s="3">
        <v>256</v>
      </c>
      <c r="B582" s="3">
        <v>61482</v>
      </c>
      <c r="C582" s="3">
        <v>55</v>
      </c>
      <c r="D582" s="3">
        <v>0</v>
      </c>
      <c r="E582" s="25">
        <f t="shared" si="7"/>
        <v>964.72283740953969</v>
      </c>
    </row>
    <row r="583" spans="1:5" x14ac:dyDescent="0.35">
      <c r="A583" s="2">
        <v>394</v>
      </c>
      <c r="B583" s="2">
        <v>62551</v>
      </c>
      <c r="C583" s="2">
        <v>67</v>
      </c>
      <c r="D583" s="2">
        <v>0</v>
      </c>
      <c r="E583" s="25">
        <f t="shared" si="7"/>
        <v>964.48116160863617</v>
      </c>
    </row>
    <row r="584" spans="1:5" x14ac:dyDescent="0.35">
      <c r="A584" s="3">
        <v>1157</v>
      </c>
      <c r="B584" s="3">
        <v>62187</v>
      </c>
      <c r="C584" s="3">
        <v>63</v>
      </c>
      <c r="D584" s="3">
        <v>0</v>
      </c>
      <c r="E584" s="25">
        <f t="shared" si="7"/>
        <v>964.40540631983401</v>
      </c>
    </row>
    <row r="585" spans="1:5" x14ac:dyDescent="0.35">
      <c r="A585" s="3">
        <v>1606</v>
      </c>
      <c r="B585" s="3">
        <v>76995</v>
      </c>
      <c r="C585" s="3">
        <v>71</v>
      </c>
      <c r="D585" s="3">
        <v>1</v>
      </c>
      <c r="E585" s="25">
        <f t="shared" si="7"/>
        <v>962.01714129051913</v>
      </c>
    </row>
    <row r="586" spans="1:5" x14ac:dyDescent="0.35">
      <c r="A586" s="2">
        <v>789</v>
      </c>
      <c r="B586" s="2">
        <v>74716</v>
      </c>
      <c r="C586" s="2">
        <v>48</v>
      </c>
      <c r="D586" s="2">
        <v>1</v>
      </c>
      <c r="E586" s="25">
        <f t="shared" si="7"/>
        <v>957.78923750514207</v>
      </c>
    </row>
    <row r="587" spans="1:5" x14ac:dyDescent="0.35">
      <c r="A587" s="2">
        <v>1489</v>
      </c>
      <c r="B587" s="2">
        <v>74854</v>
      </c>
      <c r="C587" s="2">
        <v>50</v>
      </c>
      <c r="D587" s="2">
        <v>1</v>
      </c>
      <c r="E587" s="25">
        <f t="shared" si="7"/>
        <v>956.93000935121165</v>
      </c>
    </row>
    <row r="588" spans="1:5" x14ac:dyDescent="0.35">
      <c r="A588" s="3">
        <v>1551</v>
      </c>
      <c r="B588" s="3">
        <v>62847</v>
      </c>
      <c r="C588" s="3">
        <v>75</v>
      </c>
      <c r="D588" s="3">
        <v>0</v>
      </c>
      <c r="E588" s="25">
        <f t="shared" si="7"/>
        <v>955.8247243480763</v>
      </c>
    </row>
    <row r="589" spans="1:5" x14ac:dyDescent="0.35">
      <c r="A589" s="3">
        <v>954</v>
      </c>
      <c r="B589" s="3">
        <v>75236</v>
      </c>
      <c r="C589" s="3">
        <v>56</v>
      </c>
      <c r="D589" s="3">
        <v>1</v>
      </c>
      <c r="E589" s="25">
        <f t="shared" si="7"/>
        <v>953.69988430881551</v>
      </c>
    </row>
    <row r="590" spans="1:5" x14ac:dyDescent="0.35">
      <c r="A590" s="3">
        <v>577</v>
      </c>
      <c r="B590" s="3">
        <v>74190</v>
      </c>
      <c r="C590" s="3">
        <v>45</v>
      </c>
      <c r="D590" s="3">
        <v>1</v>
      </c>
      <c r="E590" s="25">
        <f t="shared" si="7"/>
        <v>952.5740626981343</v>
      </c>
    </row>
    <row r="591" spans="1:5" x14ac:dyDescent="0.35">
      <c r="A591" s="2">
        <v>795</v>
      </c>
      <c r="B591" s="2">
        <v>73807</v>
      </c>
      <c r="C591" s="2">
        <v>42</v>
      </c>
      <c r="D591" s="2">
        <v>1</v>
      </c>
      <c r="E591" s="25">
        <f t="shared" si="7"/>
        <v>950.27448173570394</v>
      </c>
    </row>
    <row r="592" spans="1:5" x14ac:dyDescent="0.35">
      <c r="A592" s="2">
        <v>1205</v>
      </c>
      <c r="B592" s="2">
        <v>74290</v>
      </c>
      <c r="C592" s="2">
        <v>49</v>
      </c>
      <c r="D592" s="2">
        <v>1</v>
      </c>
      <c r="E592" s="25">
        <f t="shared" si="7"/>
        <v>947.26718319694703</v>
      </c>
    </row>
    <row r="593" spans="1:5" x14ac:dyDescent="0.35">
      <c r="A593" s="2">
        <v>382</v>
      </c>
      <c r="B593" s="2">
        <v>59973</v>
      </c>
      <c r="C593" s="2">
        <v>48</v>
      </c>
      <c r="D593" s="2">
        <v>0</v>
      </c>
      <c r="E593" s="25">
        <f t="shared" si="7"/>
        <v>946.81125983265599</v>
      </c>
    </row>
    <row r="594" spans="1:5" x14ac:dyDescent="0.35">
      <c r="A594" s="3">
        <v>956</v>
      </c>
      <c r="B594" s="3">
        <v>74806</v>
      </c>
      <c r="C594" s="3">
        <v>55</v>
      </c>
      <c r="D594" s="3">
        <v>1</v>
      </c>
      <c r="E594" s="25">
        <f t="shared" si="7"/>
        <v>946.76915308583341</v>
      </c>
    </row>
    <row r="595" spans="1:5" x14ac:dyDescent="0.35">
      <c r="A595" s="3">
        <v>948</v>
      </c>
      <c r="B595" s="3">
        <v>75072</v>
      </c>
      <c r="C595" s="3">
        <v>58</v>
      </c>
      <c r="D595" s="3">
        <v>1</v>
      </c>
      <c r="E595" s="25">
        <f t="shared" si="7"/>
        <v>946.68324817542737</v>
      </c>
    </row>
    <row r="596" spans="1:5" x14ac:dyDescent="0.35">
      <c r="A596" s="2">
        <v>537</v>
      </c>
      <c r="B596" s="2">
        <v>75342</v>
      </c>
      <c r="C596" s="2">
        <v>62</v>
      </c>
      <c r="D596" s="2">
        <v>1</v>
      </c>
      <c r="E596" s="25">
        <f t="shared" si="7"/>
        <v>944.84245925870289</v>
      </c>
    </row>
    <row r="597" spans="1:5" x14ac:dyDescent="0.35">
      <c r="A597" s="3">
        <v>605</v>
      </c>
      <c r="B597" s="3">
        <v>62159</v>
      </c>
      <c r="C597" s="3">
        <v>74</v>
      </c>
      <c r="D597" s="3">
        <v>0</v>
      </c>
      <c r="E597" s="25">
        <f t="shared" si="7"/>
        <v>943.63369094396819</v>
      </c>
    </row>
    <row r="598" spans="1:5" x14ac:dyDescent="0.35">
      <c r="A598" s="3">
        <v>801</v>
      </c>
      <c r="B598" s="3">
        <v>75903</v>
      </c>
      <c r="C598" s="3">
        <v>69</v>
      </c>
      <c r="D598" s="3">
        <v>1</v>
      </c>
      <c r="E598" s="25">
        <f t="shared" si="7"/>
        <v>943.42548463517039</v>
      </c>
    </row>
    <row r="599" spans="1:5" x14ac:dyDescent="0.35">
      <c r="A599" s="3">
        <v>766</v>
      </c>
      <c r="B599" s="3">
        <v>61284</v>
      </c>
      <c r="C599" s="3">
        <v>65</v>
      </c>
      <c r="D599" s="3">
        <v>0</v>
      </c>
      <c r="E599" s="25">
        <f t="shared" si="7"/>
        <v>942.32147052810512</v>
      </c>
    </row>
    <row r="600" spans="1:5" x14ac:dyDescent="0.35">
      <c r="A600" s="3">
        <v>953</v>
      </c>
      <c r="B600" s="3">
        <v>75283</v>
      </c>
      <c r="C600" s="3">
        <v>63</v>
      </c>
      <c r="D600" s="3">
        <v>1</v>
      </c>
      <c r="E600" s="25">
        <f t="shared" si="7"/>
        <v>941.80308285931858</v>
      </c>
    </row>
    <row r="601" spans="1:5" x14ac:dyDescent="0.35">
      <c r="A601" s="3">
        <v>1061</v>
      </c>
      <c r="B601" s="3">
        <v>75154</v>
      </c>
      <c r="C601" s="3">
        <v>62</v>
      </c>
      <c r="D601" s="3">
        <v>1</v>
      </c>
      <c r="E601" s="25">
        <f t="shared" si="7"/>
        <v>941.00937084765008</v>
      </c>
    </row>
    <row r="602" spans="1:5" x14ac:dyDescent="0.35">
      <c r="A602" s="2">
        <v>910</v>
      </c>
      <c r="B602" s="2">
        <v>74881</v>
      </c>
      <c r="C602" s="2">
        <v>59</v>
      </c>
      <c r="D602" s="2">
        <v>1</v>
      </c>
      <c r="E602" s="25">
        <f t="shared" si="7"/>
        <v>940.9525543810488</v>
      </c>
    </row>
    <row r="603" spans="1:5" x14ac:dyDescent="0.35">
      <c r="A603" s="2">
        <v>1203</v>
      </c>
      <c r="B603" s="2">
        <v>75032</v>
      </c>
      <c r="C603" s="2">
        <v>61</v>
      </c>
      <c r="D603" s="2">
        <v>1</v>
      </c>
      <c r="E603" s="25">
        <f t="shared" si="7"/>
        <v>940.35838021298866</v>
      </c>
    </row>
    <row r="604" spans="1:5" x14ac:dyDescent="0.35">
      <c r="A604" s="3">
        <v>728</v>
      </c>
      <c r="B604" s="3">
        <v>58684</v>
      </c>
      <c r="C604" s="3">
        <v>39</v>
      </c>
      <c r="D604" s="3">
        <v>0</v>
      </c>
      <c r="E604" s="25">
        <f t="shared" si="7"/>
        <v>937.05808940521911</v>
      </c>
    </row>
    <row r="605" spans="1:5" x14ac:dyDescent="0.35">
      <c r="A605" s="2">
        <v>810</v>
      </c>
      <c r="B605" s="2">
        <v>75315</v>
      </c>
      <c r="C605" s="2">
        <v>66</v>
      </c>
      <c r="D605" s="2">
        <v>1</v>
      </c>
      <c r="E605" s="25">
        <f t="shared" si="7"/>
        <v>936.94620620324065</v>
      </c>
    </row>
    <row r="606" spans="1:5" x14ac:dyDescent="0.35">
      <c r="A606" s="3">
        <v>1106</v>
      </c>
      <c r="B606" s="3">
        <v>73691</v>
      </c>
      <c r="C606" s="3">
        <v>49</v>
      </c>
      <c r="D606" s="3">
        <v>1</v>
      </c>
      <c r="E606" s="25">
        <f t="shared" si="7"/>
        <v>935.05431107875177</v>
      </c>
    </row>
    <row r="607" spans="1:5" x14ac:dyDescent="0.35">
      <c r="A607" s="3">
        <v>795</v>
      </c>
      <c r="B607" s="3">
        <v>60714</v>
      </c>
      <c r="C607" s="3">
        <v>64</v>
      </c>
      <c r="D607" s="3">
        <v>0</v>
      </c>
      <c r="E607" s="25">
        <f t="shared" si="7"/>
        <v>932.53631176497709</v>
      </c>
    </row>
    <row r="608" spans="1:5" x14ac:dyDescent="0.35">
      <c r="A608" s="3">
        <v>1313</v>
      </c>
      <c r="B608" s="3">
        <v>75027</v>
      </c>
      <c r="C608" s="3">
        <v>67</v>
      </c>
      <c r="D608" s="3">
        <v>1</v>
      </c>
      <c r="E608" s="25">
        <f t="shared" si="7"/>
        <v>929.23780189890329</v>
      </c>
    </row>
    <row r="609" spans="1:5" x14ac:dyDescent="0.35">
      <c r="A609" s="2">
        <v>783</v>
      </c>
      <c r="B609" s="2">
        <v>74805</v>
      </c>
      <c r="C609" s="2">
        <v>65</v>
      </c>
      <c r="D609" s="2">
        <v>1</v>
      </c>
      <c r="E609" s="25">
        <f t="shared" si="7"/>
        <v>928.38437352874632</v>
      </c>
    </row>
    <row r="610" spans="1:5" x14ac:dyDescent="0.35">
      <c r="A610" s="3">
        <v>1350</v>
      </c>
      <c r="B610" s="3">
        <v>71952</v>
      </c>
      <c r="C610" s="3">
        <v>34</v>
      </c>
      <c r="D610" s="3">
        <v>1</v>
      </c>
      <c r="E610" s="25">
        <f t="shared" si="7"/>
        <v>927.14482945992552</v>
      </c>
    </row>
    <row r="611" spans="1:5" x14ac:dyDescent="0.35">
      <c r="A611" s="2">
        <v>1551</v>
      </c>
      <c r="B611" s="2">
        <v>73538</v>
      </c>
      <c r="C611" s="2">
        <v>55</v>
      </c>
      <c r="D611" s="2">
        <v>1</v>
      </c>
      <c r="E611" s="25">
        <f t="shared" si="7"/>
        <v>920.91619507936969</v>
      </c>
    </row>
    <row r="612" spans="1:5" x14ac:dyDescent="0.35">
      <c r="A612" s="2">
        <v>372</v>
      </c>
      <c r="B612" s="2">
        <v>72967</v>
      </c>
      <c r="C612" s="2">
        <v>50</v>
      </c>
      <c r="D612" s="2">
        <v>1</v>
      </c>
      <c r="E612" s="25">
        <f t="shared" si="7"/>
        <v>918.45640386367461</v>
      </c>
    </row>
    <row r="613" spans="1:5" x14ac:dyDescent="0.35">
      <c r="A613" s="3">
        <v>668</v>
      </c>
      <c r="B613" s="3">
        <v>72063</v>
      </c>
      <c r="C613" s="3">
        <v>41</v>
      </c>
      <c r="D613" s="3">
        <v>1</v>
      </c>
      <c r="E613" s="25">
        <f t="shared" si="7"/>
        <v>916.55290917163859</v>
      </c>
    </row>
    <row r="614" spans="1:5" x14ac:dyDescent="0.35">
      <c r="A614" s="3">
        <v>1023</v>
      </c>
      <c r="B614" s="3">
        <v>72117</v>
      </c>
      <c r="C614" s="3">
        <v>43</v>
      </c>
      <c r="D614" s="3">
        <v>1</v>
      </c>
      <c r="E614" s="25">
        <f t="shared" si="7"/>
        <v>913.98102449362034</v>
      </c>
    </row>
    <row r="615" spans="1:5" x14ac:dyDescent="0.35">
      <c r="A615" s="2">
        <v>1384</v>
      </c>
      <c r="B615" s="2">
        <v>72504</v>
      </c>
      <c r="C615" s="2">
        <v>48</v>
      </c>
      <c r="D615" s="2">
        <v>1</v>
      </c>
      <c r="E615" s="25">
        <f t="shared" si="7"/>
        <v>912.68928237083776</v>
      </c>
    </row>
    <row r="616" spans="1:5" x14ac:dyDescent="0.35">
      <c r="A616" s="3">
        <v>1354</v>
      </c>
      <c r="B616" s="3">
        <v>73803</v>
      </c>
      <c r="C616" s="3">
        <v>63</v>
      </c>
      <c r="D616" s="3">
        <v>1</v>
      </c>
      <c r="E616" s="25">
        <f t="shared" si="7"/>
        <v>911.62770600634838</v>
      </c>
    </row>
    <row r="617" spans="1:5" x14ac:dyDescent="0.35">
      <c r="A617" s="2">
        <v>1114</v>
      </c>
      <c r="B617" s="2">
        <v>72679</v>
      </c>
      <c r="C617" s="2">
        <v>51</v>
      </c>
      <c r="D617" s="2">
        <v>1</v>
      </c>
      <c r="E617" s="25">
        <f t="shared" si="7"/>
        <v>910.74799955933725</v>
      </c>
    </row>
    <row r="618" spans="1:5" x14ac:dyDescent="0.35">
      <c r="A618" s="3">
        <v>1113</v>
      </c>
      <c r="B618" s="3">
        <v>71855</v>
      </c>
      <c r="C618" s="3">
        <v>43</v>
      </c>
      <c r="D618" s="3">
        <v>1</v>
      </c>
      <c r="E618" s="25">
        <f t="shared" si="7"/>
        <v>908.63916723991917</v>
      </c>
    </row>
    <row r="619" spans="1:5" x14ac:dyDescent="0.35">
      <c r="A619" s="2">
        <v>1391</v>
      </c>
      <c r="B619" s="2">
        <v>72258</v>
      </c>
      <c r="C619" s="2">
        <v>49</v>
      </c>
      <c r="D619" s="2">
        <v>1</v>
      </c>
      <c r="E619" s="25">
        <f t="shared" si="7"/>
        <v>905.83720632854477</v>
      </c>
    </row>
    <row r="620" spans="1:5" x14ac:dyDescent="0.35">
      <c r="A620" s="3">
        <v>1217</v>
      </c>
      <c r="B620" s="3">
        <v>56981</v>
      </c>
      <c r="C620" s="3">
        <v>39</v>
      </c>
      <c r="D620" s="3">
        <v>0</v>
      </c>
      <c r="E620" s="25">
        <f t="shared" si="7"/>
        <v>902.33601725615927</v>
      </c>
    </row>
    <row r="621" spans="1:5" x14ac:dyDescent="0.35">
      <c r="A621" s="2">
        <v>591</v>
      </c>
      <c r="B621" s="2">
        <v>71427</v>
      </c>
      <c r="C621" s="2">
        <v>42</v>
      </c>
      <c r="D621" s="2">
        <v>1</v>
      </c>
      <c r="E621" s="25">
        <f t="shared" si="7"/>
        <v>901.74921355322442</v>
      </c>
    </row>
    <row r="622" spans="1:5" x14ac:dyDescent="0.35">
      <c r="A622" s="2">
        <v>1473</v>
      </c>
      <c r="B622" s="2">
        <v>72828</v>
      </c>
      <c r="C622" s="2">
        <v>58</v>
      </c>
      <c r="D622" s="2">
        <v>1</v>
      </c>
      <c r="E622" s="25">
        <f t="shared" ref="E622:E685" si="8">$B$101+$B622*$B$102+$C622*$B$103+$D622*$B$104</f>
        <v>900.93085246051862</v>
      </c>
    </row>
    <row r="623" spans="1:5" x14ac:dyDescent="0.35">
      <c r="A623" s="2">
        <v>1076</v>
      </c>
      <c r="B623" s="2">
        <v>71969</v>
      </c>
      <c r="C623" s="2">
        <v>49</v>
      </c>
      <c r="D623" s="2">
        <v>1</v>
      </c>
      <c r="E623" s="25">
        <f t="shared" si="8"/>
        <v>899.944852334958</v>
      </c>
    </row>
    <row r="624" spans="1:5" x14ac:dyDescent="0.35">
      <c r="A624" s="2">
        <v>1588</v>
      </c>
      <c r="B624" s="2">
        <v>73705</v>
      </c>
      <c r="C624" s="2">
        <v>69</v>
      </c>
      <c r="D624" s="2">
        <v>1</v>
      </c>
      <c r="E624" s="25">
        <f t="shared" si="8"/>
        <v>898.61097225488072</v>
      </c>
    </row>
    <row r="625" spans="1:5" x14ac:dyDescent="0.35">
      <c r="A625" s="2">
        <v>1406</v>
      </c>
      <c r="B625" s="2">
        <v>71819</v>
      </c>
      <c r="C625" s="2">
        <v>49</v>
      </c>
      <c r="D625" s="2">
        <v>1</v>
      </c>
      <c r="E625" s="25">
        <f t="shared" si="8"/>
        <v>896.88653711337304</v>
      </c>
    </row>
    <row r="626" spans="1:5" x14ac:dyDescent="0.35">
      <c r="A626" s="2">
        <v>395</v>
      </c>
      <c r="B626" s="2">
        <v>59412</v>
      </c>
      <c r="C626" s="2">
        <v>69</v>
      </c>
      <c r="D626" s="2">
        <v>0</v>
      </c>
      <c r="E626" s="25">
        <f t="shared" si="8"/>
        <v>896.80794024714919</v>
      </c>
    </row>
    <row r="627" spans="1:5" x14ac:dyDescent="0.35">
      <c r="A627" s="3">
        <v>714</v>
      </c>
      <c r="B627" s="3">
        <v>59111</v>
      </c>
      <c r="C627" s="3">
        <v>66</v>
      </c>
      <c r="D627" s="3">
        <v>0</v>
      </c>
      <c r="E627" s="25">
        <f t="shared" si="8"/>
        <v>896.18023827251841</v>
      </c>
    </row>
    <row r="628" spans="1:5" x14ac:dyDescent="0.35">
      <c r="A628" s="2">
        <v>308</v>
      </c>
      <c r="B628" s="2">
        <v>71322</v>
      </c>
      <c r="C628" s="2">
        <v>44</v>
      </c>
      <c r="D628" s="2">
        <v>1</v>
      </c>
      <c r="E628" s="25">
        <f t="shared" si="8"/>
        <v>895.93551474032677</v>
      </c>
    </row>
    <row r="629" spans="1:5" x14ac:dyDescent="0.35">
      <c r="A629" s="3">
        <v>1211</v>
      </c>
      <c r="B629" s="3">
        <v>71022</v>
      </c>
      <c r="C629" s="3">
        <v>42</v>
      </c>
      <c r="D629" s="3">
        <v>1</v>
      </c>
      <c r="E629" s="25">
        <f t="shared" si="8"/>
        <v>893.49176245494539</v>
      </c>
    </row>
    <row r="630" spans="1:5" x14ac:dyDescent="0.35">
      <c r="A630" s="3">
        <v>408</v>
      </c>
      <c r="B630" s="3">
        <v>70829</v>
      </c>
      <c r="C630" s="3">
        <v>40</v>
      </c>
      <c r="D630" s="3">
        <v>1</v>
      </c>
      <c r="E630" s="25">
        <f t="shared" si="8"/>
        <v>893.22960836096138</v>
      </c>
    </row>
    <row r="631" spans="1:5" x14ac:dyDescent="0.35">
      <c r="A631" s="3">
        <v>758</v>
      </c>
      <c r="B631" s="3">
        <v>71499</v>
      </c>
      <c r="C631" s="3">
        <v>49</v>
      </c>
      <c r="D631" s="3">
        <v>1</v>
      </c>
      <c r="E631" s="25">
        <f t="shared" si="8"/>
        <v>890.36213130732551</v>
      </c>
    </row>
    <row r="632" spans="1:5" x14ac:dyDescent="0.35">
      <c r="A632" s="3">
        <v>313</v>
      </c>
      <c r="B632" s="3">
        <v>57100</v>
      </c>
      <c r="C632" s="3">
        <v>47</v>
      </c>
      <c r="D632" s="3">
        <v>0</v>
      </c>
      <c r="E632" s="25">
        <f t="shared" si="8"/>
        <v>890.07076803412906</v>
      </c>
    </row>
    <row r="633" spans="1:5" x14ac:dyDescent="0.35">
      <c r="A633" s="2">
        <v>1584</v>
      </c>
      <c r="B633" s="2">
        <v>71128</v>
      </c>
      <c r="C633" s="2">
        <v>47</v>
      </c>
      <c r="D633" s="2">
        <v>1</v>
      </c>
      <c r="E633" s="25">
        <f t="shared" si="8"/>
        <v>886.47077648372726</v>
      </c>
    </row>
    <row r="634" spans="1:5" x14ac:dyDescent="0.35">
      <c r="A634" s="3">
        <v>1011</v>
      </c>
      <c r="B634" s="3">
        <v>56715</v>
      </c>
      <c r="C634" s="3">
        <v>46</v>
      </c>
      <c r="D634" s="3">
        <v>0</v>
      </c>
      <c r="E634" s="25">
        <f t="shared" si="8"/>
        <v>884.05753137762213</v>
      </c>
    </row>
    <row r="635" spans="1:5" x14ac:dyDescent="0.35">
      <c r="A635" s="2">
        <v>1529</v>
      </c>
      <c r="B635" s="2">
        <v>58138</v>
      </c>
      <c r="C635" s="2">
        <v>63</v>
      </c>
      <c r="D635" s="2">
        <v>0</v>
      </c>
      <c r="E635" s="25">
        <f t="shared" si="8"/>
        <v>881.85128410518769</v>
      </c>
    </row>
    <row r="636" spans="1:5" x14ac:dyDescent="0.35">
      <c r="A636" s="2">
        <v>724</v>
      </c>
      <c r="B636" s="2">
        <v>70932</v>
      </c>
      <c r="C636" s="2">
        <v>48</v>
      </c>
      <c r="D636" s="2">
        <v>1</v>
      </c>
      <c r="E636" s="25">
        <f t="shared" si="8"/>
        <v>880.63813884862896</v>
      </c>
    </row>
    <row r="637" spans="1:5" x14ac:dyDescent="0.35">
      <c r="A637" s="3">
        <v>1281</v>
      </c>
      <c r="B637" s="3">
        <v>72550</v>
      </c>
      <c r="C637" s="3">
        <v>66</v>
      </c>
      <c r="D637" s="3">
        <v>1</v>
      </c>
      <c r="E637" s="25">
        <f t="shared" si="8"/>
        <v>880.57126228536015</v>
      </c>
    </row>
    <row r="638" spans="1:5" x14ac:dyDescent="0.35">
      <c r="A638" s="2">
        <v>547</v>
      </c>
      <c r="B638" s="2">
        <v>58398</v>
      </c>
      <c r="C638" s="2">
        <v>67</v>
      </c>
      <c r="D638" s="2">
        <v>0</v>
      </c>
      <c r="E638" s="25">
        <f t="shared" si="8"/>
        <v>879.80660750702441</v>
      </c>
    </row>
    <row r="639" spans="1:5" x14ac:dyDescent="0.35">
      <c r="A639" s="2">
        <v>1052</v>
      </c>
      <c r="B639" s="2">
        <v>57136</v>
      </c>
      <c r="C639" s="2">
        <v>53</v>
      </c>
      <c r="D639" s="2">
        <v>0</v>
      </c>
      <c r="E639" s="25">
        <f t="shared" si="8"/>
        <v>879.7861292139437</v>
      </c>
    </row>
    <row r="640" spans="1:5" x14ac:dyDescent="0.35">
      <c r="A640" s="2">
        <v>1024</v>
      </c>
      <c r="B640" s="2">
        <v>73059</v>
      </c>
      <c r="C640" s="2">
        <v>73</v>
      </c>
      <c r="D640" s="2">
        <v>1</v>
      </c>
      <c r="E640" s="25">
        <f t="shared" si="8"/>
        <v>878.09407171834471</v>
      </c>
    </row>
    <row r="641" spans="1:5" x14ac:dyDescent="0.35">
      <c r="A641" s="2">
        <v>907</v>
      </c>
      <c r="B641" s="2">
        <v>70886</v>
      </c>
      <c r="C641" s="2">
        <v>49</v>
      </c>
      <c r="D641" s="2">
        <v>1</v>
      </c>
      <c r="E641" s="25">
        <f t="shared" si="8"/>
        <v>877.86381643511515</v>
      </c>
    </row>
    <row r="642" spans="1:5" x14ac:dyDescent="0.35">
      <c r="A642" s="2">
        <v>852</v>
      </c>
      <c r="B642" s="2">
        <v>70379</v>
      </c>
      <c r="C642" s="2">
        <v>44</v>
      </c>
      <c r="D642" s="2">
        <v>1</v>
      </c>
      <c r="E642" s="25">
        <f t="shared" si="8"/>
        <v>876.70890638062986</v>
      </c>
    </row>
    <row r="643" spans="1:5" x14ac:dyDescent="0.35">
      <c r="A643" s="3">
        <v>1101</v>
      </c>
      <c r="B643" s="3">
        <v>71322</v>
      </c>
      <c r="C643" s="3">
        <v>55</v>
      </c>
      <c r="D643" s="3">
        <v>1</v>
      </c>
      <c r="E643" s="25">
        <f t="shared" si="8"/>
        <v>875.73468487248977</v>
      </c>
    </row>
    <row r="644" spans="1:5" x14ac:dyDescent="0.35">
      <c r="A644" s="2">
        <v>1550</v>
      </c>
      <c r="B644" s="2">
        <v>70300</v>
      </c>
      <c r="C644" s="2">
        <v>45</v>
      </c>
      <c r="D644" s="2">
        <v>1</v>
      </c>
      <c r="E644" s="25">
        <f t="shared" si="8"/>
        <v>873.26175461836749</v>
      </c>
    </row>
    <row r="645" spans="1:5" x14ac:dyDescent="0.35">
      <c r="A645" s="3">
        <v>901</v>
      </c>
      <c r="B645" s="3">
        <v>70179</v>
      </c>
      <c r="C645" s="3">
        <v>44</v>
      </c>
      <c r="D645" s="3">
        <v>1</v>
      </c>
      <c r="E645" s="25">
        <f t="shared" si="8"/>
        <v>872.63115275185021</v>
      </c>
    </row>
    <row r="646" spans="1:5" x14ac:dyDescent="0.35">
      <c r="A646" s="2">
        <v>1429</v>
      </c>
      <c r="B646" s="2">
        <v>71706</v>
      </c>
      <c r="C646" s="2">
        <v>61</v>
      </c>
      <c r="D646" s="2">
        <v>1</v>
      </c>
      <c r="E646" s="25">
        <f t="shared" si="8"/>
        <v>872.54533736638075</v>
      </c>
    </row>
    <row r="647" spans="1:5" x14ac:dyDescent="0.35">
      <c r="A647" s="3">
        <v>1232</v>
      </c>
      <c r="B647" s="3">
        <v>71434</v>
      </c>
      <c r="C647" s="3">
        <v>58</v>
      </c>
      <c r="D647" s="3">
        <v>1</v>
      </c>
      <c r="E647" s="25">
        <f t="shared" si="8"/>
        <v>872.5089096679236</v>
      </c>
    </row>
    <row r="648" spans="1:5" x14ac:dyDescent="0.35">
      <c r="A648" s="3">
        <v>1188</v>
      </c>
      <c r="B648" s="3">
        <v>72071</v>
      </c>
      <c r="C648" s="3">
        <v>66</v>
      </c>
      <c r="D648" s="3">
        <v>1</v>
      </c>
      <c r="E648" s="25">
        <f t="shared" si="8"/>
        <v>870.80504234443276</v>
      </c>
    </row>
    <row r="649" spans="1:5" x14ac:dyDescent="0.35">
      <c r="A649" s="2">
        <v>682</v>
      </c>
      <c r="B649" s="2">
        <v>71866</v>
      </c>
      <c r="C649" s="2">
        <v>64</v>
      </c>
      <c r="D649" s="2">
        <v>1</v>
      </c>
      <c r="E649" s="25">
        <f t="shared" si="8"/>
        <v>870.29822303272192</v>
      </c>
    </row>
    <row r="650" spans="1:5" x14ac:dyDescent="0.35">
      <c r="A650" s="3">
        <v>709</v>
      </c>
      <c r="B650" s="3">
        <v>70777</v>
      </c>
      <c r="C650" s="3">
        <v>52</v>
      </c>
      <c r="D650" s="3">
        <v>1</v>
      </c>
      <c r="E650" s="25">
        <f t="shared" si="8"/>
        <v>870.13212347074762</v>
      </c>
    </row>
    <row r="651" spans="1:5" x14ac:dyDescent="0.35">
      <c r="A651" s="2">
        <v>292</v>
      </c>
      <c r="B651" s="2">
        <v>70844</v>
      </c>
      <c r="C651" s="2">
        <v>53</v>
      </c>
      <c r="D651" s="2">
        <v>1</v>
      </c>
      <c r="E651" s="25">
        <f t="shared" si="8"/>
        <v>869.6617318574946</v>
      </c>
    </row>
    <row r="652" spans="1:5" x14ac:dyDescent="0.35">
      <c r="A652" s="2">
        <v>540</v>
      </c>
      <c r="B652" s="2">
        <v>57091</v>
      </c>
      <c r="C652" s="2">
        <v>59</v>
      </c>
      <c r="D652" s="2">
        <v>0</v>
      </c>
      <c r="E652" s="25">
        <f t="shared" si="8"/>
        <v>867.85000017410266</v>
      </c>
    </row>
    <row r="653" spans="1:5" x14ac:dyDescent="0.35">
      <c r="A653" s="3">
        <v>1092</v>
      </c>
      <c r="B653" s="3">
        <v>69508</v>
      </c>
      <c r="C653" s="3">
        <v>40</v>
      </c>
      <c r="D653" s="3">
        <v>1</v>
      </c>
      <c r="E653" s="25">
        <f t="shared" si="8"/>
        <v>866.29604564287104</v>
      </c>
    </row>
    <row r="654" spans="1:5" x14ac:dyDescent="0.35">
      <c r="A654" s="2">
        <v>736</v>
      </c>
      <c r="B654" s="2">
        <v>70566</v>
      </c>
      <c r="C654" s="2">
        <v>52</v>
      </c>
      <c r="D654" s="2">
        <v>1</v>
      </c>
      <c r="E654" s="25">
        <f t="shared" si="8"/>
        <v>865.83009339238481</v>
      </c>
    </row>
    <row r="655" spans="1:5" x14ac:dyDescent="0.35">
      <c r="A655" s="3">
        <v>965</v>
      </c>
      <c r="B655" s="3">
        <v>70647</v>
      </c>
      <c r="C655" s="3">
        <v>53</v>
      </c>
      <c r="D655" s="3">
        <v>1</v>
      </c>
      <c r="E655" s="25">
        <f t="shared" si="8"/>
        <v>865.64514453314644</v>
      </c>
    </row>
    <row r="656" spans="1:5" x14ac:dyDescent="0.35">
      <c r="A656" s="2">
        <v>1287</v>
      </c>
      <c r="B656" s="2">
        <v>70713</v>
      </c>
      <c r="C656" s="2">
        <v>54</v>
      </c>
      <c r="D656" s="2">
        <v>1</v>
      </c>
      <c r="E656" s="25">
        <f t="shared" si="8"/>
        <v>865.15436415174929</v>
      </c>
    </row>
    <row r="657" spans="1:5" x14ac:dyDescent="0.35">
      <c r="A657" s="2">
        <v>965</v>
      </c>
      <c r="B657" s="2">
        <v>71965</v>
      </c>
      <c r="C657" s="2">
        <v>69</v>
      </c>
      <c r="D657" s="2">
        <v>1</v>
      </c>
      <c r="E657" s="25">
        <f t="shared" si="8"/>
        <v>863.13451568449671</v>
      </c>
    </row>
    <row r="658" spans="1:5" x14ac:dyDescent="0.35">
      <c r="A658" s="3">
        <v>900</v>
      </c>
      <c r="B658" s="3">
        <v>71232</v>
      </c>
      <c r="C658" s="3">
        <v>61</v>
      </c>
      <c r="D658" s="3">
        <v>1</v>
      </c>
      <c r="E658" s="25">
        <f t="shared" si="8"/>
        <v>862.88106126617265</v>
      </c>
    </row>
    <row r="659" spans="1:5" x14ac:dyDescent="0.35">
      <c r="A659" s="3">
        <v>902</v>
      </c>
      <c r="B659" s="3">
        <v>71391</v>
      </c>
      <c r="C659" s="3">
        <v>64</v>
      </c>
      <c r="D659" s="3">
        <v>1</v>
      </c>
      <c r="E659" s="25">
        <f t="shared" si="8"/>
        <v>860.61355816436969</v>
      </c>
    </row>
    <row r="660" spans="1:5" x14ac:dyDescent="0.35">
      <c r="A660" s="3">
        <v>1808</v>
      </c>
      <c r="B660" s="3">
        <v>70971</v>
      </c>
      <c r="C660" s="3">
        <v>60</v>
      </c>
      <c r="D660" s="3">
        <v>1</v>
      </c>
      <c r="E660" s="25">
        <f t="shared" si="8"/>
        <v>859.39603185950966</v>
      </c>
    </row>
    <row r="661" spans="1:5" x14ac:dyDescent="0.35">
      <c r="A661" s="3">
        <v>782</v>
      </c>
      <c r="B661" s="3">
        <v>69389</v>
      </c>
      <c r="C661" s="3">
        <v>43</v>
      </c>
      <c r="D661" s="3">
        <v>1</v>
      </c>
      <c r="E661" s="25">
        <f t="shared" si="8"/>
        <v>858.36046499706447</v>
      </c>
    </row>
    <row r="662" spans="1:5" x14ac:dyDescent="0.35">
      <c r="A662" s="3">
        <v>1150</v>
      </c>
      <c r="B662" s="3">
        <v>70091</v>
      </c>
      <c r="C662" s="3">
        <v>51</v>
      </c>
      <c r="D662" s="3">
        <v>1</v>
      </c>
      <c r="E662" s="25">
        <f t="shared" si="8"/>
        <v>857.98186760292731</v>
      </c>
    </row>
    <row r="663" spans="1:5" x14ac:dyDescent="0.35">
      <c r="A663" s="2">
        <v>827</v>
      </c>
      <c r="B663" s="2">
        <v>71113</v>
      </c>
      <c r="C663" s="2">
        <v>63</v>
      </c>
      <c r="D663" s="2">
        <v>1</v>
      </c>
      <c r="E663" s="25">
        <f t="shared" si="8"/>
        <v>856.78191969926036</v>
      </c>
    </row>
    <row r="664" spans="1:5" x14ac:dyDescent="0.35">
      <c r="A664" s="3">
        <v>733</v>
      </c>
      <c r="B664" s="3">
        <v>69901</v>
      </c>
      <c r="C664" s="3">
        <v>51</v>
      </c>
      <c r="D664" s="3">
        <v>1</v>
      </c>
      <c r="E664" s="25">
        <f t="shared" si="8"/>
        <v>854.10800165558624</v>
      </c>
    </row>
    <row r="665" spans="1:5" x14ac:dyDescent="0.35">
      <c r="A665" s="2">
        <v>641</v>
      </c>
      <c r="B665" s="2">
        <v>56046</v>
      </c>
      <c r="C665" s="2">
        <v>55</v>
      </c>
      <c r="D665" s="2">
        <v>0</v>
      </c>
      <c r="E665" s="25">
        <f t="shared" si="8"/>
        <v>853.88949377930544</v>
      </c>
    </row>
    <row r="666" spans="1:5" x14ac:dyDescent="0.35">
      <c r="A666" s="3">
        <v>896</v>
      </c>
      <c r="B666" s="3">
        <v>69283</v>
      </c>
      <c r="C666" s="3">
        <v>45</v>
      </c>
      <c r="D666" s="3">
        <v>1</v>
      </c>
      <c r="E666" s="25">
        <f t="shared" si="8"/>
        <v>852.52637741602268</v>
      </c>
    </row>
    <row r="667" spans="1:5" x14ac:dyDescent="0.35">
      <c r="A667" s="3">
        <v>651</v>
      </c>
      <c r="B667" s="3">
        <v>69401</v>
      </c>
      <c r="C667" s="3">
        <v>47</v>
      </c>
      <c r="D667" s="3">
        <v>1</v>
      </c>
      <c r="E667" s="25">
        <f t="shared" si="8"/>
        <v>851.25937389921421</v>
      </c>
    </row>
    <row r="668" spans="1:5" x14ac:dyDescent="0.35">
      <c r="A668" s="2">
        <v>923</v>
      </c>
      <c r="B668" s="2">
        <v>70053</v>
      </c>
      <c r="C668" s="2">
        <v>55</v>
      </c>
      <c r="D668" s="2">
        <v>1</v>
      </c>
      <c r="E668" s="25">
        <f t="shared" si="8"/>
        <v>849.86133809788191</v>
      </c>
    </row>
    <row r="669" spans="1:5" x14ac:dyDescent="0.35">
      <c r="A669" s="3">
        <v>821</v>
      </c>
      <c r="B669" s="3">
        <v>69674</v>
      </c>
      <c r="C669" s="3">
        <v>52</v>
      </c>
      <c r="D669" s="3">
        <v>1</v>
      </c>
      <c r="E669" s="25">
        <f t="shared" si="8"/>
        <v>847.64331220802717</v>
      </c>
    </row>
    <row r="670" spans="1:5" x14ac:dyDescent="0.35">
      <c r="A670" s="2">
        <v>1132</v>
      </c>
      <c r="B670" s="2">
        <v>71107</v>
      </c>
      <c r="C670" s="2">
        <v>69</v>
      </c>
      <c r="D670" s="2">
        <v>1</v>
      </c>
      <c r="E670" s="25">
        <f t="shared" si="8"/>
        <v>845.6409526170313</v>
      </c>
    </row>
    <row r="671" spans="1:5" x14ac:dyDescent="0.35">
      <c r="A671" s="2">
        <v>992</v>
      </c>
      <c r="B671" s="2">
        <v>69932</v>
      </c>
      <c r="C671" s="2">
        <v>56</v>
      </c>
      <c r="D671" s="2">
        <v>1</v>
      </c>
      <c r="E671" s="25">
        <f t="shared" si="8"/>
        <v>845.55785807357609</v>
      </c>
    </row>
    <row r="672" spans="1:5" x14ac:dyDescent="0.35">
      <c r="A672" s="2">
        <v>1030</v>
      </c>
      <c r="B672" s="2">
        <v>57513</v>
      </c>
      <c r="C672" s="2">
        <v>77</v>
      </c>
      <c r="D672" s="2">
        <v>0</v>
      </c>
      <c r="E672" s="25">
        <f t="shared" si="8"/>
        <v>843.39815691073113</v>
      </c>
    </row>
    <row r="673" spans="1:5" x14ac:dyDescent="0.35">
      <c r="A673" s="3">
        <v>259</v>
      </c>
      <c r="B673" s="3">
        <v>68274</v>
      </c>
      <c r="C673" s="3">
        <v>41</v>
      </c>
      <c r="D673" s="3">
        <v>1</v>
      </c>
      <c r="E673" s="25">
        <f t="shared" si="8"/>
        <v>839.29986667440573</v>
      </c>
    </row>
    <row r="674" spans="1:5" x14ac:dyDescent="0.35">
      <c r="A674" s="2">
        <v>1556</v>
      </c>
      <c r="B674" s="2">
        <v>69084</v>
      </c>
      <c r="C674" s="2">
        <v>50</v>
      </c>
      <c r="D674" s="2">
        <v>1</v>
      </c>
      <c r="E674" s="25">
        <f t="shared" si="8"/>
        <v>839.28681716091535</v>
      </c>
    </row>
    <row r="675" spans="1:5" x14ac:dyDescent="0.35">
      <c r="A675" s="3">
        <v>1372</v>
      </c>
      <c r="B675" s="3">
        <v>69016</v>
      </c>
      <c r="C675" s="3">
        <v>50</v>
      </c>
      <c r="D675" s="3">
        <v>1</v>
      </c>
      <c r="E675" s="25">
        <f t="shared" si="8"/>
        <v>837.90038092712996</v>
      </c>
    </row>
    <row r="676" spans="1:5" x14ac:dyDescent="0.35">
      <c r="A676" s="2">
        <v>732</v>
      </c>
      <c r="B676" s="2">
        <v>70421</v>
      </c>
      <c r="C676" s="2">
        <v>66</v>
      </c>
      <c r="D676" s="2">
        <v>1</v>
      </c>
      <c r="E676" s="25">
        <f t="shared" si="8"/>
        <v>837.16357490699954</v>
      </c>
    </row>
    <row r="677" spans="1:5" x14ac:dyDescent="0.35">
      <c r="A677" s="2">
        <v>1336</v>
      </c>
      <c r="B677" s="2">
        <v>68397</v>
      </c>
      <c r="C677" s="2">
        <v>44</v>
      </c>
      <c r="D677" s="2">
        <v>1</v>
      </c>
      <c r="E677" s="25">
        <f t="shared" si="8"/>
        <v>836.29836791942228</v>
      </c>
    </row>
    <row r="678" spans="1:5" x14ac:dyDescent="0.35">
      <c r="A678" s="2">
        <v>313</v>
      </c>
      <c r="B678" s="2">
        <v>70545</v>
      </c>
      <c r="C678" s="2">
        <v>68</v>
      </c>
      <c r="D678" s="2">
        <v>1</v>
      </c>
      <c r="E678" s="25">
        <f t="shared" si="8"/>
        <v>836.01890399905449</v>
      </c>
    </row>
    <row r="679" spans="1:5" x14ac:dyDescent="0.35">
      <c r="A679" s="2">
        <v>808</v>
      </c>
      <c r="B679" s="2">
        <v>69627</v>
      </c>
      <c r="C679" s="2">
        <v>58</v>
      </c>
      <c r="D679" s="2">
        <v>1</v>
      </c>
      <c r="E679" s="25">
        <f t="shared" si="8"/>
        <v>835.66640563189833</v>
      </c>
    </row>
    <row r="680" spans="1:5" x14ac:dyDescent="0.35">
      <c r="A680" s="3">
        <v>547</v>
      </c>
      <c r="B680" s="3">
        <v>69263</v>
      </c>
      <c r="C680" s="3">
        <v>55</v>
      </c>
      <c r="D680" s="3">
        <v>1</v>
      </c>
      <c r="E680" s="25">
        <f t="shared" si="8"/>
        <v>833.7542112642019</v>
      </c>
    </row>
    <row r="681" spans="1:5" x14ac:dyDescent="0.35">
      <c r="A681" s="2">
        <v>838</v>
      </c>
      <c r="B681" s="2">
        <v>68352</v>
      </c>
      <c r="C681" s="2">
        <v>46</v>
      </c>
      <c r="D681" s="2">
        <v>1</v>
      </c>
      <c r="E681" s="25">
        <f t="shared" si="8"/>
        <v>831.70799519515833</v>
      </c>
    </row>
    <row r="682" spans="1:5" x14ac:dyDescent="0.35">
      <c r="A682" s="2">
        <v>902</v>
      </c>
      <c r="B682" s="2">
        <v>69063</v>
      </c>
      <c r="C682" s="2">
        <v>54</v>
      </c>
      <c r="D682" s="2">
        <v>1</v>
      </c>
      <c r="E682" s="25">
        <f t="shared" si="8"/>
        <v>831.51289671431607</v>
      </c>
    </row>
    <row r="683" spans="1:5" x14ac:dyDescent="0.35">
      <c r="A683" s="2">
        <v>221</v>
      </c>
      <c r="B683" s="2">
        <v>69139</v>
      </c>
      <c r="C683" s="2">
        <v>55</v>
      </c>
      <c r="D683" s="2">
        <v>1</v>
      </c>
      <c r="E683" s="25">
        <f t="shared" si="8"/>
        <v>831.22600401435841</v>
      </c>
    </row>
    <row r="684" spans="1:5" x14ac:dyDescent="0.35">
      <c r="A684" s="2">
        <v>1490</v>
      </c>
      <c r="B684" s="2">
        <v>70044</v>
      </c>
      <c r="C684" s="2">
        <v>66</v>
      </c>
      <c r="D684" s="2">
        <v>1</v>
      </c>
      <c r="E684" s="25">
        <f t="shared" si="8"/>
        <v>829.47700931674979</v>
      </c>
    </row>
    <row r="685" spans="1:5" x14ac:dyDescent="0.35">
      <c r="A685" s="2">
        <v>264</v>
      </c>
      <c r="B685" s="2">
        <v>67506</v>
      </c>
      <c r="C685" s="2">
        <v>40</v>
      </c>
      <c r="D685" s="2">
        <v>1</v>
      </c>
      <c r="E685" s="25">
        <f t="shared" si="8"/>
        <v>825.4777318187854</v>
      </c>
    </row>
    <row r="686" spans="1:5" x14ac:dyDescent="0.35">
      <c r="A686" s="2">
        <v>948</v>
      </c>
      <c r="B686" s="2">
        <v>67893</v>
      </c>
      <c r="C686" s="2">
        <v>45</v>
      </c>
      <c r="D686" s="2">
        <v>1</v>
      </c>
      <c r="E686" s="25">
        <f t="shared" ref="E686:E749" si="9">$B$101+$B686*$B$102+$C686*$B$103+$D686*$B$104</f>
        <v>824.18598969600328</v>
      </c>
    </row>
    <row r="687" spans="1:5" x14ac:dyDescent="0.35">
      <c r="A687" s="2">
        <v>225</v>
      </c>
      <c r="B687" s="2">
        <v>54165</v>
      </c>
      <c r="C687" s="2">
        <v>51</v>
      </c>
      <c r="D687" s="2">
        <v>0</v>
      </c>
      <c r="E687" s="25">
        <f t="shared" si="9"/>
        <v>822.88397721620868</v>
      </c>
    </row>
    <row r="688" spans="1:5" x14ac:dyDescent="0.35">
      <c r="A688" s="2">
        <v>1018</v>
      </c>
      <c r="B688" s="2">
        <v>69805</v>
      </c>
      <c r="C688" s="2">
        <v>68</v>
      </c>
      <c r="D688" s="2">
        <v>1</v>
      </c>
      <c r="E688" s="25">
        <f t="shared" si="9"/>
        <v>820.93121557256916</v>
      </c>
    </row>
    <row r="689" spans="1:5" x14ac:dyDescent="0.35">
      <c r="A689" s="2">
        <v>544</v>
      </c>
      <c r="B689" s="2">
        <v>69096</v>
      </c>
      <c r="C689" s="2">
        <v>62</v>
      </c>
      <c r="D689" s="2">
        <v>1</v>
      </c>
      <c r="E689" s="25">
        <f t="shared" si="9"/>
        <v>817.49421343191068</v>
      </c>
    </row>
    <row r="690" spans="1:5" x14ac:dyDescent="0.35">
      <c r="A690" s="2">
        <v>982</v>
      </c>
      <c r="B690" s="2">
        <v>69702</v>
      </c>
      <c r="C690" s="2">
        <v>69</v>
      </c>
      <c r="D690" s="2">
        <v>1</v>
      </c>
      <c r="E690" s="25">
        <f t="shared" si="9"/>
        <v>816.99473337485313</v>
      </c>
    </row>
    <row r="691" spans="1:5" x14ac:dyDescent="0.35">
      <c r="A691" s="2">
        <v>782</v>
      </c>
      <c r="B691" s="2">
        <v>69245</v>
      </c>
      <c r="C691" s="2">
        <v>64</v>
      </c>
      <c r="D691" s="2">
        <v>1</v>
      </c>
      <c r="E691" s="25">
        <f t="shared" si="9"/>
        <v>816.85926172756297</v>
      </c>
    </row>
    <row r="692" spans="1:5" x14ac:dyDescent="0.35">
      <c r="A692" s="3">
        <v>351</v>
      </c>
      <c r="B692" s="3">
        <v>66503</v>
      </c>
      <c r="C692" s="3">
        <v>35</v>
      </c>
      <c r="D692" s="3">
        <v>1</v>
      </c>
      <c r="E692" s="25">
        <f t="shared" si="9"/>
        <v>814.20999276492614</v>
      </c>
    </row>
    <row r="693" spans="1:5" x14ac:dyDescent="0.35">
      <c r="A693" s="2">
        <v>961</v>
      </c>
      <c r="B693" s="2">
        <v>55956</v>
      </c>
      <c r="C693" s="2">
        <v>76</v>
      </c>
      <c r="D693" s="2">
        <v>0</v>
      </c>
      <c r="E693" s="25">
        <f t="shared" si="9"/>
        <v>813.48928398957469</v>
      </c>
    </row>
    <row r="694" spans="1:5" x14ac:dyDescent="0.35">
      <c r="A694" s="3">
        <v>263</v>
      </c>
      <c r="B694" s="3">
        <v>68805</v>
      </c>
      <c r="C694" s="3">
        <v>61</v>
      </c>
      <c r="D694" s="3">
        <v>1</v>
      </c>
      <c r="E694" s="25">
        <f t="shared" si="9"/>
        <v>813.39752098093038</v>
      </c>
    </row>
    <row r="695" spans="1:5" x14ac:dyDescent="0.35">
      <c r="A695" s="3">
        <v>1163</v>
      </c>
      <c r="B695" s="3">
        <v>67445</v>
      </c>
      <c r="C695" s="3">
        <v>46</v>
      </c>
      <c r="D695" s="3">
        <v>1</v>
      </c>
      <c r="E695" s="25">
        <f t="shared" si="9"/>
        <v>813.21538248864192</v>
      </c>
    </row>
    <row r="696" spans="1:5" x14ac:dyDescent="0.35">
      <c r="A696" s="3">
        <v>1178</v>
      </c>
      <c r="B696" s="3">
        <v>68316</v>
      </c>
      <c r="C696" s="3">
        <v>56</v>
      </c>
      <c r="D696" s="3">
        <v>1</v>
      </c>
      <c r="E696" s="25">
        <f t="shared" si="9"/>
        <v>812.6096087530351</v>
      </c>
    </row>
    <row r="697" spans="1:5" x14ac:dyDescent="0.35">
      <c r="A697" s="3">
        <v>1165</v>
      </c>
      <c r="B697" s="3">
        <v>67432</v>
      </c>
      <c r="C697" s="3">
        <v>47</v>
      </c>
      <c r="D697" s="3">
        <v>1</v>
      </c>
      <c r="E697" s="25">
        <f t="shared" si="9"/>
        <v>811.11388942387714</v>
      </c>
    </row>
    <row r="698" spans="1:5" x14ac:dyDescent="0.35">
      <c r="A698" s="3">
        <v>1422</v>
      </c>
      <c r="B698" s="3">
        <v>68142</v>
      </c>
      <c r="C698" s="3">
        <v>56</v>
      </c>
      <c r="D698" s="3">
        <v>1</v>
      </c>
      <c r="E698" s="25">
        <f t="shared" si="9"/>
        <v>809.06196309599693</v>
      </c>
    </row>
    <row r="699" spans="1:5" x14ac:dyDescent="0.35">
      <c r="A699" s="3">
        <v>1794</v>
      </c>
      <c r="B699" s="3">
        <v>67536</v>
      </c>
      <c r="C699" s="3">
        <v>50</v>
      </c>
      <c r="D699" s="3">
        <v>1</v>
      </c>
      <c r="E699" s="25">
        <f t="shared" si="9"/>
        <v>807.72500407415976</v>
      </c>
    </row>
    <row r="700" spans="1:5" x14ac:dyDescent="0.35">
      <c r="A700" s="3">
        <v>496</v>
      </c>
      <c r="B700" s="3">
        <v>69142</v>
      </c>
      <c r="C700" s="3">
        <v>68</v>
      </c>
      <c r="D700" s="3">
        <v>1</v>
      </c>
      <c r="E700" s="25">
        <f t="shared" si="9"/>
        <v>807.41346229316412</v>
      </c>
    </row>
    <row r="701" spans="1:5" x14ac:dyDescent="0.35">
      <c r="A701" s="3">
        <v>774</v>
      </c>
      <c r="B701" s="3">
        <v>68118</v>
      </c>
      <c r="C701" s="3">
        <v>57</v>
      </c>
      <c r="D701" s="3">
        <v>1</v>
      </c>
      <c r="E701" s="25">
        <f t="shared" si="9"/>
        <v>806.73619358164899</v>
      </c>
    </row>
    <row r="702" spans="1:5" x14ac:dyDescent="0.35">
      <c r="A702" s="3">
        <v>656</v>
      </c>
      <c r="B702" s="3">
        <v>55614</v>
      </c>
      <c r="C702" s="3">
        <v>76</v>
      </c>
      <c r="D702" s="3">
        <v>0</v>
      </c>
      <c r="E702" s="25">
        <f t="shared" si="9"/>
        <v>806.5163252843613</v>
      </c>
    </row>
    <row r="703" spans="1:5" x14ac:dyDescent="0.35">
      <c r="A703" s="2">
        <v>276</v>
      </c>
      <c r="B703" s="2">
        <v>51373</v>
      </c>
      <c r="C703" s="2">
        <v>29</v>
      </c>
      <c r="D703" s="2">
        <v>0</v>
      </c>
      <c r="E703" s="25">
        <f t="shared" si="9"/>
        <v>806.36019629411703</v>
      </c>
    </row>
    <row r="704" spans="1:5" x14ac:dyDescent="0.35">
      <c r="A704" s="3">
        <v>917</v>
      </c>
      <c r="B704" s="3">
        <v>52513</v>
      </c>
      <c r="C704" s="3">
        <v>42</v>
      </c>
      <c r="D704" s="3">
        <v>0</v>
      </c>
      <c r="E704" s="25">
        <f t="shared" si="9"/>
        <v>805.72968395253633</v>
      </c>
    </row>
    <row r="705" spans="1:5" x14ac:dyDescent="0.35">
      <c r="A705" s="3">
        <v>1429</v>
      </c>
      <c r="B705" s="3">
        <v>67419</v>
      </c>
      <c r="C705" s="3">
        <v>50</v>
      </c>
      <c r="D705" s="3">
        <v>1</v>
      </c>
      <c r="E705" s="25">
        <f t="shared" si="9"/>
        <v>805.33951820132381</v>
      </c>
    </row>
    <row r="706" spans="1:5" x14ac:dyDescent="0.35">
      <c r="A706" s="3">
        <v>1383</v>
      </c>
      <c r="B706" s="3">
        <v>67384</v>
      </c>
      <c r="C706" s="3">
        <v>50</v>
      </c>
      <c r="D706" s="3">
        <v>1</v>
      </c>
      <c r="E706" s="25">
        <f t="shared" si="9"/>
        <v>804.62591131628699</v>
      </c>
    </row>
    <row r="707" spans="1:5" x14ac:dyDescent="0.35">
      <c r="A707" s="2">
        <v>878</v>
      </c>
      <c r="B707" s="2">
        <v>67353</v>
      </c>
      <c r="C707" s="2">
        <v>50</v>
      </c>
      <c r="D707" s="2">
        <v>1</v>
      </c>
      <c r="E707" s="25">
        <f t="shared" si="9"/>
        <v>803.99385950382623</v>
      </c>
    </row>
    <row r="708" spans="1:5" x14ac:dyDescent="0.35">
      <c r="A708" s="3">
        <v>1214</v>
      </c>
      <c r="B708" s="3">
        <v>51563</v>
      </c>
      <c r="C708" s="3">
        <v>33</v>
      </c>
      <c r="D708" s="3">
        <v>0</v>
      </c>
      <c r="E708" s="25">
        <f t="shared" si="9"/>
        <v>802.88830592588079</v>
      </c>
    </row>
    <row r="709" spans="1:5" x14ac:dyDescent="0.35">
      <c r="A709" s="3">
        <v>1419</v>
      </c>
      <c r="B709" s="3">
        <v>67369</v>
      </c>
      <c r="C709" s="3">
        <v>51</v>
      </c>
      <c r="D709" s="3">
        <v>1</v>
      </c>
      <c r="E709" s="25">
        <f t="shared" si="9"/>
        <v>802.4836407152344</v>
      </c>
    </row>
    <row r="710" spans="1:5" x14ac:dyDescent="0.35">
      <c r="A710" s="3">
        <v>606</v>
      </c>
      <c r="B710" s="3">
        <v>66653</v>
      </c>
      <c r="C710" s="3">
        <v>45</v>
      </c>
      <c r="D710" s="3">
        <v>1</v>
      </c>
      <c r="E710" s="25">
        <f t="shared" si="9"/>
        <v>798.90391719756838</v>
      </c>
    </row>
    <row r="711" spans="1:5" x14ac:dyDescent="0.35">
      <c r="A711" s="3">
        <v>497</v>
      </c>
      <c r="B711" s="3">
        <v>66373</v>
      </c>
      <c r="C711" s="3">
        <v>42</v>
      </c>
      <c r="D711" s="3">
        <v>1</v>
      </c>
      <c r="E711" s="25">
        <f t="shared" si="9"/>
        <v>798.70437935395978</v>
      </c>
    </row>
    <row r="712" spans="1:5" x14ac:dyDescent="0.35">
      <c r="A712" s="2">
        <v>987</v>
      </c>
      <c r="B712" s="2">
        <v>67309</v>
      </c>
      <c r="C712" s="2">
        <v>53</v>
      </c>
      <c r="D712" s="2">
        <v>1</v>
      </c>
      <c r="E712" s="25">
        <f t="shared" si="9"/>
        <v>797.58743646881214</v>
      </c>
    </row>
    <row r="713" spans="1:5" x14ac:dyDescent="0.35">
      <c r="A713" s="2">
        <v>611</v>
      </c>
      <c r="B713" s="2">
        <v>66476</v>
      </c>
      <c r="C713" s="2">
        <v>44</v>
      </c>
      <c r="D713" s="2">
        <v>1</v>
      </c>
      <c r="E713" s="25">
        <f t="shared" si="9"/>
        <v>797.13154431499254</v>
      </c>
    </row>
    <row r="714" spans="1:5" x14ac:dyDescent="0.35">
      <c r="A714" s="3">
        <v>719</v>
      </c>
      <c r="B714" s="3">
        <v>67272</v>
      </c>
      <c r="C714" s="3">
        <v>54</v>
      </c>
      <c r="D714" s="3">
        <v>1</v>
      </c>
      <c r="E714" s="25">
        <f t="shared" si="9"/>
        <v>794.99661296859324</v>
      </c>
    </row>
    <row r="715" spans="1:5" x14ac:dyDescent="0.35">
      <c r="A715" s="2">
        <v>669</v>
      </c>
      <c r="B715" s="2">
        <v>52531</v>
      </c>
      <c r="C715" s="2">
        <v>49</v>
      </c>
      <c r="D715" s="2">
        <v>0</v>
      </c>
      <c r="E715" s="25">
        <f t="shared" si="9"/>
        <v>793.24160822686645</v>
      </c>
    </row>
    <row r="716" spans="1:5" x14ac:dyDescent="0.35">
      <c r="A716" s="3">
        <v>960</v>
      </c>
      <c r="B716" s="3">
        <v>67716</v>
      </c>
      <c r="C716" s="3">
        <v>60</v>
      </c>
      <c r="D716" s="3">
        <v>1</v>
      </c>
      <c r="E716" s="25">
        <f t="shared" si="9"/>
        <v>793.03059155111907</v>
      </c>
    </row>
    <row r="717" spans="1:5" x14ac:dyDescent="0.35">
      <c r="A717" s="3">
        <v>888</v>
      </c>
      <c r="B717" s="3">
        <v>66731</v>
      </c>
      <c r="C717" s="3">
        <v>50</v>
      </c>
      <c r="D717" s="3">
        <v>1</v>
      </c>
      <c r="E717" s="25">
        <f t="shared" si="9"/>
        <v>791.31204571832097</v>
      </c>
    </row>
    <row r="718" spans="1:5" x14ac:dyDescent="0.35">
      <c r="A718" s="3">
        <v>962</v>
      </c>
      <c r="B718" s="3">
        <v>65991</v>
      </c>
      <c r="C718" s="3">
        <v>44</v>
      </c>
      <c r="D718" s="3">
        <v>1</v>
      </c>
      <c r="E718" s="25">
        <f t="shared" si="9"/>
        <v>787.24299176520174</v>
      </c>
    </row>
    <row r="719" spans="1:5" x14ac:dyDescent="0.35">
      <c r="A719" s="2">
        <v>1226</v>
      </c>
      <c r="B719" s="2">
        <v>66303</v>
      </c>
      <c r="C719" s="2">
        <v>49</v>
      </c>
      <c r="D719" s="2">
        <v>1</v>
      </c>
      <c r="E719" s="25">
        <f t="shared" si="9"/>
        <v>784.42209203162668</v>
      </c>
    </row>
    <row r="720" spans="1:5" x14ac:dyDescent="0.35">
      <c r="A720" s="3">
        <v>956</v>
      </c>
      <c r="B720" s="3">
        <v>66476</v>
      </c>
      <c r="C720" s="3">
        <v>51</v>
      </c>
      <c r="D720" s="3">
        <v>1</v>
      </c>
      <c r="E720" s="25">
        <f t="shared" si="9"/>
        <v>784.27647076273263</v>
      </c>
    </row>
    <row r="721" spans="1:5" x14ac:dyDescent="0.35">
      <c r="A721" s="3">
        <v>1102</v>
      </c>
      <c r="B721" s="3">
        <v>53653</v>
      </c>
      <c r="C721" s="3">
        <v>67</v>
      </c>
      <c r="D721" s="3">
        <v>0</v>
      </c>
      <c r="E721" s="25">
        <f t="shared" si="9"/>
        <v>783.06190266422414</v>
      </c>
    </row>
    <row r="722" spans="1:5" x14ac:dyDescent="0.35">
      <c r="A722" s="2">
        <v>916</v>
      </c>
      <c r="B722" s="2">
        <v>65665</v>
      </c>
      <c r="C722" s="2">
        <v>44</v>
      </c>
      <c r="D722" s="2">
        <v>1</v>
      </c>
      <c r="E722" s="25">
        <f t="shared" si="9"/>
        <v>780.59625335029079</v>
      </c>
    </row>
    <row r="723" spans="1:5" x14ac:dyDescent="0.35">
      <c r="A723" s="3">
        <v>221</v>
      </c>
      <c r="B723" s="3">
        <v>67267</v>
      </c>
      <c r="C723" s="3">
        <v>62</v>
      </c>
      <c r="D723" s="3">
        <v>1</v>
      </c>
      <c r="E723" s="25">
        <f t="shared" si="9"/>
        <v>780.20315649671954</v>
      </c>
    </row>
    <row r="724" spans="1:5" x14ac:dyDescent="0.35">
      <c r="A724" s="3">
        <v>735</v>
      </c>
      <c r="B724" s="3">
        <v>64449</v>
      </c>
      <c r="C724" s="3">
        <v>31</v>
      </c>
      <c r="D724" s="3">
        <v>1</v>
      </c>
      <c r="E724" s="25">
        <f t="shared" si="9"/>
        <v>779.67721931293511</v>
      </c>
    </row>
    <row r="725" spans="1:5" x14ac:dyDescent="0.35">
      <c r="A725" s="2">
        <v>894</v>
      </c>
      <c r="B725" s="2">
        <v>68117</v>
      </c>
      <c r="C725" s="2">
        <v>73</v>
      </c>
      <c r="D725" s="2">
        <v>1</v>
      </c>
      <c r="E725" s="25">
        <f t="shared" si="9"/>
        <v>777.33277955119672</v>
      </c>
    </row>
    <row r="726" spans="1:5" x14ac:dyDescent="0.35">
      <c r="A726" s="2">
        <v>306</v>
      </c>
      <c r="B726" s="2">
        <v>66480</v>
      </c>
      <c r="C726" s="2">
        <v>55</v>
      </c>
      <c r="D726" s="2">
        <v>1</v>
      </c>
      <c r="E726" s="25">
        <f t="shared" si="9"/>
        <v>777.01226951973115</v>
      </c>
    </row>
    <row r="727" spans="1:5" x14ac:dyDescent="0.35">
      <c r="A727" s="3">
        <v>976</v>
      </c>
      <c r="B727" s="3">
        <v>67911</v>
      </c>
      <c r="C727" s="3">
        <v>71</v>
      </c>
      <c r="D727" s="3">
        <v>1</v>
      </c>
      <c r="E727" s="25">
        <f t="shared" si="9"/>
        <v>776.80557147134175</v>
      </c>
    </row>
    <row r="728" spans="1:5" x14ac:dyDescent="0.35">
      <c r="A728" s="3">
        <v>395</v>
      </c>
      <c r="B728" s="3">
        <v>65640</v>
      </c>
      <c r="C728" s="3">
        <v>46</v>
      </c>
      <c r="D728" s="3">
        <v>1</v>
      </c>
      <c r="E728" s="25">
        <f t="shared" si="9"/>
        <v>776.41365598890445</v>
      </c>
    </row>
    <row r="729" spans="1:5" x14ac:dyDescent="0.35">
      <c r="A729" s="3">
        <v>600</v>
      </c>
      <c r="B729" s="3">
        <v>67680</v>
      </c>
      <c r="C729" s="3">
        <v>69</v>
      </c>
      <c r="D729" s="3">
        <v>1</v>
      </c>
      <c r="E729" s="25">
        <f t="shared" si="9"/>
        <v>775.76864418788989</v>
      </c>
    </row>
    <row r="730" spans="1:5" x14ac:dyDescent="0.35">
      <c r="A730" s="2">
        <v>491</v>
      </c>
      <c r="B730" s="2">
        <v>65968</v>
      </c>
      <c r="C730" s="2">
        <v>50</v>
      </c>
      <c r="D730" s="2">
        <v>1</v>
      </c>
      <c r="E730" s="25">
        <f t="shared" si="9"/>
        <v>775.75541562452656</v>
      </c>
    </row>
    <row r="731" spans="1:5" x14ac:dyDescent="0.35">
      <c r="A731" s="3">
        <v>262</v>
      </c>
      <c r="B731" s="3">
        <v>65808</v>
      </c>
      <c r="C731" s="3">
        <v>49</v>
      </c>
      <c r="D731" s="3">
        <v>1</v>
      </c>
      <c r="E731" s="25">
        <f t="shared" si="9"/>
        <v>774.32965180039685</v>
      </c>
    </row>
    <row r="732" spans="1:5" x14ac:dyDescent="0.35">
      <c r="A732" s="3">
        <v>725</v>
      </c>
      <c r="B732" s="3">
        <v>67225</v>
      </c>
      <c r="C732" s="3">
        <v>65</v>
      </c>
      <c r="D732" s="3">
        <v>1</v>
      </c>
      <c r="E732" s="25">
        <f t="shared" si="9"/>
        <v>773.83751099799281</v>
      </c>
    </row>
    <row r="733" spans="1:5" x14ac:dyDescent="0.35">
      <c r="A733" s="2">
        <v>914</v>
      </c>
      <c r="B733" s="2">
        <v>67131</v>
      </c>
      <c r="C733" s="2">
        <v>64</v>
      </c>
      <c r="D733" s="2">
        <v>1</v>
      </c>
      <c r="E733" s="25">
        <f t="shared" si="9"/>
        <v>773.75740587136067</v>
      </c>
    </row>
    <row r="734" spans="1:5" x14ac:dyDescent="0.35">
      <c r="A734" s="3">
        <v>712</v>
      </c>
      <c r="B734" s="3">
        <v>65685</v>
      </c>
      <c r="C734" s="3">
        <v>48</v>
      </c>
      <c r="D734" s="3">
        <v>1</v>
      </c>
      <c r="E734" s="25">
        <f t="shared" si="9"/>
        <v>773.6582723975913</v>
      </c>
    </row>
    <row r="735" spans="1:5" x14ac:dyDescent="0.35">
      <c r="A735" s="3">
        <v>543</v>
      </c>
      <c r="B735" s="3">
        <v>49767</v>
      </c>
      <c r="C735" s="3">
        <v>29</v>
      </c>
      <c r="D735" s="3">
        <v>0</v>
      </c>
      <c r="E735" s="25">
        <f t="shared" si="9"/>
        <v>773.61583465501553</v>
      </c>
    </row>
    <row r="736" spans="1:5" x14ac:dyDescent="0.35">
      <c r="A736" s="2">
        <v>1023</v>
      </c>
      <c r="B736" s="2">
        <v>66565</v>
      </c>
      <c r="C736" s="2">
        <v>58</v>
      </c>
      <c r="D736" s="2">
        <v>1</v>
      </c>
      <c r="E736" s="25">
        <f t="shared" si="9"/>
        <v>773.23599757527984</v>
      </c>
    </row>
    <row r="737" spans="1:5" x14ac:dyDescent="0.35">
      <c r="A737" s="3">
        <v>546</v>
      </c>
      <c r="B737" s="3">
        <v>65463</v>
      </c>
      <c r="C737" s="3">
        <v>46</v>
      </c>
      <c r="D737" s="3">
        <v>1</v>
      </c>
      <c r="E737" s="25">
        <f t="shared" si="9"/>
        <v>772.80484402743434</v>
      </c>
    </row>
    <row r="738" spans="1:5" x14ac:dyDescent="0.35">
      <c r="A738" s="2">
        <v>962</v>
      </c>
      <c r="B738" s="2">
        <v>67433</v>
      </c>
      <c r="C738" s="2">
        <v>68</v>
      </c>
      <c r="D738" s="2">
        <v>1</v>
      </c>
      <c r="E738" s="25">
        <f t="shared" si="9"/>
        <v>772.56905753524086</v>
      </c>
    </row>
    <row r="739" spans="1:5" x14ac:dyDescent="0.35">
      <c r="A739" s="3">
        <v>253</v>
      </c>
      <c r="B739" s="3">
        <v>53312</v>
      </c>
      <c r="C739" s="3">
        <v>69</v>
      </c>
      <c r="D739" s="3">
        <v>0</v>
      </c>
      <c r="E739" s="25">
        <f t="shared" si="9"/>
        <v>772.43645456936611</v>
      </c>
    </row>
    <row r="740" spans="1:5" x14ac:dyDescent="0.35">
      <c r="A740" s="3">
        <v>453</v>
      </c>
      <c r="B740" s="3">
        <v>66886</v>
      </c>
      <c r="C740" s="3">
        <v>62</v>
      </c>
      <c r="D740" s="3">
        <v>1</v>
      </c>
      <c r="E740" s="25">
        <f t="shared" si="9"/>
        <v>772.43503583389418</v>
      </c>
    </row>
    <row r="741" spans="1:5" x14ac:dyDescent="0.35">
      <c r="A741" s="3">
        <v>382</v>
      </c>
      <c r="B741" s="3">
        <v>65352</v>
      </c>
      <c r="C741" s="3">
        <v>46</v>
      </c>
      <c r="D741" s="3">
        <v>1</v>
      </c>
      <c r="E741" s="25">
        <f t="shared" si="9"/>
        <v>770.54169076346182</v>
      </c>
    </row>
    <row r="742" spans="1:5" x14ac:dyDescent="0.35">
      <c r="A742" s="3">
        <v>1292</v>
      </c>
      <c r="B742" s="3">
        <v>64355</v>
      </c>
      <c r="C742" s="3">
        <v>35</v>
      </c>
      <c r="D742" s="3">
        <v>1</v>
      </c>
      <c r="E742" s="25">
        <f t="shared" si="9"/>
        <v>770.41491879183161</v>
      </c>
    </row>
    <row r="743" spans="1:5" x14ac:dyDescent="0.35">
      <c r="A743" s="2">
        <v>763</v>
      </c>
      <c r="B743" s="2">
        <v>66313</v>
      </c>
      <c r="C743" s="2">
        <v>57</v>
      </c>
      <c r="D743" s="2">
        <v>1</v>
      </c>
      <c r="E743" s="25">
        <f t="shared" si="9"/>
        <v>769.93446708191152</v>
      </c>
    </row>
    <row r="744" spans="1:5" x14ac:dyDescent="0.35">
      <c r="A744" s="2">
        <v>887</v>
      </c>
      <c r="B744" s="2">
        <v>67381</v>
      </c>
      <c r="C744" s="2">
        <v>69</v>
      </c>
      <c r="D744" s="2">
        <v>1</v>
      </c>
      <c r="E744" s="25">
        <f t="shared" si="9"/>
        <v>769.6724025128641</v>
      </c>
    </row>
    <row r="745" spans="1:5" x14ac:dyDescent="0.35">
      <c r="A745" s="2">
        <v>447</v>
      </c>
      <c r="B745" s="2">
        <v>65747</v>
      </c>
      <c r="C745" s="2">
        <v>51</v>
      </c>
      <c r="D745" s="2">
        <v>1</v>
      </c>
      <c r="E745" s="25">
        <f t="shared" si="9"/>
        <v>769.41305878583046</v>
      </c>
    </row>
    <row r="746" spans="1:5" x14ac:dyDescent="0.35">
      <c r="A746" s="2">
        <v>1003</v>
      </c>
      <c r="B746" s="2">
        <v>65104</v>
      </c>
      <c r="C746" s="2">
        <v>44</v>
      </c>
      <c r="D746" s="2">
        <v>1</v>
      </c>
      <c r="E746" s="25">
        <f t="shared" si="9"/>
        <v>769.15815442156338</v>
      </c>
    </row>
    <row r="747" spans="1:5" x14ac:dyDescent="0.35">
      <c r="A747" s="3">
        <v>1003</v>
      </c>
      <c r="B747" s="3">
        <v>65104</v>
      </c>
      <c r="C747" s="3">
        <v>44</v>
      </c>
      <c r="D747" s="3">
        <v>1</v>
      </c>
      <c r="E747" s="25">
        <f t="shared" si="9"/>
        <v>769.15815442156338</v>
      </c>
    </row>
    <row r="748" spans="1:5" x14ac:dyDescent="0.35">
      <c r="A748" s="2">
        <v>1220</v>
      </c>
      <c r="B748" s="2">
        <v>66426</v>
      </c>
      <c r="C748" s="2">
        <v>59</v>
      </c>
      <c r="D748" s="2">
        <v>1</v>
      </c>
      <c r="E748" s="25">
        <f t="shared" si="9"/>
        <v>768.56551972438376</v>
      </c>
    </row>
    <row r="749" spans="1:5" x14ac:dyDescent="0.35">
      <c r="A749" s="2">
        <v>768</v>
      </c>
      <c r="B749" s="2">
        <v>65333</v>
      </c>
      <c r="C749" s="2">
        <v>47</v>
      </c>
      <c r="D749" s="2">
        <v>1</v>
      </c>
      <c r="E749" s="25">
        <f t="shared" si="9"/>
        <v>768.31786508983316</v>
      </c>
    </row>
    <row r="750" spans="1:5" x14ac:dyDescent="0.35">
      <c r="A750" s="2">
        <v>954</v>
      </c>
      <c r="B750" s="2">
        <v>65106</v>
      </c>
      <c r="C750" s="2">
        <v>45</v>
      </c>
      <c r="D750" s="2">
        <v>1</v>
      </c>
      <c r="E750" s="25">
        <f t="shared" ref="E750:E813" si="10">$B$101+$B750*$B$102+$C750*$B$103+$D750*$B$104</f>
        <v>767.36249287895691</v>
      </c>
    </row>
    <row r="751" spans="1:5" x14ac:dyDescent="0.35">
      <c r="A751" s="3">
        <v>751</v>
      </c>
      <c r="B751" s="3">
        <v>67087</v>
      </c>
      <c r="C751" s="3">
        <v>67</v>
      </c>
      <c r="D751" s="3">
        <v>1</v>
      </c>
      <c r="E751" s="25">
        <f t="shared" si="10"/>
        <v>767.35098283634613</v>
      </c>
    </row>
    <row r="752" spans="1:5" x14ac:dyDescent="0.35">
      <c r="A752" s="2">
        <v>391</v>
      </c>
      <c r="B752" s="2">
        <v>66726</v>
      </c>
      <c r="C752" s="2">
        <v>63</v>
      </c>
      <c r="D752" s="2">
        <v>1</v>
      </c>
      <c r="E752" s="25">
        <f t="shared" si="10"/>
        <v>767.33639385197591</v>
      </c>
    </row>
    <row r="753" spans="1:5" x14ac:dyDescent="0.35">
      <c r="A753" s="2">
        <v>257</v>
      </c>
      <c r="B753" s="2">
        <v>52332</v>
      </c>
      <c r="C753" s="2">
        <v>61</v>
      </c>
      <c r="D753" s="2">
        <v>0</v>
      </c>
      <c r="E753" s="25">
        <f t="shared" si="10"/>
        <v>767.14697441949943</v>
      </c>
    </row>
    <row r="754" spans="1:5" x14ac:dyDescent="0.35">
      <c r="A754" s="2">
        <v>693</v>
      </c>
      <c r="B754" s="2">
        <v>64813</v>
      </c>
      <c r="C754" s="2">
        <v>42</v>
      </c>
      <c r="D754" s="2">
        <v>1</v>
      </c>
      <c r="E754" s="25">
        <f t="shared" si="10"/>
        <v>766.89790104947735</v>
      </c>
    </row>
    <row r="755" spans="1:5" x14ac:dyDescent="0.35">
      <c r="A755" s="2">
        <v>399</v>
      </c>
      <c r="B755" s="2">
        <v>50150</v>
      </c>
      <c r="C755" s="2">
        <v>37</v>
      </c>
      <c r="D755" s="2">
        <v>0</v>
      </c>
      <c r="E755" s="25">
        <f t="shared" si="10"/>
        <v>766.73322022297452</v>
      </c>
    </row>
    <row r="756" spans="1:5" x14ac:dyDescent="0.35">
      <c r="A756" s="2">
        <v>712</v>
      </c>
      <c r="B756" s="2">
        <v>65814</v>
      </c>
      <c r="C756" s="2">
        <v>54</v>
      </c>
      <c r="D756" s="2">
        <v>1</v>
      </c>
      <c r="E756" s="25">
        <f t="shared" si="10"/>
        <v>765.2697890147889</v>
      </c>
    </row>
    <row r="757" spans="1:5" x14ac:dyDescent="0.35">
      <c r="A757" s="3">
        <v>837</v>
      </c>
      <c r="B757" s="3">
        <v>64892</v>
      </c>
      <c r="C757" s="3">
        <v>44</v>
      </c>
      <c r="D757" s="3">
        <v>1</v>
      </c>
      <c r="E757" s="25">
        <f t="shared" si="10"/>
        <v>764.8357355750569</v>
      </c>
    </row>
    <row r="758" spans="1:5" x14ac:dyDescent="0.35">
      <c r="A758" s="3">
        <v>345</v>
      </c>
      <c r="B758" s="3">
        <v>67472</v>
      </c>
      <c r="C758" s="3">
        <v>73</v>
      </c>
      <c r="D758" s="3">
        <v>1</v>
      </c>
      <c r="E758" s="25">
        <f t="shared" si="10"/>
        <v>764.18202409838193</v>
      </c>
    </row>
    <row r="759" spans="1:5" x14ac:dyDescent="0.35">
      <c r="A759" s="3">
        <v>886</v>
      </c>
      <c r="B759" s="3">
        <v>67046</v>
      </c>
      <c r="C759" s="3">
        <v>69</v>
      </c>
      <c r="D759" s="3">
        <v>1</v>
      </c>
      <c r="E759" s="25">
        <f t="shared" si="10"/>
        <v>762.8421651846578</v>
      </c>
    </row>
    <row r="760" spans="1:5" x14ac:dyDescent="0.35">
      <c r="A760" s="3">
        <v>384</v>
      </c>
      <c r="B760" s="3">
        <v>65735</v>
      </c>
      <c r="C760" s="3">
        <v>55</v>
      </c>
      <c r="D760" s="3">
        <v>1</v>
      </c>
      <c r="E760" s="25">
        <f t="shared" si="10"/>
        <v>761.82263725252653</v>
      </c>
    </row>
    <row r="761" spans="1:5" x14ac:dyDescent="0.35">
      <c r="A761" s="2">
        <v>407</v>
      </c>
      <c r="B761" s="2">
        <v>50353</v>
      </c>
      <c r="C761" s="2">
        <v>43</v>
      </c>
      <c r="D761" s="2">
        <v>0</v>
      </c>
      <c r="E761" s="25">
        <f t="shared" si="10"/>
        <v>759.85350568282047</v>
      </c>
    </row>
    <row r="762" spans="1:5" x14ac:dyDescent="0.35">
      <c r="A762" s="3">
        <v>1471</v>
      </c>
      <c r="B762" s="3">
        <v>66465</v>
      </c>
      <c r="C762" s="3">
        <v>65</v>
      </c>
      <c r="D762" s="3">
        <v>1</v>
      </c>
      <c r="E762" s="25">
        <f t="shared" si="10"/>
        <v>758.34204720862988</v>
      </c>
    </row>
    <row r="763" spans="1:5" x14ac:dyDescent="0.35">
      <c r="A763" s="2">
        <v>1461</v>
      </c>
      <c r="B763" s="2">
        <v>65176</v>
      </c>
      <c r="C763" s="2">
        <v>51</v>
      </c>
      <c r="D763" s="2">
        <v>1</v>
      </c>
      <c r="E763" s="25">
        <f t="shared" si="10"/>
        <v>757.77107217566402</v>
      </c>
    </row>
    <row r="764" spans="1:5" x14ac:dyDescent="0.35">
      <c r="A764" s="3">
        <v>1138</v>
      </c>
      <c r="B764" s="3">
        <v>66334</v>
      </c>
      <c r="C764" s="3">
        <v>64</v>
      </c>
      <c r="D764" s="3">
        <v>1</v>
      </c>
      <c r="E764" s="25">
        <f t="shared" si="10"/>
        <v>757.50755766067311</v>
      </c>
    </row>
    <row r="765" spans="1:5" x14ac:dyDescent="0.35">
      <c r="A765" s="2">
        <v>304</v>
      </c>
      <c r="B765" s="2">
        <v>51876</v>
      </c>
      <c r="C765" s="2">
        <v>62</v>
      </c>
      <c r="D765" s="2">
        <v>0</v>
      </c>
      <c r="E765" s="25">
        <f t="shared" si="10"/>
        <v>756.01325706698708</v>
      </c>
    </row>
    <row r="766" spans="1:5" x14ac:dyDescent="0.35">
      <c r="A766" s="3">
        <v>497</v>
      </c>
      <c r="B766" s="3">
        <v>65526</v>
      </c>
      <c r="C766" s="3">
        <v>56</v>
      </c>
      <c r="D766" s="3">
        <v>1</v>
      </c>
      <c r="E766" s="25">
        <f t="shared" si="10"/>
        <v>755.72494563155726</v>
      </c>
    </row>
    <row r="767" spans="1:5" x14ac:dyDescent="0.35">
      <c r="A767" s="2">
        <v>535</v>
      </c>
      <c r="B767" s="2">
        <v>48789</v>
      </c>
      <c r="C767" s="2">
        <v>28</v>
      </c>
      <c r="D767" s="2">
        <v>0</v>
      </c>
      <c r="E767" s="25">
        <f t="shared" si="10"/>
        <v>755.51205848917675</v>
      </c>
    </row>
    <row r="768" spans="1:5" x14ac:dyDescent="0.35">
      <c r="A768" s="2">
        <v>603</v>
      </c>
      <c r="B768" s="2">
        <v>64795</v>
      </c>
      <c r="C768" s="2">
        <v>49</v>
      </c>
      <c r="D768" s="2">
        <v>1</v>
      </c>
      <c r="E768" s="25">
        <f t="shared" si="10"/>
        <v>753.67582967062719</v>
      </c>
    </row>
    <row r="769" spans="1:5" x14ac:dyDescent="0.35">
      <c r="A769" s="3">
        <v>612</v>
      </c>
      <c r="B769" s="3">
        <v>66033</v>
      </c>
      <c r="C769" s="3">
        <v>63</v>
      </c>
      <c r="D769" s="3">
        <v>1</v>
      </c>
      <c r="E769" s="25">
        <f t="shared" si="10"/>
        <v>753.20697752825379</v>
      </c>
    </row>
    <row r="770" spans="1:5" x14ac:dyDescent="0.35">
      <c r="A770" s="2">
        <v>790</v>
      </c>
      <c r="B770" s="2">
        <v>64722</v>
      </c>
      <c r="C770" s="2">
        <v>49</v>
      </c>
      <c r="D770" s="2">
        <v>1</v>
      </c>
      <c r="E770" s="25">
        <f t="shared" si="10"/>
        <v>752.18744959612252</v>
      </c>
    </row>
    <row r="771" spans="1:5" x14ac:dyDescent="0.35">
      <c r="A771" s="2">
        <v>650</v>
      </c>
      <c r="B771" s="2">
        <v>65695</v>
      </c>
      <c r="C771" s="2">
        <v>60</v>
      </c>
      <c r="D771" s="2">
        <v>1</v>
      </c>
      <c r="E771" s="25">
        <f t="shared" si="10"/>
        <v>751.82489113229906</v>
      </c>
    </row>
    <row r="772" spans="1:5" x14ac:dyDescent="0.35">
      <c r="A772" s="3">
        <v>548</v>
      </c>
      <c r="B772" s="3">
        <v>64713</v>
      </c>
      <c r="C772" s="3">
        <v>50</v>
      </c>
      <c r="D772" s="3">
        <v>1</v>
      </c>
      <c r="E772" s="25">
        <f t="shared" si="10"/>
        <v>750.16751160393335</v>
      </c>
    </row>
    <row r="773" spans="1:5" x14ac:dyDescent="0.35">
      <c r="A773" s="3">
        <v>730</v>
      </c>
      <c r="B773" s="3">
        <v>64474</v>
      </c>
      <c r="C773" s="3">
        <v>48</v>
      </c>
      <c r="D773" s="3">
        <v>1</v>
      </c>
      <c r="E773" s="25">
        <f t="shared" si="10"/>
        <v>748.96747417532981</v>
      </c>
    </row>
    <row r="774" spans="1:5" x14ac:dyDescent="0.35">
      <c r="A774" s="3">
        <v>911</v>
      </c>
      <c r="B774" s="3">
        <v>52203</v>
      </c>
      <c r="C774" s="3">
        <v>70</v>
      </c>
      <c r="D774" s="3">
        <v>0</v>
      </c>
      <c r="E774" s="25">
        <f t="shared" si="10"/>
        <v>747.98887161888797</v>
      </c>
    </row>
    <row r="775" spans="1:5" x14ac:dyDescent="0.35">
      <c r="A775" s="3">
        <v>222</v>
      </c>
      <c r="B775" s="3">
        <v>65316</v>
      </c>
      <c r="C775" s="3">
        <v>58</v>
      </c>
      <c r="D775" s="3">
        <v>1</v>
      </c>
      <c r="E775" s="25">
        <f t="shared" si="10"/>
        <v>747.77042616355004</v>
      </c>
    </row>
    <row r="776" spans="1:5" x14ac:dyDescent="0.35">
      <c r="A776" s="2">
        <v>600</v>
      </c>
      <c r="B776" s="2">
        <v>63777</v>
      </c>
      <c r="C776" s="2">
        <v>41</v>
      </c>
      <c r="D776" s="2">
        <v>1</v>
      </c>
      <c r="E776" s="25">
        <f t="shared" si="10"/>
        <v>747.61157633129244</v>
      </c>
    </row>
    <row r="777" spans="1:5" x14ac:dyDescent="0.35">
      <c r="A777" s="3">
        <v>1096</v>
      </c>
      <c r="B777" s="3">
        <v>63693</v>
      </c>
      <c r="C777" s="3">
        <v>42</v>
      </c>
      <c r="D777" s="3">
        <v>1</v>
      </c>
      <c r="E777" s="25">
        <f t="shared" si="10"/>
        <v>744.06248072831079</v>
      </c>
    </row>
    <row r="778" spans="1:5" x14ac:dyDescent="0.35">
      <c r="A778" s="2">
        <v>259</v>
      </c>
      <c r="B778" s="2">
        <v>64413</v>
      </c>
      <c r="C778" s="2">
        <v>50</v>
      </c>
      <c r="D778" s="2">
        <v>1</v>
      </c>
      <c r="E778" s="25">
        <f t="shared" si="10"/>
        <v>744.05088116076342</v>
      </c>
    </row>
    <row r="779" spans="1:5" x14ac:dyDescent="0.35">
      <c r="A779" s="2">
        <v>511</v>
      </c>
      <c r="B779" s="2">
        <v>65748</v>
      </c>
      <c r="C779" s="2">
        <v>65</v>
      </c>
      <c r="D779" s="2">
        <v>1</v>
      </c>
      <c r="E779" s="25">
        <f t="shared" si="10"/>
        <v>743.72330044945409</v>
      </c>
    </row>
    <row r="780" spans="1:5" x14ac:dyDescent="0.35">
      <c r="A780" s="2">
        <v>757</v>
      </c>
      <c r="B780" s="2">
        <v>66375</v>
      </c>
      <c r="C780" s="2">
        <v>72</v>
      </c>
      <c r="D780" s="2">
        <v>1</v>
      </c>
      <c r="E780" s="25">
        <f t="shared" si="10"/>
        <v>743.65198452341917</v>
      </c>
    </row>
    <row r="781" spans="1:5" x14ac:dyDescent="0.35">
      <c r="A781" s="3">
        <v>493</v>
      </c>
      <c r="B781" s="3">
        <v>65486</v>
      </c>
      <c r="C781" s="3">
        <v>63</v>
      </c>
      <c r="D781" s="3">
        <v>1</v>
      </c>
      <c r="E781" s="25">
        <f t="shared" si="10"/>
        <v>742.05432135354147</v>
      </c>
    </row>
    <row r="782" spans="1:5" x14ac:dyDescent="0.35">
      <c r="A782" s="2">
        <v>955</v>
      </c>
      <c r="B782" s="2">
        <v>65196</v>
      </c>
      <c r="C782" s="2">
        <v>62</v>
      </c>
      <c r="D782" s="2">
        <v>1</v>
      </c>
      <c r="E782" s="25">
        <f t="shared" si="10"/>
        <v>737.97801767070484</v>
      </c>
    </row>
    <row r="783" spans="1:5" x14ac:dyDescent="0.35">
      <c r="A783" s="2">
        <v>962</v>
      </c>
      <c r="B783" s="2">
        <v>65148</v>
      </c>
      <c r="C783" s="2">
        <v>62</v>
      </c>
      <c r="D783" s="2">
        <v>1</v>
      </c>
      <c r="E783" s="25">
        <f t="shared" si="10"/>
        <v>736.99935679979797</v>
      </c>
    </row>
    <row r="784" spans="1:5" x14ac:dyDescent="0.35">
      <c r="A784" s="2">
        <v>777</v>
      </c>
      <c r="B784" s="2">
        <v>65031</v>
      </c>
      <c r="C784" s="2">
        <v>61</v>
      </c>
      <c r="D784" s="2">
        <v>1</v>
      </c>
      <c r="E784" s="25">
        <f t="shared" si="10"/>
        <v>736.45031000585584</v>
      </c>
    </row>
    <row r="785" spans="1:5" x14ac:dyDescent="0.35">
      <c r="A785" s="3">
        <v>789</v>
      </c>
      <c r="B785" s="3">
        <v>65569</v>
      </c>
      <c r="C785" s="3">
        <v>67</v>
      </c>
      <c r="D785" s="3">
        <v>1</v>
      </c>
      <c r="E785" s="25">
        <f t="shared" si="10"/>
        <v>736.40083279390763</v>
      </c>
    </row>
    <row r="786" spans="1:5" x14ac:dyDescent="0.35">
      <c r="A786" s="2">
        <v>300</v>
      </c>
      <c r="B786" s="2">
        <v>62994</v>
      </c>
      <c r="C786" s="2">
        <v>40</v>
      </c>
      <c r="D786" s="2">
        <v>1</v>
      </c>
      <c r="E786" s="25">
        <f t="shared" si="10"/>
        <v>733.48360995351368</v>
      </c>
    </row>
    <row r="787" spans="1:5" x14ac:dyDescent="0.35">
      <c r="A787" s="2">
        <v>539</v>
      </c>
      <c r="B787" s="2">
        <v>65324</v>
      </c>
      <c r="C787" s="2">
        <v>66</v>
      </c>
      <c r="D787" s="2">
        <v>1</v>
      </c>
      <c r="E787" s="25">
        <f t="shared" si="10"/>
        <v>733.24202367754697</v>
      </c>
    </row>
    <row r="788" spans="1:5" x14ac:dyDescent="0.35">
      <c r="A788" s="3">
        <v>971</v>
      </c>
      <c r="B788" s="3">
        <v>64961</v>
      </c>
      <c r="C788" s="3">
        <v>62</v>
      </c>
      <c r="D788" s="3">
        <v>1</v>
      </c>
      <c r="E788" s="25">
        <f t="shared" si="10"/>
        <v>733.18665715688894</v>
      </c>
    </row>
    <row r="789" spans="1:5" x14ac:dyDescent="0.35">
      <c r="A789" s="3">
        <v>703</v>
      </c>
      <c r="B789" s="3">
        <v>65210</v>
      </c>
      <c r="C789" s="3">
        <v>65</v>
      </c>
      <c r="D789" s="3">
        <v>1</v>
      </c>
      <c r="E789" s="25">
        <f t="shared" si="10"/>
        <v>732.75414318803678</v>
      </c>
    </row>
    <row r="790" spans="1:5" x14ac:dyDescent="0.35">
      <c r="A790" s="3">
        <v>720</v>
      </c>
      <c r="B790" s="3">
        <v>63967</v>
      </c>
      <c r="C790" s="3">
        <v>52</v>
      </c>
      <c r="D790" s="3">
        <v>1</v>
      </c>
      <c r="E790" s="25">
        <f t="shared" si="10"/>
        <v>731.28461241079594</v>
      </c>
    </row>
    <row r="791" spans="1:5" x14ac:dyDescent="0.35">
      <c r="A791" s="2">
        <v>295</v>
      </c>
      <c r="B791" s="2">
        <v>63516</v>
      </c>
      <c r="C791" s="2">
        <v>47</v>
      </c>
      <c r="D791" s="2">
        <v>1</v>
      </c>
      <c r="E791" s="25">
        <f t="shared" si="10"/>
        <v>731.2714733723692</v>
      </c>
    </row>
    <row r="792" spans="1:5" x14ac:dyDescent="0.35">
      <c r="A792" s="2">
        <v>1677</v>
      </c>
      <c r="B792" s="2">
        <v>64176</v>
      </c>
      <c r="C792" s="2">
        <v>55</v>
      </c>
      <c r="D792" s="2">
        <v>1</v>
      </c>
      <c r="E792" s="25">
        <f t="shared" si="10"/>
        <v>730.03654771618812</v>
      </c>
    </row>
    <row r="793" spans="1:5" x14ac:dyDescent="0.35">
      <c r="A793" s="3">
        <v>1384</v>
      </c>
      <c r="B793" s="3">
        <v>63684</v>
      </c>
      <c r="C793" s="3">
        <v>50</v>
      </c>
      <c r="D793" s="3">
        <v>1</v>
      </c>
      <c r="E793" s="25">
        <f t="shared" si="10"/>
        <v>729.18746918386114</v>
      </c>
    </row>
    <row r="794" spans="1:5" x14ac:dyDescent="0.35">
      <c r="A794" s="3">
        <v>777</v>
      </c>
      <c r="B794" s="3">
        <v>63841</v>
      </c>
      <c r="C794" s="3">
        <v>52</v>
      </c>
      <c r="D794" s="3">
        <v>1</v>
      </c>
      <c r="E794" s="25">
        <f t="shared" si="10"/>
        <v>728.71562762466465</v>
      </c>
    </row>
    <row r="795" spans="1:5" x14ac:dyDescent="0.35">
      <c r="A795" s="2">
        <v>1535</v>
      </c>
      <c r="B795" s="2">
        <v>64140</v>
      </c>
      <c r="C795" s="2">
        <v>56</v>
      </c>
      <c r="D795" s="2">
        <v>1</v>
      </c>
      <c r="E795" s="25">
        <f t="shared" si="10"/>
        <v>727.46611298411335</v>
      </c>
    </row>
    <row r="796" spans="1:5" x14ac:dyDescent="0.35">
      <c r="A796" s="3">
        <v>810</v>
      </c>
      <c r="B796" s="3">
        <v>64191</v>
      </c>
      <c r="C796" s="3">
        <v>57</v>
      </c>
      <c r="D796" s="3">
        <v>1</v>
      </c>
      <c r="E796" s="25">
        <f t="shared" si="10"/>
        <v>726.66950108055789</v>
      </c>
    </row>
    <row r="797" spans="1:5" x14ac:dyDescent="0.35">
      <c r="A797" s="3">
        <v>536</v>
      </c>
      <c r="B797" s="3">
        <v>64100</v>
      </c>
      <c r="C797" s="3">
        <v>56</v>
      </c>
      <c r="D797" s="3">
        <v>1</v>
      </c>
      <c r="E797" s="25">
        <f t="shared" si="10"/>
        <v>726.6505622583577</v>
      </c>
    </row>
    <row r="798" spans="1:5" x14ac:dyDescent="0.35">
      <c r="A798" s="3">
        <v>181</v>
      </c>
      <c r="B798" s="3">
        <v>51315</v>
      </c>
      <c r="C798" s="3">
        <v>72</v>
      </c>
      <c r="D798" s="3">
        <v>0</v>
      </c>
      <c r="E798" s="25">
        <f t="shared" si="10"/>
        <v>726.21076734931717</v>
      </c>
    </row>
    <row r="799" spans="1:5" x14ac:dyDescent="0.35">
      <c r="A799" s="2">
        <v>1234</v>
      </c>
      <c r="B799" s="2">
        <v>64325</v>
      </c>
      <c r="C799" s="2">
        <v>59</v>
      </c>
      <c r="D799" s="2">
        <v>1</v>
      </c>
      <c r="E799" s="25">
        <f t="shared" si="10"/>
        <v>725.72871785405187</v>
      </c>
    </row>
    <row r="800" spans="1:5" x14ac:dyDescent="0.35">
      <c r="A800" s="3">
        <v>1270</v>
      </c>
      <c r="B800" s="3">
        <v>63810</v>
      </c>
      <c r="C800" s="3">
        <v>54</v>
      </c>
      <c r="D800" s="3">
        <v>1</v>
      </c>
      <c r="E800" s="25">
        <f t="shared" si="10"/>
        <v>724.41069765441534</v>
      </c>
    </row>
    <row r="801" spans="1:5" x14ac:dyDescent="0.35">
      <c r="A801" s="3">
        <v>119</v>
      </c>
      <c r="B801" s="3">
        <v>49605</v>
      </c>
      <c r="C801" s="3">
        <v>54</v>
      </c>
      <c r="D801" s="3">
        <v>0</v>
      </c>
      <c r="E801" s="25">
        <f t="shared" si="10"/>
        <v>724.40187724334703</v>
      </c>
    </row>
    <row r="802" spans="1:5" x14ac:dyDescent="0.35">
      <c r="A802" s="2">
        <v>1257</v>
      </c>
      <c r="B802" s="2">
        <v>63972</v>
      </c>
      <c r="C802" s="2">
        <v>56</v>
      </c>
      <c r="D802" s="2">
        <v>1</v>
      </c>
      <c r="E802" s="25">
        <f t="shared" si="10"/>
        <v>724.04079993593859</v>
      </c>
    </row>
    <row r="803" spans="1:5" x14ac:dyDescent="0.35">
      <c r="A803" s="2">
        <v>1110</v>
      </c>
      <c r="B803" s="2">
        <v>49118</v>
      </c>
      <c r="C803" s="2">
        <v>49</v>
      </c>
      <c r="D803" s="2">
        <v>0</v>
      </c>
      <c r="E803" s="25">
        <f t="shared" si="10"/>
        <v>723.65474255173967</v>
      </c>
    </row>
    <row r="804" spans="1:5" x14ac:dyDescent="0.35">
      <c r="A804" s="3">
        <v>218</v>
      </c>
      <c r="B804" s="3">
        <v>62499</v>
      </c>
      <c r="C804" s="3">
        <v>41</v>
      </c>
      <c r="D804" s="3">
        <v>1</v>
      </c>
      <c r="E804" s="25">
        <f t="shared" si="10"/>
        <v>721.55473064338958</v>
      </c>
    </row>
    <row r="805" spans="1:5" x14ac:dyDescent="0.35">
      <c r="A805" s="2">
        <v>903</v>
      </c>
      <c r="B805" s="2">
        <v>64950</v>
      </c>
      <c r="C805" s="2">
        <v>69</v>
      </c>
      <c r="D805" s="2">
        <v>1</v>
      </c>
      <c r="E805" s="25">
        <f t="shared" si="10"/>
        <v>720.10730715504587</v>
      </c>
    </row>
    <row r="806" spans="1:5" x14ac:dyDescent="0.35">
      <c r="A806" s="2">
        <v>976</v>
      </c>
      <c r="B806" s="2">
        <v>64831</v>
      </c>
      <c r="C806" s="2">
        <v>68</v>
      </c>
      <c r="D806" s="2">
        <v>1</v>
      </c>
      <c r="E806" s="25">
        <f t="shared" si="10"/>
        <v>719.5174828248164</v>
      </c>
    </row>
    <row r="807" spans="1:5" x14ac:dyDescent="0.35">
      <c r="A807" s="3">
        <v>1153</v>
      </c>
      <c r="B807" s="3">
        <v>63887</v>
      </c>
      <c r="C807" s="3">
        <v>58</v>
      </c>
      <c r="D807" s="3">
        <v>1</v>
      </c>
      <c r="E807" s="25">
        <f t="shared" si="10"/>
        <v>718.63487648591854</v>
      </c>
    </row>
    <row r="808" spans="1:5" x14ac:dyDescent="0.35">
      <c r="A808" s="3">
        <v>88</v>
      </c>
      <c r="B808" s="3">
        <v>64587</v>
      </c>
      <c r="C808" s="3">
        <v>66</v>
      </c>
      <c r="D808" s="3">
        <v>1</v>
      </c>
      <c r="E808" s="25">
        <f t="shared" si="10"/>
        <v>718.21550155549357</v>
      </c>
    </row>
    <row r="809" spans="1:5" x14ac:dyDescent="0.35">
      <c r="A809" s="2">
        <v>546</v>
      </c>
      <c r="B809" s="2">
        <v>64866</v>
      </c>
      <c r="C809" s="2">
        <v>70</v>
      </c>
      <c r="D809" s="2">
        <v>1</v>
      </c>
      <c r="E809" s="25">
        <f t="shared" si="10"/>
        <v>716.55821155206422</v>
      </c>
    </row>
    <row r="810" spans="1:5" x14ac:dyDescent="0.35">
      <c r="A810" s="3">
        <v>1612</v>
      </c>
      <c r="B810" s="3">
        <v>64497</v>
      </c>
      <c r="C810" s="3">
        <v>66</v>
      </c>
      <c r="D810" s="3">
        <v>1</v>
      </c>
      <c r="E810" s="25">
        <f t="shared" si="10"/>
        <v>716.38051242254278</v>
      </c>
    </row>
    <row r="811" spans="1:5" x14ac:dyDescent="0.35">
      <c r="A811" s="2">
        <v>185</v>
      </c>
      <c r="B811" s="2">
        <v>51012</v>
      </c>
      <c r="C811" s="2">
        <v>74</v>
      </c>
      <c r="D811" s="2">
        <v>0</v>
      </c>
      <c r="E811" s="25">
        <f t="shared" si="10"/>
        <v>716.36009244392721</v>
      </c>
    </row>
    <row r="812" spans="1:5" x14ac:dyDescent="0.35">
      <c r="A812" s="2">
        <v>765</v>
      </c>
      <c r="B812" s="2">
        <v>63246</v>
      </c>
      <c r="C812" s="2">
        <v>53</v>
      </c>
      <c r="D812" s="2">
        <v>1</v>
      </c>
      <c r="E812" s="25">
        <f t="shared" si="10"/>
        <v>714.74787150015072</v>
      </c>
    </row>
    <row r="813" spans="1:5" x14ac:dyDescent="0.35">
      <c r="A813" s="3">
        <v>1206</v>
      </c>
      <c r="B813" s="3">
        <v>64504</v>
      </c>
      <c r="C813" s="3">
        <v>67</v>
      </c>
      <c r="D813" s="3">
        <v>1</v>
      </c>
      <c r="E813" s="25">
        <f t="shared" si="10"/>
        <v>714.6867947206556</v>
      </c>
    </row>
    <row r="814" spans="1:5" x14ac:dyDescent="0.35">
      <c r="A814" s="3">
        <v>595</v>
      </c>
      <c r="B814" s="3">
        <v>62710</v>
      </c>
      <c r="C814" s="3">
        <v>48</v>
      </c>
      <c r="D814" s="3">
        <v>1</v>
      </c>
      <c r="E814" s="25">
        <f t="shared" ref="E814:E877" si="11">$B$101+$B814*$B$102+$C814*$B$103+$D814*$B$104</f>
        <v>713.00168716949247</v>
      </c>
    </row>
    <row r="815" spans="1:5" x14ac:dyDescent="0.35">
      <c r="A815" s="2">
        <v>885</v>
      </c>
      <c r="B815" s="2">
        <v>63404</v>
      </c>
      <c r="C815" s="2">
        <v>56</v>
      </c>
      <c r="D815" s="2">
        <v>1</v>
      </c>
      <c r="E815" s="25">
        <f t="shared" si="11"/>
        <v>712.45997963020409</v>
      </c>
    </row>
    <row r="816" spans="1:5" x14ac:dyDescent="0.35">
      <c r="A816" s="3">
        <v>662</v>
      </c>
      <c r="B816" s="3">
        <v>64090</v>
      </c>
      <c r="C816" s="3">
        <v>64</v>
      </c>
      <c r="D816" s="3">
        <v>1</v>
      </c>
      <c r="E816" s="25">
        <f t="shared" si="11"/>
        <v>711.75516194576448</v>
      </c>
    </row>
    <row r="817" spans="1:5" x14ac:dyDescent="0.35">
      <c r="A817" s="3">
        <v>1241</v>
      </c>
      <c r="B817" s="3">
        <v>62882</v>
      </c>
      <c r="C817" s="3">
        <v>51</v>
      </c>
      <c r="D817" s="3">
        <v>1</v>
      </c>
      <c r="E817" s="25">
        <f t="shared" si="11"/>
        <v>710.99923805356002</v>
      </c>
    </row>
    <row r="818" spans="1:5" x14ac:dyDescent="0.35">
      <c r="A818" s="3">
        <v>1085</v>
      </c>
      <c r="B818" s="3">
        <v>63943</v>
      </c>
      <c r="C818" s="3">
        <v>64</v>
      </c>
      <c r="D818" s="3">
        <v>1</v>
      </c>
      <c r="E818" s="25">
        <f t="shared" si="11"/>
        <v>708.758013028611</v>
      </c>
    </row>
    <row r="819" spans="1:5" x14ac:dyDescent="0.35">
      <c r="A819" s="3">
        <v>838</v>
      </c>
      <c r="B819" s="3">
        <v>62772</v>
      </c>
      <c r="C819" s="3">
        <v>51</v>
      </c>
      <c r="D819" s="3">
        <v>1</v>
      </c>
      <c r="E819" s="25">
        <f t="shared" si="11"/>
        <v>708.75647355773117</v>
      </c>
    </row>
    <row r="820" spans="1:5" x14ac:dyDescent="0.35">
      <c r="A820" s="2">
        <v>774</v>
      </c>
      <c r="B820" s="2">
        <v>63915</v>
      </c>
      <c r="C820" s="2">
        <v>64</v>
      </c>
      <c r="D820" s="2">
        <v>1</v>
      </c>
      <c r="E820" s="25">
        <f t="shared" si="11"/>
        <v>708.18712752058218</v>
      </c>
    </row>
    <row r="821" spans="1:5" x14ac:dyDescent="0.35">
      <c r="A821" s="3">
        <v>151</v>
      </c>
      <c r="B821" s="3">
        <v>51141</v>
      </c>
      <c r="C821" s="3">
        <v>80</v>
      </c>
      <c r="D821" s="3">
        <v>0</v>
      </c>
      <c r="E821" s="25">
        <f t="shared" si="11"/>
        <v>707.97160906112458</v>
      </c>
    </row>
    <row r="822" spans="1:5" x14ac:dyDescent="0.35">
      <c r="A822" s="3">
        <v>397</v>
      </c>
      <c r="B822" s="3">
        <v>61825</v>
      </c>
      <c r="C822" s="3">
        <v>41</v>
      </c>
      <c r="D822" s="3">
        <v>1</v>
      </c>
      <c r="E822" s="25">
        <f t="shared" si="11"/>
        <v>707.81270091440183</v>
      </c>
    </row>
    <row r="823" spans="1:5" x14ac:dyDescent="0.35">
      <c r="A823" s="2">
        <v>1206</v>
      </c>
      <c r="B823" s="2">
        <v>61996</v>
      </c>
      <c r="C823" s="2">
        <v>43</v>
      </c>
      <c r="D823" s="2">
        <v>1</v>
      </c>
      <c r="E823" s="25">
        <f t="shared" si="11"/>
        <v>707.62630210921998</v>
      </c>
    </row>
    <row r="824" spans="1:5" x14ac:dyDescent="0.35">
      <c r="A824" s="3">
        <v>762</v>
      </c>
      <c r="B824" s="3">
        <v>62061</v>
      </c>
      <c r="C824" s="3">
        <v>44</v>
      </c>
      <c r="D824" s="3">
        <v>1</v>
      </c>
      <c r="E824" s="25">
        <f t="shared" si="11"/>
        <v>707.11513295967916</v>
      </c>
    </row>
    <row r="825" spans="1:5" x14ac:dyDescent="0.35">
      <c r="A825" s="3">
        <v>1078</v>
      </c>
      <c r="B825" s="3">
        <v>64108</v>
      </c>
      <c r="C825" s="3">
        <v>67</v>
      </c>
      <c r="D825" s="3">
        <v>1</v>
      </c>
      <c r="E825" s="25">
        <f t="shared" si="11"/>
        <v>706.61284253567192</v>
      </c>
    </row>
    <row r="826" spans="1:5" x14ac:dyDescent="0.35">
      <c r="A826" s="3">
        <v>1080</v>
      </c>
      <c r="B826" s="3">
        <v>63342</v>
      </c>
      <c r="C826" s="3">
        <v>59</v>
      </c>
      <c r="D826" s="3">
        <v>1</v>
      </c>
      <c r="E826" s="25">
        <f t="shared" si="11"/>
        <v>705.6865587685993</v>
      </c>
    </row>
    <row r="827" spans="1:5" x14ac:dyDescent="0.35">
      <c r="A827" s="2">
        <v>1080</v>
      </c>
      <c r="B827" s="2">
        <v>63342</v>
      </c>
      <c r="C827" s="2">
        <v>59</v>
      </c>
      <c r="D827" s="2">
        <v>1</v>
      </c>
      <c r="E827" s="25">
        <f t="shared" si="11"/>
        <v>705.6865587685993</v>
      </c>
    </row>
    <row r="828" spans="1:5" x14ac:dyDescent="0.35">
      <c r="A828" s="2">
        <v>1357</v>
      </c>
      <c r="B828" s="2">
        <v>49667</v>
      </c>
      <c r="C828" s="2">
        <v>65</v>
      </c>
      <c r="D828" s="2">
        <v>0</v>
      </c>
      <c r="E828" s="25">
        <f t="shared" si="11"/>
        <v>705.46515100043177</v>
      </c>
    </row>
    <row r="829" spans="1:5" x14ac:dyDescent="0.35">
      <c r="A829" s="3">
        <v>846</v>
      </c>
      <c r="B829" s="3">
        <v>63381</v>
      </c>
      <c r="C829" s="3">
        <v>60</v>
      </c>
      <c r="D829" s="3">
        <v>1</v>
      </c>
      <c r="E829" s="25">
        <f t="shared" si="11"/>
        <v>704.64528164731701</v>
      </c>
    </row>
    <row r="830" spans="1:5" x14ac:dyDescent="0.35">
      <c r="A830" s="3">
        <v>806</v>
      </c>
      <c r="B830" s="3">
        <v>62466</v>
      </c>
      <c r="C830" s="3">
        <v>50</v>
      </c>
      <c r="D830" s="3">
        <v>1</v>
      </c>
      <c r="E830" s="25">
        <f t="shared" si="11"/>
        <v>704.35394958459256</v>
      </c>
    </row>
    <row r="831" spans="1:5" x14ac:dyDescent="0.35">
      <c r="A831" s="2">
        <v>1214</v>
      </c>
      <c r="B831" s="2">
        <v>62220</v>
      </c>
      <c r="C831" s="2">
        <v>48</v>
      </c>
      <c r="D831" s="2">
        <v>1</v>
      </c>
      <c r="E831" s="25">
        <f t="shared" si="11"/>
        <v>703.01119077898193</v>
      </c>
    </row>
    <row r="832" spans="1:5" x14ac:dyDescent="0.35">
      <c r="A832" s="2">
        <v>563</v>
      </c>
      <c r="B832" s="2">
        <v>62905</v>
      </c>
      <c r="C832" s="2">
        <v>56</v>
      </c>
      <c r="D832" s="2">
        <v>1</v>
      </c>
      <c r="E832" s="25">
        <f t="shared" si="11"/>
        <v>702.28598432639819</v>
      </c>
    </row>
    <row r="833" spans="1:5" x14ac:dyDescent="0.35">
      <c r="A833" s="2">
        <v>218</v>
      </c>
      <c r="B833" s="2">
        <v>61905</v>
      </c>
      <c r="C833" s="2">
        <v>45</v>
      </c>
      <c r="D833" s="2">
        <v>1</v>
      </c>
      <c r="E833" s="25">
        <f t="shared" si="11"/>
        <v>702.09804605033651</v>
      </c>
    </row>
    <row r="834" spans="1:5" x14ac:dyDescent="0.35">
      <c r="A834" s="3">
        <v>841</v>
      </c>
      <c r="B834" s="3">
        <v>48240</v>
      </c>
      <c r="C834" s="3">
        <v>51</v>
      </c>
      <c r="D834" s="3">
        <v>0</v>
      </c>
      <c r="E834" s="25">
        <f t="shared" si="11"/>
        <v>702.0805259636079</v>
      </c>
    </row>
    <row r="835" spans="1:5" x14ac:dyDescent="0.35">
      <c r="A835" s="2">
        <v>1085</v>
      </c>
      <c r="B835" s="2">
        <v>62745</v>
      </c>
      <c r="C835" s="2">
        <v>55</v>
      </c>
      <c r="D835" s="2">
        <v>1</v>
      </c>
      <c r="E835" s="25">
        <f t="shared" si="11"/>
        <v>700.86022050226893</v>
      </c>
    </row>
    <row r="836" spans="1:5" x14ac:dyDescent="0.35">
      <c r="A836" s="3">
        <v>90</v>
      </c>
      <c r="B836" s="3">
        <v>61917</v>
      </c>
      <c r="C836" s="3">
        <v>46</v>
      </c>
      <c r="D836" s="3">
        <v>1</v>
      </c>
      <c r="E836" s="25">
        <f t="shared" si="11"/>
        <v>700.50627218916907</v>
      </c>
    </row>
    <row r="837" spans="1:5" x14ac:dyDescent="0.35">
      <c r="A837" s="3">
        <v>658</v>
      </c>
      <c r="B837" s="3">
        <v>62694</v>
      </c>
      <c r="C837" s="3">
        <v>55</v>
      </c>
      <c r="D837" s="3">
        <v>1</v>
      </c>
      <c r="E837" s="25">
        <f t="shared" si="11"/>
        <v>699.82039332693012</v>
      </c>
    </row>
    <row r="838" spans="1:5" x14ac:dyDescent="0.35">
      <c r="A838" s="3">
        <v>702</v>
      </c>
      <c r="B838" s="3">
        <v>62513</v>
      </c>
      <c r="C838" s="3">
        <v>53</v>
      </c>
      <c r="D838" s="3">
        <v>1</v>
      </c>
      <c r="E838" s="25">
        <f t="shared" si="11"/>
        <v>699.80290445067294</v>
      </c>
    </row>
    <row r="839" spans="1:5" x14ac:dyDescent="0.35">
      <c r="A839" s="2">
        <v>438</v>
      </c>
      <c r="B839" s="2">
        <v>62010</v>
      </c>
      <c r="C839" s="2">
        <v>48</v>
      </c>
      <c r="D839" s="2">
        <v>1</v>
      </c>
      <c r="E839" s="25">
        <f t="shared" si="11"/>
        <v>698.72954946876325</v>
      </c>
    </row>
    <row r="840" spans="1:5" x14ac:dyDescent="0.35">
      <c r="A840" s="2">
        <v>595</v>
      </c>
      <c r="B840" s="2">
        <v>62187</v>
      </c>
      <c r="C840" s="2">
        <v>51</v>
      </c>
      <c r="D840" s="2">
        <v>1</v>
      </c>
      <c r="E840" s="25">
        <f t="shared" si="11"/>
        <v>696.82904419355009</v>
      </c>
    </row>
    <row r="841" spans="1:5" x14ac:dyDescent="0.35">
      <c r="A841" s="2">
        <v>847</v>
      </c>
      <c r="B841" s="2">
        <v>61346</v>
      </c>
      <c r="C841" s="2">
        <v>42</v>
      </c>
      <c r="D841" s="2">
        <v>1</v>
      </c>
      <c r="E841" s="25">
        <f t="shared" si="11"/>
        <v>696.21004189457972</v>
      </c>
    </row>
    <row r="842" spans="1:5" x14ac:dyDescent="0.35">
      <c r="A842" s="2">
        <v>1118</v>
      </c>
      <c r="B842" s="2">
        <v>61014</v>
      </c>
      <c r="C842" s="2">
        <v>40</v>
      </c>
      <c r="D842" s="2">
        <v>1</v>
      </c>
      <c r="E842" s="25">
        <f t="shared" si="11"/>
        <v>693.1138490285939</v>
      </c>
    </row>
    <row r="843" spans="1:5" x14ac:dyDescent="0.35">
      <c r="A843" s="3">
        <v>1299</v>
      </c>
      <c r="B843" s="3">
        <v>61456</v>
      </c>
      <c r="C843" s="3">
        <v>45</v>
      </c>
      <c r="D843" s="3">
        <v>1</v>
      </c>
      <c r="E843" s="25">
        <f t="shared" si="11"/>
        <v>692.94348915372575</v>
      </c>
    </row>
    <row r="844" spans="1:5" x14ac:dyDescent="0.35">
      <c r="A844" s="2">
        <v>720</v>
      </c>
      <c r="B844" s="2">
        <v>62807</v>
      </c>
      <c r="C844" s="2">
        <v>60</v>
      </c>
      <c r="D844" s="2">
        <v>1</v>
      </c>
      <c r="E844" s="25">
        <f t="shared" si="11"/>
        <v>692.94212873271908</v>
      </c>
    </row>
    <row r="845" spans="1:5" x14ac:dyDescent="0.35">
      <c r="A845" s="3">
        <v>557</v>
      </c>
      <c r="B845" s="3">
        <v>61872</v>
      </c>
      <c r="C845" s="3">
        <v>50</v>
      </c>
      <c r="D845" s="3">
        <v>1</v>
      </c>
      <c r="E845" s="25">
        <f t="shared" si="11"/>
        <v>692.24302130711658</v>
      </c>
    </row>
    <row r="846" spans="1:5" x14ac:dyDescent="0.35">
      <c r="A846" s="2">
        <v>1282</v>
      </c>
      <c r="B846" s="2">
        <v>62859</v>
      </c>
      <c r="C846" s="2">
        <v>61</v>
      </c>
      <c r="D846" s="2">
        <v>1</v>
      </c>
      <c r="E846" s="25">
        <f t="shared" si="11"/>
        <v>692.16590559730776</v>
      </c>
    </row>
    <row r="847" spans="1:5" x14ac:dyDescent="0.35">
      <c r="A847" s="2">
        <v>436</v>
      </c>
      <c r="B847" s="2">
        <v>64014</v>
      </c>
      <c r="C847" s="2">
        <v>74</v>
      </c>
      <c r="D847" s="2">
        <v>1</v>
      </c>
      <c r="E847" s="25">
        <f t="shared" si="11"/>
        <v>691.84122477788515</v>
      </c>
    </row>
    <row r="848" spans="1:5" x14ac:dyDescent="0.35">
      <c r="A848" s="3">
        <v>892</v>
      </c>
      <c r="B848" s="3">
        <v>62568</v>
      </c>
      <c r="C848" s="3">
        <v>58</v>
      </c>
      <c r="D848" s="3">
        <v>1</v>
      </c>
      <c r="E848" s="25">
        <f t="shared" si="11"/>
        <v>691.742091304116</v>
      </c>
    </row>
    <row r="849" spans="1:5" x14ac:dyDescent="0.35">
      <c r="A849" s="3">
        <v>1122</v>
      </c>
      <c r="B849" s="3">
        <v>60839</v>
      </c>
      <c r="C849" s="3">
        <v>41</v>
      </c>
      <c r="D849" s="3">
        <v>1</v>
      </c>
      <c r="E849" s="25">
        <f t="shared" si="11"/>
        <v>687.70937552451733</v>
      </c>
    </row>
    <row r="850" spans="1:5" x14ac:dyDescent="0.35">
      <c r="A850" s="2">
        <v>395</v>
      </c>
      <c r="B850" s="2">
        <v>62972</v>
      </c>
      <c r="C850" s="2">
        <v>65</v>
      </c>
      <c r="D850" s="2">
        <v>1</v>
      </c>
      <c r="E850" s="25">
        <f t="shared" si="11"/>
        <v>687.124080081991</v>
      </c>
    </row>
    <row r="851" spans="1:5" x14ac:dyDescent="0.35">
      <c r="A851" s="3">
        <v>395</v>
      </c>
      <c r="B851" s="3">
        <v>62972</v>
      </c>
      <c r="C851" s="3">
        <v>65</v>
      </c>
      <c r="D851" s="3">
        <v>1</v>
      </c>
      <c r="E851" s="25">
        <f t="shared" si="11"/>
        <v>687.124080081991</v>
      </c>
    </row>
    <row r="852" spans="1:5" x14ac:dyDescent="0.35">
      <c r="A852" s="2">
        <v>900</v>
      </c>
      <c r="B852" s="2">
        <v>61064</v>
      </c>
      <c r="C852" s="2">
        <v>44</v>
      </c>
      <c r="D852" s="2">
        <v>1</v>
      </c>
      <c r="E852" s="25">
        <f t="shared" si="11"/>
        <v>686.78753112021195</v>
      </c>
    </row>
    <row r="853" spans="1:5" x14ac:dyDescent="0.35">
      <c r="A853" s="3">
        <v>187</v>
      </c>
      <c r="B853" s="3">
        <v>45921</v>
      </c>
      <c r="C853" s="3">
        <v>34</v>
      </c>
      <c r="D853" s="3">
        <v>0</v>
      </c>
      <c r="E853" s="25">
        <f t="shared" si="11"/>
        <v>686.01843697910897</v>
      </c>
    </row>
    <row r="854" spans="1:5" x14ac:dyDescent="0.35">
      <c r="A854" s="2">
        <v>704</v>
      </c>
      <c r="B854" s="2">
        <v>61671</v>
      </c>
      <c r="C854" s="2">
        <v>52</v>
      </c>
      <c r="D854" s="2">
        <v>1</v>
      </c>
      <c r="E854" s="25">
        <f t="shared" si="11"/>
        <v>684.47200075240426</v>
      </c>
    </row>
    <row r="855" spans="1:5" x14ac:dyDescent="0.35">
      <c r="A855" s="2">
        <v>957</v>
      </c>
      <c r="B855" s="2">
        <v>62450</v>
      </c>
      <c r="C855" s="2">
        <v>61</v>
      </c>
      <c r="D855" s="2">
        <v>1</v>
      </c>
      <c r="E855" s="25">
        <f t="shared" si="11"/>
        <v>683.82689942645311</v>
      </c>
    </row>
    <row r="856" spans="1:5" x14ac:dyDescent="0.35">
      <c r="A856" s="2">
        <v>819</v>
      </c>
      <c r="B856" s="2">
        <v>60934</v>
      </c>
      <c r="C856" s="2">
        <v>45</v>
      </c>
      <c r="D856" s="2">
        <v>1</v>
      </c>
      <c r="E856" s="25">
        <f t="shared" si="11"/>
        <v>682.30055218261077</v>
      </c>
    </row>
    <row r="857" spans="1:5" x14ac:dyDescent="0.35">
      <c r="A857" s="2">
        <v>405</v>
      </c>
      <c r="B857" s="2">
        <v>62998</v>
      </c>
      <c r="C857" s="2">
        <v>68</v>
      </c>
      <c r="D857" s="2">
        <v>1</v>
      </c>
      <c r="E857" s="25">
        <f t="shared" si="11"/>
        <v>682.14487081704965</v>
      </c>
    </row>
    <row r="858" spans="1:5" x14ac:dyDescent="0.35">
      <c r="A858" s="3">
        <v>1408</v>
      </c>
      <c r="B858" s="3">
        <v>63120</v>
      </c>
      <c r="C858" s="3">
        <v>70</v>
      </c>
      <c r="D858" s="3">
        <v>1</v>
      </c>
      <c r="E858" s="25">
        <f t="shared" si="11"/>
        <v>680.95942237281679</v>
      </c>
    </row>
    <row r="859" spans="1:5" x14ac:dyDescent="0.35">
      <c r="A859" s="3">
        <v>1497</v>
      </c>
      <c r="B859" s="3">
        <v>48192</v>
      </c>
      <c r="C859" s="3">
        <v>62</v>
      </c>
      <c r="D859" s="3">
        <v>0</v>
      </c>
      <c r="E859" s="25">
        <f t="shared" si="11"/>
        <v>680.90103522486368</v>
      </c>
    </row>
    <row r="860" spans="1:5" x14ac:dyDescent="0.35">
      <c r="A860" s="3">
        <v>807</v>
      </c>
      <c r="B860" s="3">
        <v>62204</v>
      </c>
      <c r="C860" s="3">
        <v>60</v>
      </c>
      <c r="D860" s="3">
        <v>1</v>
      </c>
      <c r="E860" s="25">
        <f t="shared" si="11"/>
        <v>680.64770154194821</v>
      </c>
    </row>
    <row r="861" spans="1:5" x14ac:dyDescent="0.35">
      <c r="A861" s="3">
        <v>1010</v>
      </c>
      <c r="B861" s="3">
        <v>60474</v>
      </c>
      <c r="C861" s="3">
        <v>41</v>
      </c>
      <c r="D861" s="3">
        <v>1</v>
      </c>
      <c r="E861" s="25">
        <f t="shared" si="11"/>
        <v>680.2674751519944</v>
      </c>
    </row>
    <row r="862" spans="1:5" x14ac:dyDescent="0.35">
      <c r="A862" s="2">
        <v>856</v>
      </c>
      <c r="B862" s="2">
        <v>62503</v>
      </c>
      <c r="C862" s="2">
        <v>64</v>
      </c>
      <c r="D862" s="2">
        <v>1</v>
      </c>
      <c r="E862" s="25">
        <f t="shared" si="11"/>
        <v>679.39818690139691</v>
      </c>
    </row>
    <row r="863" spans="1:5" x14ac:dyDescent="0.35">
      <c r="A863" s="3">
        <v>787</v>
      </c>
      <c r="B863" s="3">
        <v>62670</v>
      </c>
      <c r="C863" s="3">
        <v>66</v>
      </c>
      <c r="D863" s="3">
        <v>1</v>
      </c>
      <c r="E863" s="25">
        <f t="shared" si="11"/>
        <v>679.13023302363945</v>
      </c>
    </row>
    <row r="864" spans="1:5" x14ac:dyDescent="0.35">
      <c r="A864" s="3">
        <v>180</v>
      </c>
      <c r="B864" s="3">
        <v>62637</v>
      </c>
      <c r="C864" s="3">
        <v>66</v>
      </c>
      <c r="D864" s="3">
        <v>1</v>
      </c>
      <c r="E864" s="25">
        <f t="shared" si="11"/>
        <v>678.45740367489088</v>
      </c>
    </row>
    <row r="865" spans="1:5" x14ac:dyDescent="0.35">
      <c r="A865" s="2">
        <v>346</v>
      </c>
      <c r="B865" s="2">
        <v>62535</v>
      </c>
      <c r="C865" s="2">
        <v>65</v>
      </c>
      <c r="D865" s="2">
        <v>1</v>
      </c>
      <c r="E865" s="25">
        <f t="shared" si="11"/>
        <v>678.21418840310753</v>
      </c>
    </row>
    <row r="866" spans="1:5" x14ac:dyDescent="0.35">
      <c r="A866" s="3">
        <v>836</v>
      </c>
      <c r="B866" s="3">
        <v>61314</v>
      </c>
      <c r="C866" s="3">
        <v>52</v>
      </c>
      <c r="D866" s="3">
        <v>1</v>
      </c>
      <c r="E866" s="25">
        <f t="shared" si="11"/>
        <v>677.1932105250321</v>
      </c>
    </row>
    <row r="867" spans="1:5" x14ac:dyDescent="0.35">
      <c r="A867" s="2">
        <v>120</v>
      </c>
      <c r="B867" s="2">
        <v>61923</v>
      </c>
      <c r="C867" s="2">
        <v>59</v>
      </c>
      <c r="D867" s="2">
        <v>1</v>
      </c>
      <c r="E867" s="25">
        <f t="shared" si="11"/>
        <v>676.75489677240694</v>
      </c>
    </row>
    <row r="868" spans="1:5" x14ac:dyDescent="0.35">
      <c r="A868" s="2">
        <v>496</v>
      </c>
      <c r="B868" s="2">
        <v>61559</v>
      </c>
      <c r="C868" s="2">
        <v>55</v>
      </c>
      <c r="D868" s="2">
        <v>1</v>
      </c>
      <c r="E868" s="25">
        <f t="shared" si="11"/>
        <v>676.67914148360478</v>
      </c>
    </row>
    <row r="869" spans="1:5" x14ac:dyDescent="0.35">
      <c r="A869" s="3">
        <v>642</v>
      </c>
      <c r="B869" s="3">
        <v>60631</v>
      </c>
      <c r="C869" s="3">
        <v>45</v>
      </c>
      <c r="D869" s="3">
        <v>1</v>
      </c>
      <c r="E869" s="25">
        <f t="shared" si="11"/>
        <v>676.12275543500937</v>
      </c>
    </row>
    <row r="870" spans="1:5" x14ac:dyDescent="0.35">
      <c r="A870" s="3">
        <v>483</v>
      </c>
      <c r="B870" s="3">
        <v>60482</v>
      </c>
      <c r="C870" s="3">
        <v>44</v>
      </c>
      <c r="D870" s="3">
        <v>1</v>
      </c>
      <c r="E870" s="25">
        <f t="shared" si="11"/>
        <v>674.92126806046281</v>
      </c>
    </row>
    <row r="871" spans="1:5" x14ac:dyDescent="0.35">
      <c r="A871" s="2">
        <v>796</v>
      </c>
      <c r="B871" s="2">
        <v>60554</v>
      </c>
      <c r="C871" s="2">
        <v>45</v>
      </c>
      <c r="D871" s="2">
        <v>1</v>
      </c>
      <c r="E871" s="25">
        <f t="shared" si="11"/>
        <v>674.55282028792908</v>
      </c>
    </row>
    <row r="872" spans="1:5" x14ac:dyDescent="0.35">
      <c r="A872" s="3">
        <v>600</v>
      </c>
      <c r="B872" s="3">
        <v>61794</v>
      </c>
      <c r="C872" s="3">
        <v>59</v>
      </c>
      <c r="D872" s="3">
        <v>1</v>
      </c>
      <c r="E872" s="25">
        <f t="shared" si="11"/>
        <v>674.12474568184371</v>
      </c>
    </row>
    <row r="873" spans="1:5" x14ac:dyDescent="0.35">
      <c r="A873" s="3">
        <v>852</v>
      </c>
      <c r="B873" s="3">
        <v>60152</v>
      </c>
      <c r="C873" s="3">
        <v>41</v>
      </c>
      <c r="D873" s="3">
        <v>1</v>
      </c>
      <c r="E873" s="25">
        <f t="shared" si="11"/>
        <v>673.70229180965862</v>
      </c>
    </row>
    <row r="874" spans="1:5" x14ac:dyDescent="0.35">
      <c r="A874" s="2">
        <v>1144</v>
      </c>
      <c r="B874" s="2">
        <v>62845</v>
      </c>
      <c r="C874" s="2">
        <v>71</v>
      </c>
      <c r="D874" s="2">
        <v>1</v>
      </c>
      <c r="E874" s="25">
        <f t="shared" si="11"/>
        <v>673.51607205435039</v>
      </c>
    </row>
    <row r="875" spans="1:5" x14ac:dyDescent="0.35">
      <c r="A875" s="3">
        <v>1144</v>
      </c>
      <c r="B875" s="3">
        <v>62845</v>
      </c>
      <c r="C875" s="3">
        <v>71</v>
      </c>
      <c r="D875" s="3">
        <v>1</v>
      </c>
      <c r="E875" s="25">
        <f t="shared" si="11"/>
        <v>673.51607205435039</v>
      </c>
    </row>
    <row r="876" spans="1:5" x14ac:dyDescent="0.35">
      <c r="A876" s="3">
        <v>1094</v>
      </c>
      <c r="B876" s="3">
        <v>61223</v>
      </c>
      <c r="C876" s="3">
        <v>53</v>
      </c>
      <c r="D876" s="3">
        <v>1</v>
      </c>
      <c r="E876" s="25">
        <f t="shared" si="11"/>
        <v>673.50139354504336</v>
      </c>
    </row>
    <row r="877" spans="1:5" x14ac:dyDescent="0.35">
      <c r="A877" s="2">
        <v>491</v>
      </c>
      <c r="B877" s="2">
        <v>61286</v>
      </c>
      <c r="C877" s="2">
        <v>54</v>
      </c>
      <c r="D877" s="2">
        <v>1</v>
      </c>
      <c r="E877" s="25">
        <f t="shared" si="11"/>
        <v>672.94944685921473</v>
      </c>
    </row>
    <row r="878" spans="1:5" x14ac:dyDescent="0.35">
      <c r="A878" s="2">
        <v>18</v>
      </c>
      <c r="B878" s="2">
        <v>60199</v>
      </c>
      <c r="C878" s="2">
        <v>42</v>
      </c>
      <c r="D878" s="2">
        <v>1</v>
      </c>
      <c r="E878" s="25">
        <f t="shared" ref="E878:E941" si="12">$B$101+$B878*$B$102+$C878*$B$103+$D878*$B$104</f>
        <v>672.824124833528</v>
      </c>
    </row>
    <row r="879" spans="1:5" x14ac:dyDescent="0.35">
      <c r="A879" s="2">
        <v>392</v>
      </c>
      <c r="B879" s="2">
        <v>62058</v>
      </c>
      <c r="C879" s="2">
        <v>64</v>
      </c>
      <c r="D879" s="2">
        <v>1</v>
      </c>
      <c r="E879" s="25">
        <f t="shared" si="12"/>
        <v>670.32518507736177</v>
      </c>
    </row>
    <row r="880" spans="1:5" x14ac:dyDescent="0.35">
      <c r="A880" s="2">
        <v>262</v>
      </c>
      <c r="B880" s="2">
        <v>59060</v>
      </c>
      <c r="C880" s="2">
        <v>31</v>
      </c>
      <c r="D880" s="2">
        <v>1</v>
      </c>
      <c r="E880" s="25">
        <f t="shared" si="12"/>
        <v>669.80214778546394</v>
      </c>
    </row>
    <row r="881" spans="1:5" x14ac:dyDescent="0.35">
      <c r="A881" s="3">
        <v>860</v>
      </c>
      <c r="B881" s="3">
        <v>48948</v>
      </c>
      <c r="C881" s="3">
        <v>77</v>
      </c>
      <c r="D881" s="3">
        <v>0</v>
      </c>
      <c r="E881" s="25">
        <f t="shared" si="12"/>
        <v>668.76835775823724</v>
      </c>
    </row>
    <row r="882" spans="1:5" x14ac:dyDescent="0.35">
      <c r="A882" s="3">
        <v>682</v>
      </c>
      <c r="B882" s="3">
        <v>62335</v>
      </c>
      <c r="C882" s="3">
        <v>68</v>
      </c>
      <c r="D882" s="3">
        <v>1</v>
      </c>
      <c r="E882" s="25">
        <f t="shared" si="12"/>
        <v>668.62711753764461</v>
      </c>
    </row>
    <row r="883" spans="1:5" x14ac:dyDescent="0.35">
      <c r="A883" s="2">
        <v>390</v>
      </c>
      <c r="B883" s="2">
        <v>60432</v>
      </c>
      <c r="C883" s="2">
        <v>47</v>
      </c>
      <c r="D883" s="2">
        <v>1</v>
      </c>
      <c r="E883" s="25">
        <f t="shared" si="12"/>
        <v>668.39251241658485</v>
      </c>
    </row>
    <row r="884" spans="1:5" x14ac:dyDescent="0.35">
      <c r="A884" s="3">
        <v>150</v>
      </c>
      <c r="B884" s="3">
        <v>62307</v>
      </c>
      <c r="C884" s="3">
        <v>68</v>
      </c>
      <c r="D884" s="3">
        <v>1</v>
      </c>
      <c r="E884" s="25">
        <f t="shared" si="12"/>
        <v>668.05623202961533</v>
      </c>
    </row>
    <row r="885" spans="1:5" x14ac:dyDescent="0.35">
      <c r="A885" s="3">
        <v>715</v>
      </c>
      <c r="B885" s="3">
        <v>60585</v>
      </c>
      <c r="C885" s="3">
        <v>49</v>
      </c>
      <c r="D885" s="3">
        <v>1</v>
      </c>
      <c r="E885" s="25">
        <f t="shared" si="12"/>
        <v>667.83911578481275</v>
      </c>
    </row>
    <row r="886" spans="1:5" x14ac:dyDescent="0.35">
      <c r="A886" s="2">
        <v>492</v>
      </c>
      <c r="B886" s="2">
        <v>60504</v>
      </c>
      <c r="C886" s="2">
        <v>49</v>
      </c>
      <c r="D886" s="2">
        <v>1</v>
      </c>
      <c r="E886" s="25">
        <f t="shared" si="12"/>
        <v>666.18762556515685</v>
      </c>
    </row>
    <row r="887" spans="1:5" x14ac:dyDescent="0.35">
      <c r="A887" s="3">
        <v>952</v>
      </c>
      <c r="B887" s="3">
        <v>60491</v>
      </c>
      <c r="C887" s="3">
        <v>49</v>
      </c>
      <c r="D887" s="3">
        <v>1</v>
      </c>
      <c r="E887" s="25">
        <f t="shared" si="12"/>
        <v>665.92257157928634</v>
      </c>
    </row>
    <row r="888" spans="1:5" x14ac:dyDescent="0.35">
      <c r="A888" s="3">
        <v>1265</v>
      </c>
      <c r="B888" s="3">
        <v>60000</v>
      </c>
      <c r="C888" s="3">
        <v>44</v>
      </c>
      <c r="D888" s="3">
        <v>1</v>
      </c>
      <c r="E888" s="25">
        <f t="shared" si="12"/>
        <v>665.09388181510349</v>
      </c>
    </row>
    <row r="889" spans="1:5" x14ac:dyDescent="0.35">
      <c r="A889" s="3">
        <v>778</v>
      </c>
      <c r="B889" s="3">
        <v>60894</v>
      </c>
      <c r="C889" s="3">
        <v>54</v>
      </c>
      <c r="D889" s="3">
        <v>1</v>
      </c>
      <c r="E889" s="25">
        <f t="shared" si="12"/>
        <v>664.95704974680621</v>
      </c>
    </row>
    <row r="890" spans="1:5" x14ac:dyDescent="0.35">
      <c r="A890" s="3">
        <v>597</v>
      </c>
      <c r="B890" s="3">
        <v>60208</v>
      </c>
      <c r="C890" s="3">
        <v>47</v>
      </c>
      <c r="D890" s="3">
        <v>1</v>
      </c>
      <c r="E890" s="25">
        <f t="shared" si="12"/>
        <v>663.82542835235154</v>
      </c>
    </row>
    <row r="891" spans="1:5" x14ac:dyDescent="0.35">
      <c r="A891" s="2">
        <v>645</v>
      </c>
      <c r="B891" s="2">
        <v>60093</v>
      </c>
      <c r="C891" s="2">
        <v>46</v>
      </c>
      <c r="D891" s="2">
        <v>1</v>
      </c>
      <c r="E891" s="25">
        <f t="shared" si="12"/>
        <v>663.31715909469722</v>
      </c>
    </row>
    <row r="892" spans="1:5" x14ac:dyDescent="0.35">
      <c r="A892" s="2">
        <v>1000</v>
      </c>
      <c r="B892" s="2">
        <v>62000</v>
      </c>
      <c r="C892" s="2">
        <v>68</v>
      </c>
      <c r="D892" s="2">
        <v>1</v>
      </c>
      <c r="E892" s="25">
        <f t="shared" si="12"/>
        <v>661.79688020943877</v>
      </c>
    </row>
    <row r="893" spans="1:5" x14ac:dyDescent="0.35">
      <c r="A893" s="3">
        <v>1548</v>
      </c>
      <c r="B893" s="3">
        <v>60896</v>
      </c>
      <c r="C893" s="3">
        <v>56</v>
      </c>
      <c r="D893" s="3">
        <v>1</v>
      </c>
      <c r="E893" s="25">
        <f t="shared" si="12"/>
        <v>661.32494912530547</v>
      </c>
    </row>
    <row r="894" spans="1:5" x14ac:dyDescent="0.35">
      <c r="A894" s="2">
        <v>828</v>
      </c>
      <c r="B894" s="2">
        <v>59809</v>
      </c>
      <c r="C894" s="2">
        <v>44</v>
      </c>
      <c r="D894" s="2">
        <v>1</v>
      </c>
      <c r="E894" s="25">
        <f t="shared" si="12"/>
        <v>661.19962709961874</v>
      </c>
    </row>
    <row r="895" spans="1:5" x14ac:dyDescent="0.35">
      <c r="A895" s="2">
        <v>671</v>
      </c>
      <c r="B895" s="2">
        <v>61250</v>
      </c>
      <c r="C895" s="2">
        <v>61</v>
      </c>
      <c r="D895" s="2">
        <v>1</v>
      </c>
      <c r="E895" s="25">
        <f t="shared" si="12"/>
        <v>659.36037765377432</v>
      </c>
    </row>
    <row r="896" spans="1:5" x14ac:dyDescent="0.35">
      <c r="A896" s="3">
        <v>591</v>
      </c>
      <c r="B896" s="3">
        <v>61331</v>
      </c>
      <c r="C896" s="3">
        <v>62</v>
      </c>
      <c r="D896" s="3">
        <v>1</v>
      </c>
      <c r="E896" s="25">
        <f t="shared" si="12"/>
        <v>659.17542879453595</v>
      </c>
    </row>
    <row r="897" spans="1:5" x14ac:dyDescent="0.35">
      <c r="A897" s="3">
        <v>774</v>
      </c>
      <c r="B897" s="3">
        <v>59601</v>
      </c>
      <c r="C897" s="3">
        <v>43</v>
      </c>
      <c r="D897" s="3">
        <v>1</v>
      </c>
      <c r="E897" s="25">
        <f t="shared" si="12"/>
        <v>658.79520240458214</v>
      </c>
    </row>
    <row r="898" spans="1:5" x14ac:dyDescent="0.35">
      <c r="A898" s="2">
        <v>715</v>
      </c>
      <c r="B898" s="2">
        <v>61823</v>
      </c>
      <c r="C898" s="2">
        <v>68</v>
      </c>
      <c r="D898" s="2">
        <v>1</v>
      </c>
      <c r="E898" s="25">
        <f t="shared" si="12"/>
        <v>658.18806824796866</v>
      </c>
    </row>
    <row r="899" spans="1:5" x14ac:dyDescent="0.35">
      <c r="A899" s="2">
        <v>486</v>
      </c>
      <c r="B899" s="2">
        <v>61180</v>
      </c>
      <c r="C899" s="2">
        <v>61</v>
      </c>
      <c r="D899" s="2">
        <v>1</v>
      </c>
      <c r="E899" s="25">
        <f t="shared" si="12"/>
        <v>657.93316388370158</v>
      </c>
    </row>
    <row r="900" spans="1:5" x14ac:dyDescent="0.35">
      <c r="A900" s="3">
        <v>897</v>
      </c>
      <c r="B900" s="3">
        <v>44953</v>
      </c>
      <c r="C900" s="3">
        <v>39</v>
      </c>
      <c r="D900" s="3">
        <v>0</v>
      </c>
      <c r="E900" s="25">
        <f t="shared" si="12"/>
        <v>657.09991402134358</v>
      </c>
    </row>
    <row r="901" spans="1:5" x14ac:dyDescent="0.35">
      <c r="A901" s="3">
        <v>827</v>
      </c>
      <c r="B901" s="3">
        <v>60597</v>
      </c>
      <c r="C901" s="3">
        <v>56</v>
      </c>
      <c r="D901" s="3">
        <v>1</v>
      </c>
      <c r="E901" s="25">
        <f t="shared" si="12"/>
        <v>655.22870745027967</v>
      </c>
    </row>
    <row r="902" spans="1:5" x14ac:dyDescent="0.35">
      <c r="A902" s="3">
        <v>1040</v>
      </c>
      <c r="B902" s="3">
        <v>59868</v>
      </c>
      <c r="C902" s="3">
        <v>48</v>
      </c>
      <c r="D902" s="3">
        <v>1</v>
      </c>
      <c r="E902" s="25">
        <f t="shared" si="12"/>
        <v>655.05680810453168</v>
      </c>
    </row>
    <row r="903" spans="1:5" x14ac:dyDescent="0.35">
      <c r="A903" s="2">
        <v>950</v>
      </c>
      <c r="B903" s="2">
        <v>61074</v>
      </c>
      <c r="C903" s="2">
        <v>62</v>
      </c>
      <c r="D903" s="2">
        <v>1</v>
      </c>
      <c r="E903" s="25">
        <f t="shared" si="12"/>
        <v>653.93551538155407</v>
      </c>
    </row>
    <row r="904" spans="1:5" x14ac:dyDescent="0.35">
      <c r="A904" s="3">
        <v>403</v>
      </c>
      <c r="B904" s="3">
        <v>59481</v>
      </c>
      <c r="C904" s="3">
        <v>45</v>
      </c>
      <c r="D904" s="3">
        <v>1</v>
      </c>
      <c r="E904" s="25">
        <f t="shared" si="12"/>
        <v>652.67567206952572</v>
      </c>
    </row>
    <row r="905" spans="1:5" x14ac:dyDescent="0.35">
      <c r="A905" s="3">
        <v>87</v>
      </c>
      <c r="B905" s="3">
        <v>59892</v>
      </c>
      <c r="C905" s="3">
        <v>50</v>
      </c>
      <c r="D905" s="3">
        <v>1</v>
      </c>
      <c r="E905" s="25">
        <f t="shared" si="12"/>
        <v>651.8732603821968</v>
      </c>
    </row>
    <row r="906" spans="1:5" x14ac:dyDescent="0.35">
      <c r="A906" s="2">
        <v>894</v>
      </c>
      <c r="B906" s="2">
        <v>59666</v>
      </c>
      <c r="C906" s="2">
        <v>48</v>
      </c>
      <c r="D906" s="2">
        <v>1</v>
      </c>
      <c r="E906" s="25">
        <f t="shared" si="12"/>
        <v>650.93827693946423</v>
      </c>
    </row>
    <row r="907" spans="1:5" x14ac:dyDescent="0.35">
      <c r="A907" s="2">
        <v>150</v>
      </c>
      <c r="B907" s="2">
        <v>61278</v>
      </c>
      <c r="C907" s="2">
        <v>67</v>
      </c>
      <c r="D907" s="2">
        <v>1</v>
      </c>
      <c r="E907" s="25">
        <f t="shared" si="12"/>
        <v>648.91262868843796</v>
      </c>
    </row>
    <row r="908" spans="1:5" x14ac:dyDescent="0.35">
      <c r="A908" s="3">
        <v>342</v>
      </c>
      <c r="B908" s="3">
        <v>46610</v>
      </c>
      <c r="C908" s="3">
        <v>62</v>
      </c>
      <c r="D908" s="3">
        <v>0</v>
      </c>
      <c r="E908" s="25">
        <f t="shared" si="12"/>
        <v>648.64600402121573</v>
      </c>
    </row>
    <row r="909" spans="1:5" x14ac:dyDescent="0.35">
      <c r="A909" s="2">
        <v>254</v>
      </c>
      <c r="B909" s="2">
        <v>60544</v>
      </c>
      <c r="C909" s="2">
        <v>59</v>
      </c>
      <c r="D909" s="2">
        <v>1</v>
      </c>
      <c r="E909" s="25">
        <f t="shared" si="12"/>
        <v>648.63878550197023</v>
      </c>
    </row>
    <row r="910" spans="1:5" x14ac:dyDescent="0.35">
      <c r="A910" s="3">
        <v>894</v>
      </c>
      <c r="B910" s="3">
        <v>60161</v>
      </c>
      <c r="C910" s="3">
        <v>55</v>
      </c>
      <c r="D910" s="3">
        <v>1</v>
      </c>
      <c r="E910" s="25">
        <f t="shared" si="12"/>
        <v>648.17564361843415</v>
      </c>
    </row>
    <row r="911" spans="1:5" x14ac:dyDescent="0.35">
      <c r="A911" s="2">
        <v>721</v>
      </c>
      <c r="B911" s="2">
        <v>58582</v>
      </c>
      <c r="C911" s="2">
        <v>38</v>
      </c>
      <c r="D911" s="2">
        <v>1</v>
      </c>
      <c r="E911" s="25">
        <f t="shared" si="12"/>
        <v>647.20124306042032</v>
      </c>
    </row>
    <row r="912" spans="1:5" x14ac:dyDescent="0.35">
      <c r="A912" s="3">
        <v>545</v>
      </c>
      <c r="B912" s="3">
        <v>61467</v>
      </c>
      <c r="C912" s="3">
        <v>72</v>
      </c>
      <c r="D912" s="3">
        <v>1</v>
      </c>
      <c r="E912" s="25">
        <f t="shared" si="12"/>
        <v>643.58391047316354</v>
      </c>
    </row>
    <row r="913" spans="1:5" x14ac:dyDescent="0.35">
      <c r="A913" s="3">
        <v>945</v>
      </c>
      <c r="B913" s="3">
        <v>61010</v>
      </c>
      <c r="C913" s="3">
        <v>68</v>
      </c>
      <c r="D913" s="3">
        <v>1</v>
      </c>
      <c r="E913" s="25">
        <f t="shared" si="12"/>
        <v>641.61199974697865</v>
      </c>
    </row>
    <row r="914" spans="1:5" x14ac:dyDescent="0.35">
      <c r="A914" s="2">
        <v>607</v>
      </c>
      <c r="B914" s="2">
        <v>45938</v>
      </c>
      <c r="C914" s="2">
        <v>59</v>
      </c>
      <c r="D914" s="2">
        <v>0</v>
      </c>
      <c r="E914" s="25">
        <f t="shared" si="12"/>
        <v>640.4540690651985</v>
      </c>
    </row>
    <row r="915" spans="1:5" x14ac:dyDescent="0.35">
      <c r="A915" s="2">
        <v>90</v>
      </c>
      <c r="B915" s="2">
        <v>59041</v>
      </c>
      <c r="C915" s="2">
        <v>47</v>
      </c>
      <c r="D915" s="2">
        <v>1</v>
      </c>
      <c r="E915" s="25">
        <f t="shared" si="12"/>
        <v>640.03173592842143</v>
      </c>
    </row>
    <row r="916" spans="1:5" x14ac:dyDescent="0.35">
      <c r="A916" s="3">
        <v>336</v>
      </c>
      <c r="B916" s="3">
        <v>59754</v>
      </c>
      <c r="C916" s="3">
        <v>55</v>
      </c>
      <c r="D916" s="3">
        <v>1</v>
      </c>
      <c r="E916" s="25">
        <f t="shared" si="12"/>
        <v>639.87741498386731</v>
      </c>
    </row>
    <row r="917" spans="1:5" x14ac:dyDescent="0.35">
      <c r="A917" s="3">
        <v>407</v>
      </c>
      <c r="B917" s="3">
        <v>58293</v>
      </c>
      <c r="C917" s="3">
        <v>39</v>
      </c>
      <c r="D917" s="3">
        <v>1</v>
      </c>
      <c r="E917" s="25">
        <f t="shared" si="12"/>
        <v>639.47244998793929</v>
      </c>
    </row>
    <row r="918" spans="1:5" x14ac:dyDescent="0.35">
      <c r="A918" s="2">
        <v>269</v>
      </c>
      <c r="B918" s="2">
        <v>59686</v>
      </c>
      <c r="C918" s="2">
        <v>55</v>
      </c>
      <c r="D918" s="2">
        <v>1</v>
      </c>
      <c r="E918" s="25">
        <f t="shared" si="12"/>
        <v>638.49097875008192</v>
      </c>
    </row>
    <row r="919" spans="1:5" x14ac:dyDescent="0.35">
      <c r="A919" s="3">
        <v>490</v>
      </c>
      <c r="B919" s="3">
        <v>59594</v>
      </c>
      <c r="C919" s="3">
        <v>55</v>
      </c>
      <c r="D919" s="3">
        <v>1</v>
      </c>
      <c r="E919" s="25">
        <f t="shared" si="12"/>
        <v>636.61521208084332</v>
      </c>
    </row>
    <row r="920" spans="1:5" x14ac:dyDescent="0.35">
      <c r="A920" s="3">
        <v>712</v>
      </c>
      <c r="B920" s="3">
        <v>58597</v>
      </c>
      <c r="C920" s="3">
        <v>44</v>
      </c>
      <c r="D920" s="3">
        <v>1</v>
      </c>
      <c r="E920" s="25">
        <f t="shared" si="12"/>
        <v>636.48844010921323</v>
      </c>
    </row>
    <row r="921" spans="1:5" x14ac:dyDescent="0.35">
      <c r="A921" s="3">
        <v>354</v>
      </c>
      <c r="B921" s="3">
        <v>60905</v>
      </c>
      <c r="C921" s="3">
        <v>70</v>
      </c>
      <c r="D921" s="3">
        <v>1</v>
      </c>
      <c r="E921" s="25">
        <f t="shared" si="12"/>
        <v>635.79830093408054</v>
      </c>
    </row>
    <row r="922" spans="1:5" x14ac:dyDescent="0.35">
      <c r="A922" s="3">
        <v>550</v>
      </c>
      <c r="B922" s="3">
        <v>57937</v>
      </c>
      <c r="C922" s="3">
        <v>38</v>
      </c>
      <c r="D922" s="3">
        <v>1</v>
      </c>
      <c r="E922" s="25">
        <f t="shared" si="12"/>
        <v>634.05048760760553</v>
      </c>
    </row>
    <row r="923" spans="1:5" x14ac:dyDescent="0.35">
      <c r="A923" s="2">
        <v>1029</v>
      </c>
      <c r="B923" s="2">
        <v>44802</v>
      </c>
      <c r="C923" s="2">
        <v>50</v>
      </c>
      <c r="D923" s="2">
        <v>0</v>
      </c>
      <c r="E923" s="25">
        <f t="shared" si="12"/>
        <v>633.82038016377783</v>
      </c>
    </row>
    <row r="924" spans="1:5" x14ac:dyDescent="0.35">
      <c r="A924" s="2">
        <v>615</v>
      </c>
      <c r="B924" s="2">
        <v>60689</v>
      </c>
      <c r="C924" s="2">
        <v>69</v>
      </c>
      <c r="D924" s="2">
        <v>1</v>
      </c>
      <c r="E924" s="25">
        <f t="shared" si="12"/>
        <v>633.23076609389273</v>
      </c>
    </row>
    <row r="925" spans="1:5" x14ac:dyDescent="0.35">
      <c r="A925" s="3">
        <v>1027</v>
      </c>
      <c r="B925" s="3">
        <v>60230</v>
      </c>
      <c r="C925" s="3">
        <v>64</v>
      </c>
      <c r="D925" s="3">
        <v>1</v>
      </c>
      <c r="E925" s="25">
        <f t="shared" si="12"/>
        <v>633.05451691031476</v>
      </c>
    </row>
    <row r="926" spans="1:5" x14ac:dyDescent="0.35">
      <c r="A926" s="3">
        <v>1037</v>
      </c>
      <c r="B926" s="3">
        <v>59235</v>
      </c>
      <c r="C926" s="3">
        <v>53</v>
      </c>
      <c r="D926" s="3">
        <v>1</v>
      </c>
      <c r="E926" s="25">
        <f t="shared" si="12"/>
        <v>632.96852247497225</v>
      </c>
    </row>
    <row r="927" spans="1:5" x14ac:dyDescent="0.35">
      <c r="A927" s="3">
        <v>226</v>
      </c>
      <c r="B927" s="3">
        <v>42670</v>
      </c>
      <c r="C927" s="3">
        <v>28</v>
      </c>
      <c r="D927" s="3">
        <v>0</v>
      </c>
      <c r="E927" s="25">
        <f t="shared" si="12"/>
        <v>630.75318621665951</v>
      </c>
    </row>
    <row r="928" spans="1:5" x14ac:dyDescent="0.35">
      <c r="A928" s="2">
        <v>377</v>
      </c>
      <c r="B928" s="2">
        <v>58494</v>
      </c>
      <c r="C928" s="2">
        <v>46</v>
      </c>
      <c r="D928" s="2">
        <v>1</v>
      </c>
      <c r="E928" s="25">
        <f t="shared" si="12"/>
        <v>630.71551883260315</v>
      </c>
    </row>
    <row r="929" spans="1:5" x14ac:dyDescent="0.35">
      <c r="A929" s="2">
        <v>448</v>
      </c>
      <c r="B929" s="2">
        <v>58025</v>
      </c>
      <c r="C929" s="2">
        <v>41</v>
      </c>
      <c r="D929" s="2">
        <v>1</v>
      </c>
      <c r="E929" s="25">
        <f t="shared" si="12"/>
        <v>630.33538196758593</v>
      </c>
    </row>
    <row r="930" spans="1:5" x14ac:dyDescent="0.35">
      <c r="A930" s="2">
        <v>254</v>
      </c>
      <c r="B930" s="2">
        <v>58917</v>
      </c>
      <c r="C930" s="2">
        <v>51</v>
      </c>
      <c r="D930" s="2">
        <v>1</v>
      </c>
      <c r="E930" s="25">
        <f t="shared" si="12"/>
        <v>630.15777236300107</v>
      </c>
    </row>
    <row r="931" spans="1:5" x14ac:dyDescent="0.35">
      <c r="A931" s="2">
        <v>62</v>
      </c>
      <c r="B931" s="2">
        <v>59062</v>
      </c>
      <c r="C931" s="2">
        <v>53</v>
      </c>
      <c r="D931" s="2">
        <v>1</v>
      </c>
      <c r="E931" s="25">
        <f t="shared" si="12"/>
        <v>629.44126558607775</v>
      </c>
    </row>
    <row r="932" spans="1:5" x14ac:dyDescent="0.35">
      <c r="A932" s="3">
        <v>300</v>
      </c>
      <c r="B932" s="3">
        <v>42691</v>
      </c>
      <c r="C932" s="3">
        <v>29</v>
      </c>
      <c r="D932" s="3">
        <v>0</v>
      </c>
      <c r="E932" s="25">
        <f t="shared" si="12"/>
        <v>629.34491126878697</v>
      </c>
    </row>
    <row r="933" spans="1:5" x14ac:dyDescent="0.35">
      <c r="A933" s="3">
        <v>913</v>
      </c>
      <c r="B933" s="3">
        <v>58330</v>
      </c>
      <c r="C933" s="3">
        <v>45</v>
      </c>
      <c r="D933" s="3">
        <v>1</v>
      </c>
      <c r="E933" s="25">
        <f t="shared" si="12"/>
        <v>629.20819993589805</v>
      </c>
    </row>
    <row r="934" spans="1:5" x14ac:dyDescent="0.35">
      <c r="A934" s="3">
        <v>1038</v>
      </c>
      <c r="B934" s="3">
        <v>59304</v>
      </c>
      <c r="C934" s="3">
        <v>56</v>
      </c>
      <c r="D934" s="3">
        <v>1</v>
      </c>
      <c r="E934" s="25">
        <f t="shared" si="12"/>
        <v>628.86603024021849</v>
      </c>
    </row>
    <row r="935" spans="1:5" x14ac:dyDescent="0.35">
      <c r="A935" s="2">
        <v>651</v>
      </c>
      <c r="B935" s="2">
        <v>59432</v>
      </c>
      <c r="C935" s="2">
        <v>58</v>
      </c>
      <c r="D935" s="2">
        <v>1</v>
      </c>
      <c r="E935" s="25">
        <f t="shared" si="12"/>
        <v>627.80291440484905</v>
      </c>
    </row>
    <row r="936" spans="1:5" x14ac:dyDescent="0.35">
      <c r="A936" s="2">
        <v>1011</v>
      </c>
      <c r="B936" s="2">
        <v>58710</v>
      </c>
      <c r="C936" s="2">
        <v>50</v>
      </c>
      <c r="D936" s="2">
        <v>1</v>
      </c>
      <c r="E936" s="25">
        <f t="shared" si="12"/>
        <v>627.77373643610815</v>
      </c>
    </row>
    <row r="937" spans="1:5" x14ac:dyDescent="0.35">
      <c r="A937" s="2">
        <v>303</v>
      </c>
      <c r="B937" s="2">
        <v>45183</v>
      </c>
      <c r="C937" s="2">
        <v>58</v>
      </c>
      <c r="D937" s="2">
        <v>0</v>
      </c>
      <c r="E937" s="25">
        <f t="shared" si="12"/>
        <v>626.89698819544913</v>
      </c>
    </row>
    <row r="938" spans="1:5" x14ac:dyDescent="0.35">
      <c r="A938" s="3">
        <v>294</v>
      </c>
      <c r="B938" s="3">
        <v>57100</v>
      </c>
      <c r="C938" s="3">
        <v>33</v>
      </c>
      <c r="D938" s="3">
        <v>1</v>
      </c>
      <c r="E938" s="25">
        <f t="shared" si="12"/>
        <v>626.16728406563368</v>
      </c>
    </row>
    <row r="939" spans="1:5" x14ac:dyDescent="0.35">
      <c r="A939" s="2">
        <v>150</v>
      </c>
      <c r="B939" s="2">
        <v>60033</v>
      </c>
      <c r="C939" s="2">
        <v>66</v>
      </c>
      <c r="D939" s="2">
        <v>1</v>
      </c>
      <c r="E939" s="25">
        <f t="shared" si="12"/>
        <v>625.36505142817805</v>
      </c>
    </row>
    <row r="940" spans="1:5" x14ac:dyDescent="0.35">
      <c r="A940" s="3">
        <v>595</v>
      </c>
      <c r="B940" s="3">
        <v>57867</v>
      </c>
      <c r="C940" s="3">
        <v>42</v>
      </c>
      <c r="D940" s="3">
        <v>1</v>
      </c>
      <c r="E940" s="25">
        <f t="shared" si="12"/>
        <v>625.2775175219557</v>
      </c>
    </row>
    <row r="941" spans="1:5" x14ac:dyDescent="0.35">
      <c r="A941" s="2">
        <v>484</v>
      </c>
      <c r="B941" s="2">
        <v>57954</v>
      </c>
      <c r="C941" s="2">
        <v>43</v>
      </c>
      <c r="D941" s="2">
        <v>1</v>
      </c>
      <c r="E941" s="25">
        <f t="shared" si="12"/>
        <v>625.21490127158052</v>
      </c>
    </row>
    <row r="942" spans="1:5" x14ac:dyDescent="0.35">
      <c r="A942" s="2">
        <v>710</v>
      </c>
      <c r="B942" s="2">
        <v>59925</v>
      </c>
      <c r="C942" s="2">
        <v>65</v>
      </c>
      <c r="D942" s="2">
        <v>1</v>
      </c>
      <c r="E942" s="25">
        <f t="shared" ref="E942:E1005" si="13">$B$101+$B942*$B$102+$C942*$B$103+$D942*$B$104</f>
        <v>624.99950354753128</v>
      </c>
    </row>
    <row r="943" spans="1:5" x14ac:dyDescent="0.35">
      <c r="A943" s="3">
        <v>491</v>
      </c>
      <c r="B943" s="3">
        <v>59247</v>
      </c>
      <c r="C943" s="3">
        <v>58</v>
      </c>
      <c r="D943" s="3">
        <v>1</v>
      </c>
      <c r="E943" s="25">
        <f t="shared" si="13"/>
        <v>624.03099229822772</v>
      </c>
    </row>
    <row r="944" spans="1:5" x14ac:dyDescent="0.35">
      <c r="A944" s="2">
        <v>699</v>
      </c>
      <c r="B944" s="2">
        <v>59821</v>
      </c>
      <c r="C944" s="2">
        <v>65</v>
      </c>
      <c r="D944" s="2">
        <v>1</v>
      </c>
      <c r="E944" s="25">
        <f t="shared" si="13"/>
        <v>622.87907166056584</v>
      </c>
    </row>
    <row r="945" spans="1:5" x14ac:dyDescent="0.35">
      <c r="A945" s="3">
        <v>921</v>
      </c>
      <c r="B945" s="3">
        <v>58350</v>
      </c>
      <c r="C945" s="3">
        <v>49</v>
      </c>
      <c r="D945" s="3">
        <v>1</v>
      </c>
      <c r="E945" s="25">
        <f t="shared" si="13"/>
        <v>622.27021898319879</v>
      </c>
    </row>
    <row r="946" spans="1:5" x14ac:dyDescent="0.35">
      <c r="A946" s="2">
        <v>498</v>
      </c>
      <c r="B946" s="2">
        <v>58554</v>
      </c>
      <c r="C946" s="2">
        <v>52</v>
      </c>
      <c r="D946" s="2">
        <v>1</v>
      </c>
      <c r="E946" s="25">
        <f t="shared" si="13"/>
        <v>620.92021044787145</v>
      </c>
    </row>
    <row r="947" spans="1:5" x14ac:dyDescent="0.35">
      <c r="A947" s="2">
        <v>1006</v>
      </c>
      <c r="B947" s="2">
        <v>59184</v>
      </c>
      <c r="C947" s="2">
        <v>59</v>
      </c>
      <c r="D947" s="2">
        <v>1</v>
      </c>
      <c r="E947" s="25">
        <f t="shared" si="13"/>
        <v>620.9100608262678</v>
      </c>
    </row>
    <row r="948" spans="1:5" x14ac:dyDescent="0.35">
      <c r="A948" s="3">
        <v>445</v>
      </c>
      <c r="B948" s="3">
        <v>57537</v>
      </c>
      <c r="C948" s="3">
        <v>41</v>
      </c>
      <c r="D948" s="3">
        <v>1</v>
      </c>
      <c r="E948" s="25">
        <f t="shared" si="13"/>
        <v>620.38566311336319</v>
      </c>
    </row>
    <row r="949" spans="1:5" x14ac:dyDescent="0.35">
      <c r="A949" s="3">
        <v>384</v>
      </c>
      <c r="B949" s="3">
        <v>58692</v>
      </c>
      <c r="C949" s="3">
        <v>55</v>
      </c>
      <c r="D949" s="3">
        <v>1</v>
      </c>
      <c r="E949" s="25">
        <f t="shared" si="13"/>
        <v>618.22454321504654</v>
      </c>
    </row>
    <row r="950" spans="1:5" x14ac:dyDescent="0.35">
      <c r="A950" s="2">
        <v>659</v>
      </c>
      <c r="B950" s="2">
        <v>60200</v>
      </c>
      <c r="C950" s="2">
        <v>72</v>
      </c>
      <c r="D950" s="2">
        <v>1</v>
      </c>
      <c r="E950" s="25">
        <f t="shared" si="13"/>
        <v>617.75134123484349</v>
      </c>
    </row>
    <row r="951" spans="1:5" x14ac:dyDescent="0.35">
      <c r="A951" s="2">
        <v>386</v>
      </c>
      <c r="B951" s="2">
        <v>57906</v>
      </c>
      <c r="C951" s="2">
        <v>47</v>
      </c>
      <c r="D951" s="2">
        <v>1</v>
      </c>
      <c r="E951" s="25">
        <f t="shared" si="13"/>
        <v>616.89048408509632</v>
      </c>
    </row>
    <row r="952" spans="1:5" x14ac:dyDescent="0.35">
      <c r="A952" s="3">
        <v>460</v>
      </c>
      <c r="B952" s="3">
        <v>59052</v>
      </c>
      <c r="C952" s="3">
        <v>61</v>
      </c>
      <c r="D952" s="3">
        <v>1</v>
      </c>
      <c r="E952" s="25">
        <f t="shared" si="13"/>
        <v>614.54586527348454</v>
      </c>
    </row>
    <row r="953" spans="1:5" x14ac:dyDescent="0.35">
      <c r="A953" s="3">
        <v>777</v>
      </c>
      <c r="B953" s="3">
        <v>58086</v>
      </c>
      <c r="C953" s="3">
        <v>51</v>
      </c>
      <c r="D953" s="3">
        <v>1</v>
      </c>
      <c r="E953" s="25">
        <f t="shared" si="13"/>
        <v>613.21470603542105</v>
      </c>
    </row>
    <row r="954" spans="1:5" x14ac:dyDescent="0.35">
      <c r="A954" s="3">
        <v>1019</v>
      </c>
      <c r="B954" s="3">
        <v>58512</v>
      </c>
      <c r="C954" s="3">
        <v>56</v>
      </c>
      <c r="D954" s="3">
        <v>1</v>
      </c>
      <c r="E954" s="25">
        <f t="shared" si="13"/>
        <v>612.71812587025067</v>
      </c>
    </row>
    <row r="955" spans="1:5" x14ac:dyDescent="0.35">
      <c r="A955" s="2">
        <v>898</v>
      </c>
      <c r="B955" s="2">
        <v>56937</v>
      </c>
      <c r="C955" s="2">
        <v>39</v>
      </c>
      <c r="D955" s="2">
        <v>1</v>
      </c>
      <c r="E955" s="25">
        <f t="shared" si="13"/>
        <v>611.82528038481257</v>
      </c>
    </row>
    <row r="956" spans="1:5" x14ac:dyDescent="0.35">
      <c r="A956" s="3">
        <v>118</v>
      </c>
      <c r="B956" s="3">
        <v>58646</v>
      </c>
      <c r="C956" s="3">
        <v>58</v>
      </c>
      <c r="D956" s="3">
        <v>1</v>
      </c>
      <c r="E956" s="25">
        <f t="shared" si="13"/>
        <v>611.77734264374442</v>
      </c>
    </row>
    <row r="957" spans="1:5" x14ac:dyDescent="0.35">
      <c r="A957" s="2">
        <v>123</v>
      </c>
      <c r="B957" s="2">
        <v>43322</v>
      </c>
      <c r="C957" s="2">
        <v>46</v>
      </c>
      <c r="D957" s="2">
        <v>0</v>
      </c>
      <c r="E957" s="25">
        <f t="shared" si="13"/>
        <v>610.9907596263846</v>
      </c>
    </row>
    <row r="958" spans="1:5" x14ac:dyDescent="0.35">
      <c r="A958" s="2">
        <v>221</v>
      </c>
      <c r="B958" s="2">
        <v>57113</v>
      </c>
      <c r="C958" s="2">
        <v>42</v>
      </c>
      <c r="D958" s="2">
        <v>1</v>
      </c>
      <c r="E958" s="25">
        <f t="shared" si="13"/>
        <v>609.90438634145596</v>
      </c>
    </row>
    <row r="959" spans="1:5" x14ac:dyDescent="0.35">
      <c r="A959" s="3">
        <v>446</v>
      </c>
      <c r="B959" s="3">
        <v>59354</v>
      </c>
      <c r="C959" s="3">
        <v>67</v>
      </c>
      <c r="D959" s="3">
        <v>1</v>
      </c>
      <c r="E959" s="25">
        <f t="shared" si="13"/>
        <v>609.6846387795764</v>
      </c>
    </row>
    <row r="960" spans="1:5" x14ac:dyDescent="0.35">
      <c r="A960" s="2">
        <v>220</v>
      </c>
      <c r="B960" s="2">
        <v>57338</v>
      </c>
      <c r="C960" s="2">
        <v>45</v>
      </c>
      <c r="D960" s="2">
        <v>1</v>
      </c>
      <c r="E960" s="25">
        <f t="shared" si="13"/>
        <v>608.98254193715036</v>
      </c>
    </row>
    <row r="961" spans="1:5" x14ac:dyDescent="0.35">
      <c r="A961" s="3">
        <v>770</v>
      </c>
      <c r="B961" s="3">
        <v>58308</v>
      </c>
      <c r="C961" s="3">
        <v>56</v>
      </c>
      <c r="D961" s="3">
        <v>1</v>
      </c>
      <c r="E961" s="25">
        <f t="shared" si="13"/>
        <v>608.55881716889519</v>
      </c>
    </row>
    <row r="962" spans="1:5" x14ac:dyDescent="0.35">
      <c r="A962" s="2">
        <v>618</v>
      </c>
      <c r="B962" s="2">
        <v>42000</v>
      </c>
      <c r="C962" s="2">
        <v>33</v>
      </c>
      <c r="D962" s="2">
        <v>0</v>
      </c>
      <c r="E962" s="25">
        <f t="shared" si="13"/>
        <v>607.91051616577579</v>
      </c>
    </row>
    <row r="963" spans="1:5" x14ac:dyDescent="0.35">
      <c r="A963" s="3">
        <v>296</v>
      </c>
      <c r="B963" s="3">
        <v>59354</v>
      </c>
      <c r="C963" s="3">
        <v>68</v>
      </c>
      <c r="D963" s="3">
        <v>1</v>
      </c>
      <c r="E963" s="25">
        <f t="shared" si="13"/>
        <v>607.84819970068213</v>
      </c>
    </row>
    <row r="964" spans="1:5" x14ac:dyDescent="0.35">
      <c r="A964" s="2">
        <v>149</v>
      </c>
      <c r="B964" s="2">
        <v>59385</v>
      </c>
      <c r="C964" s="2">
        <v>69</v>
      </c>
      <c r="D964" s="2">
        <v>1</v>
      </c>
      <c r="E964" s="25">
        <f t="shared" si="13"/>
        <v>606.64381243424884</v>
      </c>
    </row>
    <row r="965" spans="1:5" x14ac:dyDescent="0.35">
      <c r="A965" s="2">
        <v>892</v>
      </c>
      <c r="B965" s="2">
        <v>59462</v>
      </c>
      <c r="C965" s="2">
        <v>70</v>
      </c>
      <c r="D965" s="2">
        <v>1</v>
      </c>
      <c r="E965" s="25">
        <f t="shared" si="13"/>
        <v>606.37730850243452</v>
      </c>
    </row>
    <row r="966" spans="1:5" x14ac:dyDescent="0.35">
      <c r="A966" s="3">
        <v>652</v>
      </c>
      <c r="B966" s="3">
        <v>57642</v>
      </c>
      <c r="C966" s="3">
        <v>50</v>
      </c>
      <c r="D966" s="3">
        <v>1</v>
      </c>
      <c r="E966" s="25">
        <f t="shared" si="13"/>
        <v>605.9985320584243</v>
      </c>
    </row>
    <row r="967" spans="1:5" x14ac:dyDescent="0.35">
      <c r="A967" s="3">
        <v>660</v>
      </c>
      <c r="B967" s="3">
        <v>57731</v>
      </c>
      <c r="C967" s="3">
        <v>51</v>
      </c>
      <c r="D967" s="3">
        <v>1</v>
      </c>
      <c r="E967" s="25">
        <f t="shared" si="13"/>
        <v>605.97669334433692</v>
      </c>
    </row>
    <row r="968" spans="1:5" x14ac:dyDescent="0.35">
      <c r="A968" s="2">
        <v>902</v>
      </c>
      <c r="B968" s="2">
        <v>56775</v>
      </c>
      <c r="C968" s="2">
        <v>41</v>
      </c>
      <c r="D968" s="2">
        <v>1</v>
      </c>
      <c r="E968" s="25">
        <f t="shared" si="13"/>
        <v>604.84942178771223</v>
      </c>
    </row>
    <row r="969" spans="1:5" x14ac:dyDescent="0.35">
      <c r="A969" s="2">
        <v>700</v>
      </c>
      <c r="B969" s="2">
        <v>58821</v>
      </c>
      <c r="C969" s="2">
        <v>64</v>
      </c>
      <c r="D969" s="2">
        <v>1</v>
      </c>
      <c r="E969" s="25">
        <f t="shared" si="13"/>
        <v>604.32674259556109</v>
      </c>
    </row>
    <row r="970" spans="1:5" x14ac:dyDescent="0.35">
      <c r="A970" s="2">
        <v>120</v>
      </c>
      <c r="B970" s="2">
        <v>45576</v>
      </c>
      <c r="C970" s="2">
        <v>75</v>
      </c>
      <c r="D970" s="2">
        <v>0</v>
      </c>
      <c r="E970" s="25">
        <f t="shared" si="13"/>
        <v>603.69030973479869</v>
      </c>
    </row>
    <row r="971" spans="1:5" x14ac:dyDescent="0.35">
      <c r="A971" s="3">
        <v>298</v>
      </c>
      <c r="B971" s="3">
        <v>57420</v>
      </c>
      <c r="C971" s="3">
        <v>49</v>
      </c>
      <c r="D971" s="3">
        <v>1</v>
      </c>
      <c r="E971" s="25">
        <f t="shared" si="13"/>
        <v>603.30866460937284</v>
      </c>
    </row>
    <row r="972" spans="1:5" x14ac:dyDescent="0.35">
      <c r="A972" s="3">
        <v>67</v>
      </c>
      <c r="B972" s="3">
        <v>58401</v>
      </c>
      <c r="C972" s="3">
        <v>60</v>
      </c>
      <c r="D972" s="3">
        <v>1</v>
      </c>
      <c r="E972" s="25">
        <f t="shared" si="13"/>
        <v>603.1092162907006</v>
      </c>
    </row>
    <row r="973" spans="1:5" x14ac:dyDescent="0.35">
      <c r="A973" s="2">
        <v>493</v>
      </c>
      <c r="B973" s="2">
        <v>59292</v>
      </c>
      <c r="C973" s="2">
        <v>70</v>
      </c>
      <c r="D973" s="2">
        <v>1</v>
      </c>
      <c r="E973" s="25">
        <f t="shared" si="13"/>
        <v>602.91121791797184</v>
      </c>
    </row>
    <row r="974" spans="1:5" x14ac:dyDescent="0.35">
      <c r="A974" s="2">
        <v>1466</v>
      </c>
      <c r="B974" s="2">
        <v>57036</v>
      </c>
      <c r="C974" s="2">
        <v>45</v>
      </c>
      <c r="D974" s="2">
        <v>1</v>
      </c>
      <c r="E974" s="25">
        <f t="shared" si="13"/>
        <v>602.82513395769286</v>
      </c>
    </row>
    <row r="975" spans="1:5" x14ac:dyDescent="0.35">
      <c r="A975" s="3">
        <v>512</v>
      </c>
      <c r="B975" s="3">
        <v>56939</v>
      </c>
      <c r="C975" s="3">
        <v>44</v>
      </c>
      <c r="D975" s="3">
        <v>1</v>
      </c>
      <c r="E975" s="25">
        <f t="shared" si="13"/>
        <v>602.68386252662901</v>
      </c>
    </row>
    <row r="976" spans="1:5" x14ac:dyDescent="0.35">
      <c r="A976" s="3">
        <v>881</v>
      </c>
      <c r="B976" s="3">
        <v>57912</v>
      </c>
      <c r="C976" s="3">
        <v>55</v>
      </c>
      <c r="D976" s="3">
        <v>1</v>
      </c>
      <c r="E976" s="25">
        <f t="shared" si="13"/>
        <v>602.32130406280555</v>
      </c>
    </row>
    <row r="977" spans="1:5" x14ac:dyDescent="0.35">
      <c r="A977" s="3">
        <v>724</v>
      </c>
      <c r="B977" s="3">
        <v>57811</v>
      </c>
      <c r="C977" s="3">
        <v>54</v>
      </c>
      <c r="D977" s="3">
        <v>1</v>
      </c>
      <c r="E977" s="25">
        <f t="shared" si="13"/>
        <v>602.0984775591661</v>
      </c>
    </row>
    <row r="978" spans="1:5" x14ac:dyDescent="0.35">
      <c r="A978" s="2">
        <v>1208</v>
      </c>
      <c r="B978" s="2">
        <v>58656</v>
      </c>
      <c r="C978" s="2">
        <v>64</v>
      </c>
      <c r="D978" s="2">
        <v>1</v>
      </c>
      <c r="E978" s="25">
        <f t="shared" si="13"/>
        <v>600.96259585181781</v>
      </c>
    </row>
    <row r="979" spans="1:5" x14ac:dyDescent="0.35">
      <c r="A979" s="2">
        <v>537</v>
      </c>
      <c r="B979" s="2">
        <v>56386</v>
      </c>
      <c r="C979" s="2">
        <v>39</v>
      </c>
      <c r="D979" s="2">
        <v>1</v>
      </c>
      <c r="E979" s="25">
        <f t="shared" si="13"/>
        <v>600.59106913752419</v>
      </c>
    </row>
    <row r="980" spans="1:5" x14ac:dyDescent="0.35">
      <c r="A980" s="2">
        <v>446</v>
      </c>
      <c r="B980" s="2">
        <v>57705</v>
      </c>
      <c r="C980" s="2">
        <v>54</v>
      </c>
      <c r="D980" s="2">
        <v>1</v>
      </c>
      <c r="E980" s="25">
        <f t="shared" si="13"/>
        <v>599.93726813591263</v>
      </c>
    </row>
    <row r="981" spans="1:5" x14ac:dyDescent="0.35">
      <c r="A981" s="2">
        <v>542</v>
      </c>
      <c r="B981" s="2">
        <v>56337</v>
      </c>
      <c r="C981" s="2">
        <v>39</v>
      </c>
      <c r="D981" s="2">
        <v>1</v>
      </c>
      <c r="E981" s="25">
        <f t="shared" si="13"/>
        <v>599.59201949847318</v>
      </c>
    </row>
    <row r="982" spans="1:5" x14ac:dyDescent="0.35">
      <c r="A982" s="2">
        <v>550</v>
      </c>
      <c r="B982" s="2">
        <v>57136</v>
      </c>
      <c r="C982" s="2">
        <v>48</v>
      </c>
      <c r="D982" s="2">
        <v>1</v>
      </c>
      <c r="E982" s="25">
        <f t="shared" si="13"/>
        <v>599.35469353539986</v>
      </c>
    </row>
    <row r="983" spans="1:5" x14ac:dyDescent="0.35">
      <c r="A983" s="3">
        <v>492</v>
      </c>
      <c r="B983" s="3">
        <v>57091</v>
      </c>
      <c r="C983" s="3">
        <v>48</v>
      </c>
      <c r="D983" s="3">
        <v>1</v>
      </c>
      <c r="E983" s="25">
        <f t="shared" si="13"/>
        <v>598.43719896892446</v>
      </c>
    </row>
    <row r="984" spans="1:5" x14ac:dyDescent="0.35">
      <c r="A984" s="2">
        <v>590</v>
      </c>
      <c r="B984" s="2">
        <v>56628</v>
      </c>
      <c r="C984" s="2">
        <v>43</v>
      </c>
      <c r="D984" s="2">
        <v>1</v>
      </c>
      <c r="E984" s="25">
        <f t="shared" si="13"/>
        <v>598.17939471277066</v>
      </c>
    </row>
    <row r="985" spans="1:5" x14ac:dyDescent="0.35">
      <c r="A985" s="3">
        <v>377</v>
      </c>
      <c r="B985" s="3">
        <v>57967</v>
      </c>
      <c r="C985" s="3">
        <v>58</v>
      </c>
      <c r="D985" s="3">
        <v>1</v>
      </c>
      <c r="E985" s="25">
        <f t="shared" si="13"/>
        <v>597.93336907403716</v>
      </c>
    </row>
    <row r="986" spans="1:5" x14ac:dyDescent="0.35">
      <c r="A986" s="2">
        <v>724</v>
      </c>
      <c r="B986" s="2">
        <v>58482</v>
      </c>
      <c r="C986" s="2">
        <v>65</v>
      </c>
      <c r="D986" s="2">
        <v>1</v>
      </c>
      <c r="E986" s="25">
        <f t="shared" si="13"/>
        <v>595.57851111588514</v>
      </c>
    </row>
    <row r="987" spans="1:5" x14ac:dyDescent="0.35">
      <c r="A987" s="2">
        <v>674</v>
      </c>
      <c r="B987" s="2">
        <v>58113</v>
      </c>
      <c r="C987" s="2">
        <v>61</v>
      </c>
      <c r="D987" s="2">
        <v>1</v>
      </c>
      <c r="E987" s="25">
        <f t="shared" si="13"/>
        <v>595.40081198636346</v>
      </c>
    </row>
    <row r="988" spans="1:5" x14ac:dyDescent="0.35">
      <c r="A988" s="2">
        <v>121</v>
      </c>
      <c r="B988" s="2">
        <v>41411</v>
      </c>
      <c r="C988" s="2">
        <v>34</v>
      </c>
      <c r="D988" s="2">
        <v>0</v>
      </c>
      <c r="E988" s="25">
        <f t="shared" si="13"/>
        <v>594.06509265012505</v>
      </c>
    </row>
    <row r="989" spans="1:5" x14ac:dyDescent="0.35">
      <c r="A989" s="2">
        <v>453</v>
      </c>
      <c r="B989" s="2">
        <v>56559</v>
      </c>
      <c r="C989" s="2">
        <v>45</v>
      </c>
      <c r="D989" s="2">
        <v>1</v>
      </c>
      <c r="E989" s="25">
        <f t="shared" si="13"/>
        <v>593.09969155305305</v>
      </c>
    </row>
    <row r="990" spans="1:5" x14ac:dyDescent="0.35">
      <c r="A990" s="3">
        <v>608</v>
      </c>
      <c r="B990" s="3">
        <v>57957</v>
      </c>
      <c r="C990" s="3">
        <v>61</v>
      </c>
      <c r="D990" s="3">
        <v>1</v>
      </c>
      <c r="E990" s="25">
        <f t="shared" si="13"/>
        <v>592.22016415591531</v>
      </c>
    </row>
    <row r="991" spans="1:5" x14ac:dyDescent="0.35">
      <c r="A991" s="3">
        <v>63</v>
      </c>
      <c r="B991" s="3">
        <v>56850</v>
      </c>
      <c r="C991" s="3">
        <v>49</v>
      </c>
      <c r="D991" s="3">
        <v>1</v>
      </c>
      <c r="E991" s="25">
        <f t="shared" si="13"/>
        <v>591.68706676735053</v>
      </c>
    </row>
    <row r="992" spans="1:5" x14ac:dyDescent="0.35">
      <c r="A992" s="3">
        <v>279</v>
      </c>
      <c r="B992" s="3">
        <v>57107</v>
      </c>
      <c r="C992" s="3">
        <v>52</v>
      </c>
      <c r="D992" s="3">
        <v>1</v>
      </c>
      <c r="E992" s="25">
        <f t="shared" si="13"/>
        <v>591.41766294364982</v>
      </c>
    </row>
    <row r="993" spans="1:5" x14ac:dyDescent="0.35">
      <c r="A993" s="3">
        <v>551</v>
      </c>
      <c r="B993" s="3">
        <v>58275</v>
      </c>
      <c r="C993" s="3">
        <v>65</v>
      </c>
      <c r="D993" s="3">
        <v>1</v>
      </c>
      <c r="E993" s="25">
        <f t="shared" si="13"/>
        <v>591.35803611009817</v>
      </c>
    </row>
    <row r="994" spans="1:5" x14ac:dyDescent="0.35">
      <c r="A994" s="3">
        <v>221</v>
      </c>
      <c r="B994" s="3">
        <v>56721</v>
      </c>
      <c r="C994" s="3">
        <v>48</v>
      </c>
      <c r="D994" s="3">
        <v>1</v>
      </c>
      <c r="E994" s="25">
        <f t="shared" si="13"/>
        <v>590.8933547556818</v>
      </c>
    </row>
    <row r="995" spans="1:5" x14ac:dyDescent="0.35">
      <c r="A995" s="2">
        <v>256</v>
      </c>
      <c r="B995" s="2">
        <v>45006</v>
      </c>
      <c r="C995" s="2">
        <v>76</v>
      </c>
      <c r="D995" s="2">
        <v>0</v>
      </c>
      <c r="E995" s="25">
        <f t="shared" si="13"/>
        <v>590.2322728138821</v>
      </c>
    </row>
    <row r="996" spans="1:5" x14ac:dyDescent="0.35">
      <c r="A996" s="3">
        <v>392</v>
      </c>
      <c r="B996" s="3">
        <v>58116</v>
      </c>
      <c r="C996" s="3">
        <v>64</v>
      </c>
      <c r="D996" s="3">
        <v>1</v>
      </c>
      <c r="E996" s="25">
        <f t="shared" si="13"/>
        <v>589.95266105411235</v>
      </c>
    </row>
    <row r="997" spans="1:5" x14ac:dyDescent="0.35">
      <c r="A997" s="3">
        <v>540</v>
      </c>
      <c r="B997" s="3">
        <v>57183</v>
      </c>
      <c r="C997" s="3">
        <v>54</v>
      </c>
      <c r="D997" s="3">
        <v>1</v>
      </c>
      <c r="E997" s="25">
        <f t="shared" si="13"/>
        <v>589.29433116479743</v>
      </c>
    </row>
    <row r="998" spans="1:5" x14ac:dyDescent="0.35">
      <c r="A998" s="3">
        <v>117</v>
      </c>
      <c r="B998" s="3">
        <v>57236</v>
      </c>
      <c r="C998" s="3">
        <v>55</v>
      </c>
      <c r="D998" s="3">
        <v>1</v>
      </c>
      <c r="E998" s="25">
        <f t="shared" si="13"/>
        <v>588.53849679752977</v>
      </c>
    </row>
    <row r="999" spans="1:5" x14ac:dyDescent="0.35">
      <c r="A999" s="3">
        <v>181</v>
      </c>
      <c r="B999" s="3">
        <v>41020</v>
      </c>
      <c r="C999" s="3">
        <v>33</v>
      </c>
      <c r="D999" s="3">
        <v>0</v>
      </c>
      <c r="E999" s="25">
        <f t="shared" si="13"/>
        <v>587.92952338475493</v>
      </c>
    </row>
    <row r="1000" spans="1:5" x14ac:dyDescent="0.35">
      <c r="A1000" s="2">
        <v>953</v>
      </c>
      <c r="B1000" s="2">
        <v>58607</v>
      </c>
      <c r="C1000" s="2">
        <v>71</v>
      </c>
      <c r="D1000" s="2">
        <v>1</v>
      </c>
      <c r="E1000" s="25">
        <f t="shared" si="13"/>
        <v>587.10847266050689</v>
      </c>
    </row>
    <row r="1001" spans="1:5" x14ac:dyDescent="0.35">
      <c r="A1001" s="2">
        <v>663</v>
      </c>
      <c r="B1001" s="2">
        <v>55357</v>
      </c>
      <c r="C1001" s="2">
        <v>35</v>
      </c>
      <c r="D1001" s="2">
        <v>1</v>
      </c>
      <c r="E1001" s="25">
        <f t="shared" si="13"/>
        <v>586.95678303302941</v>
      </c>
    </row>
    <row r="1002" spans="1:5" x14ac:dyDescent="0.35">
      <c r="A1002" s="3">
        <v>964</v>
      </c>
      <c r="B1002" s="3">
        <v>56796</v>
      </c>
      <c r="C1002" s="3">
        <v>51</v>
      </c>
      <c r="D1002" s="3">
        <v>1</v>
      </c>
      <c r="E1002" s="25">
        <f t="shared" si="13"/>
        <v>586.91319512979146</v>
      </c>
    </row>
    <row r="1003" spans="1:5" x14ac:dyDescent="0.35">
      <c r="A1003" s="2">
        <v>806</v>
      </c>
      <c r="B1003" s="2">
        <v>55434</v>
      </c>
      <c r="C1003" s="2">
        <v>36</v>
      </c>
      <c r="D1003" s="2">
        <v>1</v>
      </c>
      <c r="E1003" s="25">
        <f t="shared" si="13"/>
        <v>586.6902791012152</v>
      </c>
    </row>
    <row r="1004" spans="1:5" x14ac:dyDescent="0.35">
      <c r="A1004" s="2">
        <v>389</v>
      </c>
      <c r="B1004" s="2">
        <v>56243</v>
      </c>
      <c r="C1004" s="2">
        <v>45</v>
      </c>
      <c r="D1004" s="2">
        <v>1</v>
      </c>
      <c r="E1004" s="25">
        <f t="shared" si="13"/>
        <v>586.65684081958113</v>
      </c>
    </row>
    <row r="1005" spans="1:5" x14ac:dyDescent="0.35">
      <c r="A1005" s="3">
        <v>548</v>
      </c>
      <c r="B1005" s="3">
        <v>57288</v>
      </c>
      <c r="C1005" s="3">
        <v>57</v>
      </c>
      <c r="D1005" s="3">
        <v>1</v>
      </c>
      <c r="E1005" s="25">
        <f t="shared" si="13"/>
        <v>585.92583458322417</v>
      </c>
    </row>
    <row r="1006" spans="1:5" x14ac:dyDescent="0.35">
      <c r="A1006" s="2">
        <v>835</v>
      </c>
      <c r="B1006" s="2">
        <v>57959</v>
      </c>
      <c r="C1006" s="2">
        <v>65</v>
      </c>
      <c r="D1006" s="2">
        <v>1</v>
      </c>
      <c r="E1006" s="25">
        <f t="shared" ref="E1006:E1069" si="14">$B$101+$B1006*$B$102+$C1006*$B$103+$D1006*$B$104</f>
        <v>584.91518537662603</v>
      </c>
    </row>
    <row r="1007" spans="1:5" x14ac:dyDescent="0.35">
      <c r="A1007" s="3">
        <v>385</v>
      </c>
      <c r="B1007" s="3">
        <v>56962</v>
      </c>
      <c r="C1007" s="3">
        <v>55</v>
      </c>
      <c r="D1007" s="3">
        <v>1</v>
      </c>
      <c r="E1007" s="25">
        <f t="shared" si="14"/>
        <v>582.95197432610155</v>
      </c>
    </row>
    <row r="1008" spans="1:5" x14ac:dyDescent="0.35">
      <c r="A1008" s="3">
        <v>90</v>
      </c>
      <c r="B1008" s="3">
        <v>58217</v>
      </c>
      <c r="C1008" s="3">
        <v>69</v>
      </c>
      <c r="D1008" s="3">
        <v>1</v>
      </c>
      <c r="E1008" s="25">
        <f t="shared" si="14"/>
        <v>582.82973124217494</v>
      </c>
    </row>
    <row r="1009" spans="1:5" x14ac:dyDescent="0.35">
      <c r="A1009" s="3">
        <v>494</v>
      </c>
      <c r="B1009" s="3">
        <v>55842</v>
      </c>
      <c r="C1009" s="3">
        <v>43</v>
      </c>
      <c r="D1009" s="3">
        <v>1</v>
      </c>
      <c r="E1009" s="25">
        <f t="shared" si="14"/>
        <v>582.15382295166603</v>
      </c>
    </row>
    <row r="1010" spans="1:5" x14ac:dyDescent="0.35">
      <c r="A1010" s="2">
        <v>1028</v>
      </c>
      <c r="B1010" s="2">
        <v>55914</v>
      </c>
      <c r="C1010" s="2">
        <v>45</v>
      </c>
      <c r="D1010" s="2">
        <v>1</v>
      </c>
      <c r="E1010" s="25">
        <f t="shared" si="14"/>
        <v>579.94893610023826</v>
      </c>
    </row>
    <row r="1011" spans="1:5" x14ac:dyDescent="0.35">
      <c r="A1011" s="3">
        <v>769</v>
      </c>
      <c r="B1011" s="3">
        <v>56534</v>
      </c>
      <c r="C1011" s="3">
        <v>52</v>
      </c>
      <c r="D1011" s="3">
        <v>1</v>
      </c>
      <c r="E1011" s="25">
        <f t="shared" si="14"/>
        <v>579.7348987971958</v>
      </c>
    </row>
    <row r="1012" spans="1:5" x14ac:dyDescent="0.35">
      <c r="A1012" s="2">
        <v>422</v>
      </c>
      <c r="B1012" s="2">
        <v>41039</v>
      </c>
      <c r="C1012" s="2">
        <v>38</v>
      </c>
      <c r="D1012" s="2">
        <v>0</v>
      </c>
      <c r="E1012" s="25">
        <f t="shared" si="14"/>
        <v>579.1347145850176</v>
      </c>
    </row>
    <row r="1013" spans="1:5" x14ac:dyDescent="0.35">
      <c r="A1013" s="2">
        <v>532</v>
      </c>
      <c r="B1013" s="2">
        <v>56575</v>
      </c>
      <c r="C1013" s="2">
        <v>53</v>
      </c>
      <c r="D1013" s="2">
        <v>1</v>
      </c>
      <c r="E1013" s="25">
        <f t="shared" si="14"/>
        <v>578.73439921220131</v>
      </c>
    </row>
    <row r="1014" spans="1:5" x14ac:dyDescent="0.35">
      <c r="A1014" s="3">
        <v>392</v>
      </c>
      <c r="B1014" s="3">
        <v>57744</v>
      </c>
      <c r="C1014" s="3">
        <v>66</v>
      </c>
      <c r="D1014" s="3">
        <v>1</v>
      </c>
      <c r="E1014" s="25">
        <f t="shared" si="14"/>
        <v>578.69516114679357</v>
      </c>
    </row>
    <row r="1015" spans="1:5" x14ac:dyDescent="0.35">
      <c r="A1015" s="2">
        <v>41</v>
      </c>
      <c r="B1015" s="2">
        <v>55563</v>
      </c>
      <c r="C1015" s="2">
        <v>42</v>
      </c>
      <c r="D1015" s="2">
        <v>1</v>
      </c>
      <c r="E1015" s="25">
        <f t="shared" si="14"/>
        <v>578.30179571841256</v>
      </c>
    </row>
    <row r="1016" spans="1:5" x14ac:dyDescent="0.35">
      <c r="A1016" s="3">
        <v>1004</v>
      </c>
      <c r="B1016" s="3">
        <v>57072</v>
      </c>
      <c r="C1016" s="3">
        <v>59</v>
      </c>
      <c r="D1016" s="3">
        <v>1</v>
      </c>
      <c r="E1016" s="25">
        <f t="shared" si="14"/>
        <v>577.84898250635331</v>
      </c>
    </row>
    <row r="1017" spans="1:5" x14ac:dyDescent="0.35">
      <c r="A1017" s="3">
        <v>432</v>
      </c>
      <c r="B1017" s="3">
        <v>55801</v>
      </c>
      <c r="C1017" s="3">
        <v>45</v>
      </c>
      <c r="D1017" s="3">
        <v>1</v>
      </c>
      <c r="E1017" s="25">
        <f t="shared" si="14"/>
        <v>577.6450052999777</v>
      </c>
    </row>
    <row r="1018" spans="1:5" x14ac:dyDescent="0.35">
      <c r="A1018" s="2">
        <v>90</v>
      </c>
      <c r="B1018" s="2">
        <v>42523</v>
      </c>
      <c r="C1018" s="2">
        <v>56</v>
      </c>
      <c r="D1018" s="2">
        <v>0</v>
      </c>
      <c r="E1018" s="25">
        <f t="shared" si="14"/>
        <v>576.33574309046662</v>
      </c>
    </row>
    <row r="1019" spans="1:5" x14ac:dyDescent="0.35">
      <c r="A1019" s="2">
        <v>883</v>
      </c>
      <c r="B1019" s="2">
        <v>56242</v>
      </c>
      <c r="C1019" s="2">
        <v>51</v>
      </c>
      <c r="D1019" s="2">
        <v>1</v>
      </c>
      <c r="E1019" s="25">
        <f t="shared" si="14"/>
        <v>575.61781757807159</v>
      </c>
    </row>
    <row r="1020" spans="1:5" x14ac:dyDescent="0.35">
      <c r="A1020" s="3">
        <v>619</v>
      </c>
      <c r="B1020" s="3">
        <v>56320</v>
      </c>
      <c r="C1020" s="3">
        <v>53</v>
      </c>
      <c r="D1020" s="3">
        <v>1</v>
      </c>
      <c r="E1020" s="25">
        <f t="shared" si="14"/>
        <v>573.53526333550701</v>
      </c>
    </row>
    <row r="1021" spans="1:5" x14ac:dyDescent="0.35">
      <c r="A1021" s="2">
        <v>148</v>
      </c>
      <c r="B1021" s="2">
        <v>55375</v>
      </c>
      <c r="C1021" s="2">
        <v>43</v>
      </c>
      <c r="D1021" s="2">
        <v>1</v>
      </c>
      <c r="E1021" s="25">
        <f t="shared" si="14"/>
        <v>572.63226822846525</v>
      </c>
    </row>
    <row r="1022" spans="1:5" x14ac:dyDescent="0.35">
      <c r="A1022" s="2">
        <v>770</v>
      </c>
      <c r="B1022" s="2">
        <v>55424</v>
      </c>
      <c r="C1022" s="2">
        <v>44</v>
      </c>
      <c r="D1022" s="2">
        <v>1</v>
      </c>
      <c r="E1022" s="25">
        <f t="shared" si="14"/>
        <v>571.79487878862221</v>
      </c>
    </row>
    <row r="1023" spans="1:5" x14ac:dyDescent="0.35">
      <c r="A1023" s="2">
        <v>55</v>
      </c>
      <c r="B1023" s="2">
        <v>55412</v>
      </c>
      <c r="C1023" s="2">
        <v>44</v>
      </c>
      <c r="D1023" s="2">
        <v>1</v>
      </c>
      <c r="E1023" s="25">
        <f t="shared" si="14"/>
        <v>571.55021357089538</v>
      </c>
    </row>
    <row r="1024" spans="1:5" x14ac:dyDescent="0.35">
      <c r="A1024" s="2">
        <v>1486</v>
      </c>
      <c r="B1024" s="2">
        <v>57333</v>
      </c>
      <c r="C1024" s="2">
        <v>66</v>
      </c>
      <c r="D1024" s="2">
        <v>1</v>
      </c>
      <c r="E1024" s="25">
        <f t="shared" si="14"/>
        <v>570.31537743965112</v>
      </c>
    </row>
    <row r="1025" spans="1:5" x14ac:dyDescent="0.35">
      <c r="A1025" s="3">
        <v>440</v>
      </c>
      <c r="B1025" s="3">
        <v>55593</v>
      </c>
      <c r="C1025" s="3">
        <v>47</v>
      </c>
      <c r="D1025" s="3">
        <v>1</v>
      </c>
      <c r="E1025" s="25">
        <f t="shared" si="14"/>
        <v>569.73126336825828</v>
      </c>
    </row>
    <row r="1026" spans="1:5" x14ac:dyDescent="0.35">
      <c r="A1026" s="3">
        <v>91</v>
      </c>
      <c r="B1026" s="3">
        <v>57530</v>
      </c>
      <c r="C1026" s="3">
        <v>69</v>
      </c>
      <c r="D1026" s="3">
        <v>1</v>
      </c>
      <c r="E1026" s="25">
        <f t="shared" si="14"/>
        <v>568.82264752731624</v>
      </c>
    </row>
    <row r="1027" spans="1:5" x14ac:dyDescent="0.35">
      <c r="A1027" s="3">
        <v>475</v>
      </c>
      <c r="B1027" s="3">
        <v>55954</v>
      </c>
      <c r="C1027" s="3">
        <v>52</v>
      </c>
      <c r="D1027" s="3">
        <v>1</v>
      </c>
      <c r="E1027" s="25">
        <f t="shared" si="14"/>
        <v>567.90941327373423</v>
      </c>
    </row>
    <row r="1028" spans="1:5" x14ac:dyDescent="0.35">
      <c r="A1028" s="3">
        <v>563</v>
      </c>
      <c r="B1028" s="3">
        <v>55635</v>
      </c>
      <c r="C1028" s="3">
        <v>49</v>
      </c>
      <c r="D1028" s="3">
        <v>1</v>
      </c>
      <c r="E1028" s="25">
        <f t="shared" si="14"/>
        <v>566.91471347251343</v>
      </c>
    </row>
    <row r="1029" spans="1:5" x14ac:dyDescent="0.35">
      <c r="A1029" s="2">
        <v>226</v>
      </c>
      <c r="B1029" s="2">
        <v>57247</v>
      </c>
      <c r="C1029" s="2">
        <v>68</v>
      </c>
      <c r="D1029" s="2">
        <v>1</v>
      </c>
      <c r="E1029" s="25">
        <f t="shared" si="14"/>
        <v>564.88906522148716</v>
      </c>
    </row>
    <row r="1030" spans="1:5" x14ac:dyDescent="0.35">
      <c r="A1030" s="3">
        <v>592</v>
      </c>
      <c r="B1030" s="3">
        <v>56253</v>
      </c>
      <c r="C1030" s="3">
        <v>57</v>
      </c>
      <c r="D1030" s="3">
        <v>1</v>
      </c>
      <c r="E1030" s="25">
        <f t="shared" si="14"/>
        <v>564.82345955428866</v>
      </c>
    </row>
    <row r="1031" spans="1:5" x14ac:dyDescent="0.35">
      <c r="A1031" s="3">
        <v>677</v>
      </c>
      <c r="B1031" s="3">
        <v>54880</v>
      </c>
      <c r="C1031" s="3">
        <v>42</v>
      </c>
      <c r="D1031" s="3">
        <v>1</v>
      </c>
      <c r="E1031" s="25">
        <f t="shared" si="14"/>
        <v>564.37626707612969</v>
      </c>
    </row>
    <row r="1032" spans="1:5" x14ac:dyDescent="0.35">
      <c r="A1032" s="2">
        <v>920</v>
      </c>
      <c r="B1032" s="2">
        <v>57304</v>
      </c>
      <c r="C1032" s="2">
        <v>69</v>
      </c>
      <c r="D1032" s="2">
        <v>1</v>
      </c>
      <c r="E1032" s="25">
        <f t="shared" si="14"/>
        <v>564.21478592679512</v>
      </c>
    </row>
    <row r="1033" spans="1:5" x14ac:dyDescent="0.35">
      <c r="A1033" s="2">
        <v>345</v>
      </c>
      <c r="B1033" s="2">
        <v>56181</v>
      </c>
      <c r="C1033" s="2">
        <v>58</v>
      </c>
      <c r="D1033" s="2">
        <v>1</v>
      </c>
      <c r="E1033" s="25">
        <f t="shared" si="14"/>
        <v>561.51902916903384</v>
      </c>
    </row>
    <row r="1034" spans="1:5" x14ac:dyDescent="0.35">
      <c r="A1034" s="2">
        <v>897</v>
      </c>
      <c r="B1034" s="2">
        <v>55260</v>
      </c>
      <c r="C1034" s="2">
        <v>48</v>
      </c>
      <c r="D1034" s="2">
        <v>1</v>
      </c>
      <c r="E1034" s="25">
        <f t="shared" si="14"/>
        <v>561.10536449744552</v>
      </c>
    </row>
    <row r="1035" spans="1:5" x14ac:dyDescent="0.35">
      <c r="A1035" s="2">
        <v>152</v>
      </c>
      <c r="B1035" s="2">
        <v>54809</v>
      </c>
      <c r="C1035" s="2">
        <v>43</v>
      </c>
      <c r="D1035" s="2">
        <v>1</v>
      </c>
      <c r="E1035" s="25">
        <f t="shared" si="14"/>
        <v>561.09222545901855</v>
      </c>
    </row>
    <row r="1036" spans="1:5" x14ac:dyDescent="0.35">
      <c r="A1036" s="3">
        <v>152</v>
      </c>
      <c r="B1036" s="3">
        <v>54809</v>
      </c>
      <c r="C1036" s="3">
        <v>43</v>
      </c>
      <c r="D1036" s="3">
        <v>1</v>
      </c>
      <c r="E1036" s="25">
        <f t="shared" si="14"/>
        <v>561.09222545901855</v>
      </c>
    </row>
    <row r="1037" spans="1:5" x14ac:dyDescent="0.35">
      <c r="A1037" s="3">
        <v>445</v>
      </c>
      <c r="B1037" s="3">
        <v>54386</v>
      </c>
      <c r="C1037" s="3">
        <v>39</v>
      </c>
      <c r="D1037" s="3">
        <v>1</v>
      </c>
      <c r="E1037" s="25">
        <f t="shared" si="14"/>
        <v>559.81353284972636</v>
      </c>
    </row>
    <row r="1038" spans="1:5" x14ac:dyDescent="0.35">
      <c r="A1038" s="3">
        <v>484</v>
      </c>
      <c r="B1038" s="3">
        <v>54006</v>
      </c>
      <c r="C1038" s="3">
        <v>35</v>
      </c>
      <c r="D1038" s="3">
        <v>1</v>
      </c>
      <c r="E1038" s="25">
        <f t="shared" si="14"/>
        <v>559.41155727062198</v>
      </c>
    </row>
    <row r="1039" spans="1:5" x14ac:dyDescent="0.35">
      <c r="A1039" s="2">
        <v>605</v>
      </c>
      <c r="B1039" s="2">
        <v>56067</v>
      </c>
      <c r="C1039" s="2">
        <v>58</v>
      </c>
      <c r="D1039" s="2">
        <v>1</v>
      </c>
      <c r="E1039" s="25">
        <f t="shared" si="14"/>
        <v>559.19470960062938</v>
      </c>
    </row>
    <row r="1040" spans="1:5" x14ac:dyDescent="0.35">
      <c r="A1040" s="3">
        <v>673</v>
      </c>
      <c r="B1040" s="3">
        <v>55239</v>
      </c>
      <c r="C1040" s="3">
        <v>49</v>
      </c>
      <c r="D1040" s="3">
        <v>1</v>
      </c>
      <c r="E1040" s="25">
        <f t="shared" si="14"/>
        <v>558.84076128752952</v>
      </c>
    </row>
    <row r="1041" spans="1:5" x14ac:dyDescent="0.35">
      <c r="A1041" s="2">
        <v>956</v>
      </c>
      <c r="B1041" s="2">
        <v>55686</v>
      </c>
      <c r="C1041" s="2">
        <v>54</v>
      </c>
      <c r="D1041" s="2">
        <v>1</v>
      </c>
      <c r="E1041" s="25">
        <f t="shared" si="14"/>
        <v>558.77234525338088</v>
      </c>
    </row>
    <row r="1042" spans="1:5" x14ac:dyDescent="0.35">
      <c r="A1042" s="3">
        <v>647</v>
      </c>
      <c r="B1042" s="3">
        <v>55012</v>
      </c>
      <c r="C1042" s="3">
        <v>47</v>
      </c>
      <c r="D1042" s="3">
        <v>1</v>
      </c>
      <c r="E1042" s="25">
        <f t="shared" si="14"/>
        <v>557.88538907665304</v>
      </c>
    </row>
    <row r="1043" spans="1:5" x14ac:dyDescent="0.35">
      <c r="A1043" s="2">
        <v>216</v>
      </c>
      <c r="B1043" s="2">
        <v>55282</v>
      </c>
      <c r="C1043" s="2">
        <v>50</v>
      </c>
      <c r="D1043" s="2">
        <v>1</v>
      </c>
      <c r="E1043" s="25">
        <f t="shared" si="14"/>
        <v>557.88103923882284</v>
      </c>
    </row>
    <row r="1044" spans="1:5" x14ac:dyDescent="0.35">
      <c r="A1044" s="3">
        <v>437</v>
      </c>
      <c r="B1044" s="3">
        <v>57045</v>
      </c>
      <c r="C1044" s="3">
        <v>70</v>
      </c>
      <c r="D1044" s="3">
        <v>1</v>
      </c>
      <c r="E1044" s="25">
        <f t="shared" si="14"/>
        <v>557.09765589863116</v>
      </c>
    </row>
    <row r="1045" spans="1:5" x14ac:dyDescent="0.35">
      <c r="A1045" s="3">
        <v>152</v>
      </c>
      <c r="B1045" s="3">
        <v>55761</v>
      </c>
      <c r="C1045" s="3">
        <v>56</v>
      </c>
      <c r="D1045" s="3">
        <v>1</v>
      </c>
      <c r="E1045" s="25">
        <f t="shared" si="14"/>
        <v>556.62862470638481</v>
      </c>
    </row>
    <row r="1046" spans="1:5" x14ac:dyDescent="0.35">
      <c r="A1046" s="3">
        <v>349</v>
      </c>
      <c r="B1046" s="3">
        <v>54730</v>
      </c>
      <c r="C1046" s="3">
        <v>45</v>
      </c>
      <c r="D1046" s="3">
        <v>1</v>
      </c>
      <c r="E1046" s="25">
        <f t="shared" si="14"/>
        <v>555.80863461786191</v>
      </c>
    </row>
    <row r="1047" spans="1:5" x14ac:dyDescent="0.35">
      <c r="A1047" s="3">
        <v>395</v>
      </c>
      <c r="B1047" s="3">
        <v>55158</v>
      </c>
      <c r="C1047" s="3">
        <v>50</v>
      </c>
      <c r="D1047" s="3">
        <v>1</v>
      </c>
      <c r="E1047" s="25">
        <f t="shared" si="14"/>
        <v>555.35283198897935</v>
      </c>
    </row>
    <row r="1048" spans="1:5" x14ac:dyDescent="0.35">
      <c r="A1048" s="2">
        <v>1148</v>
      </c>
      <c r="B1048" s="2">
        <v>55212</v>
      </c>
      <c r="C1048" s="2">
        <v>51</v>
      </c>
      <c r="D1048" s="2">
        <v>1</v>
      </c>
      <c r="E1048" s="25">
        <f t="shared" si="14"/>
        <v>554.6173863898556</v>
      </c>
    </row>
    <row r="1049" spans="1:5" x14ac:dyDescent="0.35">
      <c r="A1049" s="2">
        <v>777</v>
      </c>
      <c r="B1049" s="2">
        <v>55759</v>
      </c>
      <c r="C1049" s="2">
        <v>58</v>
      </c>
      <c r="D1049" s="2">
        <v>1</v>
      </c>
      <c r="E1049" s="25">
        <f t="shared" si="14"/>
        <v>552.91496901230846</v>
      </c>
    </row>
    <row r="1050" spans="1:5" x14ac:dyDescent="0.35">
      <c r="A1050" s="3">
        <v>322</v>
      </c>
      <c r="B1050" s="3">
        <v>54210</v>
      </c>
      <c r="C1050" s="3">
        <v>41</v>
      </c>
      <c r="D1050" s="3">
        <v>1</v>
      </c>
      <c r="E1050" s="25">
        <f t="shared" si="14"/>
        <v>552.5522314986116</v>
      </c>
    </row>
    <row r="1051" spans="1:5" x14ac:dyDescent="0.35">
      <c r="A1051" s="2">
        <v>32</v>
      </c>
      <c r="B1051" s="2">
        <v>54162</v>
      </c>
      <c r="C1051" s="2">
        <v>42</v>
      </c>
      <c r="D1051" s="2">
        <v>1</v>
      </c>
      <c r="E1051" s="25">
        <f t="shared" si="14"/>
        <v>549.73713154881023</v>
      </c>
    </row>
    <row r="1052" spans="1:5" x14ac:dyDescent="0.35">
      <c r="A1052" s="2">
        <v>839</v>
      </c>
      <c r="B1052" s="2">
        <v>54233</v>
      </c>
      <c r="C1052" s="2">
        <v>43</v>
      </c>
      <c r="D1052" s="2">
        <v>1</v>
      </c>
      <c r="E1052" s="25">
        <f t="shared" si="14"/>
        <v>549.34829500813282</v>
      </c>
    </row>
    <row r="1053" spans="1:5" x14ac:dyDescent="0.35">
      <c r="A1053" s="2">
        <v>837</v>
      </c>
      <c r="B1053" s="2">
        <v>55250</v>
      </c>
      <c r="C1053" s="2">
        <v>55</v>
      </c>
      <c r="D1053" s="2">
        <v>1</v>
      </c>
      <c r="E1053" s="25">
        <f t="shared" si="14"/>
        <v>548.04640326374681</v>
      </c>
    </row>
    <row r="1054" spans="1:5" x14ac:dyDescent="0.35">
      <c r="A1054" s="2">
        <v>180</v>
      </c>
      <c r="B1054" s="2">
        <v>54690</v>
      </c>
      <c r="C1054" s="2">
        <v>49</v>
      </c>
      <c r="D1054" s="2">
        <v>1</v>
      </c>
      <c r="E1054" s="25">
        <f t="shared" si="14"/>
        <v>547.64732757652894</v>
      </c>
    </row>
    <row r="1055" spans="1:5" x14ac:dyDescent="0.35">
      <c r="A1055" s="2">
        <v>122</v>
      </c>
      <c r="B1055" s="2">
        <v>56551</v>
      </c>
      <c r="C1055" s="2">
        <v>70</v>
      </c>
      <c r="D1055" s="2">
        <v>1</v>
      </c>
      <c r="E1055" s="25">
        <f t="shared" si="14"/>
        <v>547.02560443554501</v>
      </c>
    </row>
    <row r="1056" spans="1:5" x14ac:dyDescent="0.35">
      <c r="A1056" s="2">
        <v>16</v>
      </c>
      <c r="B1056" s="2">
        <v>54466</v>
      </c>
      <c r="C1056" s="2">
        <v>47</v>
      </c>
      <c r="D1056" s="2">
        <v>1</v>
      </c>
      <c r="E1056" s="25">
        <f t="shared" si="14"/>
        <v>546.75312167008417</v>
      </c>
    </row>
    <row r="1057" spans="1:5" x14ac:dyDescent="0.35">
      <c r="A1057" s="2">
        <v>551</v>
      </c>
      <c r="B1057" s="2">
        <v>54803</v>
      </c>
      <c r="C1057" s="2">
        <v>51</v>
      </c>
      <c r="D1057" s="2">
        <v>1</v>
      </c>
      <c r="E1057" s="25">
        <f t="shared" si="14"/>
        <v>546.27838021900095</v>
      </c>
    </row>
    <row r="1058" spans="1:5" x14ac:dyDescent="0.35">
      <c r="A1058" s="2">
        <v>608</v>
      </c>
      <c r="B1058" s="2">
        <v>54058</v>
      </c>
      <c r="C1058" s="2">
        <v>44</v>
      </c>
      <c r="D1058" s="2">
        <v>1</v>
      </c>
      <c r="E1058" s="25">
        <f t="shared" si="14"/>
        <v>543.94382150405625</v>
      </c>
    </row>
    <row r="1059" spans="1:5" x14ac:dyDescent="0.35">
      <c r="A1059" s="2">
        <v>612</v>
      </c>
      <c r="B1059" s="2">
        <v>56129</v>
      </c>
      <c r="C1059" s="2">
        <v>67</v>
      </c>
      <c r="D1059" s="2">
        <v>1</v>
      </c>
      <c r="E1059" s="25">
        <f t="shared" si="14"/>
        <v>543.93086151550244</v>
      </c>
    </row>
    <row r="1060" spans="1:5" x14ac:dyDescent="0.35">
      <c r="A1060" s="2">
        <v>513</v>
      </c>
      <c r="B1060" s="2">
        <v>41003</v>
      </c>
      <c r="C1060" s="2">
        <v>57</v>
      </c>
      <c r="D1060" s="2">
        <v>0</v>
      </c>
      <c r="E1060" s="25">
        <f t="shared" si="14"/>
        <v>543.50837643284603</v>
      </c>
    </row>
    <row r="1061" spans="1:5" x14ac:dyDescent="0.35">
      <c r="A1061" s="3">
        <v>257</v>
      </c>
      <c r="B1061" s="3">
        <v>54222</v>
      </c>
      <c r="C1061" s="3">
        <v>47</v>
      </c>
      <c r="D1061" s="3">
        <v>1</v>
      </c>
      <c r="E1061" s="25">
        <f t="shared" si="14"/>
        <v>541.7782622429728</v>
      </c>
    </row>
    <row r="1062" spans="1:5" x14ac:dyDescent="0.35">
      <c r="A1062" s="2">
        <v>93</v>
      </c>
      <c r="B1062" s="2">
        <v>42192</v>
      </c>
      <c r="C1062" s="2">
        <v>72</v>
      </c>
      <c r="D1062" s="2">
        <v>0</v>
      </c>
      <c r="E1062" s="25">
        <f t="shared" si="14"/>
        <v>540.20403557252769</v>
      </c>
    </row>
    <row r="1063" spans="1:5" x14ac:dyDescent="0.35">
      <c r="A1063" s="2">
        <v>889</v>
      </c>
      <c r="B1063" s="2">
        <v>53858</v>
      </c>
      <c r="C1063" s="2">
        <v>44</v>
      </c>
      <c r="D1063" s="2">
        <v>1</v>
      </c>
      <c r="E1063" s="25">
        <f t="shared" si="14"/>
        <v>539.86606787527637</v>
      </c>
    </row>
    <row r="1064" spans="1:5" x14ac:dyDescent="0.35">
      <c r="A1064" s="3">
        <v>650</v>
      </c>
      <c r="B1064" s="3">
        <v>54108</v>
      </c>
      <c r="C1064" s="3">
        <v>47</v>
      </c>
      <c r="D1064" s="3">
        <v>1</v>
      </c>
      <c r="E1064" s="25">
        <f t="shared" si="14"/>
        <v>539.45394267456834</v>
      </c>
    </row>
    <row r="1065" spans="1:5" x14ac:dyDescent="0.35">
      <c r="A1065" s="3">
        <v>1334</v>
      </c>
      <c r="B1065" s="3">
        <v>55951</v>
      </c>
      <c r="C1065" s="3">
        <v>68</v>
      </c>
      <c r="D1065" s="3">
        <v>1</v>
      </c>
      <c r="E1065" s="25">
        <f t="shared" si="14"/>
        <v>538.46522170699438</v>
      </c>
    </row>
    <row r="1066" spans="1:5" x14ac:dyDescent="0.35">
      <c r="A1066" s="2">
        <v>152</v>
      </c>
      <c r="B1066" s="2">
        <v>56223</v>
      </c>
      <c r="C1066" s="2">
        <v>72</v>
      </c>
      <c r="D1066" s="2">
        <v>1</v>
      </c>
      <c r="E1066" s="25">
        <f t="shared" si="14"/>
        <v>536.66521032655771</v>
      </c>
    </row>
    <row r="1067" spans="1:5" x14ac:dyDescent="0.35">
      <c r="A1067" s="2">
        <v>393</v>
      </c>
      <c r="B1067" s="2">
        <v>55707</v>
      </c>
      <c r="C1067" s="2">
        <v>67</v>
      </c>
      <c r="D1067" s="2">
        <v>1</v>
      </c>
      <c r="E1067" s="25">
        <f t="shared" si="14"/>
        <v>535.32680135877729</v>
      </c>
    </row>
    <row r="1068" spans="1:5" x14ac:dyDescent="0.35">
      <c r="A1068" s="2">
        <v>442</v>
      </c>
      <c r="B1068" s="2">
        <v>55521</v>
      </c>
      <c r="C1068" s="2">
        <v>65</v>
      </c>
      <c r="D1068" s="2">
        <v>1</v>
      </c>
      <c r="E1068" s="25">
        <f t="shared" si="14"/>
        <v>535.2073686418006</v>
      </c>
    </row>
    <row r="1069" spans="1:5" x14ac:dyDescent="0.35">
      <c r="A1069" s="3">
        <v>1208</v>
      </c>
      <c r="B1069" s="3">
        <v>54959</v>
      </c>
      <c r="C1069" s="3">
        <v>59</v>
      </c>
      <c r="D1069" s="3">
        <v>1</v>
      </c>
      <c r="E1069" s="25">
        <f t="shared" si="14"/>
        <v>534.76751541829515</v>
      </c>
    </row>
    <row r="1070" spans="1:5" x14ac:dyDescent="0.35">
      <c r="A1070" s="3">
        <v>183</v>
      </c>
      <c r="B1070" s="3">
        <v>54137</v>
      </c>
      <c r="C1070" s="3">
        <v>50</v>
      </c>
      <c r="D1070" s="3">
        <v>1</v>
      </c>
      <c r="E1070" s="25">
        <f t="shared" ref="E1070:E1133" si="15">$B$101+$B1070*$B$102+$C1070*$B$103+$D1070*$B$104</f>
        <v>534.5358997140587</v>
      </c>
    </row>
    <row r="1071" spans="1:5" x14ac:dyDescent="0.35">
      <c r="A1071" s="3">
        <v>360</v>
      </c>
      <c r="B1071" s="3">
        <v>55267</v>
      </c>
      <c r="C1071" s="3">
        <v>63</v>
      </c>
      <c r="D1071" s="3">
        <v>1</v>
      </c>
      <c r="E1071" s="25">
        <f t="shared" si="15"/>
        <v>533.70149969103875</v>
      </c>
    </row>
    <row r="1072" spans="1:5" x14ac:dyDescent="0.35">
      <c r="A1072" s="3">
        <v>39</v>
      </c>
      <c r="B1072" s="3">
        <v>54132</v>
      </c>
      <c r="C1072" s="3">
        <v>51</v>
      </c>
      <c r="D1072" s="3">
        <v>1</v>
      </c>
      <c r="E1072" s="25">
        <f t="shared" si="15"/>
        <v>532.59751679444491</v>
      </c>
    </row>
    <row r="1073" spans="1:5" x14ac:dyDescent="0.35">
      <c r="A1073" s="2">
        <v>701</v>
      </c>
      <c r="B1073" s="2">
        <v>55284</v>
      </c>
      <c r="C1073" s="2">
        <v>64</v>
      </c>
      <c r="D1073" s="2">
        <v>1</v>
      </c>
      <c r="E1073" s="25">
        <f t="shared" si="15"/>
        <v>532.21166967059082</v>
      </c>
    </row>
    <row r="1074" spans="1:5" x14ac:dyDescent="0.35">
      <c r="A1074" s="2">
        <v>352</v>
      </c>
      <c r="B1074" s="2">
        <v>54984</v>
      </c>
      <c r="C1074" s="2">
        <v>61</v>
      </c>
      <c r="D1074" s="2">
        <v>1</v>
      </c>
      <c r="E1074" s="25">
        <f t="shared" si="15"/>
        <v>531.60435646410394</v>
      </c>
    </row>
    <row r="1075" spans="1:5" x14ac:dyDescent="0.35">
      <c r="A1075" s="2">
        <v>119</v>
      </c>
      <c r="B1075" s="2">
        <v>55249</v>
      </c>
      <c r="C1075" s="2">
        <v>64</v>
      </c>
      <c r="D1075" s="2">
        <v>1</v>
      </c>
      <c r="E1075" s="25">
        <f t="shared" si="15"/>
        <v>531.49806278555445</v>
      </c>
    </row>
    <row r="1076" spans="1:5" x14ac:dyDescent="0.35">
      <c r="A1076" s="3">
        <v>894</v>
      </c>
      <c r="B1076" s="3">
        <v>54693</v>
      </c>
      <c r="C1076" s="3">
        <v>58</v>
      </c>
      <c r="D1076" s="3">
        <v>1</v>
      </c>
      <c r="E1076" s="25">
        <f t="shared" si="15"/>
        <v>531.18054217091219</v>
      </c>
    </row>
    <row r="1077" spans="1:5" x14ac:dyDescent="0.35">
      <c r="A1077" s="3">
        <v>254</v>
      </c>
      <c r="B1077" s="3">
        <v>53761</v>
      </c>
      <c r="C1077" s="3">
        <v>48</v>
      </c>
      <c r="D1077" s="3">
        <v>1</v>
      </c>
      <c r="E1077" s="25">
        <f t="shared" si="15"/>
        <v>530.54260104974117</v>
      </c>
    </row>
    <row r="1078" spans="1:5" x14ac:dyDescent="0.35">
      <c r="A1078" s="2">
        <v>187</v>
      </c>
      <c r="B1078" s="2">
        <v>54178</v>
      </c>
      <c r="C1078" s="2">
        <v>53</v>
      </c>
      <c r="D1078" s="2">
        <v>1</v>
      </c>
      <c r="E1078" s="25">
        <f t="shared" si="15"/>
        <v>529.86252197127567</v>
      </c>
    </row>
    <row r="1079" spans="1:5" x14ac:dyDescent="0.35">
      <c r="A1079" s="3">
        <v>216</v>
      </c>
      <c r="B1079" s="3">
        <v>53359</v>
      </c>
      <c r="C1079" s="3">
        <v>44</v>
      </c>
      <c r="D1079" s="3">
        <v>1</v>
      </c>
      <c r="E1079" s="25">
        <f t="shared" si="15"/>
        <v>529.69207257147093</v>
      </c>
    </row>
    <row r="1080" spans="1:5" x14ac:dyDescent="0.35">
      <c r="A1080" s="2">
        <v>361</v>
      </c>
      <c r="B1080" s="2">
        <v>53172</v>
      </c>
      <c r="C1080" s="2">
        <v>42</v>
      </c>
      <c r="D1080" s="2">
        <v>1</v>
      </c>
      <c r="E1080" s="25">
        <f t="shared" si="15"/>
        <v>529.55225108635034</v>
      </c>
    </row>
    <row r="1081" spans="1:5" x14ac:dyDescent="0.35">
      <c r="A1081" s="3">
        <v>218</v>
      </c>
      <c r="B1081" s="3">
        <v>54198</v>
      </c>
      <c r="C1081" s="3">
        <v>54</v>
      </c>
      <c r="D1081" s="3">
        <v>1</v>
      </c>
      <c r="E1081" s="25">
        <f t="shared" si="15"/>
        <v>528.43385825525945</v>
      </c>
    </row>
    <row r="1082" spans="1:5" x14ac:dyDescent="0.35">
      <c r="A1082" s="3">
        <v>193</v>
      </c>
      <c r="B1082" s="3">
        <v>54414</v>
      </c>
      <c r="C1082" s="3">
        <v>57</v>
      </c>
      <c r="D1082" s="3">
        <v>1</v>
      </c>
      <c r="E1082" s="25">
        <f t="shared" si="15"/>
        <v>527.32851493765872</v>
      </c>
    </row>
    <row r="1083" spans="1:5" x14ac:dyDescent="0.35">
      <c r="A1083" s="3">
        <v>597</v>
      </c>
      <c r="B1083" s="3">
        <v>54753</v>
      </c>
      <c r="C1083" s="3">
        <v>61</v>
      </c>
      <c r="D1083" s="3">
        <v>1</v>
      </c>
      <c r="E1083" s="25">
        <f t="shared" si="15"/>
        <v>526.89455102286331</v>
      </c>
    </row>
    <row r="1084" spans="1:5" x14ac:dyDescent="0.35">
      <c r="A1084" s="2">
        <v>39</v>
      </c>
      <c r="B1084" s="2">
        <v>53204</v>
      </c>
      <c r="C1084" s="2">
        <v>44</v>
      </c>
      <c r="D1084" s="2">
        <v>1</v>
      </c>
      <c r="E1084" s="25">
        <f t="shared" si="15"/>
        <v>526.53181350916668</v>
      </c>
    </row>
    <row r="1085" spans="1:5" x14ac:dyDescent="0.35">
      <c r="A1085" s="3">
        <v>447</v>
      </c>
      <c r="B1085" s="3">
        <v>54998</v>
      </c>
      <c r="C1085" s="3">
        <v>64</v>
      </c>
      <c r="D1085" s="3">
        <v>1</v>
      </c>
      <c r="E1085" s="25">
        <f t="shared" si="15"/>
        <v>526.38048198143576</v>
      </c>
    </row>
    <row r="1086" spans="1:5" x14ac:dyDescent="0.35">
      <c r="A1086" s="2">
        <v>389</v>
      </c>
      <c r="B1086" s="2">
        <v>53367</v>
      </c>
      <c r="C1086" s="2">
        <v>46</v>
      </c>
      <c r="D1086" s="2">
        <v>1</v>
      </c>
      <c r="E1086" s="25">
        <f t="shared" si="15"/>
        <v>526.18230455883361</v>
      </c>
    </row>
    <row r="1087" spans="1:5" x14ac:dyDescent="0.35">
      <c r="A1087" s="2">
        <v>597</v>
      </c>
      <c r="B1087" s="2">
        <v>55517</v>
      </c>
      <c r="C1087" s="2">
        <v>70</v>
      </c>
      <c r="D1087" s="2">
        <v>1</v>
      </c>
      <c r="E1087" s="25">
        <f t="shared" si="15"/>
        <v>525.94361817475362</v>
      </c>
    </row>
    <row r="1088" spans="1:5" x14ac:dyDescent="0.35">
      <c r="A1088" s="3">
        <v>311</v>
      </c>
      <c r="B1088" s="3">
        <v>53253</v>
      </c>
      <c r="C1088" s="3">
        <v>45</v>
      </c>
      <c r="D1088" s="3">
        <v>1</v>
      </c>
      <c r="E1088" s="25">
        <f t="shared" si="15"/>
        <v>525.69442406932342</v>
      </c>
    </row>
    <row r="1089" spans="1:5" x14ac:dyDescent="0.35">
      <c r="A1089" s="3">
        <v>438</v>
      </c>
      <c r="B1089" s="3">
        <v>52413</v>
      </c>
      <c r="C1089" s="3">
        <v>36</v>
      </c>
      <c r="D1089" s="3">
        <v>1</v>
      </c>
      <c r="E1089" s="25">
        <f t="shared" si="15"/>
        <v>525.09581053849672</v>
      </c>
    </row>
    <row r="1090" spans="1:5" x14ac:dyDescent="0.35">
      <c r="A1090" s="2">
        <v>338</v>
      </c>
      <c r="B1090" s="2">
        <v>54111</v>
      </c>
      <c r="C1090" s="2">
        <v>55</v>
      </c>
      <c r="D1090" s="2">
        <v>1</v>
      </c>
      <c r="E1090" s="25">
        <f t="shared" si="15"/>
        <v>524.82359634784586</v>
      </c>
    </row>
    <row r="1091" spans="1:5" x14ac:dyDescent="0.35">
      <c r="A1091" s="2">
        <v>388</v>
      </c>
      <c r="B1091" s="2">
        <v>53201</v>
      </c>
      <c r="C1091" s="2">
        <v>45</v>
      </c>
      <c r="D1091" s="2">
        <v>1</v>
      </c>
      <c r="E1091" s="25">
        <f t="shared" si="15"/>
        <v>524.6342081258407</v>
      </c>
    </row>
    <row r="1092" spans="1:5" x14ac:dyDescent="0.35">
      <c r="A1092" s="3">
        <v>389</v>
      </c>
      <c r="B1092" s="3">
        <v>54456</v>
      </c>
      <c r="C1092" s="3">
        <v>59</v>
      </c>
      <c r="D1092" s="3">
        <v>1</v>
      </c>
      <c r="E1092" s="25">
        <f t="shared" si="15"/>
        <v>524.51196504191387</v>
      </c>
    </row>
    <row r="1093" spans="1:5" x14ac:dyDescent="0.35">
      <c r="A1093" s="3">
        <v>255</v>
      </c>
      <c r="B1093" s="3">
        <v>37929</v>
      </c>
      <c r="C1093" s="3">
        <v>35</v>
      </c>
      <c r="D1093" s="3">
        <v>0</v>
      </c>
      <c r="E1093" s="25">
        <f t="shared" si="15"/>
        <v>521.23496289417494</v>
      </c>
    </row>
    <row r="1094" spans="1:5" x14ac:dyDescent="0.35">
      <c r="A1094" s="2">
        <v>39</v>
      </c>
      <c r="B1094" s="2">
        <v>54072</v>
      </c>
      <c r="C1094" s="2">
        <v>57</v>
      </c>
      <c r="D1094" s="2">
        <v>1</v>
      </c>
      <c r="E1094" s="25">
        <f t="shared" si="15"/>
        <v>520.35555623244534</v>
      </c>
    </row>
    <row r="1095" spans="1:5" x14ac:dyDescent="0.35">
      <c r="A1095" s="2">
        <v>397</v>
      </c>
      <c r="B1095" s="2">
        <v>53034</v>
      </c>
      <c r="C1095" s="2">
        <v>46</v>
      </c>
      <c r="D1095" s="2">
        <v>1</v>
      </c>
      <c r="E1095" s="25">
        <f t="shared" si="15"/>
        <v>519.39284476691535</v>
      </c>
    </row>
    <row r="1096" spans="1:5" x14ac:dyDescent="0.35">
      <c r="A1096" s="2">
        <v>489</v>
      </c>
      <c r="B1096" s="2">
        <v>53843</v>
      </c>
      <c r="C1096" s="2">
        <v>55</v>
      </c>
      <c r="D1096" s="2">
        <v>1</v>
      </c>
      <c r="E1096" s="25">
        <f t="shared" si="15"/>
        <v>519.35940648528106</v>
      </c>
    </row>
    <row r="1097" spans="1:5" x14ac:dyDescent="0.35">
      <c r="A1097" s="2">
        <v>223</v>
      </c>
      <c r="B1097" s="2">
        <v>54603</v>
      </c>
      <c r="C1097" s="2">
        <v>64</v>
      </c>
      <c r="D1097" s="2">
        <v>1</v>
      </c>
      <c r="E1097" s="25">
        <f t="shared" si="15"/>
        <v>518.32691856459576</v>
      </c>
    </row>
    <row r="1098" spans="1:5" x14ac:dyDescent="0.35">
      <c r="A1098" s="3">
        <v>224</v>
      </c>
      <c r="B1098" s="3">
        <v>54197</v>
      </c>
      <c r="C1098" s="3">
        <v>60</v>
      </c>
      <c r="D1098" s="3">
        <v>1</v>
      </c>
      <c r="E1098" s="25">
        <f t="shared" si="15"/>
        <v>517.39483501374991</v>
      </c>
    </row>
    <row r="1099" spans="1:5" x14ac:dyDescent="0.35">
      <c r="A1099" s="3">
        <v>1030</v>
      </c>
      <c r="B1099" s="3">
        <v>53374</v>
      </c>
      <c r="C1099" s="3">
        <v>51</v>
      </c>
      <c r="D1099" s="3">
        <v>1</v>
      </c>
      <c r="E1099" s="25">
        <f t="shared" si="15"/>
        <v>517.14283054136956</v>
      </c>
    </row>
    <row r="1100" spans="1:5" x14ac:dyDescent="0.35">
      <c r="A1100" s="2">
        <v>652</v>
      </c>
      <c r="B1100" s="2">
        <v>54450</v>
      </c>
      <c r="C1100" s="2">
        <v>64</v>
      </c>
      <c r="D1100" s="2">
        <v>1</v>
      </c>
      <c r="E1100" s="25">
        <f t="shared" si="15"/>
        <v>515.20743703857909</v>
      </c>
    </row>
    <row r="1101" spans="1:5" x14ac:dyDescent="0.35">
      <c r="A1101" s="2">
        <v>257</v>
      </c>
      <c r="B1101" s="2">
        <v>53187</v>
      </c>
      <c r="C1101" s="2">
        <v>50</v>
      </c>
      <c r="D1101" s="2">
        <v>1</v>
      </c>
      <c r="E1101" s="25">
        <f t="shared" si="15"/>
        <v>515.1665699773547</v>
      </c>
    </row>
    <row r="1102" spans="1:5" x14ac:dyDescent="0.35">
      <c r="A1102" s="2">
        <v>872</v>
      </c>
      <c r="B1102" s="2">
        <v>52845</v>
      </c>
      <c r="C1102" s="2">
        <v>47</v>
      </c>
      <c r="D1102" s="2">
        <v>1</v>
      </c>
      <c r="E1102" s="25">
        <f t="shared" si="15"/>
        <v>513.70292850882413</v>
      </c>
    </row>
    <row r="1103" spans="1:5" x14ac:dyDescent="0.35">
      <c r="A1103" s="3">
        <v>149</v>
      </c>
      <c r="B1103" s="3">
        <v>54342</v>
      </c>
      <c r="C1103" s="3">
        <v>64</v>
      </c>
      <c r="D1103" s="3">
        <v>1</v>
      </c>
      <c r="E1103" s="25">
        <f t="shared" si="15"/>
        <v>513.00545007903804</v>
      </c>
    </row>
    <row r="1104" spans="1:5" x14ac:dyDescent="0.35">
      <c r="A1104" s="2">
        <v>304</v>
      </c>
      <c r="B1104" s="2">
        <v>54237</v>
      </c>
      <c r="C1104" s="2">
        <v>63</v>
      </c>
      <c r="D1104" s="2">
        <v>1</v>
      </c>
      <c r="E1104" s="25">
        <f t="shared" si="15"/>
        <v>512.70106850282298</v>
      </c>
    </row>
    <row r="1105" spans="1:5" x14ac:dyDescent="0.35">
      <c r="A1105" s="2">
        <v>952</v>
      </c>
      <c r="B1105" s="2">
        <v>52614</v>
      </c>
      <c r="C1105" s="2">
        <v>45</v>
      </c>
      <c r="D1105" s="2">
        <v>1</v>
      </c>
      <c r="E1105" s="25">
        <f t="shared" si="15"/>
        <v>512.66600122537204</v>
      </c>
    </row>
    <row r="1106" spans="1:5" x14ac:dyDescent="0.35">
      <c r="A1106" s="3">
        <v>670</v>
      </c>
      <c r="B1106" s="3">
        <v>51250</v>
      </c>
      <c r="C1106" s="3">
        <v>30</v>
      </c>
      <c r="D1106" s="3">
        <v>1</v>
      </c>
      <c r="E1106" s="25">
        <f t="shared" si="15"/>
        <v>512.40230766050797</v>
      </c>
    </row>
    <row r="1107" spans="1:5" x14ac:dyDescent="0.35">
      <c r="A1107" s="3">
        <v>348</v>
      </c>
      <c r="B1107" s="3">
        <v>52914</v>
      </c>
      <c r="C1107" s="3">
        <v>49</v>
      </c>
      <c r="D1107" s="3">
        <v>1</v>
      </c>
      <c r="E1107" s="25">
        <f t="shared" si="15"/>
        <v>511.43687535296465</v>
      </c>
    </row>
    <row r="1108" spans="1:5" x14ac:dyDescent="0.35">
      <c r="A1108" s="2">
        <v>220</v>
      </c>
      <c r="B1108" s="2">
        <v>54252</v>
      </c>
      <c r="C1108" s="2">
        <v>64</v>
      </c>
      <c r="D1108" s="2">
        <v>1</v>
      </c>
      <c r="E1108" s="25">
        <f t="shared" si="15"/>
        <v>511.17046094608725</v>
      </c>
    </row>
    <row r="1109" spans="1:5" x14ac:dyDescent="0.35">
      <c r="A1109" s="3">
        <v>520</v>
      </c>
      <c r="B1109" s="3">
        <v>38410</v>
      </c>
      <c r="C1109" s="3">
        <v>46</v>
      </c>
      <c r="D1109" s="3">
        <v>0</v>
      </c>
      <c r="E1109" s="25">
        <f t="shared" si="15"/>
        <v>510.84113050355325</v>
      </c>
    </row>
    <row r="1110" spans="1:5" x14ac:dyDescent="0.35">
      <c r="A1110" s="3">
        <v>224</v>
      </c>
      <c r="B1110" s="3">
        <v>54549</v>
      </c>
      <c r="C1110" s="3">
        <v>68</v>
      </c>
      <c r="D1110" s="3">
        <v>1</v>
      </c>
      <c r="E1110" s="25">
        <f t="shared" si="15"/>
        <v>509.88016876924814</v>
      </c>
    </row>
    <row r="1111" spans="1:5" x14ac:dyDescent="0.35">
      <c r="A1111" s="3">
        <v>16</v>
      </c>
      <c r="B1111" s="3">
        <v>52195</v>
      </c>
      <c r="C1111" s="3">
        <v>42</v>
      </c>
      <c r="D1111" s="3">
        <v>1</v>
      </c>
      <c r="E1111" s="25">
        <f t="shared" si="15"/>
        <v>509.63242460976119</v>
      </c>
    </row>
    <row r="1112" spans="1:5" x14ac:dyDescent="0.35">
      <c r="A1112" s="2">
        <v>825</v>
      </c>
      <c r="B1112" s="2">
        <v>53977</v>
      </c>
      <c r="C1112" s="2">
        <v>62</v>
      </c>
      <c r="D1112" s="2">
        <v>1</v>
      </c>
      <c r="E1112" s="25">
        <f t="shared" si="15"/>
        <v>509.23642786430344</v>
      </c>
    </row>
    <row r="1113" spans="1:5" x14ac:dyDescent="0.35">
      <c r="A1113" s="3">
        <v>86</v>
      </c>
      <c r="B1113" s="3">
        <v>54348</v>
      </c>
      <c r="C1113" s="3">
        <v>67</v>
      </c>
      <c r="D1113" s="3">
        <v>1</v>
      </c>
      <c r="E1113" s="25">
        <f t="shared" si="15"/>
        <v>507.61846545121864</v>
      </c>
    </row>
    <row r="1114" spans="1:5" x14ac:dyDescent="0.35">
      <c r="A1114" s="2">
        <v>661</v>
      </c>
      <c r="B1114" s="2">
        <v>53378</v>
      </c>
      <c r="C1114" s="2">
        <v>57</v>
      </c>
      <c r="D1114" s="2">
        <v>1</v>
      </c>
      <c r="E1114" s="25">
        <f t="shared" si="15"/>
        <v>506.20575114057954</v>
      </c>
    </row>
    <row r="1115" spans="1:5" x14ac:dyDescent="0.35">
      <c r="A1115" s="2">
        <v>59</v>
      </c>
      <c r="B1115" s="2">
        <v>52190</v>
      </c>
      <c r="C1115" s="2">
        <v>44</v>
      </c>
      <c r="D1115" s="2">
        <v>1</v>
      </c>
      <c r="E1115" s="25">
        <f t="shared" si="15"/>
        <v>505.85760261125313</v>
      </c>
    </row>
    <row r="1116" spans="1:5" x14ac:dyDescent="0.35">
      <c r="A1116" s="2">
        <v>495</v>
      </c>
      <c r="B1116" s="2">
        <v>54591</v>
      </c>
      <c r="C1116" s="2">
        <v>71</v>
      </c>
      <c r="D1116" s="2">
        <v>1</v>
      </c>
      <c r="E1116" s="25">
        <f t="shared" si="15"/>
        <v>505.22717979460901</v>
      </c>
    </row>
    <row r="1117" spans="1:5" x14ac:dyDescent="0.35">
      <c r="A1117" s="2">
        <v>224</v>
      </c>
      <c r="B1117" s="2">
        <v>51766</v>
      </c>
      <c r="C1117" s="2">
        <v>40</v>
      </c>
      <c r="D1117" s="2">
        <v>1</v>
      </c>
      <c r="E1117" s="25">
        <f t="shared" si="15"/>
        <v>504.55852123381703</v>
      </c>
    </row>
    <row r="1118" spans="1:5" x14ac:dyDescent="0.35">
      <c r="A1118" s="2">
        <v>38</v>
      </c>
      <c r="B1118" s="2">
        <v>54432</v>
      </c>
      <c r="C1118" s="2">
        <v>70</v>
      </c>
      <c r="D1118" s="2">
        <v>1</v>
      </c>
      <c r="E1118" s="25">
        <f t="shared" si="15"/>
        <v>503.82180473862343</v>
      </c>
    </row>
    <row r="1119" spans="1:5" x14ac:dyDescent="0.35">
      <c r="A1119" s="2">
        <v>87</v>
      </c>
      <c r="B1119" s="2">
        <v>53537</v>
      </c>
      <c r="C1119" s="2">
        <v>61</v>
      </c>
      <c r="D1119" s="2">
        <v>1</v>
      </c>
      <c r="E1119" s="25">
        <f t="shared" si="15"/>
        <v>502.10180895988231</v>
      </c>
    </row>
    <row r="1120" spans="1:5" x14ac:dyDescent="0.35">
      <c r="A1120" s="2">
        <v>17</v>
      </c>
      <c r="B1120" s="2">
        <v>39228</v>
      </c>
      <c r="C1120" s="2">
        <v>60</v>
      </c>
      <c r="D1120" s="2">
        <v>0</v>
      </c>
      <c r="E1120" s="25">
        <f t="shared" si="15"/>
        <v>501.80899574074272</v>
      </c>
    </row>
    <row r="1121" spans="1:5" x14ac:dyDescent="0.35">
      <c r="A1121" s="2">
        <v>443</v>
      </c>
      <c r="B1121" s="2">
        <v>53863</v>
      </c>
      <c r="C1121" s="2">
        <v>65</v>
      </c>
      <c r="D1121" s="2">
        <v>1</v>
      </c>
      <c r="E1121" s="25">
        <f t="shared" si="15"/>
        <v>501.40279105921616</v>
      </c>
    </row>
    <row r="1122" spans="1:5" x14ac:dyDescent="0.35">
      <c r="A1122" s="2">
        <v>775</v>
      </c>
      <c r="B1122" s="2">
        <v>54356</v>
      </c>
      <c r="C1122" s="2">
        <v>71</v>
      </c>
      <c r="D1122" s="2">
        <v>1</v>
      </c>
      <c r="E1122" s="25">
        <f t="shared" si="15"/>
        <v>500.43581928079277</v>
      </c>
    </row>
    <row r="1123" spans="1:5" x14ac:dyDescent="0.35">
      <c r="A1123" s="2">
        <v>270</v>
      </c>
      <c r="B1123" s="2">
        <v>51948</v>
      </c>
      <c r="C1123" s="2">
        <v>45</v>
      </c>
      <c r="D1123" s="2">
        <v>1</v>
      </c>
      <c r="E1123" s="25">
        <f t="shared" si="15"/>
        <v>499.08708164153529</v>
      </c>
    </row>
    <row r="1124" spans="1:5" x14ac:dyDescent="0.35">
      <c r="A1124" s="3">
        <v>268</v>
      </c>
      <c r="B1124" s="3">
        <v>37040</v>
      </c>
      <c r="C1124" s="3">
        <v>38</v>
      </c>
      <c r="D1124" s="3">
        <v>0</v>
      </c>
      <c r="E1124" s="25">
        <f t="shared" si="15"/>
        <v>497.60003077756602</v>
      </c>
    </row>
    <row r="1125" spans="1:5" x14ac:dyDescent="0.35">
      <c r="A1125" s="2">
        <v>845</v>
      </c>
      <c r="B1125" s="2">
        <v>52413</v>
      </c>
      <c r="C1125" s="2">
        <v>51</v>
      </c>
      <c r="D1125" s="2">
        <v>1</v>
      </c>
      <c r="E1125" s="25">
        <f t="shared" si="15"/>
        <v>497.54922435508263</v>
      </c>
    </row>
    <row r="1126" spans="1:5" x14ac:dyDescent="0.35">
      <c r="A1126" s="2">
        <v>259</v>
      </c>
      <c r="B1126" s="2">
        <v>52034</v>
      </c>
      <c r="C1126" s="2">
        <v>47</v>
      </c>
      <c r="D1126" s="2">
        <v>1</v>
      </c>
      <c r="E1126" s="25">
        <f t="shared" si="15"/>
        <v>497.16763754412216</v>
      </c>
    </row>
    <row r="1127" spans="1:5" x14ac:dyDescent="0.35">
      <c r="A1127" s="3">
        <v>88</v>
      </c>
      <c r="B1127" s="3">
        <v>52569</v>
      </c>
      <c r="C1127" s="3">
        <v>53</v>
      </c>
      <c r="D1127" s="3">
        <v>1</v>
      </c>
      <c r="E1127" s="25">
        <f t="shared" si="15"/>
        <v>497.05699402774246</v>
      </c>
    </row>
    <row r="1128" spans="1:5" x14ac:dyDescent="0.35">
      <c r="A1128" s="2">
        <v>438</v>
      </c>
      <c r="B1128" s="2">
        <v>39767</v>
      </c>
      <c r="C1128" s="2">
        <v>69</v>
      </c>
      <c r="D1128" s="2">
        <v>0</v>
      </c>
      <c r="E1128" s="25">
        <f t="shared" si="15"/>
        <v>496.27059006025581</v>
      </c>
    </row>
    <row r="1129" spans="1:5" x14ac:dyDescent="0.35">
      <c r="A1129" s="3">
        <v>229</v>
      </c>
      <c r="B1129" s="3">
        <v>38620</v>
      </c>
      <c r="C1129" s="3">
        <v>57</v>
      </c>
      <c r="D1129" s="3">
        <v>0</v>
      </c>
      <c r="E1129" s="25">
        <f t="shared" si="15"/>
        <v>494.92194194593503</v>
      </c>
    </row>
    <row r="1130" spans="1:5" x14ac:dyDescent="0.35">
      <c r="A1130" s="3">
        <v>184</v>
      </c>
      <c r="B1130" s="3">
        <v>51650</v>
      </c>
      <c r="C1130" s="3">
        <v>44</v>
      </c>
      <c r="D1130" s="3">
        <v>1</v>
      </c>
      <c r="E1130" s="25">
        <f t="shared" si="15"/>
        <v>494.84766781354767</v>
      </c>
    </row>
    <row r="1131" spans="1:5" x14ac:dyDescent="0.35">
      <c r="A1131" s="3">
        <v>56</v>
      </c>
      <c r="B1131" s="3">
        <v>36790</v>
      </c>
      <c r="C1131" s="3">
        <v>37</v>
      </c>
      <c r="D1131" s="3">
        <v>0</v>
      </c>
      <c r="E1131" s="25">
        <f t="shared" si="15"/>
        <v>494.33927782048562</v>
      </c>
    </row>
    <row r="1132" spans="1:5" x14ac:dyDescent="0.35">
      <c r="A1132" s="2">
        <v>151</v>
      </c>
      <c r="B1132" s="2">
        <v>53154</v>
      </c>
      <c r="C1132" s="2">
        <v>61</v>
      </c>
      <c r="D1132" s="2">
        <v>1</v>
      </c>
      <c r="E1132" s="25">
        <f t="shared" si="15"/>
        <v>494.29291076076913</v>
      </c>
    </row>
    <row r="1133" spans="1:5" x14ac:dyDescent="0.35">
      <c r="A1133" s="2">
        <v>52</v>
      </c>
      <c r="B1133" s="2">
        <v>51111</v>
      </c>
      <c r="C1133" s="2">
        <v>39</v>
      </c>
      <c r="D1133" s="2">
        <v>1</v>
      </c>
      <c r="E1133" s="25">
        <f t="shared" si="15"/>
        <v>493.04031717845771</v>
      </c>
    </row>
    <row r="1134" spans="1:5" x14ac:dyDescent="0.35">
      <c r="A1134" s="3">
        <v>611</v>
      </c>
      <c r="B1134" s="3">
        <v>53700</v>
      </c>
      <c r="C1134" s="3">
        <v>68</v>
      </c>
      <c r="D1134" s="3">
        <v>1</v>
      </c>
      <c r="E1134" s="25">
        <f t="shared" ref="E1134:E1197" si="16">$B$101+$B1134*$B$102+$C1134*$B$103+$D1134*$B$104</f>
        <v>492.57010461507787</v>
      </c>
    </row>
    <row r="1135" spans="1:5" x14ac:dyDescent="0.35">
      <c r="A1135" s="3">
        <v>537</v>
      </c>
      <c r="B1135" s="3">
        <v>53790</v>
      </c>
      <c r="C1135" s="3">
        <v>69</v>
      </c>
      <c r="D1135" s="3">
        <v>1</v>
      </c>
      <c r="E1135" s="25">
        <f t="shared" si="16"/>
        <v>492.56865466913462</v>
      </c>
    </row>
    <row r="1136" spans="1:5" x14ac:dyDescent="0.35">
      <c r="A1136" s="2">
        <v>40</v>
      </c>
      <c r="B1136" s="2">
        <v>53233</v>
      </c>
      <c r="C1136" s="2">
        <v>63</v>
      </c>
      <c r="D1136" s="2">
        <v>1</v>
      </c>
      <c r="E1136" s="25">
        <f t="shared" si="16"/>
        <v>492.23074528634845</v>
      </c>
    </row>
    <row r="1137" spans="1:5" x14ac:dyDescent="0.35">
      <c r="A1137" s="2">
        <v>437</v>
      </c>
      <c r="B1137" s="2">
        <v>53593</v>
      </c>
      <c r="C1137" s="2">
        <v>67</v>
      </c>
      <c r="D1137" s="2">
        <v>1</v>
      </c>
      <c r="E1137" s="25">
        <f t="shared" si="16"/>
        <v>492.224945502575</v>
      </c>
    </row>
    <row r="1138" spans="1:5" x14ac:dyDescent="0.35">
      <c r="A1138" s="2">
        <v>258</v>
      </c>
      <c r="B1138" s="2">
        <v>53083</v>
      </c>
      <c r="C1138" s="2">
        <v>62</v>
      </c>
      <c r="D1138" s="2">
        <v>1</v>
      </c>
      <c r="E1138" s="25">
        <f t="shared" si="16"/>
        <v>491.00886914365799</v>
      </c>
    </row>
    <row r="1139" spans="1:5" x14ac:dyDescent="0.35">
      <c r="A1139" s="2">
        <v>61</v>
      </c>
      <c r="B1139" s="2">
        <v>51813</v>
      </c>
      <c r="C1139" s="2">
        <v>48</v>
      </c>
      <c r="D1139" s="2">
        <v>1</v>
      </c>
      <c r="E1139" s="25">
        <f t="shared" si="16"/>
        <v>490.82528070542628</v>
      </c>
    </row>
    <row r="1140" spans="1:5" x14ac:dyDescent="0.35">
      <c r="A1140" s="2">
        <v>258</v>
      </c>
      <c r="B1140" s="2">
        <v>51267</v>
      </c>
      <c r="C1140" s="2">
        <v>42</v>
      </c>
      <c r="D1140" s="2">
        <v>1</v>
      </c>
      <c r="E1140" s="25">
        <f t="shared" si="16"/>
        <v>490.71164777222305</v>
      </c>
    </row>
    <row r="1141" spans="1:5" x14ac:dyDescent="0.35">
      <c r="A1141" s="2">
        <v>503</v>
      </c>
      <c r="B1141" s="2">
        <v>53230</v>
      </c>
      <c r="C1141" s="2">
        <v>64</v>
      </c>
      <c r="D1141" s="2">
        <v>1</v>
      </c>
      <c r="E1141" s="25">
        <f t="shared" si="16"/>
        <v>490.33313990302247</v>
      </c>
    </row>
    <row r="1142" spans="1:5" x14ac:dyDescent="0.35">
      <c r="A1142" s="2">
        <v>394</v>
      </c>
      <c r="B1142" s="2">
        <v>51369</v>
      </c>
      <c r="C1142" s="2">
        <v>44</v>
      </c>
      <c r="D1142" s="2">
        <v>1</v>
      </c>
      <c r="E1142" s="25">
        <f t="shared" si="16"/>
        <v>489.11842396511213</v>
      </c>
    </row>
    <row r="1143" spans="1:5" x14ac:dyDescent="0.35">
      <c r="A1143" s="2">
        <v>536</v>
      </c>
      <c r="B1143" s="2">
        <v>52597</v>
      </c>
      <c r="C1143" s="2">
        <v>58</v>
      </c>
      <c r="D1143" s="2">
        <v>1</v>
      </c>
      <c r="E1143" s="25">
        <f t="shared" si="16"/>
        <v>488.44568414130015</v>
      </c>
    </row>
    <row r="1144" spans="1:5" x14ac:dyDescent="0.35">
      <c r="A1144" s="2">
        <v>116</v>
      </c>
      <c r="B1144" s="2">
        <v>52854</v>
      </c>
      <c r="C1144" s="2">
        <v>61</v>
      </c>
      <c r="D1144" s="2">
        <v>1</v>
      </c>
      <c r="E1144" s="25">
        <f t="shared" si="16"/>
        <v>488.17628031759943</v>
      </c>
    </row>
    <row r="1145" spans="1:5" x14ac:dyDescent="0.35">
      <c r="A1145" s="2">
        <v>71</v>
      </c>
      <c r="B1145" s="2">
        <v>52074</v>
      </c>
      <c r="C1145" s="2">
        <v>53</v>
      </c>
      <c r="D1145" s="2">
        <v>1</v>
      </c>
      <c r="E1145" s="25">
        <f t="shared" si="16"/>
        <v>486.9645537965124</v>
      </c>
    </row>
    <row r="1146" spans="1:5" x14ac:dyDescent="0.35">
      <c r="A1146" s="3">
        <v>953</v>
      </c>
      <c r="B1146" s="3">
        <v>52973</v>
      </c>
      <c r="C1146" s="3">
        <v>64</v>
      </c>
      <c r="D1146" s="3">
        <v>1</v>
      </c>
      <c r="E1146" s="25">
        <f t="shared" si="16"/>
        <v>485.09322649004059</v>
      </c>
    </row>
    <row r="1147" spans="1:5" x14ac:dyDescent="0.35">
      <c r="A1147" s="2">
        <v>832</v>
      </c>
      <c r="B1147" s="2">
        <v>52852</v>
      </c>
      <c r="C1147" s="2">
        <v>63</v>
      </c>
      <c r="D1147" s="2">
        <v>1</v>
      </c>
      <c r="E1147" s="25">
        <f t="shared" si="16"/>
        <v>484.46262462352308</v>
      </c>
    </row>
    <row r="1148" spans="1:5" x14ac:dyDescent="0.35">
      <c r="A1148" s="2">
        <v>259</v>
      </c>
      <c r="B1148" s="2">
        <v>52117</v>
      </c>
      <c r="C1148" s="2">
        <v>55</v>
      </c>
      <c r="D1148" s="2">
        <v>1</v>
      </c>
      <c r="E1148" s="25">
        <f t="shared" si="16"/>
        <v>484.16839266891145</v>
      </c>
    </row>
    <row r="1149" spans="1:5" x14ac:dyDescent="0.35">
      <c r="A1149" s="2">
        <v>890</v>
      </c>
      <c r="B1149" s="2">
        <v>53103</v>
      </c>
      <c r="C1149" s="2">
        <v>66</v>
      </c>
      <c r="D1149" s="2">
        <v>1</v>
      </c>
      <c r="E1149" s="25">
        <f t="shared" si="16"/>
        <v>484.07088819095873</v>
      </c>
    </row>
    <row r="1150" spans="1:5" x14ac:dyDescent="0.35">
      <c r="A1150" s="3">
        <v>1024</v>
      </c>
      <c r="B1150" s="3">
        <v>52278</v>
      </c>
      <c r="C1150" s="3">
        <v>57</v>
      </c>
      <c r="D1150" s="3">
        <v>1</v>
      </c>
      <c r="E1150" s="25">
        <f t="shared" si="16"/>
        <v>483.7781061822908</v>
      </c>
    </row>
    <row r="1151" spans="1:5" x14ac:dyDescent="0.35">
      <c r="A1151" s="2">
        <v>1024</v>
      </c>
      <c r="B1151" s="2">
        <v>52278</v>
      </c>
      <c r="C1151" s="2">
        <v>57</v>
      </c>
      <c r="D1151" s="2">
        <v>1</v>
      </c>
      <c r="E1151" s="25">
        <f t="shared" si="16"/>
        <v>483.7781061822908</v>
      </c>
    </row>
    <row r="1152" spans="1:5" x14ac:dyDescent="0.35">
      <c r="A1152" s="2">
        <v>273</v>
      </c>
      <c r="B1152" s="2">
        <v>36262</v>
      </c>
      <c r="C1152" s="2">
        <v>37</v>
      </c>
      <c r="D1152" s="2">
        <v>0</v>
      </c>
      <c r="E1152" s="25">
        <f t="shared" si="16"/>
        <v>483.574008240507</v>
      </c>
    </row>
    <row r="1153" spans="1:5" x14ac:dyDescent="0.35">
      <c r="A1153" s="3">
        <v>763</v>
      </c>
      <c r="B1153" s="3">
        <v>51983</v>
      </c>
      <c r="C1153" s="3">
        <v>56</v>
      </c>
      <c r="D1153" s="3">
        <v>1</v>
      </c>
      <c r="E1153" s="25">
        <f t="shared" si="16"/>
        <v>479.59985865873489</v>
      </c>
    </row>
    <row r="1154" spans="1:5" x14ac:dyDescent="0.35">
      <c r="A1154" s="2">
        <v>151</v>
      </c>
      <c r="B1154" s="2">
        <v>52869</v>
      </c>
      <c r="C1154" s="2">
        <v>66</v>
      </c>
      <c r="D1154" s="2">
        <v>1</v>
      </c>
      <c r="E1154" s="25">
        <f t="shared" si="16"/>
        <v>479.29991644528639</v>
      </c>
    </row>
    <row r="1155" spans="1:5" x14ac:dyDescent="0.35">
      <c r="A1155" s="2">
        <v>303</v>
      </c>
      <c r="B1155" s="2">
        <v>51148</v>
      </c>
      <c r="C1155" s="2">
        <v>47</v>
      </c>
      <c r="D1155" s="2">
        <v>1</v>
      </c>
      <c r="E1155" s="25">
        <f t="shared" si="16"/>
        <v>479.10318896862771</v>
      </c>
    </row>
    <row r="1156" spans="1:5" x14ac:dyDescent="0.35">
      <c r="A1156" s="3">
        <v>791</v>
      </c>
      <c r="B1156" s="3">
        <v>52750</v>
      </c>
      <c r="C1156" s="3">
        <v>65</v>
      </c>
      <c r="D1156" s="3">
        <v>1</v>
      </c>
      <c r="E1156" s="25">
        <f t="shared" si="16"/>
        <v>478.71009211505668</v>
      </c>
    </row>
    <row r="1157" spans="1:5" x14ac:dyDescent="0.35">
      <c r="A1157" s="2">
        <v>229</v>
      </c>
      <c r="B1157" s="2">
        <v>50272</v>
      </c>
      <c r="C1157" s="2">
        <v>38</v>
      </c>
      <c r="D1157" s="2">
        <v>1</v>
      </c>
      <c r="E1157" s="25">
        <f t="shared" si="16"/>
        <v>477.77057978462074</v>
      </c>
    </row>
    <row r="1158" spans="1:5" x14ac:dyDescent="0.35">
      <c r="A1158" s="3">
        <v>19</v>
      </c>
      <c r="B1158" s="3">
        <v>34824</v>
      </c>
      <c r="C1158" s="3">
        <v>25</v>
      </c>
      <c r="D1158" s="3">
        <v>0</v>
      </c>
      <c r="E1158" s="25">
        <f t="shared" si="16"/>
        <v>476.29222859631165</v>
      </c>
    </row>
    <row r="1159" spans="1:5" x14ac:dyDescent="0.35">
      <c r="A1159" s="3">
        <v>117</v>
      </c>
      <c r="B1159" s="3">
        <v>51717</v>
      </c>
      <c r="C1159" s="3">
        <v>55</v>
      </c>
      <c r="D1159" s="3">
        <v>1</v>
      </c>
      <c r="E1159" s="25">
        <f t="shared" si="16"/>
        <v>476.01288541135193</v>
      </c>
    </row>
    <row r="1160" spans="1:5" x14ac:dyDescent="0.35">
      <c r="A1160" s="3">
        <v>115</v>
      </c>
      <c r="B1160" s="3">
        <v>35876</v>
      </c>
      <c r="C1160" s="3">
        <v>37</v>
      </c>
      <c r="D1160" s="3">
        <v>0</v>
      </c>
      <c r="E1160" s="25">
        <f t="shared" si="16"/>
        <v>475.703943736962</v>
      </c>
    </row>
    <row r="1161" spans="1:5" x14ac:dyDescent="0.35">
      <c r="A1161" s="2">
        <v>429</v>
      </c>
      <c r="B1161" s="2">
        <v>51479</v>
      </c>
      <c r="C1161" s="2">
        <v>53</v>
      </c>
      <c r="D1161" s="2">
        <v>1</v>
      </c>
      <c r="E1161" s="25">
        <f t="shared" si="16"/>
        <v>474.83323675089252</v>
      </c>
    </row>
    <row r="1162" spans="1:5" x14ac:dyDescent="0.35">
      <c r="A1162" s="3">
        <v>117</v>
      </c>
      <c r="B1162" s="3">
        <v>34935</v>
      </c>
      <c r="C1162" s="3">
        <v>28</v>
      </c>
      <c r="D1162" s="3">
        <v>0</v>
      </c>
      <c r="E1162" s="25">
        <f t="shared" si="16"/>
        <v>473.04606462360169</v>
      </c>
    </row>
    <row r="1163" spans="1:5" x14ac:dyDescent="0.35">
      <c r="A1163" s="2">
        <v>152</v>
      </c>
      <c r="B1163" s="2">
        <v>51287</v>
      </c>
      <c r="C1163" s="2">
        <v>52</v>
      </c>
      <c r="D1163" s="2">
        <v>1</v>
      </c>
      <c r="E1163" s="25">
        <f t="shared" si="16"/>
        <v>472.75503234615837</v>
      </c>
    </row>
    <row r="1164" spans="1:5" x14ac:dyDescent="0.35">
      <c r="A1164" s="2">
        <v>216</v>
      </c>
      <c r="B1164" s="2">
        <v>50183</v>
      </c>
      <c r="C1164" s="2">
        <v>40</v>
      </c>
      <c r="D1164" s="2">
        <v>1</v>
      </c>
      <c r="E1164" s="25">
        <f t="shared" si="16"/>
        <v>472.28310126202518</v>
      </c>
    </row>
    <row r="1165" spans="1:5" x14ac:dyDescent="0.35">
      <c r="A1165" s="3">
        <v>308</v>
      </c>
      <c r="B1165" s="3">
        <v>51039</v>
      </c>
      <c r="C1165" s="3">
        <v>51</v>
      </c>
      <c r="D1165" s="3">
        <v>1</v>
      </c>
      <c r="E1165" s="25">
        <f t="shared" si="16"/>
        <v>469.53505692536567</v>
      </c>
    </row>
    <row r="1166" spans="1:5" x14ac:dyDescent="0.35">
      <c r="A1166" s="3">
        <v>297</v>
      </c>
      <c r="B1166" s="3">
        <v>51390</v>
      </c>
      <c r="C1166" s="3">
        <v>55</v>
      </c>
      <c r="D1166" s="3">
        <v>1</v>
      </c>
      <c r="E1166" s="25">
        <f t="shared" si="16"/>
        <v>469.34575822829709</v>
      </c>
    </row>
    <row r="1167" spans="1:5" x14ac:dyDescent="0.35">
      <c r="A1167" s="3">
        <v>341</v>
      </c>
      <c r="B1167" s="3">
        <v>51651</v>
      </c>
      <c r="C1167" s="3">
        <v>60</v>
      </c>
      <c r="D1167" s="3">
        <v>1</v>
      </c>
      <c r="E1167" s="25">
        <f t="shared" si="16"/>
        <v>465.48503131938321</v>
      </c>
    </row>
    <row r="1168" spans="1:5" x14ac:dyDescent="0.35">
      <c r="A1168" s="2">
        <v>337</v>
      </c>
      <c r="B1168" s="2">
        <v>50200</v>
      </c>
      <c r="C1168" s="2">
        <v>44</v>
      </c>
      <c r="D1168" s="2">
        <v>1</v>
      </c>
      <c r="E1168" s="25">
        <f t="shared" si="16"/>
        <v>465.28395400489444</v>
      </c>
    </row>
    <row r="1169" spans="1:5" x14ac:dyDescent="0.35">
      <c r="A1169" s="2">
        <v>560</v>
      </c>
      <c r="B1169" s="2">
        <v>50334</v>
      </c>
      <c r="C1169" s="2">
        <v>48</v>
      </c>
      <c r="D1169" s="2">
        <v>1</v>
      </c>
      <c r="E1169" s="25">
        <f t="shared" si="16"/>
        <v>460.67029262059975</v>
      </c>
    </row>
    <row r="1170" spans="1:5" x14ac:dyDescent="0.35">
      <c r="A1170" s="3">
        <v>506</v>
      </c>
      <c r="B1170" s="3">
        <v>51195</v>
      </c>
      <c r="C1170" s="3">
        <v>58</v>
      </c>
      <c r="D1170" s="3">
        <v>1</v>
      </c>
      <c r="E1170" s="25">
        <f t="shared" si="16"/>
        <v>459.86063120355391</v>
      </c>
    </row>
    <row r="1171" spans="1:5" x14ac:dyDescent="0.35">
      <c r="A1171" s="3">
        <v>121</v>
      </c>
      <c r="B1171" s="3">
        <v>50447</v>
      </c>
      <c r="C1171" s="3">
        <v>50</v>
      </c>
      <c r="D1171" s="3">
        <v>1</v>
      </c>
      <c r="E1171" s="25">
        <f t="shared" si="16"/>
        <v>459.30134526307177</v>
      </c>
    </row>
    <row r="1172" spans="1:5" x14ac:dyDescent="0.35">
      <c r="A1172" s="2">
        <v>445</v>
      </c>
      <c r="B1172" s="2">
        <v>51518</v>
      </c>
      <c r="C1172" s="2">
        <v>62</v>
      </c>
      <c r="D1172" s="2">
        <v>1</v>
      </c>
      <c r="E1172" s="25">
        <f t="shared" si="16"/>
        <v>459.10044699845628</v>
      </c>
    </row>
    <row r="1173" spans="1:5" x14ac:dyDescent="0.35">
      <c r="A1173" s="2">
        <v>145</v>
      </c>
      <c r="B1173" s="2">
        <v>50616</v>
      </c>
      <c r="C1173" s="2">
        <v>52</v>
      </c>
      <c r="D1173" s="2">
        <v>1</v>
      </c>
      <c r="E1173" s="25">
        <f t="shared" si="16"/>
        <v>459.07416892160211</v>
      </c>
    </row>
    <row r="1174" spans="1:5" x14ac:dyDescent="0.35">
      <c r="A1174" s="3">
        <v>225</v>
      </c>
      <c r="B1174" s="3">
        <v>52157</v>
      </c>
      <c r="C1174" s="3">
        <v>70</v>
      </c>
      <c r="D1174" s="3">
        <v>1</v>
      </c>
      <c r="E1174" s="25">
        <f t="shared" si="16"/>
        <v>457.43735721125347</v>
      </c>
    </row>
    <row r="1175" spans="1:5" x14ac:dyDescent="0.35">
      <c r="A1175" s="2">
        <v>181</v>
      </c>
      <c r="B1175" s="2">
        <v>51412</v>
      </c>
      <c r="C1175" s="2">
        <v>62</v>
      </c>
      <c r="D1175" s="2">
        <v>1</v>
      </c>
      <c r="E1175" s="25">
        <f t="shared" si="16"/>
        <v>456.93923757520281</v>
      </c>
    </row>
    <row r="1176" spans="1:5" x14ac:dyDescent="0.35">
      <c r="A1176" s="3">
        <v>437</v>
      </c>
      <c r="B1176" s="3">
        <v>49681</v>
      </c>
      <c r="C1176" s="3">
        <v>44</v>
      </c>
      <c r="D1176" s="3">
        <v>1</v>
      </c>
      <c r="E1176" s="25">
        <f t="shared" si="16"/>
        <v>454.70218333821083</v>
      </c>
    </row>
    <row r="1177" spans="1:5" x14ac:dyDescent="0.35">
      <c r="A1177" s="2">
        <v>381</v>
      </c>
      <c r="B1177" s="2">
        <v>49544</v>
      </c>
      <c r="C1177" s="2">
        <v>44</v>
      </c>
      <c r="D1177" s="2">
        <v>1</v>
      </c>
      <c r="E1177" s="25">
        <f t="shared" si="16"/>
        <v>451.90892210249672</v>
      </c>
    </row>
    <row r="1178" spans="1:5" x14ac:dyDescent="0.35">
      <c r="A1178" s="2">
        <v>87</v>
      </c>
      <c r="B1178" s="2">
        <v>50785</v>
      </c>
      <c r="C1178" s="2">
        <v>58</v>
      </c>
      <c r="D1178" s="2">
        <v>1</v>
      </c>
      <c r="E1178" s="25">
        <f t="shared" si="16"/>
        <v>451.50123626455536</v>
      </c>
    </row>
    <row r="1179" spans="1:5" x14ac:dyDescent="0.35">
      <c r="A1179" s="3">
        <v>350</v>
      </c>
      <c r="B1179" s="3">
        <v>49854</v>
      </c>
      <c r="C1179" s="3">
        <v>48</v>
      </c>
      <c r="D1179" s="3">
        <v>1</v>
      </c>
      <c r="E1179" s="25">
        <f t="shared" si="16"/>
        <v>450.88368391152824</v>
      </c>
    </row>
    <row r="1180" spans="1:5" x14ac:dyDescent="0.35">
      <c r="A1180" s="3">
        <v>297</v>
      </c>
      <c r="B1180" s="3">
        <v>49669</v>
      </c>
      <c r="C1180" s="3">
        <v>46</v>
      </c>
      <c r="D1180" s="3">
        <v>1</v>
      </c>
      <c r="E1180" s="25">
        <f t="shared" si="16"/>
        <v>450.78463996269556</v>
      </c>
    </row>
    <row r="1181" spans="1:5" x14ac:dyDescent="0.35">
      <c r="A1181" s="3">
        <v>276</v>
      </c>
      <c r="B1181" s="3">
        <v>49514</v>
      </c>
      <c r="C1181" s="3">
        <v>45</v>
      </c>
      <c r="D1181" s="3">
        <v>1</v>
      </c>
      <c r="E1181" s="25">
        <f t="shared" si="16"/>
        <v>449.46081997928547</v>
      </c>
    </row>
    <row r="1182" spans="1:5" x14ac:dyDescent="0.35">
      <c r="A1182" s="2">
        <v>1011</v>
      </c>
      <c r="B1182" s="2">
        <v>51537</v>
      </c>
      <c r="C1182" s="2">
        <v>68</v>
      </c>
      <c r="D1182" s="2">
        <v>1</v>
      </c>
      <c r="E1182" s="25">
        <f t="shared" si="16"/>
        <v>448.46919911982457</v>
      </c>
    </row>
    <row r="1183" spans="1:5" x14ac:dyDescent="0.35">
      <c r="A1183" s="3">
        <v>65</v>
      </c>
      <c r="B1183" s="3">
        <v>33996</v>
      </c>
      <c r="C1183" s="3">
        <v>31</v>
      </c>
      <c r="D1183" s="3">
        <v>0</v>
      </c>
      <c r="E1183" s="25">
        <f t="shared" si="16"/>
        <v>448.3916940997978</v>
      </c>
    </row>
    <row r="1184" spans="1:5" x14ac:dyDescent="0.35">
      <c r="A1184" s="3">
        <v>17</v>
      </c>
      <c r="B1184" s="3">
        <v>51411</v>
      </c>
      <c r="C1184" s="3">
        <v>67</v>
      </c>
      <c r="D1184" s="3">
        <v>1</v>
      </c>
      <c r="E1184" s="25">
        <f t="shared" si="16"/>
        <v>447.73665341258754</v>
      </c>
    </row>
    <row r="1185" spans="1:5" x14ac:dyDescent="0.35">
      <c r="A1185" s="2">
        <v>354</v>
      </c>
      <c r="B1185" s="2">
        <v>50014</v>
      </c>
      <c r="C1185" s="2">
        <v>52</v>
      </c>
      <c r="D1185" s="2">
        <v>1</v>
      </c>
      <c r="E1185" s="25">
        <f t="shared" si="16"/>
        <v>446.80013049897502</v>
      </c>
    </row>
    <row r="1186" spans="1:5" x14ac:dyDescent="0.35">
      <c r="A1186" s="3">
        <v>486</v>
      </c>
      <c r="B1186" s="3">
        <v>50437</v>
      </c>
      <c r="C1186" s="3">
        <v>57</v>
      </c>
      <c r="D1186" s="3">
        <v>1</v>
      </c>
      <c r="E1186" s="25">
        <f t="shared" si="16"/>
        <v>446.24238402937283</v>
      </c>
    </row>
    <row r="1187" spans="1:5" x14ac:dyDescent="0.35">
      <c r="A1187" s="2">
        <v>289</v>
      </c>
      <c r="B1187" s="2">
        <v>37760</v>
      </c>
      <c r="C1187" s="2">
        <v>74</v>
      </c>
      <c r="D1187" s="2">
        <v>0</v>
      </c>
      <c r="E1187" s="25">
        <f t="shared" si="16"/>
        <v>446.16813700097941</v>
      </c>
    </row>
    <row r="1188" spans="1:5" x14ac:dyDescent="0.35">
      <c r="A1188" s="2">
        <v>39</v>
      </c>
      <c r="B1188" s="2">
        <v>51124</v>
      </c>
      <c r="C1188" s="2">
        <v>65</v>
      </c>
      <c r="D1188" s="2">
        <v>1</v>
      </c>
      <c r="E1188" s="25">
        <f t="shared" si="16"/>
        <v>445.55795511307713</v>
      </c>
    </row>
    <row r="1189" spans="1:5" x14ac:dyDescent="0.35">
      <c r="A1189" s="2">
        <v>116</v>
      </c>
      <c r="B1189" s="2">
        <v>49187</v>
      </c>
      <c r="C1189" s="2">
        <v>44</v>
      </c>
      <c r="D1189" s="2">
        <v>1</v>
      </c>
      <c r="E1189" s="25">
        <f t="shared" si="16"/>
        <v>444.63013187512479</v>
      </c>
    </row>
    <row r="1190" spans="1:5" x14ac:dyDescent="0.35">
      <c r="A1190" s="3">
        <v>489</v>
      </c>
      <c r="B1190" s="3">
        <v>50611</v>
      </c>
      <c r="C1190" s="3">
        <v>60</v>
      </c>
      <c r="D1190" s="3">
        <v>1</v>
      </c>
      <c r="E1190" s="25">
        <f t="shared" si="16"/>
        <v>444.28071244972841</v>
      </c>
    </row>
    <row r="1191" spans="1:5" x14ac:dyDescent="0.35">
      <c r="A1191" s="2">
        <v>489</v>
      </c>
      <c r="B1191" s="2">
        <v>50611</v>
      </c>
      <c r="C1191" s="2">
        <v>60</v>
      </c>
      <c r="D1191" s="2">
        <v>1</v>
      </c>
      <c r="E1191" s="25">
        <f t="shared" si="16"/>
        <v>444.28071244972841</v>
      </c>
    </row>
    <row r="1192" spans="1:5" x14ac:dyDescent="0.35">
      <c r="A1192" s="2">
        <v>656</v>
      </c>
      <c r="B1192" s="2">
        <v>50965</v>
      </c>
      <c r="C1192" s="2">
        <v>64</v>
      </c>
      <c r="D1192" s="2">
        <v>1</v>
      </c>
      <c r="E1192" s="25">
        <f t="shared" si="16"/>
        <v>444.15258005709154</v>
      </c>
    </row>
    <row r="1193" spans="1:5" x14ac:dyDescent="0.35">
      <c r="A1193" s="2">
        <v>40</v>
      </c>
      <c r="B1193" s="2">
        <v>50943</v>
      </c>
      <c r="C1193" s="2">
        <v>64</v>
      </c>
      <c r="D1193" s="2">
        <v>1</v>
      </c>
      <c r="E1193" s="25">
        <f t="shared" si="16"/>
        <v>443.70402715792591</v>
      </c>
    </row>
    <row r="1194" spans="1:5" x14ac:dyDescent="0.35">
      <c r="A1194" s="2">
        <v>433</v>
      </c>
      <c r="B1194" s="2">
        <v>51569</v>
      </c>
      <c r="C1194" s="2">
        <v>71</v>
      </c>
      <c r="D1194" s="2">
        <v>1</v>
      </c>
      <c r="E1194" s="25">
        <f t="shared" si="16"/>
        <v>443.61232246374664</v>
      </c>
    </row>
    <row r="1195" spans="1:5" x14ac:dyDescent="0.35">
      <c r="A1195" s="3">
        <v>303</v>
      </c>
      <c r="B1195" s="3">
        <v>49494</v>
      </c>
      <c r="C1195" s="3">
        <v>48</v>
      </c>
      <c r="D1195" s="3">
        <v>1</v>
      </c>
      <c r="E1195" s="25">
        <f t="shared" si="16"/>
        <v>443.54372737972471</v>
      </c>
    </row>
    <row r="1196" spans="1:5" x14ac:dyDescent="0.35">
      <c r="A1196" s="3">
        <v>435</v>
      </c>
      <c r="B1196" s="3">
        <v>50664</v>
      </c>
      <c r="C1196" s="3">
        <v>61</v>
      </c>
      <c r="D1196" s="3">
        <v>1</v>
      </c>
      <c r="E1196" s="25">
        <f t="shared" si="16"/>
        <v>443.52487808246076</v>
      </c>
    </row>
    <row r="1197" spans="1:5" x14ac:dyDescent="0.35">
      <c r="A1197" s="3">
        <v>444</v>
      </c>
      <c r="B1197" s="3">
        <v>50729</v>
      </c>
      <c r="C1197" s="3">
        <v>62</v>
      </c>
      <c r="D1197" s="3">
        <v>1</v>
      </c>
      <c r="E1197" s="25">
        <f t="shared" si="16"/>
        <v>443.01370893291994</v>
      </c>
    </row>
    <row r="1198" spans="1:5" x14ac:dyDescent="0.35">
      <c r="A1198" s="3">
        <v>809</v>
      </c>
      <c r="B1198" s="3">
        <v>34445</v>
      </c>
      <c r="C1198" s="3">
        <v>39</v>
      </c>
      <c r="D1198" s="3">
        <v>0</v>
      </c>
      <c r="E1198" s="25">
        <f t="shared" ref="E1198:E1261" si="17">$B$101+$B1198*$B$102+$C1198*$B$103+$D1198*$B$104</f>
        <v>442.85473836525415</v>
      </c>
    </row>
    <row r="1199" spans="1:5" x14ac:dyDescent="0.35">
      <c r="A1199" s="2">
        <v>445</v>
      </c>
      <c r="B1199" s="2">
        <v>51529</v>
      </c>
      <c r="C1199" s="2">
        <v>71</v>
      </c>
      <c r="D1199" s="2">
        <v>1</v>
      </c>
      <c r="E1199" s="25">
        <f t="shared" si="17"/>
        <v>442.79677173799053</v>
      </c>
    </row>
    <row r="1200" spans="1:5" x14ac:dyDescent="0.35">
      <c r="A1200" s="3">
        <v>724</v>
      </c>
      <c r="B1200" s="3">
        <v>50898</v>
      </c>
      <c r="C1200" s="3">
        <v>64</v>
      </c>
      <c r="D1200" s="3">
        <v>1</v>
      </c>
      <c r="E1200" s="25">
        <f t="shared" si="17"/>
        <v>442.78653259145028</v>
      </c>
    </row>
    <row r="1201" spans="1:5" x14ac:dyDescent="0.35">
      <c r="A1201" s="2">
        <v>90</v>
      </c>
      <c r="B1201" s="2">
        <v>50523</v>
      </c>
      <c r="C1201" s="2">
        <v>60</v>
      </c>
      <c r="D1201" s="2">
        <v>1</v>
      </c>
      <c r="E1201" s="25">
        <f t="shared" si="17"/>
        <v>442.48650085306542</v>
      </c>
    </row>
    <row r="1202" spans="1:5" x14ac:dyDescent="0.35">
      <c r="A1202" s="3">
        <v>723</v>
      </c>
      <c r="B1202" s="3">
        <v>49505</v>
      </c>
      <c r="C1202" s="3">
        <v>49</v>
      </c>
      <c r="D1202" s="3">
        <v>1</v>
      </c>
      <c r="E1202" s="25">
        <f t="shared" si="17"/>
        <v>441.93156475041326</v>
      </c>
    </row>
    <row r="1203" spans="1:5" x14ac:dyDescent="0.35">
      <c r="A1203" s="2">
        <v>258</v>
      </c>
      <c r="B1203" s="2">
        <v>49166</v>
      </c>
      <c r="C1203" s="2">
        <v>46</v>
      </c>
      <c r="D1203" s="2">
        <v>1</v>
      </c>
      <c r="E1203" s="25">
        <f t="shared" si="17"/>
        <v>440.5290895863144</v>
      </c>
    </row>
    <row r="1204" spans="1:5" x14ac:dyDescent="0.35">
      <c r="A1204" s="2">
        <v>121</v>
      </c>
      <c r="B1204" s="2">
        <v>50520</v>
      </c>
      <c r="C1204" s="2">
        <v>62</v>
      </c>
      <c r="D1204" s="2">
        <v>1</v>
      </c>
      <c r="E1204" s="25">
        <f t="shared" si="17"/>
        <v>438.75245639084517</v>
      </c>
    </row>
    <row r="1205" spans="1:5" x14ac:dyDescent="0.35">
      <c r="A1205" s="2">
        <v>305</v>
      </c>
      <c r="B1205" s="2">
        <v>50127</v>
      </c>
      <c r="C1205" s="2">
        <v>58</v>
      </c>
      <c r="D1205" s="2">
        <v>1</v>
      </c>
      <c r="E1205" s="25">
        <f t="shared" si="17"/>
        <v>438.08542682586994</v>
      </c>
    </row>
    <row r="1206" spans="1:5" x14ac:dyDescent="0.35">
      <c r="A1206" s="2">
        <v>89</v>
      </c>
      <c r="B1206" s="2">
        <v>50737</v>
      </c>
      <c r="C1206" s="2">
        <v>65</v>
      </c>
      <c r="D1206" s="2">
        <v>1</v>
      </c>
      <c r="E1206" s="25">
        <f t="shared" si="17"/>
        <v>437.66750184138834</v>
      </c>
    </row>
    <row r="1207" spans="1:5" x14ac:dyDescent="0.35">
      <c r="A1207" s="3">
        <v>433</v>
      </c>
      <c r="B1207" s="3">
        <v>49094</v>
      </c>
      <c r="C1207" s="3">
        <v>47</v>
      </c>
      <c r="D1207" s="3">
        <v>1</v>
      </c>
      <c r="E1207" s="25">
        <f t="shared" si="17"/>
        <v>437.22465920105935</v>
      </c>
    </row>
    <row r="1208" spans="1:5" x14ac:dyDescent="0.35">
      <c r="A1208" s="3">
        <v>832</v>
      </c>
      <c r="B1208" s="3">
        <v>49269</v>
      </c>
      <c r="C1208" s="3">
        <v>49</v>
      </c>
      <c r="D1208" s="3">
        <v>1</v>
      </c>
      <c r="E1208" s="25">
        <f t="shared" si="17"/>
        <v>437.11981546845311</v>
      </c>
    </row>
    <row r="1209" spans="1:5" x14ac:dyDescent="0.35">
      <c r="A1209" s="2">
        <v>181</v>
      </c>
      <c r="B1209" s="2">
        <v>49980</v>
      </c>
      <c r="C1209" s="2">
        <v>57</v>
      </c>
      <c r="D1209" s="2">
        <v>1</v>
      </c>
      <c r="E1209" s="25">
        <f t="shared" si="17"/>
        <v>436.92471698761108</v>
      </c>
    </row>
    <row r="1210" spans="1:5" x14ac:dyDescent="0.35">
      <c r="A1210" s="3">
        <v>126</v>
      </c>
      <c r="B1210" s="3">
        <v>48526</v>
      </c>
      <c r="C1210" s="3">
        <v>41</v>
      </c>
      <c r="D1210" s="3">
        <v>1</v>
      </c>
      <c r="E1210" s="25">
        <f t="shared" si="17"/>
        <v>436.66247336869048</v>
      </c>
    </row>
    <row r="1211" spans="1:5" x14ac:dyDescent="0.35">
      <c r="A1211" s="3">
        <v>115</v>
      </c>
      <c r="B1211" s="3">
        <v>49618</v>
      </c>
      <c r="C1211" s="3">
        <v>54</v>
      </c>
      <c r="D1211" s="3">
        <v>1</v>
      </c>
      <c r="E1211" s="25">
        <f t="shared" si="17"/>
        <v>435.05330015620257</v>
      </c>
    </row>
    <row r="1212" spans="1:5" x14ac:dyDescent="0.35">
      <c r="A1212" s="2">
        <v>61</v>
      </c>
      <c r="B1212" s="2">
        <v>50870</v>
      </c>
      <c r="C1212" s="2">
        <v>68</v>
      </c>
      <c r="D1212" s="2">
        <v>1</v>
      </c>
      <c r="E1212" s="25">
        <f t="shared" si="17"/>
        <v>434.86989076784414</v>
      </c>
    </row>
    <row r="1213" spans="1:5" x14ac:dyDescent="0.35">
      <c r="A1213" s="3">
        <v>338</v>
      </c>
      <c r="B1213" s="3">
        <v>50388</v>
      </c>
      <c r="C1213" s="3">
        <v>63</v>
      </c>
      <c r="D1213" s="3">
        <v>1</v>
      </c>
      <c r="E1213" s="25">
        <f t="shared" si="17"/>
        <v>434.22469991695618</v>
      </c>
    </row>
    <row r="1214" spans="1:5" x14ac:dyDescent="0.35">
      <c r="A1214" s="3">
        <v>538</v>
      </c>
      <c r="B1214" s="3">
        <v>50725</v>
      </c>
      <c r="C1214" s="3">
        <v>67</v>
      </c>
      <c r="D1214" s="3">
        <v>1</v>
      </c>
      <c r="E1214" s="25">
        <f t="shared" si="17"/>
        <v>433.74995846587296</v>
      </c>
    </row>
    <row r="1215" spans="1:5" x14ac:dyDescent="0.35">
      <c r="A1215" s="3">
        <v>491</v>
      </c>
      <c r="B1215" s="3">
        <v>50387</v>
      </c>
      <c r="C1215" s="3">
        <v>64</v>
      </c>
      <c r="D1215" s="3">
        <v>1</v>
      </c>
      <c r="E1215" s="25">
        <f t="shared" si="17"/>
        <v>432.36787206991801</v>
      </c>
    </row>
    <row r="1216" spans="1:5" x14ac:dyDescent="0.35">
      <c r="A1216" s="2">
        <v>348</v>
      </c>
      <c r="B1216" s="2">
        <v>50501</v>
      </c>
      <c r="C1216" s="2">
        <v>66</v>
      </c>
      <c r="D1216" s="2">
        <v>1</v>
      </c>
      <c r="E1216" s="25">
        <f t="shared" si="17"/>
        <v>431.01931348053392</v>
      </c>
    </row>
    <row r="1217" spans="1:5" x14ac:dyDescent="0.35">
      <c r="A1217" s="3">
        <v>64</v>
      </c>
      <c r="B1217" s="3">
        <v>50116</v>
      </c>
      <c r="C1217" s="3">
        <v>63</v>
      </c>
      <c r="D1217" s="3">
        <v>1</v>
      </c>
      <c r="E1217" s="25">
        <f t="shared" si="17"/>
        <v>428.67895498181565</v>
      </c>
    </row>
    <row r="1218" spans="1:5" x14ac:dyDescent="0.35">
      <c r="A1218" s="2">
        <v>41</v>
      </c>
      <c r="B1218" s="2">
        <v>35701</v>
      </c>
      <c r="C1218" s="2">
        <v>61</v>
      </c>
      <c r="D1218" s="2">
        <v>0</v>
      </c>
      <c r="E1218" s="25">
        <f t="shared" si="17"/>
        <v>428.06137141831709</v>
      </c>
    </row>
    <row r="1219" spans="1:5" x14ac:dyDescent="0.35">
      <c r="A1219" s="2">
        <v>303</v>
      </c>
      <c r="B1219" s="2">
        <v>49967</v>
      </c>
      <c r="C1219" s="2">
        <v>62</v>
      </c>
      <c r="D1219" s="2">
        <v>1</v>
      </c>
      <c r="E1219" s="25">
        <f t="shared" si="17"/>
        <v>427.47746760726909</v>
      </c>
    </row>
    <row r="1220" spans="1:5" x14ac:dyDescent="0.35">
      <c r="A1220" s="2">
        <v>295</v>
      </c>
      <c r="B1220" s="2">
        <v>49678</v>
      </c>
      <c r="C1220" s="2">
        <v>59</v>
      </c>
      <c r="D1220" s="2">
        <v>1</v>
      </c>
      <c r="E1220" s="25">
        <f t="shared" si="17"/>
        <v>427.09443085036503</v>
      </c>
    </row>
    <row r="1221" spans="1:5" x14ac:dyDescent="0.35">
      <c r="A1221" s="2">
        <v>599</v>
      </c>
      <c r="B1221" s="2">
        <v>49476</v>
      </c>
      <c r="C1221" s="2">
        <v>57</v>
      </c>
      <c r="D1221" s="2">
        <v>1</v>
      </c>
      <c r="E1221" s="25">
        <f t="shared" si="17"/>
        <v>426.64877784308601</v>
      </c>
    </row>
    <row r="1222" spans="1:5" x14ac:dyDescent="0.35">
      <c r="A1222" s="2">
        <v>58</v>
      </c>
      <c r="B1222" s="2">
        <v>50616</v>
      </c>
      <c r="C1222" s="2">
        <v>70</v>
      </c>
      <c r="D1222" s="2">
        <v>1</v>
      </c>
      <c r="E1222" s="25">
        <f t="shared" si="17"/>
        <v>426.0182655015052</v>
      </c>
    </row>
    <row r="1223" spans="1:5" x14ac:dyDescent="0.35">
      <c r="A1223" s="2">
        <v>67</v>
      </c>
      <c r="B1223" s="2">
        <v>48985</v>
      </c>
      <c r="C1223" s="2">
        <v>52</v>
      </c>
      <c r="D1223" s="2">
        <v>1</v>
      </c>
      <c r="E1223" s="25">
        <f t="shared" si="17"/>
        <v>425.82008807890304</v>
      </c>
    </row>
    <row r="1224" spans="1:5" x14ac:dyDescent="0.35">
      <c r="A1224" s="3">
        <v>124</v>
      </c>
      <c r="B1224" s="3">
        <v>47850</v>
      </c>
      <c r="C1224" s="3">
        <v>40</v>
      </c>
      <c r="D1224" s="3">
        <v>1</v>
      </c>
      <c r="E1224" s="25">
        <f t="shared" si="17"/>
        <v>424.71610518230909</v>
      </c>
    </row>
    <row r="1225" spans="1:5" x14ac:dyDescent="0.35">
      <c r="A1225" s="2">
        <v>382</v>
      </c>
      <c r="B1225" s="2">
        <v>48432</v>
      </c>
      <c r="C1225" s="2">
        <v>47</v>
      </c>
      <c r="D1225" s="2">
        <v>1</v>
      </c>
      <c r="E1225" s="25">
        <f t="shared" si="17"/>
        <v>423.72729468979833</v>
      </c>
    </row>
    <row r="1226" spans="1:5" x14ac:dyDescent="0.35">
      <c r="A1226" s="3">
        <v>382</v>
      </c>
      <c r="B1226" s="3">
        <v>48432</v>
      </c>
      <c r="C1226" s="3">
        <v>47</v>
      </c>
      <c r="D1226" s="3">
        <v>1</v>
      </c>
      <c r="E1226" s="25">
        <f t="shared" si="17"/>
        <v>423.72729468979833</v>
      </c>
    </row>
    <row r="1227" spans="1:5" x14ac:dyDescent="0.35">
      <c r="A1227" s="3">
        <v>265</v>
      </c>
      <c r="B1227" s="3">
        <v>50300</v>
      </c>
      <c r="C1227" s="3">
        <v>68</v>
      </c>
      <c r="D1227" s="3">
        <v>1</v>
      </c>
      <c r="E1227" s="25">
        <f t="shared" si="17"/>
        <v>423.24829292582183</v>
      </c>
    </row>
    <row r="1228" spans="1:5" x14ac:dyDescent="0.35">
      <c r="A1228" s="2">
        <v>316</v>
      </c>
      <c r="B1228" s="2">
        <v>48752</v>
      </c>
      <c r="C1228" s="2">
        <v>51</v>
      </c>
      <c r="D1228" s="2">
        <v>1</v>
      </c>
      <c r="E1228" s="25">
        <f t="shared" si="17"/>
        <v>422.90594418026888</v>
      </c>
    </row>
    <row r="1229" spans="1:5" x14ac:dyDescent="0.35">
      <c r="A1229" s="2">
        <v>216</v>
      </c>
      <c r="B1229" s="2">
        <v>48178</v>
      </c>
      <c r="C1229" s="2">
        <v>45</v>
      </c>
      <c r="D1229" s="2">
        <v>1</v>
      </c>
      <c r="E1229" s="25">
        <f t="shared" si="17"/>
        <v>422.22142573903659</v>
      </c>
    </row>
    <row r="1230" spans="1:5" x14ac:dyDescent="0.35">
      <c r="A1230" s="2">
        <v>556</v>
      </c>
      <c r="B1230" s="2">
        <v>50002</v>
      </c>
      <c r="C1230" s="2">
        <v>66</v>
      </c>
      <c r="D1230" s="2">
        <v>1</v>
      </c>
      <c r="E1230" s="25">
        <f t="shared" si="17"/>
        <v>420.84531817672837</v>
      </c>
    </row>
    <row r="1231" spans="1:5" x14ac:dyDescent="0.35">
      <c r="A1231" s="3">
        <v>180</v>
      </c>
      <c r="B1231" s="3">
        <v>49096</v>
      </c>
      <c r="C1231" s="3">
        <v>56</v>
      </c>
      <c r="D1231" s="3">
        <v>1</v>
      </c>
      <c r="E1231" s="25">
        <f t="shared" si="17"/>
        <v>420.7374850272987</v>
      </c>
    </row>
    <row r="1232" spans="1:5" x14ac:dyDescent="0.35">
      <c r="A1232" s="3">
        <v>185</v>
      </c>
      <c r="B1232" s="3">
        <v>48186</v>
      </c>
      <c r="C1232" s="3">
        <v>46</v>
      </c>
      <c r="D1232" s="3">
        <v>1</v>
      </c>
      <c r="E1232" s="25">
        <f t="shared" si="17"/>
        <v>420.54809680529354</v>
      </c>
    </row>
    <row r="1233" spans="1:5" x14ac:dyDescent="0.35">
      <c r="A1233" s="3">
        <v>120</v>
      </c>
      <c r="B1233" s="3">
        <v>48877</v>
      </c>
      <c r="C1233" s="3">
        <v>54</v>
      </c>
      <c r="D1233" s="3">
        <v>1</v>
      </c>
      <c r="E1233" s="25">
        <f t="shared" si="17"/>
        <v>419.94522296157345</v>
      </c>
    </row>
    <row r="1234" spans="1:5" x14ac:dyDescent="0.35">
      <c r="A1234" s="2">
        <v>17</v>
      </c>
      <c r="B1234" s="2">
        <v>47691</v>
      </c>
      <c r="C1234" s="2">
        <v>41</v>
      </c>
      <c r="D1234" s="2">
        <v>1</v>
      </c>
      <c r="E1234" s="25">
        <f t="shared" si="17"/>
        <v>419.63785196853496</v>
      </c>
    </row>
    <row r="1235" spans="1:5" x14ac:dyDescent="0.35">
      <c r="A1235" s="3">
        <v>53</v>
      </c>
      <c r="B1235" s="3">
        <v>49572</v>
      </c>
      <c r="C1235" s="3">
        <v>62</v>
      </c>
      <c r="D1235" s="3">
        <v>1</v>
      </c>
      <c r="E1235" s="25">
        <f t="shared" si="17"/>
        <v>419.42390419042897</v>
      </c>
    </row>
    <row r="1236" spans="1:5" x14ac:dyDescent="0.35">
      <c r="A1236" s="3">
        <v>363</v>
      </c>
      <c r="B1236" s="3">
        <v>46923</v>
      </c>
      <c r="C1236" s="3">
        <v>33</v>
      </c>
      <c r="D1236" s="3">
        <v>1</v>
      </c>
      <c r="E1236" s="25">
        <f t="shared" si="17"/>
        <v>418.67079066517476</v>
      </c>
    </row>
    <row r="1237" spans="1:5" x14ac:dyDescent="0.35">
      <c r="A1237" s="2">
        <v>341</v>
      </c>
      <c r="B1237" s="2">
        <v>48920</v>
      </c>
      <c r="C1237" s="2">
        <v>56</v>
      </c>
      <c r="D1237" s="2">
        <v>1</v>
      </c>
      <c r="E1237" s="25">
        <f t="shared" si="17"/>
        <v>417.1490618339725</v>
      </c>
    </row>
    <row r="1238" spans="1:5" x14ac:dyDescent="0.35">
      <c r="A1238" s="3">
        <v>61</v>
      </c>
      <c r="B1238" s="3">
        <v>48918</v>
      </c>
      <c r="C1238" s="3">
        <v>57</v>
      </c>
      <c r="D1238" s="3">
        <v>1</v>
      </c>
      <c r="E1238" s="25">
        <f t="shared" si="17"/>
        <v>415.27184521879053</v>
      </c>
    </row>
    <row r="1239" spans="1:5" x14ac:dyDescent="0.35">
      <c r="A1239" s="3">
        <v>152</v>
      </c>
      <c r="B1239" s="3">
        <v>47808</v>
      </c>
      <c r="C1239" s="3">
        <v>45</v>
      </c>
      <c r="D1239" s="3">
        <v>1</v>
      </c>
      <c r="E1239" s="25">
        <f t="shared" si="17"/>
        <v>414.67758152579404</v>
      </c>
    </row>
    <row r="1240" spans="1:5" x14ac:dyDescent="0.35">
      <c r="A1240" s="2">
        <v>340</v>
      </c>
      <c r="B1240" s="2">
        <v>49154</v>
      </c>
      <c r="C1240" s="2">
        <v>60</v>
      </c>
      <c r="D1240" s="2">
        <v>1</v>
      </c>
      <c r="E1240" s="25">
        <f t="shared" si="17"/>
        <v>414.57427726406775</v>
      </c>
    </row>
    <row r="1241" spans="1:5" x14ac:dyDescent="0.35">
      <c r="A1241" s="3">
        <v>63</v>
      </c>
      <c r="B1241" s="3">
        <v>47889</v>
      </c>
      <c r="C1241" s="3">
        <v>46</v>
      </c>
      <c r="D1241" s="3">
        <v>1</v>
      </c>
      <c r="E1241" s="25">
        <f t="shared" si="17"/>
        <v>414.49263266655555</v>
      </c>
    </row>
    <row r="1242" spans="1:5" x14ac:dyDescent="0.35">
      <c r="A1242" s="2">
        <v>307</v>
      </c>
      <c r="B1242" s="2">
        <v>48799</v>
      </c>
      <c r="C1242" s="2">
        <v>57</v>
      </c>
      <c r="D1242" s="2">
        <v>1</v>
      </c>
      <c r="E1242" s="25">
        <f t="shared" si="17"/>
        <v>412.84558180966656</v>
      </c>
    </row>
    <row r="1243" spans="1:5" x14ac:dyDescent="0.35">
      <c r="A1243" s="2">
        <v>460</v>
      </c>
      <c r="B1243" s="2">
        <v>47682</v>
      </c>
      <c r="C1243" s="2">
        <v>45</v>
      </c>
      <c r="D1243" s="2">
        <v>1</v>
      </c>
      <c r="E1243" s="25">
        <f t="shared" si="17"/>
        <v>412.10859673966274</v>
      </c>
    </row>
    <row r="1244" spans="1:5" x14ac:dyDescent="0.35">
      <c r="A1244" s="3">
        <v>272</v>
      </c>
      <c r="B1244" s="3">
        <v>48721</v>
      </c>
      <c r="C1244" s="3">
        <v>57</v>
      </c>
      <c r="D1244" s="3">
        <v>1</v>
      </c>
      <c r="E1244" s="25">
        <f t="shared" si="17"/>
        <v>411.25525789444237</v>
      </c>
    </row>
    <row r="1245" spans="1:5" x14ac:dyDescent="0.35">
      <c r="A1245" s="2">
        <v>348</v>
      </c>
      <c r="B1245" s="2">
        <v>49431</v>
      </c>
      <c r="C1245" s="2">
        <v>65</v>
      </c>
      <c r="D1245" s="2">
        <v>1</v>
      </c>
      <c r="E1245" s="25">
        <f t="shared" si="17"/>
        <v>411.03977064545643</v>
      </c>
    </row>
    <row r="1246" spans="1:5" x14ac:dyDescent="0.35">
      <c r="A1246" s="2">
        <v>832</v>
      </c>
      <c r="B1246" s="2">
        <v>49912</v>
      </c>
      <c r="C1246" s="2">
        <v>71</v>
      </c>
      <c r="D1246" s="2">
        <v>1</v>
      </c>
      <c r="E1246" s="25">
        <f t="shared" si="17"/>
        <v>409.8281336493061</v>
      </c>
    </row>
    <row r="1247" spans="1:5" x14ac:dyDescent="0.35">
      <c r="A1247" s="3">
        <v>39</v>
      </c>
      <c r="B1247" s="3">
        <v>49638</v>
      </c>
      <c r="C1247" s="3">
        <v>68</v>
      </c>
      <c r="D1247" s="3">
        <v>1</v>
      </c>
      <c r="E1247" s="25">
        <f t="shared" si="17"/>
        <v>409.75092841456069</v>
      </c>
    </row>
    <row r="1248" spans="1:5" x14ac:dyDescent="0.35">
      <c r="A1248" s="3">
        <v>344</v>
      </c>
      <c r="B1248" s="3">
        <v>48904</v>
      </c>
      <c r="C1248" s="3">
        <v>60</v>
      </c>
      <c r="D1248" s="3">
        <v>1</v>
      </c>
      <c r="E1248" s="25">
        <f t="shared" si="17"/>
        <v>409.47708522809307</v>
      </c>
    </row>
    <row r="1249" spans="1:5" x14ac:dyDescent="0.35">
      <c r="A1249" s="2">
        <v>40</v>
      </c>
      <c r="B1249" s="2">
        <v>32414</v>
      </c>
      <c r="C1249" s="2">
        <v>36</v>
      </c>
      <c r="D1249" s="2">
        <v>0</v>
      </c>
      <c r="E1249" s="25">
        <f t="shared" si="17"/>
        <v>406.95446750167838</v>
      </c>
    </row>
    <row r="1250" spans="1:5" x14ac:dyDescent="0.35">
      <c r="A1250" s="3">
        <v>92</v>
      </c>
      <c r="B1250" s="3">
        <v>46107</v>
      </c>
      <c r="C1250" s="3">
        <v>31</v>
      </c>
      <c r="D1250" s="3">
        <v>1</v>
      </c>
      <c r="E1250" s="25">
        <f t="shared" si="17"/>
        <v>405.70643401754182</v>
      </c>
    </row>
    <row r="1251" spans="1:5" x14ac:dyDescent="0.35">
      <c r="A1251" s="3">
        <v>258</v>
      </c>
      <c r="B1251" s="3">
        <v>49413</v>
      </c>
      <c r="C1251" s="3">
        <v>68</v>
      </c>
      <c r="D1251" s="3">
        <v>1</v>
      </c>
      <c r="E1251" s="25">
        <f t="shared" si="17"/>
        <v>405.16345558218347</v>
      </c>
    </row>
    <row r="1252" spans="1:5" x14ac:dyDescent="0.35">
      <c r="A1252" s="2">
        <v>606</v>
      </c>
      <c r="B1252" s="2">
        <v>47025</v>
      </c>
      <c r="C1252" s="2">
        <v>42</v>
      </c>
      <c r="D1252" s="2">
        <v>1</v>
      </c>
      <c r="E1252" s="25">
        <f t="shared" si="17"/>
        <v>404.22249330580405</v>
      </c>
    </row>
    <row r="1253" spans="1:5" x14ac:dyDescent="0.35">
      <c r="A1253" s="3">
        <v>339</v>
      </c>
      <c r="B1253" s="3">
        <v>35416</v>
      </c>
      <c r="C1253" s="3">
        <v>71</v>
      </c>
      <c r="D1253" s="3">
        <v>0</v>
      </c>
      <c r="E1253" s="25">
        <f t="shared" si="17"/>
        <v>403.88618170836321</v>
      </c>
    </row>
    <row r="1254" spans="1:5" x14ac:dyDescent="0.35">
      <c r="A1254" s="3">
        <v>62</v>
      </c>
      <c r="B1254" s="3">
        <v>49389</v>
      </c>
      <c r="C1254" s="3">
        <v>69</v>
      </c>
      <c r="D1254" s="3">
        <v>1</v>
      </c>
      <c r="E1254" s="25">
        <f t="shared" si="17"/>
        <v>402.83768606783553</v>
      </c>
    </row>
    <row r="1255" spans="1:5" x14ac:dyDescent="0.35">
      <c r="A1255" s="3">
        <v>389</v>
      </c>
      <c r="B1255" s="3">
        <v>47025</v>
      </c>
      <c r="C1255" s="3">
        <v>44</v>
      </c>
      <c r="D1255" s="3">
        <v>1</v>
      </c>
      <c r="E1255" s="25">
        <f t="shared" si="17"/>
        <v>400.5496151480155</v>
      </c>
    </row>
    <row r="1256" spans="1:5" x14ac:dyDescent="0.35">
      <c r="A1256" s="2">
        <v>62</v>
      </c>
      <c r="B1256" s="2">
        <v>46931</v>
      </c>
      <c r="C1256" s="2">
        <v>43</v>
      </c>
      <c r="D1256" s="2">
        <v>1</v>
      </c>
      <c r="E1256" s="25">
        <f t="shared" si="17"/>
        <v>400.46951002138326</v>
      </c>
    </row>
    <row r="1257" spans="1:5" x14ac:dyDescent="0.35">
      <c r="A1257" s="2">
        <v>39</v>
      </c>
      <c r="B1257" s="2">
        <v>48006</v>
      </c>
      <c r="C1257" s="2">
        <v>55</v>
      </c>
      <c r="D1257" s="2">
        <v>1</v>
      </c>
      <c r="E1257" s="25">
        <f t="shared" si="17"/>
        <v>400.35016682934327</v>
      </c>
    </row>
    <row r="1258" spans="1:5" x14ac:dyDescent="0.35">
      <c r="A1258" s="2">
        <v>37</v>
      </c>
      <c r="B1258" s="2">
        <v>47821</v>
      </c>
      <c r="C1258" s="2">
        <v>53</v>
      </c>
      <c r="D1258" s="2">
        <v>1</v>
      </c>
      <c r="E1258" s="25">
        <f t="shared" si="17"/>
        <v>400.25112288051048</v>
      </c>
    </row>
    <row r="1259" spans="1:5" x14ac:dyDescent="0.35">
      <c r="A1259" s="2">
        <v>32</v>
      </c>
      <c r="B1259" s="2">
        <v>48330</v>
      </c>
      <c r="C1259" s="2">
        <v>59</v>
      </c>
      <c r="D1259" s="2">
        <v>1</v>
      </c>
      <c r="E1259" s="25">
        <f t="shared" si="17"/>
        <v>399.61037139238942</v>
      </c>
    </row>
    <row r="1260" spans="1:5" x14ac:dyDescent="0.35">
      <c r="A1260" s="2">
        <v>588</v>
      </c>
      <c r="B1260" s="2">
        <v>49090</v>
      </c>
      <c r="C1260" s="2">
        <v>69</v>
      </c>
      <c r="D1260" s="2">
        <v>1</v>
      </c>
      <c r="E1260" s="25">
        <f t="shared" si="17"/>
        <v>396.74144439280985</v>
      </c>
    </row>
    <row r="1261" spans="1:5" x14ac:dyDescent="0.35">
      <c r="A1261" s="2">
        <v>183</v>
      </c>
      <c r="B1261" s="2">
        <v>48726</v>
      </c>
      <c r="C1261" s="2">
        <v>65</v>
      </c>
      <c r="D1261" s="2">
        <v>1</v>
      </c>
      <c r="E1261" s="25">
        <f t="shared" si="17"/>
        <v>396.6656891040077</v>
      </c>
    </row>
    <row r="1262" spans="1:5" x14ac:dyDescent="0.35">
      <c r="A1262" s="2">
        <v>221</v>
      </c>
      <c r="B1262" s="2">
        <v>49160</v>
      </c>
      <c r="C1262" s="2">
        <v>71</v>
      </c>
      <c r="D1262" s="2">
        <v>1</v>
      </c>
      <c r="E1262" s="25">
        <f t="shared" ref="E1262:E1325" si="18">$B$101+$B1262*$B$102+$C1262*$B$103+$D1262*$B$104</f>
        <v>394.49578000509416</v>
      </c>
    </row>
    <row r="1263" spans="1:5" x14ac:dyDescent="0.35">
      <c r="A1263" s="3">
        <v>39</v>
      </c>
      <c r="B1263" s="3">
        <v>48794</v>
      </c>
      <c r="C1263" s="3">
        <v>67</v>
      </c>
      <c r="D1263" s="3">
        <v>1</v>
      </c>
      <c r="E1263" s="25">
        <f t="shared" si="18"/>
        <v>394.37924718000431</v>
      </c>
    </row>
    <row r="1264" spans="1:5" x14ac:dyDescent="0.35">
      <c r="A1264" s="3">
        <v>991</v>
      </c>
      <c r="B1264" s="3">
        <v>46772</v>
      </c>
      <c r="C1264" s="3">
        <v>45</v>
      </c>
      <c r="D1264" s="3">
        <v>1</v>
      </c>
      <c r="E1264" s="25">
        <f t="shared" si="18"/>
        <v>393.55481772871474</v>
      </c>
    </row>
    <row r="1265" spans="1:5" x14ac:dyDescent="0.35">
      <c r="A1265" s="2">
        <v>1051</v>
      </c>
      <c r="B1265" s="2">
        <v>47111</v>
      </c>
      <c r="C1265" s="2">
        <v>49</v>
      </c>
      <c r="D1265" s="2">
        <v>1</v>
      </c>
      <c r="E1265" s="25">
        <f t="shared" si="18"/>
        <v>393.12085381391944</v>
      </c>
    </row>
    <row r="1266" spans="1:5" x14ac:dyDescent="0.35">
      <c r="A1266" s="2">
        <v>19</v>
      </c>
      <c r="B1266" s="2">
        <v>48686</v>
      </c>
      <c r="C1266" s="2">
        <v>67</v>
      </c>
      <c r="D1266" s="2">
        <v>1</v>
      </c>
      <c r="E1266" s="25">
        <f t="shared" si="18"/>
        <v>392.17726022046315</v>
      </c>
    </row>
    <row r="1267" spans="1:5" x14ac:dyDescent="0.35">
      <c r="A1267" s="2">
        <v>184</v>
      </c>
      <c r="B1267" s="2">
        <v>46854</v>
      </c>
      <c r="C1267" s="2">
        <v>47</v>
      </c>
      <c r="D1267" s="2">
        <v>1</v>
      </c>
      <c r="E1267" s="25">
        <f t="shared" si="18"/>
        <v>391.55381855872588</v>
      </c>
    </row>
    <row r="1268" spans="1:5" x14ac:dyDescent="0.35">
      <c r="A1268" s="2">
        <v>16</v>
      </c>
      <c r="B1268" s="2">
        <v>33279</v>
      </c>
      <c r="C1268" s="2">
        <v>54</v>
      </c>
      <c r="D1268" s="2">
        <v>0</v>
      </c>
      <c r="E1268" s="25">
        <f t="shared" si="18"/>
        <v>391.53484852605391</v>
      </c>
    </row>
    <row r="1269" spans="1:5" x14ac:dyDescent="0.35">
      <c r="A1269" s="2">
        <v>67</v>
      </c>
      <c r="B1269" s="2">
        <v>47472</v>
      </c>
      <c r="C1269" s="2">
        <v>54</v>
      </c>
      <c r="D1269" s="2">
        <v>1</v>
      </c>
      <c r="E1269" s="25">
        <f t="shared" si="18"/>
        <v>391.2990037193955</v>
      </c>
    </row>
    <row r="1270" spans="1:5" x14ac:dyDescent="0.35">
      <c r="A1270" s="2">
        <v>90</v>
      </c>
      <c r="B1270" s="2">
        <v>46377</v>
      </c>
      <c r="C1270" s="2">
        <v>42</v>
      </c>
      <c r="D1270" s="2">
        <v>1</v>
      </c>
      <c r="E1270" s="25">
        <f t="shared" si="18"/>
        <v>391.01057154855755</v>
      </c>
    </row>
    <row r="1271" spans="1:5" x14ac:dyDescent="0.35">
      <c r="A1271" s="3">
        <v>531</v>
      </c>
      <c r="B1271" s="3">
        <v>47916</v>
      </c>
      <c r="C1271" s="3">
        <v>60</v>
      </c>
      <c r="D1271" s="3">
        <v>1</v>
      </c>
      <c r="E1271" s="25">
        <f t="shared" si="18"/>
        <v>389.33298230192099</v>
      </c>
    </row>
    <row r="1272" spans="1:5" x14ac:dyDescent="0.35">
      <c r="A1272" s="2">
        <v>53</v>
      </c>
      <c r="B1272" s="2">
        <v>48767</v>
      </c>
      <c r="C1272" s="2">
        <v>70</v>
      </c>
      <c r="D1272" s="2">
        <v>1</v>
      </c>
      <c r="E1272" s="25">
        <f t="shared" si="18"/>
        <v>388.31943320343623</v>
      </c>
    </row>
    <row r="1273" spans="1:5" x14ac:dyDescent="0.35">
      <c r="A1273" s="2">
        <v>260</v>
      </c>
      <c r="B1273" s="2">
        <v>48195</v>
      </c>
      <c r="C1273" s="2">
        <v>64</v>
      </c>
      <c r="D1273" s="2">
        <v>1</v>
      </c>
      <c r="E1273" s="25">
        <f t="shared" si="18"/>
        <v>387.67569229849164</v>
      </c>
    </row>
    <row r="1274" spans="1:5" x14ac:dyDescent="0.35">
      <c r="A1274" s="3">
        <v>62</v>
      </c>
      <c r="B1274" s="3">
        <v>47823</v>
      </c>
      <c r="C1274" s="3">
        <v>60</v>
      </c>
      <c r="D1274" s="3">
        <v>1</v>
      </c>
      <c r="E1274" s="25">
        <f t="shared" si="18"/>
        <v>387.43682686453838</v>
      </c>
    </row>
    <row r="1275" spans="1:5" x14ac:dyDescent="0.35">
      <c r="A1275" s="3">
        <v>39</v>
      </c>
      <c r="B1275" s="3">
        <v>48699</v>
      </c>
      <c r="C1275" s="3">
        <v>70</v>
      </c>
      <c r="D1275" s="3">
        <v>1</v>
      </c>
      <c r="E1275" s="25">
        <f t="shared" si="18"/>
        <v>386.93299696965107</v>
      </c>
    </row>
    <row r="1276" spans="1:5" x14ac:dyDescent="0.35">
      <c r="A1276" s="3">
        <v>295</v>
      </c>
      <c r="B1276" s="3">
        <v>46310</v>
      </c>
      <c r="C1276" s="3">
        <v>44</v>
      </c>
      <c r="D1276" s="3">
        <v>1</v>
      </c>
      <c r="E1276" s="25">
        <f t="shared" si="18"/>
        <v>385.97164592512775</v>
      </c>
    </row>
    <row r="1277" spans="1:5" x14ac:dyDescent="0.35">
      <c r="A1277" s="3">
        <v>96</v>
      </c>
      <c r="B1277" s="3">
        <v>45204</v>
      </c>
      <c r="C1277" s="3">
        <v>32</v>
      </c>
      <c r="D1277" s="3">
        <v>1</v>
      </c>
      <c r="E1277" s="25">
        <f t="shared" si="18"/>
        <v>385.45893730470686</v>
      </c>
    </row>
    <row r="1278" spans="1:5" x14ac:dyDescent="0.35">
      <c r="A1278" s="2">
        <v>38</v>
      </c>
      <c r="B1278" s="2">
        <v>45889</v>
      </c>
      <c r="C1278" s="2">
        <v>40</v>
      </c>
      <c r="D1278" s="2">
        <v>1</v>
      </c>
      <c r="E1278" s="25">
        <f t="shared" si="18"/>
        <v>384.73373085212347</v>
      </c>
    </row>
    <row r="1279" spans="1:5" x14ac:dyDescent="0.35">
      <c r="A1279" s="3">
        <v>44</v>
      </c>
      <c r="B1279" s="3">
        <v>46831</v>
      </c>
      <c r="C1279" s="3">
        <v>51</v>
      </c>
      <c r="D1279" s="3">
        <v>1</v>
      </c>
      <c r="E1279" s="25">
        <f t="shared" si="18"/>
        <v>383.73912057583914</v>
      </c>
    </row>
    <row r="1280" spans="1:5" x14ac:dyDescent="0.35">
      <c r="A1280" s="3">
        <v>429</v>
      </c>
      <c r="B1280" s="3">
        <v>46374</v>
      </c>
      <c r="C1280" s="3">
        <v>46</v>
      </c>
      <c r="D1280" s="3">
        <v>1</v>
      </c>
      <c r="E1280" s="25">
        <f t="shared" si="18"/>
        <v>383.60364892854875</v>
      </c>
    </row>
    <row r="1281" spans="1:5" x14ac:dyDescent="0.35">
      <c r="A1281" s="3">
        <v>40</v>
      </c>
      <c r="B1281" s="3">
        <v>46106</v>
      </c>
      <c r="C1281" s="3">
        <v>44</v>
      </c>
      <c r="D1281" s="3">
        <v>1</v>
      </c>
      <c r="E1281" s="25">
        <f t="shared" si="18"/>
        <v>381.81233722377237</v>
      </c>
    </row>
    <row r="1282" spans="1:5" x14ac:dyDescent="0.35">
      <c r="A1282" s="2">
        <v>222</v>
      </c>
      <c r="B1282" s="2">
        <v>46904</v>
      </c>
      <c r="C1282" s="2">
        <v>53</v>
      </c>
      <c r="D1282" s="2">
        <v>1</v>
      </c>
      <c r="E1282" s="25">
        <f t="shared" si="18"/>
        <v>381.55462249255527</v>
      </c>
    </row>
    <row r="1283" spans="1:5" x14ac:dyDescent="0.35">
      <c r="A1283" s="2">
        <v>84</v>
      </c>
      <c r="B1283" s="2">
        <v>46423</v>
      </c>
      <c r="C1283" s="2">
        <v>48</v>
      </c>
      <c r="D1283" s="2">
        <v>1</v>
      </c>
      <c r="E1283" s="25">
        <f t="shared" si="18"/>
        <v>380.92982040981121</v>
      </c>
    </row>
    <row r="1284" spans="1:5" x14ac:dyDescent="0.35">
      <c r="A1284" s="2">
        <v>335</v>
      </c>
      <c r="B1284" s="2">
        <v>46149</v>
      </c>
      <c r="C1284" s="2">
        <v>45</v>
      </c>
      <c r="D1284" s="2">
        <v>1</v>
      </c>
      <c r="E1284" s="25">
        <f t="shared" si="18"/>
        <v>380.85261517506581</v>
      </c>
    </row>
    <row r="1285" spans="1:5" x14ac:dyDescent="0.35">
      <c r="A1285" s="3">
        <v>496</v>
      </c>
      <c r="B1285" s="3">
        <v>46049</v>
      </c>
      <c r="C1285" s="3">
        <v>44</v>
      </c>
      <c r="D1285" s="3">
        <v>1</v>
      </c>
      <c r="E1285" s="25">
        <f t="shared" si="18"/>
        <v>380.65017743957014</v>
      </c>
    </row>
    <row r="1286" spans="1:5" x14ac:dyDescent="0.35">
      <c r="A1286" s="2">
        <v>19</v>
      </c>
      <c r="B1286" s="2">
        <v>47025</v>
      </c>
      <c r="C1286" s="2">
        <v>55</v>
      </c>
      <c r="D1286" s="2">
        <v>1</v>
      </c>
      <c r="E1286" s="25">
        <f t="shared" si="18"/>
        <v>380.3487852801785</v>
      </c>
    </row>
    <row r="1287" spans="1:5" x14ac:dyDescent="0.35">
      <c r="A1287" s="2">
        <v>255</v>
      </c>
      <c r="B1287" s="2">
        <v>47743</v>
      </c>
      <c r="C1287" s="2">
        <v>63</v>
      </c>
      <c r="D1287" s="2">
        <v>1</v>
      </c>
      <c r="E1287" s="25">
        <f t="shared" si="18"/>
        <v>380.29640817634368</v>
      </c>
    </row>
    <row r="1288" spans="1:5" x14ac:dyDescent="0.35">
      <c r="A1288" s="2">
        <v>358</v>
      </c>
      <c r="B1288" s="2">
        <v>47009</v>
      </c>
      <c r="C1288" s="2">
        <v>55</v>
      </c>
      <c r="D1288" s="2">
        <v>1</v>
      </c>
      <c r="E1288" s="25">
        <f t="shared" si="18"/>
        <v>380.02256498987606</v>
      </c>
    </row>
    <row r="1289" spans="1:5" x14ac:dyDescent="0.35">
      <c r="A1289" s="2">
        <v>224</v>
      </c>
      <c r="B1289" s="2">
        <v>46463</v>
      </c>
      <c r="C1289" s="2">
        <v>49</v>
      </c>
      <c r="D1289" s="2">
        <v>1</v>
      </c>
      <c r="E1289" s="25">
        <f t="shared" si="18"/>
        <v>379.90893205667294</v>
      </c>
    </row>
    <row r="1290" spans="1:5" x14ac:dyDescent="0.35">
      <c r="A1290" s="3">
        <v>84</v>
      </c>
      <c r="B1290" s="3">
        <v>46098</v>
      </c>
      <c r="C1290" s="3">
        <v>45</v>
      </c>
      <c r="D1290" s="3">
        <v>1</v>
      </c>
      <c r="E1290" s="25">
        <f t="shared" si="18"/>
        <v>379.81278799972688</v>
      </c>
    </row>
    <row r="1291" spans="1:5" x14ac:dyDescent="0.35">
      <c r="A1291" s="2">
        <v>84</v>
      </c>
      <c r="B1291" s="2">
        <v>46098</v>
      </c>
      <c r="C1291" s="2">
        <v>45</v>
      </c>
      <c r="D1291" s="2">
        <v>1</v>
      </c>
      <c r="E1291" s="25">
        <f t="shared" si="18"/>
        <v>379.81278799972688</v>
      </c>
    </row>
    <row r="1292" spans="1:5" x14ac:dyDescent="0.35">
      <c r="A1292" s="3">
        <v>338</v>
      </c>
      <c r="B1292" s="3">
        <v>46344</v>
      </c>
      <c r="C1292" s="3">
        <v>48</v>
      </c>
      <c r="D1292" s="3">
        <v>1</v>
      </c>
      <c r="E1292" s="25">
        <f t="shared" si="18"/>
        <v>379.31910772644324</v>
      </c>
    </row>
    <row r="1293" spans="1:5" x14ac:dyDescent="0.35">
      <c r="A1293" s="2">
        <v>459</v>
      </c>
      <c r="B1293" s="2">
        <v>32727</v>
      </c>
      <c r="C1293" s="2">
        <v>55</v>
      </c>
      <c r="D1293" s="2">
        <v>0</v>
      </c>
      <c r="E1293" s="25">
        <f t="shared" si="18"/>
        <v>378.44380943172746</v>
      </c>
    </row>
    <row r="1294" spans="1:5" x14ac:dyDescent="0.35">
      <c r="A1294" s="3">
        <v>221</v>
      </c>
      <c r="B1294" s="3">
        <v>47175</v>
      </c>
      <c r="C1294" s="3">
        <v>58</v>
      </c>
      <c r="D1294" s="3">
        <v>1</v>
      </c>
      <c r="E1294" s="25">
        <f t="shared" si="18"/>
        <v>377.89778326508042</v>
      </c>
    </row>
    <row r="1295" spans="1:5" x14ac:dyDescent="0.35">
      <c r="A1295" s="3">
        <v>221</v>
      </c>
      <c r="B1295" s="3">
        <v>47353</v>
      </c>
      <c r="C1295" s="3">
        <v>60</v>
      </c>
      <c r="D1295" s="3">
        <v>1</v>
      </c>
      <c r="E1295" s="25">
        <f t="shared" si="18"/>
        <v>377.85410583690589</v>
      </c>
    </row>
    <row r="1296" spans="1:5" x14ac:dyDescent="0.35">
      <c r="A1296" s="2">
        <v>122</v>
      </c>
      <c r="B1296" s="2">
        <v>46891</v>
      </c>
      <c r="C1296" s="2">
        <v>55</v>
      </c>
      <c r="D1296" s="2">
        <v>1</v>
      </c>
      <c r="E1296" s="25">
        <f t="shared" si="18"/>
        <v>377.61669034889599</v>
      </c>
    </row>
    <row r="1297" spans="1:5" x14ac:dyDescent="0.35">
      <c r="A1297" s="2">
        <v>497</v>
      </c>
      <c r="B1297" s="2">
        <v>46014</v>
      </c>
      <c r="C1297" s="2">
        <v>46</v>
      </c>
      <c r="D1297" s="2">
        <v>1</v>
      </c>
      <c r="E1297" s="25">
        <f t="shared" si="18"/>
        <v>376.26369239674511</v>
      </c>
    </row>
    <row r="1298" spans="1:5" x14ac:dyDescent="0.35">
      <c r="A1298" s="2">
        <v>147</v>
      </c>
      <c r="B1298" s="2">
        <v>46734</v>
      </c>
      <c r="C1298" s="2">
        <v>54</v>
      </c>
      <c r="D1298" s="2">
        <v>1</v>
      </c>
      <c r="E1298" s="25">
        <f t="shared" si="18"/>
        <v>376.2520928291982</v>
      </c>
    </row>
    <row r="1299" spans="1:5" x14ac:dyDescent="0.35">
      <c r="A1299" s="3">
        <v>62</v>
      </c>
      <c r="B1299" s="3">
        <v>46910</v>
      </c>
      <c r="C1299" s="3">
        <v>56</v>
      </c>
      <c r="D1299" s="3">
        <v>1</v>
      </c>
      <c r="E1299" s="25">
        <f t="shared" si="18"/>
        <v>376.16763786473575</v>
      </c>
    </row>
    <row r="1300" spans="1:5" x14ac:dyDescent="0.35">
      <c r="A1300" s="3">
        <v>39</v>
      </c>
      <c r="B1300" s="3">
        <v>46094</v>
      </c>
      <c r="C1300" s="3">
        <v>47</v>
      </c>
      <c r="D1300" s="3">
        <v>1</v>
      </c>
      <c r="E1300" s="25">
        <f t="shared" si="18"/>
        <v>376.05835476936272</v>
      </c>
    </row>
    <row r="1301" spans="1:5" x14ac:dyDescent="0.35">
      <c r="A1301" s="2">
        <v>385</v>
      </c>
      <c r="B1301" s="2">
        <v>47958</v>
      </c>
      <c r="C1301" s="2">
        <v>68</v>
      </c>
      <c r="D1301" s="2">
        <v>1</v>
      </c>
      <c r="E1301" s="25">
        <f t="shared" si="18"/>
        <v>375.4977979328105</v>
      </c>
    </row>
    <row r="1302" spans="1:5" x14ac:dyDescent="0.35">
      <c r="A1302" s="3">
        <v>375</v>
      </c>
      <c r="B1302" s="3">
        <v>31907</v>
      </c>
      <c r="C1302" s="3">
        <v>48</v>
      </c>
      <c r="D1302" s="3">
        <v>0</v>
      </c>
      <c r="E1302" s="25">
        <f t="shared" si="18"/>
        <v>374.58009310599039</v>
      </c>
    </row>
    <row r="1303" spans="1:5" x14ac:dyDescent="0.35">
      <c r="A1303" s="2">
        <v>123</v>
      </c>
      <c r="B1303" s="2">
        <v>45203</v>
      </c>
      <c r="C1303" s="2">
        <v>38</v>
      </c>
      <c r="D1303" s="2">
        <v>1</v>
      </c>
      <c r="E1303" s="25">
        <f t="shared" si="18"/>
        <v>374.41991406319733</v>
      </c>
    </row>
    <row r="1304" spans="1:5" x14ac:dyDescent="0.35">
      <c r="A1304" s="2">
        <v>485</v>
      </c>
      <c r="B1304" s="2">
        <v>48070</v>
      </c>
      <c r="C1304" s="2">
        <v>70</v>
      </c>
      <c r="D1304" s="2">
        <v>1</v>
      </c>
      <c r="E1304" s="25">
        <f t="shared" si="18"/>
        <v>374.10846180713872</v>
      </c>
    </row>
    <row r="1305" spans="1:5" x14ac:dyDescent="0.35">
      <c r="A1305" s="3">
        <v>616</v>
      </c>
      <c r="B1305" s="3">
        <v>33051</v>
      </c>
      <c r="C1305" s="3">
        <v>61</v>
      </c>
      <c r="D1305" s="3">
        <v>0</v>
      </c>
      <c r="E1305" s="25">
        <f t="shared" si="18"/>
        <v>374.03113583698507</v>
      </c>
    </row>
    <row r="1306" spans="1:5" x14ac:dyDescent="0.35">
      <c r="A1306" s="3">
        <v>219</v>
      </c>
      <c r="B1306" s="3">
        <v>48150</v>
      </c>
      <c r="C1306" s="3">
        <v>71</v>
      </c>
      <c r="D1306" s="3">
        <v>1</v>
      </c>
      <c r="E1306" s="25">
        <f t="shared" si="18"/>
        <v>373.90312417975633</v>
      </c>
    </row>
    <row r="1307" spans="1:5" x14ac:dyDescent="0.35">
      <c r="A1307" s="3">
        <v>38</v>
      </c>
      <c r="B1307" s="3">
        <v>45894</v>
      </c>
      <c r="C1307" s="3">
        <v>46</v>
      </c>
      <c r="D1307" s="3">
        <v>1</v>
      </c>
      <c r="E1307" s="25">
        <f t="shared" si="18"/>
        <v>373.81704021947724</v>
      </c>
    </row>
    <row r="1308" spans="1:5" x14ac:dyDescent="0.35">
      <c r="A1308" s="3">
        <v>184</v>
      </c>
      <c r="B1308" s="3">
        <v>46053</v>
      </c>
      <c r="C1308" s="3">
        <v>48</v>
      </c>
      <c r="D1308" s="3">
        <v>1</v>
      </c>
      <c r="E1308" s="25">
        <f t="shared" si="18"/>
        <v>373.38597619656866</v>
      </c>
    </row>
    <row r="1309" spans="1:5" x14ac:dyDescent="0.35">
      <c r="A1309" s="2">
        <v>523</v>
      </c>
      <c r="B1309" s="2">
        <v>32632</v>
      </c>
      <c r="C1309" s="2">
        <v>57</v>
      </c>
      <c r="D1309" s="2">
        <v>0</v>
      </c>
      <c r="E1309" s="25">
        <f t="shared" si="18"/>
        <v>372.8339983002686</v>
      </c>
    </row>
    <row r="1310" spans="1:5" x14ac:dyDescent="0.35">
      <c r="A1310" s="2">
        <v>349</v>
      </c>
      <c r="B1310" s="2">
        <v>45837</v>
      </c>
      <c r="C1310" s="2">
        <v>46</v>
      </c>
      <c r="D1310" s="2">
        <v>1</v>
      </c>
      <c r="E1310" s="25">
        <f t="shared" si="18"/>
        <v>372.654880435275</v>
      </c>
    </row>
    <row r="1311" spans="1:5" x14ac:dyDescent="0.35">
      <c r="A1311" s="3">
        <v>532</v>
      </c>
      <c r="B1311" s="3">
        <v>47703</v>
      </c>
      <c r="C1311" s="3">
        <v>67</v>
      </c>
      <c r="D1311" s="3">
        <v>1</v>
      </c>
      <c r="E1311" s="25">
        <f t="shared" si="18"/>
        <v>372.13510113501059</v>
      </c>
    </row>
    <row r="1312" spans="1:5" x14ac:dyDescent="0.35">
      <c r="A1312" s="2">
        <v>395</v>
      </c>
      <c r="B1312" s="2">
        <v>47320</v>
      </c>
      <c r="C1312" s="2">
        <v>63</v>
      </c>
      <c r="D1312" s="2">
        <v>1</v>
      </c>
      <c r="E1312" s="25">
        <f t="shared" si="18"/>
        <v>371.67195925147439</v>
      </c>
    </row>
    <row r="1313" spans="1:5" x14ac:dyDescent="0.35">
      <c r="A1313" s="3">
        <v>1021</v>
      </c>
      <c r="B1313" s="3">
        <v>46757</v>
      </c>
      <c r="C1313" s="3">
        <v>57</v>
      </c>
      <c r="D1313" s="3">
        <v>1</v>
      </c>
      <c r="E1313" s="25">
        <f t="shared" si="18"/>
        <v>371.21171725982504</v>
      </c>
    </row>
    <row r="1314" spans="1:5" x14ac:dyDescent="0.35">
      <c r="A1314" s="3">
        <v>60</v>
      </c>
      <c r="B1314" s="3">
        <v>30390</v>
      </c>
      <c r="C1314" s="3">
        <v>33</v>
      </c>
      <c r="D1314" s="3">
        <v>0</v>
      </c>
      <c r="E1314" s="25">
        <f t="shared" si="18"/>
        <v>371.19691801510993</v>
      </c>
    </row>
    <row r="1315" spans="1:5" x14ac:dyDescent="0.35">
      <c r="A1315" s="3">
        <v>53</v>
      </c>
      <c r="B1315" s="3">
        <v>30093</v>
      </c>
      <c r="C1315" s="3">
        <v>30</v>
      </c>
      <c r="D1315" s="3">
        <v>0</v>
      </c>
      <c r="E1315" s="25">
        <f t="shared" si="18"/>
        <v>370.65077111305476</v>
      </c>
    </row>
    <row r="1316" spans="1:5" x14ac:dyDescent="0.35">
      <c r="A1316" s="3">
        <v>152</v>
      </c>
      <c r="B1316" s="3">
        <v>45503</v>
      </c>
      <c r="C1316" s="3">
        <v>45</v>
      </c>
      <c r="D1316" s="3">
        <v>1</v>
      </c>
      <c r="E1316" s="25">
        <f t="shared" si="18"/>
        <v>367.68147095410711</v>
      </c>
    </row>
    <row r="1317" spans="1:5" x14ac:dyDescent="0.35">
      <c r="A1317" s="3">
        <v>63</v>
      </c>
      <c r="B1317" s="3">
        <v>31632</v>
      </c>
      <c r="C1317" s="3">
        <v>49</v>
      </c>
      <c r="D1317" s="3">
        <v>0</v>
      </c>
      <c r="E1317" s="25">
        <f t="shared" si="18"/>
        <v>367.13674278752387</v>
      </c>
    </row>
    <row r="1318" spans="1:5" x14ac:dyDescent="0.35">
      <c r="A1318" s="2">
        <v>16</v>
      </c>
      <c r="B1318" s="2">
        <v>46779</v>
      </c>
      <c r="C1318" s="2">
        <v>60</v>
      </c>
      <c r="D1318" s="2">
        <v>1</v>
      </c>
      <c r="E1318" s="25">
        <f t="shared" si="18"/>
        <v>366.15095292230797</v>
      </c>
    </row>
    <row r="1319" spans="1:5" x14ac:dyDescent="0.35">
      <c r="A1319" s="2">
        <v>47</v>
      </c>
      <c r="B1319" s="2">
        <v>45057</v>
      </c>
      <c r="C1319" s="2">
        <v>41</v>
      </c>
      <c r="D1319" s="2">
        <v>1</v>
      </c>
      <c r="E1319" s="25">
        <f t="shared" si="18"/>
        <v>365.93383667750527</v>
      </c>
    </row>
    <row r="1320" spans="1:5" x14ac:dyDescent="0.35">
      <c r="A1320" s="2">
        <v>39</v>
      </c>
      <c r="B1320" s="2">
        <v>44964</v>
      </c>
      <c r="C1320" s="2">
        <v>40</v>
      </c>
      <c r="D1320" s="2">
        <v>1</v>
      </c>
      <c r="E1320" s="25">
        <f t="shared" si="18"/>
        <v>365.87412031901692</v>
      </c>
    </row>
    <row r="1321" spans="1:5" x14ac:dyDescent="0.35">
      <c r="A1321" s="2">
        <v>28</v>
      </c>
      <c r="B1321" s="2">
        <v>30298</v>
      </c>
      <c r="C1321" s="2">
        <v>35</v>
      </c>
      <c r="D1321" s="2">
        <v>0</v>
      </c>
      <c r="E1321" s="25">
        <f t="shared" si="18"/>
        <v>365.64827318808267</v>
      </c>
    </row>
    <row r="1322" spans="1:5" x14ac:dyDescent="0.35">
      <c r="A1322" s="3">
        <v>21</v>
      </c>
      <c r="B1322" s="3">
        <v>45684</v>
      </c>
      <c r="C1322" s="3">
        <v>49</v>
      </c>
      <c r="D1322" s="3">
        <v>1</v>
      </c>
      <c r="E1322" s="25">
        <f t="shared" si="18"/>
        <v>364.02608167257574</v>
      </c>
    </row>
    <row r="1323" spans="1:5" x14ac:dyDescent="0.35">
      <c r="A1323" s="2">
        <v>350</v>
      </c>
      <c r="B1323" s="2">
        <v>46998</v>
      </c>
      <c r="C1323" s="2">
        <v>64</v>
      </c>
      <c r="D1323" s="2">
        <v>1</v>
      </c>
      <c r="E1323" s="25">
        <f t="shared" si="18"/>
        <v>363.27033683024467</v>
      </c>
    </row>
    <row r="1324" spans="1:5" x14ac:dyDescent="0.35">
      <c r="A1324" s="3">
        <v>33</v>
      </c>
      <c r="B1324" s="3">
        <v>46984</v>
      </c>
      <c r="C1324" s="3">
        <v>64</v>
      </c>
      <c r="D1324" s="3">
        <v>1</v>
      </c>
      <c r="E1324" s="25">
        <f t="shared" si="18"/>
        <v>362.98489407623015</v>
      </c>
    </row>
    <row r="1325" spans="1:5" x14ac:dyDescent="0.35">
      <c r="A1325" s="2">
        <v>125</v>
      </c>
      <c r="B1325" s="2">
        <v>46524</v>
      </c>
      <c r="C1325" s="2">
        <v>59</v>
      </c>
      <c r="D1325" s="2">
        <v>1</v>
      </c>
      <c r="E1325" s="25">
        <f t="shared" si="18"/>
        <v>362.78825612450805</v>
      </c>
    </row>
    <row r="1326" spans="1:5" x14ac:dyDescent="0.35">
      <c r="A1326" s="3">
        <v>90</v>
      </c>
      <c r="B1326" s="3">
        <v>47570</v>
      </c>
      <c r="C1326" s="3">
        <v>71</v>
      </c>
      <c r="D1326" s="3">
        <v>1</v>
      </c>
      <c r="E1326" s="25">
        <f t="shared" ref="E1326:E1389" si="19">$B$101+$B1326*$B$102+$C1326*$B$103+$D1326*$B$104</f>
        <v>362.07763865629499</v>
      </c>
    </row>
    <row r="1327" spans="1:5" x14ac:dyDescent="0.35">
      <c r="A1327" s="2">
        <v>89</v>
      </c>
      <c r="B1327" s="2">
        <v>44322</v>
      </c>
      <c r="C1327" s="2">
        <v>35</v>
      </c>
      <c r="D1327" s="2">
        <v>1</v>
      </c>
      <c r="E1327" s="25">
        <f t="shared" si="19"/>
        <v>361.9667265651052</v>
      </c>
    </row>
    <row r="1328" spans="1:5" x14ac:dyDescent="0.35">
      <c r="A1328" s="3">
        <v>304</v>
      </c>
      <c r="B1328" s="3">
        <v>47352</v>
      </c>
      <c r="C1328" s="3">
        <v>69</v>
      </c>
      <c r="D1328" s="3">
        <v>1</v>
      </c>
      <c r="E1328" s="25">
        <f t="shared" si="19"/>
        <v>361.30576535871353</v>
      </c>
    </row>
    <row r="1329" spans="1:5" x14ac:dyDescent="0.35">
      <c r="A1329" s="3">
        <v>309</v>
      </c>
      <c r="B1329" s="3">
        <v>46692</v>
      </c>
      <c r="C1329" s="3">
        <v>62</v>
      </c>
      <c r="D1329" s="3">
        <v>1</v>
      </c>
      <c r="E1329" s="25">
        <f t="shared" si="19"/>
        <v>360.70425193600022</v>
      </c>
    </row>
    <row r="1330" spans="1:5" x14ac:dyDescent="0.35">
      <c r="A1330" s="3">
        <v>213</v>
      </c>
      <c r="B1330" s="3">
        <v>45207</v>
      </c>
      <c r="C1330" s="3">
        <v>46</v>
      </c>
      <c r="D1330" s="3">
        <v>1</v>
      </c>
      <c r="E1330" s="25">
        <f t="shared" si="19"/>
        <v>359.80995650461875</v>
      </c>
    </row>
    <row r="1331" spans="1:5" x14ac:dyDescent="0.35">
      <c r="A1331" s="3">
        <v>63</v>
      </c>
      <c r="B1331" s="3">
        <v>45903</v>
      </c>
      <c r="C1331" s="3">
        <v>54</v>
      </c>
      <c r="D1331" s="3">
        <v>1</v>
      </c>
      <c r="E1331" s="25">
        <f t="shared" si="19"/>
        <v>359.30902650161818</v>
      </c>
    </row>
    <row r="1332" spans="1:5" x14ac:dyDescent="0.35">
      <c r="A1332" s="2">
        <v>63</v>
      </c>
      <c r="B1332" s="2">
        <v>32218</v>
      </c>
      <c r="C1332" s="2">
        <v>60</v>
      </c>
      <c r="D1332" s="2">
        <v>0</v>
      </c>
      <c r="E1332" s="25">
        <f t="shared" si="19"/>
        <v>358.88373105201163</v>
      </c>
    </row>
    <row r="1333" spans="1:5" x14ac:dyDescent="0.35">
      <c r="A1333" s="2">
        <v>60</v>
      </c>
      <c r="B1333" s="2">
        <v>47139</v>
      </c>
      <c r="C1333" s="2">
        <v>68</v>
      </c>
      <c r="D1333" s="2">
        <v>1</v>
      </c>
      <c r="E1333" s="25">
        <f t="shared" si="19"/>
        <v>358.79939682295742</v>
      </c>
    </row>
    <row r="1334" spans="1:5" x14ac:dyDescent="0.35">
      <c r="A1334" s="2">
        <v>297</v>
      </c>
      <c r="B1334" s="2">
        <v>45688</v>
      </c>
      <c r="C1334" s="2">
        <v>52</v>
      </c>
      <c r="D1334" s="2">
        <v>1</v>
      </c>
      <c r="E1334" s="25">
        <f t="shared" si="19"/>
        <v>358.59831950846842</v>
      </c>
    </row>
    <row r="1335" spans="1:5" x14ac:dyDescent="0.35">
      <c r="A1335" s="2">
        <v>310</v>
      </c>
      <c r="B1335" s="2">
        <v>45989</v>
      </c>
      <c r="C1335" s="2">
        <v>56</v>
      </c>
      <c r="D1335" s="2">
        <v>1</v>
      </c>
      <c r="E1335" s="25">
        <f t="shared" si="19"/>
        <v>357.38958240420493</v>
      </c>
    </row>
    <row r="1336" spans="1:5" x14ac:dyDescent="0.35">
      <c r="A1336" s="3">
        <v>17</v>
      </c>
      <c r="B1336" s="3">
        <v>45068</v>
      </c>
      <c r="C1336" s="3">
        <v>46</v>
      </c>
      <c r="D1336" s="3">
        <v>1</v>
      </c>
      <c r="E1336" s="25">
        <f t="shared" si="19"/>
        <v>356.97591773261684</v>
      </c>
    </row>
    <row r="1337" spans="1:5" x14ac:dyDescent="0.35">
      <c r="A1337" s="3">
        <v>15</v>
      </c>
      <c r="B1337" s="3">
        <v>46102</v>
      </c>
      <c r="C1337" s="3">
        <v>58</v>
      </c>
      <c r="D1337" s="3">
        <v>1</v>
      </c>
      <c r="E1337" s="25">
        <f t="shared" si="19"/>
        <v>356.02063504667694</v>
      </c>
    </row>
    <row r="1338" spans="1:5" x14ac:dyDescent="0.35">
      <c r="A1338" s="2">
        <v>342</v>
      </c>
      <c r="B1338" s="2">
        <v>45906</v>
      </c>
      <c r="C1338" s="2">
        <v>56</v>
      </c>
      <c r="D1338" s="2">
        <v>1</v>
      </c>
      <c r="E1338" s="25">
        <f t="shared" si="19"/>
        <v>355.69731464826134</v>
      </c>
    </row>
    <row r="1339" spans="1:5" x14ac:dyDescent="0.35">
      <c r="A1339" s="3">
        <v>263</v>
      </c>
      <c r="B1339" s="3">
        <v>44989</v>
      </c>
      <c r="C1339" s="3">
        <v>46</v>
      </c>
      <c r="D1339" s="3">
        <v>1</v>
      </c>
      <c r="E1339" s="25">
        <f t="shared" si="19"/>
        <v>355.36520504924874</v>
      </c>
    </row>
    <row r="1340" spans="1:5" x14ac:dyDescent="0.35">
      <c r="A1340" s="3">
        <v>301</v>
      </c>
      <c r="B1340" s="3">
        <v>46734</v>
      </c>
      <c r="C1340" s="3">
        <v>66</v>
      </c>
      <c r="D1340" s="3">
        <v>1</v>
      </c>
      <c r="E1340" s="25">
        <f t="shared" si="19"/>
        <v>354.21482388246693</v>
      </c>
    </row>
    <row r="1341" spans="1:5" x14ac:dyDescent="0.35">
      <c r="A1341" s="2">
        <v>64</v>
      </c>
      <c r="B1341" s="2">
        <v>45759</v>
      </c>
      <c r="C1341" s="2">
        <v>56</v>
      </c>
      <c r="D1341" s="2">
        <v>1</v>
      </c>
      <c r="E1341" s="25">
        <f t="shared" si="19"/>
        <v>352.7001657311082</v>
      </c>
    </row>
    <row r="1342" spans="1:5" x14ac:dyDescent="0.35">
      <c r="A1342" s="3">
        <v>44</v>
      </c>
      <c r="B1342" s="3">
        <v>44359</v>
      </c>
      <c r="C1342" s="3">
        <v>42</v>
      </c>
      <c r="D1342" s="3">
        <v>1</v>
      </c>
      <c r="E1342" s="25">
        <f t="shared" si="19"/>
        <v>349.86603743416958</v>
      </c>
    </row>
    <row r="1343" spans="1:5" x14ac:dyDescent="0.35">
      <c r="A1343" s="3">
        <v>184</v>
      </c>
      <c r="B1343" s="3">
        <v>46390</v>
      </c>
      <c r="C1343" s="3">
        <v>65</v>
      </c>
      <c r="D1343" s="3">
        <v>1</v>
      </c>
      <c r="E1343" s="25">
        <f t="shared" si="19"/>
        <v>349.0375267198599</v>
      </c>
    </row>
    <row r="1344" spans="1:5" x14ac:dyDescent="0.35">
      <c r="A1344" s="3">
        <v>259</v>
      </c>
      <c r="B1344" s="3">
        <v>46610</v>
      </c>
      <c r="C1344" s="3">
        <v>68</v>
      </c>
      <c r="D1344" s="3">
        <v>1</v>
      </c>
      <c r="E1344" s="25">
        <f t="shared" si="19"/>
        <v>348.01373847483489</v>
      </c>
    </row>
    <row r="1345" spans="1:5" x14ac:dyDescent="0.35">
      <c r="A1345" s="3">
        <v>20</v>
      </c>
      <c r="B1345" s="3">
        <v>43776</v>
      </c>
      <c r="C1345" s="3">
        <v>37</v>
      </c>
      <c r="D1345" s="3">
        <v>1</v>
      </c>
      <c r="E1345" s="25">
        <f t="shared" si="19"/>
        <v>347.1615810007479</v>
      </c>
    </row>
    <row r="1346" spans="1:5" x14ac:dyDescent="0.35">
      <c r="A1346" s="2">
        <v>614</v>
      </c>
      <c r="B1346" s="2">
        <v>44010</v>
      </c>
      <c r="C1346" s="2">
        <v>40</v>
      </c>
      <c r="D1346" s="2">
        <v>1</v>
      </c>
      <c r="E1346" s="25">
        <f t="shared" si="19"/>
        <v>346.42323550973742</v>
      </c>
    </row>
    <row r="1347" spans="1:5" x14ac:dyDescent="0.35">
      <c r="A1347" s="3">
        <v>21</v>
      </c>
      <c r="B1347" s="3">
        <v>46344</v>
      </c>
      <c r="C1347" s="3">
        <v>66</v>
      </c>
      <c r="D1347" s="3">
        <v>1</v>
      </c>
      <c r="E1347" s="25">
        <f t="shared" si="19"/>
        <v>346.26320430634632</v>
      </c>
    </row>
    <row r="1348" spans="1:5" x14ac:dyDescent="0.35">
      <c r="A1348" s="3">
        <v>64</v>
      </c>
      <c r="B1348" s="3">
        <v>43815</v>
      </c>
      <c r="C1348" s="3">
        <v>38</v>
      </c>
      <c r="D1348" s="3">
        <v>1</v>
      </c>
      <c r="E1348" s="25">
        <f t="shared" si="19"/>
        <v>346.12030387946572</v>
      </c>
    </row>
    <row r="1349" spans="1:5" x14ac:dyDescent="0.35">
      <c r="A1349" s="2">
        <v>479</v>
      </c>
      <c r="B1349" s="2">
        <v>43974</v>
      </c>
      <c r="C1349" s="2">
        <v>40</v>
      </c>
      <c r="D1349" s="2">
        <v>1</v>
      </c>
      <c r="E1349" s="25">
        <f t="shared" si="19"/>
        <v>345.68923985655704</v>
      </c>
    </row>
    <row r="1350" spans="1:5" x14ac:dyDescent="0.35">
      <c r="A1350" s="2">
        <v>233</v>
      </c>
      <c r="B1350" s="2">
        <v>46097</v>
      </c>
      <c r="C1350" s="2">
        <v>64</v>
      </c>
      <c r="D1350" s="2">
        <v>1</v>
      </c>
      <c r="E1350" s="25">
        <f t="shared" si="19"/>
        <v>344.90005673259179</v>
      </c>
    </row>
    <row r="1351" spans="1:5" x14ac:dyDescent="0.35">
      <c r="A1351" s="2">
        <v>293</v>
      </c>
      <c r="B1351" s="2">
        <v>46086</v>
      </c>
      <c r="C1351" s="2">
        <v>64</v>
      </c>
      <c r="D1351" s="2">
        <v>1</v>
      </c>
      <c r="E1351" s="25">
        <f t="shared" si="19"/>
        <v>344.67578028300898</v>
      </c>
    </row>
    <row r="1352" spans="1:5" x14ac:dyDescent="0.35">
      <c r="A1352" s="2">
        <v>34</v>
      </c>
      <c r="B1352" s="2">
        <v>44319</v>
      </c>
      <c r="C1352" s="2">
        <v>45</v>
      </c>
      <c r="D1352" s="2">
        <v>1</v>
      </c>
      <c r="E1352" s="25">
        <f t="shared" si="19"/>
        <v>343.54116947173077</v>
      </c>
    </row>
    <row r="1353" spans="1:5" x14ac:dyDescent="0.35">
      <c r="A1353" s="2">
        <v>182</v>
      </c>
      <c r="B1353" s="2">
        <v>44392</v>
      </c>
      <c r="C1353" s="2">
        <v>46</v>
      </c>
      <c r="D1353" s="2">
        <v>1</v>
      </c>
      <c r="E1353" s="25">
        <f t="shared" si="19"/>
        <v>343.19311046734117</v>
      </c>
    </row>
    <row r="1354" spans="1:5" x14ac:dyDescent="0.35">
      <c r="A1354" s="3">
        <v>65</v>
      </c>
      <c r="B1354" s="3">
        <v>44635</v>
      </c>
      <c r="C1354" s="3">
        <v>49</v>
      </c>
      <c r="D1354" s="3">
        <v>1</v>
      </c>
      <c r="E1354" s="25">
        <f t="shared" si="19"/>
        <v>342.63826388962582</v>
      </c>
    </row>
    <row r="1355" spans="1:5" x14ac:dyDescent="0.35">
      <c r="A1355" s="2">
        <v>251</v>
      </c>
      <c r="B1355" s="2">
        <v>46231</v>
      </c>
      <c r="C1355" s="2">
        <v>67</v>
      </c>
      <c r="D1355" s="2">
        <v>1</v>
      </c>
      <c r="E1355" s="25">
        <f t="shared" si="19"/>
        <v>342.12283442719149</v>
      </c>
    </row>
    <row r="1356" spans="1:5" x14ac:dyDescent="0.35">
      <c r="A1356" s="3">
        <v>387</v>
      </c>
      <c r="B1356" s="3">
        <v>46681</v>
      </c>
      <c r="C1356" s="3">
        <v>72</v>
      </c>
      <c r="D1356" s="3">
        <v>1</v>
      </c>
      <c r="E1356" s="25">
        <f t="shared" si="19"/>
        <v>342.11558469747456</v>
      </c>
    </row>
    <row r="1357" spans="1:5" x14ac:dyDescent="0.35">
      <c r="A1357" s="2">
        <v>297</v>
      </c>
      <c r="B1357" s="2">
        <v>45143</v>
      </c>
      <c r="C1357" s="2">
        <v>55</v>
      </c>
      <c r="D1357" s="2">
        <v>1</v>
      </c>
      <c r="E1357" s="25">
        <f t="shared" si="19"/>
        <v>341.97712363336075</v>
      </c>
    </row>
    <row r="1358" spans="1:5" x14ac:dyDescent="0.35">
      <c r="A1358" s="2">
        <v>40</v>
      </c>
      <c r="B1358" s="2">
        <v>44503</v>
      </c>
      <c r="C1358" s="2">
        <v>48</v>
      </c>
      <c r="D1358" s="2">
        <v>1</v>
      </c>
      <c r="E1358" s="25">
        <f t="shared" si="19"/>
        <v>341.78338557352538</v>
      </c>
    </row>
    <row r="1359" spans="1:5" x14ac:dyDescent="0.35">
      <c r="A1359" s="2">
        <v>40</v>
      </c>
      <c r="B1359" s="2">
        <v>46015</v>
      </c>
      <c r="C1359" s="2">
        <v>65</v>
      </c>
      <c r="D1359" s="2">
        <v>1</v>
      </c>
      <c r="E1359" s="25">
        <f t="shared" si="19"/>
        <v>341.39173866589783</v>
      </c>
    </row>
    <row r="1360" spans="1:5" x14ac:dyDescent="0.35">
      <c r="A1360" s="3">
        <v>89</v>
      </c>
      <c r="B1360" s="3">
        <v>44931</v>
      </c>
      <c r="C1360" s="3">
        <v>53</v>
      </c>
      <c r="D1360" s="3">
        <v>1</v>
      </c>
      <c r="E1360" s="25">
        <f t="shared" si="19"/>
        <v>341.3275829446427</v>
      </c>
    </row>
    <row r="1361" spans="1:5" x14ac:dyDescent="0.35">
      <c r="A1361" s="2">
        <v>118</v>
      </c>
      <c r="B1361" s="2">
        <v>30983</v>
      </c>
      <c r="C1361" s="2">
        <v>57</v>
      </c>
      <c r="D1361" s="2">
        <v>0</v>
      </c>
      <c r="E1361" s="25">
        <f t="shared" si="19"/>
        <v>339.21291963097929</v>
      </c>
    </row>
    <row r="1362" spans="1:5" x14ac:dyDescent="0.35">
      <c r="A1362" s="3">
        <v>38</v>
      </c>
      <c r="B1362" s="3">
        <v>45146</v>
      </c>
      <c r="C1362" s="3">
        <v>57</v>
      </c>
      <c r="D1362" s="3">
        <v>1</v>
      </c>
      <c r="E1362" s="25">
        <f t="shared" si="19"/>
        <v>338.36541178000391</v>
      </c>
    </row>
    <row r="1363" spans="1:5" x14ac:dyDescent="0.35">
      <c r="A1363" s="3">
        <v>258</v>
      </c>
      <c r="B1363" s="3">
        <v>44602</v>
      </c>
      <c r="C1363" s="3">
        <v>51</v>
      </c>
      <c r="D1363" s="3">
        <v>1</v>
      </c>
      <c r="E1363" s="25">
        <f t="shared" si="19"/>
        <v>338.29255638308859</v>
      </c>
    </row>
    <row r="1364" spans="1:5" x14ac:dyDescent="0.35">
      <c r="A1364" s="3">
        <v>182</v>
      </c>
      <c r="B1364" s="3">
        <v>44421</v>
      </c>
      <c r="C1364" s="3">
        <v>49</v>
      </c>
      <c r="D1364" s="3">
        <v>1</v>
      </c>
      <c r="E1364" s="25">
        <f t="shared" si="19"/>
        <v>338.27506750683142</v>
      </c>
    </row>
    <row r="1365" spans="1:5" x14ac:dyDescent="0.35">
      <c r="A1365" s="2">
        <v>713</v>
      </c>
      <c r="B1365" s="2">
        <v>44511</v>
      </c>
      <c r="C1365" s="2">
        <v>50</v>
      </c>
      <c r="D1365" s="2">
        <v>1</v>
      </c>
      <c r="E1365" s="25">
        <f t="shared" si="19"/>
        <v>338.27361756088806</v>
      </c>
    </row>
    <row r="1366" spans="1:5" x14ac:dyDescent="0.35">
      <c r="A1366" s="3">
        <v>537</v>
      </c>
      <c r="B1366" s="3">
        <v>44325</v>
      </c>
      <c r="C1366" s="3">
        <v>48</v>
      </c>
      <c r="D1366" s="3">
        <v>1</v>
      </c>
      <c r="E1366" s="25">
        <f t="shared" si="19"/>
        <v>338.15418484391137</v>
      </c>
    </row>
    <row r="1367" spans="1:5" x14ac:dyDescent="0.35">
      <c r="A1367" s="2">
        <v>490</v>
      </c>
      <c r="B1367" s="2">
        <v>43783</v>
      </c>
      <c r="C1367" s="2">
        <v>42</v>
      </c>
      <c r="D1367" s="2">
        <v>1</v>
      </c>
      <c r="E1367" s="25">
        <f t="shared" si="19"/>
        <v>338.12210698328386</v>
      </c>
    </row>
    <row r="1368" spans="1:5" x14ac:dyDescent="0.35">
      <c r="A1368" s="3">
        <v>116</v>
      </c>
      <c r="B1368" s="3">
        <v>43586</v>
      </c>
      <c r="C1368" s="3">
        <v>40</v>
      </c>
      <c r="D1368" s="3">
        <v>1</v>
      </c>
      <c r="E1368" s="25">
        <f t="shared" si="19"/>
        <v>337.77839781672435</v>
      </c>
    </row>
    <row r="1369" spans="1:5" x14ac:dyDescent="0.35">
      <c r="A1369" s="3">
        <v>61</v>
      </c>
      <c r="B1369" s="3">
        <v>44794</v>
      </c>
      <c r="C1369" s="3">
        <v>54</v>
      </c>
      <c r="D1369" s="3">
        <v>1</v>
      </c>
      <c r="E1369" s="25">
        <f t="shared" si="19"/>
        <v>336.69788263003431</v>
      </c>
    </row>
    <row r="1370" spans="1:5" x14ac:dyDescent="0.35">
      <c r="A1370" s="2">
        <v>153</v>
      </c>
      <c r="B1370" s="2">
        <v>44051</v>
      </c>
      <c r="C1370" s="2">
        <v>47</v>
      </c>
      <c r="D1370" s="2">
        <v>1</v>
      </c>
      <c r="E1370" s="25">
        <f t="shared" si="19"/>
        <v>334.40410145137741</v>
      </c>
    </row>
    <row r="1371" spans="1:5" x14ac:dyDescent="0.35">
      <c r="A1371" s="2">
        <v>394</v>
      </c>
      <c r="B1371" s="2">
        <v>45736</v>
      </c>
      <c r="C1371" s="2">
        <v>66</v>
      </c>
      <c r="D1371" s="2">
        <v>1</v>
      </c>
      <c r="E1371" s="25">
        <f t="shared" si="19"/>
        <v>333.86683327485582</v>
      </c>
    </row>
    <row r="1372" spans="1:5" x14ac:dyDescent="0.35">
      <c r="A1372" s="3">
        <v>261</v>
      </c>
      <c r="B1372" s="3">
        <v>44267</v>
      </c>
      <c r="C1372" s="3">
        <v>50</v>
      </c>
      <c r="D1372" s="3">
        <v>1</v>
      </c>
      <c r="E1372" s="25">
        <f t="shared" si="19"/>
        <v>333.29875813377669</v>
      </c>
    </row>
    <row r="1373" spans="1:5" x14ac:dyDescent="0.35">
      <c r="A1373" s="2">
        <v>254</v>
      </c>
      <c r="B1373" s="2">
        <v>44377</v>
      </c>
      <c r="C1373" s="2">
        <v>52</v>
      </c>
      <c r="D1373" s="2">
        <v>1</v>
      </c>
      <c r="E1373" s="25">
        <f t="shared" si="19"/>
        <v>331.86864447181699</v>
      </c>
    </row>
    <row r="1374" spans="1:5" x14ac:dyDescent="0.35">
      <c r="A1374" s="3">
        <v>665</v>
      </c>
      <c r="B1374" s="3">
        <v>44529</v>
      </c>
      <c r="C1374" s="3">
        <v>54</v>
      </c>
      <c r="D1374" s="3">
        <v>1</v>
      </c>
      <c r="E1374" s="25">
        <f t="shared" si="19"/>
        <v>331.2948590719011</v>
      </c>
    </row>
    <row r="1375" spans="1:5" x14ac:dyDescent="0.35">
      <c r="A1375" s="2">
        <v>268</v>
      </c>
      <c r="B1375" s="2">
        <v>44159</v>
      </c>
      <c r="C1375" s="2">
        <v>50</v>
      </c>
      <c r="D1375" s="2">
        <v>1</v>
      </c>
      <c r="E1375" s="25">
        <f t="shared" si="19"/>
        <v>331.09677117423564</v>
      </c>
    </row>
    <row r="1376" spans="1:5" x14ac:dyDescent="0.35">
      <c r="A1376" s="2">
        <v>493</v>
      </c>
      <c r="B1376" s="2">
        <v>42387</v>
      </c>
      <c r="C1376" s="2">
        <v>31</v>
      </c>
      <c r="D1376" s="2">
        <v>1</v>
      </c>
      <c r="E1376" s="25">
        <f t="shared" si="19"/>
        <v>329.86021652223803</v>
      </c>
    </row>
    <row r="1377" spans="1:5" x14ac:dyDescent="0.35">
      <c r="A1377" s="3">
        <v>18</v>
      </c>
      <c r="B1377" s="3">
        <v>45160</v>
      </c>
      <c r="C1377" s="3">
        <v>62</v>
      </c>
      <c r="D1377" s="3">
        <v>1</v>
      </c>
      <c r="E1377" s="25">
        <f t="shared" si="19"/>
        <v>329.46865913954719</v>
      </c>
    </row>
    <row r="1378" spans="1:5" x14ac:dyDescent="0.35">
      <c r="A1378" s="2">
        <v>37</v>
      </c>
      <c r="B1378" s="2">
        <v>44078</v>
      </c>
      <c r="C1378" s="2">
        <v>51</v>
      </c>
      <c r="D1378" s="2">
        <v>1</v>
      </c>
      <c r="E1378" s="25">
        <f t="shared" si="19"/>
        <v>327.60884187568558</v>
      </c>
    </row>
    <row r="1379" spans="1:5" x14ac:dyDescent="0.35">
      <c r="A1379" s="3">
        <v>304</v>
      </c>
      <c r="B1379" s="3">
        <v>42710</v>
      </c>
      <c r="C1379" s="3">
        <v>36</v>
      </c>
      <c r="D1379" s="3">
        <v>1</v>
      </c>
      <c r="E1379" s="25">
        <f t="shared" si="19"/>
        <v>327.26359323824602</v>
      </c>
    </row>
    <row r="1380" spans="1:5" x14ac:dyDescent="0.35">
      <c r="A1380" s="2">
        <v>50</v>
      </c>
      <c r="B1380" s="2">
        <v>44393</v>
      </c>
      <c r="C1380" s="2">
        <v>55</v>
      </c>
      <c r="D1380" s="2">
        <v>1</v>
      </c>
      <c r="E1380" s="25">
        <f t="shared" si="19"/>
        <v>326.68554752543662</v>
      </c>
    </row>
    <row r="1381" spans="1:5" x14ac:dyDescent="0.35">
      <c r="A1381" s="3">
        <v>260</v>
      </c>
      <c r="B1381" s="3">
        <v>44375</v>
      </c>
      <c r="C1381" s="3">
        <v>55</v>
      </c>
      <c r="D1381" s="3">
        <v>1</v>
      </c>
      <c r="E1381" s="25">
        <f t="shared" si="19"/>
        <v>326.31854969884648</v>
      </c>
    </row>
    <row r="1382" spans="1:5" x14ac:dyDescent="0.35">
      <c r="A1382" s="2">
        <v>184</v>
      </c>
      <c r="B1382" s="2">
        <v>44911</v>
      </c>
      <c r="C1382" s="2">
        <v>61</v>
      </c>
      <c r="D1382" s="2">
        <v>1</v>
      </c>
      <c r="E1382" s="25">
        <f t="shared" si="19"/>
        <v>326.22829495061058</v>
      </c>
    </row>
    <row r="1383" spans="1:5" x14ac:dyDescent="0.35">
      <c r="A1383" s="3">
        <v>154</v>
      </c>
      <c r="B1383" s="3">
        <v>43824</v>
      </c>
      <c r="C1383" s="3">
        <v>49</v>
      </c>
      <c r="D1383" s="3">
        <v>1</v>
      </c>
      <c r="E1383" s="25">
        <f t="shared" si="19"/>
        <v>326.10297292492373</v>
      </c>
    </row>
    <row r="1384" spans="1:5" x14ac:dyDescent="0.35">
      <c r="A1384" s="2">
        <v>339</v>
      </c>
      <c r="B1384" s="2">
        <v>43263</v>
      </c>
      <c r="C1384" s="2">
        <v>43</v>
      </c>
      <c r="D1384" s="2">
        <v>1</v>
      </c>
      <c r="E1384" s="25">
        <f t="shared" si="19"/>
        <v>325.68350846956218</v>
      </c>
    </row>
    <row r="1385" spans="1:5" x14ac:dyDescent="0.35">
      <c r="A1385" s="2">
        <v>39</v>
      </c>
      <c r="B1385" s="2">
        <v>44300</v>
      </c>
      <c r="C1385" s="2">
        <v>55</v>
      </c>
      <c r="D1385" s="2">
        <v>1</v>
      </c>
      <c r="E1385" s="25">
        <f t="shared" si="19"/>
        <v>324.789392088054</v>
      </c>
    </row>
    <row r="1386" spans="1:5" x14ac:dyDescent="0.35">
      <c r="A1386" s="2">
        <v>89</v>
      </c>
      <c r="B1386" s="2">
        <v>42386</v>
      </c>
      <c r="C1386" s="2">
        <v>34</v>
      </c>
      <c r="D1386" s="2">
        <v>1</v>
      </c>
      <c r="E1386" s="25">
        <f t="shared" si="19"/>
        <v>324.33051051741131</v>
      </c>
    </row>
    <row r="1387" spans="1:5" x14ac:dyDescent="0.35">
      <c r="A1387" s="3">
        <v>233</v>
      </c>
      <c r="B1387" s="3">
        <v>30507</v>
      </c>
      <c r="C1387" s="3">
        <v>60</v>
      </c>
      <c r="D1387" s="3">
        <v>0</v>
      </c>
      <c r="E1387" s="25">
        <f t="shared" si="19"/>
        <v>323.99854875780068</v>
      </c>
    </row>
    <row r="1388" spans="1:5" x14ac:dyDescent="0.35">
      <c r="A1388" s="3">
        <v>257</v>
      </c>
      <c r="B1388" s="3">
        <v>28973</v>
      </c>
      <c r="C1388" s="3">
        <v>43</v>
      </c>
      <c r="D1388" s="3">
        <v>0</v>
      </c>
      <c r="E1388" s="25">
        <f t="shared" si="19"/>
        <v>323.94164276626236</v>
      </c>
    </row>
    <row r="1389" spans="1:5" x14ac:dyDescent="0.35">
      <c r="A1389" s="2">
        <v>10</v>
      </c>
      <c r="B1389" s="2">
        <v>42997</v>
      </c>
      <c r="C1389" s="2">
        <v>43</v>
      </c>
      <c r="D1389" s="2">
        <v>1</v>
      </c>
      <c r="E1389" s="25">
        <f t="shared" si="19"/>
        <v>320.26009614328507</v>
      </c>
    </row>
    <row r="1390" spans="1:5" x14ac:dyDescent="0.35">
      <c r="A1390" s="2">
        <v>385</v>
      </c>
      <c r="B1390" s="2">
        <v>43795</v>
      </c>
      <c r="C1390" s="2">
        <v>52</v>
      </c>
      <c r="D1390" s="2">
        <v>1</v>
      </c>
      <c r="E1390" s="25">
        <f t="shared" ref="E1390:E1453" si="20">$B$101+$B1390*$B$102+$C1390*$B$103+$D1390*$B$104</f>
        <v>320.00238141206785</v>
      </c>
    </row>
    <row r="1391" spans="1:5" x14ac:dyDescent="0.35">
      <c r="A1391" s="2">
        <v>30</v>
      </c>
      <c r="B1391" s="2">
        <v>44512</v>
      </c>
      <c r="C1391" s="2">
        <v>60</v>
      </c>
      <c r="D1391" s="2">
        <v>1</v>
      </c>
      <c r="E1391" s="25">
        <f t="shared" si="20"/>
        <v>319.92961554008923</v>
      </c>
    </row>
    <row r="1392" spans="1:5" x14ac:dyDescent="0.35">
      <c r="A1392" s="2">
        <v>182</v>
      </c>
      <c r="B1392" s="2">
        <v>45579</v>
      </c>
      <c r="C1392" s="2">
        <v>72</v>
      </c>
      <c r="D1392" s="2">
        <v>1</v>
      </c>
      <c r="E1392" s="25">
        <f t="shared" si="20"/>
        <v>319.64716220289802</v>
      </c>
    </row>
    <row r="1393" spans="1:5" x14ac:dyDescent="0.35">
      <c r="A1393" s="3">
        <v>116</v>
      </c>
      <c r="B1393" s="3">
        <v>43641</v>
      </c>
      <c r="C1393" s="3">
        <v>51</v>
      </c>
      <c r="D1393" s="3">
        <v>1</v>
      </c>
      <c r="E1393" s="25">
        <f t="shared" si="20"/>
        <v>318.69895019680177</v>
      </c>
    </row>
    <row r="1394" spans="1:5" x14ac:dyDescent="0.35">
      <c r="A1394" s="2">
        <v>182</v>
      </c>
      <c r="B1394" s="2">
        <v>43638</v>
      </c>
      <c r="C1394" s="2">
        <v>51</v>
      </c>
      <c r="D1394" s="2">
        <v>1</v>
      </c>
      <c r="E1394" s="25">
        <f t="shared" si="20"/>
        <v>318.63778389237007</v>
      </c>
    </row>
    <row r="1395" spans="1:5" x14ac:dyDescent="0.35">
      <c r="A1395" s="2">
        <v>261</v>
      </c>
      <c r="B1395" s="2">
        <v>43057</v>
      </c>
      <c r="C1395" s="2">
        <v>45</v>
      </c>
      <c r="D1395" s="2">
        <v>1</v>
      </c>
      <c r="E1395" s="25">
        <f t="shared" si="20"/>
        <v>317.81054407413046</v>
      </c>
    </row>
    <row r="1396" spans="1:5" x14ac:dyDescent="0.35">
      <c r="A1396" s="2">
        <v>196</v>
      </c>
      <c r="B1396" s="2">
        <v>41883</v>
      </c>
      <c r="C1396" s="2">
        <v>32</v>
      </c>
      <c r="D1396" s="2">
        <v>1</v>
      </c>
      <c r="E1396" s="25">
        <f t="shared" si="20"/>
        <v>317.74783829881869</v>
      </c>
    </row>
    <row r="1397" spans="1:5" x14ac:dyDescent="0.35">
      <c r="A1397" s="3">
        <v>219</v>
      </c>
      <c r="B1397" s="3">
        <v>42207</v>
      </c>
      <c r="C1397" s="3">
        <v>36</v>
      </c>
      <c r="D1397" s="3">
        <v>1</v>
      </c>
      <c r="E1397" s="25">
        <f t="shared" si="20"/>
        <v>317.00804286186485</v>
      </c>
    </row>
    <row r="1398" spans="1:5" x14ac:dyDescent="0.35">
      <c r="A1398" s="3">
        <v>18</v>
      </c>
      <c r="B1398" s="3">
        <v>43269</v>
      </c>
      <c r="C1398" s="3">
        <v>48</v>
      </c>
      <c r="D1398" s="3">
        <v>1</v>
      </c>
      <c r="E1398" s="25">
        <f t="shared" si="20"/>
        <v>316.62364568395412</v>
      </c>
    </row>
    <row r="1399" spans="1:5" x14ac:dyDescent="0.35">
      <c r="A1399" s="2">
        <v>41</v>
      </c>
      <c r="B1399" s="2">
        <v>42693</v>
      </c>
      <c r="C1399" s="2">
        <v>42</v>
      </c>
      <c r="D1399" s="2">
        <v>1</v>
      </c>
      <c r="E1399" s="25">
        <f t="shared" si="20"/>
        <v>315.89834970643403</v>
      </c>
    </row>
    <row r="1400" spans="1:5" x14ac:dyDescent="0.35">
      <c r="A1400" s="2">
        <v>149</v>
      </c>
      <c r="B1400" s="2">
        <v>43300</v>
      </c>
      <c r="C1400" s="2">
        <v>49</v>
      </c>
      <c r="D1400" s="2">
        <v>1</v>
      </c>
      <c r="E1400" s="25">
        <f t="shared" si="20"/>
        <v>315.41925841752072</v>
      </c>
    </row>
    <row r="1401" spans="1:5" x14ac:dyDescent="0.35">
      <c r="A1401" s="2">
        <v>157</v>
      </c>
      <c r="B1401" s="2">
        <v>42395</v>
      </c>
      <c r="C1401" s="2">
        <v>39</v>
      </c>
      <c r="D1401" s="2">
        <v>1</v>
      </c>
      <c r="E1401" s="25">
        <f t="shared" si="20"/>
        <v>315.33181403623496</v>
      </c>
    </row>
    <row r="1402" spans="1:5" x14ac:dyDescent="0.35">
      <c r="A1402" s="3">
        <v>69</v>
      </c>
      <c r="B1402" s="3">
        <v>43018</v>
      </c>
      <c r="C1402" s="3">
        <v>46</v>
      </c>
      <c r="D1402" s="3">
        <v>1</v>
      </c>
      <c r="E1402" s="25">
        <f t="shared" si="20"/>
        <v>315.17894303762409</v>
      </c>
    </row>
    <row r="1403" spans="1:5" x14ac:dyDescent="0.35">
      <c r="A1403" s="2">
        <v>68</v>
      </c>
      <c r="B1403" s="2">
        <v>43050</v>
      </c>
      <c r="C1403" s="2">
        <v>47</v>
      </c>
      <c r="D1403" s="2">
        <v>1</v>
      </c>
      <c r="E1403" s="25">
        <f t="shared" si="20"/>
        <v>313.9949445393346</v>
      </c>
    </row>
    <row r="1404" spans="1:5" x14ac:dyDescent="0.35">
      <c r="A1404" s="3">
        <v>41</v>
      </c>
      <c r="B1404" s="3">
        <v>42554</v>
      </c>
      <c r="C1404" s="3">
        <v>42</v>
      </c>
      <c r="D1404" s="3">
        <v>1</v>
      </c>
      <c r="E1404" s="25">
        <f t="shared" si="20"/>
        <v>313.06431093443211</v>
      </c>
    </row>
    <row r="1405" spans="1:5" x14ac:dyDescent="0.35">
      <c r="A1405" s="2">
        <v>49</v>
      </c>
      <c r="B1405" s="2">
        <v>43602</v>
      </c>
      <c r="C1405" s="2">
        <v>54</v>
      </c>
      <c r="D1405" s="2">
        <v>1</v>
      </c>
      <c r="E1405" s="25">
        <f t="shared" si="20"/>
        <v>312.39447100250686</v>
      </c>
    </row>
    <row r="1406" spans="1:5" x14ac:dyDescent="0.35">
      <c r="A1406" s="3">
        <v>269</v>
      </c>
      <c r="B1406" s="3">
        <v>28071</v>
      </c>
      <c r="C1406" s="3">
        <v>40</v>
      </c>
      <c r="D1406" s="3">
        <v>0</v>
      </c>
      <c r="E1406" s="25">
        <f t="shared" si="20"/>
        <v>311.0602911371484</v>
      </c>
    </row>
    <row r="1407" spans="1:5" x14ac:dyDescent="0.35">
      <c r="A1407" s="3">
        <v>355</v>
      </c>
      <c r="B1407" s="3">
        <v>42081</v>
      </c>
      <c r="C1407" s="3">
        <v>38</v>
      </c>
      <c r="D1407" s="3">
        <v>1</v>
      </c>
      <c r="E1407" s="25">
        <f t="shared" si="20"/>
        <v>310.76617991794501</v>
      </c>
    </row>
    <row r="1408" spans="1:5" x14ac:dyDescent="0.35">
      <c r="A1408" s="3">
        <v>118</v>
      </c>
      <c r="B1408" s="3">
        <v>42162</v>
      </c>
      <c r="C1408" s="3">
        <v>39</v>
      </c>
      <c r="D1408" s="3">
        <v>1</v>
      </c>
      <c r="E1408" s="25">
        <f t="shared" si="20"/>
        <v>310.58123105870652</v>
      </c>
    </row>
    <row r="1409" spans="1:5" x14ac:dyDescent="0.35">
      <c r="A1409" s="3">
        <v>60</v>
      </c>
      <c r="B1409" s="3">
        <v>43482</v>
      </c>
      <c r="C1409" s="3">
        <v>54</v>
      </c>
      <c r="D1409" s="3">
        <v>1</v>
      </c>
      <c r="E1409" s="25">
        <f t="shared" si="20"/>
        <v>309.94781882523898</v>
      </c>
    </row>
    <row r="1410" spans="1:5" x14ac:dyDescent="0.35">
      <c r="A1410" s="2">
        <v>219</v>
      </c>
      <c r="B1410" s="2">
        <v>44551</v>
      </c>
      <c r="C1410" s="2">
        <v>66</v>
      </c>
      <c r="D1410" s="2">
        <v>1</v>
      </c>
      <c r="E1410" s="25">
        <f t="shared" si="20"/>
        <v>309.70614302433557</v>
      </c>
    </row>
    <row r="1411" spans="1:5" x14ac:dyDescent="0.35">
      <c r="A1411" s="3">
        <v>386</v>
      </c>
      <c r="B1411" s="3">
        <v>43456</v>
      </c>
      <c r="C1411" s="3">
        <v>54</v>
      </c>
      <c r="D1411" s="3">
        <v>1</v>
      </c>
      <c r="E1411" s="25">
        <f t="shared" si="20"/>
        <v>309.41771085349762</v>
      </c>
    </row>
    <row r="1412" spans="1:5" x14ac:dyDescent="0.35">
      <c r="A1412" s="3">
        <v>254</v>
      </c>
      <c r="B1412" s="3">
        <v>45072</v>
      </c>
      <c r="C1412" s="3">
        <v>72</v>
      </c>
      <c r="D1412" s="3">
        <v>1</v>
      </c>
      <c r="E1412" s="25">
        <f t="shared" si="20"/>
        <v>309.31005675394135</v>
      </c>
    </row>
    <row r="1413" spans="1:5" x14ac:dyDescent="0.35">
      <c r="A1413" s="3">
        <v>16</v>
      </c>
      <c r="B1413" s="3">
        <v>43142</v>
      </c>
      <c r="C1413" s="3">
        <v>51</v>
      </c>
      <c r="D1413" s="3">
        <v>1</v>
      </c>
      <c r="E1413" s="25">
        <f t="shared" si="20"/>
        <v>308.52495489299622</v>
      </c>
    </row>
    <row r="1414" spans="1:5" x14ac:dyDescent="0.35">
      <c r="A1414" s="2">
        <v>180</v>
      </c>
      <c r="B1414" s="2">
        <v>43020</v>
      </c>
      <c r="C1414" s="2">
        <v>50</v>
      </c>
      <c r="D1414" s="2">
        <v>1</v>
      </c>
      <c r="E1414" s="25">
        <f t="shared" si="20"/>
        <v>307.87396425833481</v>
      </c>
    </row>
    <row r="1415" spans="1:5" x14ac:dyDescent="0.35">
      <c r="A1415" s="3">
        <v>119</v>
      </c>
      <c r="B1415" s="3">
        <v>42473</v>
      </c>
      <c r="C1415" s="3">
        <v>44</v>
      </c>
      <c r="D1415" s="3">
        <v>1</v>
      </c>
      <c r="E1415" s="25">
        <f t="shared" si="20"/>
        <v>307.73994255698778</v>
      </c>
    </row>
    <row r="1416" spans="1:5" x14ac:dyDescent="0.35">
      <c r="A1416" s="2">
        <v>546</v>
      </c>
      <c r="B1416" s="2">
        <v>42021</v>
      </c>
      <c r="C1416" s="2">
        <v>39</v>
      </c>
      <c r="D1416" s="2">
        <v>1</v>
      </c>
      <c r="E1416" s="25">
        <f t="shared" si="20"/>
        <v>307.7064147504168</v>
      </c>
    </row>
    <row r="1417" spans="1:5" x14ac:dyDescent="0.35">
      <c r="A1417" s="2">
        <v>32</v>
      </c>
      <c r="B1417" s="2">
        <v>44155</v>
      </c>
      <c r="C1417" s="2">
        <v>63</v>
      </c>
      <c r="D1417" s="2">
        <v>1</v>
      </c>
      <c r="E1417" s="25">
        <f t="shared" si="20"/>
        <v>307.14150807603448</v>
      </c>
    </row>
    <row r="1418" spans="1:5" x14ac:dyDescent="0.35">
      <c r="A1418" s="2">
        <v>23</v>
      </c>
      <c r="B1418" s="2">
        <v>44689</v>
      </c>
      <c r="C1418" s="2">
        <v>69</v>
      </c>
      <c r="D1418" s="2">
        <v>1</v>
      </c>
      <c r="E1418" s="25">
        <f t="shared" si="20"/>
        <v>307.01047579151088</v>
      </c>
    </row>
    <row r="1419" spans="1:5" x14ac:dyDescent="0.35">
      <c r="A1419" s="2">
        <v>39</v>
      </c>
      <c r="B1419" s="2">
        <v>41967</v>
      </c>
      <c r="C1419" s="2">
        <v>39</v>
      </c>
      <c r="D1419" s="2">
        <v>1</v>
      </c>
      <c r="E1419" s="25">
        <f t="shared" si="20"/>
        <v>306.60542127064627</v>
      </c>
    </row>
    <row r="1420" spans="1:5" x14ac:dyDescent="0.35">
      <c r="A1420" s="2">
        <v>497</v>
      </c>
      <c r="B1420" s="2">
        <v>42835</v>
      </c>
      <c r="C1420" s="2">
        <v>49</v>
      </c>
      <c r="D1420" s="2">
        <v>1</v>
      </c>
      <c r="E1420" s="25">
        <f t="shared" si="20"/>
        <v>305.93848123060775</v>
      </c>
    </row>
    <row r="1421" spans="1:5" x14ac:dyDescent="0.35">
      <c r="A1421" s="2">
        <v>255</v>
      </c>
      <c r="B1421" s="2">
        <v>42557</v>
      </c>
      <c r="C1421" s="2">
        <v>46</v>
      </c>
      <c r="D1421" s="2">
        <v>1</v>
      </c>
      <c r="E1421" s="25">
        <f t="shared" si="20"/>
        <v>305.77972092328673</v>
      </c>
    </row>
    <row r="1422" spans="1:5" x14ac:dyDescent="0.35">
      <c r="A1422" s="2">
        <v>93</v>
      </c>
      <c r="B1422" s="2">
        <v>42767</v>
      </c>
      <c r="C1422" s="2">
        <v>49</v>
      </c>
      <c r="D1422" s="2">
        <v>1</v>
      </c>
      <c r="E1422" s="25">
        <f t="shared" si="20"/>
        <v>304.5520449968227</v>
      </c>
    </row>
    <row r="1423" spans="1:5" x14ac:dyDescent="0.35">
      <c r="A1423" s="3">
        <v>67</v>
      </c>
      <c r="B1423" s="3">
        <v>41473</v>
      </c>
      <c r="C1423" s="3">
        <v>35</v>
      </c>
      <c r="D1423" s="3">
        <v>1</v>
      </c>
      <c r="E1423" s="25">
        <f t="shared" si="20"/>
        <v>303.87912612313733</v>
      </c>
    </row>
    <row r="1424" spans="1:5" x14ac:dyDescent="0.35">
      <c r="A1424" s="3">
        <v>182</v>
      </c>
      <c r="B1424" s="3">
        <v>42618</v>
      </c>
      <c r="C1424" s="3">
        <v>48</v>
      </c>
      <c r="D1424" s="3">
        <v>1</v>
      </c>
      <c r="E1424" s="25">
        <f t="shared" si="20"/>
        <v>303.35055762227603</v>
      </c>
    </row>
    <row r="1425" spans="1:5" x14ac:dyDescent="0.35">
      <c r="A1425" s="3">
        <v>92</v>
      </c>
      <c r="B1425" s="3">
        <v>41850</v>
      </c>
      <c r="C1425" s="3">
        <v>40</v>
      </c>
      <c r="D1425" s="3">
        <v>1</v>
      </c>
      <c r="E1425" s="25">
        <f t="shared" si="20"/>
        <v>302.38349631891583</v>
      </c>
    </row>
    <row r="1426" spans="1:5" x14ac:dyDescent="0.35">
      <c r="A1426" s="3">
        <v>144</v>
      </c>
      <c r="B1426" s="3">
        <v>42373</v>
      </c>
      <c r="C1426" s="3">
        <v>46</v>
      </c>
      <c r="D1426" s="3">
        <v>1</v>
      </c>
      <c r="E1426" s="25">
        <f t="shared" si="20"/>
        <v>302.0281875848093</v>
      </c>
    </row>
    <row r="1427" spans="1:5" x14ac:dyDescent="0.35">
      <c r="A1427" s="3">
        <v>150</v>
      </c>
      <c r="B1427" s="3">
        <v>42011</v>
      </c>
      <c r="C1427" s="3">
        <v>42</v>
      </c>
      <c r="D1427" s="3">
        <v>1</v>
      </c>
      <c r="E1427" s="25">
        <f t="shared" si="20"/>
        <v>301.99320983229507</v>
      </c>
    </row>
    <row r="1428" spans="1:5" x14ac:dyDescent="0.35">
      <c r="A1428" s="3">
        <v>51</v>
      </c>
      <c r="B1428" s="3">
        <v>41986</v>
      </c>
      <c r="C1428" s="3">
        <v>42</v>
      </c>
      <c r="D1428" s="3">
        <v>1</v>
      </c>
      <c r="E1428" s="25">
        <f t="shared" si="20"/>
        <v>301.48349062869761</v>
      </c>
    </row>
    <row r="1429" spans="1:5" x14ac:dyDescent="0.35">
      <c r="A1429" s="2">
        <v>63</v>
      </c>
      <c r="B1429" s="2">
        <v>42429</v>
      </c>
      <c r="C1429" s="2">
        <v>47</v>
      </c>
      <c r="D1429" s="2">
        <v>1</v>
      </c>
      <c r="E1429" s="25">
        <f t="shared" si="20"/>
        <v>301.33351952197336</v>
      </c>
    </row>
    <row r="1430" spans="1:5" x14ac:dyDescent="0.35">
      <c r="A1430" s="3">
        <v>386</v>
      </c>
      <c r="B1430" s="3">
        <v>42014</v>
      </c>
      <c r="C1430" s="3">
        <v>43</v>
      </c>
      <c r="D1430" s="3">
        <v>1</v>
      </c>
      <c r="E1430" s="25">
        <f t="shared" si="20"/>
        <v>300.2179370578325</v>
      </c>
    </row>
    <row r="1431" spans="1:5" x14ac:dyDescent="0.35">
      <c r="A1431" s="3">
        <v>220</v>
      </c>
      <c r="B1431" s="3">
        <v>42731</v>
      </c>
      <c r="C1431" s="3">
        <v>51</v>
      </c>
      <c r="D1431" s="3">
        <v>1</v>
      </c>
      <c r="E1431" s="25">
        <f t="shared" si="20"/>
        <v>300.14517118585377</v>
      </c>
    </row>
    <row r="1432" spans="1:5" x14ac:dyDescent="0.35">
      <c r="A1432" s="3">
        <v>120</v>
      </c>
      <c r="B1432" s="3">
        <v>42160</v>
      </c>
      <c r="C1432" s="3">
        <v>45</v>
      </c>
      <c r="D1432" s="3">
        <v>1</v>
      </c>
      <c r="E1432" s="25">
        <f t="shared" si="20"/>
        <v>299.52181904905319</v>
      </c>
    </row>
    <row r="1433" spans="1:5" x14ac:dyDescent="0.35">
      <c r="A1433" s="3">
        <v>145</v>
      </c>
      <c r="B1433" s="3">
        <v>44213</v>
      </c>
      <c r="C1433" s="3">
        <v>68</v>
      </c>
      <c r="D1433" s="3">
        <v>1</v>
      </c>
      <c r="E1433" s="25">
        <f t="shared" si="20"/>
        <v>299.14186123390925</v>
      </c>
    </row>
    <row r="1434" spans="1:5" x14ac:dyDescent="0.35">
      <c r="A1434" s="3">
        <v>28</v>
      </c>
      <c r="B1434" s="3">
        <v>42394</v>
      </c>
      <c r="C1434" s="3">
        <v>48</v>
      </c>
      <c r="D1434" s="3">
        <v>1</v>
      </c>
      <c r="E1434" s="25">
        <f t="shared" si="20"/>
        <v>298.78347355804272</v>
      </c>
    </row>
    <row r="1435" spans="1:5" x14ac:dyDescent="0.35">
      <c r="A1435" s="3">
        <v>39</v>
      </c>
      <c r="B1435" s="3">
        <v>42403</v>
      </c>
      <c r="C1435" s="3">
        <v>49</v>
      </c>
      <c r="D1435" s="3">
        <v>1</v>
      </c>
      <c r="E1435" s="25">
        <f t="shared" si="20"/>
        <v>297.13053339244345</v>
      </c>
    </row>
    <row r="1436" spans="1:5" x14ac:dyDescent="0.35">
      <c r="A1436" s="2">
        <v>19</v>
      </c>
      <c r="B1436" s="2">
        <v>26816</v>
      </c>
      <c r="C1436" s="2">
        <v>34</v>
      </c>
      <c r="D1436" s="2">
        <v>0</v>
      </c>
      <c r="E1436" s="25">
        <f t="shared" si="20"/>
        <v>296.49102158992099</v>
      </c>
    </row>
    <row r="1437" spans="1:5" x14ac:dyDescent="0.35">
      <c r="A1437" s="2">
        <v>24</v>
      </c>
      <c r="B1437" s="2">
        <v>42664</v>
      </c>
      <c r="C1437" s="2">
        <v>53</v>
      </c>
      <c r="D1437" s="2">
        <v>1</v>
      </c>
      <c r="E1437" s="25">
        <f t="shared" si="20"/>
        <v>295.10624556242396</v>
      </c>
    </row>
    <row r="1438" spans="1:5" x14ac:dyDescent="0.35">
      <c r="A1438" s="3">
        <v>615</v>
      </c>
      <c r="B1438" s="3">
        <v>42564</v>
      </c>
      <c r="C1438" s="3">
        <v>52</v>
      </c>
      <c r="D1438" s="3">
        <v>1</v>
      </c>
      <c r="E1438" s="25">
        <f t="shared" si="20"/>
        <v>294.90380782692841</v>
      </c>
    </row>
    <row r="1439" spans="1:5" x14ac:dyDescent="0.35">
      <c r="A1439" s="2">
        <v>89</v>
      </c>
      <c r="B1439" s="2">
        <v>41580</v>
      </c>
      <c r="C1439" s="2">
        <v>42</v>
      </c>
      <c r="D1439" s="2">
        <v>1</v>
      </c>
      <c r="E1439" s="25">
        <f t="shared" si="20"/>
        <v>293.20565076227456</v>
      </c>
    </row>
    <row r="1440" spans="1:5" x14ac:dyDescent="0.35">
      <c r="A1440" s="3">
        <v>542</v>
      </c>
      <c r="B1440" s="3">
        <v>42720</v>
      </c>
      <c r="C1440" s="3">
        <v>55</v>
      </c>
      <c r="D1440" s="3">
        <v>1</v>
      </c>
      <c r="E1440" s="25">
        <f t="shared" si="20"/>
        <v>292.57513842069375</v>
      </c>
    </row>
    <row r="1441" spans="1:5" x14ac:dyDescent="0.35">
      <c r="A1441" s="3">
        <v>255</v>
      </c>
      <c r="B1441" s="3">
        <v>43776</v>
      </c>
      <c r="C1441" s="3">
        <v>68</v>
      </c>
      <c r="D1441" s="3">
        <v>1</v>
      </c>
      <c r="E1441" s="25">
        <f t="shared" si="20"/>
        <v>290.23196955502544</v>
      </c>
    </row>
    <row r="1442" spans="1:5" x14ac:dyDescent="0.35">
      <c r="A1442" s="2">
        <v>33</v>
      </c>
      <c r="B1442" s="2">
        <v>42231</v>
      </c>
      <c r="C1442" s="2">
        <v>51</v>
      </c>
      <c r="D1442" s="2">
        <v>1</v>
      </c>
      <c r="E1442" s="25">
        <f t="shared" si="20"/>
        <v>289.95078711390431</v>
      </c>
    </row>
    <row r="1443" spans="1:5" x14ac:dyDescent="0.35">
      <c r="A1443" s="3">
        <v>18</v>
      </c>
      <c r="B1443" s="3">
        <v>42033</v>
      </c>
      <c r="C1443" s="3">
        <v>49</v>
      </c>
      <c r="D1443" s="3">
        <v>1</v>
      </c>
      <c r="E1443" s="25">
        <f t="shared" si="20"/>
        <v>289.5866891792009</v>
      </c>
    </row>
    <row r="1444" spans="1:5" x14ac:dyDescent="0.35">
      <c r="A1444" s="2">
        <v>43</v>
      </c>
      <c r="B1444" s="2">
        <v>41658</v>
      </c>
      <c r="C1444" s="2">
        <v>45</v>
      </c>
      <c r="D1444" s="2">
        <v>1</v>
      </c>
      <c r="E1444" s="25">
        <f t="shared" si="20"/>
        <v>289.28665744081593</v>
      </c>
    </row>
    <row r="1445" spans="1:5" x14ac:dyDescent="0.35">
      <c r="A1445" s="3">
        <v>28</v>
      </c>
      <c r="B1445" s="3">
        <v>42169</v>
      </c>
      <c r="C1445" s="3">
        <v>51</v>
      </c>
      <c r="D1445" s="3">
        <v>1</v>
      </c>
      <c r="E1445" s="25">
        <f t="shared" si="20"/>
        <v>288.68668348898257</v>
      </c>
    </row>
    <row r="1446" spans="1:5" x14ac:dyDescent="0.35">
      <c r="A1446" s="3">
        <v>393</v>
      </c>
      <c r="B1446" s="3">
        <v>41443</v>
      </c>
      <c r="C1446" s="3">
        <v>43</v>
      </c>
      <c r="D1446" s="3">
        <v>1</v>
      </c>
      <c r="E1446" s="25">
        <f t="shared" si="20"/>
        <v>288.57595044766617</v>
      </c>
    </row>
    <row r="1447" spans="1:5" x14ac:dyDescent="0.35">
      <c r="A1447" s="3">
        <v>40</v>
      </c>
      <c r="B1447" s="3">
        <v>26872</v>
      </c>
      <c r="C1447" s="3">
        <v>39</v>
      </c>
      <c r="D1447" s="3">
        <v>0</v>
      </c>
      <c r="E1447" s="25">
        <f t="shared" si="20"/>
        <v>288.45059721150795</v>
      </c>
    </row>
    <row r="1448" spans="1:5" x14ac:dyDescent="0.35">
      <c r="A1448" s="2">
        <v>88</v>
      </c>
      <c r="B1448" s="2">
        <v>42769</v>
      </c>
      <c r="C1448" s="2">
        <v>58</v>
      </c>
      <c r="D1448" s="2">
        <v>1</v>
      </c>
      <c r="E1448" s="25">
        <f t="shared" si="20"/>
        <v>288.06487082306205</v>
      </c>
    </row>
    <row r="1449" spans="1:5" x14ac:dyDescent="0.35">
      <c r="A1449" s="3">
        <v>224</v>
      </c>
      <c r="B1449" s="3">
        <v>43140</v>
      </c>
      <c r="C1449" s="3">
        <v>63</v>
      </c>
      <c r="D1449" s="3">
        <v>1</v>
      </c>
      <c r="E1449" s="25">
        <f t="shared" si="20"/>
        <v>286.44690840997714</v>
      </c>
    </row>
    <row r="1450" spans="1:5" x14ac:dyDescent="0.35">
      <c r="A1450" s="3">
        <v>345</v>
      </c>
      <c r="B1450" s="3">
        <v>44124</v>
      </c>
      <c r="C1450" s="3">
        <v>74</v>
      </c>
      <c r="D1450" s="3">
        <v>1</v>
      </c>
      <c r="E1450" s="25">
        <f t="shared" si="20"/>
        <v>286.30862639573661</v>
      </c>
    </row>
    <row r="1451" spans="1:5" x14ac:dyDescent="0.35">
      <c r="A1451" s="3">
        <v>62</v>
      </c>
      <c r="B1451" s="3">
        <v>41154</v>
      </c>
      <c r="C1451" s="3">
        <v>42</v>
      </c>
      <c r="D1451" s="3">
        <v>1</v>
      </c>
      <c r="E1451" s="25">
        <f t="shared" si="20"/>
        <v>284.52003553297368</v>
      </c>
    </row>
    <row r="1452" spans="1:5" x14ac:dyDescent="0.35">
      <c r="A1452" s="3">
        <v>225</v>
      </c>
      <c r="B1452" s="3">
        <v>43462</v>
      </c>
      <c r="C1452" s="3">
        <v>68</v>
      </c>
      <c r="D1452" s="3">
        <v>1</v>
      </c>
      <c r="E1452" s="25">
        <f t="shared" si="20"/>
        <v>283.82989635784122</v>
      </c>
    </row>
    <row r="1453" spans="1:5" x14ac:dyDescent="0.35">
      <c r="A1453" s="2">
        <v>29</v>
      </c>
      <c r="B1453" s="2">
        <v>41644</v>
      </c>
      <c r="C1453" s="2">
        <v>48</v>
      </c>
      <c r="D1453" s="2">
        <v>1</v>
      </c>
      <c r="E1453" s="25">
        <f t="shared" si="20"/>
        <v>283.49189745011847</v>
      </c>
    </row>
    <row r="1454" spans="1:5" x14ac:dyDescent="0.35">
      <c r="A1454" s="2">
        <v>387</v>
      </c>
      <c r="B1454" s="2">
        <v>41124</v>
      </c>
      <c r="C1454" s="2">
        <v>43</v>
      </c>
      <c r="D1454" s="2">
        <v>1</v>
      </c>
      <c r="E1454" s="25">
        <f t="shared" ref="E1454:E1517" si="21">$B$101+$B1454*$B$102+$C1454*$B$103+$D1454*$B$104</f>
        <v>282.07193340976244</v>
      </c>
    </row>
    <row r="1455" spans="1:5" x14ac:dyDescent="0.35">
      <c r="A1455" s="3">
        <v>17</v>
      </c>
      <c r="B1455" s="3">
        <v>41014</v>
      </c>
      <c r="C1455" s="3">
        <v>42</v>
      </c>
      <c r="D1455" s="3">
        <v>1</v>
      </c>
      <c r="E1455" s="25">
        <f t="shared" si="21"/>
        <v>281.66560799282786</v>
      </c>
    </row>
    <row r="1456" spans="1:5" x14ac:dyDescent="0.35">
      <c r="A1456" s="3">
        <v>33</v>
      </c>
      <c r="B1456" s="3">
        <v>28249</v>
      </c>
      <c r="C1456" s="3">
        <v>59</v>
      </c>
      <c r="D1456" s="3">
        <v>0</v>
      </c>
      <c r="E1456" s="25">
        <f t="shared" si="21"/>
        <v>279.79714936777123</v>
      </c>
    </row>
    <row r="1457" spans="1:5" x14ac:dyDescent="0.35">
      <c r="A1457" s="3">
        <v>15</v>
      </c>
      <c r="B1457" s="3">
        <v>40479</v>
      </c>
      <c r="C1457" s="3">
        <v>38</v>
      </c>
      <c r="D1457" s="3">
        <v>1</v>
      </c>
      <c r="E1457" s="25">
        <f t="shared" si="21"/>
        <v>278.10337335141901</v>
      </c>
    </row>
    <row r="1458" spans="1:5" x14ac:dyDescent="0.35">
      <c r="A1458" s="3">
        <v>42</v>
      </c>
      <c r="B1458" s="3">
        <v>41728</v>
      </c>
      <c r="C1458" s="3">
        <v>52</v>
      </c>
      <c r="D1458" s="3">
        <v>1</v>
      </c>
      <c r="E1458" s="25">
        <f t="shared" si="21"/>
        <v>277.85879765862887</v>
      </c>
    </row>
    <row r="1459" spans="1:5" x14ac:dyDescent="0.35">
      <c r="A1459" s="3">
        <v>607</v>
      </c>
      <c r="B1459" s="3">
        <v>43185</v>
      </c>
      <c r="C1459" s="3">
        <v>69</v>
      </c>
      <c r="D1459" s="3">
        <v>1</v>
      </c>
      <c r="E1459" s="25">
        <f t="shared" si="21"/>
        <v>276.3457685030869</v>
      </c>
    </row>
    <row r="1460" spans="1:5" x14ac:dyDescent="0.35">
      <c r="A1460" s="2">
        <v>69</v>
      </c>
      <c r="B1460" s="2">
        <v>40662</v>
      </c>
      <c r="C1460" s="2">
        <v>41</v>
      </c>
      <c r="D1460" s="2">
        <v>1</v>
      </c>
      <c r="E1460" s="25">
        <f t="shared" si="21"/>
        <v>276.32520068506972</v>
      </c>
    </row>
    <row r="1461" spans="1:5" x14ac:dyDescent="0.35">
      <c r="A1461" s="2">
        <v>353</v>
      </c>
      <c r="B1461" s="2">
        <v>40101</v>
      </c>
      <c r="C1461" s="2">
        <v>35</v>
      </c>
      <c r="D1461" s="2">
        <v>1</v>
      </c>
      <c r="E1461" s="25">
        <f t="shared" si="21"/>
        <v>275.90573622970805</v>
      </c>
    </row>
    <row r="1462" spans="1:5" x14ac:dyDescent="0.35">
      <c r="A1462" s="3">
        <v>221</v>
      </c>
      <c r="B1462" s="3">
        <v>39747</v>
      </c>
      <c r="C1462" s="3">
        <v>32</v>
      </c>
      <c r="D1462" s="3">
        <v>1</v>
      </c>
      <c r="E1462" s="25">
        <f t="shared" si="21"/>
        <v>274.19742954345065</v>
      </c>
    </row>
    <row r="1463" spans="1:5" x14ac:dyDescent="0.35">
      <c r="A1463" s="3">
        <v>343</v>
      </c>
      <c r="B1463" s="3">
        <v>40780</v>
      </c>
      <c r="C1463" s="3">
        <v>44</v>
      </c>
      <c r="D1463" s="3">
        <v>1</v>
      </c>
      <c r="E1463" s="25">
        <f t="shared" si="21"/>
        <v>273.22175808936697</v>
      </c>
    </row>
    <row r="1464" spans="1:5" x14ac:dyDescent="0.35">
      <c r="A1464" s="3">
        <v>269</v>
      </c>
      <c r="B1464" s="3">
        <v>40059</v>
      </c>
      <c r="C1464" s="3">
        <v>36</v>
      </c>
      <c r="D1464" s="3">
        <v>1</v>
      </c>
      <c r="E1464" s="25">
        <f t="shared" si="21"/>
        <v>273.21296888877009</v>
      </c>
    </row>
    <row r="1465" spans="1:5" x14ac:dyDescent="0.35">
      <c r="A1465" s="3">
        <v>50</v>
      </c>
      <c r="B1465" s="3">
        <v>42243</v>
      </c>
      <c r="C1465" s="3">
        <v>61</v>
      </c>
      <c r="D1465" s="3">
        <v>1</v>
      </c>
      <c r="E1465" s="25">
        <f t="shared" si="21"/>
        <v>271.83106154268842</v>
      </c>
    </row>
    <row r="1466" spans="1:5" x14ac:dyDescent="0.35">
      <c r="A1466" s="2">
        <v>384</v>
      </c>
      <c r="B1466" s="2">
        <v>40794</v>
      </c>
      <c r="C1466" s="2">
        <v>45</v>
      </c>
      <c r="D1466" s="2">
        <v>1</v>
      </c>
      <c r="E1466" s="25">
        <f t="shared" si="21"/>
        <v>271.67076176448722</v>
      </c>
    </row>
    <row r="1467" spans="1:5" x14ac:dyDescent="0.35">
      <c r="A1467" s="3">
        <v>252</v>
      </c>
      <c r="B1467" s="3">
        <v>42586</v>
      </c>
      <c r="C1467" s="3">
        <v>65</v>
      </c>
      <c r="D1467" s="3">
        <v>1</v>
      </c>
      <c r="E1467" s="25">
        <f t="shared" si="21"/>
        <v>271.47865270046861</v>
      </c>
    </row>
    <row r="1468" spans="1:5" x14ac:dyDescent="0.35">
      <c r="A1468" s="3">
        <v>190</v>
      </c>
      <c r="B1468" s="3">
        <v>42315</v>
      </c>
      <c r="C1468" s="3">
        <v>62</v>
      </c>
      <c r="D1468" s="3">
        <v>1</v>
      </c>
      <c r="E1468" s="25">
        <f t="shared" si="21"/>
        <v>271.4626137701548</v>
      </c>
    </row>
    <row r="1469" spans="1:5" x14ac:dyDescent="0.35">
      <c r="A1469" s="2">
        <v>62</v>
      </c>
      <c r="B1469" s="2">
        <v>40211</v>
      </c>
      <c r="C1469" s="2">
        <v>39</v>
      </c>
      <c r="D1469" s="2">
        <v>1</v>
      </c>
      <c r="E1469" s="25">
        <f t="shared" si="21"/>
        <v>270.80274440995981</v>
      </c>
    </row>
    <row r="1470" spans="1:5" x14ac:dyDescent="0.35">
      <c r="A1470" s="2">
        <v>149</v>
      </c>
      <c r="B1470" s="2">
        <v>41713</v>
      </c>
      <c r="C1470" s="2">
        <v>56</v>
      </c>
      <c r="D1470" s="2">
        <v>1</v>
      </c>
      <c r="E1470" s="25">
        <f t="shared" si="21"/>
        <v>270.20720982089335</v>
      </c>
    </row>
    <row r="1471" spans="1:5" x14ac:dyDescent="0.35">
      <c r="A1471" s="3">
        <v>303</v>
      </c>
      <c r="B1471" s="3">
        <v>42607</v>
      </c>
      <c r="C1471" s="3">
        <v>66</v>
      </c>
      <c r="D1471" s="3">
        <v>1</v>
      </c>
      <c r="E1471" s="25">
        <f t="shared" si="21"/>
        <v>270.07037775259619</v>
      </c>
    </row>
    <row r="1472" spans="1:5" x14ac:dyDescent="0.35">
      <c r="A1472" s="2">
        <v>182</v>
      </c>
      <c r="B1472" s="2">
        <v>41335</v>
      </c>
      <c r="C1472" s="2">
        <v>52</v>
      </c>
      <c r="D1472" s="2">
        <v>1</v>
      </c>
      <c r="E1472" s="25">
        <f t="shared" si="21"/>
        <v>269.84601177807667</v>
      </c>
    </row>
    <row r="1473" spans="1:5" x14ac:dyDescent="0.35">
      <c r="A1473" s="3">
        <v>350</v>
      </c>
      <c r="B1473" s="3">
        <v>41638</v>
      </c>
      <c r="C1473" s="3">
        <v>56</v>
      </c>
      <c r="D1473" s="3">
        <v>1</v>
      </c>
      <c r="E1473" s="25">
        <f t="shared" si="21"/>
        <v>268.67805221010087</v>
      </c>
    </row>
    <row r="1474" spans="1:5" x14ac:dyDescent="0.35">
      <c r="A1474" s="3">
        <v>120</v>
      </c>
      <c r="B1474" s="3">
        <v>39922</v>
      </c>
      <c r="C1474" s="3">
        <v>37</v>
      </c>
      <c r="D1474" s="3">
        <v>1</v>
      </c>
      <c r="E1474" s="25">
        <f t="shared" si="21"/>
        <v>268.58326857416159</v>
      </c>
    </row>
    <row r="1475" spans="1:5" x14ac:dyDescent="0.35">
      <c r="A1475" s="3">
        <v>254</v>
      </c>
      <c r="B1475" s="3">
        <v>42873</v>
      </c>
      <c r="C1475" s="3">
        <v>70</v>
      </c>
      <c r="D1475" s="3">
        <v>1</v>
      </c>
      <c r="E1475" s="25">
        <f t="shared" si="21"/>
        <v>268.14803376329621</v>
      </c>
    </row>
    <row r="1476" spans="1:5" x14ac:dyDescent="0.35">
      <c r="A1476" s="2">
        <v>9</v>
      </c>
      <c r="B1476" s="2">
        <v>26326</v>
      </c>
      <c r="C1476" s="2">
        <v>44</v>
      </c>
      <c r="D1476" s="2">
        <v>0</v>
      </c>
      <c r="E1476" s="25">
        <f t="shared" si="21"/>
        <v>268.13613441046778</v>
      </c>
    </row>
    <row r="1477" spans="1:5" x14ac:dyDescent="0.35">
      <c r="A1477" s="2">
        <v>63</v>
      </c>
      <c r="B1477" s="2">
        <v>25965</v>
      </c>
      <c r="C1477" s="2">
        <v>40</v>
      </c>
      <c r="D1477" s="2">
        <v>0</v>
      </c>
      <c r="E1477" s="25">
        <f t="shared" si="21"/>
        <v>268.12154542609744</v>
      </c>
    </row>
    <row r="1478" spans="1:5" x14ac:dyDescent="0.35">
      <c r="A1478" s="2">
        <v>343</v>
      </c>
      <c r="B1478" s="2">
        <v>42213</v>
      </c>
      <c r="C1478" s="2">
        <v>63</v>
      </c>
      <c r="D1478" s="2">
        <v>1</v>
      </c>
      <c r="E1478" s="25">
        <f t="shared" si="21"/>
        <v>267.5465203405829</v>
      </c>
    </row>
    <row r="1479" spans="1:5" x14ac:dyDescent="0.35">
      <c r="A1479" s="2">
        <v>191</v>
      </c>
      <c r="B1479" s="2">
        <v>28457</v>
      </c>
      <c r="C1479" s="2">
        <v>68</v>
      </c>
      <c r="D1479" s="2">
        <v>0</v>
      </c>
      <c r="E1479" s="25">
        <f t="shared" si="21"/>
        <v>267.51006143165375</v>
      </c>
    </row>
    <row r="1480" spans="1:5" x14ac:dyDescent="0.35">
      <c r="A1480" s="3">
        <v>256</v>
      </c>
      <c r="B1480" s="3">
        <v>41551</v>
      </c>
      <c r="C1480" s="3">
        <v>56</v>
      </c>
      <c r="D1480" s="3">
        <v>1</v>
      </c>
      <c r="E1480" s="25">
        <f t="shared" si="21"/>
        <v>266.90422938158167</v>
      </c>
    </row>
    <row r="1481" spans="1:5" x14ac:dyDescent="0.35">
      <c r="A1481" s="2">
        <v>228</v>
      </c>
      <c r="B1481" s="2">
        <v>26877</v>
      </c>
      <c r="C1481" s="2">
        <v>51</v>
      </c>
      <c r="D1481" s="2">
        <v>0</v>
      </c>
      <c r="E1481" s="25">
        <f t="shared" si="21"/>
        <v>266.51527210549614</v>
      </c>
    </row>
    <row r="1482" spans="1:5" x14ac:dyDescent="0.35">
      <c r="A1482" s="2">
        <v>64</v>
      </c>
      <c r="B1482" s="2">
        <v>39684</v>
      </c>
      <c r="C1482" s="2">
        <v>36</v>
      </c>
      <c r="D1482" s="2">
        <v>1</v>
      </c>
      <c r="E1482" s="25">
        <f t="shared" si="21"/>
        <v>265.56718083480803</v>
      </c>
    </row>
    <row r="1483" spans="1:5" x14ac:dyDescent="0.35">
      <c r="A1483" s="2">
        <v>35</v>
      </c>
      <c r="B1483" s="2">
        <v>40851</v>
      </c>
      <c r="C1483" s="2">
        <v>49</v>
      </c>
      <c r="D1483" s="2">
        <v>1</v>
      </c>
      <c r="E1483" s="25">
        <f t="shared" si="21"/>
        <v>265.48716523311236</v>
      </c>
    </row>
    <row r="1484" spans="1:5" x14ac:dyDescent="0.35">
      <c r="A1484" s="2">
        <v>57</v>
      </c>
      <c r="B1484" s="2">
        <v>41120</v>
      </c>
      <c r="C1484" s="2">
        <v>52</v>
      </c>
      <c r="D1484" s="2">
        <v>1</v>
      </c>
      <c r="E1484" s="25">
        <f t="shared" si="21"/>
        <v>265.46242662713837</v>
      </c>
    </row>
    <row r="1485" spans="1:5" x14ac:dyDescent="0.35">
      <c r="A1485" s="2">
        <v>52</v>
      </c>
      <c r="B1485" s="2">
        <v>41021</v>
      </c>
      <c r="C1485" s="2">
        <v>51</v>
      </c>
      <c r="D1485" s="2">
        <v>1</v>
      </c>
      <c r="E1485" s="25">
        <f t="shared" si="21"/>
        <v>265.28037765978672</v>
      </c>
    </row>
    <row r="1486" spans="1:5" x14ac:dyDescent="0.35">
      <c r="A1486" s="2">
        <v>56</v>
      </c>
      <c r="B1486" s="2">
        <v>28332</v>
      </c>
      <c r="C1486" s="2">
        <v>68</v>
      </c>
      <c r="D1486" s="2">
        <v>0</v>
      </c>
      <c r="E1486" s="25">
        <f t="shared" si="21"/>
        <v>264.96146541366636</v>
      </c>
    </row>
    <row r="1487" spans="1:5" x14ac:dyDescent="0.35">
      <c r="A1487" s="2">
        <v>92</v>
      </c>
      <c r="B1487" s="2">
        <v>27038</v>
      </c>
      <c r="C1487" s="2">
        <v>54</v>
      </c>
      <c r="D1487" s="2">
        <v>0</v>
      </c>
      <c r="E1487" s="25">
        <f t="shared" si="21"/>
        <v>264.2885465399811</v>
      </c>
    </row>
    <row r="1488" spans="1:5" x14ac:dyDescent="0.35">
      <c r="A1488" s="2">
        <v>12</v>
      </c>
      <c r="B1488" s="2">
        <v>40246</v>
      </c>
      <c r="C1488" s="2">
        <v>43</v>
      </c>
      <c r="D1488" s="2">
        <v>1</v>
      </c>
      <c r="E1488" s="25">
        <f t="shared" si="21"/>
        <v>264.17059497941921</v>
      </c>
    </row>
    <row r="1489" spans="1:5" x14ac:dyDescent="0.35">
      <c r="A1489" s="2">
        <v>263</v>
      </c>
      <c r="B1489" s="2">
        <v>39660</v>
      </c>
      <c r="C1489" s="2">
        <v>38</v>
      </c>
      <c r="D1489" s="2">
        <v>1</v>
      </c>
      <c r="E1489" s="25">
        <f t="shared" si="21"/>
        <v>261.40497224156582</v>
      </c>
    </row>
    <row r="1490" spans="1:5" x14ac:dyDescent="0.35">
      <c r="A1490" s="2">
        <v>216</v>
      </c>
      <c r="B1490" s="2">
        <v>40344</v>
      </c>
      <c r="C1490" s="2">
        <v>46</v>
      </c>
      <c r="D1490" s="2">
        <v>1</v>
      </c>
      <c r="E1490" s="25">
        <f t="shared" si="21"/>
        <v>260.65937702083852</v>
      </c>
    </row>
    <row r="1491" spans="1:5" x14ac:dyDescent="0.35">
      <c r="A1491" s="2">
        <v>147</v>
      </c>
      <c r="B1491" s="2">
        <v>40233</v>
      </c>
      <c r="C1491" s="2">
        <v>45</v>
      </c>
      <c r="D1491" s="2">
        <v>1</v>
      </c>
      <c r="E1491" s="25">
        <f t="shared" si="21"/>
        <v>260.23266283576004</v>
      </c>
    </row>
    <row r="1492" spans="1:5" x14ac:dyDescent="0.35">
      <c r="A1492" s="3">
        <v>185</v>
      </c>
      <c r="B1492" s="3">
        <v>39665</v>
      </c>
      <c r="C1492" s="3">
        <v>39</v>
      </c>
      <c r="D1492" s="3">
        <v>1</v>
      </c>
      <c r="E1492" s="25">
        <f t="shared" si="21"/>
        <v>259.67047700339106</v>
      </c>
    </row>
    <row r="1493" spans="1:5" x14ac:dyDescent="0.35">
      <c r="A1493" s="3">
        <v>53</v>
      </c>
      <c r="B1493" s="3">
        <v>39453</v>
      </c>
      <c r="C1493" s="3">
        <v>37</v>
      </c>
      <c r="D1493" s="3">
        <v>1</v>
      </c>
      <c r="E1493" s="25">
        <f t="shared" si="21"/>
        <v>259.02093631467301</v>
      </c>
    </row>
    <row r="1494" spans="1:5" x14ac:dyDescent="0.35">
      <c r="A1494" s="2">
        <v>153</v>
      </c>
      <c r="B1494" s="2">
        <v>39146</v>
      </c>
      <c r="C1494" s="2">
        <v>34</v>
      </c>
      <c r="D1494" s="2">
        <v>1</v>
      </c>
      <c r="E1494" s="25">
        <f t="shared" si="21"/>
        <v>258.27090173117892</v>
      </c>
    </row>
    <row r="1495" spans="1:5" x14ac:dyDescent="0.35">
      <c r="A1495" s="2">
        <v>117</v>
      </c>
      <c r="B1495" s="2">
        <v>40548</v>
      </c>
      <c r="C1495" s="2">
        <v>50</v>
      </c>
      <c r="D1495" s="2">
        <v>1</v>
      </c>
      <c r="E1495" s="25">
        <f t="shared" si="21"/>
        <v>257.4729294066168</v>
      </c>
    </row>
    <row r="1496" spans="1:5" x14ac:dyDescent="0.35">
      <c r="A1496" s="2">
        <v>76</v>
      </c>
      <c r="B1496" s="2">
        <v>40706</v>
      </c>
      <c r="C1496" s="2">
        <v>52</v>
      </c>
      <c r="D1496" s="2">
        <v>1</v>
      </c>
      <c r="E1496" s="25">
        <f t="shared" si="21"/>
        <v>257.02147661556421</v>
      </c>
    </row>
    <row r="1497" spans="1:5" x14ac:dyDescent="0.35">
      <c r="A1497" s="2">
        <v>20</v>
      </c>
      <c r="B1497" s="2">
        <v>28389</v>
      </c>
      <c r="C1497" s="2">
        <v>73</v>
      </c>
      <c r="D1497" s="2">
        <v>0</v>
      </c>
      <c r="E1497" s="25">
        <f t="shared" si="21"/>
        <v>256.94142980339723</v>
      </c>
    </row>
    <row r="1498" spans="1:5" x14ac:dyDescent="0.35">
      <c r="A1498" s="2">
        <v>75</v>
      </c>
      <c r="B1498" s="2">
        <v>40321</v>
      </c>
      <c r="C1498" s="2">
        <v>48</v>
      </c>
      <c r="D1498" s="2">
        <v>1</v>
      </c>
      <c r="E1498" s="25">
        <f t="shared" si="21"/>
        <v>256.51755719574032</v>
      </c>
    </row>
    <row r="1499" spans="1:5" x14ac:dyDescent="0.35">
      <c r="A1499" s="2">
        <v>221</v>
      </c>
      <c r="B1499" s="2">
        <v>40590</v>
      </c>
      <c r="C1499" s="2">
        <v>51</v>
      </c>
      <c r="D1499" s="2">
        <v>1</v>
      </c>
      <c r="E1499" s="25">
        <f t="shared" si="21"/>
        <v>256.49281858976622</v>
      </c>
    </row>
    <row r="1500" spans="1:5" x14ac:dyDescent="0.35">
      <c r="A1500" s="2">
        <v>69</v>
      </c>
      <c r="B1500" s="2">
        <v>38872</v>
      </c>
      <c r="C1500" s="2">
        <v>32</v>
      </c>
      <c r="D1500" s="2">
        <v>1</v>
      </c>
      <c r="E1500" s="25">
        <f t="shared" si="21"/>
        <v>256.35725741753913</v>
      </c>
    </row>
    <row r="1501" spans="1:5" x14ac:dyDescent="0.35">
      <c r="A1501" s="2">
        <v>494</v>
      </c>
      <c r="B1501" s="2">
        <v>41769</v>
      </c>
      <c r="C1501" s="2">
        <v>65</v>
      </c>
      <c r="D1501" s="2">
        <v>1</v>
      </c>
      <c r="E1501" s="25">
        <f t="shared" si="21"/>
        <v>254.82102912690323</v>
      </c>
    </row>
    <row r="1502" spans="1:5" x14ac:dyDescent="0.35">
      <c r="A1502" s="2">
        <v>262</v>
      </c>
      <c r="B1502" s="2">
        <v>40049</v>
      </c>
      <c r="C1502" s="2">
        <v>46</v>
      </c>
      <c r="D1502" s="2">
        <v>1</v>
      </c>
      <c r="E1502" s="25">
        <f t="shared" si="21"/>
        <v>254.64469041838834</v>
      </c>
    </row>
    <row r="1503" spans="1:5" x14ac:dyDescent="0.35">
      <c r="A1503" s="2">
        <v>36</v>
      </c>
      <c r="B1503" s="2">
        <v>39771</v>
      </c>
      <c r="C1503" s="2">
        <v>43</v>
      </c>
      <c r="D1503" s="2">
        <v>1</v>
      </c>
      <c r="E1503" s="25">
        <f t="shared" si="21"/>
        <v>254.48593011106732</v>
      </c>
    </row>
    <row r="1504" spans="1:5" x14ac:dyDescent="0.35">
      <c r="A1504" s="2">
        <v>275</v>
      </c>
      <c r="B1504" s="2">
        <v>38683</v>
      </c>
      <c r="C1504" s="2">
        <v>31</v>
      </c>
      <c r="D1504" s="2">
        <v>1</v>
      </c>
      <c r="E1504" s="25">
        <f t="shared" si="21"/>
        <v>254.34021931723657</v>
      </c>
    </row>
    <row r="1505" spans="1:5" x14ac:dyDescent="0.35">
      <c r="A1505" s="3">
        <v>52</v>
      </c>
      <c r="B1505" s="3">
        <v>41275</v>
      </c>
      <c r="C1505" s="3">
        <v>60</v>
      </c>
      <c r="D1505" s="3">
        <v>1</v>
      </c>
      <c r="E1505" s="25">
        <f t="shared" si="21"/>
        <v>253.93117305828855</v>
      </c>
    </row>
    <row r="1506" spans="1:5" x14ac:dyDescent="0.35">
      <c r="A1506" s="3">
        <v>14</v>
      </c>
      <c r="B1506" s="3">
        <v>39996</v>
      </c>
      <c r="C1506" s="3">
        <v>46</v>
      </c>
      <c r="D1506" s="3">
        <v>1</v>
      </c>
      <c r="E1506" s="25">
        <f t="shared" si="21"/>
        <v>253.56408570676172</v>
      </c>
    </row>
    <row r="1507" spans="1:5" x14ac:dyDescent="0.35">
      <c r="A1507" s="2">
        <v>17</v>
      </c>
      <c r="B1507" s="2">
        <v>40521</v>
      </c>
      <c r="C1507" s="2">
        <v>52</v>
      </c>
      <c r="D1507" s="2">
        <v>1</v>
      </c>
      <c r="E1507" s="25">
        <f t="shared" si="21"/>
        <v>253.24955450894299</v>
      </c>
    </row>
    <row r="1508" spans="1:5" x14ac:dyDescent="0.35">
      <c r="A1508" s="2">
        <v>87</v>
      </c>
      <c r="B1508" s="2">
        <v>40760</v>
      </c>
      <c r="C1508" s="2">
        <v>55</v>
      </c>
      <c r="D1508" s="2">
        <v>1</v>
      </c>
      <c r="E1508" s="25">
        <f t="shared" si="21"/>
        <v>252.61315285865203</v>
      </c>
    </row>
    <row r="1509" spans="1:5" x14ac:dyDescent="0.35">
      <c r="A1509" s="2">
        <v>155</v>
      </c>
      <c r="B1509" s="2">
        <v>24279</v>
      </c>
      <c r="C1509" s="2">
        <v>30</v>
      </c>
      <c r="D1509" s="2">
        <v>0</v>
      </c>
      <c r="E1509" s="25">
        <f t="shared" si="21"/>
        <v>252.11047312442668</v>
      </c>
    </row>
    <row r="1510" spans="1:5" x14ac:dyDescent="0.35">
      <c r="A1510" s="2">
        <v>31</v>
      </c>
      <c r="B1510" s="2">
        <v>41437</v>
      </c>
      <c r="C1510" s="2">
        <v>63</v>
      </c>
      <c r="D1510" s="2">
        <v>1</v>
      </c>
      <c r="E1510" s="25">
        <f t="shared" si="21"/>
        <v>251.7248362609173</v>
      </c>
    </row>
    <row r="1511" spans="1:5" x14ac:dyDescent="0.35">
      <c r="A1511" s="3">
        <v>89</v>
      </c>
      <c r="B1511" s="3">
        <v>40800</v>
      </c>
      <c r="C1511" s="3">
        <v>56</v>
      </c>
      <c r="D1511" s="3">
        <v>1</v>
      </c>
      <c r="E1511" s="25">
        <f t="shared" si="21"/>
        <v>251.59226450551364</v>
      </c>
    </row>
    <row r="1512" spans="1:5" x14ac:dyDescent="0.35">
      <c r="A1512" s="3">
        <v>32</v>
      </c>
      <c r="B1512" s="3">
        <v>39062</v>
      </c>
      <c r="C1512" s="3">
        <v>37</v>
      </c>
      <c r="D1512" s="3">
        <v>1</v>
      </c>
      <c r="E1512" s="25">
        <f t="shared" si="21"/>
        <v>251.04892797040861</v>
      </c>
    </row>
    <row r="1513" spans="1:5" x14ac:dyDescent="0.35">
      <c r="A1513" s="3">
        <v>35</v>
      </c>
      <c r="B1513" s="3">
        <v>40637</v>
      </c>
      <c r="C1513" s="3">
        <v>55</v>
      </c>
      <c r="D1513" s="3">
        <v>1</v>
      </c>
      <c r="E1513" s="25">
        <f t="shared" si="21"/>
        <v>250.10533437695244</v>
      </c>
    </row>
    <row r="1514" spans="1:5" x14ac:dyDescent="0.35">
      <c r="A1514" s="2">
        <v>269</v>
      </c>
      <c r="B1514" s="2">
        <v>27421</v>
      </c>
      <c r="C1514" s="2">
        <v>66</v>
      </c>
      <c r="D1514" s="2">
        <v>0</v>
      </c>
      <c r="E1514" s="25">
        <f t="shared" si="21"/>
        <v>250.06017579236311</v>
      </c>
    </row>
    <row r="1515" spans="1:5" x14ac:dyDescent="0.35">
      <c r="A1515" s="3">
        <v>121</v>
      </c>
      <c r="B1515" s="3">
        <v>38360</v>
      </c>
      <c r="C1515" s="3">
        <v>31</v>
      </c>
      <c r="D1515" s="3">
        <v>1</v>
      </c>
      <c r="E1515" s="25">
        <f t="shared" si="21"/>
        <v>247.75464720675723</v>
      </c>
    </row>
    <row r="1516" spans="1:5" x14ac:dyDescent="0.35">
      <c r="A1516" s="3">
        <v>54</v>
      </c>
      <c r="B1516" s="3">
        <v>40304</v>
      </c>
      <c r="C1516" s="3">
        <v>53</v>
      </c>
      <c r="D1516" s="3">
        <v>1</v>
      </c>
      <c r="E1516" s="25">
        <f t="shared" si="21"/>
        <v>246.98875274282261</v>
      </c>
    </row>
    <row r="1517" spans="1:5" x14ac:dyDescent="0.35">
      <c r="A1517" s="3">
        <v>51</v>
      </c>
      <c r="B1517" s="3">
        <v>24711</v>
      </c>
      <c r="C1517" s="3">
        <v>38</v>
      </c>
      <c r="D1517" s="3">
        <v>0</v>
      </c>
      <c r="E1517" s="25">
        <f t="shared" si="21"/>
        <v>246.22690833143679</v>
      </c>
    </row>
    <row r="1518" spans="1:5" x14ac:dyDescent="0.35">
      <c r="A1518" s="3">
        <v>389</v>
      </c>
      <c r="B1518" s="3">
        <v>38508</v>
      </c>
      <c r="C1518" s="3">
        <v>34</v>
      </c>
      <c r="D1518" s="3">
        <v>1</v>
      </c>
      <c r="E1518" s="25">
        <f t="shared" ref="E1518:E1581" si="22">$B$101+$B1518*$B$102+$C1518*$B$103+$D1518*$B$104</f>
        <v>245.26286765537145</v>
      </c>
    </row>
    <row r="1519" spans="1:5" x14ac:dyDescent="0.35">
      <c r="A1519" s="2">
        <v>91</v>
      </c>
      <c r="B1519" s="2">
        <v>27450</v>
      </c>
      <c r="C1519" s="2">
        <v>69</v>
      </c>
      <c r="D1519" s="2">
        <v>0</v>
      </c>
      <c r="E1519" s="25">
        <f t="shared" si="22"/>
        <v>245.14213283185333</v>
      </c>
    </row>
    <row r="1520" spans="1:5" x14ac:dyDescent="0.35">
      <c r="A1520" s="2">
        <v>67</v>
      </c>
      <c r="B1520" s="2">
        <v>38680</v>
      </c>
      <c r="C1520" s="2">
        <v>36</v>
      </c>
      <c r="D1520" s="2">
        <v>1</v>
      </c>
      <c r="E1520" s="25">
        <f t="shared" si="22"/>
        <v>245.0968576183335</v>
      </c>
    </row>
    <row r="1521" spans="1:5" x14ac:dyDescent="0.35">
      <c r="A1521" s="3">
        <v>16</v>
      </c>
      <c r="B1521" s="3">
        <v>41452</v>
      </c>
      <c r="C1521" s="3">
        <v>67</v>
      </c>
      <c r="D1521" s="3">
        <v>1</v>
      </c>
      <c r="E1521" s="25">
        <f t="shared" si="22"/>
        <v>244.68491146749875</v>
      </c>
    </row>
    <row r="1522" spans="1:5" x14ac:dyDescent="0.35">
      <c r="A1522" s="2">
        <v>17</v>
      </c>
      <c r="B1522" s="2">
        <v>39356</v>
      </c>
      <c r="C1522" s="2">
        <v>44</v>
      </c>
      <c r="D1522" s="2">
        <v>1</v>
      </c>
      <c r="E1522" s="25">
        <f t="shared" si="22"/>
        <v>244.18815225245498</v>
      </c>
    </row>
    <row r="1523" spans="1:5" x14ac:dyDescent="0.35">
      <c r="A1523" s="3">
        <v>153</v>
      </c>
      <c r="B1523" s="3">
        <v>39791</v>
      </c>
      <c r="C1523" s="3">
        <v>49</v>
      </c>
      <c r="D1523" s="3">
        <v>1</v>
      </c>
      <c r="E1523" s="25">
        <f t="shared" si="22"/>
        <v>243.87507100057962</v>
      </c>
    </row>
    <row r="1524" spans="1:5" x14ac:dyDescent="0.35">
      <c r="A1524" s="3">
        <v>151</v>
      </c>
      <c r="B1524" s="3">
        <v>39763</v>
      </c>
      <c r="C1524" s="3">
        <v>49</v>
      </c>
      <c r="D1524" s="3">
        <v>1</v>
      </c>
      <c r="E1524" s="25">
        <f t="shared" si="22"/>
        <v>243.30418549255046</v>
      </c>
    </row>
    <row r="1525" spans="1:5" x14ac:dyDescent="0.35">
      <c r="A1525" s="3">
        <v>69</v>
      </c>
      <c r="B1525" s="3">
        <v>39858</v>
      </c>
      <c r="C1525" s="3">
        <v>51</v>
      </c>
      <c r="D1525" s="3">
        <v>1</v>
      </c>
      <c r="E1525" s="25">
        <f t="shared" si="22"/>
        <v>241.56824030843234</v>
      </c>
    </row>
    <row r="1526" spans="1:5" x14ac:dyDescent="0.35">
      <c r="A1526" s="3">
        <v>89</v>
      </c>
      <c r="B1526" s="3">
        <v>39435</v>
      </c>
      <c r="C1526" s="3">
        <v>47</v>
      </c>
      <c r="D1526" s="3">
        <v>1</v>
      </c>
      <c r="E1526" s="25">
        <f t="shared" si="22"/>
        <v>240.28954769914014</v>
      </c>
    </row>
    <row r="1527" spans="1:5" x14ac:dyDescent="0.35">
      <c r="A1527" s="3">
        <v>37</v>
      </c>
      <c r="B1527" s="3">
        <v>38197</v>
      </c>
      <c r="C1527" s="3">
        <v>34</v>
      </c>
      <c r="D1527" s="3">
        <v>1</v>
      </c>
      <c r="E1527" s="25">
        <f t="shared" si="22"/>
        <v>238.92196076261894</v>
      </c>
    </row>
    <row r="1528" spans="1:5" x14ac:dyDescent="0.35">
      <c r="A1528" s="2">
        <v>185</v>
      </c>
      <c r="B1528" s="2">
        <v>26490</v>
      </c>
      <c r="C1528" s="2">
        <v>62</v>
      </c>
      <c r="D1528" s="2">
        <v>0</v>
      </c>
      <c r="E1528" s="25">
        <f t="shared" si="22"/>
        <v>238.42398896597035</v>
      </c>
    </row>
    <row r="1529" spans="1:5" x14ac:dyDescent="0.35">
      <c r="A1529" s="2">
        <v>17</v>
      </c>
      <c r="B1529" s="2">
        <v>27469</v>
      </c>
      <c r="C1529" s="2">
        <v>73</v>
      </c>
      <c r="D1529" s="2">
        <v>0</v>
      </c>
      <c r="E1529" s="25">
        <f t="shared" si="22"/>
        <v>238.18376311101028</v>
      </c>
    </row>
    <row r="1530" spans="1:5" x14ac:dyDescent="0.35">
      <c r="A1530" s="2">
        <v>306</v>
      </c>
      <c r="B1530" s="2">
        <v>38513</v>
      </c>
      <c r="C1530" s="2">
        <v>38</v>
      </c>
      <c r="D1530" s="2">
        <v>1</v>
      </c>
      <c r="E1530" s="25">
        <f t="shared" si="22"/>
        <v>238.01905518051387</v>
      </c>
    </row>
    <row r="1531" spans="1:5" x14ac:dyDescent="0.35">
      <c r="A1531" s="2">
        <v>15</v>
      </c>
      <c r="B1531" s="2">
        <v>40737</v>
      </c>
      <c r="C1531" s="2">
        <v>63</v>
      </c>
      <c r="D1531" s="2">
        <v>1</v>
      </c>
      <c r="E1531" s="25">
        <f t="shared" si="22"/>
        <v>237.45269856018808</v>
      </c>
    </row>
    <row r="1532" spans="1:5" x14ac:dyDescent="0.35">
      <c r="A1532" s="2">
        <v>27</v>
      </c>
      <c r="B1532" s="2">
        <v>23830</v>
      </c>
      <c r="C1532" s="2">
        <v>33</v>
      </c>
      <c r="D1532" s="2">
        <v>0</v>
      </c>
      <c r="E1532" s="25">
        <f t="shared" si="22"/>
        <v>237.44659899113327</v>
      </c>
    </row>
    <row r="1533" spans="1:5" x14ac:dyDescent="0.35">
      <c r="A1533" s="2">
        <v>121</v>
      </c>
      <c r="B1533" s="2">
        <v>39190</v>
      </c>
      <c r="C1533" s="2">
        <v>46</v>
      </c>
      <c r="D1533" s="2">
        <v>1</v>
      </c>
      <c r="E1533" s="25">
        <f t="shared" si="22"/>
        <v>237.13073858277926</v>
      </c>
    </row>
    <row r="1534" spans="1:5" x14ac:dyDescent="0.35">
      <c r="A1534" s="3">
        <v>18</v>
      </c>
      <c r="B1534" s="3">
        <v>38547</v>
      </c>
      <c r="C1534" s="3">
        <v>39</v>
      </c>
      <c r="D1534" s="3">
        <v>1</v>
      </c>
      <c r="E1534" s="25">
        <f t="shared" si="22"/>
        <v>236.87583421851218</v>
      </c>
    </row>
    <row r="1535" spans="1:5" x14ac:dyDescent="0.35">
      <c r="A1535" s="3">
        <v>290</v>
      </c>
      <c r="B1535" s="3">
        <v>26997</v>
      </c>
      <c r="C1535" s="3">
        <v>69</v>
      </c>
      <c r="D1535" s="3">
        <v>0</v>
      </c>
      <c r="E1535" s="25">
        <f t="shared" si="22"/>
        <v>235.90602086266708</v>
      </c>
    </row>
    <row r="1536" spans="1:5" x14ac:dyDescent="0.35">
      <c r="A1536" s="2">
        <v>150</v>
      </c>
      <c r="B1536" s="2">
        <v>38175</v>
      </c>
      <c r="C1536" s="2">
        <v>36</v>
      </c>
      <c r="D1536" s="2">
        <v>1</v>
      </c>
      <c r="E1536" s="25">
        <f t="shared" si="22"/>
        <v>234.80052970566453</v>
      </c>
    </row>
    <row r="1537" spans="1:5" x14ac:dyDescent="0.35">
      <c r="A1537" s="3">
        <v>69</v>
      </c>
      <c r="B1537" s="3">
        <v>38702</v>
      </c>
      <c r="C1537" s="3">
        <v>42</v>
      </c>
      <c r="D1537" s="3">
        <v>1</v>
      </c>
      <c r="E1537" s="25">
        <f t="shared" si="22"/>
        <v>234.52677604413361</v>
      </c>
    </row>
    <row r="1538" spans="1:5" x14ac:dyDescent="0.35">
      <c r="A1538" s="3">
        <v>352</v>
      </c>
      <c r="B1538" s="3">
        <v>24401</v>
      </c>
      <c r="C1538" s="3">
        <v>41</v>
      </c>
      <c r="D1538" s="3">
        <v>0</v>
      </c>
      <c r="E1538" s="25">
        <f t="shared" si="22"/>
        <v>234.39707297014533</v>
      </c>
    </row>
    <row r="1539" spans="1:5" x14ac:dyDescent="0.35">
      <c r="A1539" s="2">
        <v>39</v>
      </c>
      <c r="B1539" s="2">
        <v>38643</v>
      </c>
      <c r="C1539" s="2">
        <v>42</v>
      </c>
      <c r="D1539" s="2">
        <v>1</v>
      </c>
      <c r="E1539" s="25">
        <f t="shared" si="22"/>
        <v>233.32383872364358</v>
      </c>
    </row>
    <row r="1540" spans="1:5" x14ac:dyDescent="0.35">
      <c r="A1540" s="3">
        <v>12</v>
      </c>
      <c r="B1540" s="3">
        <v>41145</v>
      </c>
      <c r="C1540" s="3">
        <v>70</v>
      </c>
      <c r="D1540" s="3">
        <v>1</v>
      </c>
      <c r="E1540" s="25">
        <f t="shared" si="22"/>
        <v>232.91624241063892</v>
      </c>
    </row>
    <row r="1541" spans="1:5" x14ac:dyDescent="0.35">
      <c r="A1541" s="3">
        <v>153</v>
      </c>
      <c r="B1541" s="3">
        <v>38593</v>
      </c>
      <c r="C1541" s="3">
        <v>42</v>
      </c>
      <c r="D1541" s="3">
        <v>1</v>
      </c>
      <c r="E1541" s="25">
        <f t="shared" si="22"/>
        <v>232.30440031644866</v>
      </c>
    </row>
    <row r="1542" spans="1:5" x14ac:dyDescent="0.35">
      <c r="A1542" s="3">
        <v>39</v>
      </c>
      <c r="B1542" s="3">
        <v>40451</v>
      </c>
      <c r="C1542" s="3">
        <v>63</v>
      </c>
      <c r="D1542" s="3">
        <v>1</v>
      </c>
      <c r="E1542" s="25">
        <f t="shared" si="22"/>
        <v>231.62151087103302</v>
      </c>
    </row>
    <row r="1543" spans="1:5" x14ac:dyDescent="0.35">
      <c r="A1543" s="2">
        <v>118</v>
      </c>
      <c r="B1543" s="2">
        <v>38557</v>
      </c>
      <c r="C1543" s="2">
        <v>42</v>
      </c>
      <c r="D1543" s="2">
        <v>1</v>
      </c>
      <c r="E1543" s="25">
        <f t="shared" si="22"/>
        <v>231.57040466326828</v>
      </c>
    </row>
    <row r="1544" spans="1:5" x14ac:dyDescent="0.35">
      <c r="A1544" s="2">
        <v>118</v>
      </c>
      <c r="B1544" s="2">
        <v>40887</v>
      </c>
      <c r="C1544" s="2">
        <v>68</v>
      </c>
      <c r="D1544" s="2">
        <v>1</v>
      </c>
      <c r="E1544" s="25">
        <f t="shared" si="22"/>
        <v>231.32881838730157</v>
      </c>
    </row>
    <row r="1545" spans="1:5" x14ac:dyDescent="0.35">
      <c r="A1545" s="2">
        <v>46</v>
      </c>
      <c r="B1545" s="2">
        <v>38961</v>
      </c>
      <c r="C1545" s="2">
        <v>47</v>
      </c>
      <c r="D1545" s="2">
        <v>1</v>
      </c>
      <c r="E1545" s="25">
        <f t="shared" si="22"/>
        <v>230.62527159893204</v>
      </c>
    </row>
    <row r="1546" spans="1:5" x14ac:dyDescent="0.35">
      <c r="A1546" s="3">
        <v>306</v>
      </c>
      <c r="B1546" s="3">
        <v>38988</v>
      </c>
      <c r="C1546" s="3">
        <v>48</v>
      </c>
      <c r="D1546" s="3">
        <v>1</v>
      </c>
      <c r="E1546" s="25">
        <f t="shared" si="22"/>
        <v>229.33932925992303</v>
      </c>
    </row>
    <row r="1547" spans="1:5" x14ac:dyDescent="0.35">
      <c r="A1547" s="3">
        <v>40</v>
      </c>
      <c r="B1547" s="3">
        <v>38415</v>
      </c>
      <c r="C1547" s="3">
        <v>42</v>
      </c>
      <c r="D1547" s="3">
        <v>1</v>
      </c>
      <c r="E1547" s="25">
        <f t="shared" si="22"/>
        <v>228.67519958683465</v>
      </c>
    </row>
    <row r="1548" spans="1:5" x14ac:dyDescent="0.35">
      <c r="A1548" s="2">
        <v>39</v>
      </c>
      <c r="B1548" s="2">
        <v>38887</v>
      </c>
      <c r="C1548" s="2">
        <v>48</v>
      </c>
      <c r="D1548" s="2">
        <v>1</v>
      </c>
      <c r="E1548" s="25">
        <f t="shared" si="22"/>
        <v>227.28006367738931</v>
      </c>
    </row>
    <row r="1549" spans="1:5" x14ac:dyDescent="0.35">
      <c r="A1549" s="3">
        <v>216</v>
      </c>
      <c r="B1549" s="3">
        <v>38808</v>
      </c>
      <c r="C1549" s="3">
        <v>48</v>
      </c>
      <c r="D1549" s="3">
        <v>1</v>
      </c>
      <c r="E1549" s="25">
        <f t="shared" si="22"/>
        <v>225.66935099402133</v>
      </c>
    </row>
    <row r="1550" spans="1:5" x14ac:dyDescent="0.35">
      <c r="A1550" s="2">
        <v>345</v>
      </c>
      <c r="B1550" s="2">
        <v>40689</v>
      </c>
      <c r="C1550" s="2">
        <v>69</v>
      </c>
      <c r="D1550" s="2">
        <v>1</v>
      </c>
      <c r="E1550" s="25">
        <f t="shared" si="22"/>
        <v>225.45540321591534</v>
      </c>
    </row>
    <row r="1551" spans="1:5" x14ac:dyDescent="0.35">
      <c r="A1551" s="3">
        <v>589</v>
      </c>
      <c r="B1551" s="3">
        <v>40464</v>
      </c>
      <c r="C1551" s="3">
        <v>67</v>
      </c>
      <c r="D1551" s="3">
        <v>1</v>
      </c>
      <c r="E1551" s="25">
        <f t="shared" si="22"/>
        <v>224.54080854132667</v>
      </c>
    </row>
    <row r="1552" spans="1:5" x14ac:dyDescent="0.35">
      <c r="A1552" s="2">
        <v>36</v>
      </c>
      <c r="B1552" s="2">
        <v>39548</v>
      </c>
      <c r="C1552" s="2">
        <v>57</v>
      </c>
      <c r="D1552" s="2">
        <v>1</v>
      </c>
      <c r="E1552" s="25">
        <f t="shared" si="22"/>
        <v>224.22908771045797</v>
      </c>
    </row>
    <row r="1553" spans="1:5" x14ac:dyDescent="0.35">
      <c r="A1553" s="2">
        <v>71</v>
      </c>
      <c r="B1553" s="2">
        <v>37155</v>
      </c>
      <c r="C1553" s="2">
        <v>31</v>
      </c>
      <c r="D1553" s="2">
        <v>1</v>
      </c>
      <c r="E1553" s="25">
        <f t="shared" si="22"/>
        <v>223.18618159335904</v>
      </c>
    </row>
    <row r="1554" spans="1:5" x14ac:dyDescent="0.35">
      <c r="A1554" s="2">
        <v>70</v>
      </c>
      <c r="B1554" s="2">
        <v>38136</v>
      </c>
      <c r="C1554" s="2">
        <v>42</v>
      </c>
      <c r="D1554" s="2">
        <v>1</v>
      </c>
      <c r="E1554" s="25">
        <f t="shared" si="22"/>
        <v>222.98673327468691</v>
      </c>
    </row>
    <row r="1555" spans="1:5" x14ac:dyDescent="0.35">
      <c r="A1555" s="3">
        <v>43</v>
      </c>
      <c r="B1555" s="3">
        <v>38853</v>
      </c>
      <c r="C1555" s="3">
        <v>50</v>
      </c>
      <c r="D1555" s="3">
        <v>1</v>
      </c>
      <c r="E1555" s="25">
        <f t="shared" si="22"/>
        <v>222.91396740270818</v>
      </c>
    </row>
    <row r="1556" spans="1:5" x14ac:dyDescent="0.35">
      <c r="A1556" s="2">
        <v>41</v>
      </c>
      <c r="B1556" s="2">
        <v>38576</v>
      </c>
      <c r="C1556" s="2">
        <v>47</v>
      </c>
      <c r="D1556" s="2">
        <v>1</v>
      </c>
      <c r="E1556" s="25">
        <f t="shared" si="22"/>
        <v>222.77559586353107</v>
      </c>
    </row>
    <row r="1557" spans="1:5" x14ac:dyDescent="0.35">
      <c r="A1557" s="2">
        <v>343</v>
      </c>
      <c r="B1557" s="2">
        <v>39552</v>
      </c>
      <c r="C1557" s="2">
        <v>58</v>
      </c>
      <c r="D1557" s="2">
        <v>1</v>
      </c>
      <c r="E1557" s="25">
        <f t="shared" si="22"/>
        <v>222.47420370413931</v>
      </c>
    </row>
    <row r="1558" spans="1:5" x14ac:dyDescent="0.35">
      <c r="A1558" s="3">
        <v>156</v>
      </c>
      <c r="B1558" s="3">
        <v>40442</v>
      </c>
      <c r="C1558" s="3">
        <v>68</v>
      </c>
      <c r="D1558" s="3">
        <v>1</v>
      </c>
      <c r="E1558" s="25">
        <f t="shared" si="22"/>
        <v>222.25581656326665</v>
      </c>
    </row>
    <row r="1559" spans="1:5" x14ac:dyDescent="0.35">
      <c r="A1559" s="2">
        <v>70</v>
      </c>
      <c r="B1559" s="2">
        <v>38578</v>
      </c>
      <c r="C1559" s="2">
        <v>48</v>
      </c>
      <c r="D1559" s="2">
        <v>1</v>
      </c>
      <c r="E1559" s="25">
        <f t="shared" si="22"/>
        <v>220.9799343209246</v>
      </c>
    </row>
    <row r="1560" spans="1:5" x14ac:dyDescent="0.35">
      <c r="A1560" s="3">
        <v>70</v>
      </c>
      <c r="B1560" s="3">
        <v>38578</v>
      </c>
      <c r="C1560" s="3">
        <v>48</v>
      </c>
      <c r="D1560" s="3">
        <v>1</v>
      </c>
      <c r="E1560" s="25">
        <f t="shared" si="22"/>
        <v>220.9799343209246</v>
      </c>
    </row>
    <row r="1561" spans="1:5" x14ac:dyDescent="0.35">
      <c r="A1561" s="3">
        <v>27</v>
      </c>
      <c r="B1561" s="3">
        <v>23148</v>
      </c>
      <c r="C1561" s="3">
        <v>35</v>
      </c>
      <c r="D1561" s="3">
        <v>0</v>
      </c>
      <c r="E1561" s="25">
        <f t="shared" si="22"/>
        <v>219.8685809592057</v>
      </c>
    </row>
    <row r="1562" spans="1:5" x14ac:dyDescent="0.35">
      <c r="A1562" s="3">
        <v>19</v>
      </c>
      <c r="B1562" s="3">
        <v>38590</v>
      </c>
      <c r="C1562" s="3">
        <v>49</v>
      </c>
      <c r="D1562" s="3">
        <v>1</v>
      </c>
      <c r="E1562" s="25">
        <f t="shared" si="22"/>
        <v>219.38816045975705</v>
      </c>
    </row>
    <row r="1563" spans="1:5" x14ac:dyDescent="0.35">
      <c r="A1563" s="3">
        <v>41</v>
      </c>
      <c r="B1563" s="3">
        <v>37235</v>
      </c>
      <c r="C1563" s="3">
        <v>36</v>
      </c>
      <c r="D1563" s="3">
        <v>1</v>
      </c>
      <c r="E1563" s="25">
        <f t="shared" si="22"/>
        <v>215.63508765039973</v>
      </c>
    </row>
    <row r="1564" spans="1:5" x14ac:dyDescent="0.35">
      <c r="A1564" s="3">
        <v>394</v>
      </c>
      <c r="B1564" s="3">
        <v>37292</v>
      </c>
      <c r="C1564" s="3">
        <v>37</v>
      </c>
      <c r="D1564" s="3">
        <v>1</v>
      </c>
      <c r="E1564" s="25">
        <f t="shared" si="22"/>
        <v>214.96080835570768</v>
      </c>
    </row>
    <row r="1565" spans="1:5" x14ac:dyDescent="0.35">
      <c r="A1565" s="3">
        <v>122</v>
      </c>
      <c r="B1565" s="3">
        <v>39898</v>
      </c>
      <c r="C1565" s="3">
        <v>66</v>
      </c>
      <c r="D1565" s="3">
        <v>1</v>
      </c>
      <c r="E1565" s="25">
        <f t="shared" si="22"/>
        <v>214.83720485077413</v>
      </c>
    </row>
    <row r="1566" spans="1:5" x14ac:dyDescent="0.35">
      <c r="A1566" s="2">
        <v>20</v>
      </c>
      <c r="B1566" s="2">
        <v>37717</v>
      </c>
      <c r="C1566" s="2">
        <v>42</v>
      </c>
      <c r="D1566" s="2">
        <v>1</v>
      </c>
      <c r="E1566" s="25">
        <f t="shared" si="22"/>
        <v>214.44383942239324</v>
      </c>
    </row>
    <row r="1567" spans="1:5" x14ac:dyDescent="0.35">
      <c r="A1567" s="3">
        <v>29</v>
      </c>
      <c r="B1567" s="3">
        <v>40049</v>
      </c>
      <c r="C1567" s="3">
        <v>68</v>
      </c>
      <c r="D1567" s="3">
        <v>1</v>
      </c>
      <c r="E1567" s="25">
        <f t="shared" si="22"/>
        <v>214.24303068271433</v>
      </c>
    </row>
    <row r="1568" spans="1:5" x14ac:dyDescent="0.35">
      <c r="A1568" s="2">
        <v>297</v>
      </c>
      <c r="B1568" s="2">
        <v>37774</v>
      </c>
      <c r="C1568" s="2">
        <v>43</v>
      </c>
      <c r="D1568" s="2">
        <v>1</v>
      </c>
      <c r="E1568" s="25">
        <f t="shared" si="22"/>
        <v>213.7695601277012</v>
      </c>
    </row>
    <row r="1569" spans="1:5" x14ac:dyDescent="0.35">
      <c r="A1569" s="2">
        <v>89</v>
      </c>
      <c r="B1569" s="2">
        <v>38232</v>
      </c>
      <c r="C1569" s="2">
        <v>49</v>
      </c>
      <c r="D1569" s="2">
        <v>1</v>
      </c>
      <c r="E1569" s="25">
        <f t="shared" si="22"/>
        <v>212.08898146424121</v>
      </c>
    </row>
    <row r="1570" spans="1:5" x14ac:dyDescent="0.35">
      <c r="A1570" s="3">
        <v>14</v>
      </c>
      <c r="B1570" s="3">
        <v>37406</v>
      </c>
      <c r="C1570" s="3">
        <v>40</v>
      </c>
      <c r="D1570" s="3">
        <v>1</v>
      </c>
      <c r="E1570" s="25">
        <f t="shared" si="22"/>
        <v>211.77581068742927</v>
      </c>
    </row>
    <row r="1571" spans="1:5" x14ac:dyDescent="0.35">
      <c r="A1571" s="2">
        <v>41</v>
      </c>
      <c r="B1571" s="2">
        <v>38196</v>
      </c>
      <c r="C1571" s="2">
        <v>49</v>
      </c>
      <c r="D1571" s="2">
        <v>1</v>
      </c>
      <c r="E1571" s="25">
        <f t="shared" si="22"/>
        <v>211.35498581106094</v>
      </c>
    </row>
    <row r="1572" spans="1:5" x14ac:dyDescent="0.35">
      <c r="A1572" s="3">
        <v>123</v>
      </c>
      <c r="B1572" s="3">
        <v>38361</v>
      </c>
      <c r="C1572" s="3">
        <v>51</v>
      </c>
      <c r="D1572" s="3">
        <v>1</v>
      </c>
      <c r="E1572" s="25">
        <f t="shared" si="22"/>
        <v>211.04625439701567</v>
      </c>
    </row>
    <row r="1573" spans="1:5" x14ac:dyDescent="0.35">
      <c r="A1573" s="3">
        <v>37</v>
      </c>
      <c r="B1573" s="3">
        <v>38443</v>
      </c>
      <c r="C1573" s="3">
        <v>52</v>
      </c>
      <c r="D1573" s="3">
        <v>1</v>
      </c>
      <c r="E1573" s="25">
        <f t="shared" si="22"/>
        <v>210.88169430592109</v>
      </c>
    </row>
    <row r="1574" spans="1:5" x14ac:dyDescent="0.35">
      <c r="A1574" s="2">
        <v>23</v>
      </c>
      <c r="B1574" s="2">
        <v>37971</v>
      </c>
      <c r="C1574" s="2">
        <v>47</v>
      </c>
      <c r="D1574" s="2">
        <v>1</v>
      </c>
      <c r="E1574" s="25">
        <f t="shared" si="22"/>
        <v>210.44039113647216</v>
      </c>
    </row>
    <row r="1575" spans="1:5" x14ac:dyDescent="0.35">
      <c r="A1575" s="3">
        <v>76</v>
      </c>
      <c r="B1575" s="3">
        <v>37697</v>
      </c>
      <c r="C1575" s="3">
        <v>44</v>
      </c>
      <c r="D1575" s="3">
        <v>1</v>
      </c>
      <c r="E1575" s="25">
        <f t="shared" si="22"/>
        <v>210.36318590172675</v>
      </c>
    </row>
    <row r="1576" spans="1:5" x14ac:dyDescent="0.35">
      <c r="A1576" s="2">
        <v>16</v>
      </c>
      <c r="B1576" s="2">
        <v>38200</v>
      </c>
      <c r="C1576" s="2">
        <v>50</v>
      </c>
      <c r="D1576" s="2">
        <v>1</v>
      </c>
      <c r="E1576" s="25">
        <f t="shared" si="22"/>
        <v>209.60010180474228</v>
      </c>
    </row>
    <row r="1577" spans="1:5" x14ac:dyDescent="0.35">
      <c r="A1577" s="2">
        <v>39</v>
      </c>
      <c r="B1577" s="2">
        <v>39722</v>
      </c>
      <c r="C1577" s="2">
        <v>67</v>
      </c>
      <c r="D1577" s="2">
        <v>1</v>
      </c>
      <c r="E1577" s="25">
        <f t="shared" si="22"/>
        <v>209.41234257855365</v>
      </c>
    </row>
    <row r="1578" spans="1:5" x14ac:dyDescent="0.35">
      <c r="A1578" s="2">
        <v>115</v>
      </c>
      <c r="B1578" s="2">
        <v>38097</v>
      </c>
      <c r="C1578" s="2">
        <v>50</v>
      </c>
      <c r="D1578" s="2">
        <v>1</v>
      </c>
      <c r="E1578" s="25">
        <f t="shared" si="22"/>
        <v>207.50005868592064</v>
      </c>
    </row>
    <row r="1579" spans="1:5" x14ac:dyDescent="0.35">
      <c r="A1579" s="2">
        <v>78</v>
      </c>
      <c r="B1579" s="2">
        <v>38236</v>
      </c>
      <c r="C1579" s="2">
        <v>52</v>
      </c>
      <c r="D1579" s="2">
        <v>1</v>
      </c>
      <c r="E1579" s="25">
        <f t="shared" si="22"/>
        <v>206.66121930013401</v>
      </c>
    </row>
    <row r="1580" spans="1:5" x14ac:dyDescent="0.35">
      <c r="A1580" s="2">
        <v>118</v>
      </c>
      <c r="B1580" s="2">
        <v>37509</v>
      </c>
      <c r="C1580" s="2">
        <v>44</v>
      </c>
      <c r="D1580" s="2">
        <v>1</v>
      </c>
      <c r="E1580" s="25">
        <f t="shared" si="22"/>
        <v>206.53009749067371</v>
      </c>
    </row>
    <row r="1581" spans="1:5" x14ac:dyDescent="0.35">
      <c r="A1581" s="3">
        <v>88</v>
      </c>
      <c r="B1581" s="3">
        <v>37787</v>
      </c>
      <c r="C1581" s="3">
        <v>48</v>
      </c>
      <c r="D1581" s="3">
        <v>1</v>
      </c>
      <c r="E1581" s="25">
        <f t="shared" si="22"/>
        <v>204.85241871910057</v>
      </c>
    </row>
    <row r="1582" spans="1:5" x14ac:dyDescent="0.35">
      <c r="A1582" s="3">
        <v>62</v>
      </c>
      <c r="B1582" s="3">
        <v>36959</v>
      </c>
      <c r="C1582" s="3">
        <v>39</v>
      </c>
      <c r="D1582" s="3">
        <v>1</v>
      </c>
      <c r="E1582" s="25">
        <f t="shared" ref="E1582:E1645" si="23">$B$101+$B1582*$B$102+$C1582*$B$103+$D1582*$B$104</f>
        <v>204.49847040600076</v>
      </c>
    </row>
    <row r="1583" spans="1:5" x14ac:dyDescent="0.35">
      <c r="A1583" s="3">
        <v>54</v>
      </c>
      <c r="B1583" s="3">
        <v>37760</v>
      </c>
      <c r="C1583" s="3">
        <v>48</v>
      </c>
      <c r="D1583" s="3">
        <v>1</v>
      </c>
      <c r="E1583" s="25">
        <f t="shared" si="23"/>
        <v>204.30192197921531</v>
      </c>
    </row>
    <row r="1584" spans="1:5" x14ac:dyDescent="0.35">
      <c r="A1584" s="2">
        <v>28</v>
      </c>
      <c r="B1584" s="2">
        <v>37395</v>
      </c>
      <c r="C1584" s="2">
        <v>44</v>
      </c>
      <c r="D1584" s="2">
        <v>1</v>
      </c>
      <c r="E1584" s="25">
        <f t="shared" si="23"/>
        <v>204.20577792226925</v>
      </c>
    </row>
    <row r="1585" spans="1:5" x14ac:dyDescent="0.35">
      <c r="A1585" s="2">
        <v>83</v>
      </c>
      <c r="B1585" s="2">
        <v>38829</v>
      </c>
      <c r="C1585" s="2">
        <v>61</v>
      </c>
      <c r="D1585" s="2">
        <v>1</v>
      </c>
      <c r="E1585" s="25">
        <f t="shared" si="23"/>
        <v>202.22380709941763</v>
      </c>
    </row>
    <row r="1586" spans="1:5" x14ac:dyDescent="0.35">
      <c r="A1586" s="3">
        <v>70</v>
      </c>
      <c r="B1586" s="3">
        <v>38179</v>
      </c>
      <c r="C1586" s="3">
        <v>54</v>
      </c>
      <c r="D1586" s="3">
        <v>1</v>
      </c>
      <c r="E1586" s="25">
        <f t="shared" si="23"/>
        <v>201.82618135814323</v>
      </c>
    </row>
    <row r="1587" spans="1:5" x14ac:dyDescent="0.35">
      <c r="A1587" s="3">
        <v>20</v>
      </c>
      <c r="B1587" s="3">
        <v>37368</v>
      </c>
      <c r="C1587" s="3">
        <v>45</v>
      </c>
      <c r="D1587" s="3">
        <v>1</v>
      </c>
      <c r="E1587" s="25">
        <f t="shared" si="23"/>
        <v>201.81884210348971</v>
      </c>
    </row>
    <row r="1588" spans="1:5" x14ac:dyDescent="0.35">
      <c r="A1588" s="3">
        <v>17</v>
      </c>
      <c r="B1588" s="3">
        <v>37284</v>
      </c>
      <c r="C1588" s="3">
        <v>45</v>
      </c>
      <c r="D1588" s="3">
        <v>1</v>
      </c>
      <c r="E1588" s="25">
        <f t="shared" si="23"/>
        <v>200.10618557940222</v>
      </c>
    </row>
    <row r="1589" spans="1:5" x14ac:dyDescent="0.35">
      <c r="A1589" s="2">
        <v>19</v>
      </c>
      <c r="B1589" s="2">
        <v>36802</v>
      </c>
      <c r="C1589" s="2">
        <v>40</v>
      </c>
      <c r="D1589" s="2">
        <v>1</v>
      </c>
      <c r="E1589" s="25">
        <f t="shared" si="23"/>
        <v>199.46099472851438</v>
      </c>
    </row>
    <row r="1590" spans="1:5" x14ac:dyDescent="0.35">
      <c r="A1590" s="2">
        <v>31</v>
      </c>
      <c r="B1590" s="2">
        <v>36975</v>
      </c>
      <c r="C1590" s="2">
        <v>42</v>
      </c>
      <c r="D1590" s="2">
        <v>1</v>
      </c>
      <c r="E1590" s="25">
        <f t="shared" si="23"/>
        <v>199.31537345962033</v>
      </c>
    </row>
    <row r="1591" spans="1:5" x14ac:dyDescent="0.35">
      <c r="A1591" s="2">
        <v>45</v>
      </c>
      <c r="B1591" s="2">
        <v>37401</v>
      </c>
      <c r="C1591" s="2">
        <v>47</v>
      </c>
      <c r="D1591" s="2">
        <v>1</v>
      </c>
      <c r="E1591" s="25">
        <f t="shared" si="23"/>
        <v>198.81879329444985</v>
      </c>
    </row>
    <row r="1592" spans="1:5" x14ac:dyDescent="0.35">
      <c r="A1592" s="3">
        <v>48</v>
      </c>
      <c r="B1592" s="3">
        <v>38741</v>
      </c>
      <c r="C1592" s="3">
        <v>62</v>
      </c>
      <c r="D1592" s="3">
        <v>1</v>
      </c>
      <c r="E1592" s="25">
        <f t="shared" si="23"/>
        <v>198.59315642386025</v>
      </c>
    </row>
    <row r="1593" spans="1:5" x14ac:dyDescent="0.35">
      <c r="A1593" s="3">
        <v>216</v>
      </c>
      <c r="B1593" s="3">
        <v>38946</v>
      </c>
      <c r="C1593" s="3">
        <v>65</v>
      </c>
      <c r="D1593" s="3">
        <v>1</v>
      </c>
      <c r="E1593" s="25">
        <f t="shared" si="23"/>
        <v>197.26353665667671</v>
      </c>
    </row>
    <row r="1594" spans="1:5" x14ac:dyDescent="0.35">
      <c r="A1594" s="2">
        <v>50</v>
      </c>
      <c r="B1594" s="2">
        <v>36781</v>
      </c>
      <c r="C1594" s="2">
        <v>41</v>
      </c>
      <c r="D1594" s="2">
        <v>1</v>
      </c>
      <c r="E1594" s="25">
        <f t="shared" si="23"/>
        <v>197.19639151859815</v>
      </c>
    </row>
    <row r="1595" spans="1:5" x14ac:dyDescent="0.35">
      <c r="A1595" s="2">
        <v>60</v>
      </c>
      <c r="B1595" s="2">
        <v>35765</v>
      </c>
      <c r="C1595" s="2">
        <v>30</v>
      </c>
      <c r="D1595" s="2">
        <v>1</v>
      </c>
      <c r="E1595" s="25">
        <f t="shared" si="23"/>
        <v>196.68223295223396</v>
      </c>
    </row>
    <row r="1596" spans="1:5" x14ac:dyDescent="0.35">
      <c r="A1596" s="3">
        <v>49</v>
      </c>
      <c r="B1596" s="3">
        <v>38998</v>
      </c>
      <c r="C1596" s="3">
        <v>66</v>
      </c>
      <c r="D1596" s="3">
        <v>1</v>
      </c>
      <c r="E1596" s="25">
        <f t="shared" si="23"/>
        <v>196.48731352126515</v>
      </c>
    </row>
    <row r="1597" spans="1:5" x14ac:dyDescent="0.35">
      <c r="A1597" s="2">
        <v>58</v>
      </c>
      <c r="B1597" s="2">
        <v>37085</v>
      </c>
      <c r="C1597" s="2">
        <v>45</v>
      </c>
      <c r="D1597" s="2">
        <v>1</v>
      </c>
      <c r="E1597" s="25">
        <f t="shared" si="23"/>
        <v>196.04882071876636</v>
      </c>
    </row>
    <row r="1598" spans="1:5" x14ac:dyDescent="0.35">
      <c r="A1598" s="2">
        <v>38</v>
      </c>
      <c r="B1598" s="2">
        <v>22148</v>
      </c>
      <c r="C1598" s="2">
        <v>37</v>
      </c>
      <c r="D1598" s="2">
        <v>0</v>
      </c>
      <c r="E1598" s="25">
        <f t="shared" si="23"/>
        <v>195.80693465751824</v>
      </c>
    </row>
    <row r="1599" spans="1:5" x14ac:dyDescent="0.35">
      <c r="A1599" s="3">
        <v>154</v>
      </c>
      <c r="B1599" s="3">
        <v>36145</v>
      </c>
      <c r="C1599" s="3">
        <v>35</v>
      </c>
      <c r="D1599" s="3">
        <v>1</v>
      </c>
      <c r="E1599" s="25">
        <f t="shared" si="23"/>
        <v>195.24776945244417</v>
      </c>
    </row>
    <row r="1600" spans="1:5" x14ac:dyDescent="0.35">
      <c r="A1600" s="3">
        <v>398</v>
      </c>
      <c r="B1600" s="3">
        <v>37087</v>
      </c>
      <c r="C1600" s="3">
        <v>46</v>
      </c>
      <c r="D1600" s="3">
        <v>1</v>
      </c>
      <c r="E1600" s="25">
        <f t="shared" si="23"/>
        <v>194.2531591761599</v>
      </c>
    </row>
    <row r="1601" spans="1:5" x14ac:dyDescent="0.35">
      <c r="A1601" s="2">
        <v>33</v>
      </c>
      <c r="B1601" s="2">
        <v>24221</v>
      </c>
      <c r="C1601" s="2">
        <v>61</v>
      </c>
      <c r="D1601" s="2">
        <v>0</v>
      </c>
      <c r="E1601" s="25">
        <f t="shared" si="23"/>
        <v>193.99831312635803</v>
      </c>
    </row>
    <row r="1602" spans="1:5" x14ac:dyDescent="0.35">
      <c r="A1602" s="3">
        <v>39</v>
      </c>
      <c r="B1602" s="3">
        <v>37758</v>
      </c>
      <c r="C1602" s="3">
        <v>54</v>
      </c>
      <c r="D1602" s="3">
        <v>1</v>
      </c>
      <c r="E1602" s="25">
        <f t="shared" si="23"/>
        <v>193.24250996956187</v>
      </c>
    </row>
    <row r="1603" spans="1:5" x14ac:dyDescent="0.35">
      <c r="A1603" s="3">
        <v>40</v>
      </c>
      <c r="B1603" s="3">
        <v>38725</v>
      </c>
      <c r="C1603" s="3">
        <v>65</v>
      </c>
      <c r="D1603" s="3">
        <v>1</v>
      </c>
      <c r="E1603" s="25">
        <f t="shared" si="23"/>
        <v>192.75761889687499</v>
      </c>
    </row>
    <row r="1604" spans="1:5" x14ac:dyDescent="0.35">
      <c r="A1604" s="3">
        <v>292</v>
      </c>
      <c r="B1604" s="3">
        <v>36108</v>
      </c>
      <c r="C1604" s="3">
        <v>36</v>
      </c>
      <c r="D1604" s="3">
        <v>1</v>
      </c>
      <c r="E1604" s="25">
        <f t="shared" si="23"/>
        <v>192.65694595222561</v>
      </c>
    </row>
    <row r="1605" spans="1:5" x14ac:dyDescent="0.35">
      <c r="A1605" s="2">
        <v>256</v>
      </c>
      <c r="B1605" s="2">
        <v>38201</v>
      </c>
      <c r="C1605" s="2">
        <v>60</v>
      </c>
      <c r="D1605" s="2">
        <v>1</v>
      </c>
      <c r="E1605" s="25">
        <f t="shared" si="23"/>
        <v>191.25609978394334</v>
      </c>
    </row>
    <row r="1606" spans="1:5" x14ac:dyDescent="0.35">
      <c r="A1606" s="3">
        <v>9</v>
      </c>
      <c r="B1606" s="3">
        <v>38285</v>
      </c>
      <c r="C1606" s="3">
        <v>61</v>
      </c>
      <c r="D1606" s="3">
        <v>1</v>
      </c>
      <c r="E1606" s="25">
        <f t="shared" si="23"/>
        <v>191.13231722913667</v>
      </c>
    </row>
    <row r="1607" spans="1:5" x14ac:dyDescent="0.35">
      <c r="A1607" s="3">
        <v>457</v>
      </c>
      <c r="B1607" s="3">
        <v>36550</v>
      </c>
      <c r="C1607" s="3">
        <v>42</v>
      </c>
      <c r="D1607" s="3">
        <v>1</v>
      </c>
      <c r="E1607" s="25">
        <f t="shared" si="23"/>
        <v>190.65014699846324</v>
      </c>
    </row>
    <row r="1608" spans="1:5" x14ac:dyDescent="0.35">
      <c r="A1608" s="3">
        <v>89</v>
      </c>
      <c r="B1608" s="3">
        <v>36075</v>
      </c>
      <c r="C1608" s="3">
        <v>37</v>
      </c>
      <c r="D1608" s="3">
        <v>1</v>
      </c>
      <c r="E1608" s="25">
        <f t="shared" si="23"/>
        <v>190.14767752458266</v>
      </c>
    </row>
    <row r="1609" spans="1:5" x14ac:dyDescent="0.35">
      <c r="A1609" s="2">
        <v>351</v>
      </c>
      <c r="B1609" s="2">
        <v>37150</v>
      </c>
      <c r="C1609" s="2">
        <v>49</v>
      </c>
      <c r="D1609" s="2">
        <v>1</v>
      </c>
      <c r="E1609" s="25">
        <f t="shared" si="23"/>
        <v>190.02833433254273</v>
      </c>
    </row>
    <row r="1610" spans="1:5" x14ac:dyDescent="0.35">
      <c r="A1610" s="2">
        <v>90</v>
      </c>
      <c r="B1610" s="2">
        <v>23478</v>
      </c>
      <c r="C1610" s="2">
        <v>55</v>
      </c>
      <c r="D1610" s="2">
        <v>0</v>
      </c>
      <c r="E1610" s="25">
        <f t="shared" si="23"/>
        <v>189.8680928688068</v>
      </c>
    </row>
    <row r="1611" spans="1:5" x14ac:dyDescent="0.35">
      <c r="A1611" s="2">
        <v>65</v>
      </c>
      <c r="B1611" s="2">
        <v>37126</v>
      </c>
      <c r="C1611" s="2">
        <v>49</v>
      </c>
      <c r="D1611" s="2">
        <v>1</v>
      </c>
      <c r="E1611" s="25">
        <f t="shared" si="23"/>
        <v>189.53900389708906</v>
      </c>
    </row>
    <row r="1612" spans="1:5" x14ac:dyDescent="0.35">
      <c r="A1612" s="3">
        <v>34</v>
      </c>
      <c r="B1612" s="3">
        <v>37859</v>
      </c>
      <c r="C1612" s="3">
        <v>58</v>
      </c>
      <c r="D1612" s="3">
        <v>1</v>
      </c>
      <c r="E1612" s="25">
        <f t="shared" si="23"/>
        <v>187.9560192365185</v>
      </c>
    </row>
    <row r="1613" spans="1:5" x14ac:dyDescent="0.35">
      <c r="A1613" s="3">
        <v>13</v>
      </c>
      <c r="B1613" s="3">
        <v>36143</v>
      </c>
      <c r="C1613" s="3">
        <v>39</v>
      </c>
      <c r="D1613" s="3">
        <v>1</v>
      </c>
      <c r="E1613" s="25">
        <f t="shared" si="23"/>
        <v>187.86123560057928</v>
      </c>
    </row>
    <row r="1614" spans="1:5" x14ac:dyDescent="0.35">
      <c r="A1614" s="3">
        <v>30</v>
      </c>
      <c r="B1614" s="3">
        <v>36663</v>
      </c>
      <c r="C1614" s="3">
        <v>45</v>
      </c>
      <c r="D1614" s="3">
        <v>1</v>
      </c>
      <c r="E1614" s="25">
        <f t="shared" si="23"/>
        <v>187.44476056204098</v>
      </c>
    </row>
    <row r="1615" spans="1:5" x14ac:dyDescent="0.35">
      <c r="A1615" s="2">
        <v>70</v>
      </c>
      <c r="B1615" s="2">
        <v>38452</v>
      </c>
      <c r="C1615" s="2">
        <v>65</v>
      </c>
      <c r="D1615" s="2">
        <v>1</v>
      </c>
      <c r="E1615" s="25">
        <f t="shared" si="23"/>
        <v>187.19148519359067</v>
      </c>
    </row>
    <row r="1616" spans="1:5" x14ac:dyDescent="0.35">
      <c r="A1616" s="3">
        <v>15</v>
      </c>
      <c r="B1616" s="3">
        <v>36627</v>
      </c>
      <c r="C1616" s="3">
        <v>45</v>
      </c>
      <c r="D1616" s="3">
        <v>1</v>
      </c>
      <c r="E1616" s="25">
        <f t="shared" si="23"/>
        <v>186.71076490886071</v>
      </c>
    </row>
    <row r="1617" spans="1:5" x14ac:dyDescent="0.35">
      <c r="A1617" s="3">
        <v>40</v>
      </c>
      <c r="B1617" s="3">
        <v>36038</v>
      </c>
      <c r="C1617" s="3">
        <v>39</v>
      </c>
      <c r="D1617" s="3">
        <v>1</v>
      </c>
      <c r="E1617" s="25">
        <f t="shared" si="23"/>
        <v>185.72041494546994</v>
      </c>
    </row>
    <row r="1618" spans="1:5" x14ac:dyDescent="0.35">
      <c r="A1618" s="2">
        <v>24</v>
      </c>
      <c r="B1618" s="2">
        <v>35388</v>
      </c>
      <c r="C1618" s="2">
        <v>32</v>
      </c>
      <c r="D1618" s="2">
        <v>1</v>
      </c>
      <c r="E1618" s="25">
        <f t="shared" si="23"/>
        <v>185.32278920419554</v>
      </c>
    </row>
    <row r="1619" spans="1:5" x14ac:dyDescent="0.35">
      <c r="A1619" s="3">
        <v>27</v>
      </c>
      <c r="B1619" s="3">
        <v>35684</v>
      </c>
      <c r="C1619" s="3">
        <v>36</v>
      </c>
      <c r="D1619" s="3">
        <v>1</v>
      </c>
      <c r="E1619" s="25">
        <f t="shared" si="23"/>
        <v>184.01210825921254</v>
      </c>
    </row>
    <row r="1620" spans="1:5" x14ac:dyDescent="0.35">
      <c r="A1620" s="3">
        <v>91</v>
      </c>
      <c r="B1620" s="3">
        <v>38823</v>
      </c>
      <c r="C1620" s="3">
        <v>71</v>
      </c>
      <c r="D1620" s="3">
        <v>1</v>
      </c>
      <c r="E1620" s="25">
        <f t="shared" si="23"/>
        <v>183.73708370161148</v>
      </c>
    </row>
    <row r="1621" spans="1:5" x14ac:dyDescent="0.35">
      <c r="A1621" s="3">
        <v>67</v>
      </c>
      <c r="B1621" s="3">
        <v>36273</v>
      </c>
      <c r="C1621" s="3">
        <v>43</v>
      </c>
      <c r="D1621" s="3">
        <v>1</v>
      </c>
      <c r="E1621" s="25">
        <f t="shared" si="23"/>
        <v>183.16601914370904</v>
      </c>
    </row>
    <row r="1622" spans="1:5" x14ac:dyDescent="0.35">
      <c r="A1622" s="3">
        <v>66</v>
      </c>
      <c r="B1622" s="3">
        <v>36301</v>
      </c>
      <c r="C1622" s="3">
        <v>44</v>
      </c>
      <c r="D1622" s="3">
        <v>1</v>
      </c>
      <c r="E1622" s="25">
        <f t="shared" si="23"/>
        <v>181.90046557284393</v>
      </c>
    </row>
    <row r="1623" spans="1:5" x14ac:dyDescent="0.35">
      <c r="A1623" s="3">
        <v>24</v>
      </c>
      <c r="B1623" s="3">
        <v>36283</v>
      </c>
      <c r="C1623" s="3">
        <v>44</v>
      </c>
      <c r="D1623" s="3">
        <v>1</v>
      </c>
      <c r="E1623" s="25">
        <f t="shared" si="23"/>
        <v>181.53346774625368</v>
      </c>
    </row>
    <row r="1624" spans="1:5" x14ac:dyDescent="0.35">
      <c r="A1624" s="3">
        <v>67</v>
      </c>
      <c r="B1624" s="3">
        <v>36997</v>
      </c>
      <c r="C1624" s="3">
        <v>52</v>
      </c>
      <c r="D1624" s="3">
        <v>1</v>
      </c>
      <c r="E1624" s="25">
        <f t="shared" si="23"/>
        <v>181.39953556984335</v>
      </c>
    </row>
    <row r="1625" spans="1:5" x14ac:dyDescent="0.35">
      <c r="A1625" s="3">
        <v>341</v>
      </c>
      <c r="B1625" s="3">
        <v>36715</v>
      </c>
      <c r="C1625" s="3">
        <v>49</v>
      </c>
      <c r="D1625" s="3">
        <v>1</v>
      </c>
      <c r="E1625" s="25">
        <f t="shared" si="23"/>
        <v>181.15922018994661</v>
      </c>
    </row>
    <row r="1626" spans="1:5" x14ac:dyDescent="0.35">
      <c r="A1626" s="3">
        <v>42</v>
      </c>
      <c r="B1626" s="3">
        <v>22585</v>
      </c>
      <c r="C1626" s="3">
        <v>50</v>
      </c>
      <c r="D1626" s="3">
        <v>0</v>
      </c>
      <c r="E1626" s="25">
        <f t="shared" si="23"/>
        <v>180.84311831077645</v>
      </c>
    </row>
    <row r="1627" spans="1:5" x14ac:dyDescent="0.35">
      <c r="A1627" s="3">
        <v>20</v>
      </c>
      <c r="B1627" s="3">
        <v>37054</v>
      </c>
      <c r="C1627" s="3">
        <v>53</v>
      </c>
      <c r="D1627" s="3">
        <v>1</v>
      </c>
      <c r="E1627" s="25">
        <f t="shared" si="23"/>
        <v>180.72525627515131</v>
      </c>
    </row>
    <row r="1628" spans="1:5" x14ac:dyDescent="0.35">
      <c r="A1628" s="3">
        <v>394</v>
      </c>
      <c r="B1628" s="3">
        <v>37070</v>
      </c>
      <c r="C1628" s="3">
        <v>54</v>
      </c>
      <c r="D1628" s="3">
        <v>1</v>
      </c>
      <c r="E1628" s="25">
        <f t="shared" si="23"/>
        <v>179.21503748655937</v>
      </c>
    </row>
    <row r="1629" spans="1:5" x14ac:dyDescent="0.35">
      <c r="A1629" s="2">
        <v>117</v>
      </c>
      <c r="B1629" s="2">
        <v>36947</v>
      </c>
      <c r="C1629" s="2">
        <v>53</v>
      </c>
      <c r="D1629" s="2">
        <v>1</v>
      </c>
      <c r="E1629" s="25">
        <f t="shared" si="23"/>
        <v>178.54365808375417</v>
      </c>
    </row>
    <row r="1630" spans="1:5" x14ac:dyDescent="0.35">
      <c r="A1630" s="2">
        <v>73</v>
      </c>
      <c r="B1630" s="2">
        <v>36778</v>
      </c>
      <c r="C1630" s="2">
        <v>52</v>
      </c>
      <c r="D1630" s="2">
        <v>1</v>
      </c>
      <c r="E1630" s="25">
        <f t="shared" si="23"/>
        <v>176.93439534632944</v>
      </c>
    </row>
    <row r="1631" spans="1:5" x14ac:dyDescent="0.35">
      <c r="A1631" s="3">
        <v>56</v>
      </c>
      <c r="B1631" s="3">
        <v>23539</v>
      </c>
      <c r="C1631" s="3">
        <v>63</v>
      </c>
      <c r="D1631" s="3">
        <v>0</v>
      </c>
      <c r="E1631" s="25">
        <f t="shared" si="23"/>
        <v>176.42029509443046</v>
      </c>
    </row>
    <row r="1632" spans="1:5" x14ac:dyDescent="0.35">
      <c r="A1632" s="2">
        <v>55</v>
      </c>
      <c r="B1632" s="2">
        <v>35523</v>
      </c>
      <c r="C1632" s="2">
        <v>39</v>
      </c>
      <c r="D1632" s="2">
        <v>1</v>
      </c>
      <c r="E1632" s="25">
        <f t="shared" si="23"/>
        <v>175.22019935136194</v>
      </c>
    </row>
    <row r="1633" spans="1:5" x14ac:dyDescent="0.35">
      <c r="A1633" s="2">
        <v>15</v>
      </c>
      <c r="B1633" s="2">
        <v>23295</v>
      </c>
      <c r="C1633" s="2">
        <v>61</v>
      </c>
      <c r="D1633" s="2">
        <v>0</v>
      </c>
      <c r="E1633" s="25">
        <f t="shared" si="23"/>
        <v>175.11831382510763</v>
      </c>
    </row>
    <row r="1634" spans="1:5" x14ac:dyDescent="0.35">
      <c r="A1634" s="2">
        <v>21</v>
      </c>
      <c r="B1634" s="2">
        <v>22390</v>
      </c>
      <c r="C1634" s="2">
        <v>51</v>
      </c>
      <c r="D1634" s="2">
        <v>0</v>
      </c>
      <c r="E1634" s="25">
        <f t="shared" si="23"/>
        <v>175.03086944382193</v>
      </c>
    </row>
    <row r="1635" spans="1:5" x14ac:dyDescent="0.35">
      <c r="A1635" s="2">
        <v>50</v>
      </c>
      <c r="B1635" s="2">
        <v>22634</v>
      </c>
      <c r="C1635" s="2">
        <v>54</v>
      </c>
      <c r="D1635" s="2">
        <v>0</v>
      </c>
      <c r="E1635" s="25">
        <f t="shared" si="23"/>
        <v>174.49641163425042</v>
      </c>
    </row>
    <row r="1636" spans="1:5" x14ac:dyDescent="0.35">
      <c r="A1636" s="3">
        <v>34</v>
      </c>
      <c r="B1636" s="3">
        <v>36921</v>
      </c>
      <c r="C1636" s="3">
        <v>55</v>
      </c>
      <c r="D1636" s="3">
        <v>1</v>
      </c>
      <c r="E1636" s="25">
        <f t="shared" si="23"/>
        <v>174.34067195422415</v>
      </c>
    </row>
    <row r="1637" spans="1:5" x14ac:dyDescent="0.35">
      <c r="A1637" s="3">
        <v>37</v>
      </c>
      <c r="B1637" s="3">
        <v>37633</v>
      </c>
      <c r="C1637" s="3">
        <v>63</v>
      </c>
      <c r="D1637" s="3">
        <v>1</v>
      </c>
      <c r="E1637" s="25">
        <f t="shared" si="23"/>
        <v>174.16596224152602</v>
      </c>
    </row>
    <row r="1638" spans="1:5" x14ac:dyDescent="0.35">
      <c r="A1638" s="2">
        <v>310</v>
      </c>
      <c r="B1638" s="2">
        <v>35196</v>
      </c>
      <c r="C1638" s="2">
        <v>36</v>
      </c>
      <c r="D1638" s="2">
        <v>1</v>
      </c>
      <c r="E1638" s="25">
        <f t="shared" si="23"/>
        <v>174.06238940498991</v>
      </c>
    </row>
    <row r="1639" spans="1:5" x14ac:dyDescent="0.35">
      <c r="A1639" s="3">
        <v>310</v>
      </c>
      <c r="B1639" s="3">
        <v>35196</v>
      </c>
      <c r="C1639" s="3">
        <v>36</v>
      </c>
      <c r="D1639" s="3">
        <v>1</v>
      </c>
      <c r="E1639" s="25">
        <f t="shared" si="23"/>
        <v>174.06238940498991</v>
      </c>
    </row>
    <row r="1640" spans="1:5" x14ac:dyDescent="0.35">
      <c r="A1640" s="3">
        <v>69</v>
      </c>
      <c r="B1640" s="3">
        <v>35790</v>
      </c>
      <c r="C1640" s="3">
        <v>43</v>
      </c>
      <c r="D1640" s="3">
        <v>1</v>
      </c>
      <c r="E1640" s="25">
        <f t="shared" si="23"/>
        <v>173.31824413020581</v>
      </c>
    </row>
    <row r="1641" spans="1:5" x14ac:dyDescent="0.35">
      <c r="A1641" s="2">
        <v>56</v>
      </c>
      <c r="B1641" s="2">
        <v>36230</v>
      </c>
      <c r="C1641" s="2">
        <v>49</v>
      </c>
      <c r="D1641" s="2">
        <v>1</v>
      </c>
      <c r="E1641" s="25">
        <f t="shared" si="23"/>
        <v>171.27066764015569</v>
      </c>
    </row>
    <row r="1642" spans="1:5" x14ac:dyDescent="0.35">
      <c r="A1642" s="2">
        <v>73</v>
      </c>
      <c r="B1642" s="2">
        <v>20193</v>
      </c>
      <c r="C1642" s="2">
        <v>29</v>
      </c>
      <c r="D1642" s="2">
        <v>0</v>
      </c>
      <c r="E1642" s="25">
        <f t="shared" si="23"/>
        <v>170.63840556735011</v>
      </c>
    </row>
    <row r="1643" spans="1:5" x14ac:dyDescent="0.35">
      <c r="A1643" s="3">
        <v>63</v>
      </c>
      <c r="B1643" s="3">
        <v>35544</v>
      </c>
      <c r="C1643" s="3">
        <v>42</v>
      </c>
      <c r="D1643" s="3">
        <v>1</v>
      </c>
      <c r="E1643" s="25">
        <f t="shared" si="23"/>
        <v>170.13904624570102</v>
      </c>
    </row>
    <row r="1644" spans="1:5" x14ac:dyDescent="0.35">
      <c r="A1644" s="3">
        <v>47</v>
      </c>
      <c r="B1644" s="3">
        <v>37334</v>
      </c>
      <c r="C1644" s="3">
        <v>62</v>
      </c>
      <c r="D1644" s="3">
        <v>1</v>
      </c>
      <c r="E1644" s="25">
        <f t="shared" si="23"/>
        <v>169.9061596453945</v>
      </c>
    </row>
    <row r="1645" spans="1:5" x14ac:dyDescent="0.35">
      <c r="A1645" s="2">
        <v>45</v>
      </c>
      <c r="B1645" s="2">
        <v>38054</v>
      </c>
      <c r="C1645" s="2">
        <v>70</v>
      </c>
      <c r="D1645" s="2">
        <v>1</v>
      </c>
      <c r="E1645" s="25">
        <f t="shared" si="23"/>
        <v>169.89456007784759</v>
      </c>
    </row>
    <row r="1646" spans="1:5" x14ac:dyDescent="0.35">
      <c r="A1646" s="2">
        <v>47</v>
      </c>
      <c r="B1646" s="2">
        <v>35797</v>
      </c>
      <c r="C1646" s="2">
        <v>45</v>
      </c>
      <c r="D1646" s="2">
        <v>1</v>
      </c>
      <c r="E1646" s="25">
        <f t="shared" ref="E1646:E1709" si="24">$B$101+$B1646*$B$102+$C1646*$B$103+$D1646*$B$104</f>
        <v>169.78808734942459</v>
      </c>
    </row>
    <row r="1647" spans="1:5" x14ac:dyDescent="0.35">
      <c r="A1647" s="2">
        <v>154</v>
      </c>
      <c r="B1647" s="2">
        <v>34412</v>
      </c>
      <c r="C1647" s="2">
        <v>30</v>
      </c>
      <c r="D1647" s="2">
        <v>1</v>
      </c>
      <c r="E1647" s="25">
        <f t="shared" si="24"/>
        <v>169.09622965353884</v>
      </c>
    </row>
    <row r="1648" spans="1:5" x14ac:dyDescent="0.35">
      <c r="A1648" s="2">
        <v>44</v>
      </c>
      <c r="B1648" s="2">
        <v>36026</v>
      </c>
      <c r="C1648" s="2">
        <v>48</v>
      </c>
      <c r="D1648" s="2">
        <v>1</v>
      </c>
      <c r="E1648" s="25">
        <f t="shared" si="24"/>
        <v>168.94779801769459</v>
      </c>
    </row>
    <row r="1649" spans="1:5" x14ac:dyDescent="0.35">
      <c r="A1649" s="3">
        <v>147</v>
      </c>
      <c r="B1649" s="3">
        <v>37716</v>
      </c>
      <c r="C1649" s="3">
        <v>67</v>
      </c>
      <c r="D1649" s="3">
        <v>1</v>
      </c>
      <c r="E1649" s="25">
        <f t="shared" si="24"/>
        <v>168.51247368189252</v>
      </c>
    </row>
    <row r="1650" spans="1:5" x14ac:dyDescent="0.35">
      <c r="A1650" s="3">
        <v>30</v>
      </c>
      <c r="B1650" s="3">
        <v>34728</v>
      </c>
      <c r="C1650" s="3">
        <v>34</v>
      </c>
      <c r="D1650" s="3">
        <v>1</v>
      </c>
      <c r="E1650" s="25">
        <f t="shared" si="24"/>
        <v>168.19332407143378</v>
      </c>
    </row>
    <row r="1651" spans="1:5" x14ac:dyDescent="0.35">
      <c r="A1651" s="2">
        <v>146</v>
      </c>
      <c r="B1651" s="2">
        <v>36138</v>
      </c>
      <c r="C1651" s="2">
        <v>50</v>
      </c>
      <c r="D1651" s="2">
        <v>1</v>
      </c>
      <c r="E1651" s="25">
        <f t="shared" si="24"/>
        <v>167.55846189202271</v>
      </c>
    </row>
    <row r="1652" spans="1:5" x14ac:dyDescent="0.35">
      <c r="A1652" s="3">
        <v>20</v>
      </c>
      <c r="B1652" s="3">
        <v>20491</v>
      </c>
      <c r="C1652" s="3">
        <v>34</v>
      </c>
      <c r="D1652" s="3">
        <v>0</v>
      </c>
      <c r="E1652" s="25">
        <f t="shared" si="24"/>
        <v>167.53206307976063</v>
      </c>
    </row>
    <row r="1653" spans="1:5" x14ac:dyDescent="0.35">
      <c r="A1653" s="2">
        <v>29</v>
      </c>
      <c r="B1653" s="2">
        <v>35860</v>
      </c>
      <c r="C1653" s="2">
        <v>47</v>
      </c>
      <c r="D1653" s="2">
        <v>1</v>
      </c>
      <c r="E1653" s="25">
        <f t="shared" si="24"/>
        <v>167.39970158470169</v>
      </c>
    </row>
    <row r="1654" spans="1:5" x14ac:dyDescent="0.35">
      <c r="A1654" s="3">
        <v>29</v>
      </c>
      <c r="B1654" s="3">
        <v>35860</v>
      </c>
      <c r="C1654" s="3">
        <v>47</v>
      </c>
      <c r="D1654" s="3">
        <v>1</v>
      </c>
      <c r="E1654" s="25">
        <f t="shared" si="24"/>
        <v>167.39970158470169</v>
      </c>
    </row>
    <row r="1655" spans="1:5" x14ac:dyDescent="0.35">
      <c r="A1655" s="2">
        <v>29</v>
      </c>
      <c r="B1655" s="2">
        <v>35860</v>
      </c>
      <c r="C1655" s="2">
        <v>47</v>
      </c>
      <c r="D1655" s="2">
        <v>1</v>
      </c>
      <c r="E1655" s="25">
        <f t="shared" si="24"/>
        <v>167.39970158470169</v>
      </c>
    </row>
    <row r="1656" spans="1:5" x14ac:dyDescent="0.35">
      <c r="A1656" s="3">
        <v>13</v>
      </c>
      <c r="B1656" s="3">
        <v>36736</v>
      </c>
      <c r="C1656" s="3">
        <v>57</v>
      </c>
      <c r="D1656" s="3">
        <v>1</v>
      </c>
      <c r="E1656" s="25">
        <f t="shared" si="24"/>
        <v>166.89587168981438</v>
      </c>
    </row>
    <row r="1657" spans="1:5" x14ac:dyDescent="0.35">
      <c r="A1657" s="2">
        <v>18</v>
      </c>
      <c r="B1657" s="2">
        <v>34738</v>
      </c>
      <c r="C1657" s="2">
        <v>36</v>
      </c>
      <c r="D1657" s="2">
        <v>1</v>
      </c>
      <c r="E1657" s="25">
        <f t="shared" si="24"/>
        <v>164.72433359508415</v>
      </c>
    </row>
    <row r="1658" spans="1:5" x14ac:dyDescent="0.35">
      <c r="A1658" s="2">
        <v>120</v>
      </c>
      <c r="B1658" s="2">
        <v>22419</v>
      </c>
      <c r="C1658" s="2">
        <v>57</v>
      </c>
      <c r="D1658" s="2">
        <v>0</v>
      </c>
      <c r="E1658" s="25">
        <f t="shared" si="24"/>
        <v>164.60350924662936</v>
      </c>
    </row>
    <row r="1659" spans="1:5" x14ac:dyDescent="0.35">
      <c r="A1659" s="2">
        <v>179</v>
      </c>
      <c r="B1659" s="2">
        <v>35688</v>
      </c>
      <c r="C1659" s="2">
        <v>47</v>
      </c>
      <c r="D1659" s="2">
        <v>1</v>
      </c>
      <c r="E1659" s="25">
        <f t="shared" si="24"/>
        <v>163.89283346395109</v>
      </c>
    </row>
    <row r="1660" spans="1:5" x14ac:dyDescent="0.35">
      <c r="A1660" s="3">
        <v>34</v>
      </c>
      <c r="B1660" s="3">
        <v>23272</v>
      </c>
      <c r="C1660" s="3">
        <v>67</v>
      </c>
      <c r="D1660" s="3">
        <v>0</v>
      </c>
      <c r="E1660" s="25">
        <f t="shared" si="24"/>
        <v>163.63073768443235</v>
      </c>
    </row>
    <row r="1661" spans="1:5" x14ac:dyDescent="0.35">
      <c r="A1661" s="2">
        <v>30</v>
      </c>
      <c r="B1661" s="2">
        <v>37244</v>
      </c>
      <c r="C1661" s="2">
        <v>65</v>
      </c>
      <c r="D1661" s="2">
        <v>1</v>
      </c>
      <c r="E1661" s="25">
        <f t="shared" si="24"/>
        <v>162.56185327576077</v>
      </c>
    </row>
    <row r="1662" spans="1:5" x14ac:dyDescent="0.35">
      <c r="A1662" s="3">
        <v>71</v>
      </c>
      <c r="B1662" s="3">
        <v>36065</v>
      </c>
      <c r="C1662" s="3">
        <v>52</v>
      </c>
      <c r="D1662" s="3">
        <v>1</v>
      </c>
      <c r="E1662" s="25">
        <f t="shared" si="24"/>
        <v>162.3972036597296</v>
      </c>
    </row>
    <row r="1663" spans="1:5" x14ac:dyDescent="0.35">
      <c r="A1663" s="3">
        <v>40</v>
      </c>
      <c r="B1663" s="3">
        <v>35788</v>
      </c>
      <c r="C1663" s="3">
        <v>49</v>
      </c>
      <c r="D1663" s="3">
        <v>1</v>
      </c>
      <c r="E1663" s="25">
        <f t="shared" si="24"/>
        <v>162.25883212055237</v>
      </c>
    </row>
    <row r="1664" spans="1:5" x14ac:dyDescent="0.35">
      <c r="A1664" s="2">
        <v>219</v>
      </c>
      <c r="B1664" s="2">
        <v>34968</v>
      </c>
      <c r="C1664" s="2">
        <v>40</v>
      </c>
      <c r="D1664" s="2">
        <v>1</v>
      </c>
      <c r="E1664" s="25">
        <f t="shared" si="24"/>
        <v>162.06799395260373</v>
      </c>
    </row>
    <row r="1665" spans="1:5" x14ac:dyDescent="0.35">
      <c r="A1665" s="3">
        <v>120</v>
      </c>
      <c r="B1665" s="3">
        <v>36317</v>
      </c>
      <c r="C1665" s="3">
        <v>55</v>
      </c>
      <c r="D1665" s="3">
        <v>1</v>
      </c>
      <c r="E1665" s="25">
        <f t="shared" si="24"/>
        <v>162.02585599530926</v>
      </c>
    </row>
    <row r="1666" spans="1:5" x14ac:dyDescent="0.35">
      <c r="A1666" s="2">
        <v>27</v>
      </c>
      <c r="B1666" s="2">
        <v>35924</v>
      </c>
      <c r="C1666" s="2">
        <v>51</v>
      </c>
      <c r="D1666" s="2">
        <v>1</v>
      </c>
      <c r="E1666" s="25">
        <f t="shared" si="24"/>
        <v>161.35882643033415</v>
      </c>
    </row>
    <row r="1667" spans="1:5" x14ac:dyDescent="0.35">
      <c r="A1667" s="3">
        <v>150</v>
      </c>
      <c r="B1667" s="3">
        <v>35641</v>
      </c>
      <c r="C1667" s="3">
        <v>48</v>
      </c>
      <c r="D1667" s="3">
        <v>1</v>
      </c>
      <c r="E1667" s="25">
        <f t="shared" si="24"/>
        <v>161.0981222822935</v>
      </c>
    </row>
    <row r="1668" spans="1:5" x14ac:dyDescent="0.35">
      <c r="A1668" s="3">
        <v>43</v>
      </c>
      <c r="B1668" s="3">
        <v>20981</v>
      </c>
      <c r="C1668" s="3">
        <v>43</v>
      </c>
      <c r="D1668" s="3">
        <v>0</v>
      </c>
      <c r="E1668" s="25">
        <f t="shared" si="24"/>
        <v>160.99460776022258</v>
      </c>
    </row>
    <row r="1669" spans="1:5" x14ac:dyDescent="0.35">
      <c r="A1669" s="2">
        <v>69</v>
      </c>
      <c r="B1669" s="2">
        <v>34176</v>
      </c>
      <c r="C1669" s="2">
        <v>32</v>
      </c>
      <c r="D1669" s="2">
        <v>1</v>
      </c>
      <c r="E1669" s="25">
        <f t="shared" si="24"/>
        <v>160.61160221379015</v>
      </c>
    </row>
    <row r="1670" spans="1:5" x14ac:dyDescent="0.35">
      <c r="A1670" s="3">
        <v>66</v>
      </c>
      <c r="B1670" s="3">
        <v>21024</v>
      </c>
      <c r="C1670" s="3">
        <v>44</v>
      </c>
      <c r="D1670" s="3">
        <v>0</v>
      </c>
      <c r="E1670" s="25">
        <f t="shared" si="24"/>
        <v>160.03488571151595</v>
      </c>
    </row>
    <row r="1671" spans="1:5" x14ac:dyDescent="0.35">
      <c r="A1671" s="3">
        <v>17</v>
      </c>
      <c r="B1671" s="3">
        <v>34320</v>
      </c>
      <c r="C1671" s="3">
        <v>34</v>
      </c>
      <c r="D1671" s="3">
        <v>1</v>
      </c>
      <c r="E1671" s="25">
        <f t="shared" si="24"/>
        <v>159.87470666872304</v>
      </c>
    </row>
    <row r="1672" spans="1:5" x14ac:dyDescent="0.35">
      <c r="A1672" s="3">
        <v>40</v>
      </c>
      <c r="B1672" s="3">
        <v>36732</v>
      </c>
      <c r="C1672" s="3">
        <v>61</v>
      </c>
      <c r="D1672" s="3">
        <v>1</v>
      </c>
      <c r="E1672" s="25">
        <f t="shared" si="24"/>
        <v>159.46856030166168</v>
      </c>
    </row>
    <row r="1673" spans="1:5" x14ac:dyDescent="0.35">
      <c r="A1673" s="3">
        <v>181</v>
      </c>
      <c r="B1673" s="3">
        <v>35893</v>
      </c>
      <c r="C1673" s="3">
        <v>52</v>
      </c>
      <c r="D1673" s="3">
        <v>1</v>
      </c>
      <c r="E1673" s="25">
        <f t="shared" si="24"/>
        <v>158.890335538979</v>
      </c>
    </row>
    <row r="1674" spans="1:5" x14ac:dyDescent="0.35">
      <c r="A1674" s="2">
        <v>265</v>
      </c>
      <c r="B1674" s="2">
        <v>36864</v>
      </c>
      <c r="C1674" s="2">
        <v>63</v>
      </c>
      <c r="D1674" s="2">
        <v>1</v>
      </c>
      <c r="E1674" s="25">
        <f t="shared" si="24"/>
        <v>158.48699953886774</v>
      </c>
    </row>
    <row r="1675" spans="1:5" x14ac:dyDescent="0.35">
      <c r="A1675" s="3">
        <v>39</v>
      </c>
      <c r="B1675" s="3">
        <v>35682</v>
      </c>
      <c r="C1675" s="3">
        <v>50</v>
      </c>
      <c r="D1675" s="3">
        <v>1</v>
      </c>
      <c r="E1675" s="25">
        <f t="shared" si="24"/>
        <v>158.26118361840486</v>
      </c>
    </row>
    <row r="1676" spans="1:5" x14ac:dyDescent="0.35">
      <c r="A1676" s="3">
        <v>118</v>
      </c>
      <c r="B1676" s="3">
        <v>36443</v>
      </c>
      <c r="C1676" s="3">
        <v>59</v>
      </c>
      <c r="D1676" s="3">
        <v>1</v>
      </c>
      <c r="E1676" s="25">
        <f t="shared" si="24"/>
        <v>157.24908446586346</v>
      </c>
    </row>
    <row r="1677" spans="1:5" x14ac:dyDescent="0.35">
      <c r="A1677" s="2">
        <v>67</v>
      </c>
      <c r="B1677" s="2">
        <v>36927</v>
      </c>
      <c r="C1677" s="2">
        <v>65</v>
      </c>
      <c r="D1677" s="2">
        <v>1</v>
      </c>
      <c r="E1677" s="25">
        <f t="shared" si="24"/>
        <v>156.09861377414484</v>
      </c>
    </row>
    <row r="1678" spans="1:5" x14ac:dyDescent="0.35">
      <c r="A1678" s="3">
        <v>258</v>
      </c>
      <c r="B1678" s="3">
        <v>36930</v>
      </c>
      <c r="C1678" s="3">
        <v>66</v>
      </c>
      <c r="D1678" s="3">
        <v>1</v>
      </c>
      <c r="E1678" s="25">
        <f t="shared" si="24"/>
        <v>154.32334099968227</v>
      </c>
    </row>
    <row r="1679" spans="1:5" x14ac:dyDescent="0.35">
      <c r="A1679" s="2">
        <v>35</v>
      </c>
      <c r="B1679" s="2">
        <v>34984</v>
      </c>
      <c r="C1679" s="2">
        <v>45</v>
      </c>
      <c r="D1679" s="2">
        <v>1</v>
      </c>
      <c r="E1679" s="25">
        <f t="shared" si="24"/>
        <v>153.21201884843481</v>
      </c>
    </row>
    <row r="1680" spans="1:5" x14ac:dyDescent="0.35">
      <c r="A1680" s="3">
        <v>71</v>
      </c>
      <c r="B1680" s="3">
        <v>22123</v>
      </c>
      <c r="C1680" s="3">
        <v>60</v>
      </c>
      <c r="D1680" s="3">
        <v>0</v>
      </c>
      <c r="E1680" s="25">
        <f t="shared" si="24"/>
        <v>153.05911663935245</v>
      </c>
    </row>
    <row r="1681" spans="1:5" x14ac:dyDescent="0.35">
      <c r="A1681" s="3">
        <v>121</v>
      </c>
      <c r="B1681" s="3">
        <v>36957</v>
      </c>
      <c r="C1681" s="3">
        <v>67</v>
      </c>
      <c r="D1681" s="3">
        <v>1</v>
      </c>
      <c r="E1681" s="25">
        <f t="shared" si="24"/>
        <v>153.03739866067326</v>
      </c>
    </row>
    <row r="1682" spans="1:5" x14ac:dyDescent="0.35">
      <c r="A1682" s="3">
        <v>11</v>
      </c>
      <c r="B1682" s="3">
        <v>36807</v>
      </c>
      <c r="C1682" s="3">
        <v>66</v>
      </c>
      <c r="D1682" s="3">
        <v>1</v>
      </c>
      <c r="E1682" s="25">
        <f t="shared" si="24"/>
        <v>151.81552251798269</v>
      </c>
    </row>
    <row r="1683" spans="1:5" x14ac:dyDescent="0.35">
      <c r="A1683" s="2">
        <v>32</v>
      </c>
      <c r="B1683" s="2">
        <v>35791</v>
      </c>
      <c r="C1683" s="2">
        <v>55</v>
      </c>
      <c r="D1683" s="2">
        <v>1</v>
      </c>
      <c r="E1683" s="25">
        <f t="shared" si="24"/>
        <v>151.30136395161844</v>
      </c>
    </row>
    <row r="1684" spans="1:5" x14ac:dyDescent="0.35">
      <c r="A1684" s="3">
        <v>502</v>
      </c>
      <c r="B1684" s="3">
        <v>22507</v>
      </c>
      <c r="C1684" s="3">
        <v>66</v>
      </c>
      <c r="D1684" s="3">
        <v>0</v>
      </c>
      <c r="E1684" s="25">
        <f t="shared" si="24"/>
        <v>149.86976913324401</v>
      </c>
    </row>
    <row r="1685" spans="1:5" x14ac:dyDescent="0.35">
      <c r="A1685" s="3">
        <v>41</v>
      </c>
      <c r="B1685" s="3">
        <v>35178</v>
      </c>
      <c r="C1685" s="3">
        <v>49</v>
      </c>
      <c r="D1685" s="3">
        <v>1</v>
      </c>
      <c r="E1685" s="25">
        <f t="shared" si="24"/>
        <v>149.82168355277406</v>
      </c>
    </row>
    <row r="1686" spans="1:5" x14ac:dyDescent="0.35">
      <c r="A1686" s="3">
        <v>16</v>
      </c>
      <c r="B1686" s="3">
        <v>22304</v>
      </c>
      <c r="C1686" s="3">
        <v>64</v>
      </c>
      <c r="D1686" s="3">
        <v>0</v>
      </c>
      <c r="E1686" s="25">
        <f t="shared" si="24"/>
        <v>149.40372735782108</v>
      </c>
    </row>
    <row r="1687" spans="1:5" x14ac:dyDescent="0.35">
      <c r="A1687" s="3">
        <v>78</v>
      </c>
      <c r="B1687" s="3">
        <v>34961</v>
      </c>
      <c r="C1687" s="3">
        <v>47</v>
      </c>
      <c r="D1687" s="3">
        <v>1</v>
      </c>
      <c r="E1687" s="25">
        <f t="shared" si="24"/>
        <v>149.07019902333661</v>
      </c>
    </row>
    <row r="1688" spans="1:5" x14ac:dyDescent="0.35">
      <c r="A1688" s="3">
        <v>305</v>
      </c>
      <c r="B1688" s="3">
        <v>36634</v>
      </c>
      <c r="C1688" s="3">
        <v>66</v>
      </c>
      <c r="D1688" s="3">
        <v>1</v>
      </c>
      <c r="E1688" s="25">
        <f t="shared" si="24"/>
        <v>148.28826562908819</v>
      </c>
    </row>
    <row r="1689" spans="1:5" x14ac:dyDescent="0.35">
      <c r="A1689" s="2">
        <v>38</v>
      </c>
      <c r="B1689" s="2">
        <v>35441</v>
      </c>
      <c r="C1689" s="2">
        <v>53</v>
      </c>
      <c r="D1689" s="2">
        <v>1</v>
      </c>
      <c r="E1689" s="25">
        <f t="shared" si="24"/>
        <v>147.83817325904238</v>
      </c>
    </row>
    <row r="1690" spans="1:5" x14ac:dyDescent="0.35">
      <c r="A1690" s="3">
        <v>94</v>
      </c>
      <c r="B1690" s="3">
        <v>33812</v>
      </c>
      <c r="C1690" s="3">
        <v>35</v>
      </c>
      <c r="D1690" s="3">
        <v>1</v>
      </c>
      <c r="E1690" s="25">
        <f t="shared" si="24"/>
        <v>147.68077337272808</v>
      </c>
    </row>
    <row r="1691" spans="1:5" x14ac:dyDescent="0.35">
      <c r="A1691" s="3">
        <v>37</v>
      </c>
      <c r="B1691" s="3">
        <v>34350</v>
      </c>
      <c r="C1691" s="3">
        <v>41</v>
      </c>
      <c r="D1691" s="3">
        <v>1</v>
      </c>
      <c r="E1691" s="25">
        <f t="shared" si="24"/>
        <v>147.63129616078004</v>
      </c>
    </row>
    <row r="1692" spans="1:5" x14ac:dyDescent="0.35">
      <c r="A1692" s="3">
        <v>93</v>
      </c>
      <c r="B1692" s="3">
        <v>35322</v>
      </c>
      <c r="C1692" s="3">
        <v>52</v>
      </c>
      <c r="D1692" s="3">
        <v>1</v>
      </c>
      <c r="E1692" s="25">
        <f t="shared" si="24"/>
        <v>147.24834892881267</v>
      </c>
    </row>
    <row r="1693" spans="1:5" x14ac:dyDescent="0.35">
      <c r="A1693" s="2">
        <v>32</v>
      </c>
      <c r="B1693" s="2">
        <v>34853</v>
      </c>
      <c r="C1693" s="2">
        <v>47</v>
      </c>
      <c r="D1693" s="2">
        <v>1</v>
      </c>
      <c r="E1693" s="25">
        <f t="shared" si="24"/>
        <v>146.86821206379545</v>
      </c>
    </row>
    <row r="1694" spans="1:5" x14ac:dyDescent="0.35">
      <c r="A1694" s="2">
        <v>95</v>
      </c>
      <c r="B1694" s="2">
        <v>34487</v>
      </c>
      <c r="C1694" s="2">
        <v>43</v>
      </c>
      <c r="D1694" s="2">
        <v>1</v>
      </c>
      <c r="E1694" s="25">
        <f t="shared" si="24"/>
        <v>146.75167923870561</v>
      </c>
    </row>
    <row r="1695" spans="1:5" x14ac:dyDescent="0.35">
      <c r="A1695" s="3">
        <v>121</v>
      </c>
      <c r="B1695" s="3">
        <v>34529</v>
      </c>
      <c r="C1695" s="3">
        <v>44</v>
      </c>
      <c r="D1695" s="3">
        <v>1</v>
      </c>
      <c r="E1695" s="25">
        <f t="shared" si="24"/>
        <v>145.77156842185514</v>
      </c>
    </row>
    <row r="1696" spans="1:5" x14ac:dyDescent="0.35">
      <c r="A1696" s="2">
        <v>151</v>
      </c>
      <c r="B1696" s="2">
        <v>34380</v>
      </c>
      <c r="C1696" s="2">
        <v>43</v>
      </c>
      <c r="D1696" s="2">
        <v>1</v>
      </c>
      <c r="E1696" s="25">
        <f t="shared" si="24"/>
        <v>144.57008104730846</v>
      </c>
    </row>
    <row r="1697" spans="1:5" x14ac:dyDescent="0.35">
      <c r="A1697" s="3">
        <v>16</v>
      </c>
      <c r="B1697" s="3">
        <v>34596</v>
      </c>
      <c r="C1697" s="3">
        <v>46</v>
      </c>
      <c r="D1697" s="3">
        <v>1</v>
      </c>
      <c r="E1697" s="25">
        <f t="shared" si="24"/>
        <v>143.46473772970774</v>
      </c>
    </row>
    <row r="1698" spans="1:5" x14ac:dyDescent="0.35">
      <c r="A1698" s="2">
        <v>16</v>
      </c>
      <c r="B1698" s="2">
        <v>34596</v>
      </c>
      <c r="C1698" s="2">
        <v>46</v>
      </c>
      <c r="D1698" s="2">
        <v>1</v>
      </c>
      <c r="E1698" s="25">
        <f t="shared" si="24"/>
        <v>143.46473772970774</v>
      </c>
    </row>
    <row r="1699" spans="1:5" x14ac:dyDescent="0.35">
      <c r="A1699" s="2">
        <v>67</v>
      </c>
      <c r="B1699" s="2">
        <v>18929</v>
      </c>
      <c r="C1699" s="2">
        <v>30</v>
      </c>
      <c r="D1699" s="2">
        <v>0</v>
      </c>
      <c r="E1699" s="25">
        <f t="shared" si="24"/>
        <v>143.03056355456766</v>
      </c>
    </row>
    <row r="1700" spans="1:5" x14ac:dyDescent="0.35">
      <c r="A1700" s="2">
        <v>119</v>
      </c>
      <c r="B1700" s="2">
        <v>20180</v>
      </c>
      <c r="C1700" s="2">
        <v>44</v>
      </c>
      <c r="D1700" s="2">
        <v>0</v>
      </c>
      <c r="E1700" s="25">
        <f t="shared" si="24"/>
        <v>142.82676539806531</v>
      </c>
    </row>
    <row r="1701" spans="1:5" x14ac:dyDescent="0.35">
      <c r="A1701" s="3">
        <v>146</v>
      </c>
      <c r="B1701" s="3">
        <v>33454</v>
      </c>
      <c r="C1701" s="3">
        <v>35</v>
      </c>
      <c r="D1701" s="3">
        <v>1</v>
      </c>
      <c r="E1701" s="25">
        <f t="shared" si="24"/>
        <v>140.38159437721225</v>
      </c>
    </row>
    <row r="1702" spans="1:5" x14ac:dyDescent="0.35">
      <c r="A1702" s="2">
        <v>21</v>
      </c>
      <c r="B1702" s="2">
        <v>34421</v>
      </c>
      <c r="C1702" s="2">
        <v>46</v>
      </c>
      <c r="D1702" s="2">
        <v>1</v>
      </c>
      <c r="E1702" s="25">
        <f t="shared" si="24"/>
        <v>139.89670330452543</v>
      </c>
    </row>
    <row r="1703" spans="1:5" x14ac:dyDescent="0.35">
      <c r="A1703" s="3">
        <v>39</v>
      </c>
      <c r="B1703" s="3">
        <v>34043</v>
      </c>
      <c r="C1703" s="3">
        <v>42</v>
      </c>
      <c r="D1703" s="3">
        <v>1</v>
      </c>
      <c r="E1703" s="25">
        <f t="shared" si="24"/>
        <v>139.53550526170875</v>
      </c>
    </row>
    <row r="1704" spans="1:5" x14ac:dyDescent="0.35">
      <c r="A1704" s="3">
        <v>8</v>
      </c>
      <c r="B1704" s="3">
        <v>34578</v>
      </c>
      <c r="C1704" s="3">
        <v>48</v>
      </c>
      <c r="D1704" s="3">
        <v>1</v>
      </c>
      <c r="E1704" s="25">
        <f t="shared" si="24"/>
        <v>139.42486174532905</v>
      </c>
    </row>
    <row r="1705" spans="1:5" x14ac:dyDescent="0.35">
      <c r="A1705" s="2">
        <v>39</v>
      </c>
      <c r="B1705" s="2">
        <v>33569</v>
      </c>
      <c r="C1705" s="2">
        <v>37</v>
      </c>
      <c r="D1705" s="2">
        <v>1</v>
      </c>
      <c r="E1705" s="25">
        <f t="shared" si="24"/>
        <v>139.05342455597219</v>
      </c>
    </row>
    <row r="1706" spans="1:5" x14ac:dyDescent="0.35">
      <c r="A1706" s="2">
        <v>189</v>
      </c>
      <c r="B1706" s="2">
        <v>34916</v>
      </c>
      <c r="C1706" s="2">
        <v>52</v>
      </c>
      <c r="D1706" s="2">
        <v>1</v>
      </c>
      <c r="E1706" s="25">
        <f t="shared" si="24"/>
        <v>138.97050906238974</v>
      </c>
    </row>
    <row r="1707" spans="1:5" x14ac:dyDescent="0.35">
      <c r="A1707" s="2">
        <v>22</v>
      </c>
      <c r="B1707" s="2">
        <v>20130</v>
      </c>
      <c r="C1707" s="2">
        <v>46</v>
      </c>
      <c r="D1707" s="2">
        <v>0</v>
      </c>
      <c r="E1707" s="25">
        <f t="shared" si="24"/>
        <v>138.13444883308185</v>
      </c>
    </row>
    <row r="1708" spans="1:5" x14ac:dyDescent="0.35">
      <c r="A1708" s="3">
        <v>303</v>
      </c>
      <c r="B1708" s="3">
        <v>34600</v>
      </c>
      <c r="C1708" s="3">
        <v>49</v>
      </c>
      <c r="D1708" s="3">
        <v>1</v>
      </c>
      <c r="E1708" s="25">
        <f t="shared" si="24"/>
        <v>138.03697556560053</v>
      </c>
    </row>
    <row r="1709" spans="1:5" x14ac:dyDescent="0.35">
      <c r="A1709" s="2">
        <v>451</v>
      </c>
      <c r="B1709" s="2">
        <v>36130</v>
      </c>
      <c r="C1709" s="2">
        <v>66</v>
      </c>
      <c r="D1709" s="2">
        <v>1</v>
      </c>
      <c r="E1709" s="25">
        <f t="shared" si="24"/>
        <v>138.01232648456323</v>
      </c>
    </row>
    <row r="1710" spans="1:5" x14ac:dyDescent="0.35">
      <c r="A1710" s="3">
        <v>64</v>
      </c>
      <c r="B1710" s="3">
        <v>33235</v>
      </c>
      <c r="C1710" s="3">
        <v>34</v>
      </c>
      <c r="D1710" s="3">
        <v>1</v>
      </c>
      <c r="E1710" s="25">
        <f t="shared" ref="E1710:E1773" si="25">$B$101+$B1710*$B$102+$C1710*$B$103+$D1710*$B$104</f>
        <v>137.75289323259273</v>
      </c>
    </row>
    <row r="1711" spans="1:5" x14ac:dyDescent="0.35">
      <c r="A1711" s="3">
        <v>26</v>
      </c>
      <c r="B1711" s="3">
        <v>34176</v>
      </c>
      <c r="C1711" s="3">
        <v>45</v>
      </c>
      <c r="D1711" s="3">
        <v>1</v>
      </c>
      <c r="E1711" s="25">
        <f t="shared" si="25"/>
        <v>136.73789418816455</v>
      </c>
    </row>
    <row r="1712" spans="1:5" x14ac:dyDescent="0.35">
      <c r="A1712" s="3">
        <v>19</v>
      </c>
      <c r="B1712" s="3">
        <v>36408</v>
      </c>
      <c r="C1712" s="3">
        <v>71</v>
      </c>
      <c r="D1712" s="3">
        <v>1</v>
      </c>
      <c r="E1712" s="25">
        <f t="shared" si="25"/>
        <v>134.4982086340957</v>
      </c>
    </row>
    <row r="1713" spans="1:5" x14ac:dyDescent="0.35">
      <c r="A1713" s="3">
        <v>260</v>
      </c>
      <c r="B1713" s="3">
        <v>33955</v>
      </c>
      <c r="C1713" s="3">
        <v>45</v>
      </c>
      <c r="D1713" s="3">
        <v>1</v>
      </c>
      <c r="E1713" s="25">
        <f t="shared" si="25"/>
        <v>132.23197642836283</v>
      </c>
    </row>
    <row r="1714" spans="1:5" x14ac:dyDescent="0.35">
      <c r="A1714" s="3">
        <v>36</v>
      </c>
      <c r="B1714" s="3">
        <v>18351</v>
      </c>
      <c r="C1714" s="3">
        <v>30</v>
      </c>
      <c r="D1714" s="3">
        <v>0</v>
      </c>
      <c r="E1714" s="25">
        <f t="shared" si="25"/>
        <v>131.24585556739413</v>
      </c>
    </row>
    <row r="1715" spans="1:5" x14ac:dyDescent="0.35">
      <c r="A1715" s="2">
        <v>20</v>
      </c>
      <c r="B1715" s="2">
        <v>18890</v>
      </c>
      <c r="C1715" s="2">
        <v>36</v>
      </c>
      <c r="D1715" s="2">
        <v>0</v>
      </c>
      <c r="E1715" s="25">
        <f t="shared" si="25"/>
        <v>131.21676712358999</v>
      </c>
    </row>
    <row r="1716" spans="1:5" x14ac:dyDescent="0.35">
      <c r="A1716" s="3">
        <v>35</v>
      </c>
      <c r="B1716" s="3">
        <v>34704</v>
      </c>
      <c r="C1716" s="3">
        <v>54</v>
      </c>
      <c r="D1716" s="3">
        <v>1</v>
      </c>
      <c r="E1716" s="25">
        <f t="shared" si="25"/>
        <v>130.97521205809471</v>
      </c>
    </row>
    <row r="1717" spans="1:5" x14ac:dyDescent="0.35">
      <c r="A1717" s="2">
        <v>40</v>
      </c>
      <c r="B1717" s="2">
        <v>32880</v>
      </c>
      <c r="C1717" s="2">
        <v>34</v>
      </c>
      <c r="D1717" s="2">
        <v>1</v>
      </c>
      <c r="E1717" s="25">
        <f t="shared" si="25"/>
        <v>130.5148805415086</v>
      </c>
    </row>
    <row r="1718" spans="1:5" x14ac:dyDescent="0.35">
      <c r="A1718" s="3">
        <v>43</v>
      </c>
      <c r="B1718" s="3">
        <v>33462</v>
      </c>
      <c r="C1718" s="3">
        <v>41</v>
      </c>
      <c r="D1718" s="3">
        <v>1</v>
      </c>
      <c r="E1718" s="25">
        <f t="shared" si="25"/>
        <v>129.52607004899778</v>
      </c>
    </row>
    <row r="1719" spans="1:5" x14ac:dyDescent="0.35">
      <c r="A1719" s="3">
        <v>53</v>
      </c>
      <c r="B1719" s="3">
        <v>18222</v>
      </c>
      <c r="C1719" s="3">
        <v>30</v>
      </c>
      <c r="D1719" s="3">
        <v>0</v>
      </c>
      <c r="E1719" s="25">
        <f t="shared" si="25"/>
        <v>128.61570447683118</v>
      </c>
    </row>
    <row r="1720" spans="1:5" x14ac:dyDescent="0.35">
      <c r="A1720" s="2">
        <v>18</v>
      </c>
      <c r="B1720" s="2">
        <v>34109</v>
      </c>
      <c r="C1720" s="2">
        <v>49</v>
      </c>
      <c r="D1720" s="2">
        <v>1</v>
      </c>
      <c r="E1720" s="25">
        <f t="shared" si="25"/>
        <v>128.0260904069462</v>
      </c>
    </row>
    <row r="1721" spans="1:5" x14ac:dyDescent="0.35">
      <c r="A1721" s="2">
        <v>52</v>
      </c>
      <c r="B1721" s="2">
        <v>35246</v>
      </c>
      <c r="C1721" s="2">
        <v>62</v>
      </c>
      <c r="D1721" s="2">
        <v>1</v>
      </c>
      <c r="E1721" s="25">
        <f t="shared" si="25"/>
        <v>127.33441176093368</v>
      </c>
    </row>
    <row r="1722" spans="1:5" x14ac:dyDescent="0.35">
      <c r="A1722" s="2">
        <v>66</v>
      </c>
      <c r="B1722" s="2">
        <v>33228</v>
      </c>
      <c r="C1722" s="2">
        <v>40</v>
      </c>
      <c r="D1722" s="2">
        <v>1</v>
      </c>
      <c r="E1722" s="25">
        <f t="shared" si="25"/>
        <v>126.59153738221971</v>
      </c>
    </row>
    <row r="1723" spans="1:5" x14ac:dyDescent="0.35">
      <c r="A1723" s="2">
        <v>64</v>
      </c>
      <c r="B1723" s="2">
        <v>35704</v>
      </c>
      <c r="C1723" s="2">
        <v>68</v>
      </c>
      <c r="D1723" s="2">
        <v>1</v>
      </c>
      <c r="E1723" s="25">
        <f t="shared" si="25"/>
        <v>125.65383309747369</v>
      </c>
    </row>
    <row r="1724" spans="1:5" x14ac:dyDescent="0.35">
      <c r="A1724" s="2">
        <v>40</v>
      </c>
      <c r="B1724" s="2">
        <v>35340</v>
      </c>
      <c r="C1724" s="2">
        <v>64</v>
      </c>
      <c r="D1724" s="2">
        <v>1</v>
      </c>
      <c r="E1724" s="25">
        <f t="shared" si="25"/>
        <v>125.57807780867165</v>
      </c>
    </row>
    <row r="1725" spans="1:5" x14ac:dyDescent="0.35">
      <c r="A1725" s="2">
        <v>11</v>
      </c>
      <c r="B1725" s="2">
        <v>35946</v>
      </c>
      <c r="C1725" s="2">
        <v>71</v>
      </c>
      <c r="D1725" s="2">
        <v>1</v>
      </c>
      <c r="E1725" s="25">
        <f t="shared" si="25"/>
        <v>125.07859775161444</v>
      </c>
    </row>
    <row r="1726" spans="1:5" x14ac:dyDescent="0.35">
      <c r="A1726" s="3">
        <v>39</v>
      </c>
      <c r="B1726" s="3">
        <v>33986</v>
      </c>
      <c r="C1726" s="3">
        <v>50</v>
      </c>
      <c r="D1726" s="3">
        <v>1</v>
      </c>
      <c r="E1726" s="25">
        <f t="shared" si="25"/>
        <v>123.68183284635234</v>
      </c>
    </row>
    <row r="1727" spans="1:5" x14ac:dyDescent="0.35">
      <c r="A1727" s="2">
        <v>6</v>
      </c>
      <c r="B1727" s="2">
        <v>33590</v>
      </c>
      <c r="C1727" s="2">
        <v>46</v>
      </c>
      <c r="D1727" s="2">
        <v>1</v>
      </c>
      <c r="E1727" s="25">
        <f t="shared" si="25"/>
        <v>122.95363697694552</v>
      </c>
    </row>
    <row r="1728" spans="1:5" x14ac:dyDescent="0.35">
      <c r="A1728" s="3">
        <v>91</v>
      </c>
      <c r="B1728" s="3">
        <v>34053</v>
      </c>
      <c r="C1728" s="3">
        <v>52</v>
      </c>
      <c r="D1728" s="3">
        <v>1</v>
      </c>
      <c r="E1728" s="25">
        <f t="shared" si="25"/>
        <v>121.37500215420505</v>
      </c>
    </row>
    <row r="1729" spans="1:5" x14ac:dyDescent="0.35">
      <c r="A1729" s="2">
        <v>33</v>
      </c>
      <c r="B1729" s="2">
        <v>33178</v>
      </c>
      <c r="C1729" s="2">
        <v>43</v>
      </c>
      <c r="D1729" s="2">
        <v>1</v>
      </c>
      <c r="E1729" s="25">
        <f t="shared" si="25"/>
        <v>120.06278173834198</v>
      </c>
    </row>
    <row r="1730" spans="1:5" x14ac:dyDescent="0.35">
      <c r="A1730" s="3">
        <v>69</v>
      </c>
      <c r="B1730" s="3">
        <v>33622</v>
      </c>
      <c r="C1730" s="3">
        <v>48</v>
      </c>
      <c r="D1730" s="3">
        <v>1</v>
      </c>
      <c r="E1730" s="25">
        <f t="shared" si="25"/>
        <v>119.93319939976175</v>
      </c>
    </row>
    <row r="1731" spans="1:5" x14ac:dyDescent="0.35">
      <c r="A1731" s="2">
        <v>19</v>
      </c>
      <c r="B1731" s="2">
        <v>34230</v>
      </c>
      <c r="C1731" s="2">
        <v>55</v>
      </c>
      <c r="D1731" s="2">
        <v>1</v>
      </c>
      <c r="E1731" s="25">
        <f t="shared" si="25"/>
        <v>119.47449687899234</v>
      </c>
    </row>
    <row r="1732" spans="1:5" x14ac:dyDescent="0.35">
      <c r="A1732" s="3">
        <v>66</v>
      </c>
      <c r="B1732" s="3">
        <v>33039</v>
      </c>
      <c r="C1732" s="3">
        <v>42</v>
      </c>
      <c r="D1732" s="3">
        <v>1</v>
      </c>
      <c r="E1732" s="25">
        <f t="shared" si="25"/>
        <v>119.06518204523434</v>
      </c>
    </row>
    <row r="1733" spans="1:5" x14ac:dyDescent="0.35">
      <c r="A1733" s="2">
        <v>88</v>
      </c>
      <c r="B1733" s="2">
        <v>34377</v>
      </c>
      <c r="C1733" s="2">
        <v>57</v>
      </c>
      <c r="D1733" s="2">
        <v>1</v>
      </c>
      <c r="E1733" s="25">
        <f t="shared" si="25"/>
        <v>118.79876763835694</v>
      </c>
    </row>
    <row r="1734" spans="1:5" x14ac:dyDescent="0.35">
      <c r="A1734" s="3">
        <v>81</v>
      </c>
      <c r="B1734" s="3">
        <v>33471</v>
      </c>
      <c r="C1734" s="3">
        <v>47</v>
      </c>
      <c r="D1734" s="3">
        <v>1</v>
      </c>
      <c r="E1734" s="25">
        <f t="shared" si="25"/>
        <v>118.69093448892727</v>
      </c>
    </row>
    <row r="1735" spans="1:5" x14ac:dyDescent="0.35">
      <c r="A1735" s="2">
        <v>12</v>
      </c>
      <c r="B1735" s="2">
        <v>33181</v>
      </c>
      <c r="C1735" s="2">
        <v>44</v>
      </c>
      <c r="D1735" s="2">
        <v>1</v>
      </c>
      <c r="E1735" s="25">
        <f t="shared" si="25"/>
        <v>118.28750896387942</v>
      </c>
    </row>
    <row r="1736" spans="1:5" x14ac:dyDescent="0.35">
      <c r="A1736" s="2">
        <v>70</v>
      </c>
      <c r="B1736" s="2">
        <v>33249</v>
      </c>
      <c r="C1736" s="2">
        <v>45</v>
      </c>
      <c r="D1736" s="2">
        <v>1</v>
      </c>
      <c r="E1736" s="25">
        <f t="shared" si="25"/>
        <v>117.83750611877019</v>
      </c>
    </row>
    <row r="1737" spans="1:5" x14ac:dyDescent="0.35">
      <c r="A1737" s="3">
        <v>17</v>
      </c>
      <c r="B1737" s="3">
        <v>33697</v>
      </c>
      <c r="C1737" s="3">
        <v>50</v>
      </c>
      <c r="D1737" s="3">
        <v>1</v>
      </c>
      <c r="E1737" s="25">
        <f t="shared" si="25"/>
        <v>117.78947885276557</v>
      </c>
    </row>
    <row r="1738" spans="1:5" x14ac:dyDescent="0.35">
      <c r="A1738" s="3">
        <v>73</v>
      </c>
      <c r="B1738" s="3">
        <v>34941</v>
      </c>
      <c r="C1738" s="3">
        <v>64</v>
      </c>
      <c r="D1738" s="3">
        <v>1</v>
      </c>
      <c r="E1738" s="25">
        <f t="shared" si="25"/>
        <v>117.44295931925592</v>
      </c>
    </row>
    <row r="1739" spans="1:5" x14ac:dyDescent="0.35">
      <c r="A1739" s="2">
        <v>67</v>
      </c>
      <c r="B1739" s="2">
        <v>31928</v>
      </c>
      <c r="C1739" s="2">
        <v>31</v>
      </c>
      <c r="D1739" s="2">
        <v>1</v>
      </c>
      <c r="E1739" s="25">
        <f t="shared" si="25"/>
        <v>116.61409050519973</v>
      </c>
    </row>
    <row r="1740" spans="1:5" x14ac:dyDescent="0.35">
      <c r="A1740" s="3">
        <v>83</v>
      </c>
      <c r="B1740" s="3">
        <v>33183</v>
      </c>
      <c r="C1740" s="3">
        <v>45</v>
      </c>
      <c r="D1740" s="3">
        <v>1</v>
      </c>
      <c r="E1740" s="25">
        <f t="shared" si="25"/>
        <v>116.49184742127295</v>
      </c>
    </row>
    <row r="1741" spans="1:5" x14ac:dyDescent="0.35">
      <c r="A1741" s="2">
        <v>91</v>
      </c>
      <c r="B1741" s="2">
        <v>34213</v>
      </c>
      <c r="C1741" s="2">
        <v>57</v>
      </c>
      <c r="D1741" s="2">
        <v>1</v>
      </c>
      <c r="E1741" s="25">
        <f t="shared" si="25"/>
        <v>115.45500966275745</v>
      </c>
    </row>
    <row r="1742" spans="1:5" x14ac:dyDescent="0.35">
      <c r="A1742" s="2">
        <v>54</v>
      </c>
      <c r="B1742" s="2">
        <v>32952</v>
      </c>
      <c r="C1742" s="2">
        <v>43</v>
      </c>
      <c r="D1742" s="2">
        <v>1</v>
      </c>
      <c r="E1742" s="25">
        <f t="shared" si="25"/>
        <v>115.45492013782086</v>
      </c>
    </row>
    <row r="1743" spans="1:5" x14ac:dyDescent="0.35">
      <c r="A1743" s="2">
        <v>43</v>
      </c>
      <c r="B1743" s="2">
        <v>32765</v>
      </c>
      <c r="C1743" s="2">
        <v>41</v>
      </c>
      <c r="D1743" s="2">
        <v>1</v>
      </c>
      <c r="E1743" s="25">
        <f t="shared" si="25"/>
        <v>115.31509865270027</v>
      </c>
    </row>
    <row r="1744" spans="1:5" x14ac:dyDescent="0.35">
      <c r="A1744" s="2">
        <v>50</v>
      </c>
      <c r="B1744" s="2">
        <v>34554</v>
      </c>
      <c r="C1744" s="2">
        <v>61</v>
      </c>
      <c r="D1744" s="2">
        <v>1</v>
      </c>
      <c r="E1744" s="25">
        <f t="shared" si="25"/>
        <v>115.06182328424995</v>
      </c>
    </row>
    <row r="1745" spans="1:5" x14ac:dyDescent="0.35">
      <c r="A1745" s="3">
        <v>16</v>
      </c>
      <c r="B1745" s="3">
        <v>33581</v>
      </c>
      <c r="C1745" s="3">
        <v>51</v>
      </c>
      <c r="D1745" s="3">
        <v>1</v>
      </c>
      <c r="E1745" s="25">
        <f t="shared" si="25"/>
        <v>113.58794266917903</v>
      </c>
    </row>
    <row r="1746" spans="1:5" x14ac:dyDescent="0.35">
      <c r="A1746" s="2">
        <v>119</v>
      </c>
      <c r="B1746" s="2">
        <v>33316</v>
      </c>
      <c r="C1746" s="2">
        <v>49</v>
      </c>
      <c r="D1746" s="2">
        <v>1</v>
      </c>
      <c r="E1746" s="25">
        <f t="shared" si="25"/>
        <v>111.85779726883436</v>
      </c>
    </row>
    <row r="1747" spans="1:5" x14ac:dyDescent="0.35">
      <c r="A1747" s="2">
        <v>152</v>
      </c>
      <c r="B1747" s="2">
        <v>32313</v>
      </c>
      <c r="C1747" s="2">
        <v>38</v>
      </c>
      <c r="D1747" s="2">
        <v>1</v>
      </c>
      <c r="E1747" s="25">
        <f t="shared" si="25"/>
        <v>111.60869268834091</v>
      </c>
    </row>
    <row r="1748" spans="1:5" x14ac:dyDescent="0.35">
      <c r="A1748" s="3">
        <v>14</v>
      </c>
      <c r="B1748" s="3">
        <v>34633</v>
      </c>
      <c r="C1748" s="3">
        <v>64</v>
      </c>
      <c r="D1748" s="3">
        <v>1</v>
      </c>
      <c r="E1748" s="25">
        <f t="shared" si="25"/>
        <v>111.16321873093511</v>
      </c>
    </row>
    <row r="1749" spans="1:5" x14ac:dyDescent="0.35">
      <c r="A1749" s="2">
        <v>63</v>
      </c>
      <c r="B1749" s="2">
        <v>32146</v>
      </c>
      <c r="C1749" s="2">
        <v>37</v>
      </c>
      <c r="D1749" s="2">
        <v>1</v>
      </c>
      <c r="E1749" s="25">
        <f t="shared" si="25"/>
        <v>110.04020748720399</v>
      </c>
    </row>
    <row r="1750" spans="1:5" x14ac:dyDescent="0.35">
      <c r="A1750" s="2">
        <v>14</v>
      </c>
      <c r="B1750" s="2">
        <v>34242</v>
      </c>
      <c r="C1750" s="2">
        <v>61</v>
      </c>
      <c r="D1750" s="2">
        <v>1</v>
      </c>
      <c r="E1750" s="25">
        <f t="shared" si="25"/>
        <v>108.70052762335342</v>
      </c>
    </row>
    <row r="1751" spans="1:5" x14ac:dyDescent="0.35">
      <c r="A1751" s="2">
        <v>93</v>
      </c>
      <c r="B1751" s="2">
        <v>33585</v>
      </c>
      <c r="C1751" s="2">
        <v>54</v>
      </c>
      <c r="D1751" s="2">
        <v>1</v>
      </c>
      <c r="E1751" s="25">
        <f t="shared" si="25"/>
        <v>108.16018050507182</v>
      </c>
    </row>
    <row r="1752" spans="1:5" x14ac:dyDescent="0.35">
      <c r="A1752" s="2">
        <v>64</v>
      </c>
      <c r="B1752" s="2">
        <v>33564</v>
      </c>
      <c r="C1752" s="2">
        <v>54</v>
      </c>
      <c r="D1752" s="2">
        <v>1</v>
      </c>
      <c r="E1752" s="25">
        <f t="shared" si="25"/>
        <v>107.73201637404998</v>
      </c>
    </row>
    <row r="1753" spans="1:5" x14ac:dyDescent="0.35">
      <c r="A1753" s="3">
        <v>123</v>
      </c>
      <c r="B1753" s="3">
        <v>34838</v>
      </c>
      <c r="C1753" s="3">
        <v>69</v>
      </c>
      <c r="D1753" s="3">
        <v>1</v>
      </c>
      <c r="E1753" s="25">
        <f t="shared" si="25"/>
        <v>106.16072080596302</v>
      </c>
    </row>
    <row r="1754" spans="1:5" x14ac:dyDescent="0.35">
      <c r="A1754" s="2">
        <v>41</v>
      </c>
      <c r="B1754" s="2">
        <v>17323</v>
      </c>
      <c r="C1754" s="2">
        <v>33</v>
      </c>
      <c r="D1754" s="2">
        <v>0</v>
      </c>
      <c r="E1754" s="25">
        <f t="shared" si="25"/>
        <v>104.77688467878329</v>
      </c>
    </row>
    <row r="1755" spans="1:5" x14ac:dyDescent="0.35">
      <c r="A1755" s="2">
        <v>20</v>
      </c>
      <c r="B1755" s="2">
        <v>34587</v>
      </c>
      <c r="C1755" s="2">
        <v>67</v>
      </c>
      <c r="D1755" s="2">
        <v>1</v>
      </c>
      <c r="E1755" s="25">
        <f t="shared" si="25"/>
        <v>104.71601815963299</v>
      </c>
    </row>
    <row r="1756" spans="1:5" x14ac:dyDescent="0.35">
      <c r="A1756" s="3">
        <v>70</v>
      </c>
      <c r="B1756" s="3">
        <v>31761</v>
      </c>
      <c r="C1756" s="3">
        <v>36</v>
      </c>
      <c r="D1756" s="3">
        <v>1</v>
      </c>
      <c r="E1756" s="25">
        <f t="shared" si="25"/>
        <v>104.02697083069728</v>
      </c>
    </row>
    <row r="1757" spans="1:5" x14ac:dyDescent="0.35">
      <c r="A1757" s="3">
        <v>29</v>
      </c>
      <c r="B1757" s="3">
        <v>33456</v>
      </c>
      <c r="C1757" s="3">
        <v>55</v>
      </c>
      <c r="D1757" s="3">
        <v>1</v>
      </c>
      <c r="E1757" s="25">
        <f t="shared" si="25"/>
        <v>103.69359033561454</v>
      </c>
    </row>
    <row r="1758" spans="1:5" x14ac:dyDescent="0.35">
      <c r="A1758" s="3">
        <v>148</v>
      </c>
      <c r="B1758" s="3">
        <v>33629</v>
      </c>
      <c r="C1758" s="3">
        <v>57</v>
      </c>
      <c r="D1758" s="3">
        <v>1</v>
      </c>
      <c r="E1758" s="25">
        <f t="shared" si="25"/>
        <v>103.5479690667205</v>
      </c>
    </row>
    <row r="1759" spans="1:5" x14ac:dyDescent="0.35">
      <c r="A1759" s="3">
        <v>44</v>
      </c>
      <c r="B1759" s="3">
        <v>32892</v>
      </c>
      <c r="C1759" s="3">
        <v>49</v>
      </c>
      <c r="D1759" s="3">
        <v>1</v>
      </c>
      <c r="E1759" s="25">
        <f t="shared" si="25"/>
        <v>103.21295957582129</v>
      </c>
    </row>
    <row r="1760" spans="1:5" x14ac:dyDescent="0.35">
      <c r="A1760" s="2">
        <v>54</v>
      </c>
      <c r="B1760" s="2">
        <v>31788</v>
      </c>
      <c r="C1760" s="2">
        <v>37</v>
      </c>
      <c r="D1760" s="2">
        <v>1</v>
      </c>
      <c r="E1760" s="25">
        <f t="shared" si="25"/>
        <v>102.74102849168827</v>
      </c>
    </row>
    <row r="1761" spans="1:5" x14ac:dyDescent="0.35">
      <c r="A1761" s="3">
        <v>48</v>
      </c>
      <c r="B1761" s="3">
        <v>33562</v>
      </c>
      <c r="C1761" s="3">
        <v>57</v>
      </c>
      <c r="D1761" s="3">
        <v>1</v>
      </c>
      <c r="E1761" s="25">
        <f t="shared" si="25"/>
        <v>102.18192160107935</v>
      </c>
    </row>
    <row r="1762" spans="1:5" x14ac:dyDescent="0.35">
      <c r="A1762" s="3">
        <v>390</v>
      </c>
      <c r="B1762" s="3">
        <v>32644</v>
      </c>
      <c r="C1762" s="3">
        <v>47</v>
      </c>
      <c r="D1762" s="3">
        <v>1</v>
      </c>
      <c r="E1762" s="25">
        <f t="shared" si="25"/>
        <v>101.82942323392285</v>
      </c>
    </row>
    <row r="1763" spans="1:5" x14ac:dyDescent="0.35">
      <c r="A1763" s="2">
        <v>90</v>
      </c>
      <c r="B1763" s="2">
        <v>33762</v>
      </c>
      <c r="C1763" s="2">
        <v>61</v>
      </c>
      <c r="D1763" s="2">
        <v>1</v>
      </c>
      <c r="E1763" s="25">
        <f t="shared" si="25"/>
        <v>98.913918914282021</v>
      </c>
    </row>
    <row r="1764" spans="1:5" x14ac:dyDescent="0.35">
      <c r="A1764" s="2">
        <v>37</v>
      </c>
      <c r="B1764" s="2">
        <v>31859</v>
      </c>
      <c r="C1764" s="2">
        <v>40</v>
      </c>
      <c r="D1764" s="2">
        <v>1</v>
      </c>
      <c r="E1764" s="25">
        <f t="shared" si="25"/>
        <v>98.67931379322215</v>
      </c>
    </row>
    <row r="1765" spans="1:5" x14ac:dyDescent="0.35">
      <c r="A1765" s="3">
        <v>89</v>
      </c>
      <c r="B1765" s="3">
        <v>33378</v>
      </c>
      <c r="C1765" s="3">
        <v>57</v>
      </c>
      <c r="D1765" s="3">
        <v>1</v>
      </c>
      <c r="E1765" s="25">
        <f t="shared" si="25"/>
        <v>98.430388262601923</v>
      </c>
    </row>
    <row r="1766" spans="1:5" x14ac:dyDescent="0.35">
      <c r="A1766" s="3">
        <v>119</v>
      </c>
      <c r="B1766" s="3">
        <v>33168</v>
      </c>
      <c r="C1766" s="3">
        <v>55</v>
      </c>
      <c r="D1766" s="3">
        <v>1</v>
      </c>
      <c r="E1766" s="25">
        <f t="shared" si="25"/>
        <v>97.821625110171681</v>
      </c>
    </row>
    <row r="1767" spans="1:5" x14ac:dyDescent="0.35">
      <c r="A1767" s="2">
        <v>47</v>
      </c>
      <c r="B1767" s="2">
        <v>32889</v>
      </c>
      <c r="C1767" s="2">
        <v>52</v>
      </c>
      <c r="D1767" s="2">
        <v>1</v>
      </c>
      <c r="E1767" s="25">
        <f t="shared" si="25"/>
        <v>97.64247603470676</v>
      </c>
    </row>
    <row r="1768" spans="1:5" x14ac:dyDescent="0.35">
      <c r="A1768" s="2">
        <v>62</v>
      </c>
      <c r="B1768" s="2">
        <v>18589</v>
      </c>
      <c r="C1768" s="2">
        <v>51</v>
      </c>
      <c r="D1768" s="2">
        <v>0</v>
      </c>
      <c r="E1768" s="25">
        <f t="shared" si="25"/>
        <v>97.533161728862311</v>
      </c>
    </row>
    <row r="1769" spans="1:5" x14ac:dyDescent="0.35">
      <c r="A1769" s="3">
        <v>68</v>
      </c>
      <c r="B1769" s="3">
        <v>33419</v>
      </c>
      <c r="C1769" s="3">
        <v>58</v>
      </c>
      <c r="D1769" s="3">
        <v>1</v>
      </c>
      <c r="E1769" s="25">
        <f t="shared" si="25"/>
        <v>97.429888677607551</v>
      </c>
    </row>
    <row r="1770" spans="1:5" x14ac:dyDescent="0.35">
      <c r="A1770" s="3">
        <v>18</v>
      </c>
      <c r="B1770" s="3">
        <v>31385</v>
      </c>
      <c r="C1770" s="3">
        <v>36</v>
      </c>
      <c r="D1770" s="3">
        <v>1</v>
      </c>
      <c r="E1770" s="25">
        <f t="shared" si="25"/>
        <v>96.360794008591199</v>
      </c>
    </row>
    <row r="1771" spans="1:5" x14ac:dyDescent="0.35">
      <c r="A1771" s="2">
        <v>224</v>
      </c>
      <c r="B1771" s="2">
        <v>32233</v>
      </c>
      <c r="C1771" s="2">
        <v>46</v>
      </c>
      <c r="D1771" s="2">
        <v>1</v>
      </c>
      <c r="E1771" s="25">
        <f t="shared" si="25"/>
        <v>95.286078605674675</v>
      </c>
    </row>
    <row r="1772" spans="1:5" x14ac:dyDescent="0.35">
      <c r="A1772" s="3">
        <v>33</v>
      </c>
      <c r="B1772" s="3">
        <v>32300</v>
      </c>
      <c r="C1772" s="3">
        <v>47</v>
      </c>
      <c r="D1772" s="3">
        <v>1</v>
      </c>
      <c r="E1772" s="25">
        <f t="shared" si="25"/>
        <v>94.815686992421661</v>
      </c>
    </row>
    <row r="1773" spans="1:5" x14ac:dyDescent="0.35">
      <c r="A1773" s="3">
        <v>67</v>
      </c>
      <c r="B1773" s="3">
        <v>31158</v>
      </c>
      <c r="C1773" s="3">
        <v>35</v>
      </c>
      <c r="D1773" s="3">
        <v>1</v>
      </c>
      <c r="E1773" s="25">
        <f t="shared" si="25"/>
        <v>93.56898271882045</v>
      </c>
    </row>
    <row r="1774" spans="1:5" x14ac:dyDescent="0.35">
      <c r="A1774" s="3">
        <v>47</v>
      </c>
      <c r="B1774" s="3">
        <v>31878</v>
      </c>
      <c r="C1774" s="3">
        <v>43</v>
      </c>
      <c r="D1774" s="3">
        <v>1</v>
      </c>
      <c r="E1774" s="25">
        <f t="shared" ref="E1774:E1837" si="26">$B$101+$B1774*$B$102+$C1774*$B$103+$D1774*$B$104</f>
        <v>93.557383151273484</v>
      </c>
    </row>
    <row r="1775" spans="1:5" x14ac:dyDescent="0.35">
      <c r="A1775" s="3">
        <v>50</v>
      </c>
      <c r="B1775" s="3">
        <v>34469</v>
      </c>
      <c r="C1775" s="3">
        <v>72</v>
      </c>
      <c r="D1775" s="3">
        <v>1</v>
      </c>
      <c r="E1775" s="25">
        <f t="shared" si="26"/>
        <v>93.127948124181557</v>
      </c>
    </row>
    <row r="1776" spans="1:5" x14ac:dyDescent="0.35">
      <c r="A1776" s="2">
        <v>188</v>
      </c>
      <c r="B1776" s="2">
        <v>34074</v>
      </c>
      <c r="C1776" s="2">
        <v>68</v>
      </c>
      <c r="D1776" s="2">
        <v>1</v>
      </c>
      <c r="E1776" s="25">
        <f t="shared" si="26"/>
        <v>92.420141022918529</v>
      </c>
    </row>
    <row r="1777" spans="1:5" x14ac:dyDescent="0.35">
      <c r="A1777" s="3">
        <v>32</v>
      </c>
      <c r="B1777" s="3">
        <v>31535</v>
      </c>
      <c r="C1777" s="3">
        <v>40</v>
      </c>
      <c r="D1777" s="3">
        <v>1</v>
      </c>
      <c r="E1777" s="25">
        <f t="shared" si="26"/>
        <v>92.0733529145989</v>
      </c>
    </row>
    <row r="1778" spans="1:5" x14ac:dyDescent="0.35">
      <c r="A1778" s="2">
        <v>119</v>
      </c>
      <c r="B1778" s="2">
        <v>31605</v>
      </c>
      <c r="C1778" s="2">
        <v>41</v>
      </c>
      <c r="D1778" s="2">
        <v>1</v>
      </c>
      <c r="E1778" s="25">
        <f t="shared" si="26"/>
        <v>91.664127605777594</v>
      </c>
    </row>
    <row r="1779" spans="1:5" x14ac:dyDescent="0.35">
      <c r="A1779" s="3">
        <v>15</v>
      </c>
      <c r="B1779" s="3">
        <v>31859</v>
      </c>
      <c r="C1779" s="3">
        <v>44</v>
      </c>
      <c r="D1779" s="3">
        <v>1</v>
      </c>
      <c r="E1779" s="25">
        <f t="shared" si="26"/>
        <v>91.333557477645058</v>
      </c>
    </row>
    <row r="1780" spans="1:5" x14ac:dyDescent="0.35">
      <c r="A1780" s="3">
        <v>84</v>
      </c>
      <c r="B1780" s="3">
        <v>33438</v>
      </c>
      <c r="C1780" s="3">
        <v>62</v>
      </c>
      <c r="D1780" s="3">
        <v>1</v>
      </c>
      <c r="E1780" s="25">
        <f t="shared" si="26"/>
        <v>90.471518956764498</v>
      </c>
    </row>
    <row r="1781" spans="1:5" x14ac:dyDescent="0.35">
      <c r="A1781" s="3">
        <v>52</v>
      </c>
      <c r="B1781" s="3">
        <v>31626</v>
      </c>
      <c r="C1781" s="3">
        <v>42</v>
      </c>
      <c r="D1781" s="3">
        <v>1</v>
      </c>
      <c r="E1781" s="25">
        <f t="shared" si="26"/>
        <v>90.255852657905166</v>
      </c>
    </row>
    <row r="1782" spans="1:5" x14ac:dyDescent="0.35">
      <c r="A1782" s="2">
        <v>37</v>
      </c>
      <c r="B1782" s="2">
        <v>32303</v>
      </c>
      <c r="C1782" s="2">
        <v>50</v>
      </c>
      <c r="D1782" s="2">
        <v>1</v>
      </c>
      <c r="E1782" s="25">
        <f t="shared" si="26"/>
        <v>89.367536060170551</v>
      </c>
    </row>
    <row r="1783" spans="1:5" x14ac:dyDescent="0.35">
      <c r="A1783" s="3">
        <v>70</v>
      </c>
      <c r="B1783" s="3">
        <v>32557</v>
      </c>
      <c r="C1783" s="3">
        <v>53</v>
      </c>
      <c r="D1783" s="3">
        <v>1</v>
      </c>
      <c r="E1783" s="25">
        <f t="shared" si="26"/>
        <v>89.036965932038015</v>
      </c>
    </row>
    <row r="1784" spans="1:5" x14ac:dyDescent="0.35">
      <c r="A1784" s="3">
        <v>59</v>
      </c>
      <c r="B1784" s="3">
        <v>34026</v>
      </c>
      <c r="C1784" s="3">
        <v>70</v>
      </c>
      <c r="D1784" s="3">
        <v>1</v>
      </c>
      <c r="E1784" s="25">
        <f t="shared" si="26"/>
        <v>87.768601994222877</v>
      </c>
    </row>
    <row r="1785" spans="1:5" x14ac:dyDescent="0.35">
      <c r="A1785" s="2">
        <v>11</v>
      </c>
      <c r="B1785" s="2">
        <v>32474</v>
      </c>
      <c r="C1785" s="2">
        <v>53</v>
      </c>
      <c r="D1785" s="2">
        <v>1</v>
      </c>
      <c r="E1785" s="25">
        <f t="shared" si="26"/>
        <v>87.344698176094425</v>
      </c>
    </row>
    <row r="1786" spans="1:5" x14ac:dyDescent="0.35">
      <c r="A1786" s="2">
        <v>42</v>
      </c>
      <c r="B1786" s="2">
        <v>31615</v>
      </c>
      <c r="C1786" s="2">
        <v>44</v>
      </c>
      <c r="D1786" s="2">
        <v>1</v>
      </c>
      <c r="E1786" s="25">
        <f t="shared" si="26"/>
        <v>86.358698050533803</v>
      </c>
    </row>
    <row r="1787" spans="1:5" x14ac:dyDescent="0.35">
      <c r="A1787" s="3">
        <v>13</v>
      </c>
      <c r="B1787" s="3">
        <v>16581</v>
      </c>
      <c r="C1787" s="3">
        <v>35</v>
      </c>
      <c r="D1787" s="3">
        <v>0</v>
      </c>
      <c r="E1787" s="25">
        <f t="shared" si="26"/>
        <v>85.975540558221709</v>
      </c>
    </row>
    <row r="1788" spans="1:5" x14ac:dyDescent="0.35">
      <c r="A1788" s="2">
        <v>117</v>
      </c>
      <c r="B1788" s="2">
        <v>32011</v>
      </c>
      <c r="C1788" s="2">
        <v>49</v>
      </c>
      <c r="D1788" s="2">
        <v>1</v>
      </c>
      <c r="E1788" s="25">
        <f t="shared" si="26"/>
        <v>85.250454841046349</v>
      </c>
    </row>
    <row r="1789" spans="1:5" x14ac:dyDescent="0.35">
      <c r="A1789" s="2">
        <v>63</v>
      </c>
      <c r="B1789" s="2">
        <v>31814</v>
      </c>
      <c r="C1789" s="2">
        <v>47</v>
      </c>
      <c r="D1789" s="2">
        <v>1</v>
      </c>
      <c r="E1789" s="25">
        <f t="shared" si="26"/>
        <v>84.906745674486842</v>
      </c>
    </row>
    <row r="1790" spans="1:5" x14ac:dyDescent="0.35">
      <c r="A1790" s="3">
        <v>75</v>
      </c>
      <c r="B1790" s="3">
        <v>31089</v>
      </c>
      <c r="C1790" s="3">
        <v>39</v>
      </c>
      <c r="D1790" s="3">
        <v>1</v>
      </c>
      <c r="E1790" s="25">
        <f t="shared" si="26"/>
        <v>84.816401401314408</v>
      </c>
    </row>
    <row r="1791" spans="1:5" x14ac:dyDescent="0.35">
      <c r="A1791" s="2">
        <v>36</v>
      </c>
      <c r="B1791" s="2">
        <v>30279</v>
      </c>
      <c r="C1791" s="2">
        <v>31</v>
      </c>
      <c r="D1791" s="2">
        <v>1</v>
      </c>
      <c r="E1791" s="25">
        <f t="shared" si="26"/>
        <v>82.993011835910409</v>
      </c>
    </row>
    <row r="1792" spans="1:5" x14ac:dyDescent="0.35">
      <c r="A1792" s="3">
        <v>24</v>
      </c>
      <c r="B1792" s="3">
        <v>31353</v>
      </c>
      <c r="C1792" s="3">
        <v>43</v>
      </c>
      <c r="D1792" s="3">
        <v>1</v>
      </c>
      <c r="E1792" s="25">
        <f t="shared" si="26"/>
        <v>82.853279875726571</v>
      </c>
    </row>
    <row r="1793" spans="1:5" x14ac:dyDescent="0.35">
      <c r="A1793" s="2">
        <v>24</v>
      </c>
      <c r="B1793" s="2">
        <v>31353</v>
      </c>
      <c r="C1793" s="2">
        <v>43</v>
      </c>
      <c r="D1793" s="2">
        <v>1</v>
      </c>
      <c r="E1793" s="25">
        <f t="shared" si="26"/>
        <v>82.853279875726571</v>
      </c>
    </row>
    <row r="1794" spans="1:5" x14ac:dyDescent="0.35">
      <c r="A1794" s="3">
        <v>87</v>
      </c>
      <c r="B1794" s="3">
        <v>31560</v>
      </c>
      <c r="C1794" s="3">
        <v>46</v>
      </c>
      <c r="D1794" s="3">
        <v>1</v>
      </c>
      <c r="E1794" s="25">
        <f t="shared" si="26"/>
        <v>81.564437644830718</v>
      </c>
    </row>
    <row r="1795" spans="1:5" x14ac:dyDescent="0.35">
      <c r="A1795" s="3">
        <v>41</v>
      </c>
      <c r="B1795" s="3">
        <v>18690</v>
      </c>
      <c r="C1795" s="3">
        <v>61</v>
      </c>
      <c r="D1795" s="3">
        <v>0</v>
      </c>
      <c r="E1795" s="25">
        <f t="shared" si="26"/>
        <v>81.228036522453337</v>
      </c>
    </row>
    <row r="1796" spans="1:5" x14ac:dyDescent="0.35">
      <c r="A1796" s="3">
        <v>32</v>
      </c>
      <c r="B1796" s="3">
        <v>31086</v>
      </c>
      <c r="C1796" s="3">
        <v>41</v>
      </c>
      <c r="D1796" s="3">
        <v>1</v>
      </c>
      <c r="E1796" s="25">
        <f t="shared" si="26"/>
        <v>81.082356939094097</v>
      </c>
    </row>
    <row r="1797" spans="1:5" x14ac:dyDescent="0.35">
      <c r="A1797" s="2">
        <v>12</v>
      </c>
      <c r="B1797" s="2">
        <v>31880</v>
      </c>
      <c r="C1797" s="2">
        <v>50</v>
      </c>
      <c r="D1797" s="2">
        <v>1</v>
      </c>
      <c r="E1797" s="25">
        <f t="shared" si="26"/>
        <v>80.743087135301266</v>
      </c>
    </row>
    <row r="1798" spans="1:5" x14ac:dyDescent="0.35">
      <c r="A1798" s="2">
        <v>16</v>
      </c>
      <c r="B1798" s="2">
        <v>33444</v>
      </c>
      <c r="C1798" s="2">
        <v>68</v>
      </c>
      <c r="D1798" s="2">
        <v>1</v>
      </c>
      <c r="E1798" s="25">
        <f t="shared" si="26"/>
        <v>79.575217092262278</v>
      </c>
    </row>
    <row r="1799" spans="1:5" x14ac:dyDescent="0.35">
      <c r="A1799" s="2">
        <v>62</v>
      </c>
      <c r="B1799" s="2">
        <v>33402</v>
      </c>
      <c r="C1799" s="2">
        <v>68</v>
      </c>
      <c r="D1799" s="2">
        <v>1</v>
      </c>
      <c r="E1799" s="25">
        <f t="shared" si="26"/>
        <v>78.718888830218475</v>
      </c>
    </row>
    <row r="1800" spans="1:5" x14ac:dyDescent="0.35">
      <c r="A1800" s="2">
        <v>8</v>
      </c>
      <c r="B1800" s="2">
        <v>32583</v>
      </c>
      <c r="C1800" s="2">
        <v>59</v>
      </c>
      <c r="D1800" s="2">
        <v>1</v>
      </c>
      <c r="E1800" s="25">
        <f t="shared" si="26"/>
        <v>78.548439430413737</v>
      </c>
    </row>
    <row r="1801" spans="1:5" x14ac:dyDescent="0.35">
      <c r="A1801" s="3">
        <v>35</v>
      </c>
      <c r="B1801" s="3">
        <v>31590</v>
      </c>
      <c r="C1801" s="3">
        <v>48</v>
      </c>
      <c r="D1801" s="3">
        <v>1</v>
      </c>
      <c r="E1801" s="25">
        <f t="shared" si="26"/>
        <v>78.503222531359143</v>
      </c>
    </row>
    <row r="1802" spans="1:5" x14ac:dyDescent="0.35">
      <c r="A1802" s="2">
        <v>54</v>
      </c>
      <c r="B1802" s="2">
        <v>30477</v>
      </c>
      <c r="C1802" s="2">
        <v>36</v>
      </c>
      <c r="D1802" s="2">
        <v>1</v>
      </c>
      <c r="E1802" s="25">
        <f t="shared" si="26"/>
        <v>77.847792533931113</v>
      </c>
    </row>
    <row r="1803" spans="1:5" x14ac:dyDescent="0.35">
      <c r="A1803" s="2">
        <v>44</v>
      </c>
      <c r="B1803" s="2">
        <v>30828</v>
      </c>
      <c r="C1803" s="2">
        <v>40</v>
      </c>
      <c r="D1803" s="2">
        <v>1</v>
      </c>
      <c r="E1803" s="25">
        <f t="shared" si="26"/>
        <v>77.658493836862476</v>
      </c>
    </row>
    <row r="1804" spans="1:5" x14ac:dyDescent="0.35">
      <c r="A1804" s="3">
        <v>39</v>
      </c>
      <c r="B1804" s="3">
        <v>31056</v>
      </c>
      <c r="C1804" s="3">
        <v>43</v>
      </c>
      <c r="D1804" s="3">
        <v>1</v>
      </c>
      <c r="E1804" s="25">
        <f t="shared" si="26"/>
        <v>76.797815736988582</v>
      </c>
    </row>
    <row r="1805" spans="1:5" x14ac:dyDescent="0.35">
      <c r="A1805" s="3">
        <v>182</v>
      </c>
      <c r="B1805" s="3">
        <v>30732</v>
      </c>
      <c r="C1805" s="3">
        <v>40</v>
      </c>
      <c r="D1805" s="3">
        <v>1</v>
      </c>
      <c r="E1805" s="25">
        <f t="shared" si="26"/>
        <v>75.70117209504815</v>
      </c>
    </row>
    <row r="1806" spans="1:5" x14ac:dyDescent="0.35">
      <c r="A1806" s="3">
        <v>51</v>
      </c>
      <c r="B1806" s="3">
        <v>31160</v>
      </c>
      <c r="C1806" s="3">
        <v>45</v>
      </c>
      <c r="D1806" s="3">
        <v>1</v>
      </c>
      <c r="E1806" s="25">
        <f t="shared" si="26"/>
        <v>75.245369466165471</v>
      </c>
    </row>
    <row r="1807" spans="1:5" x14ac:dyDescent="0.35">
      <c r="A1807" s="2">
        <v>41</v>
      </c>
      <c r="B1807" s="2">
        <v>30992</v>
      </c>
      <c r="C1807" s="2">
        <v>44</v>
      </c>
      <c r="D1807" s="2">
        <v>1</v>
      </c>
      <c r="E1807" s="25">
        <f t="shared" si="26"/>
        <v>73.656495496884759</v>
      </c>
    </row>
    <row r="1808" spans="1:5" x14ac:dyDescent="0.35">
      <c r="A1808" s="3">
        <v>149</v>
      </c>
      <c r="B1808" s="3">
        <v>29999</v>
      </c>
      <c r="C1808" s="3">
        <v>34</v>
      </c>
      <c r="D1808" s="3">
        <v>1</v>
      </c>
      <c r="E1808" s="25">
        <f t="shared" si="26"/>
        <v>71.774839518935948</v>
      </c>
    </row>
    <row r="1809" spans="1:5" x14ac:dyDescent="0.35">
      <c r="A1809" s="2">
        <v>28</v>
      </c>
      <c r="B1809" s="2">
        <v>31163</v>
      </c>
      <c r="C1809" s="2">
        <v>47</v>
      </c>
      <c r="D1809" s="2">
        <v>1</v>
      </c>
      <c r="E1809" s="25">
        <f t="shared" si="26"/>
        <v>71.633657612808634</v>
      </c>
    </row>
    <row r="1810" spans="1:5" x14ac:dyDescent="0.35">
      <c r="A1810" s="3">
        <v>57</v>
      </c>
      <c r="B1810" s="3">
        <v>30545</v>
      </c>
      <c r="C1810" s="3">
        <v>41</v>
      </c>
      <c r="D1810" s="3">
        <v>1</v>
      </c>
      <c r="E1810" s="25">
        <f t="shared" si="26"/>
        <v>70.05203337324474</v>
      </c>
    </row>
    <row r="1811" spans="1:5" x14ac:dyDescent="0.35">
      <c r="A1811" s="3">
        <v>16</v>
      </c>
      <c r="B1811" s="3">
        <v>30772</v>
      </c>
      <c r="C1811" s="3">
        <v>44</v>
      </c>
      <c r="D1811" s="3">
        <v>1</v>
      </c>
      <c r="E1811" s="25">
        <f t="shared" si="26"/>
        <v>69.170966505227057</v>
      </c>
    </row>
    <row r="1812" spans="1:5" x14ac:dyDescent="0.35">
      <c r="A1812" s="2">
        <v>15</v>
      </c>
      <c r="B1812" s="2">
        <v>29938</v>
      </c>
      <c r="C1812" s="2">
        <v>35</v>
      </c>
      <c r="D1812" s="2">
        <v>1</v>
      </c>
      <c r="E1812" s="25">
        <f t="shared" si="26"/>
        <v>68.694685583263833</v>
      </c>
    </row>
    <row r="1813" spans="1:5" x14ac:dyDescent="0.35">
      <c r="A1813" s="3">
        <v>36</v>
      </c>
      <c r="B1813" s="3">
        <v>30096</v>
      </c>
      <c r="C1813" s="3">
        <v>37</v>
      </c>
      <c r="D1813" s="3">
        <v>1</v>
      </c>
      <c r="E1813" s="25">
        <f t="shared" si="26"/>
        <v>68.243232792211359</v>
      </c>
    </row>
    <row r="1814" spans="1:5" x14ac:dyDescent="0.35">
      <c r="A1814" s="2">
        <v>32</v>
      </c>
      <c r="B1814" s="2">
        <v>30899</v>
      </c>
      <c r="C1814" s="2">
        <v>46</v>
      </c>
      <c r="D1814" s="2">
        <v>1</v>
      </c>
      <c r="E1814" s="25">
        <f t="shared" si="26"/>
        <v>68.087461901713596</v>
      </c>
    </row>
    <row r="1815" spans="1:5" x14ac:dyDescent="0.35">
      <c r="A1815" s="2">
        <v>34</v>
      </c>
      <c r="B1815" s="2">
        <v>30801</v>
      </c>
      <c r="C1815" s="2">
        <v>45</v>
      </c>
      <c r="D1815" s="2">
        <v>1</v>
      </c>
      <c r="E1815" s="25">
        <f t="shared" si="26"/>
        <v>67.925801702505851</v>
      </c>
    </row>
    <row r="1816" spans="1:5" x14ac:dyDescent="0.35">
      <c r="A1816" s="3">
        <v>39</v>
      </c>
      <c r="B1816" s="3">
        <v>29604</v>
      </c>
      <c r="C1816" s="3">
        <v>32</v>
      </c>
      <c r="D1816" s="3">
        <v>1</v>
      </c>
      <c r="E1816" s="25">
        <f t="shared" si="26"/>
        <v>67.394154259884488</v>
      </c>
    </row>
    <row r="1817" spans="1:5" x14ac:dyDescent="0.35">
      <c r="A1817" s="3">
        <v>38</v>
      </c>
      <c r="B1817" s="3">
        <v>32871</v>
      </c>
      <c r="C1817" s="3">
        <v>69</v>
      </c>
      <c r="D1817" s="3">
        <v>1</v>
      </c>
      <c r="E1817" s="25">
        <f t="shared" si="26"/>
        <v>66.056013866913872</v>
      </c>
    </row>
    <row r="1818" spans="1:5" x14ac:dyDescent="0.35">
      <c r="A1818" s="2">
        <v>16</v>
      </c>
      <c r="B1818" s="2">
        <v>31686</v>
      </c>
      <c r="C1818" s="2">
        <v>56</v>
      </c>
      <c r="D1818" s="2">
        <v>1</v>
      </c>
      <c r="E1818" s="25">
        <f t="shared" si="26"/>
        <v>65.769031642019286</v>
      </c>
    </row>
    <row r="1819" spans="1:5" x14ac:dyDescent="0.35">
      <c r="A1819" s="3">
        <v>148</v>
      </c>
      <c r="B1819" s="3">
        <v>29760</v>
      </c>
      <c r="C1819" s="3">
        <v>35</v>
      </c>
      <c r="D1819" s="3">
        <v>1</v>
      </c>
      <c r="E1819" s="25">
        <f t="shared" si="26"/>
        <v>65.065484853649821</v>
      </c>
    </row>
    <row r="1820" spans="1:5" x14ac:dyDescent="0.35">
      <c r="A1820" s="2">
        <v>24</v>
      </c>
      <c r="B1820" s="2">
        <v>30560</v>
      </c>
      <c r="C1820" s="2">
        <v>44</v>
      </c>
      <c r="D1820" s="2">
        <v>1</v>
      </c>
      <c r="E1820" s="25">
        <f t="shared" si="26"/>
        <v>64.848547658720463</v>
      </c>
    </row>
    <row r="1821" spans="1:5" x14ac:dyDescent="0.35">
      <c r="A1821" s="3">
        <v>20</v>
      </c>
      <c r="B1821" s="3">
        <v>32173</v>
      </c>
      <c r="C1821" s="3">
        <v>62</v>
      </c>
      <c r="D1821" s="3">
        <v>1</v>
      </c>
      <c r="E1821" s="25">
        <f t="shared" si="26"/>
        <v>64.67972725473237</v>
      </c>
    </row>
    <row r="1822" spans="1:5" x14ac:dyDescent="0.35">
      <c r="A1822" s="3">
        <v>50</v>
      </c>
      <c r="B1822" s="3">
        <v>30368</v>
      </c>
      <c r="C1822" s="3">
        <v>43</v>
      </c>
      <c r="D1822" s="3">
        <v>1</v>
      </c>
      <c r="E1822" s="25">
        <f t="shared" si="26"/>
        <v>62.770343253986084</v>
      </c>
    </row>
    <row r="1823" spans="1:5" x14ac:dyDescent="0.35">
      <c r="A1823" s="2">
        <v>50</v>
      </c>
      <c r="B1823" s="2">
        <v>30631</v>
      </c>
      <c r="C1823" s="2">
        <v>46</v>
      </c>
      <c r="D1823" s="2">
        <v>1</v>
      </c>
      <c r="E1823" s="25">
        <f t="shared" si="26"/>
        <v>62.623272039148674</v>
      </c>
    </row>
    <row r="1824" spans="1:5" x14ac:dyDescent="0.35">
      <c r="A1824" s="3">
        <v>8</v>
      </c>
      <c r="B1824" s="3">
        <v>14421</v>
      </c>
      <c r="C1824" s="3">
        <v>24</v>
      </c>
      <c r="D1824" s="3">
        <v>0</v>
      </c>
      <c r="E1824" s="25">
        <f t="shared" si="26"/>
        <v>62.136631235237196</v>
      </c>
    </row>
    <row r="1825" spans="1:5" x14ac:dyDescent="0.35">
      <c r="A1825" s="2">
        <v>252</v>
      </c>
      <c r="B1825" s="2">
        <v>30168</v>
      </c>
      <c r="C1825" s="2">
        <v>42</v>
      </c>
      <c r="D1825" s="2">
        <v>1</v>
      </c>
      <c r="E1825" s="25">
        <f t="shared" si="26"/>
        <v>60.529028704100597</v>
      </c>
    </row>
    <row r="1826" spans="1:5" x14ac:dyDescent="0.35">
      <c r="A1826" s="3">
        <v>41</v>
      </c>
      <c r="B1826" s="3">
        <v>30675</v>
      </c>
      <c r="C1826" s="3">
        <v>48</v>
      </c>
      <c r="D1826" s="3">
        <v>1</v>
      </c>
      <c r="E1826" s="25">
        <f t="shared" si="26"/>
        <v>59.847499679691737</v>
      </c>
    </row>
    <row r="1827" spans="1:5" x14ac:dyDescent="0.35">
      <c r="A1827" s="3">
        <v>151</v>
      </c>
      <c r="B1827" s="3">
        <v>31497</v>
      </c>
      <c r="C1827" s="3">
        <v>58</v>
      </c>
      <c r="D1827" s="3">
        <v>1</v>
      </c>
      <c r="E1827" s="25">
        <f t="shared" si="26"/>
        <v>58.24267630503391</v>
      </c>
    </row>
    <row r="1828" spans="1:5" x14ac:dyDescent="0.35">
      <c r="A1828" s="3">
        <v>90</v>
      </c>
      <c r="B1828" s="3">
        <v>29236</v>
      </c>
      <c r="C1828" s="3">
        <v>33</v>
      </c>
      <c r="D1828" s="3">
        <v>1</v>
      </c>
      <c r="E1828" s="25">
        <f t="shared" si="26"/>
        <v>58.054648504035356</v>
      </c>
    </row>
    <row r="1829" spans="1:5" x14ac:dyDescent="0.35">
      <c r="A1829" s="2">
        <v>39</v>
      </c>
      <c r="B1829" s="2">
        <v>30822</v>
      </c>
      <c r="C1829" s="2">
        <v>51</v>
      </c>
      <c r="D1829" s="2">
        <v>1</v>
      </c>
      <c r="E1829" s="25">
        <f t="shared" si="26"/>
        <v>57.335331360162058</v>
      </c>
    </row>
    <row r="1830" spans="1:5" x14ac:dyDescent="0.35">
      <c r="A1830" s="3">
        <v>44</v>
      </c>
      <c r="B1830" s="3">
        <v>30351</v>
      </c>
      <c r="C1830" s="3">
        <v>46</v>
      </c>
      <c r="D1830" s="3">
        <v>1</v>
      </c>
      <c r="E1830" s="25">
        <f t="shared" si="26"/>
        <v>56.914416958857032</v>
      </c>
    </row>
    <row r="1831" spans="1:5" x14ac:dyDescent="0.35">
      <c r="A1831" s="2">
        <v>44</v>
      </c>
      <c r="B1831" s="2">
        <v>30351</v>
      </c>
      <c r="C1831" s="2">
        <v>46</v>
      </c>
      <c r="D1831" s="2">
        <v>1</v>
      </c>
      <c r="E1831" s="25">
        <f t="shared" si="26"/>
        <v>56.914416958857032</v>
      </c>
    </row>
    <row r="1832" spans="1:5" x14ac:dyDescent="0.35">
      <c r="A1832" s="2">
        <v>51</v>
      </c>
      <c r="B1832" s="2">
        <v>32144</v>
      </c>
      <c r="C1832" s="2">
        <v>66</v>
      </c>
      <c r="D1832" s="2">
        <v>1</v>
      </c>
      <c r="E1832" s="25">
        <f t="shared" si="26"/>
        <v>56.742696662982212</v>
      </c>
    </row>
    <row r="1833" spans="1:5" x14ac:dyDescent="0.35">
      <c r="A1833" s="2">
        <v>19</v>
      </c>
      <c r="B1833" s="2">
        <v>30467</v>
      </c>
      <c r="C1833" s="2">
        <v>48</v>
      </c>
      <c r="D1833" s="2">
        <v>1</v>
      </c>
      <c r="E1833" s="25">
        <f t="shared" si="26"/>
        <v>55.606635905760754</v>
      </c>
    </row>
    <row r="1834" spans="1:5" x14ac:dyDescent="0.35">
      <c r="A1834" s="3">
        <v>347</v>
      </c>
      <c r="B1834" s="3">
        <v>30538</v>
      </c>
      <c r="C1834" s="3">
        <v>49</v>
      </c>
      <c r="D1834" s="3">
        <v>1</v>
      </c>
      <c r="E1834" s="25">
        <f t="shared" si="26"/>
        <v>55.217799365083351</v>
      </c>
    </row>
    <row r="1835" spans="1:5" x14ac:dyDescent="0.35">
      <c r="A1835" s="2">
        <v>39</v>
      </c>
      <c r="B1835" s="2">
        <v>31454</v>
      </c>
      <c r="C1835" s="2">
        <v>60</v>
      </c>
      <c r="D1835" s="2">
        <v>1</v>
      </c>
      <c r="E1835" s="25">
        <f t="shared" si="26"/>
        <v>53.693081117057659</v>
      </c>
    </row>
    <row r="1836" spans="1:5" x14ac:dyDescent="0.35">
      <c r="A1836" s="2">
        <v>51</v>
      </c>
      <c r="B1836" s="2">
        <v>14906</v>
      </c>
      <c r="C1836" s="2">
        <v>34</v>
      </c>
      <c r="D1836" s="2">
        <v>0</v>
      </c>
      <c r="E1836" s="25">
        <f t="shared" si="26"/>
        <v>53.660792996085362</v>
      </c>
    </row>
    <row r="1837" spans="1:5" x14ac:dyDescent="0.35">
      <c r="A1837" s="2">
        <v>51</v>
      </c>
      <c r="B1837" s="2">
        <v>30753</v>
      </c>
      <c r="C1837" s="2">
        <v>53</v>
      </c>
      <c r="D1837" s="2">
        <v>1</v>
      </c>
      <c r="E1837" s="25">
        <f t="shared" si="26"/>
        <v>52.255628200444448</v>
      </c>
    </row>
    <row r="1838" spans="1:5" x14ac:dyDescent="0.35">
      <c r="A1838" s="3">
        <v>26</v>
      </c>
      <c r="B1838" s="3">
        <v>30843</v>
      </c>
      <c r="C1838" s="3">
        <v>54</v>
      </c>
      <c r="D1838" s="3">
        <v>1</v>
      </c>
      <c r="E1838" s="25">
        <f t="shared" ref="E1838:E1901" si="27">$B$101+$B1838*$B$102+$C1838*$B$103+$D1838*$B$104</f>
        <v>52.254178254501085</v>
      </c>
    </row>
    <row r="1839" spans="1:5" x14ac:dyDescent="0.35">
      <c r="A1839" s="3">
        <v>37</v>
      </c>
      <c r="B1839" s="3">
        <v>30372</v>
      </c>
      <c r="C1839" s="3">
        <v>49</v>
      </c>
      <c r="D1839" s="3">
        <v>1</v>
      </c>
      <c r="E1839" s="25">
        <f t="shared" si="27"/>
        <v>51.833263853196058</v>
      </c>
    </row>
    <row r="1840" spans="1:5" x14ac:dyDescent="0.35">
      <c r="A1840" s="2">
        <v>42</v>
      </c>
      <c r="B1840" s="2">
        <v>29103</v>
      </c>
      <c r="C1840" s="2">
        <v>35</v>
      </c>
      <c r="D1840" s="2">
        <v>1</v>
      </c>
      <c r="E1840" s="25">
        <f t="shared" si="27"/>
        <v>51.670064183108309</v>
      </c>
    </row>
    <row r="1841" spans="1:5" x14ac:dyDescent="0.35">
      <c r="A1841" s="3">
        <v>16</v>
      </c>
      <c r="B1841" s="3">
        <v>30261</v>
      </c>
      <c r="C1841" s="3">
        <v>48</v>
      </c>
      <c r="D1841" s="3">
        <v>1</v>
      </c>
      <c r="E1841" s="25">
        <f t="shared" si="27"/>
        <v>51.406549668117577</v>
      </c>
    </row>
    <row r="1842" spans="1:5" x14ac:dyDescent="0.35">
      <c r="A1842" s="2">
        <v>30</v>
      </c>
      <c r="B1842" s="2">
        <v>28691</v>
      </c>
      <c r="C1842" s="2">
        <v>31</v>
      </c>
      <c r="D1842" s="2">
        <v>1</v>
      </c>
      <c r="E1842" s="25">
        <f t="shared" si="27"/>
        <v>50.615648023399046</v>
      </c>
    </row>
    <row r="1843" spans="1:5" x14ac:dyDescent="0.35">
      <c r="A1843" s="2">
        <v>22</v>
      </c>
      <c r="B1843" s="2">
        <v>30396</v>
      </c>
      <c r="C1843" s="2">
        <v>51</v>
      </c>
      <c r="D1843" s="2">
        <v>1</v>
      </c>
      <c r="E1843" s="25">
        <f t="shared" si="27"/>
        <v>48.649716130861066</v>
      </c>
    </row>
    <row r="1844" spans="1:5" x14ac:dyDescent="0.35">
      <c r="A1844" s="3">
        <v>40</v>
      </c>
      <c r="B1844" s="3">
        <v>30023</v>
      </c>
      <c r="C1844" s="3">
        <v>48</v>
      </c>
      <c r="D1844" s="3">
        <v>1</v>
      </c>
      <c r="E1844" s="25">
        <f t="shared" si="27"/>
        <v>46.554022849869625</v>
      </c>
    </row>
    <row r="1845" spans="1:5" x14ac:dyDescent="0.35">
      <c r="A1845" s="2">
        <v>42</v>
      </c>
      <c r="B1845" s="2">
        <v>30630</v>
      </c>
      <c r="C1845" s="2">
        <v>55</v>
      </c>
      <c r="D1845" s="2">
        <v>1</v>
      </c>
      <c r="E1845" s="25">
        <f t="shared" si="27"/>
        <v>46.074931560956315</v>
      </c>
    </row>
    <row r="1846" spans="1:5" x14ac:dyDescent="0.35">
      <c r="A1846" s="2">
        <v>13</v>
      </c>
      <c r="B1846" s="2">
        <v>18100</v>
      </c>
      <c r="C1846" s="2">
        <v>74</v>
      </c>
      <c r="D1846" s="2">
        <v>0</v>
      </c>
      <c r="E1846" s="25">
        <f t="shared" si="27"/>
        <v>45.324955291927409</v>
      </c>
    </row>
    <row r="1847" spans="1:5" x14ac:dyDescent="0.35">
      <c r="A1847" s="2">
        <v>57</v>
      </c>
      <c r="B1847" s="2">
        <v>31395</v>
      </c>
      <c r="C1847" s="2">
        <v>64</v>
      </c>
      <c r="D1847" s="2">
        <v>1</v>
      </c>
      <c r="E1847" s="25">
        <f t="shared" si="27"/>
        <v>45.144387480990531</v>
      </c>
    </row>
    <row r="1848" spans="1:5" x14ac:dyDescent="0.35">
      <c r="A1848" s="3">
        <v>19</v>
      </c>
      <c r="B1848" s="3">
        <v>29478</v>
      </c>
      <c r="C1848" s="3">
        <v>44</v>
      </c>
      <c r="D1848" s="3">
        <v>1</v>
      </c>
      <c r="E1848" s="25">
        <f t="shared" si="27"/>
        <v>42.787900527021861</v>
      </c>
    </row>
    <row r="1849" spans="1:5" x14ac:dyDescent="0.35">
      <c r="A1849" s="2">
        <v>52</v>
      </c>
      <c r="B1849" s="2">
        <v>30015</v>
      </c>
      <c r="C1849" s="2">
        <v>50</v>
      </c>
      <c r="D1849" s="2">
        <v>1</v>
      </c>
      <c r="E1849" s="25">
        <f t="shared" si="27"/>
        <v>42.718034546929971</v>
      </c>
    </row>
    <row r="1850" spans="1:5" x14ac:dyDescent="0.35">
      <c r="A1850" s="2">
        <v>42</v>
      </c>
      <c r="B1850" s="2">
        <v>29009</v>
      </c>
      <c r="C1850" s="2">
        <v>39</v>
      </c>
      <c r="D1850" s="2">
        <v>1</v>
      </c>
      <c r="E1850" s="25">
        <f t="shared" si="27"/>
        <v>42.407763662004697</v>
      </c>
    </row>
    <row r="1851" spans="1:5" x14ac:dyDescent="0.35">
      <c r="A1851" s="2">
        <v>20</v>
      </c>
      <c r="B1851" s="2">
        <v>29791</v>
      </c>
      <c r="C1851" s="2">
        <v>48</v>
      </c>
      <c r="D1851" s="2">
        <v>1</v>
      </c>
      <c r="E1851" s="25">
        <f t="shared" si="27"/>
        <v>41.82382864048509</v>
      </c>
    </row>
    <row r="1852" spans="1:5" x14ac:dyDescent="0.35">
      <c r="A1852" s="2">
        <v>37</v>
      </c>
      <c r="B1852" s="2">
        <v>29819</v>
      </c>
      <c r="C1852" s="2">
        <v>49</v>
      </c>
      <c r="D1852" s="2">
        <v>1</v>
      </c>
      <c r="E1852" s="25">
        <f t="shared" si="27"/>
        <v>40.558275069619981</v>
      </c>
    </row>
    <row r="1853" spans="1:5" x14ac:dyDescent="0.35">
      <c r="A1853" s="2">
        <v>34</v>
      </c>
      <c r="B1853" s="2">
        <v>29732</v>
      </c>
      <c r="C1853" s="2">
        <v>49</v>
      </c>
      <c r="D1853" s="2">
        <v>1</v>
      </c>
      <c r="E1853" s="25">
        <f t="shared" si="27"/>
        <v>38.78445224110078</v>
      </c>
    </row>
    <row r="1854" spans="1:5" x14ac:dyDescent="0.35">
      <c r="A1854" s="3">
        <v>41</v>
      </c>
      <c r="B1854" s="3">
        <v>28718</v>
      </c>
      <c r="C1854" s="3">
        <v>38</v>
      </c>
      <c r="D1854" s="3">
        <v>1</v>
      </c>
      <c r="E1854" s="25">
        <f t="shared" si="27"/>
        <v>38.311071211024398</v>
      </c>
    </row>
    <row r="1855" spans="1:5" x14ac:dyDescent="0.35">
      <c r="A1855" s="2">
        <v>40</v>
      </c>
      <c r="B1855" s="2">
        <v>28567</v>
      </c>
      <c r="C1855" s="2">
        <v>38</v>
      </c>
      <c r="D1855" s="2">
        <v>1</v>
      </c>
      <c r="E1855" s="25">
        <f t="shared" si="27"/>
        <v>35.232367221295647</v>
      </c>
    </row>
    <row r="1856" spans="1:5" x14ac:dyDescent="0.35">
      <c r="A1856" s="2">
        <v>300</v>
      </c>
      <c r="B1856" s="2">
        <v>30522</v>
      </c>
      <c r="C1856" s="2">
        <v>60</v>
      </c>
      <c r="D1856" s="2">
        <v>1</v>
      </c>
      <c r="E1856" s="25">
        <f t="shared" si="27"/>
        <v>34.690749206943906</v>
      </c>
    </row>
    <row r="1857" spans="1:5" x14ac:dyDescent="0.35">
      <c r="A1857" s="3">
        <v>46</v>
      </c>
      <c r="B1857" s="3">
        <v>28427</v>
      </c>
      <c r="C1857" s="3">
        <v>37</v>
      </c>
      <c r="D1857" s="3">
        <v>1</v>
      </c>
      <c r="E1857" s="25">
        <f t="shared" si="27"/>
        <v>34.214378760044099</v>
      </c>
    </row>
    <row r="1858" spans="1:5" x14ac:dyDescent="0.35">
      <c r="A1858" s="3">
        <v>24</v>
      </c>
      <c r="B1858" s="3">
        <v>27938</v>
      </c>
      <c r="C1858" s="3">
        <v>32</v>
      </c>
      <c r="D1858" s="3">
        <v>1</v>
      </c>
      <c r="E1858" s="25">
        <f t="shared" si="27"/>
        <v>33.426466532148936</v>
      </c>
    </row>
    <row r="1859" spans="1:5" x14ac:dyDescent="0.35">
      <c r="A1859" s="3">
        <v>18</v>
      </c>
      <c r="B1859" s="3">
        <v>29548</v>
      </c>
      <c r="C1859" s="3">
        <v>50</v>
      </c>
      <c r="D1859" s="3">
        <v>1</v>
      </c>
      <c r="E1859" s="25">
        <f t="shared" si="27"/>
        <v>33.196479823729192</v>
      </c>
    </row>
    <row r="1860" spans="1:5" x14ac:dyDescent="0.35">
      <c r="A1860" s="2">
        <v>14</v>
      </c>
      <c r="B1860" s="2">
        <v>28359</v>
      </c>
      <c r="C1860" s="2">
        <v>37</v>
      </c>
      <c r="D1860" s="2">
        <v>1</v>
      </c>
      <c r="E1860" s="25">
        <f t="shared" si="27"/>
        <v>32.827942526258937</v>
      </c>
    </row>
    <row r="1861" spans="1:5" x14ac:dyDescent="0.35">
      <c r="A1861" s="3">
        <v>47</v>
      </c>
      <c r="B1861" s="3">
        <v>15315</v>
      </c>
      <c r="C1861" s="3">
        <v>50</v>
      </c>
      <c r="D1861" s="3">
        <v>0</v>
      </c>
      <c r="E1861" s="25">
        <f t="shared" si="27"/>
        <v>32.616773904631614</v>
      </c>
    </row>
    <row r="1862" spans="1:5" x14ac:dyDescent="0.35">
      <c r="A1862" s="3">
        <v>42</v>
      </c>
      <c r="B1862" s="3">
        <v>28072</v>
      </c>
      <c r="C1862" s="3">
        <v>34</v>
      </c>
      <c r="D1862" s="3">
        <v>1</v>
      </c>
      <c r="E1862" s="25">
        <f t="shared" si="27"/>
        <v>32.485683305642794</v>
      </c>
    </row>
    <row r="1863" spans="1:5" x14ac:dyDescent="0.35">
      <c r="A1863" s="3">
        <v>72</v>
      </c>
      <c r="B1863" s="3">
        <v>28510</v>
      </c>
      <c r="C1863" s="3">
        <v>39</v>
      </c>
      <c r="D1863" s="3">
        <v>1</v>
      </c>
      <c r="E1863" s="25">
        <f t="shared" si="27"/>
        <v>32.233768358199143</v>
      </c>
    </row>
    <row r="1864" spans="1:5" x14ac:dyDescent="0.35">
      <c r="A1864" s="3">
        <v>8</v>
      </c>
      <c r="B1864" s="3">
        <v>30523</v>
      </c>
      <c r="C1864" s="3">
        <v>62</v>
      </c>
      <c r="D1864" s="3">
        <v>1</v>
      </c>
      <c r="E1864" s="25">
        <f t="shared" si="27"/>
        <v>31.038259817299263</v>
      </c>
    </row>
    <row r="1865" spans="1:5" x14ac:dyDescent="0.35">
      <c r="A1865" s="3">
        <v>188</v>
      </c>
      <c r="B1865" s="3">
        <v>28769</v>
      </c>
      <c r="C1865" s="3">
        <v>43</v>
      </c>
      <c r="D1865" s="3">
        <v>1</v>
      </c>
      <c r="E1865" s="25">
        <f t="shared" si="27"/>
        <v>30.168702991891791</v>
      </c>
    </row>
    <row r="1866" spans="1:5" x14ac:dyDescent="0.35">
      <c r="A1866" s="3">
        <v>68</v>
      </c>
      <c r="B1866" s="3">
        <v>28647</v>
      </c>
      <c r="C1866" s="3">
        <v>42</v>
      </c>
      <c r="D1866" s="3">
        <v>1</v>
      </c>
      <c r="E1866" s="25">
        <f t="shared" si="27"/>
        <v>29.51771235723038</v>
      </c>
    </row>
    <row r="1867" spans="1:5" x14ac:dyDescent="0.35">
      <c r="A1867" s="3">
        <v>45</v>
      </c>
      <c r="B1867" s="3">
        <v>29543</v>
      </c>
      <c r="C1867" s="3">
        <v>52</v>
      </c>
      <c r="D1867" s="3">
        <v>1</v>
      </c>
      <c r="E1867" s="25">
        <f t="shared" si="27"/>
        <v>29.421657825221132</v>
      </c>
    </row>
    <row r="1868" spans="1:5" x14ac:dyDescent="0.35">
      <c r="A1868" s="2">
        <v>65</v>
      </c>
      <c r="B1868" s="2">
        <v>28587</v>
      </c>
      <c r="C1868" s="2">
        <v>42</v>
      </c>
      <c r="D1868" s="2">
        <v>1</v>
      </c>
      <c r="E1868" s="25">
        <f t="shared" si="27"/>
        <v>28.294386268596554</v>
      </c>
    </row>
    <row r="1869" spans="1:5" x14ac:dyDescent="0.35">
      <c r="A1869" s="3">
        <v>38</v>
      </c>
      <c r="B1869" s="3">
        <v>30081</v>
      </c>
      <c r="C1869" s="3">
        <v>59</v>
      </c>
      <c r="D1869" s="3">
        <v>1</v>
      </c>
      <c r="E1869" s="25">
        <f t="shared" si="27"/>
        <v>27.535741534378758</v>
      </c>
    </row>
    <row r="1870" spans="1:5" x14ac:dyDescent="0.35">
      <c r="A1870" s="2">
        <v>17</v>
      </c>
      <c r="B1870" s="2">
        <v>29672</v>
      </c>
      <c r="C1870" s="2">
        <v>55</v>
      </c>
      <c r="D1870" s="2">
        <v>1</v>
      </c>
      <c r="E1870" s="25">
        <f t="shared" si="27"/>
        <v>26.542491679101204</v>
      </c>
    </row>
    <row r="1871" spans="1:5" x14ac:dyDescent="0.35">
      <c r="A1871" s="2">
        <v>37</v>
      </c>
      <c r="B1871" s="2">
        <v>16813</v>
      </c>
      <c r="C1871" s="2">
        <v>70</v>
      </c>
      <c r="D1871" s="2">
        <v>0</v>
      </c>
      <c r="E1871" s="25">
        <f t="shared" si="27"/>
        <v>26.430367006306682</v>
      </c>
    </row>
    <row r="1872" spans="1:5" x14ac:dyDescent="0.35">
      <c r="A1872" s="3">
        <v>51</v>
      </c>
      <c r="B1872" s="3">
        <v>28442</v>
      </c>
      <c r="C1872" s="3">
        <v>42</v>
      </c>
      <c r="D1872" s="3">
        <v>1</v>
      </c>
      <c r="E1872" s="25">
        <f t="shared" si="27"/>
        <v>25.338014887731219</v>
      </c>
    </row>
    <row r="1873" spans="1:5" x14ac:dyDescent="0.35">
      <c r="A1873" s="2">
        <v>22</v>
      </c>
      <c r="B1873" s="2">
        <v>30833</v>
      </c>
      <c r="C1873" s="2">
        <v>69</v>
      </c>
      <c r="D1873" s="2">
        <v>1</v>
      </c>
      <c r="E1873" s="25">
        <f t="shared" si="27"/>
        <v>24.503704389647964</v>
      </c>
    </row>
    <row r="1874" spans="1:5" x14ac:dyDescent="0.35">
      <c r="A1874" s="3">
        <v>116</v>
      </c>
      <c r="B1874" s="3">
        <v>29435</v>
      </c>
      <c r="C1874" s="3">
        <v>54</v>
      </c>
      <c r="D1874" s="3">
        <v>1</v>
      </c>
      <c r="E1874" s="25">
        <f t="shared" si="27"/>
        <v>23.546792707891427</v>
      </c>
    </row>
    <row r="1875" spans="1:5" x14ac:dyDescent="0.35">
      <c r="A1875" s="3">
        <v>32</v>
      </c>
      <c r="B1875" s="3">
        <v>29187</v>
      </c>
      <c r="C1875" s="3">
        <v>52</v>
      </c>
      <c r="D1875" s="3">
        <v>1</v>
      </c>
      <c r="E1875" s="25">
        <f t="shared" si="27"/>
        <v>22.163256365993107</v>
      </c>
    </row>
    <row r="1876" spans="1:5" x14ac:dyDescent="0.35">
      <c r="A1876" s="3">
        <v>63</v>
      </c>
      <c r="B1876" s="3">
        <v>28440</v>
      </c>
      <c r="C1876" s="3">
        <v>46</v>
      </c>
      <c r="D1876" s="3">
        <v>1</v>
      </c>
      <c r="E1876" s="25">
        <f t="shared" si="27"/>
        <v>17.951481035866323</v>
      </c>
    </row>
    <row r="1877" spans="1:5" x14ac:dyDescent="0.35">
      <c r="A1877" s="3">
        <v>12</v>
      </c>
      <c r="B1877" s="3">
        <v>26868</v>
      </c>
      <c r="C1877" s="3">
        <v>29</v>
      </c>
      <c r="D1877" s="3">
        <v>1</v>
      </c>
      <c r="E1877" s="25">
        <f t="shared" si="27"/>
        <v>17.119801854859986</v>
      </c>
    </row>
    <row r="1878" spans="1:5" x14ac:dyDescent="0.35">
      <c r="A1878" s="3">
        <v>30</v>
      </c>
      <c r="B1878" s="3">
        <v>27922</v>
      </c>
      <c r="C1878" s="3">
        <v>41</v>
      </c>
      <c r="D1878" s="3">
        <v>1</v>
      </c>
      <c r="E1878" s="25">
        <f t="shared" si="27"/>
        <v>16.572294531797979</v>
      </c>
    </row>
    <row r="1879" spans="1:5" x14ac:dyDescent="0.35">
      <c r="A1879" s="3">
        <v>40</v>
      </c>
      <c r="B1879" s="3">
        <v>27733</v>
      </c>
      <c r="C1879" s="3">
        <v>39</v>
      </c>
      <c r="D1879" s="3">
        <v>1</v>
      </c>
      <c r="E1879" s="25">
        <f t="shared" si="27"/>
        <v>16.391695510389752</v>
      </c>
    </row>
    <row r="1880" spans="1:5" x14ac:dyDescent="0.35">
      <c r="A1880" s="2">
        <v>14</v>
      </c>
      <c r="B1880" s="2">
        <v>15759</v>
      </c>
      <c r="C1880" s="2">
        <v>64</v>
      </c>
      <c r="D1880" s="2">
        <v>0</v>
      </c>
      <c r="E1880" s="25">
        <f t="shared" si="27"/>
        <v>15.959239856002895</v>
      </c>
    </row>
    <row r="1881" spans="1:5" x14ac:dyDescent="0.35">
      <c r="A1881" s="2">
        <v>11</v>
      </c>
      <c r="B1881" s="2">
        <v>27590</v>
      </c>
      <c r="C1881" s="2">
        <v>38</v>
      </c>
      <c r="D1881" s="2">
        <v>1</v>
      </c>
      <c r="E1881" s="25">
        <f t="shared" si="27"/>
        <v>15.312540744706496</v>
      </c>
    </row>
    <row r="1882" spans="1:5" x14ac:dyDescent="0.35">
      <c r="A1882" s="2">
        <v>41</v>
      </c>
      <c r="B1882" s="2">
        <v>27161</v>
      </c>
      <c r="C1882" s="2">
        <v>34</v>
      </c>
      <c r="D1882" s="2">
        <v>1</v>
      </c>
      <c r="E1882" s="25">
        <f t="shared" si="27"/>
        <v>13.911515526551</v>
      </c>
    </row>
    <row r="1883" spans="1:5" x14ac:dyDescent="0.35">
      <c r="A1883" s="2">
        <v>48</v>
      </c>
      <c r="B1883" s="2">
        <v>14188</v>
      </c>
      <c r="C1883" s="2">
        <v>48</v>
      </c>
      <c r="D1883" s="2">
        <v>0</v>
      </c>
      <c r="E1883" s="25">
        <f t="shared" si="27"/>
        <v>13.311510364246161</v>
      </c>
    </row>
    <row r="1884" spans="1:5" x14ac:dyDescent="0.35">
      <c r="A1884" s="2">
        <v>53</v>
      </c>
      <c r="B1884" s="2">
        <v>29440</v>
      </c>
      <c r="C1884" s="2">
        <v>60</v>
      </c>
      <c r="D1884" s="2">
        <v>1</v>
      </c>
      <c r="E1884" s="25">
        <f t="shared" si="27"/>
        <v>12.630102075245304</v>
      </c>
    </row>
    <row r="1885" spans="1:5" x14ac:dyDescent="0.35">
      <c r="A1885" s="2">
        <v>18</v>
      </c>
      <c r="B1885" s="2">
        <v>27889</v>
      </c>
      <c r="C1885" s="2">
        <v>43</v>
      </c>
      <c r="D1885" s="2">
        <v>1</v>
      </c>
      <c r="E1885" s="25">
        <f t="shared" si="27"/>
        <v>12.226587025260869</v>
      </c>
    </row>
    <row r="1886" spans="1:5" x14ac:dyDescent="0.35">
      <c r="A1886" s="2">
        <v>35</v>
      </c>
      <c r="B1886" s="2">
        <v>27255</v>
      </c>
      <c r="C1886" s="2">
        <v>36</v>
      </c>
      <c r="D1886" s="2">
        <v>1</v>
      </c>
      <c r="E1886" s="25">
        <f t="shared" si="27"/>
        <v>12.155181574288861</v>
      </c>
    </row>
    <row r="1887" spans="1:5" x14ac:dyDescent="0.35">
      <c r="A1887" s="2">
        <v>44</v>
      </c>
      <c r="B1887" s="2">
        <v>29315</v>
      </c>
      <c r="C1887" s="2">
        <v>60</v>
      </c>
      <c r="D1887" s="2">
        <v>1</v>
      </c>
      <c r="E1887" s="25">
        <f t="shared" si="27"/>
        <v>10.081506057258025</v>
      </c>
    </row>
    <row r="1888" spans="1:5" x14ac:dyDescent="0.35">
      <c r="A1888" s="3">
        <v>11</v>
      </c>
      <c r="B1888" s="3">
        <v>28764</v>
      </c>
      <c r="C1888" s="3">
        <v>54</v>
      </c>
      <c r="D1888" s="3">
        <v>1</v>
      </c>
      <c r="E1888" s="25">
        <f t="shared" si="27"/>
        <v>9.8659292833352765</v>
      </c>
    </row>
    <row r="1889" spans="1:5" x14ac:dyDescent="0.35">
      <c r="A1889" s="3">
        <v>306</v>
      </c>
      <c r="B1889" s="3">
        <v>27683</v>
      </c>
      <c r="C1889" s="3">
        <v>42</v>
      </c>
      <c r="D1889" s="3">
        <v>1</v>
      </c>
      <c r="E1889" s="25">
        <f t="shared" si="27"/>
        <v>9.8629398665119652</v>
      </c>
    </row>
    <row r="1890" spans="1:5" x14ac:dyDescent="0.35">
      <c r="A1890" s="2">
        <v>27</v>
      </c>
      <c r="B1890" s="2">
        <v>27100</v>
      </c>
      <c r="C1890" s="2">
        <v>37</v>
      </c>
      <c r="D1890" s="2">
        <v>1</v>
      </c>
      <c r="E1890" s="25">
        <f t="shared" si="27"/>
        <v>7.1584834330903391</v>
      </c>
    </row>
    <row r="1891" spans="1:5" x14ac:dyDescent="0.35">
      <c r="A1891" s="2">
        <v>66</v>
      </c>
      <c r="B1891" s="2">
        <v>28164</v>
      </c>
      <c r="C1891" s="2">
        <v>50</v>
      </c>
      <c r="D1891" s="2">
        <v>1</v>
      </c>
      <c r="E1891" s="25">
        <f t="shared" si="27"/>
        <v>4.9784247125730872</v>
      </c>
    </row>
    <row r="1892" spans="1:5" x14ac:dyDescent="0.35">
      <c r="A1892" s="2">
        <v>13</v>
      </c>
      <c r="B1892" s="2">
        <v>28420</v>
      </c>
      <c r="C1892" s="2">
        <v>53</v>
      </c>
      <c r="D1892" s="2">
        <v>1</v>
      </c>
      <c r="E1892" s="25">
        <f t="shared" si="27"/>
        <v>4.6886321207283572</v>
      </c>
    </row>
    <row r="1893" spans="1:5" x14ac:dyDescent="0.35">
      <c r="A1893" s="2">
        <v>127</v>
      </c>
      <c r="B1893" s="2">
        <v>27803</v>
      </c>
      <c r="C1893" s="2">
        <v>47</v>
      </c>
      <c r="D1893" s="2">
        <v>1</v>
      </c>
      <c r="E1893" s="25">
        <f t="shared" si="27"/>
        <v>3.1273966493083662</v>
      </c>
    </row>
    <row r="1894" spans="1:5" x14ac:dyDescent="0.35">
      <c r="A1894" s="3">
        <v>55</v>
      </c>
      <c r="B1894" s="3">
        <v>27244</v>
      </c>
      <c r="C1894" s="3">
        <v>41</v>
      </c>
      <c r="D1894" s="3">
        <v>1</v>
      </c>
      <c r="E1894" s="25">
        <f t="shared" si="27"/>
        <v>2.7487097302346228</v>
      </c>
    </row>
    <row r="1895" spans="1:5" x14ac:dyDescent="0.35">
      <c r="A1895" s="3">
        <v>229</v>
      </c>
      <c r="B1895" s="3">
        <v>27573</v>
      </c>
      <c r="C1895" s="3">
        <v>45</v>
      </c>
      <c r="D1895" s="3">
        <v>1</v>
      </c>
      <c r="E1895" s="25">
        <f t="shared" si="27"/>
        <v>2.110858134000182</v>
      </c>
    </row>
    <row r="1896" spans="1:5" x14ac:dyDescent="0.35">
      <c r="A1896" s="3">
        <v>18</v>
      </c>
      <c r="B1896" s="3">
        <v>26576</v>
      </c>
      <c r="C1896" s="3">
        <v>34</v>
      </c>
      <c r="D1896" s="3">
        <v>1</v>
      </c>
      <c r="E1896" s="25">
        <f t="shared" si="27"/>
        <v>1.9840861623701471</v>
      </c>
    </row>
    <row r="1897" spans="1:5" x14ac:dyDescent="0.35">
      <c r="A1897" s="2">
        <v>48</v>
      </c>
      <c r="B1897" s="2">
        <v>26646</v>
      </c>
      <c r="C1897" s="2">
        <v>36</v>
      </c>
      <c r="D1897" s="2">
        <v>1</v>
      </c>
      <c r="E1897" s="25">
        <f t="shared" si="27"/>
        <v>-0.26157822534554498</v>
      </c>
    </row>
    <row r="1898" spans="1:5" x14ac:dyDescent="0.35">
      <c r="A1898" s="3">
        <v>31</v>
      </c>
      <c r="B1898" s="3">
        <v>26095</v>
      </c>
      <c r="C1898" s="3">
        <v>30</v>
      </c>
      <c r="D1898" s="3">
        <v>1</v>
      </c>
      <c r="E1898" s="25">
        <f t="shared" si="27"/>
        <v>-0.47715499926817984</v>
      </c>
    </row>
    <row r="1899" spans="1:5" x14ac:dyDescent="0.35">
      <c r="A1899" s="3">
        <v>34</v>
      </c>
      <c r="B1899" s="3">
        <v>27943</v>
      </c>
      <c r="C1899" s="3">
        <v>53</v>
      </c>
      <c r="D1899" s="3">
        <v>1</v>
      </c>
      <c r="E1899" s="25">
        <f t="shared" si="27"/>
        <v>-5.0368102839113362</v>
      </c>
    </row>
    <row r="1900" spans="1:5" x14ac:dyDescent="0.35">
      <c r="A1900" s="3">
        <v>23</v>
      </c>
      <c r="B1900" s="3">
        <v>28520</v>
      </c>
      <c r="C1900" s="3">
        <v>60</v>
      </c>
      <c r="D1900" s="3">
        <v>1</v>
      </c>
      <c r="E1900" s="25">
        <f t="shared" si="27"/>
        <v>-6.1275646171416156</v>
      </c>
    </row>
    <row r="1901" spans="1:5" x14ac:dyDescent="0.35">
      <c r="A1901" s="2">
        <v>24</v>
      </c>
      <c r="B1901" s="2">
        <v>14661</v>
      </c>
      <c r="C1901" s="2">
        <v>64</v>
      </c>
      <c r="D1901" s="2">
        <v>0</v>
      </c>
      <c r="E1901" s="25">
        <f t="shared" si="27"/>
        <v>-6.4276275659980939</v>
      </c>
    </row>
    <row r="1902" spans="1:5" x14ac:dyDescent="0.35">
      <c r="A1902" s="3">
        <v>10</v>
      </c>
      <c r="B1902" s="3">
        <v>29298</v>
      </c>
      <c r="C1902" s="3">
        <v>69</v>
      </c>
      <c r="D1902" s="3">
        <v>1</v>
      </c>
      <c r="E1902" s="25">
        <f t="shared" ref="E1902:E1965" si="28">$B$101+$B1902*$B$102+$C1902*$B$103+$D1902*$B$104</f>
        <v>-6.7930547112367776</v>
      </c>
    </row>
    <row r="1903" spans="1:5" x14ac:dyDescent="0.35">
      <c r="A1903" s="3">
        <v>31</v>
      </c>
      <c r="B1903" s="3">
        <v>28839</v>
      </c>
      <c r="C1903" s="3">
        <v>64</v>
      </c>
      <c r="D1903" s="3">
        <v>1</v>
      </c>
      <c r="E1903" s="25">
        <f t="shared" si="28"/>
        <v>-6.9693038948149706</v>
      </c>
    </row>
    <row r="1904" spans="1:5" x14ac:dyDescent="0.35">
      <c r="A1904" s="2">
        <v>15</v>
      </c>
      <c r="B1904" s="2">
        <v>15033</v>
      </c>
      <c r="C1904" s="2">
        <v>69</v>
      </c>
      <c r="D1904" s="2">
        <v>0</v>
      </c>
      <c r="E1904" s="25">
        <f t="shared" si="28"/>
        <v>-8.0252012109390591</v>
      </c>
    </row>
    <row r="1905" spans="1:5" x14ac:dyDescent="0.35">
      <c r="A1905" s="3">
        <v>15</v>
      </c>
      <c r="B1905" s="3">
        <v>27190</v>
      </c>
      <c r="C1905" s="3">
        <v>47</v>
      </c>
      <c r="D1905" s="3">
        <v>1</v>
      </c>
      <c r="E1905" s="25">
        <f t="shared" si="28"/>
        <v>-9.3709182229015369</v>
      </c>
    </row>
    <row r="1906" spans="1:5" x14ac:dyDescent="0.35">
      <c r="A1906" s="2">
        <v>20</v>
      </c>
      <c r="B1906" s="2">
        <v>26907</v>
      </c>
      <c r="C1906" s="2">
        <v>44</v>
      </c>
      <c r="D1906" s="2">
        <v>1</v>
      </c>
      <c r="E1906" s="25">
        <f t="shared" si="28"/>
        <v>-9.631622370942182</v>
      </c>
    </row>
    <row r="1907" spans="1:5" x14ac:dyDescent="0.35">
      <c r="A1907" s="3">
        <v>20</v>
      </c>
      <c r="B1907" s="3">
        <v>27159</v>
      </c>
      <c r="C1907" s="3">
        <v>47</v>
      </c>
      <c r="D1907" s="3">
        <v>1</v>
      </c>
      <c r="E1907" s="25">
        <f t="shared" si="28"/>
        <v>-10.002970035362409</v>
      </c>
    </row>
    <row r="1908" spans="1:5" x14ac:dyDescent="0.35">
      <c r="A1908" s="2">
        <v>67</v>
      </c>
      <c r="B1908" s="2">
        <v>27213</v>
      </c>
      <c r="C1908" s="2">
        <v>48</v>
      </c>
      <c r="D1908" s="2">
        <v>1</v>
      </c>
      <c r="E1908" s="25">
        <f t="shared" si="28"/>
        <v>-10.738415634486159</v>
      </c>
    </row>
    <row r="1909" spans="1:5" x14ac:dyDescent="0.35">
      <c r="A1909" s="3">
        <v>44</v>
      </c>
      <c r="B1909" s="3">
        <v>12393</v>
      </c>
      <c r="C1909" s="3">
        <v>42</v>
      </c>
      <c r="D1909" s="3">
        <v>0</v>
      </c>
      <c r="E1909" s="25">
        <f t="shared" si="28"/>
        <v>-12.267693980686687</v>
      </c>
    </row>
    <row r="1910" spans="1:5" x14ac:dyDescent="0.35">
      <c r="A1910" s="3">
        <v>67</v>
      </c>
      <c r="B1910" s="3">
        <v>27242</v>
      </c>
      <c r="C1910" s="3">
        <v>50</v>
      </c>
      <c r="D1910" s="3">
        <v>1</v>
      </c>
      <c r="E1910" s="25">
        <f t="shared" si="28"/>
        <v>-13.820019516101638</v>
      </c>
    </row>
    <row r="1911" spans="1:5" x14ac:dyDescent="0.35">
      <c r="A1911" s="3">
        <v>46</v>
      </c>
      <c r="B1911" s="3">
        <v>26487</v>
      </c>
      <c r="C1911" s="3">
        <v>42</v>
      </c>
      <c r="D1911" s="3">
        <v>1</v>
      </c>
      <c r="E1911" s="25">
        <f t="shared" si="28"/>
        <v>-14.522026833591099</v>
      </c>
    </row>
    <row r="1912" spans="1:5" x14ac:dyDescent="0.35">
      <c r="A1912" s="3">
        <v>25</v>
      </c>
      <c r="B1912" s="3">
        <v>25443</v>
      </c>
      <c r="C1912" s="3">
        <v>31</v>
      </c>
      <c r="D1912" s="3">
        <v>1</v>
      </c>
      <c r="E1912" s="25">
        <f t="shared" si="28"/>
        <v>-15.607070907984564</v>
      </c>
    </row>
    <row r="1913" spans="1:5" x14ac:dyDescent="0.35">
      <c r="A1913" s="3">
        <v>10</v>
      </c>
      <c r="B1913" s="3">
        <v>26751</v>
      </c>
      <c r="C1913" s="3">
        <v>46</v>
      </c>
      <c r="D1913" s="3">
        <v>1</v>
      </c>
      <c r="E1913" s="25">
        <f t="shared" si="28"/>
        <v>-16.485148359178879</v>
      </c>
    </row>
    <row r="1914" spans="1:5" x14ac:dyDescent="0.35">
      <c r="A1914" s="2">
        <v>125</v>
      </c>
      <c r="B1914" s="2">
        <v>25545</v>
      </c>
      <c r="C1914" s="2">
        <v>33</v>
      </c>
      <c r="D1914" s="2">
        <v>1</v>
      </c>
      <c r="E1914" s="25">
        <f t="shared" si="28"/>
        <v>-17.200294715095367</v>
      </c>
    </row>
    <row r="1915" spans="1:5" x14ac:dyDescent="0.35">
      <c r="A1915" s="3">
        <v>16</v>
      </c>
      <c r="B1915" s="3">
        <v>26954</v>
      </c>
      <c r="C1915" s="3">
        <v>49</v>
      </c>
      <c r="D1915" s="3">
        <v>1</v>
      </c>
      <c r="E1915" s="25">
        <f t="shared" si="28"/>
        <v>-17.855545662650229</v>
      </c>
    </row>
    <row r="1916" spans="1:5" x14ac:dyDescent="0.35">
      <c r="A1916" s="2">
        <v>91</v>
      </c>
      <c r="B1916" s="2">
        <v>28087</v>
      </c>
      <c r="C1916" s="2">
        <v>62</v>
      </c>
      <c r="D1916" s="2">
        <v>1</v>
      </c>
      <c r="E1916" s="25">
        <f t="shared" si="28"/>
        <v>-18.62877938123836</v>
      </c>
    </row>
    <row r="1917" spans="1:5" x14ac:dyDescent="0.35">
      <c r="A1917" s="2">
        <v>18</v>
      </c>
      <c r="B1917" s="2">
        <v>25707</v>
      </c>
      <c r="C1917" s="2">
        <v>36</v>
      </c>
      <c r="D1917" s="2">
        <v>1</v>
      </c>
      <c r="E1917" s="25">
        <f t="shared" si="28"/>
        <v>-19.406631512466618</v>
      </c>
    </row>
    <row r="1918" spans="1:5" x14ac:dyDescent="0.35">
      <c r="A1918" s="2">
        <v>48</v>
      </c>
      <c r="B1918" s="2">
        <v>26224</v>
      </c>
      <c r="C1918" s="2">
        <v>42</v>
      </c>
      <c r="D1918" s="2">
        <v>1</v>
      </c>
      <c r="E1918" s="25">
        <f t="shared" si="28"/>
        <v>-19.884272855436507</v>
      </c>
    </row>
    <row r="1919" spans="1:5" x14ac:dyDescent="0.35">
      <c r="A1919" s="2">
        <v>54</v>
      </c>
      <c r="B1919" s="2">
        <v>26850</v>
      </c>
      <c r="C1919" s="2">
        <v>49</v>
      </c>
      <c r="D1919" s="2">
        <v>1</v>
      </c>
      <c r="E1919" s="25">
        <f t="shared" si="28"/>
        <v>-19.975977549615777</v>
      </c>
    </row>
    <row r="1920" spans="1:5" x14ac:dyDescent="0.35">
      <c r="A1920" s="2">
        <v>57</v>
      </c>
      <c r="B1920" s="2">
        <v>26759</v>
      </c>
      <c r="C1920" s="2">
        <v>48</v>
      </c>
      <c r="D1920" s="2">
        <v>1</v>
      </c>
      <c r="E1920" s="25">
        <f t="shared" si="28"/>
        <v>-19.994916371816316</v>
      </c>
    </row>
    <row r="1921" spans="1:5" x14ac:dyDescent="0.35">
      <c r="A1921" s="2">
        <v>26</v>
      </c>
      <c r="B1921" s="2">
        <v>10979</v>
      </c>
      <c r="C1921" s="2">
        <v>31</v>
      </c>
      <c r="D1921" s="2">
        <v>0</v>
      </c>
      <c r="E1921" s="25">
        <f t="shared" si="28"/>
        <v>-20.896582268322682</v>
      </c>
    </row>
    <row r="1922" spans="1:5" x14ac:dyDescent="0.35">
      <c r="A1922" s="3">
        <v>32</v>
      </c>
      <c r="B1922" s="3">
        <v>27071</v>
      </c>
      <c r="C1922" s="3">
        <v>52</v>
      </c>
      <c r="D1922" s="3">
        <v>1</v>
      </c>
      <c r="E1922" s="25">
        <f t="shared" si="28"/>
        <v>-20.979377026496877</v>
      </c>
    </row>
    <row r="1923" spans="1:5" x14ac:dyDescent="0.35">
      <c r="A1923" s="3">
        <v>12</v>
      </c>
      <c r="B1923" s="3">
        <v>25252</v>
      </c>
      <c r="C1923" s="3">
        <v>34</v>
      </c>
      <c r="D1923" s="3">
        <v>1</v>
      </c>
      <c r="E1923" s="25">
        <f t="shared" si="28"/>
        <v>-25.010642860152018</v>
      </c>
    </row>
    <row r="1924" spans="1:5" x14ac:dyDescent="0.35">
      <c r="A1924" s="3">
        <v>25</v>
      </c>
      <c r="B1924" s="3">
        <v>25008</v>
      </c>
      <c r="C1924" s="3">
        <v>32</v>
      </c>
      <c r="D1924" s="3">
        <v>1</v>
      </c>
      <c r="E1924" s="25">
        <f t="shared" si="28"/>
        <v>-26.312624129474784</v>
      </c>
    </row>
    <row r="1925" spans="1:5" x14ac:dyDescent="0.35">
      <c r="A1925" s="2">
        <v>43</v>
      </c>
      <c r="B1925" s="2">
        <v>25851</v>
      </c>
      <c r="C1925" s="2">
        <v>42</v>
      </c>
      <c r="D1925" s="2">
        <v>1</v>
      </c>
      <c r="E1925" s="25">
        <f t="shared" si="28"/>
        <v>-27.489283373110879</v>
      </c>
    </row>
    <row r="1926" spans="1:5" x14ac:dyDescent="0.35">
      <c r="A1926" s="3">
        <v>43</v>
      </c>
      <c r="B1926" s="3">
        <v>25804</v>
      </c>
      <c r="C1926" s="3">
        <v>42</v>
      </c>
      <c r="D1926" s="3">
        <v>1</v>
      </c>
      <c r="E1926" s="25">
        <f t="shared" si="28"/>
        <v>-28.447555475874083</v>
      </c>
    </row>
    <row r="1927" spans="1:5" x14ac:dyDescent="0.35">
      <c r="A1927" s="2">
        <v>39</v>
      </c>
      <c r="B1927" s="2">
        <v>28320</v>
      </c>
      <c r="C1927" s="2">
        <v>70</v>
      </c>
      <c r="D1927" s="2">
        <v>1</v>
      </c>
      <c r="E1927" s="25">
        <f t="shared" si="28"/>
        <v>-28.569709034864104</v>
      </c>
    </row>
    <row r="1928" spans="1:5" x14ac:dyDescent="0.35">
      <c r="A1928" s="2">
        <v>54</v>
      </c>
      <c r="B1928" s="2">
        <v>27238</v>
      </c>
      <c r="C1928" s="2">
        <v>58</v>
      </c>
      <c r="D1928" s="2">
        <v>1</v>
      </c>
      <c r="E1928" s="25">
        <f t="shared" si="28"/>
        <v>-28.593087219831432</v>
      </c>
    </row>
    <row r="1929" spans="1:5" x14ac:dyDescent="0.35">
      <c r="A1929" s="2">
        <v>16</v>
      </c>
      <c r="B1929" s="2">
        <v>26228</v>
      </c>
      <c r="C1929" s="2">
        <v>47</v>
      </c>
      <c r="D1929" s="2">
        <v>1</v>
      </c>
      <c r="E1929" s="25">
        <f t="shared" si="28"/>
        <v>-28.98491317733226</v>
      </c>
    </row>
    <row r="1930" spans="1:5" x14ac:dyDescent="0.35">
      <c r="A1930" s="3">
        <v>35</v>
      </c>
      <c r="B1930" s="3">
        <v>24683</v>
      </c>
      <c r="C1930" s="3">
        <v>30</v>
      </c>
      <c r="D1930" s="3">
        <v>1</v>
      </c>
      <c r="E1930" s="25">
        <f t="shared" si="28"/>
        <v>-29.266095618453392</v>
      </c>
    </row>
    <row r="1931" spans="1:5" x14ac:dyDescent="0.35">
      <c r="A1931" s="3">
        <v>55</v>
      </c>
      <c r="B1931" s="3">
        <v>26290</v>
      </c>
      <c r="C1931" s="3">
        <v>48</v>
      </c>
      <c r="D1931" s="3">
        <v>1</v>
      </c>
      <c r="E1931" s="25">
        <f t="shared" si="28"/>
        <v>-29.557248631304901</v>
      </c>
    </row>
    <row r="1932" spans="1:5" x14ac:dyDescent="0.35">
      <c r="A1932" s="3">
        <v>43</v>
      </c>
      <c r="B1932" s="3">
        <v>25271</v>
      </c>
      <c r="C1932" s="3">
        <v>37</v>
      </c>
      <c r="D1932" s="3">
        <v>1</v>
      </c>
      <c r="E1932" s="25">
        <f t="shared" si="28"/>
        <v>-30.132573502100797</v>
      </c>
    </row>
    <row r="1933" spans="1:5" x14ac:dyDescent="0.35">
      <c r="A1933" s="2">
        <v>44</v>
      </c>
      <c r="B1933" s="2">
        <v>26067</v>
      </c>
      <c r="C1933" s="2">
        <v>46</v>
      </c>
      <c r="D1933" s="2">
        <v>1</v>
      </c>
      <c r="E1933" s="25">
        <f t="shared" si="28"/>
        <v>-30.431065769605766</v>
      </c>
    </row>
    <row r="1934" spans="1:5" x14ac:dyDescent="0.35">
      <c r="A1934" s="3">
        <v>74</v>
      </c>
      <c r="B1934" s="3">
        <v>27215</v>
      </c>
      <c r="C1934" s="3">
        <v>59</v>
      </c>
      <c r="D1934" s="3">
        <v>1</v>
      </c>
      <c r="E1934" s="25">
        <f t="shared" si="28"/>
        <v>-30.898467966035355</v>
      </c>
    </row>
    <row r="1935" spans="1:5" x14ac:dyDescent="0.35">
      <c r="A1935" s="2">
        <v>34</v>
      </c>
      <c r="B1935" s="2">
        <v>26642</v>
      </c>
      <c r="C1935" s="2">
        <v>53</v>
      </c>
      <c r="D1935" s="2">
        <v>1</v>
      </c>
      <c r="E1935" s="25">
        <f t="shared" si="28"/>
        <v>-31.562597639123851</v>
      </c>
    </row>
    <row r="1936" spans="1:5" x14ac:dyDescent="0.35">
      <c r="A1936" s="2">
        <v>38</v>
      </c>
      <c r="B1936" s="2">
        <v>27116</v>
      </c>
      <c r="C1936" s="2">
        <v>59</v>
      </c>
      <c r="D1936" s="2">
        <v>1</v>
      </c>
      <c r="E1936" s="25">
        <f t="shared" si="28"/>
        <v>-32.916956012281389</v>
      </c>
    </row>
    <row r="1937" spans="1:5" x14ac:dyDescent="0.35">
      <c r="A1937" s="3">
        <v>17</v>
      </c>
      <c r="B1937" s="3">
        <v>24645</v>
      </c>
      <c r="C1937" s="3">
        <v>32</v>
      </c>
      <c r="D1937" s="3">
        <v>1</v>
      </c>
      <c r="E1937" s="25">
        <f t="shared" si="28"/>
        <v>-33.713746965710072</v>
      </c>
    </row>
    <row r="1938" spans="1:5" x14ac:dyDescent="0.35">
      <c r="A1938" s="3">
        <v>12</v>
      </c>
      <c r="B1938" s="3">
        <v>26304</v>
      </c>
      <c r="C1938" s="3">
        <v>51</v>
      </c>
      <c r="D1938" s="3">
        <v>1</v>
      </c>
      <c r="E1938" s="25">
        <f t="shared" si="28"/>
        <v>-34.781123113973081</v>
      </c>
    </row>
    <row r="1939" spans="1:5" x14ac:dyDescent="0.35">
      <c r="A1939" s="2">
        <v>8</v>
      </c>
      <c r="B1939" s="2">
        <v>11448</v>
      </c>
      <c r="C1939" s="2">
        <v>45</v>
      </c>
      <c r="D1939" s="2">
        <v>0</v>
      </c>
      <c r="E1939" s="25">
        <f t="shared" si="28"/>
        <v>-37.044397113353938</v>
      </c>
    </row>
    <row r="1940" spans="1:5" x14ac:dyDescent="0.35">
      <c r="A1940" s="2">
        <v>32</v>
      </c>
      <c r="B1940" s="2">
        <v>25130</v>
      </c>
      <c r="C1940" s="2">
        <v>40</v>
      </c>
      <c r="D1940" s="2">
        <v>1</v>
      </c>
      <c r="E1940" s="25">
        <f t="shared" si="28"/>
        <v>-38.516707047073368</v>
      </c>
    </row>
    <row r="1941" spans="1:5" x14ac:dyDescent="0.35">
      <c r="A1941" s="3">
        <v>30</v>
      </c>
      <c r="B1941" s="3">
        <v>25959</v>
      </c>
      <c r="C1941" s="3">
        <v>50</v>
      </c>
      <c r="D1941" s="3">
        <v>1</v>
      </c>
      <c r="E1941" s="25">
        <f t="shared" si="28"/>
        <v>-39.978809044723903</v>
      </c>
    </row>
    <row r="1942" spans="1:5" x14ac:dyDescent="0.35">
      <c r="A1942" s="3">
        <v>32</v>
      </c>
      <c r="B1942" s="3">
        <v>25315</v>
      </c>
      <c r="C1942" s="3">
        <v>43</v>
      </c>
      <c r="D1942" s="3">
        <v>1</v>
      </c>
      <c r="E1942" s="25">
        <f t="shared" si="28"/>
        <v>-40.254102177134854</v>
      </c>
    </row>
    <row r="1943" spans="1:5" x14ac:dyDescent="0.35">
      <c r="A1943" s="3">
        <v>19</v>
      </c>
      <c r="B1943" s="3">
        <v>25818</v>
      </c>
      <c r="C1943" s="3">
        <v>49</v>
      </c>
      <c r="D1943" s="3">
        <v>1</v>
      </c>
      <c r="E1943" s="25">
        <f t="shared" si="28"/>
        <v>-41.017186274119354</v>
      </c>
    </row>
    <row r="1944" spans="1:5" x14ac:dyDescent="0.35">
      <c r="A1944" s="3">
        <v>24</v>
      </c>
      <c r="B1944" s="3">
        <v>26887</v>
      </c>
      <c r="C1944" s="3">
        <v>61</v>
      </c>
      <c r="D1944" s="3">
        <v>1</v>
      </c>
      <c r="E1944" s="25">
        <f t="shared" si="28"/>
        <v>-41.258862075022762</v>
      </c>
    </row>
    <row r="1945" spans="1:5" x14ac:dyDescent="0.35">
      <c r="A1945" s="3">
        <v>90</v>
      </c>
      <c r="B1945" s="3">
        <v>25509</v>
      </c>
      <c r="C1945" s="3">
        <v>46</v>
      </c>
      <c r="D1945" s="3">
        <v>1</v>
      </c>
      <c r="E1945" s="25">
        <f t="shared" si="28"/>
        <v>-41.807998393901329</v>
      </c>
    </row>
    <row r="1946" spans="1:5" x14ac:dyDescent="0.35">
      <c r="A1946" s="2">
        <v>149</v>
      </c>
      <c r="B1946" s="2">
        <v>24570</v>
      </c>
      <c r="C1946" s="2">
        <v>36</v>
      </c>
      <c r="D1946" s="2">
        <v>1</v>
      </c>
      <c r="E1946" s="25">
        <f t="shared" si="28"/>
        <v>-42.588660892079588</v>
      </c>
    </row>
    <row r="1947" spans="1:5" x14ac:dyDescent="0.35">
      <c r="A1947" s="3">
        <v>19</v>
      </c>
      <c r="B1947" s="3">
        <v>25721</v>
      </c>
      <c r="C1947" s="3">
        <v>49</v>
      </c>
      <c r="D1947" s="3">
        <v>1</v>
      </c>
      <c r="E1947" s="25">
        <f t="shared" si="28"/>
        <v>-42.994896784077582</v>
      </c>
    </row>
    <row r="1948" spans="1:5" x14ac:dyDescent="0.35">
      <c r="A1948" s="2">
        <v>8</v>
      </c>
      <c r="B1948" s="2">
        <v>25176</v>
      </c>
      <c r="C1948" s="2">
        <v>44</v>
      </c>
      <c r="D1948" s="2">
        <v>1</v>
      </c>
      <c r="E1948" s="25">
        <f t="shared" si="28"/>
        <v>-44.924580028031045</v>
      </c>
    </row>
    <row r="1949" spans="1:5" x14ac:dyDescent="0.35">
      <c r="A1949" s="3">
        <v>34</v>
      </c>
      <c r="B1949" s="3">
        <v>25410</v>
      </c>
      <c r="C1949" s="3">
        <v>47</v>
      </c>
      <c r="D1949" s="3">
        <v>1</v>
      </c>
      <c r="E1949" s="25">
        <f t="shared" si="28"/>
        <v>-45.662925519041551</v>
      </c>
    </row>
    <row r="1950" spans="1:5" x14ac:dyDescent="0.35">
      <c r="A1950" s="2">
        <v>19</v>
      </c>
      <c r="B1950" s="2">
        <v>13084</v>
      </c>
      <c r="C1950" s="2">
        <v>68</v>
      </c>
      <c r="D1950" s="2">
        <v>0</v>
      </c>
      <c r="E1950" s="25">
        <f t="shared" si="28"/>
        <v>-45.926471244503688</v>
      </c>
    </row>
    <row r="1951" spans="1:5" x14ac:dyDescent="0.35">
      <c r="A1951" s="3">
        <v>11</v>
      </c>
      <c r="B1951" s="3">
        <v>25930</v>
      </c>
      <c r="C1951" s="3">
        <v>53</v>
      </c>
      <c r="D1951" s="3">
        <v>1</v>
      </c>
      <c r="E1951" s="25">
        <f t="shared" si="28"/>
        <v>-46.079400557579788</v>
      </c>
    </row>
    <row r="1952" spans="1:5" x14ac:dyDescent="0.35">
      <c r="A1952" s="3">
        <v>44</v>
      </c>
      <c r="B1952" s="3">
        <v>24882</v>
      </c>
      <c r="C1952" s="3">
        <v>42</v>
      </c>
      <c r="D1952" s="3">
        <v>1</v>
      </c>
      <c r="E1952" s="25">
        <f t="shared" si="28"/>
        <v>-47.245999704548836</v>
      </c>
    </row>
    <row r="1953" spans="1:5" x14ac:dyDescent="0.35">
      <c r="A1953" s="2">
        <v>85</v>
      </c>
      <c r="B1953" s="2">
        <v>24480</v>
      </c>
      <c r="C1953" s="2">
        <v>39</v>
      </c>
      <c r="D1953" s="2">
        <v>1</v>
      </c>
      <c r="E1953" s="25">
        <f t="shared" si="28"/>
        <v>-49.932967261713316</v>
      </c>
    </row>
    <row r="1954" spans="1:5" x14ac:dyDescent="0.35">
      <c r="A1954" s="3">
        <v>19</v>
      </c>
      <c r="B1954" s="3">
        <v>24367</v>
      </c>
      <c r="C1954" s="3">
        <v>38</v>
      </c>
      <c r="D1954" s="3">
        <v>1</v>
      </c>
      <c r="E1954" s="25">
        <f t="shared" si="28"/>
        <v>-50.400458983079602</v>
      </c>
    </row>
    <row r="1955" spans="1:5" x14ac:dyDescent="0.35">
      <c r="A1955" s="3">
        <v>20</v>
      </c>
      <c r="B1955" s="3">
        <v>24594</v>
      </c>
      <c r="C1955" s="3">
        <v>41</v>
      </c>
      <c r="D1955" s="3">
        <v>1</v>
      </c>
      <c r="E1955" s="25">
        <f t="shared" si="28"/>
        <v>-51.281525851097427</v>
      </c>
    </row>
    <row r="1956" spans="1:5" x14ac:dyDescent="0.35">
      <c r="A1956" s="2">
        <v>38</v>
      </c>
      <c r="B1956" s="2">
        <v>25224</v>
      </c>
      <c r="C1956" s="2">
        <v>48</v>
      </c>
      <c r="D1956" s="2">
        <v>1</v>
      </c>
      <c r="E1956" s="25">
        <f t="shared" si="28"/>
        <v>-51.291675472701058</v>
      </c>
    </row>
    <row r="1957" spans="1:5" x14ac:dyDescent="0.35">
      <c r="A1957" s="3">
        <v>40</v>
      </c>
      <c r="B1957" s="3">
        <v>27203</v>
      </c>
      <c r="C1957" s="3">
        <v>70</v>
      </c>
      <c r="D1957" s="3">
        <v>1</v>
      </c>
      <c r="E1957" s="25">
        <f t="shared" si="28"/>
        <v>-51.343963051599218</v>
      </c>
    </row>
    <row r="1958" spans="1:5" x14ac:dyDescent="0.35">
      <c r="A1958" s="2">
        <v>19</v>
      </c>
      <c r="B1958" s="2">
        <v>24336</v>
      </c>
      <c r="C1958" s="2">
        <v>39</v>
      </c>
      <c r="D1958" s="2">
        <v>1</v>
      </c>
      <c r="E1958" s="25">
        <f t="shared" si="28"/>
        <v>-52.868949874434747</v>
      </c>
    </row>
    <row r="1959" spans="1:5" x14ac:dyDescent="0.35">
      <c r="A1959" s="2">
        <v>19</v>
      </c>
      <c r="B1959" s="2">
        <v>24072</v>
      </c>
      <c r="C1959" s="2">
        <v>37</v>
      </c>
      <c r="D1959" s="2">
        <v>1</v>
      </c>
      <c r="E1959" s="25">
        <f t="shared" si="28"/>
        <v>-54.578706506635513</v>
      </c>
    </row>
    <row r="1960" spans="1:5" x14ac:dyDescent="0.35">
      <c r="A1960" s="3">
        <v>41</v>
      </c>
      <c r="B1960" s="3">
        <v>23976</v>
      </c>
      <c r="C1960" s="3">
        <v>36</v>
      </c>
      <c r="D1960" s="3">
        <v>1</v>
      </c>
      <c r="E1960" s="25">
        <f t="shared" si="28"/>
        <v>-54.699589169555509</v>
      </c>
    </row>
    <row r="1961" spans="1:5" x14ac:dyDescent="0.35">
      <c r="A1961" s="3">
        <v>28</v>
      </c>
      <c r="B1961" s="3">
        <v>25293</v>
      </c>
      <c r="C1961" s="3">
        <v>51</v>
      </c>
      <c r="D1961" s="3">
        <v>1</v>
      </c>
      <c r="E1961" s="25">
        <f t="shared" si="28"/>
        <v>-55.394167707454812</v>
      </c>
    </row>
    <row r="1962" spans="1:5" x14ac:dyDescent="0.35">
      <c r="A1962" s="2">
        <v>16</v>
      </c>
      <c r="B1962" s="2">
        <v>24884</v>
      </c>
      <c r="C1962" s="2">
        <v>48</v>
      </c>
      <c r="D1962" s="2">
        <v>1</v>
      </c>
      <c r="E1962" s="25">
        <f t="shared" si="28"/>
        <v>-58.223856641626696</v>
      </c>
    </row>
    <row r="1963" spans="1:5" x14ac:dyDescent="0.35">
      <c r="A1963" s="3">
        <v>22</v>
      </c>
      <c r="B1963" s="3">
        <v>23442</v>
      </c>
      <c r="C1963" s="3">
        <v>33</v>
      </c>
      <c r="D1963" s="3">
        <v>1</v>
      </c>
      <c r="E1963" s="25">
        <f t="shared" si="28"/>
        <v>-60.077874121714729</v>
      </c>
    </row>
    <row r="1964" spans="1:5" x14ac:dyDescent="0.35">
      <c r="A1964" s="3">
        <v>264</v>
      </c>
      <c r="B1964" s="3">
        <v>23331</v>
      </c>
      <c r="C1964" s="3">
        <v>32</v>
      </c>
      <c r="D1964" s="3">
        <v>1</v>
      </c>
      <c r="E1964" s="25">
        <f t="shared" si="28"/>
        <v>-60.50458830679321</v>
      </c>
    </row>
    <row r="1965" spans="1:5" x14ac:dyDescent="0.35">
      <c r="A1965" s="3">
        <v>58</v>
      </c>
      <c r="B1965" s="3">
        <v>23331</v>
      </c>
      <c r="C1965" s="3">
        <v>32</v>
      </c>
      <c r="D1965" s="3">
        <v>1</v>
      </c>
      <c r="E1965" s="25">
        <f t="shared" si="28"/>
        <v>-60.50458830679321</v>
      </c>
    </row>
    <row r="1966" spans="1:5" x14ac:dyDescent="0.35">
      <c r="A1966" s="3">
        <v>46</v>
      </c>
      <c r="B1966" s="3">
        <v>24762</v>
      </c>
      <c r="C1966" s="3">
        <v>48</v>
      </c>
      <c r="D1966" s="3">
        <v>1</v>
      </c>
      <c r="E1966" s="25">
        <f t="shared" ref="E1966:E2029" si="29">$B$101+$B1966*$B$102+$C1966*$B$103+$D1966*$B$104</f>
        <v>-60.711286355182324</v>
      </c>
    </row>
    <row r="1967" spans="1:5" x14ac:dyDescent="0.35">
      <c r="A1967" s="2">
        <v>69</v>
      </c>
      <c r="B1967" s="2">
        <v>26091</v>
      </c>
      <c r="C1967" s="2">
        <v>63</v>
      </c>
      <c r="D1967" s="2">
        <v>1</v>
      </c>
      <c r="E1967" s="25">
        <f t="shared" si="29"/>
        <v>-61.161199675354851</v>
      </c>
    </row>
    <row r="1968" spans="1:5" x14ac:dyDescent="0.35">
      <c r="A1968" s="3">
        <v>118</v>
      </c>
      <c r="B1968" s="3">
        <v>23477</v>
      </c>
      <c r="C1968" s="3">
        <v>34</v>
      </c>
      <c r="D1968" s="3">
        <v>1</v>
      </c>
      <c r="E1968" s="25">
        <f t="shared" si="29"/>
        <v>-61.200706315572518</v>
      </c>
    </row>
    <row r="1969" spans="1:5" x14ac:dyDescent="0.35">
      <c r="A1969" s="3">
        <v>43</v>
      </c>
      <c r="B1969" s="3">
        <v>24639</v>
      </c>
      <c r="C1969" s="3">
        <v>47</v>
      </c>
      <c r="D1969" s="3">
        <v>1</v>
      </c>
      <c r="E1969" s="25">
        <f t="shared" si="29"/>
        <v>-61.382665757987638</v>
      </c>
    </row>
    <row r="1970" spans="1:5" x14ac:dyDescent="0.35">
      <c r="A1970" s="3">
        <v>27</v>
      </c>
      <c r="B1970" s="3">
        <v>26150</v>
      </c>
      <c r="C1970" s="3">
        <v>64</v>
      </c>
      <c r="D1970" s="3">
        <v>1</v>
      </c>
      <c r="E1970" s="25">
        <f t="shared" si="29"/>
        <v>-61.794701433759087</v>
      </c>
    </row>
    <row r="1971" spans="1:5" x14ac:dyDescent="0.35">
      <c r="A1971" s="3">
        <v>22</v>
      </c>
      <c r="B1971" s="3">
        <v>23661</v>
      </c>
      <c r="C1971" s="3">
        <v>38</v>
      </c>
      <c r="D1971" s="3">
        <v>1</v>
      </c>
      <c r="E1971" s="25">
        <f t="shared" si="29"/>
        <v>-64.794929292672236</v>
      </c>
    </row>
    <row r="1972" spans="1:5" x14ac:dyDescent="0.35">
      <c r="A1972" s="3">
        <v>9</v>
      </c>
      <c r="B1972" s="3">
        <v>23536</v>
      </c>
      <c r="C1972" s="3">
        <v>37</v>
      </c>
      <c r="D1972" s="3">
        <v>1</v>
      </c>
      <c r="E1972" s="25">
        <f t="shared" si="29"/>
        <v>-65.5070862317653</v>
      </c>
    </row>
    <row r="1973" spans="1:5" x14ac:dyDescent="0.35">
      <c r="A1973" s="3">
        <v>47</v>
      </c>
      <c r="B1973" s="3">
        <v>23616</v>
      </c>
      <c r="C1973" s="3">
        <v>38</v>
      </c>
      <c r="D1973" s="3">
        <v>1</v>
      </c>
      <c r="E1973" s="25">
        <f t="shared" si="29"/>
        <v>-65.712423859147691</v>
      </c>
    </row>
    <row r="1974" spans="1:5" x14ac:dyDescent="0.35">
      <c r="A1974" s="3">
        <v>55</v>
      </c>
      <c r="B1974" s="3">
        <v>26518</v>
      </c>
      <c r="C1974" s="3">
        <v>71</v>
      </c>
      <c r="D1974" s="3">
        <v>1</v>
      </c>
      <c r="E1974" s="25">
        <f t="shared" si="29"/>
        <v>-67.146708309064167</v>
      </c>
    </row>
    <row r="1975" spans="1:5" x14ac:dyDescent="0.35">
      <c r="A1975" s="3">
        <v>33</v>
      </c>
      <c r="B1975" s="3">
        <v>24434</v>
      </c>
      <c r="C1975" s="3">
        <v>48</v>
      </c>
      <c r="D1975" s="3">
        <v>1</v>
      </c>
      <c r="E1975" s="25">
        <f t="shared" si="29"/>
        <v>-67.398802306381185</v>
      </c>
    </row>
    <row r="1976" spans="1:5" x14ac:dyDescent="0.35">
      <c r="A1976" s="2">
        <v>43</v>
      </c>
      <c r="B1976" s="2">
        <v>24027</v>
      </c>
      <c r="C1976" s="2">
        <v>44</v>
      </c>
      <c r="D1976" s="2">
        <v>1</v>
      </c>
      <c r="E1976" s="25">
        <f t="shared" si="29"/>
        <v>-68.351274625370905</v>
      </c>
    </row>
    <row r="1977" spans="1:5" x14ac:dyDescent="0.35">
      <c r="A1977" s="3">
        <v>61</v>
      </c>
      <c r="B1977" s="3">
        <v>23724</v>
      </c>
      <c r="C1977" s="3">
        <v>41</v>
      </c>
      <c r="D1977" s="3">
        <v>1</v>
      </c>
      <c r="E1977" s="25">
        <f t="shared" si="29"/>
        <v>-69.019754136289436</v>
      </c>
    </row>
    <row r="1978" spans="1:5" x14ac:dyDescent="0.35">
      <c r="A1978" s="2">
        <v>116</v>
      </c>
      <c r="B1978" s="2">
        <v>23228</v>
      </c>
      <c r="C1978" s="2">
        <v>36</v>
      </c>
      <c r="D1978" s="2">
        <v>1</v>
      </c>
      <c r="E1978" s="25">
        <f t="shared" si="29"/>
        <v>-69.950387741191889</v>
      </c>
    </row>
    <row r="1979" spans="1:5" x14ac:dyDescent="0.35">
      <c r="A1979" s="3">
        <v>52</v>
      </c>
      <c r="B1979" s="3">
        <v>23957</v>
      </c>
      <c r="C1979" s="3">
        <v>45</v>
      </c>
      <c r="D1979" s="3">
        <v>1</v>
      </c>
      <c r="E1979" s="25">
        <f t="shared" si="29"/>
        <v>-71.614927474338089</v>
      </c>
    </row>
    <row r="1980" spans="1:5" x14ac:dyDescent="0.35">
      <c r="A1980" s="3">
        <v>36</v>
      </c>
      <c r="B1980" s="3">
        <v>23763</v>
      </c>
      <c r="C1980" s="3">
        <v>43</v>
      </c>
      <c r="D1980" s="3">
        <v>1</v>
      </c>
      <c r="E1980" s="25">
        <f t="shared" si="29"/>
        <v>-71.897470336465943</v>
      </c>
    </row>
    <row r="1981" spans="1:5" x14ac:dyDescent="0.35">
      <c r="A1981" s="3">
        <v>45</v>
      </c>
      <c r="B1981" s="3">
        <v>23718</v>
      </c>
      <c r="C1981" s="3">
        <v>44</v>
      </c>
      <c r="D1981" s="3">
        <v>1</v>
      </c>
      <c r="E1981" s="25">
        <f t="shared" si="29"/>
        <v>-74.651403981835671</v>
      </c>
    </row>
    <row r="1982" spans="1:5" x14ac:dyDescent="0.35">
      <c r="A1982" s="3">
        <v>22</v>
      </c>
      <c r="B1982" s="3">
        <v>24206</v>
      </c>
      <c r="C1982" s="3">
        <v>50</v>
      </c>
      <c r="D1982" s="3">
        <v>1</v>
      </c>
      <c r="E1982" s="25">
        <f t="shared" si="29"/>
        <v>-75.720319600978655</v>
      </c>
    </row>
    <row r="1983" spans="1:5" x14ac:dyDescent="0.35">
      <c r="A1983" s="2">
        <v>15</v>
      </c>
      <c r="B1983" s="2">
        <v>24163</v>
      </c>
      <c r="C1983" s="2">
        <v>50</v>
      </c>
      <c r="D1983" s="2">
        <v>1</v>
      </c>
      <c r="E1983" s="25">
        <f t="shared" si="29"/>
        <v>-76.597036631166304</v>
      </c>
    </row>
    <row r="1984" spans="1:5" x14ac:dyDescent="0.35">
      <c r="A1984" s="3">
        <v>176</v>
      </c>
      <c r="B1984" s="3">
        <v>8028</v>
      </c>
      <c r="C1984" s="3">
        <v>29</v>
      </c>
      <c r="D1984" s="3">
        <v>0</v>
      </c>
      <c r="E1984" s="25">
        <f t="shared" si="29"/>
        <v>-77.390958903179694</v>
      </c>
    </row>
    <row r="1985" spans="1:5" x14ac:dyDescent="0.35">
      <c r="A1985" s="2">
        <v>72</v>
      </c>
      <c r="B1985" s="2">
        <v>7500</v>
      </c>
      <c r="C1985" s="2">
        <v>24</v>
      </c>
      <c r="D1985" s="2">
        <v>0</v>
      </c>
      <c r="E1985" s="25">
        <f t="shared" si="29"/>
        <v>-78.974033088686951</v>
      </c>
    </row>
    <row r="1986" spans="1:5" x14ac:dyDescent="0.35">
      <c r="A1986" s="3">
        <v>43</v>
      </c>
      <c r="B1986" s="3">
        <v>22434</v>
      </c>
      <c r="C1986" s="3">
        <v>33</v>
      </c>
      <c r="D1986" s="3">
        <v>1</v>
      </c>
      <c r="E1986" s="25">
        <f t="shared" si="29"/>
        <v>-80.629752410764752</v>
      </c>
    </row>
    <row r="1987" spans="1:5" x14ac:dyDescent="0.35">
      <c r="A1987" s="2">
        <v>34</v>
      </c>
      <c r="B1987" s="2">
        <v>22518</v>
      </c>
      <c r="C1987" s="2">
        <v>34</v>
      </c>
      <c r="D1987" s="2">
        <v>1</v>
      </c>
      <c r="E1987" s="25">
        <f t="shared" si="29"/>
        <v>-80.753534965571532</v>
      </c>
    </row>
    <row r="1988" spans="1:5" x14ac:dyDescent="0.35">
      <c r="A1988" s="3">
        <v>50</v>
      </c>
      <c r="B1988" s="3">
        <v>22944</v>
      </c>
      <c r="C1988" s="3">
        <v>39</v>
      </c>
      <c r="D1988" s="3">
        <v>1</v>
      </c>
      <c r="E1988" s="25">
        <f t="shared" si="29"/>
        <v>-81.25011513074196</v>
      </c>
    </row>
    <row r="1989" spans="1:5" x14ac:dyDescent="0.35">
      <c r="A1989" s="2">
        <v>56</v>
      </c>
      <c r="B1989" s="2">
        <v>23559</v>
      </c>
      <c r="C1989" s="2">
        <v>47</v>
      </c>
      <c r="D1989" s="2">
        <v>1</v>
      </c>
      <c r="E1989" s="25">
        <f t="shared" si="29"/>
        <v>-83.402535353398434</v>
      </c>
    </row>
    <row r="1990" spans="1:5" x14ac:dyDescent="0.35">
      <c r="A1990" s="3">
        <v>54</v>
      </c>
      <c r="B1990" s="3">
        <v>23910</v>
      </c>
      <c r="C1990" s="3">
        <v>51</v>
      </c>
      <c r="D1990" s="3">
        <v>1</v>
      </c>
      <c r="E1990" s="25">
        <f t="shared" si="29"/>
        <v>-83.591834050467014</v>
      </c>
    </row>
    <row r="1991" spans="1:5" x14ac:dyDescent="0.35">
      <c r="A1991" s="2">
        <v>19</v>
      </c>
      <c r="B1991" s="2">
        <v>22327</v>
      </c>
      <c r="C1991" s="2">
        <v>35</v>
      </c>
      <c r="D1991" s="2">
        <v>1</v>
      </c>
      <c r="E1991" s="25">
        <f t="shared" si="29"/>
        <v>-86.484228759950497</v>
      </c>
    </row>
    <row r="1992" spans="1:5" x14ac:dyDescent="0.35">
      <c r="A1992" s="2">
        <v>43</v>
      </c>
      <c r="B1992" s="2">
        <v>23626</v>
      </c>
      <c r="C1992" s="2">
        <v>50</v>
      </c>
      <c r="D1992" s="2">
        <v>1</v>
      </c>
      <c r="E1992" s="25">
        <f t="shared" si="29"/>
        <v>-87.545805124439994</v>
      </c>
    </row>
    <row r="1993" spans="1:5" x14ac:dyDescent="0.35">
      <c r="A1993" s="2">
        <v>68</v>
      </c>
      <c r="B1993" s="2">
        <v>23748</v>
      </c>
      <c r="C1993" s="2">
        <v>52</v>
      </c>
      <c r="D1993" s="2">
        <v>1</v>
      </c>
      <c r="E1993" s="25">
        <f t="shared" si="29"/>
        <v>-88.731253568672912</v>
      </c>
    </row>
    <row r="1994" spans="1:5" x14ac:dyDescent="0.35">
      <c r="A1994" s="3">
        <v>37</v>
      </c>
      <c r="B1994" s="3">
        <v>22448</v>
      </c>
      <c r="C1994" s="3">
        <v>38</v>
      </c>
      <c r="D1994" s="3">
        <v>1</v>
      </c>
      <c r="E1994" s="25">
        <f t="shared" si="29"/>
        <v>-89.526505051221534</v>
      </c>
    </row>
    <row r="1995" spans="1:5" x14ac:dyDescent="0.35">
      <c r="A1995" s="2">
        <v>14</v>
      </c>
      <c r="B1995" s="2">
        <v>22775</v>
      </c>
      <c r="C1995" s="2">
        <v>42</v>
      </c>
      <c r="D1995" s="2">
        <v>1</v>
      </c>
      <c r="E1995" s="25">
        <f t="shared" si="29"/>
        <v>-90.205134183743752</v>
      </c>
    </row>
    <row r="1996" spans="1:5" x14ac:dyDescent="0.35">
      <c r="A1996" s="2">
        <v>44</v>
      </c>
      <c r="B1996" s="2">
        <v>21955</v>
      </c>
      <c r="C1996" s="2">
        <v>34</v>
      </c>
      <c r="D1996" s="2">
        <v>1</v>
      </c>
      <c r="E1996" s="25">
        <f t="shared" si="29"/>
        <v>-92.232411430586637</v>
      </c>
    </row>
    <row r="1997" spans="1:5" x14ac:dyDescent="0.35">
      <c r="A1997" s="3">
        <v>19</v>
      </c>
      <c r="B1997" s="3">
        <v>22701</v>
      </c>
      <c r="C1997" s="3">
        <v>43</v>
      </c>
      <c r="D1997" s="3">
        <v>1</v>
      </c>
      <c r="E1997" s="25">
        <f t="shared" si="29"/>
        <v>-93.550342105286546</v>
      </c>
    </row>
    <row r="1998" spans="1:5" x14ac:dyDescent="0.35">
      <c r="A1998" s="3">
        <v>149</v>
      </c>
      <c r="B1998" s="3">
        <v>21888</v>
      </c>
      <c r="C1998" s="3">
        <v>34</v>
      </c>
      <c r="D1998" s="3">
        <v>1</v>
      </c>
      <c r="E1998" s="25">
        <f t="shared" si="29"/>
        <v>-93.598458896227839</v>
      </c>
    </row>
    <row r="1999" spans="1:5" x14ac:dyDescent="0.35">
      <c r="A1999" s="3">
        <v>58</v>
      </c>
      <c r="B1999" s="3">
        <v>21846</v>
      </c>
      <c r="C1999" s="3">
        <v>34</v>
      </c>
      <c r="D1999" s="3">
        <v>1</v>
      </c>
      <c r="E1999" s="25">
        <f t="shared" si="29"/>
        <v>-94.454787158271586</v>
      </c>
    </row>
    <row r="2000" spans="1:5" x14ac:dyDescent="0.35">
      <c r="A2000" s="3">
        <v>24</v>
      </c>
      <c r="B2000" s="3">
        <v>25358</v>
      </c>
      <c r="C2000" s="3">
        <v>73</v>
      </c>
      <c r="D2000" s="3">
        <v>1</v>
      </c>
      <c r="E2000" s="25">
        <f t="shared" si="29"/>
        <v>-94.470557513775503</v>
      </c>
    </row>
    <row r="2001" spans="1:5" x14ac:dyDescent="0.35">
      <c r="A2001" s="2">
        <v>10</v>
      </c>
      <c r="B2001" s="2">
        <v>7500</v>
      </c>
      <c r="C2001" s="2">
        <v>33</v>
      </c>
      <c r="D2001" s="2">
        <v>0</v>
      </c>
      <c r="E2001" s="25">
        <f t="shared" si="29"/>
        <v>-95.501984798735407</v>
      </c>
    </row>
    <row r="2002" spans="1:5" x14ac:dyDescent="0.35">
      <c r="A2002" s="3">
        <v>57</v>
      </c>
      <c r="B2002" s="3">
        <v>21474</v>
      </c>
      <c r="C2002" s="3">
        <v>31</v>
      </c>
      <c r="D2002" s="3">
        <v>1</v>
      </c>
      <c r="E2002" s="25">
        <f t="shared" si="29"/>
        <v>-96.53009167111918</v>
      </c>
    </row>
    <row r="2003" spans="1:5" x14ac:dyDescent="0.35">
      <c r="A2003" s="3">
        <v>25</v>
      </c>
      <c r="B2003" s="3">
        <v>22010</v>
      </c>
      <c r="C2003" s="3">
        <v>37</v>
      </c>
      <c r="D2003" s="3">
        <v>1</v>
      </c>
      <c r="E2003" s="25">
        <f t="shared" si="29"/>
        <v>-96.620346419354973</v>
      </c>
    </row>
    <row r="2004" spans="1:5" x14ac:dyDescent="0.35">
      <c r="A2004" s="2">
        <v>43</v>
      </c>
      <c r="B2004" s="2">
        <v>23162</v>
      </c>
      <c r="C2004" s="2">
        <v>50</v>
      </c>
      <c r="D2004" s="2">
        <v>1</v>
      </c>
      <c r="E2004" s="25">
        <f t="shared" si="29"/>
        <v>-97.006193543209065</v>
      </c>
    </row>
    <row r="2005" spans="1:5" x14ac:dyDescent="0.35">
      <c r="A2005" s="2">
        <v>40</v>
      </c>
      <c r="B2005" s="2">
        <v>23228</v>
      </c>
      <c r="C2005" s="2">
        <v>51</v>
      </c>
      <c r="D2005" s="2">
        <v>1</v>
      </c>
      <c r="E2005" s="25">
        <f t="shared" si="29"/>
        <v>-97.496973924606039</v>
      </c>
    </row>
    <row r="2006" spans="1:5" x14ac:dyDescent="0.35">
      <c r="A2006" s="3">
        <v>125</v>
      </c>
      <c r="B2006" s="3">
        <v>22669</v>
      </c>
      <c r="C2006" s="3">
        <v>45</v>
      </c>
      <c r="D2006" s="3">
        <v>1</v>
      </c>
      <c r="E2006" s="25">
        <f t="shared" si="29"/>
        <v>-97.875660843679867</v>
      </c>
    </row>
    <row r="2007" spans="1:5" x14ac:dyDescent="0.35">
      <c r="A2007" s="3">
        <v>34</v>
      </c>
      <c r="B2007" s="3">
        <v>23529</v>
      </c>
      <c r="C2007" s="3">
        <v>55</v>
      </c>
      <c r="D2007" s="3">
        <v>1</v>
      </c>
      <c r="E2007" s="25">
        <f t="shared" si="29"/>
        <v>-98.705711028869587</v>
      </c>
    </row>
    <row r="2008" spans="1:5" x14ac:dyDescent="0.35">
      <c r="A2008" s="3">
        <v>26</v>
      </c>
      <c r="B2008" s="3">
        <v>21840</v>
      </c>
      <c r="C2008" s="3">
        <v>37</v>
      </c>
      <c r="D2008" s="3">
        <v>1</v>
      </c>
      <c r="E2008" s="25">
        <f t="shared" si="29"/>
        <v>-100.08643700381782</v>
      </c>
    </row>
    <row r="2009" spans="1:5" x14ac:dyDescent="0.35">
      <c r="A2009" s="3">
        <v>93</v>
      </c>
      <c r="B2009" s="3">
        <v>22979</v>
      </c>
      <c r="C2009" s="3">
        <v>50</v>
      </c>
      <c r="D2009" s="3">
        <v>1</v>
      </c>
      <c r="E2009" s="25">
        <f t="shared" si="29"/>
        <v>-100.73733811354259</v>
      </c>
    </row>
    <row r="2010" spans="1:5" x14ac:dyDescent="0.35">
      <c r="A2010" s="3">
        <v>59</v>
      </c>
      <c r="B2010" s="3">
        <v>22682</v>
      </c>
      <c r="C2010" s="3">
        <v>47</v>
      </c>
      <c r="D2010" s="3">
        <v>1</v>
      </c>
      <c r="E2010" s="25">
        <f t="shared" si="29"/>
        <v>-101.28348501559771</v>
      </c>
    </row>
    <row r="2011" spans="1:5" x14ac:dyDescent="0.35">
      <c r="A2011" s="2">
        <v>25</v>
      </c>
      <c r="B2011" s="2">
        <v>22804</v>
      </c>
      <c r="C2011" s="2">
        <v>49</v>
      </c>
      <c r="D2011" s="2">
        <v>1</v>
      </c>
      <c r="E2011" s="25">
        <f t="shared" si="29"/>
        <v>-102.46893345983062</v>
      </c>
    </row>
    <row r="2012" spans="1:5" x14ac:dyDescent="0.35">
      <c r="A2012" s="2">
        <v>25</v>
      </c>
      <c r="B2012" s="2">
        <v>22108</v>
      </c>
      <c r="C2012" s="2">
        <v>43</v>
      </c>
      <c r="D2012" s="2">
        <v>1</v>
      </c>
      <c r="E2012" s="25">
        <f t="shared" si="29"/>
        <v>-105.64088161461856</v>
      </c>
    </row>
    <row r="2013" spans="1:5" x14ac:dyDescent="0.35">
      <c r="A2013" s="2">
        <v>11</v>
      </c>
      <c r="B2013" s="2">
        <v>22280</v>
      </c>
      <c r="C2013" s="2">
        <v>45</v>
      </c>
      <c r="D2013" s="2">
        <v>1</v>
      </c>
      <c r="E2013" s="25">
        <f t="shared" si="29"/>
        <v>-105.80689165165651</v>
      </c>
    </row>
    <row r="2014" spans="1:5" x14ac:dyDescent="0.35">
      <c r="A2014" s="2">
        <v>37</v>
      </c>
      <c r="B2014" s="2">
        <v>21355</v>
      </c>
      <c r="C2014" s="2">
        <v>35</v>
      </c>
      <c r="D2014" s="2">
        <v>1</v>
      </c>
      <c r="E2014" s="25">
        <f t="shared" si="29"/>
        <v>-106.30211139582019</v>
      </c>
    </row>
    <row r="2015" spans="1:5" x14ac:dyDescent="0.35">
      <c r="A2015" s="3">
        <v>48</v>
      </c>
      <c r="B2015" s="3">
        <v>22212</v>
      </c>
      <c r="C2015" s="3">
        <v>45</v>
      </c>
      <c r="D2015" s="3">
        <v>1</v>
      </c>
      <c r="E2015" s="25">
        <f t="shared" si="29"/>
        <v>-107.19332788544162</v>
      </c>
    </row>
    <row r="2016" spans="1:5" x14ac:dyDescent="0.35">
      <c r="A2016" s="2">
        <v>44</v>
      </c>
      <c r="B2016" s="2">
        <v>21063</v>
      </c>
      <c r="C2016" s="2">
        <v>33</v>
      </c>
      <c r="D2016" s="2">
        <v>1</v>
      </c>
      <c r="E2016" s="25">
        <f t="shared" si="29"/>
        <v>-108.58275353605012</v>
      </c>
    </row>
    <row r="2017" spans="1:5" x14ac:dyDescent="0.35">
      <c r="A2017" s="2">
        <v>46</v>
      </c>
      <c r="B2017" s="2">
        <v>23091</v>
      </c>
      <c r="C2017" s="2">
        <v>57</v>
      </c>
      <c r="D2017" s="2">
        <v>1</v>
      </c>
      <c r="E2017" s="25">
        <f t="shared" si="29"/>
        <v>-111.30886963368584</v>
      </c>
    </row>
    <row r="2018" spans="1:5" x14ac:dyDescent="0.35">
      <c r="A2018" s="3">
        <v>46</v>
      </c>
      <c r="B2018" s="3">
        <v>21645</v>
      </c>
      <c r="C2018" s="3">
        <v>41</v>
      </c>
      <c r="D2018" s="3">
        <v>1</v>
      </c>
      <c r="E2018" s="25">
        <f t="shared" si="29"/>
        <v>-111.40800310745519</v>
      </c>
    </row>
    <row r="2019" spans="1:5" x14ac:dyDescent="0.35">
      <c r="A2019" s="3">
        <v>35</v>
      </c>
      <c r="B2019" s="3">
        <v>22574</v>
      </c>
      <c r="C2019" s="3">
        <v>53</v>
      </c>
      <c r="D2019" s="3">
        <v>1</v>
      </c>
      <c r="E2019" s="25">
        <f t="shared" si="29"/>
        <v>-114.50410644850444</v>
      </c>
    </row>
    <row r="2020" spans="1:5" x14ac:dyDescent="0.35">
      <c r="A2020" s="2">
        <v>45</v>
      </c>
      <c r="B2020" s="2">
        <v>7500</v>
      </c>
      <c r="C2020" s="2">
        <v>44</v>
      </c>
      <c r="D2020" s="2">
        <v>0</v>
      </c>
      <c r="E2020" s="25">
        <f t="shared" si="29"/>
        <v>-115.70281466657244</v>
      </c>
    </row>
    <row r="2021" spans="1:5" x14ac:dyDescent="0.35">
      <c r="A2021" s="2">
        <v>44</v>
      </c>
      <c r="B2021" s="2">
        <v>22063</v>
      </c>
      <c r="C2021" s="2">
        <v>48</v>
      </c>
      <c r="D2021" s="2">
        <v>1</v>
      </c>
      <c r="E2021" s="25">
        <f t="shared" si="29"/>
        <v>-115.74057157556541</v>
      </c>
    </row>
    <row r="2022" spans="1:5" x14ac:dyDescent="0.35">
      <c r="A2022" s="2">
        <v>41</v>
      </c>
      <c r="B2022" s="2">
        <v>21675</v>
      </c>
      <c r="C2022" s="2">
        <v>44</v>
      </c>
      <c r="D2022" s="2">
        <v>1</v>
      </c>
      <c r="E2022" s="25">
        <f t="shared" si="29"/>
        <v>-116.30565729982104</v>
      </c>
    </row>
    <row r="2023" spans="1:5" x14ac:dyDescent="0.35">
      <c r="A2023" s="3">
        <v>36</v>
      </c>
      <c r="B2023" s="3">
        <v>21059</v>
      </c>
      <c r="C2023" s="3">
        <v>38</v>
      </c>
      <c r="D2023" s="3">
        <v>1</v>
      </c>
      <c r="E2023" s="25">
        <f t="shared" si="29"/>
        <v>-117.8465040030971</v>
      </c>
    </row>
    <row r="2024" spans="1:5" x14ac:dyDescent="0.35">
      <c r="A2024" s="2">
        <v>16</v>
      </c>
      <c r="B2024" s="2">
        <v>20518</v>
      </c>
      <c r="C2024" s="2">
        <v>32</v>
      </c>
      <c r="D2024" s="2">
        <v>1</v>
      </c>
      <c r="E2024" s="25">
        <f t="shared" si="29"/>
        <v>-117.85819309558076</v>
      </c>
    </row>
    <row r="2025" spans="1:5" x14ac:dyDescent="0.35">
      <c r="A2025" s="2">
        <v>46</v>
      </c>
      <c r="B2025" s="2">
        <v>22070</v>
      </c>
      <c r="C2025" s="2">
        <v>50</v>
      </c>
      <c r="D2025" s="2">
        <v>1</v>
      </c>
      <c r="E2025" s="25">
        <f t="shared" si="29"/>
        <v>-119.27072835634664</v>
      </c>
    </row>
    <row r="2026" spans="1:5" x14ac:dyDescent="0.35">
      <c r="A2026" s="2">
        <v>26</v>
      </c>
      <c r="B2026" s="2">
        <v>21282</v>
      </c>
      <c r="C2026" s="2">
        <v>42</v>
      </c>
      <c r="D2026" s="2">
        <v>1</v>
      </c>
      <c r="E2026" s="25">
        <f t="shared" si="29"/>
        <v>-120.64556502258475</v>
      </c>
    </row>
    <row r="2027" spans="1:5" x14ac:dyDescent="0.35">
      <c r="A2027" s="2">
        <v>46</v>
      </c>
      <c r="B2027" s="2">
        <v>20559</v>
      </c>
      <c r="C2027" s="2">
        <v>35</v>
      </c>
      <c r="D2027" s="2">
        <v>1</v>
      </c>
      <c r="E2027" s="25">
        <f t="shared" si="29"/>
        <v>-122.53157083836373</v>
      </c>
    </row>
    <row r="2028" spans="1:5" x14ac:dyDescent="0.35">
      <c r="A2028" s="2">
        <v>40</v>
      </c>
      <c r="B2028" s="2">
        <v>20425</v>
      </c>
      <c r="C2028" s="2">
        <v>34</v>
      </c>
      <c r="D2028" s="2">
        <v>1</v>
      </c>
      <c r="E2028" s="25">
        <f t="shared" si="29"/>
        <v>-123.42722669075187</v>
      </c>
    </row>
    <row r="2029" spans="1:5" x14ac:dyDescent="0.35">
      <c r="A2029" s="2">
        <v>111</v>
      </c>
      <c r="B2029" s="2">
        <v>6560</v>
      </c>
      <c r="C2029" s="2">
        <v>38</v>
      </c>
      <c r="D2029" s="2">
        <v>0</v>
      </c>
      <c r="E2029" s="25">
        <f t="shared" si="29"/>
        <v>-123.84962224847173</v>
      </c>
    </row>
    <row r="2030" spans="1:5" x14ac:dyDescent="0.35">
      <c r="A2030" s="2">
        <v>30</v>
      </c>
      <c r="B2030" s="2">
        <v>21918</v>
      </c>
      <c r="C2030" s="2">
        <v>51</v>
      </c>
      <c r="D2030" s="2">
        <v>1</v>
      </c>
      <c r="E2030" s="25">
        <f t="shared" ref="E2030:E2093" si="30">$B$101+$B2030*$B$102+$C2030*$B$103+$D2030*$B$104</f>
        <v>-124.20626019311356</v>
      </c>
    </row>
    <row r="2031" spans="1:5" x14ac:dyDescent="0.35">
      <c r="A2031" s="3">
        <v>58</v>
      </c>
      <c r="B2031" s="3">
        <v>21255</v>
      </c>
      <c r="C2031" s="3">
        <v>46</v>
      </c>
      <c r="D2031" s="3">
        <v>1</v>
      </c>
      <c r="E2031" s="25">
        <f t="shared" si="30"/>
        <v>-128.5418180780471</v>
      </c>
    </row>
    <row r="2032" spans="1:5" x14ac:dyDescent="0.35">
      <c r="A2032" s="3">
        <v>38</v>
      </c>
      <c r="B2032" s="3">
        <v>21359</v>
      </c>
      <c r="C2032" s="3">
        <v>48</v>
      </c>
      <c r="D2032" s="3">
        <v>1</v>
      </c>
      <c r="E2032" s="25">
        <f t="shared" si="30"/>
        <v>-130.09426434887024</v>
      </c>
    </row>
    <row r="2033" spans="1:5" x14ac:dyDescent="0.35">
      <c r="A2033" s="2">
        <v>16</v>
      </c>
      <c r="B2033" s="2">
        <v>19986</v>
      </c>
      <c r="C2033" s="2">
        <v>35</v>
      </c>
      <c r="D2033" s="2">
        <v>1</v>
      </c>
      <c r="E2033" s="25">
        <f t="shared" si="30"/>
        <v>-134.21433498481775</v>
      </c>
    </row>
    <row r="2034" spans="1:5" x14ac:dyDescent="0.35">
      <c r="A2034" s="3">
        <v>37</v>
      </c>
      <c r="B2034" s="3">
        <v>22554</v>
      </c>
      <c r="C2034" s="3">
        <v>65</v>
      </c>
      <c r="D2034" s="3">
        <v>1</v>
      </c>
      <c r="E2034" s="25">
        <f t="shared" si="30"/>
        <v>-136.94915075811372</v>
      </c>
    </row>
    <row r="2035" spans="1:5" x14ac:dyDescent="0.35">
      <c r="A2035" s="3">
        <v>41</v>
      </c>
      <c r="B2035" s="3">
        <v>20895</v>
      </c>
      <c r="C2035" s="3">
        <v>47</v>
      </c>
      <c r="D2035" s="3">
        <v>1</v>
      </c>
      <c r="E2035" s="25">
        <f t="shared" si="30"/>
        <v>-137.71821368874504</v>
      </c>
    </row>
    <row r="2036" spans="1:5" x14ac:dyDescent="0.35">
      <c r="A2036" s="3">
        <v>32</v>
      </c>
      <c r="B2036" s="3">
        <v>20194</v>
      </c>
      <c r="C2036" s="3">
        <v>41</v>
      </c>
      <c r="D2036" s="3">
        <v>1</v>
      </c>
      <c r="E2036" s="25">
        <f t="shared" si="30"/>
        <v>-140.99210568425249</v>
      </c>
    </row>
    <row r="2037" spans="1:5" x14ac:dyDescent="0.35">
      <c r="A2037" s="3">
        <v>10</v>
      </c>
      <c r="B2037" s="3">
        <v>19485</v>
      </c>
      <c r="C2037" s="3">
        <v>34</v>
      </c>
      <c r="D2037" s="3">
        <v>1</v>
      </c>
      <c r="E2037" s="25">
        <f t="shared" si="30"/>
        <v>-142.59266874601684</v>
      </c>
    </row>
    <row r="2038" spans="1:5" x14ac:dyDescent="0.35">
      <c r="A2038" s="3">
        <v>23</v>
      </c>
      <c r="B2038" s="3">
        <v>19510</v>
      </c>
      <c r="C2038" s="3">
        <v>35</v>
      </c>
      <c r="D2038" s="3">
        <v>1</v>
      </c>
      <c r="E2038" s="25">
        <f t="shared" si="30"/>
        <v>-143.91938862131366</v>
      </c>
    </row>
    <row r="2039" spans="1:5" x14ac:dyDescent="0.35">
      <c r="A2039" s="3">
        <v>19</v>
      </c>
      <c r="B2039" s="3">
        <v>21994</v>
      </c>
      <c r="C2039" s="3">
        <v>63</v>
      </c>
      <c r="D2039" s="3">
        <v>1</v>
      </c>
      <c r="E2039" s="25">
        <f t="shared" si="30"/>
        <v>-144.69398276090851</v>
      </c>
    </row>
    <row r="2040" spans="1:5" x14ac:dyDescent="0.35">
      <c r="A2040" s="3">
        <v>44</v>
      </c>
      <c r="B2040" s="3">
        <v>18746</v>
      </c>
      <c r="C2040" s="3">
        <v>28</v>
      </c>
      <c r="D2040" s="3">
        <v>1</v>
      </c>
      <c r="E2040" s="25">
        <f t="shared" si="30"/>
        <v>-146.64133393099246</v>
      </c>
    </row>
    <row r="2041" spans="1:5" x14ac:dyDescent="0.35">
      <c r="A2041" s="2">
        <v>9</v>
      </c>
      <c r="B2041" s="2">
        <v>20427</v>
      </c>
      <c r="C2041" s="2">
        <v>47</v>
      </c>
      <c r="D2041" s="2">
        <v>1</v>
      </c>
      <c r="E2041" s="25">
        <f t="shared" si="30"/>
        <v>-147.26015718008972</v>
      </c>
    </row>
    <row r="2042" spans="1:5" x14ac:dyDescent="0.35">
      <c r="A2042" s="3">
        <v>16</v>
      </c>
      <c r="B2042" s="3">
        <v>20587</v>
      </c>
      <c r="C2042" s="3">
        <v>50</v>
      </c>
      <c r="D2042" s="3">
        <v>1</v>
      </c>
      <c r="E2042" s="25">
        <f t="shared" si="30"/>
        <v>-149.50727151374872</v>
      </c>
    </row>
    <row r="2043" spans="1:5" x14ac:dyDescent="0.35">
      <c r="A2043" s="3">
        <v>19</v>
      </c>
      <c r="B2043" s="3">
        <v>22263</v>
      </c>
      <c r="C2043" s="3">
        <v>69</v>
      </c>
      <c r="D2043" s="3">
        <v>1</v>
      </c>
      <c r="E2043" s="25">
        <f t="shared" si="30"/>
        <v>-150.22803860356541</v>
      </c>
    </row>
    <row r="2044" spans="1:5" x14ac:dyDescent="0.35">
      <c r="A2044" s="2">
        <v>44</v>
      </c>
      <c r="B2044" s="2">
        <v>19444</v>
      </c>
      <c r="C2044" s="2">
        <v>38</v>
      </c>
      <c r="D2044" s="2">
        <v>1</v>
      </c>
      <c r="E2044" s="25">
        <f t="shared" si="30"/>
        <v>-150.77436455549378</v>
      </c>
    </row>
    <row r="2045" spans="1:5" x14ac:dyDescent="0.35">
      <c r="A2045" s="2">
        <v>63</v>
      </c>
      <c r="B2045" s="2">
        <v>19419</v>
      </c>
      <c r="C2045" s="2">
        <v>39</v>
      </c>
      <c r="D2045" s="2">
        <v>1</v>
      </c>
      <c r="E2045" s="25">
        <f t="shared" si="30"/>
        <v>-153.1205228379855</v>
      </c>
    </row>
    <row r="2046" spans="1:5" x14ac:dyDescent="0.35">
      <c r="A2046" s="2">
        <v>25</v>
      </c>
      <c r="B2046" s="2">
        <v>19414</v>
      </c>
      <c r="C2046" s="2">
        <v>39</v>
      </c>
      <c r="D2046" s="2">
        <v>1</v>
      </c>
      <c r="E2046" s="25">
        <f t="shared" si="30"/>
        <v>-153.22246667870502</v>
      </c>
    </row>
    <row r="2047" spans="1:5" x14ac:dyDescent="0.35">
      <c r="A2047" s="3">
        <v>15</v>
      </c>
      <c r="B2047" s="3">
        <v>18988</v>
      </c>
      <c r="C2047" s="3">
        <v>36</v>
      </c>
      <c r="D2047" s="3">
        <v>1</v>
      </c>
      <c r="E2047" s="25">
        <f t="shared" si="30"/>
        <v>-156.39876467132314</v>
      </c>
    </row>
    <row r="2048" spans="1:5" x14ac:dyDescent="0.35">
      <c r="A2048" s="3">
        <v>50</v>
      </c>
      <c r="B2048" s="3">
        <v>19789</v>
      </c>
      <c r="C2048" s="3">
        <v>45</v>
      </c>
      <c r="D2048" s="3">
        <v>1</v>
      </c>
      <c r="E2048" s="25">
        <f t="shared" si="30"/>
        <v>-156.59531309810862</v>
      </c>
    </row>
    <row r="2049" spans="1:5" x14ac:dyDescent="0.35">
      <c r="A2049" s="2">
        <v>53</v>
      </c>
      <c r="B2049" s="2">
        <v>18358</v>
      </c>
      <c r="C2049" s="2">
        <v>31</v>
      </c>
      <c r="D2049" s="2">
        <v>1</v>
      </c>
      <c r="E2049" s="25">
        <f t="shared" si="30"/>
        <v>-160.06149320750808</v>
      </c>
    </row>
    <row r="2050" spans="1:5" x14ac:dyDescent="0.35">
      <c r="A2050" s="3">
        <v>30</v>
      </c>
      <c r="B2050" s="3">
        <v>19107</v>
      </c>
      <c r="C2050" s="3">
        <v>40</v>
      </c>
      <c r="D2050" s="3">
        <v>1</v>
      </c>
      <c r="E2050" s="25">
        <f t="shared" si="30"/>
        <v>-161.31825757777628</v>
      </c>
    </row>
    <row r="2051" spans="1:5" x14ac:dyDescent="0.35">
      <c r="A2051" s="2">
        <v>17</v>
      </c>
      <c r="B2051" s="2">
        <v>18227</v>
      </c>
      <c r="C2051" s="2">
        <v>33</v>
      </c>
      <c r="D2051" s="2">
        <v>1</v>
      </c>
      <c r="E2051" s="25">
        <f t="shared" si="30"/>
        <v>-166.40529999214738</v>
      </c>
    </row>
    <row r="2052" spans="1:5" x14ac:dyDescent="0.35">
      <c r="A2052" s="3">
        <v>20</v>
      </c>
      <c r="B2052" s="3">
        <v>19346</v>
      </c>
      <c r="C2052" s="3">
        <v>46</v>
      </c>
      <c r="D2052" s="3">
        <v>1</v>
      </c>
      <c r="E2052" s="25">
        <f t="shared" si="30"/>
        <v>-167.46397646475006</v>
      </c>
    </row>
    <row r="2053" spans="1:5" x14ac:dyDescent="0.35">
      <c r="A2053" s="2">
        <v>52</v>
      </c>
      <c r="B2053" s="2">
        <v>19656</v>
      </c>
      <c r="C2053" s="2">
        <v>50</v>
      </c>
      <c r="D2053" s="2">
        <v>1</v>
      </c>
      <c r="E2053" s="25">
        <f t="shared" si="30"/>
        <v>-168.48921465571857</v>
      </c>
    </row>
    <row r="2054" spans="1:5" x14ac:dyDescent="0.35">
      <c r="A2054" s="2">
        <v>9</v>
      </c>
      <c r="B2054" s="2">
        <v>18492</v>
      </c>
      <c r="C2054" s="2">
        <v>38</v>
      </c>
      <c r="D2054" s="2">
        <v>1</v>
      </c>
      <c r="E2054" s="25">
        <f t="shared" si="30"/>
        <v>-170.18447182848553</v>
      </c>
    </row>
    <row r="2055" spans="1:5" x14ac:dyDescent="0.35">
      <c r="A2055" s="3">
        <v>14</v>
      </c>
      <c r="B2055" s="3">
        <v>18169</v>
      </c>
      <c r="C2055" s="3">
        <v>35</v>
      </c>
      <c r="D2055" s="3">
        <v>1</v>
      </c>
      <c r="E2055" s="25">
        <f t="shared" si="30"/>
        <v>-171.26072670228206</v>
      </c>
    </row>
    <row r="2056" spans="1:5" x14ac:dyDescent="0.35">
      <c r="A2056" s="3">
        <v>41</v>
      </c>
      <c r="B2056" s="3">
        <v>19514</v>
      </c>
      <c r="C2056" s="3">
        <v>52</v>
      </c>
      <c r="D2056" s="3">
        <v>1</v>
      </c>
      <c r="E2056" s="25">
        <f t="shared" si="30"/>
        <v>-175.05729788994074</v>
      </c>
    </row>
    <row r="2057" spans="1:5" x14ac:dyDescent="0.35">
      <c r="A2057" s="2">
        <v>41</v>
      </c>
      <c r="B2057" s="2">
        <v>19514</v>
      </c>
      <c r="C2057" s="2">
        <v>52</v>
      </c>
      <c r="D2057" s="2">
        <v>1</v>
      </c>
      <c r="E2057" s="25">
        <f t="shared" si="30"/>
        <v>-175.05729788994074</v>
      </c>
    </row>
    <row r="2058" spans="1:5" x14ac:dyDescent="0.35">
      <c r="A2058" s="3">
        <v>22</v>
      </c>
      <c r="B2058" s="3">
        <v>18978</v>
      </c>
      <c r="C2058" s="3">
        <v>47</v>
      </c>
      <c r="D2058" s="3">
        <v>1</v>
      </c>
      <c r="E2058" s="25">
        <f t="shared" si="30"/>
        <v>-176.80348222059916</v>
      </c>
    </row>
    <row r="2059" spans="1:5" x14ac:dyDescent="0.35">
      <c r="A2059" s="2">
        <v>40</v>
      </c>
      <c r="B2059" s="2">
        <v>17256</v>
      </c>
      <c r="C2059" s="2">
        <v>28</v>
      </c>
      <c r="D2059" s="2">
        <v>1</v>
      </c>
      <c r="E2059" s="25">
        <f t="shared" si="30"/>
        <v>-177.0205984654018</v>
      </c>
    </row>
    <row r="2060" spans="1:5" x14ac:dyDescent="0.35">
      <c r="A2060" s="2">
        <v>12</v>
      </c>
      <c r="B2060" s="2">
        <v>17487</v>
      </c>
      <c r="C2060" s="2">
        <v>31</v>
      </c>
      <c r="D2060" s="2">
        <v>1</v>
      </c>
      <c r="E2060" s="25">
        <f t="shared" si="30"/>
        <v>-177.82011026084399</v>
      </c>
    </row>
    <row r="2061" spans="1:5" x14ac:dyDescent="0.35">
      <c r="A2061" s="2">
        <v>55</v>
      </c>
      <c r="B2061" s="2">
        <v>19329</v>
      </c>
      <c r="C2061" s="2">
        <v>52</v>
      </c>
      <c r="D2061" s="2">
        <v>1</v>
      </c>
      <c r="E2061" s="25">
        <f t="shared" si="30"/>
        <v>-178.82921999656202</v>
      </c>
    </row>
    <row r="2062" spans="1:5" x14ac:dyDescent="0.35">
      <c r="A2062" s="3">
        <v>57</v>
      </c>
      <c r="B2062" s="3">
        <v>18793</v>
      </c>
      <c r="C2062" s="3">
        <v>49</v>
      </c>
      <c r="D2062" s="3">
        <v>1</v>
      </c>
      <c r="E2062" s="25">
        <f t="shared" si="30"/>
        <v>-184.24828248500899</v>
      </c>
    </row>
    <row r="2063" spans="1:5" x14ac:dyDescent="0.35">
      <c r="A2063" s="2">
        <v>35</v>
      </c>
      <c r="B2063" s="2">
        <v>19740</v>
      </c>
      <c r="C2063" s="2">
        <v>60</v>
      </c>
      <c r="D2063" s="2">
        <v>1</v>
      </c>
      <c r="E2063" s="25">
        <f t="shared" si="30"/>
        <v>-185.14094892057375</v>
      </c>
    </row>
    <row r="2064" spans="1:5" x14ac:dyDescent="0.35">
      <c r="A2064" s="2">
        <v>46</v>
      </c>
      <c r="B2064" s="2">
        <v>18393</v>
      </c>
      <c r="C2064" s="2">
        <v>46</v>
      </c>
      <c r="D2064" s="2">
        <v>1</v>
      </c>
      <c r="E2064" s="25">
        <f t="shared" si="30"/>
        <v>-186.89447250588572</v>
      </c>
    </row>
    <row r="2065" spans="1:5" x14ac:dyDescent="0.35">
      <c r="A2065" s="3">
        <v>5</v>
      </c>
      <c r="B2065" s="3">
        <v>4861</v>
      </c>
      <c r="C2065" s="3">
        <v>55</v>
      </c>
      <c r="D2065" s="3">
        <v>0</v>
      </c>
      <c r="E2065" s="25">
        <f t="shared" si="30"/>
        <v>-189.70960366615861</v>
      </c>
    </row>
    <row r="2066" spans="1:5" x14ac:dyDescent="0.35">
      <c r="A2066" s="3">
        <v>9</v>
      </c>
      <c r="B2066" s="3">
        <v>17688</v>
      </c>
      <c r="C2066" s="3">
        <v>41</v>
      </c>
      <c r="D2066" s="3">
        <v>1</v>
      </c>
      <c r="E2066" s="25">
        <f t="shared" si="30"/>
        <v>-192.08635865286308</v>
      </c>
    </row>
    <row r="2067" spans="1:5" x14ac:dyDescent="0.35">
      <c r="A2067" s="3">
        <v>44</v>
      </c>
      <c r="B2067" s="3">
        <v>17649</v>
      </c>
      <c r="C2067" s="3">
        <v>44</v>
      </c>
      <c r="D2067" s="3">
        <v>1</v>
      </c>
      <c r="E2067" s="25">
        <f t="shared" si="30"/>
        <v>-198.39083784715794</v>
      </c>
    </row>
    <row r="2068" spans="1:5" x14ac:dyDescent="0.35">
      <c r="A2068" s="2">
        <v>34</v>
      </c>
      <c r="B2068" s="2">
        <v>18701</v>
      </c>
      <c r="C2068" s="2">
        <v>56</v>
      </c>
      <c r="D2068" s="2">
        <v>1</v>
      </c>
      <c r="E2068" s="25">
        <f t="shared" si="30"/>
        <v>-198.97912270650761</v>
      </c>
    </row>
    <row r="2069" spans="1:5" x14ac:dyDescent="0.35">
      <c r="A2069" s="3">
        <v>46</v>
      </c>
      <c r="B2069" s="3">
        <v>17345</v>
      </c>
      <c r="C2069" s="3">
        <v>42</v>
      </c>
      <c r="D2069" s="3">
        <v>1</v>
      </c>
      <c r="E2069" s="25">
        <f t="shared" si="30"/>
        <v>-200.91614520511465</v>
      </c>
    </row>
    <row r="2070" spans="1:5" x14ac:dyDescent="0.35">
      <c r="A2070" s="2">
        <v>61</v>
      </c>
      <c r="B2070" s="2">
        <v>16185</v>
      </c>
      <c r="C2070" s="2">
        <v>30</v>
      </c>
      <c r="D2070" s="2">
        <v>1</v>
      </c>
      <c r="E2070" s="25">
        <f t="shared" si="30"/>
        <v>-202.52984730530602</v>
      </c>
    </row>
    <row r="2071" spans="1:5" x14ac:dyDescent="0.35">
      <c r="A2071" s="3">
        <v>39</v>
      </c>
      <c r="B2071" s="3">
        <v>17459</v>
      </c>
      <c r="C2071" s="3">
        <v>45</v>
      </c>
      <c r="D2071" s="3">
        <v>1</v>
      </c>
      <c r="E2071" s="25">
        <f t="shared" si="30"/>
        <v>-204.101142873393</v>
      </c>
    </row>
    <row r="2072" spans="1:5" x14ac:dyDescent="0.35">
      <c r="A2072" s="3">
        <v>48</v>
      </c>
      <c r="B2072" s="3">
        <v>16248</v>
      </c>
      <c r="C2072" s="3">
        <v>32</v>
      </c>
      <c r="D2072" s="3">
        <v>1</v>
      </c>
      <c r="E2072" s="25">
        <f t="shared" si="30"/>
        <v>-204.91823307002898</v>
      </c>
    </row>
    <row r="2073" spans="1:5" x14ac:dyDescent="0.35">
      <c r="A2073" s="2">
        <v>121</v>
      </c>
      <c r="B2073" s="2">
        <v>17117</v>
      </c>
      <c r="C2073" s="2">
        <v>42</v>
      </c>
      <c r="D2073" s="2">
        <v>1</v>
      </c>
      <c r="E2073" s="25">
        <f t="shared" si="30"/>
        <v>-205.56478434192357</v>
      </c>
    </row>
    <row r="2074" spans="1:5" x14ac:dyDescent="0.35">
      <c r="A2074" s="2">
        <v>21</v>
      </c>
      <c r="B2074" s="2">
        <v>16529</v>
      </c>
      <c r="C2074" s="2">
        <v>36</v>
      </c>
      <c r="D2074" s="2">
        <v>1</v>
      </c>
      <c r="E2074" s="25">
        <f t="shared" si="30"/>
        <v>-206.53474553717047</v>
      </c>
    </row>
    <row r="2075" spans="1:5" x14ac:dyDescent="0.35">
      <c r="A2075" s="3">
        <v>52</v>
      </c>
      <c r="B2075" s="3">
        <v>17148</v>
      </c>
      <c r="C2075" s="3">
        <v>44</v>
      </c>
      <c r="D2075" s="3">
        <v>1</v>
      </c>
      <c r="E2075" s="25">
        <f t="shared" si="30"/>
        <v>-208.60561068725124</v>
      </c>
    </row>
    <row r="2076" spans="1:5" x14ac:dyDescent="0.35">
      <c r="A2076" s="3">
        <v>44</v>
      </c>
      <c r="B2076" s="3">
        <v>16269</v>
      </c>
      <c r="C2076" s="3">
        <v>36</v>
      </c>
      <c r="D2076" s="3">
        <v>1</v>
      </c>
      <c r="E2076" s="25">
        <f t="shared" si="30"/>
        <v>-211.83582525458417</v>
      </c>
    </row>
    <row r="2077" spans="1:5" x14ac:dyDescent="0.35">
      <c r="A2077" s="2">
        <v>49</v>
      </c>
      <c r="B2077" s="2">
        <v>16927</v>
      </c>
      <c r="C2077" s="2">
        <v>44</v>
      </c>
      <c r="D2077" s="2">
        <v>1</v>
      </c>
      <c r="E2077" s="25">
        <f t="shared" si="30"/>
        <v>-213.1115284470529</v>
      </c>
    </row>
    <row r="2078" spans="1:5" x14ac:dyDescent="0.35">
      <c r="A2078" s="3">
        <v>62</v>
      </c>
      <c r="B2078" s="3">
        <v>16653</v>
      </c>
      <c r="C2078" s="3">
        <v>41</v>
      </c>
      <c r="D2078" s="3">
        <v>1</v>
      </c>
      <c r="E2078" s="25">
        <f t="shared" si="30"/>
        <v>-213.18873368179837</v>
      </c>
    </row>
    <row r="2079" spans="1:5" x14ac:dyDescent="0.35">
      <c r="A2079" s="2">
        <v>31</v>
      </c>
      <c r="B2079" s="2">
        <v>17003</v>
      </c>
      <c r="C2079" s="2">
        <v>45</v>
      </c>
      <c r="D2079" s="2">
        <v>1</v>
      </c>
      <c r="E2079" s="25">
        <f t="shared" si="30"/>
        <v>-213.39842114701091</v>
      </c>
    </row>
    <row r="2080" spans="1:5" x14ac:dyDescent="0.35">
      <c r="A2080" s="3">
        <v>66</v>
      </c>
      <c r="B2080" s="3">
        <v>15716</v>
      </c>
      <c r="C2080" s="3">
        <v>32</v>
      </c>
      <c r="D2080" s="3">
        <v>1</v>
      </c>
      <c r="E2080" s="25">
        <f t="shared" si="30"/>
        <v>-215.76505772258315</v>
      </c>
    </row>
    <row r="2081" spans="1:5" x14ac:dyDescent="0.35">
      <c r="A2081" s="2">
        <v>33</v>
      </c>
      <c r="B2081" s="2">
        <v>16531</v>
      </c>
      <c r="C2081" s="2">
        <v>42</v>
      </c>
      <c r="D2081" s="2">
        <v>1</v>
      </c>
      <c r="E2081" s="25">
        <f t="shared" si="30"/>
        <v>-217.51260247424833</v>
      </c>
    </row>
    <row r="2082" spans="1:5" x14ac:dyDescent="0.35">
      <c r="A2082" s="3">
        <v>16</v>
      </c>
      <c r="B2082" s="3">
        <v>15253</v>
      </c>
      <c r="C2082" s="3">
        <v>28</v>
      </c>
      <c r="D2082" s="3">
        <v>1</v>
      </c>
      <c r="E2082" s="25">
        <f t="shared" si="30"/>
        <v>-217.85930105763123</v>
      </c>
    </row>
    <row r="2083" spans="1:5" x14ac:dyDescent="0.35">
      <c r="A2083" s="2">
        <v>56</v>
      </c>
      <c r="B2083" s="2">
        <v>16005</v>
      </c>
      <c r="C2083" s="2">
        <v>40</v>
      </c>
      <c r="D2083" s="2">
        <v>1</v>
      </c>
      <c r="E2083" s="25">
        <f t="shared" si="30"/>
        <v>-224.5642163601506</v>
      </c>
    </row>
    <row r="2084" spans="1:5" x14ac:dyDescent="0.35">
      <c r="A2084" s="3">
        <v>31</v>
      </c>
      <c r="B2084" s="3">
        <v>16014</v>
      </c>
      <c r="C2084" s="3">
        <v>41</v>
      </c>
      <c r="D2084" s="3">
        <v>1</v>
      </c>
      <c r="E2084" s="25">
        <f t="shared" si="30"/>
        <v>-226.2171565257498</v>
      </c>
    </row>
    <row r="2085" spans="1:5" x14ac:dyDescent="0.35">
      <c r="A2085" s="3">
        <v>55</v>
      </c>
      <c r="B2085" s="3">
        <v>16626</v>
      </c>
      <c r="C2085" s="3">
        <v>49</v>
      </c>
      <c r="D2085" s="3">
        <v>1</v>
      </c>
      <c r="E2085" s="25">
        <f t="shared" si="30"/>
        <v>-228.4307430528379</v>
      </c>
    </row>
    <row r="2086" spans="1:5" x14ac:dyDescent="0.35">
      <c r="A2086" s="2">
        <v>26</v>
      </c>
      <c r="B2086" s="2">
        <v>15862</v>
      </c>
      <c r="C2086" s="2">
        <v>41</v>
      </c>
      <c r="D2086" s="2">
        <v>1</v>
      </c>
      <c r="E2086" s="25">
        <f t="shared" si="30"/>
        <v>-229.3162492836224</v>
      </c>
    </row>
    <row r="2087" spans="1:5" x14ac:dyDescent="0.35">
      <c r="A2087" s="3">
        <v>28</v>
      </c>
      <c r="B2087" s="3">
        <v>15345</v>
      </c>
      <c r="C2087" s="3">
        <v>36</v>
      </c>
      <c r="D2087" s="3">
        <v>1</v>
      </c>
      <c r="E2087" s="25">
        <f t="shared" si="30"/>
        <v>-230.67504701954675</v>
      </c>
    </row>
    <row r="2088" spans="1:5" x14ac:dyDescent="0.35">
      <c r="A2088" s="3">
        <v>54</v>
      </c>
      <c r="B2088" s="3">
        <v>15038</v>
      </c>
      <c r="C2088" s="3">
        <v>33</v>
      </c>
      <c r="D2088" s="3">
        <v>1</v>
      </c>
      <c r="E2088" s="25">
        <f t="shared" si="30"/>
        <v>-231.42508160304089</v>
      </c>
    </row>
    <row r="2089" spans="1:5" x14ac:dyDescent="0.35">
      <c r="A2089" s="3">
        <v>41</v>
      </c>
      <c r="B2089" s="3">
        <v>17144</v>
      </c>
      <c r="C2089" s="3">
        <v>60</v>
      </c>
      <c r="D2089" s="3">
        <v>1</v>
      </c>
      <c r="E2089" s="25">
        <f t="shared" si="30"/>
        <v>-238.07019102213525</v>
      </c>
    </row>
    <row r="2090" spans="1:5" x14ac:dyDescent="0.35">
      <c r="A2090" s="2">
        <v>18</v>
      </c>
      <c r="B2090" s="2">
        <v>15287</v>
      </c>
      <c r="C2090" s="2">
        <v>41</v>
      </c>
      <c r="D2090" s="2">
        <v>1</v>
      </c>
      <c r="E2090" s="25">
        <f t="shared" si="30"/>
        <v>-241.03979096636428</v>
      </c>
    </row>
    <row r="2091" spans="1:5" x14ac:dyDescent="0.35">
      <c r="A2091" s="2">
        <v>35</v>
      </c>
      <c r="B2091" s="2">
        <v>14796</v>
      </c>
      <c r="C2091" s="2">
        <v>36</v>
      </c>
      <c r="D2091" s="2">
        <v>1</v>
      </c>
      <c r="E2091" s="25">
        <f t="shared" si="30"/>
        <v>-241.86848073054722</v>
      </c>
    </row>
    <row r="2092" spans="1:5" x14ac:dyDescent="0.35">
      <c r="A2092" s="2">
        <v>24</v>
      </c>
      <c r="B2092" s="2">
        <v>16860</v>
      </c>
      <c r="C2092" s="2">
        <v>59</v>
      </c>
      <c r="D2092" s="2">
        <v>1</v>
      </c>
      <c r="E2092" s="25">
        <f t="shared" si="30"/>
        <v>-242.02416209610828</v>
      </c>
    </row>
    <row r="2093" spans="1:5" x14ac:dyDescent="0.35">
      <c r="A2093" s="3">
        <v>7</v>
      </c>
      <c r="B2093" s="3">
        <v>1730</v>
      </c>
      <c r="C2093" s="3">
        <v>49</v>
      </c>
      <c r="D2093" s="3">
        <v>0</v>
      </c>
      <c r="E2093" s="25">
        <f t="shared" si="30"/>
        <v>-242.52820225134036</v>
      </c>
    </row>
    <row r="2094" spans="1:5" x14ac:dyDescent="0.35">
      <c r="A2094" s="2">
        <v>35</v>
      </c>
      <c r="B2094" s="2">
        <v>15072</v>
      </c>
      <c r="C2094" s="2">
        <v>40</v>
      </c>
      <c r="D2094" s="2">
        <v>1</v>
      </c>
      <c r="E2094" s="25">
        <f t="shared" ref="E2094:E2130" si="31">$B$101+$B2094*$B$102+$C2094*$B$103+$D2094*$B$104</f>
        <v>-243.58693703840825</v>
      </c>
    </row>
    <row r="2095" spans="1:5" x14ac:dyDescent="0.35">
      <c r="A2095" s="2">
        <v>61</v>
      </c>
      <c r="B2095" s="2">
        <v>14515</v>
      </c>
      <c r="C2095" s="2">
        <v>40</v>
      </c>
      <c r="D2095" s="2">
        <v>1</v>
      </c>
      <c r="E2095" s="25">
        <f t="shared" si="31"/>
        <v>-254.94348089455994</v>
      </c>
    </row>
    <row r="2096" spans="1:5" x14ac:dyDescent="0.35">
      <c r="A2096" s="3">
        <v>56</v>
      </c>
      <c r="B2096" s="3">
        <v>14849</v>
      </c>
      <c r="C2096" s="3">
        <v>44</v>
      </c>
      <c r="D2096" s="3">
        <v>1</v>
      </c>
      <c r="E2096" s="25">
        <f t="shared" si="31"/>
        <v>-255.47938865007481</v>
      </c>
    </row>
    <row r="2097" spans="1:5" x14ac:dyDescent="0.35">
      <c r="A2097" s="2">
        <v>31</v>
      </c>
      <c r="B2097" s="2">
        <v>13724</v>
      </c>
      <c r="C2097" s="2">
        <v>32</v>
      </c>
      <c r="D2097" s="2">
        <v>1</v>
      </c>
      <c r="E2097" s="25">
        <f t="shared" si="31"/>
        <v>-256.3794838652297</v>
      </c>
    </row>
    <row r="2098" spans="1:5" x14ac:dyDescent="0.35">
      <c r="A2098" s="2">
        <v>31</v>
      </c>
      <c r="B2098" s="2">
        <v>13533</v>
      </c>
      <c r="C2098" s="2">
        <v>41</v>
      </c>
      <c r="D2098" s="2">
        <v>1</v>
      </c>
      <c r="E2098" s="25">
        <f t="shared" si="31"/>
        <v>-276.80169029076285</v>
      </c>
    </row>
    <row r="2099" spans="1:5" x14ac:dyDescent="0.35">
      <c r="A2099" s="3">
        <v>28</v>
      </c>
      <c r="B2099" s="3">
        <v>14918</v>
      </c>
      <c r="C2099" s="3">
        <v>57</v>
      </c>
      <c r="D2099" s="3">
        <v>1</v>
      </c>
      <c r="E2099" s="25">
        <f t="shared" si="31"/>
        <v>-277.94627167377132</v>
      </c>
    </row>
    <row r="2100" spans="1:5" x14ac:dyDescent="0.35">
      <c r="A2100" s="2">
        <v>30</v>
      </c>
      <c r="B2100" s="2">
        <v>13624</v>
      </c>
      <c r="C2100" s="2">
        <v>44</v>
      </c>
      <c r="D2100" s="2">
        <v>1</v>
      </c>
      <c r="E2100" s="25">
        <f t="shared" si="31"/>
        <v>-280.45562962635086</v>
      </c>
    </row>
    <row r="2101" spans="1:5" x14ac:dyDescent="0.35">
      <c r="A2101" s="2">
        <v>48</v>
      </c>
      <c r="B2101" s="2">
        <v>15056</v>
      </c>
      <c r="C2101" s="2">
        <v>62</v>
      </c>
      <c r="D2101" s="2">
        <v>1</v>
      </c>
      <c r="E2101" s="25">
        <f t="shared" si="31"/>
        <v>-284.31481706438467</v>
      </c>
    </row>
    <row r="2102" spans="1:5" x14ac:dyDescent="0.35">
      <c r="A2102" s="3">
        <v>19</v>
      </c>
      <c r="B2102" s="3">
        <v>14045</v>
      </c>
      <c r="C2102" s="3">
        <v>51</v>
      </c>
      <c r="D2102" s="3">
        <v>1</v>
      </c>
      <c r="E2102" s="25">
        <f t="shared" si="31"/>
        <v>-284.7270317900294</v>
      </c>
    </row>
    <row r="2103" spans="1:5" x14ac:dyDescent="0.35">
      <c r="A2103" s="3">
        <v>42</v>
      </c>
      <c r="B2103" s="3">
        <v>13260</v>
      </c>
      <c r="C2103" s="3">
        <v>50</v>
      </c>
      <c r="D2103" s="3">
        <v>1</v>
      </c>
      <c r="E2103" s="25">
        <f t="shared" si="31"/>
        <v>-298.89577570409574</v>
      </c>
    </row>
    <row r="2104" spans="1:5" x14ac:dyDescent="0.35">
      <c r="A2104" s="3">
        <v>36</v>
      </c>
      <c r="B2104" s="3">
        <v>12571</v>
      </c>
      <c r="C2104" s="3">
        <v>44</v>
      </c>
      <c r="D2104" s="3">
        <v>1</v>
      </c>
      <c r="E2104" s="25">
        <f t="shared" si="31"/>
        <v>-301.92500248187639</v>
      </c>
    </row>
    <row r="2105" spans="1:5" x14ac:dyDescent="0.35">
      <c r="A2105" s="2">
        <v>20</v>
      </c>
      <c r="B2105" s="2">
        <v>13672</v>
      </c>
      <c r="C2105" s="2">
        <v>60</v>
      </c>
      <c r="D2105" s="2">
        <v>1</v>
      </c>
      <c r="E2105" s="25">
        <f t="shared" si="31"/>
        <v>-308.85999401775217</v>
      </c>
    </row>
    <row r="2106" spans="1:5" x14ac:dyDescent="0.35">
      <c r="A2106" s="2">
        <v>61</v>
      </c>
      <c r="B2106" s="2">
        <v>11012</v>
      </c>
      <c r="C2106" s="2">
        <v>36</v>
      </c>
      <c r="D2106" s="2">
        <v>1</v>
      </c>
      <c r="E2106" s="25">
        <f t="shared" si="31"/>
        <v>-319.01957938706056</v>
      </c>
    </row>
    <row r="2107" spans="1:5" x14ac:dyDescent="0.35">
      <c r="A2107" s="3">
        <v>31</v>
      </c>
      <c r="B2107" s="3">
        <v>10404</v>
      </c>
      <c r="C2107" s="3">
        <v>31</v>
      </c>
      <c r="D2107" s="3">
        <v>1</v>
      </c>
      <c r="E2107" s="25">
        <f t="shared" si="31"/>
        <v>-322.23375502407976</v>
      </c>
    </row>
    <row r="2108" spans="1:5" x14ac:dyDescent="0.35">
      <c r="A2108" s="2">
        <v>18</v>
      </c>
      <c r="B2108" s="2">
        <v>9255</v>
      </c>
      <c r="C2108" s="2">
        <v>31</v>
      </c>
      <c r="D2108" s="2">
        <v>1</v>
      </c>
      <c r="E2108" s="25">
        <f t="shared" si="31"/>
        <v>-345.66044962141956</v>
      </c>
    </row>
    <row r="2109" spans="1:5" x14ac:dyDescent="0.35">
      <c r="A2109" s="2">
        <v>59</v>
      </c>
      <c r="B2109" s="2">
        <v>8940</v>
      </c>
      <c r="C2109" s="2">
        <v>34</v>
      </c>
      <c r="D2109" s="2">
        <v>1</v>
      </c>
      <c r="E2109" s="25">
        <f t="shared" si="31"/>
        <v>-357.5922288234305</v>
      </c>
    </row>
    <row r="2110" spans="1:5" x14ac:dyDescent="0.35">
      <c r="A2110" s="2">
        <v>28</v>
      </c>
      <c r="B2110" s="2">
        <v>10245</v>
      </c>
      <c r="C2110" s="2">
        <v>49</v>
      </c>
      <c r="D2110" s="2">
        <v>1</v>
      </c>
      <c r="E2110" s="25">
        <f t="shared" si="31"/>
        <v>-358.53147257905658</v>
      </c>
    </row>
    <row r="2111" spans="1:5" x14ac:dyDescent="0.35">
      <c r="A2111" s="2">
        <v>20</v>
      </c>
      <c r="B2111" s="2">
        <v>9548</v>
      </c>
      <c r="C2111" s="2">
        <v>44</v>
      </c>
      <c r="D2111" s="2">
        <v>1</v>
      </c>
      <c r="E2111" s="25">
        <f t="shared" si="31"/>
        <v>-363.56024858088273</v>
      </c>
    </row>
    <row r="2112" spans="1:5" x14ac:dyDescent="0.35">
      <c r="A2112" s="3">
        <v>61</v>
      </c>
      <c r="B2112" s="3">
        <v>9722</v>
      </c>
      <c r="C2112" s="3">
        <v>47</v>
      </c>
      <c r="D2112" s="3">
        <v>1</v>
      </c>
      <c r="E2112" s="25">
        <f t="shared" si="31"/>
        <v>-365.52192016052715</v>
      </c>
    </row>
    <row r="2113" spans="1:5" x14ac:dyDescent="0.35">
      <c r="A2113" s="2">
        <v>79</v>
      </c>
      <c r="B2113" s="2">
        <v>7500</v>
      </c>
      <c r="C2113" s="2">
        <v>28</v>
      </c>
      <c r="D2113" s="2">
        <v>1</v>
      </c>
      <c r="E2113" s="25">
        <f t="shared" si="31"/>
        <v>-375.93342047727924</v>
      </c>
    </row>
    <row r="2114" spans="1:5" x14ac:dyDescent="0.35">
      <c r="A2114" s="3">
        <v>27</v>
      </c>
      <c r="B2114" s="3">
        <v>7500</v>
      </c>
      <c r="C2114" s="3">
        <v>34</v>
      </c>
      <c r="D2114" s="3">
        <v>1</v>
      </c>
      <c r="E2114" s="25">
        <f t="shared" si="31"/>
        <v>-386.95205495064488</v>
      </c>
    </row>
    <row r="2115" spans="1:5" x14ac:dyDescent="0.35">
      <c r="A2115" s="2">
        <v>66</v>
      </c>
      <c r="B2115" s="2">
        <v>7500</v>
      </c>
      <c r="C2115" s="2">
        <v>35</v>
      </c>
      <c r="D2115" s="2">
        <v>1</v>
      </c>
      <c r="E2115" s="25">
        <f t="shared" si="31"/>
        <v>-388.78849402953915</v>
      </c>
    </row>
    <row r="2116" spans="1:5" x14ac:dyDescent="0.35">
      <c r="A2116" s="2">
        <v>32</v>
      </c>
      <c r="B2116" s="2">
        <v>7500</v>
      </c>
      <c r="C2116" s="2">
        <v>41</v>
      </c>
      <c r="D2116" s="2">
        <v>1</v>
      </c>
      <c r="E2116" s="25">
        <f t="shared" si="31"/>
        <v>-399.80712850290479</v>
      </c>
    </row>
    <row r="2117" spans="1:5" x14ac:dyDescent="0.35">
      <c r="A2117" s="2">
        <v>13</v>
      </c>
      <c r="B2117" s="2">
        <v>7500</v>
      </c>
      <c r="C2117" s="2">
        <v>41</v>
      </c>
      <c r="D2117" s="2">
        <v>1</v>
      </c>
      <c r="E2117" s="25">
        <f t="shared" si="31"/>
        <v>-399.80712850290479</v>
      </c>
    </row>
    <row r="2118" spans="1:5" x14ac:dyDescent="0.35">
      <c r="A2118" s="3">
        <v>32</v>
      </c>
      <c r="B2118" s="3">
        <v>7500</v>
      </c>
      <c r="C2118" s="3">
        <v>42</v>
      </c>
      <c r="D2118" s="3">
        <v>1</v>
      </c>
      <c r="E2118" s="25">
        <f t="shared" si="31"/>
        <v>-401.64356758179906</v>
      </c>
    </row>
    <row r="2119" spans="1:5" x14ac:dyDescent="0.35">
      <c r="A2119" s="3">
        <v>39</v>
      </c>
      <c r="B2119" s="3">
        <v>7500</v>
      </c>
      <c r="C2119" s="3">
        <v>44</v>
      </c>
      <c r="D2119" s="3">
        <v>1</v>
      </c>
      <c r="E2119" s="25">
        <f t="shared" si="31"/>
        <v>-405.31644573958761</v>
      </c>
    </row>
    <row r="2120" spans="1:5" x14ac:dyDescent="0.35">
      <c r="A2120" s="2">
        <v>19</v>
      </c>
      <c r="B2120" s="2">
        <v>7500</v>
      </c>
      <c r="C2120" s="2">
        <v>45</v>
      </c>
      <c r="D2120" s="2">
        <v>1</v>
      </c>
      <c r="E2120" s="25">
        <f t="shared" si="31"/>
        <v>-407.15288481848188</v>
      </c>
    </row>
    <row r="2121" spans="1:5" x14ac:dyDescent="0.35">
      <c r="A2121" s="2">
        <v>37</v>
      </c>
      <c r="B2121" s="2">
        <v>7500</v>
      </c>
      <c r="C2121" s="2">
        <v>47</v>
      </c>
      <c r="D2121" s="2">
        <v>1</v>
      </c>
      <c r="E2121" s="25">
        <f t="shared" si="31"/>
        <v>-410.82576297627048</v>
      </c>
    </row>
    <row r="2122" spans="1:5" x14ac:dyDescent="0.35">
      <c r="A2122" s="3">
        <v>31</v>
      </c>
      <c r="B2122" s="3">
        <v>8820</v>
      </c>
      <c r="C2122" s="3">
        <v>68</v>
      </c>
      <c r="D2122" s="3">
        <v>1</v>
      </c>
      <c r="E2122" s="25">
        <f t="shared" si="31"/>
        <v>-422.47780968310371</v>
      </c>
    </row>
    <row r="2123" spans="1:5" x14ac:dyDescent="0.35">
      <c r="A2123" s="3">
        <v>125</v>
      </c>
      <c r="B2123" s="3">
        <v>7144</v>
      </c>
      <c r="C2123" s="3">
        <v>54</v>
      </c>
      <c r="D2123" s="3">
        <v>1</v>
      </c>
      <c r="E2123" s="25">
        <f t="shared" si="31"/>
        <v>-430.93923798775836</v>
      </c>
    </row>
    <row r="2124" spans="1:5" x14ac:dyDescent="0.35">
      <c r="A2124" s="2">
        <v>27</v>
      </c>
      <c r="B2124" s="2">
        <v>5305</v>
      </c>
      <c r="C2124" s="2">
        <v>44</v>
      </c>
      <c r="D2124" s="2">
        <v>1</v>
      </c>
      <c r="E2124" s="25">
        <f t="shared" si="31"/>
        <v>-450.06979181544568</v>
      </c>
    </row>
    <row r="2125" spans="1:5" x14ac:dyDescent="0.35">
      <c r="A2125" s="2">
        <v>125</v>
      </c>
      <c r="B2125" s="2">
        <v>6835</v>
      </c>
      <c r="C2125" s="2">
        <v>63</v>
      </c>
      <c r="D2125" s="2">
        <v>1</v>
      </c>
      <c r="E2125" s="25">
        <f t="shared" si="31"/>
        <v>-453.76731905427164</v>
      </c>
    </row>
    <row r="2126" spans="1:5" x14ac:dyDescent="0.35">
      <c r="A2126" s="3">
        <v>38</v>
      </c>
      <c r="B2126" s="3">
        <v>4428</v>
      </c>
      <c r="C2126" s="3">
        <v>51</v>
      </c>
      <c r="D2126" s="3">
        <v>1</v>
      </c>
      <c r="E2126" s="25">
        <f t="shared" si="31"/>
        <v>-480.80581502990492</v>
      </c>
    </row>
    <row r="2127" spans="1:5" x14ac:dyDescent="0.35">
      <c r="A2127" s="2">
        <v>36</v>
      </c>
      <c r="B2127" s="2">
        <v>5648</v>
      </c>
      <c r="C2127" s="2">
        <v>70</v>
      </c>
      <c r="D2127" s="2">
        <v>1</v>
      </c>
      <c r="E2127" s="25">
        <f t="shared" si="31"/>
        <v>-490.82386039333949</v>
      </c>
    </row>
    <row r="2128" spans="1:5" x14ac:dyDescent="0.35">
      <c r="A2128" s="2">
        <v>4</v>
      </c>
      <c r="B2128" s="2">
        <v>3502</v>
      </c>
      <c r="C2128" s="2">
        <v>47</v>
      </c>
      <c r="D2128" s="2">
        <v>1</v>
      </c>
      <c r="E2128" s="25">
        <f t="shared" si="31"/>
        <v>-492.34005801557817</v>
      </c>
    </row>
    <row r="2129" spans="1:5" x14ac:dyDescent="0.35">
      <c r="A2129" s="2">
        <v>8</v>
      </c>
      <c r="B2129" s="2">
        <v>4023</v>
      </c>
      <c r="C2129" s="2">
        <v>57</v>
      </c>
      <c r="D2129" s="2">
        <v>1</v>
      </c>
      <c r="E2129" s="25">
        <f t="shared" si="31"/>
        <v>-500.08190060154959</v>
      </c>
    </row>
    <row r="2130" spans="1:5" x14ac:dyDescent="0.35">
      <c r="A2130" s="3">
        <v>1729</v>
      </c>
      <c r="B2130" s="3">
        <v>2447</v>
      </c>
      <c r="C2130" s="3">
        <v>41</v>
      </c>
      <c r="D2130" s="3">
        <v>1</v>
      </c>
      <c r="E2130" s="25">
        <f t="shared" si="31"/>
        <v>-502.83157393402587</v>
      </c>
    </row>
  </sheetData>
  <mergeCells count="4">
    <mergeCell ref="A106:G106"/>
    <mergeCell ref="A1:I1"/>
    <mergeCell ref="K1:S1"/>
    <mergeCell ref="U1:AC1"/>
  </mergeCells>
  <conditionalFormatting sqref="E21:E30">
    <cfRule type="cellIs" dxfId="18" priority="5" operator="greaterThan">
      <formula>0.05</formula>
    </cfRule>
  </conditionalFormatting>
  <conditionalFormatting sqref="E51:E56">
    <cfRule type="cellIs" dxfId="17" priority="4" operator="greaterThan">
      <formula>0.05</formula>
    </cfRule>
  </conditionalFormatting>
  <conditionalFormatting sqref="E77:E81">
    <cfRule type="cellIs" dxfId="16" priority="3" operator="greaterThan">
      <formula>0.05</formula>
    </cfRule>
  </conditionalFormatting>
  <conditionalFormatting sqref="Y22:Y24">
    <cfRule type="cellIs" dxfId="15" priority="2" operator="greaterThan">
      <formula>0.05</formula>
    </cfRule>
  </conditionalFormatting>
  <conditionalFormatting sqref="Y46:Y47">
    <cfRule type="cellIs" dxfId="14" priority="1" operator="greaterThan">
      <formula>0.05</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867D0-0CFD-4B8D-BAD0-2680430DC2FA}">
  <dimension ref="A1:J22"/>
  <sheetViews>
    <sheetView zoomScale="130" zoomScaleNormal="130" workbookViewId="0">
      <selection activeCell="B16" sqref="B16"/>
    </sheetView>
  </sheetViews>
  <sheetFormatPr defaultRowHeight="14.5" x14ac:dyDescent="0.35"/>
  <cols>
    <col min="1" max="1" width="14" customWidth="1"/>
    <col min="2" max="6" width="10.54296875" bestFit="1" customWidth="1"/>
    <col min="7" max="7" width="12.7265625" bestFit="1" customWidth="1"/>
    <col min="8" max="8" width="9.6328125" bestFit="1" customWidth="1"/>
  </cols>
  <sheetData>
    <row r="1" spans="1:10" ht="15.5" x14ac:dyDescent="0.35">
      <c r="A1" s="68" t="s">
        <v>232</v>
      </c>
      <c r="B1" s="68"/>
      <c r="C1" s="68"/>
      <c r="D1" s="68"/>
      <c r="E1" s="68"/>
      <c r="F1" s="68"/>
      <c r="G1" s="68"/>
    </row>
    <row r="2" spans="1:10" x14ac:dyDescent="0.35">
      <c r="A2" s="75" t="s">
        <v>181</v>
      </c>
      <c r="B2" s="75"/>
      <c r="C2" s="75"/>
      <c r="D2" s="75"/>
      <c r="E2" s="75"/>
      <c r="F2" s="75"/>
      <c r="G2" s="75"/>
    </row>
    <row r="4" spans="1:10" ht="29" x14ac:dyDescent="0.35">
      <c r="A4" s="1" t="s">
        <v>140</v>
      </c>
      <c r="B4" s="27">
        <v>1000</v>
      </c>
    </row>
    <row r="5" spans="1:10" x14ac:dyDescent="0.35">
      <c r="B5" s="27"/>
    </row>
    <row r="6" spans="1:10" x14ac:dyDescent="0.35">
      <c r="A6" s="4" t="s">
        <v>142</v>
      </c>
      <c r="B6" s="4" t="s">
        <v>107</v>
      </c>
      <c r="C6" s="4" t="s">
        <v>108</v>
      </c>
      <c r="D6" s="4" t="s">
        <v>109</v>
      </c>
      <c r="E6" s="4" t="s">
        <v>110</v>
      </c>
      <c r="F6" s="4" t="s">
        <v>111</v>
      </c>
      <c r="G6" s="4" t="s">
        <v>145</v>
      </c>
    </row>
    <row r="7" spans="1:10" x14ac:dyDescent="0.35">
      <c r="A7" t="s">
        <v>138</v>
      </c>
      <c r="B7" s="27">
        <f>$B$4</f>
        <v>1000</v>
      </c>
      <c r="C7" s="27">
        <f t="shared" ref="C7:G7" si="0">$B$4</f>
        <v>1000</v>
      </c>
      <c r="D7" s="27">
        <f t="shared" si="0"/>
        <v>1000</v>
      </c>
      <c r="E7" s="27">
        <f t="shared" si="0"/>
        <v>1000</v>
      </c>
      <c r="F7" s="27">
        <f t="shared" si="0"/>
        <v>1000</v>
      </c>
      <c r="G7" s="27">
        <f t="shared" si="0"/>
        <v>1000</v>
      </c>
    </row>
    <row r="8" spans="1:10" ht="29" x14ac:dyDescent="0.35">
      <c r="A8" s="1" t="s">
        <v>141</v>
      </c>
      <c r="B8">
        <f>SUM(ifood_data[[#All],[AcceptedCmp1]])</f>
        <v>133</v>
      </c>
      <c r="C8">
        <f>SUM(ifood_data[[#All],[AcceptedCmp2]])</f>
        <v>26</v>
      </c>
      <c r="D8">
        <f>SUM(ifood_data[[#All],[AcceptedCmp3]])</f>
        <v>151</v>
      </c>
      <c r="E8">
        <f>SUM(ifood_data[[#All],[AcceptedCmp4]])</f>
        <v>155</v>
      </c>
      <c r="F8">
        <f>SUM(ifood_data[[#All],[AcceptedCmp5]])</f>
        <v>146</v>
      </c>
      <c r="G8">
        <f>SUM(ifood_data[[#All],[AcceptedCmpOverall]])</f>
        <v>426</v>
      </c>
    </row>
    <row r="9" spans="1:10" x14ac:dyDescent="0.35">
      <c r="A9" s="74" t="s">
        <v>177</v>
      </c>
      <c r="B9" s="74"/>
    </row>
    <row r="10" spans="1:10" x14ac:dyDescent="0.35">
      <c r="A10" s="47" t="s">
        <v>118</v>
      </c>
      <c r="B10">
        <f>COUNTIFS('Cleaned Data'!$BD$2:$BD$2022,$A10,'Cleaned Data'!Q$2:Q$2022,"=1")</f>
        <v>27</v>
      </c>
      <c r="C10">
        <f>COUNTIFS('Cleaned Data'!$BD$2:$BD$2022,$A10,'Cleaned Data'!R$2:R$2022,"=1")</f>
        <v>4</v>
      </c>
      <c r="D10">
        <f>COUNTIFS('Cleaned Data'!$BD$2:$BD$2022,$A10,'Cleaned Data'!S$2:S$2022,"=1")</f>
        <v>17</v>
      </c>
      <c r="E10">
        <f>COUNTIFS('Cleaned Data'!$BD$2:$BD$2022,$A10,'Cleaned Data'!T$2:T$2022,"=1")</f>
        <v>17</v>
      </c>
      <c r="F10">
        <f>COUNTIFS('Cleaned Data'!$BD$2:$BD$2022,$A10,'Cleaned Data'!U$2:U$2022,"=1")</f>
        <v>23</v>
      </c>
      <c r="G10">
        <f>COUNTIFS('Cleaned Data'!$BD$2:$BD$2022,$A10,'Cleaned Data'!V$2:V$2022,"=1")</f>
        <v>56</v>
      </c>
    </row>
    <row r="11" spans="1:10" x14ac:dyDescent="0.35">
      <c r="A11" s="47" t="s">
        <v>119</v>
      </c>
      <c r="B11">
        <f>COUNTIFS('Cleaned Data'!$BD$2:$BD$2022,$A11,'Cleaned Data'!Q$2:Q$2022,"=1")</f>
        <v>66</v>
      </c>
      <c r="C11">
        <f>COUNTIFS('Cleaned Data'!$BD$2:$BD$2022,$A11,'Cleaned Data'!R$2:R$2022,"=1")</f>
        <v>14</v>
      </c>
      <c r="D11">
        <f>COUNTIFS('Cleaned Data'!$BD$2:$BD$2022,$A11,'Cleaned Data'!S$2:S$2022,"=1")</f>
        <v>36</v>
      </c>
      <c r="E11">
        <f>COUNTIFS('Cleaned Data'!$BD$2:$BD$2022,$A11,'Cleaned Data'!T$2:T$2022,"=1")</f>
        <v>69</v>
      </c>
      <c r="F11">
        <f>COUNTIFS('Cleaned Data'!$BD$2:$BD$2022,$A11,'Cleaned Data'!U$2:U$2022,"=1")</f>
        <v>72</v>
      </c>
      <c r="G11">
        <f>COUNTIFS('Cleaned Data'!$BD$2:$BD$2022,$A11,'Cleaned Data'!V$2:V$2022,"=1")</f>
        <v>159</v>
      </c>
    </row>
    <row r="12" spans="1:10" x14ac:dyDescent="0.35">
      <c r="A12" s="47" t="s">
        <v>120</v>
      </c>
      <c r="B12">
        <f>COUNTIFS('Cleaned Data'!$BD$2:$BD$2022,$A12,'Cleaned Data'!Q$2:Q$2022,"=1")</f>
        <v>22</v>
      </c>
      <c r="C12">
        <f>COUNTIFS('Cleaned Data'!$BD$2:$BD$2022,$A12,'Cleaned Data'!R$2:R$2022,"=1")</f>
        <v>4</v>
      </c>
      <c r="D12">
        <f>COUNTIFS('Cleaned Data'!$BD$2:$BD$2022,$A12,'Cleaned Data'!S$2:S$2022,"=1")</f>
        <v>26</v>
      </c>
      <c r="E12">
        <f>COUNTIFS('Cleaned Data'!$BD$2:$BD$2022,$A12,'Cleaned Data'!T$2:T$2022,"=1")</f>
        <v>30</v>
      </c>
      <c r="F12">
        <f>COUNTIFS('Cleaned Data'!$BD$2:$BD$2022,$A12,'Cleaned Data'!U$2:U$2022,"=1")</f>
        <v>31</v>
      </c>
      <c r="G12">
        <f>COUNTIFS('Cleaned Data'!$BD$2:$BD$2022,$A12,'Cleaned Data'!V$2:V$2022,"=1")</f>
        <v>83</v>
      </c>
    </row>
    <row r="13" spans="1:10" x14ac:dyDescent="0.35">
      <c r="A13" s="47" t="s">
        <v>121</v>
      </c>
      <c r="B13">
        <f>COUNTIFS('Cleaned Data'!$BD$2:$BD$2022,$A13,'Cleaned Data'!Q$2:Q$2022,"=1")</f>
        <v>18</v>
      </c>
      <c r="C13">
        <f>COUNTIFS('Cleaned Data'!$BD$2:$BD$2022,$A13,'Cleaned Data'!R$2:R$2022,"=1")</f>
        <v>4</v>
      </c>
      <c r="D13">
        <f>COUNTIFS('Cleaned Data'!$BD$2:$BD$2022,$A13,'Cleaned Data'!S$2:S$2022,"=1")</f>
        <v>59</v>
      </c>
      <c r="E13">
        <f>COUNTIFS('Cleaned Data'!$BD$2:$BD$2022,$A13,'Cleaned Data'!T$2:T$2022,"=1")</f>
        <v>39</v>
      </c>
      <c r="F13">
        <f>COUNTIFS('Cleaned Data'!$BD$2:$BD$2022,$A13,'Cleaned Data'!U$2:U$2022,"=1")</f>
        <v>20</v>
      </c>
      <c r="G13">
        <f>COUNTIFS('Cleaned Data'!$BD$2:$BD$2022,$A13,'Cleaned Data'!V$2:V$2022,"=1")</f>
        <v>115</v>
      </c>
    </row>
    <row r="14" spans="1:10" x14ac:dyDescent="0.35">
      <c r="A14" s="47" t="s">
        <v>122</v>
      </c>
      <c r="B14">
        <f>COUNTIFS('Cleaned Data'!$BD$2:$BD$2022,$A14,'Cleaned Data'!Q$2:Q$2022,"=1")</f>
        <v>0</v>
      </c>
      <c r="C14">
        <f>COUNTIFS('Cleaned Data'!$BD$2:$BD$2022,$A14,'Cleaned Data'!R$2:R$2022,"=1")</f>
        <v>0</v>
      </c>
      <c r="D14">
        <f>COUNTIFS('Cleaned Data'!$BD$2:$BD$2022,$A14,'Cleaned Data'!S$2:S$2022,"=1")</f>
        <v>13</v>
      </c>
      <c r="E14">
        <f>COUNTIFS('Cleaned Data'!$BD$2:$BD$2022,$A14,'Cleaned Data'!T$2:T$2022,"=1")</f>
        <v>0</v>
      </c>
      <c r="F14">
        <f>COUNTIFS('Cleaned Data'!$BD$2:$BD$2022,$A14,'Cleaned Data'!U$2:U$2022,"=1")</f>
        <v>0</v>
      </c>
      <c r="G14">
        <f>COUNTIFS('Cleaned Data'!$BD$2:$BD$2022,$A14,'Cleaned Data'!V$2:V$2022,"=1")</f>
        <v>13</v>
      </c>
    </row>
    <row r="15" spans="1:10" x14ac:dyDescent="0.35">
      <c r="A15" s="36"/>
      <c r="H15" t="s">
        <v>231</v>
      </c>
    </row>
    <row r="16" spans="1:10" ht="43.5" x14ac:dyDescent="0.35">
      <c r="A16" s="1" t="s">
        <v>139</v>
      </c>
      <c r="B16" s="26">
        <f>B$7/SUM(ifood_data[[#All],[AcceptedCmp1]])</f>
        <v>7.518796992481203</v>
      </c>
      <c r="C16" s="26">
        <f>C$7/SUM(ifood_data[[#All],[AcceptedCmp2]])</f>
        <v>38.46153846153846</v>
      </c>
      <c r="D16" s="26">
        <f>D$7/SUM(ifood_data[[#All],[AcceptedCmp3]])</f>
        <v>6.6225165562913908</v>
      </c>
      <c r="E16" s="26">
        <f>E$7/SUM(ifood_data[[#All],[AcceptedCmp4]])</f>
        <v>6.4516129032258061</v>
      </c>
      <c r="F16" s="26">
        <f>F$7/SUM(ifood_data[[#All],[AcceptedCmp5]])</f>
        <v>6.8493150684931505</v>
      </c>
      <c r="G16" s="26">
        <f>G$7/SUM(ifood_data[[#All],[AcceptedCmpOverall]])</f>
        <v>2.347417840375587</v>
      </c>
      <c r="H16" s="28">
        <f>G16/$G$19</f>
        <v>0.37323943661971831</v>
      </c>
      <c r="J16" s="28">
        <f>C16/G16</f>
        <v>16.384615384615383</v>
      </c>
    </row>
    <row r="17" spans="1:10" x14ac:dyDescent="0.35">
      <c r="A17" s="74" t="s">
        <v>177</v>
      </c>
      <c r="B17" s="74"/>
      <c r="C17" s="26"/>
      <c r="D17" s="26"/>
      <c r="E17" s="26"/>
      <c r="F17" s="26"/>
      <c r="G17" s="26"/>
      <c r="H17" s="28"/>
    </row>
    <row r="18" spans="1:10" x14ac:dyDescent="0.35">
      <c r="A18" s="47" t="s">
        <v>118</v>
      </c>
      <c r="B18" s="26">
        <f>IFERROR(B$7/B10,0)</f>
        <v>37.037037037037038</v>
      </c>
      <c r="C18" s="26">
        <f t="shared" ref="C18:F18" si="1">IFERROR(C$7/C10,0)</f>
        <v>250</v>
      </c>
      <c r="D18" s="26">
        <f t="shared" si="1"/>
        <v>58.823529411764703</v>
      </c>
      <c r="E18" s="26">
        <f t="shared" si="1"/>
        <v>58.823529411764703</v>
      </c>
      <c r="F18" s="26">
        <f t="shared" si="1"/>
        <v>43.478260869565219</v>
      </c>
      <c r="G18" s="26">
        <f>IFERROR(G$7/G10,0)</f>
        <v>17.857142857142858</v>
      </c>
      <c r="H18" s="28">
        <f t="shared" ref="H18:H22" si="2">G18/$G$19</f>
        <v>2.8392857142857144</v>
      </c>
    </row>
    <row r="19" spans="1:10" x14ac:dyDescent="0.35">
      <c r="A19" s="35" t="s">
        <v>119</v>
      </c>
      <c r="B19" s="26">
        <f>IFERROR(B$7/B11,0)</f>
        <v>15.151515151515152</v>
      </c>
      <c r="C19" s="26">
        <f t="shared" ref="C19:F22" si="3">IFERROR(C$7/C11,0)</f>
        <v>71.428571428571431</v>
      </c>
      <c r="D19" s="26">
        <f t="shared" si="3"/>
        <v>27.777777777777779</v>
      </c>
      <c r="E19" s="26">
        <f t="shared" si="3"/>
        <v>14.492753623188406</v>
      </c>
      <c r="F19" s="26">
        <f t="shared" si="3"/>
        <v>13.888888888888889</v>
      </c>
      <c r="G19" s="26">
        <f>IFERROR(G$7/G11,0)</f>
        <v>6.2893081761006293</v>
      </c>
      <c r="H19" s="28">
        <f t="shared" si="2"/>
        <v>1</v>
      </c>
      <c r="J19" s="26"/>
    </row>
    <row r="20" spans="1:10" x14ac:dyDescent="0.35">
      <c r="A20" s="35" t="s">
        <v>120</v>
      </c>
      <c r="B20" s="26">
        <f>IFERROR(B$7/B12,0)</f>
        <v>45.454545454545453</v>
      </c>
      <c r="C20" s="26">
        <f t="shared" si="3"/>
        <v>250</v>
      </c>
      <c r="D20" s="26">
        <f t="shared" si="3"/>
        <v>38.46153846153846</v>
      </c>
      <c r="E20" s="26">
        <f t="shared" si="3"/>
        <v>33.333333333333336</v>
      </c>
      <c r="F20" s="26">
        <f t="shared" si="3"/>
        <v>32.258064516129032</v>
      </c>
      <c r="G20" s="26">
        <f>IFERROR(G$7/G12,0)</f>
        <v>12.048192771084338</v>
      </c>
      <c r="H20" s="28">
        <f t="shared" si="2"/>
        <v>1.9156626506024097</v>
      </c>
    </row>
    <row r="21" spans="1:10" x14ac:dyDescent="0.35">
      <c r="A21" s="35" t="s">
        <v>121</v>
      </c>
      <c r="B21" s="26">
        <f>IFERROR(B$7/B13,0)</f>
        <v>55.555555555555557</v>
      </c>
      <c r="C21" s="26">
        <f t="shared" si="3"/>
        <v>250</v>
      </c>
      <c r="D21" s="26">
        <f t="shared" si="3"/>
        <v>16.949152542372882</v>
      </c>
      <c r="E21" s="26">
        <f t="shared" si="3"/>
        <v>25.641025641025642</v>
      </c>
      <c r="F21" s="26">
        <f t="shared" si="3"/>
        <v>50</v>
      </c>
      <c r="G21" s="26">
        <f>IFERROR(G$7/G13,0)</f>
        <v>8.695652173913043</v>
      </c>
      <c r="H21" s="28">
        <f t="shared" si="2"/>
        <v>1.3826086956521737</v>
      </c>
    </row>
    <row r="22" spans="1:10" x14ac:dyDescent="0.35">
      <c r="A22" s="35" t="s">
        <v>122</v>
      </c>
      <c r="B22" s="26">
        <f>IFERROR(B$7/B14,0)</f>
        <v>0</v>
      </c>
      <c r="C22" s="26">
        <f t="shared" si="3"/>
        <v>0</v>
      </c>
      <c r="D22" s="26">
        <f t="shared" si="3"/>
        <v>76.92307692307692</v>
      </c>
      <c r="E22" s="26">
        <f t="shared" si="3"/>
        <v>0</v>
      </c>
      <c r="F22" s="26">
        <f t="shared" si="3"/>
        <v>0</v>
      </c>
      <c r="G22" s="26">
        <f>IFERROR(G$7/G14,0)</f>
        <v>76.92307692307692</v>
      </c>
      <c r="H22" s="28">
        <f t="shared" si="2"/>
        <v>12.23076923076923</v>
      </c>
    </row>
  </sheetData>
  <mergeCells count="4">
    <mergeCell ref="A17:B17"/>
    <mergeCell ref="A1:G1"/>
    <mergeCell ref="A2:G2"/>
    <mergeCell ref="A9:B9"/>
  </mergeCells>
  <conditionalFormatting sqref="B16 B18:B22 C18:G18">
    <cfRule type="top10" dxfId="13" priority="15" rank="1"/>
  </conditionalFormatting>
  <conditionalFormatting sqref="B18:B21">
    <cfRule type="top10" dxfId="12" priority="8" bottom="1" rank="1"/>
  </conditionalFormatting>
  <conditionalFormatting sqref="B16:F16">
    <cfRule type="top10" dxfId="11" priority="1" percent="1" bottom="1" rank="10"/>
    <cfRule type="top10" dxfId="10" priority="2" percent="1" bottom="1" rank="10"/>
    <cfRule type="top10" dxfId="9" priority="3" percent="1" rank="10"/>
  </conditionalFormatting>
  <conditionalFormatting sqref="C19:C22 C16:C17">
    <cfRule type="top10" dxfId="8" priority="18" rank="1"/>
  </conditionalFormatting>
  <conditionalFormatting sqref="D18:D21">
    <cfRule type="top10" dxfId="7" priority="7" bottom="1" rank="1"/>
  </conditionalFormatting>
  <conditionalFormatting sqref="D19:D22 D16:D17">
    <cfRule type="top10" dxfId="6" priority="21" rank="1"/>
  </conditionalFormatting>
  <conditionalFormatting sqref="E18:E21">
    <cfRule type="top10" dxfId="5" priority="6" bottom="1" rank="1"/>
  </conditionalFormatting>
  <conditionalFormatting sqref="E19:E22 E16:E17">
    <cfRule type="top10" dxfId="4" priority="24" rank="1"/>
  </conditionalFormatting>
  <conditionalFormatting sqref="F18:F21">
    <cfRule type="top10" dxfId="3" priority="5" bottom="1" rank="1"/>
  </conditionalFormatting>
  <conditionalFormatting sqref="F19:F22 F16:F17">
    <cfRule type="top10" dxfId="2" priority="27" rank="1"/>
  </conditionalFormatting>
  <conditionalFormatting sqref="G18:G21">
    <cfRule type="top10" dxfId="1" priority="4" bottom="1" rank="1"/>
  </conditionalFormatting>
  <conditionalFormatting sqref="G19:G22 G16:G17">
    <cfRule type="top10" dxfId="0" priority="30" rank="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B20DE-B3A5-4797-A54E-1E757A34F604}">
  <dimension ref="A1:J32"/>
  <sheetViews>
    <sheetView tabSelected="1" topLeftCell="A4" workbookViewId="0">
      <selection activeCell="I27" sqref="I27"/>
    </sheetView>
  </sheetViews>
  <sheetFormatPr defaultRowHeight="14.5" x14ac:dyDescent="0.35"/>
  <cols>
    <col min="1" max="1" width="28" bestFit="1" customWidth="1"/>
    <col min="2" max="2" width="15.54296875" bestFit="1" customWidth="1"/>
    <col min="3" max="3" width="12" bestFit="1" customWidth="1"/>
    <col min="4" max="6" width="12.36328125" bestFit="1" customWidth="1"/>
    <col min="7" max="7" width="12.54296875" bestFit="1" customWidth="1"/>
    <col min="8" max="8" width="12.453125" bestFit="1" customWidth="1"/>
  </cols>
  <sheetData>
    <row r="1" spans="1:10" ht="15.5" x14ac:dyDescent="0.35">
      <c r="A1" s="68" t="s">
        <v>244</v>
      </c>
      <c r="B1" s="68"/>
      <c r="C1" s="68"/>
      <c r="D1" s="68"/>
      <c r="E1" s="68"/>
      <c r="F1" s="68"/>
      <c r="G1" s="68"/>
    </row>
    <row r="3" spans="1:10" x14ac:dyDescent="0.35">
      <c r="A3" t="s">
        <v>142</v>
      </c>
      <c r="B3" t="s">
        <v>107</v>
      </c>
      <c r="C3" t="s">
        <v>108</v>
      </c>
      <c r="D3" t="s">
        <v>109</v>
      </c>
      <c r="E3" t="s">
        <v>110</v>
      </c>
      <c r="F3" t="s">
        <v>111</v>
      </c>
      <c r="G3" t="s">
        <v>145</v>
      </c>
    </row>
    <row r="4" spans="1:10" x14ac:dyDescent="0.35">
      <c r="A4" t="s">
        <v>138</v>
      </c>
      <c r="B4">
        <v>10000</v>
      </c>
      <c r="C4">
        <v>10000</v>
      </c>
      <c r="D4">
        <v>10000</v>
      </c>
      <c r="E4">
        <v>10000</v>
      </c>
      <c r="F4">
        <v>10000</v>
      </c>
      <c r="G4">
        <v>50000</v>
      </c>
    </row>
    <row r="5" spans="1:10" x14ac:dyDescent="0.35">
      <c r="A5" t="s">
        <v>246</v>
      </c>
      <c r="B5" s="28">
        <f>B4/B13</f>
        <v>75.187969924812023</v>
      </c>
      <c r="C5" s="28">
        <f t="shared" ref="C5:G5" si="0">C4/C13</f>
        <v>384.61538461538464</v>
      </c>
      <c r="D5" s="28">
        <f t="shared" si="0"/>
        <v>66.225165562913901</v>
      </c>
      <c r="E5" s="28">
        <f t="shared" si="0"/>
        <v>64.516129032258064</v>
      </c>
      <c r="F5" s="28">
        <f t="shared" si="0"/>
        <v>68.493150684931507</v>
      </c>
      <c r="G5" s="28">
        <f t="shared" si="0"/>
        <v>117.37089201877934</v>
      </c>
    </row>
    <row r="6" spans="1:10" x14ac:dyDescent="0.35">
      <c r="A6" t="s">
        <v>247</v>
      </c>
      <c r="B6" s="28">
        <v>0.2</v>
      </c>
      <c r="C6" s="28"/>
      <c r="D6" s="28"/>
      <c r="E6" s="28"/>
      <c r="F6" s="28"/>
      <c r="G6" s="28"/>
    </row>
    <row r="7" spans="1:10" x14ac:dyDescent="0.35">
      <c r="A7" t="s">
        <v>177</v>
      </c>
    </row>
    <row r="8" spans="1:10" x14ac:dyDescent="0.35">
      <c r="A8" t="s">
        <v>118</v>
      </c>
      <c r="B8">
        <v>27</v>
      </c>
      <c r="C8">
        <v>4</v>
      </c>
      <c r="D8">
        <v>17</v>
      </c>
      <c r="E8">
        <v>17</v>
      </c>
      <c r="F8">
        <v>23</v>
      </c>
      <c r="G8">
        <v>56</v>
      </c>
    </row>
    <row r="9" spans="1:10" x14ac:dyDescent="0.35">
      <c r="A9" t="s">
        <v>119</v>
      </c>
      <c r="B9">
        <v>66</v>
      </c>
      <c r="C9">
        <v>14</v>
      </c>
      <c r="D9">
        <v>36</v>
      </c>
      <c r="E9">
        <v>69</v>
      </c>
      <c r="F9">
        <v>72</v>
      </c>
      <c r="G9">
        <v>159</v>
      </c>
      <c r="J9" t="s">
        <v>193</v>
      </c>
    </row>
    <row r="10" spans="1:10" x14ac:dyDescent="0.35">
      <c r="A10" t="s">
        <v>120</v>
      </c>
      <c r="B10">
        <v>22</v>
      </c>
      <c r="C10">
        <v>4</v>
      </c>
      <c r="D10">
        <v>26</v>
      </c>
      <c r="E10">
        <v>30</v>
      </c>
      <c r="F10">
        <v>31</v>
      </c>
      <c r="G10">
        <v>83</v>
      </c>
    </row>
    <row r="11" spans="1:10" x14ac:dyDescent="0.35">
      <c r="A11" t="s">
        <v>121</v>
      </c>
      <c r="B11">
        <v>18</v>
      </c>
      <c r="C11">
        <v>4</v>
      </c>
      <c r="D11">
        <v>59</v>
      </c>
      <c r="E11">
        <v>39</v>
      </c>
      <c r="F11">
        <v>20</v>
      </c>
      <c r="G11">
        <v>115</v>
      </c>
    </row>
    <row r="12" spans="1:10" x14ac:dyDescent="0.35">
      <c r="A12" t="s">
        <v>122</v>
      </c>
      <c r="B12">
        <v>0</v>
      </c>
      <c r="C12">
        <v>0</v>
      </c>
      <c r="D12">
        <v>13</v>
      </c>
      <c r="E12">
        <v>0</v>
      </c>
      <c r="F12">
        <v>0</v>
      </c>
      <c r="G12">
        <v>13</v>
      </c>
    </row>
    <row r="13" spans="1:10" x14ac:dyDescent="0.35">
      <c r="A13" t="s">
        <v>141</v>
      </c>
      <c r="B13">
        <v>133</v>
      </c>
      <c r="C13">
        <v>26</v>
      </c>
      <c r="D13">
        <v>151</v>
      </c>
      <c r="E13">
        <v>155</v>
      </c>
      <c r="F13">
        <v>146</v>
      </c>
      <c r="G13">
        <v>426</v>
      </c>
    </row>
    <row r="15" spans="1:10" x14ac:dyDescent="0.35">
      <c r="A15" t="s">
        <v>163</v>
      </c>
    </row>
    <row r="16" spans="1:10" x14ac:dyDescent="0.35">
      <c r="A16" t="s">
        <v>142</v>
      </c>
      <c r="B16" t="s">
        <v>107</v>
      </c>
      <c r="C16" t="s">
        <v>108</v>
      </c>
      <c r="D16" t="s">
        <v>109</v>
      </c>
      <c r="E16" t="s">
        <v>110</v>
      </c>
      <c r="F16" t="s">
        <v>111</v>
      </c>
      <c r="G16" t="s">
        <v>145</v>
      </c>
      <c r="H16" t="s">
        <v>175</v>
      </c>
    </row>
    <row r="17" spans="1:8" x14ac:dyDescent="0.35">
      <c r="A17" t="s">
        <v>118</v>
      </c>
      <c r="B17" s="25">
        <v>1579.4074074074074</v>
      </c>
      <c r="C17" s="25">
        <v>1266.25</v>
      </c>
      <c r="D17" s="25">
        <v>1359.4117647058824</v>
      </c>
      <c r="E17" s="25">
        <v>1335.0588235294117</v>
      </c>
      <c r="F17" s="25">
        <v>1580.4347826086957</v>
      </c>
      <c r="G17" s="25">
        <v>1436.3214285714287</v>
      </c>
      <c r="H17" s="25">
        <v>1302.6967213114754</v>
      </c>
    </row>
    <row r="18" spans="1:8" x14ac:dyDescent="0.35">
      <c r="A18" t="s">
        <v>119</v>
      </c>
      <c r="B18" s="25">
        <v>1461.2121212121212</v>
      </c>
      <c r="C18" s="25">
        <v>1345.6428571428571</v>
      </c>
      <c r="D18" s="25">
        <v>1087.5</v>
      </c>
      <c r="E18" s="25">
        <v>1200.4347826086957</v>
      </c>
      <c r="F18" s="25">
        <v>1558.875</v>
      </c>
      <c r="G18" s="25">
        <v>1282.1509433962265</v>
      </c>
      <c r="H18" s="25">
        <v>1040.3861171366593</v>
      </c>
    </row>
    <row r="19" spans="1:8" x14ac:dyDescent="0.35">
      <c r="A19" t="s">
        <v>120</v>
      </c>
      <c r="B19" s="25">
        <v>1464.6818181818182</v>
      </c>
      <c r="C19" s="25">
        <v>1462.25</v>
      </c>
      <c r="D19" s="25">
        <v>902.46153846153845</v>
      </c>
      <c r="E19" s="25">
        <v>1150.7666666666667</v>
      </c>
      <c r="F19" s="25">
        <v>1662.0645161290322</v>
      </c>
      <c r="G19" s="25">
        <v>1169.6626506024097</v>
      </c>
      <c r="H19" s="25">
        <v>818.92105263157896</v>
      </c>
    </row>
    <row r="20" spans="1:8" x14ac:dyDescent="0.35">
      <c r="A20" t="s">
        <v>121</v>
      </c>
      <c r="B20" s="25">
        <v>932.05555555555554</v>
      </c>
      <c r="C20" s="25">
        <v>704.5</v>
      </c>
      <c r="D20" s="25">
        <v>210.52542372881356</v>
      </c>
      <c r="E20" s="25">
        <v>607.56410256410254</v>
      </c>
      <c r="F20" s="25">
        <v>1211</v>
      </c>
      <c r="G20" s="25">
        <v>469.77391304347827</v>
      </c>
      <c r="H20" s="25">
        <v>246.72642607683352</v>
      </c>
    </row>
    <row r="21" spans="1:8" x14ac:dyDescent="0.35">
      <c r="A21" t="s">
        <v>122</v>
      </c>
      <c r="B21" s="25">
        <v>0</v>
      </c>
      <c r="C21" s="25">
        <v>0</v>
      </c>
      <c r="D21" s="25">
        <v>28.153846153846153</v>
      </c>
      <c r="E21" s="25">
        <v>0</v>
      </c>
      <c r="F21" s="25">
        <v>0</v>
      </c>
      <c r="G21" s="25">
        <v>28.153846153846153</v>
      </c>
      <c r="H21" s="25">
        <v>37.392405063291136</v>
      </c>
    </row>
    <row r="22" spans="1:8" x14ac:dyDescent="0.35">
      <c r="A22" t="s">
        <v>89</v>
      </c>
      <c r="B22" s="25">
        <v>1414.1654135338347</v>
      </c>
      <c r="C22" s="25">
        <v>1252.7307692307693</v>
      </c>
      <c r="D22" s="25">
        <v>652.39072847682121</v>
      </c>
      <c r="E22" s="25">
        <v>1056.4129032258065</v>
      </c>
      <c r="F22" s="25">
        <v>1536.527397260274</v>
      </c>
      <c r="G22" s="25">
        <v>1022.9295774647887</v>
      </c>
      <c r="H22" s="25">
        <v>563.78921326076204</v>
      </c>
    </row>
    <row r="23" spans="1:8" x14ac:dyDescent="0.35">
      <c r="B23" s="28"/>
      <c r="C23" s="28"/>
      <c r="D23" s="28"/>
      <c r="E23" s="28"/>
      <c r="F23" s="28"/>
      <c r="G23" s="28"/>
      <c r="H23" s="28"/>
    </row>
    <row r="25" spans="1:8" x14ac:dyDescent="0.35">
      <c r="A25" t="s">
        <v>245</v>
      </c>
      <c r="B25" t="s">
        <v>107</v>
      </c>
      <c r="C25" t="s">
        <v>108</v>
      </c>
      <c r="D25" t="s">
        <v>109</v>
      </c>
      <c r="E25" t="s">
        <v>110</v>
      </c>
      <c r="F25" t="s">
        <v>111</v>
      </c>
      <c r="G25" t="s">
        <v>145</v>
      </c>
    </row>
    <row r="26" spans="1:8" x14ac:dyDescent="0.35">
      <c r="A26" t="s">
        <v>118</v>
      </c>
      <c r="B26" s="66">
        <f>(B17*$B$6)/B$5</f>
        <v>4.2012237037037039</v>
      </c>
      <c r="C26" s="66">
        <f t="shared" ref="C26:G26" si="1">(C17*$B$6)/C$5</f>
        <v>0.65844999999999998</v>
      </c>
      <c r="D26" s="66">
        <f t="shared" si="1"/>
        <v>4.105423529411766</v>
      </c>
      <c r="E26" s="66">
        <f t="shared" si="1"/>
        <v>4.138682352941176</v>
      </c>
      <c r="F26" s="66">
        <f t="shared" si="1"/>
        <v>4.6148695652173917</v>
      </c>
      <c r="G26" s="66">
        <f t="shared" si="1"/>
        <v>2.4474917142857144</v>
      </c>
    </row>
    <row r="27" spans="1:8" x14ac:dyDescent="0.35">
      <c r="A27" t="s">
        <v>119</v>
      </c>
      <c r="B27" s="66">
        <f t="shared" ref="B27:G27" si="2">(B18*$B$6)/B$5</f>
        <v>3.8868242424242427</v>
      </c>
      <c r="C27" s="66">
        <f t="shared" si="2"/>
        <v>0.69973428571428564</v>
      </c>
      <c r="D27" s="66">
        <f t="shared" si="2"/>
        <v>3.2842500000000001</v>
      </c>
      <c r="E27" s="66">
        <f t="shared" si="2"/>
        <v>3.7213478260869568</v>
      </c>
      <c r="F27" s="66">
        <f t="shared" si="2"/>
        <v>4.5519150000000002</v>
      </c>
      <c r="G27" s="66">
        <f t="shared" si="2"/>
        <v>2.1847852075471699</v>
      </c>
    </row>
    <row r="28" spans="1:8" x14ac:dyDescent="0.35">
      <c r="A28" t="s">
        <v>120</v>
      </c>
      <c r="B28" s="66">
        <f t="shared" ref="B28:G28" si="3">(B19*$B$6)/B$5</f>
        <v>3.8960536363636367</v>
      </c>
      <c r="C28" s="66">
        <f t="shared" si="3"/>
        <v>0.76036999999999988</v>
      </c>
      <c r="D28" s="66">
        <f t="shared" si="3"/>
        <v>2.7254338461538463</v>
      </c>
      <c r="E28" s="66">
        <f t="shared" si="3"/>
        <v>3.5673766666666666</v>
      </c>
      <c r="F28" s="66">
        <f t="shared" si="3"/>
        <v>4.8532283870967747</v>
      </c>
      <c r="G28" s="66">
        <f t="shared" si="3"/>
        <v>1.9931051566265061</v>
      </c>
    </row>
    <row r="29" spans="1:8" x14ac:dyDescent="0.35">
      <c r="A29" t="s">
        <v>121</v>
      </c>
      <c r="B29" s="66">
        <f t="shared" ref="B29:G29" si="4">(B20*$B$6)/B$5</f>
        <v>2.4792677777777783</v>
      </c>
      <c r="C29" s="66">
        <f t="shared" si="4"/>
        <v>0.36634</v>
      </c>
      <c r="D29" s="66">
        <f t="shared" si="4"/>
        <v>0.63578677966101704</v>
      </c>
      <c r="E29" s="66">
        <f t="shared" si="4"/>
        <v>1.883448717948718</v>
      </c>
      <c r="F29" s="66">
        <f t="shared" si="4"/>
        <v>3.5361200000000004</v>
      </c>
      <c r="G29" s="66">
        <f t="shared" si="4"/>
        <v>0.80049474782608709</v>
      </c>
      <c r="H29" t="s">
        <v>193</v>
      </c>
    </row>
    <row r="30" spans="1:8" x14ac:dyDescent="0.35">
      <c r="A30" t="s">
        <v>122</v>
      </c>
      <c r="B30" s="66">
        <f t="shared" ref="B30:G30" si="5">(B21*$B$6)/B$5</f>
        <v>0</v>
      </c>
      <c r="C30" s="66">
        <f t="shared" si="5"/>
        <v>0</v>
      </c>
      <c r="D30" s="66">
        <f t="shared" si="5"/>
        <v>8.5024615384615393E-2</v>
      </c>
      <c r="E30" s="66">
        <f t="shared" si="5"/>
        <v>0</v>
      </c>
      <c r="F30" s="66">
        <f t="shared" si="5"/>
        <v>0</v>
      </c>
      <c r="G30" s="66">
        <f t="shared" si="5"/>
        <v>4.7974153846153847E-2</v>
      </c>
    </row>
    <row r="31" spans="1:8" x14ac:dyDescent="0.35">
      <c r="A31" t="s">
        <v>89</v>
      </c>
      <c r="B31" s="66">
        <f t="shared" ref="B31:G31" si="6">(B22*$B$6)/B$5</f>
        <v>3.761680000000001</v>
      </c>
      <c r="C31" s="66">
        <f t="shared" si="6"/>
        <v>0.65142</v>
      </c>
      <c r="D31" s="66">
        <f t="shared" si="6"/>
        <v>1.9702200000000003</v>
      </c>
      <c r="E31" s="66">
        <f t="shared" si="6"/>
        <v>3.2748800000000005</v>
      </c>
      <c r="F31" s="66">
        <f t="shared" si="6"/>
        <v>4.4866600000000005</v>
      </c>
      <c r="G31" s="66">
        <f t="shared" si="6"/>
        <v>1.743072</v>
      </c>
    </row>
    <row r="32" spans="1:8" x14ac:dyDescent="0.35">
      <c r="B32" s="66"/>
      <c r="C32" s="66"/>
      <c r="D32" s="66"/>
      <c r="E32" s="66"/>
      <c r="F32" s="66"/>
      <c r="G32" s="66"/>
    </row>
  </sheetData>
  <mergeCells count="1">
    <mergeCell ref="A1:G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9CC0A-581C-4763-B8CF-19AB3B1D859C}">
  <dimension ref="A2:I73"/>
  <sheetViews>
    <sheetView topLeftCell="A45" zoomScale="130" zoomScaleNormal="130" workbookViewId="0">
      <selection activeCell="C64" sqref="C64"/>
    </sheetView>
  </sheetViews>
  <sheetFormatPr defaultRowHeight="14.5" x14ac:dyDescent="0.35"/>
  <cols>
    <col min="1" max="1" width="18.453125" bestFit="1" customWidth="1"/>
    <col min="2" max="2" width="18.1796875" bestFit="1" customWidth="1"/>
    <col min="3" max="3" width="25.36328125" bestFit="1" customWidth="1"/>
    <col min="4" max="4" width="26.81640625" bestFit="1" customWidth="1"/>
    <col min="5" max="5" width="18.6328125" bestFit="1" customWidth="1"/>
    <col min="6" max="7" width="10.7265625" bestFit="1" customWidth="1"/>
    <col min="8" max="8" width="12.7265625" bestFit="1" customWidth="1"/>
  </cols>
  <sheetData>
    <row r="2" spans="1:4" x14ac:dyDescent="0.35">
      <c r="A2" s="5" t="s">
        <v>38</v>
      </c>
      <c r="B2" t="s">
        <v>130</v>
      </c>
    </row>
    <row r="4" spans="1:4" x14ac:dyDescent="0.35">
      <c r="A4" s="5" t="s">
        <v>46</v>
      </c>
      <c r="B4" t="s">
        <v>133</v>
      </c>
      <c r="C4" t="s">
        <v>131</v>
      </c>
      <c r="D4" t="s">
        <v>132</v>
      </c>
    </row>
    <row r="5" spans="1:4" x14ac:dyDescent="0.35">
      <c r="A5" s="6" t="s">
        <v>121</v>
      </c>
      <c r="B5" s="25">
        <v>246.72642607683352</v>
      </c>
      <c r="C5" s="25">
        <v>218.66006984866124</v>
      </c>
      <c r="D5" s="25">
        <v>28.066356228172292</v>
      </c>
    </row>
    <row r="6" spans="1:4" x14ac:dyDescent="0.35">
      <c r="A6" s="6" t="s">
        <v>122</v>
      </c>
      <c r="B6" s="25">
        <v>37.392405063291136</v>
      </c>
      <c r="C6" s="25">
        <v>28.430379746835442</v>
      </c>
      <c r="D6" s="25">
        <v>8.962025316455696</v>
      </c>
    </row>
    <row r="7" spans="1:4" x14ac:dyDescent="0.35">
      <c r="A7" s="6" t="s">
        <v>119</v>
      </c>
      <c r="B7" s="25">
        <v>1040.3861171366593</v>
      </c>
      <c r="C7" s="25">
        <v>971.7787418655098</v>
      </c>
      <c r="D7" s="25">
        <v>68.607375271149678</v>
      </c>
    </row>
    <row r="8" spans="1:4" x14ac:dyDescent="0.35">
      <c r="A8" s="6" t="s">
        <v>120</v>
      </c>
      <c r="B8" s="25">
        <v>818.92105263157896</v>
      </c>
      <c r="C8" s="25">
        <v>754.36842105263156</v>
      </c>
      <c r="D8" s="25">
        <v>64.55263157894737</v>
      </c>
    </row>
    <row r="9" spans="1:4" x14ac:dyDescent="0.35">
      <c r="A9" s="6" t="s">
        <v>118</v>
      </c>
      <c r="B9" s="25">
        <v>1302.6967213114754</v>
      </c>
      <c r="C9" s="25">
        <v>1230.3360655737704</v>
      </c>
      <c r="D9" s="25">
        <v>72.360655737704917</v>
      </c>
    </row>
    <row r="10" spans="1:4" x14ac:dyDescent="0.35">
      <c r="A10" s="6" t="s">
        <v>47</v>
      </c>
      <c r="B10" s="25">
        <v>563.78921326076204</v>
      </c>
      <c r="C10" s="25">
        <v>519.86739238000985</v>
      </c>
      <c r="D10" s="25">
        <v>43.921820880752101</v>
      </c>
    </row>
    <row r="12" spans="1:4" x14ac:dyDescent="0.35">
      <c r="A12" s="5" t="s">
        <v>38</v>
      </c>
      <c r="B12" s="6">
        <v>1</v>
      </c>
    </row>
    <row r="14" spans="1:4" x14ac:dyDescent="0.35">
      <c r="A14" s="5" t="s">
        <v>46</v>
      </c>
      <c r="B14" t="s">
        <v>133</v>
      </c>
      <c r="C14" t="s">
        <v>131</v>
      </c>
      <c r="D14" t="s">
        <v>132</v>
      </c>
    </row>
    <row r="15" spans="1:4" x14ac:dyDescent="0.35">
      <c r="A15" s="6" t="s">
        <v>121</v>
      </c>
      <c r="B15" s="25">
        <v>469.77391304347827</v>
      </c>
      <c r="C15" s="25">
        <v>426.71304347826089</v>
      </c>
      <c r="D15" s="25">
        <v>43.060869565217388</v>
      </c>
    </row>
    <row r="16" spans="1:4" x14ac:dyDescent="0.35">
      <c r="A16" s="6" t="s">
        <v>122</v>
      </c>
      <c r="B16" s="25">
        <v>28.153846153846153</v>
      </c>
      <c r="C16" s="25">
        <v>13</v>
      </c>
      <c r="D16" s="25">
        <v>15.153846153846153</v>
      </c>
    </row>
    <row r="17" spans="1:4" x14ac:dyDescent="0.35">
      <c r="A17" s="6" t="s">
        <v>119</v>
      </c>
      <c r="B17" s="25">
        <v>1282.1509433962265</v>
      </c>
      <c r="C17" s="25">
        <v>1210.0691823899372</v>
      </c>
      <c r="D17" s="25">
        <v>72.081761006289312</v>
      </c>
    </row>
    <row r="18" spans="1:4" x14ac:dyDescent="0.35">
      <c r="A18" s="6" t="s">
        <v>120</v>
      </c>
      <c r="B18" s="25">
        <v>1169.6626506024097</v>
      </c>
      <c r="C18" s="25">
        <v>1100.9036144578313</v>
      </c>
      <c r="D18" s="25">
        <v>68.759036144578317</v>
      </c>
    </row>
    <row r="19" spans="1:4" x14ac:dyDescent="0.35">
      <c r="A19" s="6" t="s">
        <v>118</v>
      </c>
      <c r="B19" s="25">
        <v>1436.3214285714287</v>
      </c>
      <c r="C19" s="25">
        <v>1363.0535714285713</v>
      </c>
      <c r="D19" s="25">
        <v>73.267857142857139</v>
      </c>
    </row>
    <row r="20" spans="1:4" x14ac:dyDescent="0.35">
      <c r="A20" s="6" t="s">
        <v>47</v>
      </c>
      <c r="B20" s="25">
        <v>1022.9295774647887</v>
      </c>
      <c r="C20" s="25">
        <v>960.91079812206567</v>
      </c>
      <c r="D20" s="25">
        <v>62.018779342723008</v>
      </c>
    </row>
    <row r="22" spans="1:4" x14ac:dyDescent="0.35">
      <c r="A22" s="5" t="s">
        <v>38</v>
      </c>
      <c r="B22" s="6">
        <v>0</v>
      </c>
    </row>
    <row r="24" spans="1:4" x14ac:dyDescent="0.35">
      <c r="A24" s="5" t="s">
        <v>46</v>
      </c>
      <c r="B24" t="s">
        <v>133</v>
      </c>
      <c r="C24" t="s">
        <v>131</v>
      </c>
      <c r="D24" t="s">
        <v>132</v>
      </c>
    </row>
    <row r="25" spans="1:4" x14ac:dyDescent="0.35">
      <c r="A25" s="6" t="s">
        <v>121</v>
      </c>
      <c r="B25" s="25">
        <v>212.25</v>
      </c>
      <c r="C25" s="25">
        <v>186.5013440860215</v>
      </c>
      <c r="D25" s="25">
        <v>25.748655913978496</v>
      </c>
    </row>
    <row r="26" spans="1:4" x14ac:dyDescent="0.35">
      <c r="A26" s="6" t="s">
        <v>122</v>
      </c>
      <c r="B26" s="25">
        <v>37.928571428571431</v>
      </c>
      <c r="C26" s="25">
        <v>29.325892857142858</v>
      </c>
      <c r="D26" s="25">
        <v>8.6026785714285712</v>
      </c>
    </row>
    <row r="27" spans="1:4" x14ac:dyDescent="0.35">
      <c r="A27" s="6" t="s">
        <v>119</v>
      </c>
      <c r="B27" s="25">
        <v>913.0993377483444</v>
      </c>
      <c r="C27" s="25">
        <v>846.32119205298011</v>
      </c>
      <c r="D27" s="25">
        <v>66.778145695364245</v>
      </c>
    </row>
    <row r="28" spans="1:4" x14ac:dyDescent="0.35">
      <c r="A28" s="6" t="s">
        <v>120</v>
      </c>
      <c r="B28" s="25">
        <v>706.52123552123555</v>
      </c>
      <c r="C28" s="25">
        <v>643.31660231660237</v>
      </c>
      <c r="D28" s="25">
        <v>63.204633204633204</v>
      </c>
    </row>
    <row r="29" spans="1:4" x14ac:dyDescent="0.35">
      <c r="A29" s="6" t="s">
        <v>118</v>
      </c>
      <c r="B29" s="25">
        <v>1189.3181818181818</v>
      </c>
      <c r="C29" s="25">
        <v>1117.7272727272727</v>
      </c>
      <c r="D29" s="25">
        <v>71.590909090909093</v>
      </c>
    </row>
    <row r="30" spans="1:4" x14ac:dyDescent="0.35">
      <c r="A30" s="6" t="s">
        <v>47</v>
      </c>
      <c r="B30" s="25">
        <v>441.15987460815046</v>
      </c>
      <c r="C30" s="25">
        <v>402.07147335423195</v>
      </c>
      <c r="D30" s="25">
        <v>39.088401253918498</v>
      </c>
    </row>
    <row r="33" spans="1:6" ht="15.5" x14ac:dyDescent="0.35">
      <c r="A33" s="76" t="s">
        <v>134</v>
      </c>
      <c r="B33" s="76"/>
      <c r="C33" s="76"/>
      <c r="D33" s="76"/>
    </row>
    <row r="34" spans="1:6" x14ac:dyDescent="0.35">
      <c r="A34" s="74" t="s">
        <v>135</v>
      </c>
      <c r="B34" s="74"/>
      <c r="C34" s="74"/>
    </row>
    <row r="35" spans="1:6" x14ac:dyDescent="0.35">
      <c r="A35" s="15">
        <f>(GETPIVOTDATA("Average of MntTotal",$A$14)-GETPIVOTDATA("Average of MntTotal",$A$24))/GETPIVOTDATA("Average of MntTotal",$A$24)+1</f>
        <v>2.3187276004495674</v>
      </c>
    </row>
    <row r="38" spans="1:6" x14ac:dyDescent="0.35">
      <c r="A38" s="72" t="s">
        <v>236</v>
      </c>
      <c r="B38" s="72"/>
      <c r="C38" s="72"/>
      <c r="D38" s="72"/>
    </row>
    <row r="39" spans="1:6" ht="58.5" thickBot="1" x14ac:dyDescent="0.4">
      <c r="A39" s="20" t="s">
        <v>124</v>
      </c>
      <c r="B39" s="20" t="s">
        <v>233</v>
      </c>
      <c r="C39" s="32" t="s">
        <v>234</v>
      </c>
      <c r="D39" s="32" t="s">
        <v>235</v>
      </c>
      <c r="E39" s="32" t="s">
        <v>237</v>
      </c>
      <c r="F39" s="32" t="s">
        <v>238</v>
      </c>
    </row>
    <row r="40" spans="1:6" x14ac:dyDescent="0.35">
      <c r="A40" t="s">
        <v>118</v>
      </c>
      <c r="B40">
        <v>158929</v>
      </c>
      <c r="C40">
        <v>150101</v>
      </c>
      <c r="D40">
        <v>8828</v>
      </c>
      <c r="E40" s="18">
        <f>C40/$B40</f>
        <v>0.94445318349703322</v>
      </c>
      <c r="F40" s="18">
        <f>D40/$B40</f>
        <v>5.5546816502966737E-2</v>
      </c>
    </row>
    <row r="41" spans="1:6" x14ac:dyDescent="0.35">
      <c r="A41" t="s">
        <v>119</v>
      </c>
      <c r="B41">
        <v>479618</v>
      </c>
      <c r="C41">
        <v>447990</v>
      </c>
      <c r="D41">
        <v>31628</v>
      </c>
      <c r="E41" s="18">
        <f t="shared" ref="E41:E45" si="0">C41/$B41</f>
        <v>0.93405585278283965</v>
      </c>
      <c r="F41" s="18">
        <f t="shared" ref="F41:F45" si="1">D41/$B41</f>
        <v>6.5944147217160326E-2</v>
      </c>
    </row>
    <row r="42" spans="1:6" x14ac:dyDescent="0.35">
      <c r="A42" t="s">
        <v>120</v>
      </c>
      <c r="B42">
        <v>280071</v>
      </c>
      <c r="C42">
        <v>257994</v>
      </c>
      <c r="D42">
        <v>22077</v>
      </c>
      <c r="E42" s="18">
        <f t="shared" si="0"/>
        <v>0.92117355956168256</v>
      </c>
      <c r="F42" s="18">
        <f t="shared" si="1"/>
        <v>7.8826440438317422E-2</v>
      </c>
    </row>
    <row r="43" spans="1:6" x14ac:dyDescent="0.35">
      <c r="A43" t="s">
        <v>121</v>
      </c>
      <c r="B43">
        <v>211938</v>
      </c>
      <c r="C43">
        <v>187829</v>
      </c>
      <c r="D43">
        <v>24109</v>
      </c>
      <c r="E43" s="18">
        <f t="shared" si="0"/>
        <v>0.88624503392501586</v>
      </c>
      <c r="F43" s="18">
        <f t="shared" si="1"/>
        <v>0.1137549660749842</v>
      </c>
    </row>
    <row r="44" spans="1:6" x14ac:dyDescent="0.35">
      <c r="A44" t="s">
        <v>122</v>
      </c>
      <c r="B44">
        <v>8862</v>
      </c>
      <c r="C44">
        <v>6738</v>
      </c>
      <c r="D44">
        <v>2124</v>
      </c>
      <c r="E44" s="18">
        <f t="shared" si="0"/>
        <v>0.76032498307379826</v>
      </c>
      <c r="F44" s="18">
        <f t="shared" si="1"/>
        <v>0.23967501692620177</v>
      </c>
    </row>
    <row r="45" spans="1:6" x14ac:dyDescent="0.35">
      <c r="A45" s="25" t="s">
        <v>128</v>
      </c>
      <c r="B45" s="25">
        <v>1139418</v>
      </c>
      <c r="C45">
        <v>1050652</v>
      </c>
      <c r="D45" s="63">
        <v>88766</v>
      </c>
      <c r="E45" s="18">
        <f t="shared" si="0"/>
        <v>0.92209531532764977</v>
      </c>
      <c r="F45" s="18">
        <f t="shared" si="1"/>
        <v>7.7904684672350274E-2</v>
      </c>
    </row>
    <row r="46" spans="1:6" x14ac:dyDescent="0.35">
      <c r="A46" s="25"/>
      <c r="B46" s="25"/>
      <c r="D46" s="18"/>
      <c r="E46" s="18"/>
      <c r="F46" s="65"/>
    </row>
    <row r="47" spans="1:6" x14ac:dyDescent="0.35">
      <c r="A47" s="25"/>
      <c r="B47" s="25"/>
      <c r="D47" s="18"/>
      <c r="E47" s="18"/>
    </row>
    <row r="49" spans="1:9" x14ac:dyDescent="0.35">
      <c r="A49" s="4" t="s">
        <v>142</v>
      </c>
      <c r="B49" s="4" t="s">
        <v>89</v>
      </c>
      <c r="C49" s="4" t="s">
        <v>107</v>
      </c>
      <c r="D49" s="4" t="s">
        <v>108</v>
      </c>
      <c r="E49" s="4" t="s">
        <v>109</v>
      </c>
      <c r="F49" s="4" t="s">
        <v>110</v>
      </c>
      <c r="G49" s="4" t="s">
        <v>111</v>
      </c>
      <c r="H49" s="4" t="s">
        <v>145</v>
      </c>
    </row>
    <row r="50" spans="1:9" x14ac:dyDescent="0.35">
      <c r="A50" t="s">
        <v>146</v>
      </c>
      <c r="B50" s="25">
        <f>AVERAGE(ifood_data[[#All],[MntTotal]])</f>
        <v>563.78921326076204</v>
      </c>
      <c r="C50" s="25">
        <f>AVERAGEIF('Cleaned Data'!Q$2:Q$2022,"=1",'Cleaned Data'!$AN$2:$AN$2022)</f>
        <v>1414.1654135338347</v>
      </c>
      <c r="D50" s="25">
        <f>AVERAGEIF('Cleaned Data'!R$2:R$2022,"=1",'Cleaned Data'!$AN$2:$AN$2022)</f>
        <v>1252.7307692307693</v>
      </c>
      <c r="E50" s="25">
        <f>AVERAGEIF('Cleaned Data'!S$2:S$2022,"=1",'Cleaned Data'!$AN$2:$AN$2022)</f>
        <v>652.39072847682121</v>
      </c>
      <c r="F50" s="25">
        <f>AVERAGEIF('Cleaned Data'!T$2:T$2022,"=1",'Cleaned Data'!$AN$2:$AN$2022)</f>
        <v>1056.4129032258065</v>
      </c>
      <c r="G50" s="25">
        <f>AVERAGEIF('Cleaned Data'!U$2:U$2022,"=1",'Cleaned Data'!$AN$2:$AN$2022)</f>
        <v>1536.527397260274</v>
      </c>
      <c r="H50" s="25">
        <f>AVERAGEIF('Cleaned Data'!V$2:V$2022,"=1",'Cleaned Data'!$AN$2:$AN$2022)</f>
        <v>1022.9295774647887</v>
      </c>
    </row>
    <row r="51" spans="1:9" x14ac:dyDescent="0.35">
      <c r="A51" t="s">
        <v>147</v>
      </c>
      <c r="B51" s="25">
        <f>AVERAGE(ifood_data[[#All],[MntRegularProds]])</f>
        <v>519.86739238000985</v>
      </c>
      <c r="C51" s="25">
        <f>AVERAGEIF('Cleaned Data'!Q$2:Q$2022,"=1",'Cleaned Data'!$AO$2:$AO$2022)</f>
        <v>1337.9924812030076</v>
      </c>
      <c r="D51" s="25">
        <f>AVERAGEIF('Cleaned Data'!R$2:R$2022,"=1",'Cleaned Data'!$AO$2:$AO$2022)</f>
        <v>1181.8461538461538</v>
      </c>
      <c r="E51" s="25">
        <f>AVERAGEIF('Cleaned Data'!S$2:S$2022,"=1",'Cleaned Data'!$AO$2:$AO$2022)</f>
        <v>584.1192052980133</v>
      </c>
      <c r="F51" s="25">
        <f>AVERAGEIF('Cleaned Data'!T$2:T$2022,"=1",'Cleaned Data'!$AO$2:$AO$2022)</f>
        <v>1009.2</v>
      </c>
      <c r="G51" s="25">
        <f>AVERAGEIF('Cleaned Data'!U$2:U$2022,"=1",'Cleaned Data'!$AO$2:$AO$2022)</f>
        <v>1461.0821917808219</v>
      </c>
      <c r="H51" s="25">
        <f>AVERAGEIF('Cleaned Data'!V$2:V$2022,"=1",'Cleaned Data'!$AO$2:$AO$2022)</f>
        <v>960.91079812206567</v>
      </c>
    </row>
    <row r="52" spans="1:9" x14ac:dyDescent="0.35">
      <c r="A52" t="s">
        <v>148</v>
      </c>
      <c r="B52" s="25">
        <f>AVERAGE(ifood_data[[#All],[MntPremiumProds]])</f>
        <v>43.921820880752101</v>
      </c>
      <c r="C52" s="25">
        <f>AVERAGEIF('Cleaned Data'!Q$2:Q$2022,"=1",'Cleaned Data'!$AP$2:$AP$2022)</f>
        <v>76.172932330827066</v>
      </c>
      <c r="D52" s="25">
        <f>AVERAGEIF('Cleaned Data'!R$2:R$2022,"=1",'Cleaned Data'!$AP$2:$AP$2022)</f>
        <v>70.884615384615387</v>
      </c>
      <c r="E52" s="25">
        <f>AVERAGEIF('Cleaned Data'!S$2:S$2022,"=1",'Cleaned Data'!$AP$2:$AP$2022)</f>
        <v>68.271523178807954</v>
      </c>
      <c r="F52" s="25">
        <f>AVERAGEIF('Cleaned Data'!T$2:T$2022,"=1",'Cleaned Data'!$AP$2:$AP$2022)</f>
        <v>47.21290322580645</v>
      </c>
      <c r="G52" s="25">
        <f>AVERAGEIF('Cleaned Data'!U$2:U$2022,"=1",'Cleaned Data'!$AP$2:$AP$2022)</f>
        <v>75.445205479452056</v>
      </c>
      <c r="H52" s="25">
        <f>AVERAGEIF('Cleaned Data'!V$2:V$2022,"=1",'Cleaned Data'!$AP$2:$AP$2022)</f>
        <v>62.018779342723008</v>
      </c>
    </row>
    <row r="53" spans="1:9" x14ac:dyDescent="0.35">
      <c r="B53" s="25"/>
      <c r="C53" s="25"/>
      <c r="D53" s="25"/>
      <c r="E53" s="25"/>
      <c r="F53" s="25"/>
      <c r="G53" s="25"/>
      <c r="H53" s="25"/>
    </row>
    <row r="54" spans="1:9" x14ac:dyDescent="0.35">
      <c r="A54" s="6" t="s">
        <v>143</v>
      </c>
      <c r="B54" s="25">
        <f>SUM('Cleaned Data'!$AO$2:$AO$2022)</f>
        <v>1050652</v>
      </c>
      <c r="C54" s="25">
        <f>SUMIFS('Cleaned Data'!$AO$2:$AO$2022,'Cleaned Data'!Q$2:Q$2022,"=1")</f>
        <v>177953</v>
      </c>
      <c r="D54" s="25">
        <f>SUMIFS('Cleaned Data'!$AO$2:$AO$2022,'Cleaned Data'!R$2:R$2022,"=1")</f>
        <v>30728</v>
      </c>
      <c r="E54" s="25">
        <f>SUMIFS('Cleaned Data'!$AO$2:$AO$2022,'Cleaned Data'!S$2:S$2022,"=1")</f>
        <v>88202</v>
      </c>
      <c r="F54" s="25">
        <f>SUMIFS('Cleaned Data'!$AO$2:$AO$2022,'Cleaned Data'!T$2:T$2022,"=1")</f>
        <v>156426</v>
      </c>
      <c r="G54" s="25">
        <f>SUMIFS('Cleaned Data'!$AO$2:$AO$2022,'Cleaned Data'!U$2:U$2022,"=1")</f>
        <v>213318</v>
      </c>
      <c r="H54" s="25">
        <f>SUMIFS('Cleaned Data'!$AO$2:$AO$2022,'Cleaned Data'!V$2:V$2022,"=1")</f>
        <v>409348</v>
      </c>
      <c r="I54" s="18">
        <f>H54/SUM($H$54:$H$55)</f>
        <v>0.93937140863945956</v>
      </c>
    </row>
    <row r="55" spans="1:9" x14ac:dyDescent="0.35">
      <c r="A55" s="6" t="s">
        <v>144</v>
      </c>
      <c r="B55" s="25">
        <f>SUM('Cleaned Data'!$AP$2:$AP$2022)</f>
        <v>88766</v>
      </c>
      <c r="C55" s="25">
        <f>SUMIFS('Cleaned Data'!$AP$2:$AP$2022,'Cleaned Data'!Q$2:Q$2022,"=1")</f>
        <v>10131</v>
      </c>
      <c r="D55" s="25">
        <f>SUMIFS('Cleaned Data'!$AP$2:$AP$2022,'Cleaned Data'!R$2:R$2022,"=1")</f>
        <v>1843</v>
      </c>
      <c r="E55" s="25">
        <f>SUMIFS('Cleaned Data'!$AP$2:$AP$2022,'Cleaned Data'!S$2:S$2022,"=1")</f>
        <v>10309</v>
      </c>
      <c r="F55" s="25">
        <f>SUMIFS('Cleaned Data'!$AP$2:$AP$2022,'Cleaned Data'!T$2:T$2022,"=1")</f>
        <v>7318</v>
      </c>
      <c r="G55" s="25">
        <f>SUMIFS('Cleaned Data'!$AP$2:$AP$2022,'Cleaned Data'!U$2:U$2022,"=1")</f>
        <v>11015</v>
      </c>
      <c r="H55" s="25">
        <f>SUMIFS('Cleaned Data'!$AP$2:$AP$2022,'Cleaned Data'!V$2:V$2022,"=1")</f>
        <v>26420</v>
      </c>
      <c r="I55" s="18">
        <f>H55/SUM($H$54:$H$55)</f>
        <v>6.0628591360540468E-2</v>
      </c>
    </row>
    <row r="56" spans="1:9" x14ac:dyDescent="0.35">
      <c r="B56" s="25"/>
      <c r="C56" s="25"/>
      <c r="D56" s="25"/>
      <c r="E56" s="25"/>
      <c r="F56" s="25"/>
      <c r="G56" s="25"/>
      <c r="H56" s="25"/>
    </row>
    <row r="57" spans="1:9" x14ac:dyDescent="0.35">
      <c r="A57" s="6" t="s">
        <v>118</v>
      </c>
    </row>
    <row r="58" spans="1:9" x14ac:dyDescent="0.35">
      <c r="A58" s="6" t="s">
        <v>147</v>
      </c>
      <c r="B58" s="25">
        <f>AVERAGEIFS('Cleaned Data'!$AO$2:$AO$2022,'Cleaned Data'!$BD$2:$BD$2022,$A$57)</f>
        <v>1230.3360655737704</v>
      </c>
      <c r="C58" s="25">
        <f>AVERAGEIFS('Cleaned Data'!$AO$2:$AO$2022,'Cleaned Data'!$BD$2:$BD$2022,$A$57,'Cleaned Data'!Q$2:Q$2022,"=1")</f>
        <v>1495.851851851852</v>
      </c>
      <c r="D58" s="25">
        <f>AVERAGEIFS('Cleaned Data'!$AO$2:$AO$2022,'Cleaned Data'!$BD$2:$BD$2022,$A$57,'Cleaned Data'!R$2:R$2022,"=1")</f>
        <v>1171.25</v>
      </c>
      <c r="E58" s="25">
        <f>AVERAGEIFS('Cleaned Data'!$AO$2:$AO$2022,'Cleaned Data'!$BD$2:$BD$2022,$A$57,'Cleaned Data'!S$2:S$2022,"=1")</f>
        <v>1273.7058823529412</v>
      </c>
      <c r="F58" s="25">
        <f>AVERAGEIFS('Cleaned Data'!$AO$2:$AO$2022,'Cleaned Data'!$BD$2:$BD$2022,$A$57,'Cleaned Data'!T$2:T$2022,"=1")</f>
        <v>1278.4117647058824</v>
      </c>
      <c r="G58" s="25">
        <f>AVERAGEIFS('Cleaned Data'!$AO$2:$AO$2022,'Cleaned Data'!$BD$2:$BD$2022,$A$57,'Cleaned Data'!U$2:U$2022,"=1")</f>
        <v>1498.6521739130435</v>
      </c>
      <c r="H58" s="25">
        <f>AVERAGEIFS('Cleaned Data'!$AO$2:$AO$2022,'Cleaned Data'!$BD$2:$BD$2022,$A$57,'Cleaned Data'!V$2:V$2022,"=1")</f>
        <v>1363.0535714285713</v>
      </c>
    </row>
    <row r="59" spans="1:9" x14ac:dyDescent="0.35">
      <c r="A59" s="6" t="s">
        <v>148</v>
      </c>
      <c r="B59" s="25">
        <f>AVERAGEIFS('Cleaned Data'!$AP$2:$AP$2022,'Cleaned Data'!$BD$2:$BD$2022,$A$57)</f>
        <v>72.360655737704917</v>
      </c>
      <c r="C59" s="25">
        <f>AVERAGEIFS('Cleaned Data'!$AP$2:$AP$2022,'Cleaned Data'!$BD$2:$BD$2022,$A$57,'Cleaned Data'!Q$2:Q$2022,"=1")</f>
        <v>83.555555555555557</v>
      </c>
      <c r="D59" s="25">
        <f>AVERAGEIFS('Cleaned Data'!$AP$2:$AP$2022,'Cleaned Data'!$BD$2:$BD$2022,$A$57,'Cleaned Data'!R$2:R$2022,"=1")</f>
        <v>95</v>
      </c>
      <c r="E59" s="25">
        <f>AVERAGEIFS('Cleaned Data'!$AP$2:$AP$2022,'Cleaned Data'!$BD$2:$BD$2022,$A$57,'Cleaned Data'!S$2:S$2022,"=1")</f>
        <v>85.705882352941174</v>
      </c>
      <c r="F59" s="25">
        <f>AVERAGEIFS('Cleaned Data'!$AP$2:$AP$2022,'Cleaned Data'!$BD$2:$BD$2022,$A$57,'Cleaned Data'!T$2:T$2022,"=1")</f>
        <v>56.647058823529413</v>
      </c>
      <c r="G59" s="25">
        <f>AVERAGEIFS('Cleaned Data'!$AP$2:$AP$2022,'Cleaned Data'!$BD$2:$BD$2022,$A$57,'Cleaned Data'!U$2:U$2022,"=1")</f>
        <v>81.782608695652172</v>
      </c>
      <c r="H59" s="25">
        <f>AVERAGEIFS('Cleaned Data'!$AP$2:$AP$2022,'Cleaned Data'!$BD$2:$BD$2022,$A$57,'Cleaned Data'!V$2:V$2022,"=1")</f>
        <v>73.267857142857139</v>
      </c>
    </row>
    <row r="60" spans="1:9" x14ac:dyDescent="0.35">
      <c r="A60" s="6"/>
      <c r="B60" s="25"/>
      <c r="C60" s="25"/>
      <c r="D60" s="25"/>
      <c r="E60" s="25"/>
      <c r="F60" s="25"/>
      <c r="G60" s="25"/>
      <c r="H60" s="25"/>
    </row>
    <row r="61" spans="1:9" x14ac:dyDescent="0.35">
      <c r="A61" s="6" t="s">
        <v>119</v>
      </c>
    </row>
    <row r="62" spans="1:9" x14ac:dyDescent="0.35">
      <c r="A62" s="6" t="s">
        <v>143</v>
      </c>
      <c r="B62" s="25">
        <f>SUMIFS('Cleaned Data'!$AO$2:$AO$2022,'Cleaned Data'!$BD$2:$BD$2022,$A$61)</f>
        <v>447990</v>
      </c>
      <c r="C62" s="25">
        <f>SUMIFS('Cleaned Data'!$AO$2:$AO$2022,'Cleaned Data'!$BD$2:$BD$2022,$A$61,'Cleaned Data'!Q$2:Q$2022,"=1")</f>
        <v>91960</v>
      </c>
      <c r="D62" s="25">
        <f>SUMIFS('Cleaned Data'!$AO$2:$AO$2022,'Cleaned Data'!$BD$2:$BD$2022,$A$61,'Cleaned Data'!R$2:R$2022,"=1")</f>
        <v>18032</v>
      </c>
      <c r="E62" s="25">
        <f>SUMIFS('Cleaned Data'!$AO$2:$AO$2022,'Cleaned Data'!$BD$2:$BD$2022,$A$61,'Cleaned Data'!S$2:S$2022,"=1")</f>
        <v>35493</v>
      </c>
      <c r="F62" s="25">
        <f>SUMIFS('Cleaned Data'!$AO$2:$AO$2022,'Cleaned Data'!$BD$2:$BD$2022,$A$61,'Cleaned Data'!T$2:T$2022,"=1")</f>
        <v>79246</v>
      </c>
      <c r="G62" s="25">
        <f>SUMIFS('Cleaned Data'!$AO$2:$AO$2022,'Cleaned Data'!$BD$2:$BD$2022,$A$61,'Cleaned Data'!U$2:U$2022,"=1")</f>
        <v>106863</v>
      </c>
      <c r="H62" s="25">
        <f>SUMIFS('Cleaned Data'!$AO$2:$AO$2022,'Cleaned Data'!$BD$2:$BD$2022,$A$61,'Cleaned Data'!V$2:V$2022,"=1")</f>
        <v>192401</v>
      </c>
      <c r="I62" s="18">
        <f>H62/SUM($H$62:$H$63)</f>
        <v>0.94378059667814507</v>
      </c>
    </row>
    <row r="63" spans="1:9" x14ac:dyDescent="0.35">
      <c r="A63" s="6" t="s">
        <v>144</v>
      </c>
      <c r="B63" s="25">
        <f>SUMIFS('Cleaned Data'!$AP$2:$AP$2022,'Cleaned Data'!$BD$2:$BD$2022,$A$61)</f>
        <v>31628</v>
      </c>
      <c r="C63" s="25">
        <f>SUMIFS('Cleaned Data'!$AP$2:$AP$2022,'Cleaned Data'!$BD$2:$BD$2022,$A$61,'Cleaned Data'!Q$2:Q$2022,"=1")</f>
        <v>4480</v>
      </c>
      <c r="D63" s="25">
        <f>SUMIFS('Cleaned Data'!$AP$2:$AP$2022,'Cleaned Data'!$BD$2:$BD$2022,$A$61,'Cleaned Data'!R$2:R$2022,"=1")</f>
        <v>807</v>
      </c>
      <c r="E63" s="25">
        <f>SUMIFS('Cleaned Data'!$AP$2:$AP$2022,'Cleaned Data'!$BD$2:$BD$2022,$A$61,'Cleaned Data'!S$2:S$2022,"=1")</f>
        <v>3657</v>
      </c>
      <c r="F63" s="25">
        <f>SUMIFS('Cleaned Data'!$AP$2:$AP$2022,'Cleaned Data'!$BD$2:$BD$2022,$A$61,'Cleaned Data'!T$2:T$2022,"=1")</f>
        <v>3584</v>
      </c>
      <c r="G63" s="25">
        <f>SUMIFS('Cleaned Data'!$AP$2:$AP$2022,'Cleaned Data'!$BD$2:$BD$2022,$A$61,'Cleaned Data'!U$2:U$2022,"=1")</f>
        <v>5376</v>
      </c>
      <c r="H63" s="25">
        <f>SUMIFS('Cleaned Data'!$AP$2:$AP$2022,'Cleaned Data'!$BD$2:$BD$2022,$A$61,'Cleaned Data'!V$2:V$2022,"=1")</f>
        <v>11461</v>
      </c>
      <c r="I63" s="18">
        <f>H63/SUM($H$62:$H$63)</f>
        <v>5.6219403321854981E-2</v>
      </c>
    </row>
    <row r="64" spans="1:9" x14ac:dyDescent="0.35">
      <c r="A64" s="6"/>
      <c r="B64" s="25"/>
      <c r="C64" s="25"/>
      <c r="D64" s="25"/>
      <c r="E64" s="25"/>
      <c r="F64" s="25"/>
      <c r="G64" s="25"/>
      <c r="H64" s="25"/>
      <c r="I64" s="18"/>
    </row>
    <row r="65" spans="1:9" x14ac:dyDescent="0.35">
      <c r="A65" s="6" t="s">
        <v>120</v>
      </c>
      <c r="D65" t="s">
        <v>193</v>
      </c>
      <c r="I65" s="18"/>
    </row>
    <row r="66" spans="1:9" x14ac:dyDescent="0.35">
      <c r="A66" s="6" t="s">
        <v>143</v>
      </c>
      <c r="B66" s="25">
        <f>SUMIFS('Cleaned Data'!$AO$2:$AO$2022,'Cleaned Data'!$BD$2:$BD$2022,$A$65)</f>
        <v>257994</v>
      </c>
      <c r="C66" s="25">
        <f>SUMIFS('Cleaned Data'!$AO$2:$AO$2022,'Cleaned Data'!$BD$2:$BD$2022,$A$65,'Cleaned Data'!Q$2:Q$2022,"=1")</f>
        <v>30141</v>
      </c>
      <c r="D66" s="25">
        <f>SUMIFS('Cleaned Data'!$AO$2:$AO$2022,'Cleaned Data'!$BD$2:$BD$2022,$A$65,'Cleaned Data'!R$2:R$2022,"=1")</f>
        <v>5412</v>
      </c>
      <c r="E66" s="25">
        <f>SUMIFS('Cleaned Data'!$AO$2:$AO$2022,'Cleaned Data'!$BD$2:$BD$2022,$A$65,'Cleaned Data'!S$2:S$2022,"=1")</f>
        <v>21041</v>
      </c>
      <c r="F66" s="25">
        <f>SUMIFS('Cleaned Data'!$AO$2:$AO$2022,'Cleaned Data'!$BD$2:$BD$2022,$A$65,'Cleaned Data'!T$2:T$2022,"=1")</f>
        <v>33033</v>
      </c>
      <c r="G66" s="25">
        <f>SUMIFS('Cleaned Data'!$AO$2:$AO$2022,'Cleaned Data'!$BD$2:$BD$2022,$A$65,'Cleaned Data'!U$2:U$2022,"=1")</f>
        <v>49139</v>
      </c>
      <c r="H66" s="25">
        <f>SUMIFS('Cleaned Data'!$AO$2:$AO$2022,'Cleaned Data'!$BD$2:$BD$2022,$A$65,'Cleaned Data'!V$2:V$2022,"=1")</f>
        <v>91375</v>
      </c>
      <c r="I66" s="18">
        <f>H66/SUM($H$66:$H$67)</f>
        <v>0.94121464329123838</v>
      </c>
    </row>
    <row r="67" spans="1:9" x14ac:dyDescent="0.35">
      <c r="A67" s="6" t="s">
        <v>144</v>
      </c>
      <c r="B67" s="25">
        <f>SUMIFS('Cleaned Data'!$AP$2:$AP$2022,'Cleaned Data'!$BD$2:$BD$2022,$A$65)</f>
        <v>22077</v>
      </c>
      <c r="C67" s="25">
        <f>SUMIFS('Cleaned Data'!$AP$2:$AP$2022,'Cleaned Data'!$BD$2:$BD$2022,$A$65,'Cleaned Data'!Q$2:Q$2022,"=1")</f>
        <v>2082</v>
      </c>
      <c r="D67" s="25">
        <f>SUMIFS('Cleaned Data'!$AP$2:$AP$2022,'Cleaned Data'!$BD$2:$BD$2022,$A$65,'Cleaned Data'!R$2:R$2022,"=1")</f>
        <v>437</v>
      </c>
      <c r="E67" s="25">
        <f>SUMIFS('Cleaned Data'!$AP$2:$AP$2022,'Cleaned Data'!$BD$2:$BD$2022,$A$65,'Cleaned Data'!S$2:S$2022,"=1")</f>
        <v>2423</v>
      </c>
      <c r="F67" s="25">
        <f>SUMIFS('Cleaned Data'!$AP$2:$AP$2022,'Cleaned Data'!$BD$2:$BD$2022,$A$65,'Cleaned Data'!T$2:T$2022,"=1")</f>
        <v>1490</v>
      </c>
      <c r="G67" s="25">
        <f>SUMIFS('Cleaned Data'!$AP$2:$AP$2022,'Cleaned Data'!$BD$2:$BD$2022,$A$65,'Cleaned Data'!U$2:U$2022,"=1")</f>
        <v>2385</v>
      </c>
      <c r="H67" s="25">
        <f>SUMIFS('Cleaned Data'!$AP$2:$AP$2022,'Cleaned Data'!$BD$2:$BD$2022,$A$65,'Cleaned Data'!V$2:V$2022,"=1")</f>
        <v>5707</v>
      </c>
      <c r="I67" s="18">
        <f>H67/SUM($H$66:$H$67)</f>
        <v>5.8785356708761664E-2</v>
      </c>
    </row>
    <row r="69" spans="1:9" x14ac:dyDescent="0.35">
      <c r="A69" s="6" t="s">
        <v>121</v>
      </c>
    </row>
    <row r="70" spans="1:9" x14ac:dyDescent="0.35">
      <c r="A70" s="6" t="s">
        <v>143</v>
      </c>
      <c r="B70" s="25">
        <f>SUMIFS('Cleaned Data'!$AO$2:$AO$2022,'Cleaned Data'!$BD$2:$BD$2022,$A$69)</f>
        <v>187829</v>
      </c>
      <c r="C70" s="25">
        <f>SUMIFS('Cleaned Data'!$AO$2:$AO$2022,'Cleaned Data'!$BD$2:$BD$2022,$A$69,'Cleaned Data'!Q$2:Q$2022,"=1")</f>
        <v>15464</v>
      </c>
      <c r="D70" s="25">
        <f>SUMIFS('Cleaned Data'!$AO$2:$AO$2022,'Cleaned Data'!$BD$2:$BD$2022,$A$69,'Cleaned Data'!R$2:R$2022,"=1")</f>
        <v>2599</v>
      </c>
      <c r="E70" s="25">
        <f>SUMIFS('Cleaned Data'!$AO$2:$AO$2022,'Cleaned Data'!$BD$2:$BD$2022,$A$69,'Cleaned Data'!S$2:S$2022,"=1")</f>
        <v>9846</v>
      </c>
      <c r="F70" s="25">
        <f>SUMIFS('Cleaned Data'!$AO$2:$AO$2022,'Cleaned Data'!$BD$2:$BD$2022,$A$69,'Cleaned Data'!T$2:T$2022,"=1")</f>
        <v>22414</v>
      </c>
      <c r="G70" s="25">
        <f>SUMIFS('Cleaned Data'!$AO$2:$AO$2022,'Cleaned Data'!$BD$2:$BD$2022,$A$69,'Cleaned Data'!U$2:U$2022,"=1")</f>
        <v>22847</v>
      </c>
      <c r="H70" s="25">
        <f>SUMIFS('Cleaned Data'!$AO$2:$AO$2022,'Cleaned Data'!$BD$2:$BD$2022,$A$69,'Cleaned Data'!V$2:V$2022,"=1")</f>
        <v>49072</v>
      </c>
    </row>
    <row r="71" spans="1:9" x14ac:dyDescent="0.35">
      <c r="A71" s="6" t="s">
        <v>144</v>
      </c>
      <c r="B71" s="25">
        <f>SUMIFS('Cleaned Data'!$AP$2:$AP$2022,'Cleaned Data'!$BD$2:$BD$2022,$A$69)</f>
        <v>24109</v>
      </c>
      <c r="C71" s="25">
        <f>SUMIFS('Cleaned Data'!$AP$2:$AP$2022,'Cleaned Data'!$BD$2:$BD$2022,$A$69,'Cleaned Data'!Q$2:Q$2022,"=1")</f>
        <v>1313</v>
      </c>
      <c r="D71" s="25">
        <f>SUMIFS('Cleaned Data'!$AP$2:$AP$2022,'Cleaned Data'!$BD$2:$BD$2022,$A$69,'Cleaned Data'!R$2:R$2022,"=1")</f>
        <v>219</v>
      </c>
      <c r="E71" s="25">
        <f>SUMIFS('Cleaned Data'!$AP$2:$AP$2022,'Cleaned Data'!$BD$2:$BD$2022,$A$69,'Cleaned Data'!S$2:S$2022,"=1")</f>
        <v>2575</v>
      </c>
      <c r="F71" s="25">
        <f>SUMIFS('Cleaned Data'!$AP$2:$AP$2022,'Cleaned Data'!$BD$2:$BD$2022,$A$69,'Cleaned Data'!T$2:T$2022,"=1")</f>
        <v>1281</v>
      </c>
      <c r="G71" s="25">
        <f>SUMIFS('Cleaned Data'!$AP$2:$AP$2022,'Cleaned Data'!$BD$2:$BD$2022,$A$69,'Cleaned Data'!U$2:U$2022,"=1")</f>
        <v>1373</v>
      </c>
      <c r="H71" s="25">
        <f>SUMIFS('Cleaned Data'!$AP$2:$AP$2022,'Cleaned Data'!$BD$2:$BD$2022,$A$69,'Cleaned Data'!V$2:V$2022,"=1")</f>
        <v>4952</v>
      </c>
    </row>
    <row r="73" spans="1:9" x14ac:dyDescent="0.35">
      <c r="A73" s="6"/>
    </row>
  </sheetData>
  <mergeCells count="3">
    <mergeCell ref="A33:D33"/>
    <mergeCell ref="A34:C34"/>
    <mergeCell ref="A38:D3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94D5-BB25-4302-8573-AB38E8EFFF5F}">
  <dimension ref="A1:U90"/>
  <sheetViews>
    <sheetView topLeftCell="I1" zoomScale="130" zoomScaleNormal="130" workbookViewId="0">
      <selection activeCell="S9" sqref="S9"/>
    </sheetView>
  </sheetViews>
  <sheetFormatPr defaultRowHeight="14.5" x14ac:dyDescent="0.35"/>
  <cols>
    <col min="1" max="1" width="20.7265625" customWidth="1"/>
    <col min="2" max="2" width="14.7265625" bestFit="1" customWidth="1"/>
    <col min="3" max="7" width="10.7265625" bestFit="1" customWidth="1"/>
    <col min="8" max="8" width="12.7265625" bestFit="1" customWidth="1"/>
    <col min="10" max="10" width="19.6328125" bestFit="1" customWidth="1"/>
    <col min="11" max="11" width="14.7265625" bestFit="1" customWidth="1"/>
    <col min="12" max="12" width="11.7265625" bestFit="1" customWidth="1"/>
    <col min="13" max="16" width="10.7265625" bestFit="1" customWidth="1"/>
    <col min="17" max="17" width="12.7265625" bestFit="1" customWidth="1"/>
    <col min="18" max="18" width="16.7265625" customWidth="1"/>
    <col min="19" max="19" width="11.81640625" customWidth="1"/>
    <col min="20" max="20" width="11.7265625" bestFit="1" customWidth="1"/>
    <col min="21" max="21" width="10" bestFit="1" customWidth="1"/>
  </cols>
  <sheetData>
    <row r="1" spans="1:21" x14ac:dyDescent="0.35">
      <c r="A1" s="72" t="s">
        <v>182</v>
      </c>
      <c r="B1" s="72"/>
      <c r="C1" s="72"/>
      <c r="D1" s="72"/>
      <c r="E1" s="72"/>
      <c r="F1" s="72"/>
      <c r="G1" s="72"/>
      <c r="H1" s="72"/>
      <c r="J1" s="72" t="s">
        <v>182</v>
      </c>
      <c r="K1" s="72"/>
      <c r="L1" s="72"/>
      <c r="M1" s="72"/>
      <c r="N1" s="72"/>
      <c r="O1" s="72"/>
      <c r="P1" s="72"/>
      <c r="Q1" s="72"/>
    </row>
    <row r="2" spans="1:21" ht="29" x14ac:dyDescent="0.35">
      <c r="A2" s="4" t="s">
        <v>142</v>
      </c>
      <c r="B2" s="4" t="s">
        <v>175</v>
      </c>
      <c r="C2" s="4" t="s">
        <v>107</v>
      </c>
      <c r="D2" s="4" t="s">
        <v>108</v>
      </c>
      <c r="E2" s="4" t="s">
        <v>109</v>
      </c>
      <c r="F2" s="4" t="s">
        <v>110</v>
      </c>
      <c r="G2" s="4" t="s">
        <v>111</v>
      </c>
      <c r="H2" s="4" t="s">
        <v>145</v>
      </c>
      <c r="J2" s="4" t="s">
        <v>142</v>
      </c>
      <c r="K2" s="4" t="s">
        <v>175</v>
      </c>
      <c r="L2" s="14" t="s">
        <v>241</v>
      </c>
      <c r="M2" s="4" t="s">
        <v>107</v>
      </c>
      <c r="N2" s="4" t="s">
        <v>108</v>
      </c>
      <c r="O2" s="4" t="s">
        <v>109</v>
      </c>
      <c r="P2" s="4" t="s">
        <v>110</v>
      </c>
      <c r="Q2" s="4" t="s">
        <v>111</v>
      </c>
      <c r="R2" s="4" t="s">
        <v>145</v>
      </c>
      <c r="S2" s="14" t="s">
        <v>240</v>
      </c>
      <c r="T2" s="14" t="s">
        <v>242</v>
      </c>
      <c r="U2" s="14" t="s">
        <v>239</v>
      </c>
    </row>
    <row r="3" spans="1:21" x14ac:dyDescent="0.35">
      <c r="A3" t="s">
        <v>146</v>
      </c>
      <c r="B3" s="25">
        <f>AVERAGE('Cleaned Data'!$AN$2:$AN$2022)</f>
        <v>563.78921326076204</v>
      </c>
      <c r="C3" s="25">
        <f>AVERAGEIFS('Cleaned Data'!$AN$2:$AN$2022,'Cleaned Data'!Q$2:Q$2022,"=1")</f>
        <v>1414.1654135338347</v>
      </c>
      <c r="D3" s="25">
        <f>AVERAGEIFS('Cleaned Data'!$AN$2:$AN$2022,'Cleaned Data'!R$2:R$2022,"=1")</f>
        <v>1252.7307692307693</v>
      </c>
      <c r="E3" s="25">
        <f>AVERAGEIFS('Cleaned Data'!$AN$2:$AN$2022,'Cleaned Data'!S$2:S$2022,"=1")</f>
        <v>652.39072847682121</v>
      </c>
      <c r="F3" s="25">
        <f>AVERAGEIFS('Cleaned Data'!$AN$2:$AN$2022,'Cleaned Data'!T$2:T$2022,"=1")</f>
        <v>1056.4129032258065</v>
      </c>
      <c r="G3" s="25">
        <f>AVERAGEIFS('Cleaned Data'!$AN$2:$AN$2022,'Cleaned Data'!U$2:U$2022,"=1")</f>
        <v>1536.527397260274</v>
      </c>
      <c r="H3" s="25">
        <f>AVERAGEIFS('Cleaned Data'!$AN$2:$AN$2022,'Cleaned Data'!V$2:V$2022,"=1")</f>
        <v>1022.9295774647887</v>
      </c>
      <c r="J3" t="s">
        <v>76</v>
      </c>
      <c r="K3" s="25">
        <f>SUM(ifood_data[[#All],[MntTotal]])</f>
        <v>1139418</v>
      </c>
      <c r="L3" s="25">
        <f>SUMIFS('Cleaned Data'!$AN$2:$AN$2022,'Cleaned Data'!V$2:V$2022,"=0")</f>
        <v>703650</v>
      </c>
      <c r="M3" s="25">
        <f>SUMIFS('Cleaned Data'!$AN$2:$AN$2022,'Cleaned Data'!Q$2:Q$2022,"=1")</f>
        <v>188084</v>
      </c>
      <c r="N3" s="25">
        <f>SUMIFS('Cleaned Data'!$AN$2:$AN$2022,'Cleaned Data'!R$2:R$2022,"=1")</f>
        <v>32571</v>
      </c>
      <c r="O3" s="25">
        <f>SUMIFS('Cleaned Data'!$AN$2:$AN$2022,'Cleaned Data'!S$2:S$2022,"=1")</f>
        <v>98511</v>
      </c>
      <c r="P3" s="25">
        <f>SUMIFS('Cleaned Data'!$AN$2:$AN$2022,'Cleaned Data'!T$2:T$2022,"=1")</f>
        <v>163744</v>
      </c>
      <c r="Q3" s="25">
        <f>SUMIFS('Cleaned Data'!$AN$2:$AN$2022,'Cleaned Data'!U$2:U$2022,"=1")</f>
        <v>224333</v>
      </c>
      <c r="R3" s="25">
        <f>SUMIFS('Cleaned Data'!$AN$2:$AN$2022,'Cleaned Data'!V$2:V$2022,"=1")</f>
        <v>435768</v>
      </c>
    </row>
    <row r="4" spans="1:21" x14ac:dyDescent="0.35">
      <c r="A4" t="s">
        <v>154</v>
      </c>
      <c r="B4" s="25">
        <f>AVERAGE('Cleaned Data'!$I$2:$I$2022)</f>
        <v>37.603661553686294</v>
      </c>
      <c r="C4" s="25">
        <f>AVERAGEIFS('Cleaned Data'!$I$2:$I$2022,'Cleaned Data'!Q$2:Q$2022,"=1")</f>
        <v>92.593984962406012</v>
      </c>
      <c r="D4" s="25">
        <f>AVERAGEIFS('Cleaned Data'!$I$2:$I$2022,'Cleaned Data'!R$2:R$2022,"=1")</f>
        <v>38.96153846153846</v>
      </c>
      <c r="E4" s="25">
        <f>AVERAGEIFS('Cleaned Data'!$I$2:$I$2022,'Cleaned Data'!S$2:S$2022,"=1")</f>
        <v>35.317880794701985</v>
      </c>
      <c r="F4" s="25">
        <f>AVERAGEIFS('Cleaned Data'!$I$2:$I$2022,'Cleaned Data'!T$2:T$2022,"=1")</f>
        <v>39.103225806451611</v>
      </c>
      <c r="G4" s="25">
        <f>AVERAGEIFS('Cleaned Data'!$I$2:$I$2022,'Cleaned Data'!U$2:U$2022,"=1")</f>
        <v>74.486301369863014</v>
      </c>
      <c r="H4" s="25">
        <f>AVERAGEIFS('Cleaned Data'!$I$2:$I$2022,'Cleaned Data'!V$2:V$2022,"=1")</f>
        <v>53.659624413145536</v>
      </c>
      <c r="J4" t="s">
        <v>157</v>
      </c>
      <c r="K4" s="25">
        <f>SUM('Cleaned Data'!$I$2:$I$2022)</f>
        <v>75997</v>
      </c>
      <c r="L4">
        <f>SUMIFS('Cleaned Data'!$I$2:$I$2022,'Cleaned Data'!V$2:V$2022,"=0")</f>
        <v>53138</v>
      </c>
      <c r="M4" s="25">
        <f>SUMIFS('Cleaned Data'!$I$2:$I$2022,'Cleaned Data'!Q$2:Q$2022,"=1")</f>
        <v>12315</v>
      </c>
      <c r="N4" s="25">
        <f>SUMIFS('Cleaned Data'!$I$2:$I$2022,'Cleaned Data'!R$2:R$2022,"=1")</f>
        <v>1013</v>
      </c>
      <c r="O4" s="25">
        <f>SUMIFS('Cleaned Data'!$I$2:$I$2022,'Cleaned Data'!S$2:S$2022,"=1")</f>
        <v>5333</v>
      </c>
      <c r="P4" s="25">
        <f>SUMIFS('Cleaned Data'!$I$2:$I$2022,'Cleaned Data'!T$2:T$2022,"=1")</f>
        <v>6061</v>
      </c>
      <c r="Q4" s="25">
        <f>SUMIFS('Cleaned Data'!$I$2:$I$2022,'Cleaned Data'!U$2:U$2022,"=1")</f>
        <v>10875</v>
      </c>
      <c r="R4" s="25">
        <f>SUMIFS('Cleaned Data'!$I$2:$I$2022,'Cleaned Data'!V$2:V$2022,"=1")</f>
        <v>22859</v>
      </c>
      <c r="S4" s="18">
        <f t="shared" ref="S4" si="0">K4/$K$3</f>
        <v>6.6698086215945335E-2</v>
      </c>
      <c r="T4" s="18">
        <f t="shared" ref="T4" si="1">L4/$L$3</f>
        <v>7.5517657926525969E-2</v>
      </c>
      <c r="U4" s="18">
        <f t="shared" ref="U4" si="2">R4/$R$3</f>
        <v>5.245681188155165E-2</v>
      </c>
    </row>
    <row r="5" spans="1:21" x14ac:dyDescent="0.35">
      <c r="A5" t="s">
        <v>153</v>
      </c>
      <c r="B5" s="25">
        <f>AVERAGE('Cleaned Data'!$G$2:$G$2022)</f>
        <v>26.364670954972787</v>
      </c>
      <c r="C5" s="25">
        <f>AVERAGEIFS('Cleaned Data'!$G$2:$G$2022,'Cleaned Data'!Q$2:Q$2022,"=1")</f>
        <v>56.729323308270679</v>
      </c>
      <c r="D5" s="25">
        <f>AVERAGEIFS('Cleaned Data'!$G$2:$G$2022,'Cleaned Data'!R$2:R$2022,"=1")</f>
        <v>24.46153846153846</v>
      </c>
      <c r="E5" s="25">
        <f>AVERAGEIFS('Cleaned Data'!$G$2:$G$2022,'Cleaned Data'!S$2:S$2022,"=1")</f>
        <v>27.953642384105962</v>
      </c>
      <c r="F5" s="25">
        <f>AVERAGEIFS('Cleaned Data'!$G$2:$G$2022,'Cleaned Data'!T$2:T$2022,"=1")</f>
        <v>27.748387096774195</v>
      </c>
      <c r="G5" s="25">
        <f>AVERAGEIFS('Cleaned Data'!$G$2:$G$2022,'Cleaned Data'!U$2:U$2022,"=1")</f>
        <v>56.5</v>
      </c>
      <c r="H5" s="25">
        <f>AVERAGEIFS('Cleaned Data'!$G$2:$G$2022,'Cleaned Data'!V$2:V$2022,"=1")</f>
        <v>36.359154929577464</v>
      </c>
      <c r="J5" t="s">
        <v>158</v>
      </c>
      <c r="K5" s="25">
        <f>SUM('Cleaned Data'!$G$2:$G$2022)</f>
        <v>53283</v>
      </c>
      <c r="L5">
        <f>SUMIFS('Cleaned Data'!$G$2:$G$2022,'Cleaned Data'!V$2:V$2022,"=0")</f>
        <v>37794</v>
      </c>
      <c r="M5" s="25">
        <f>SUMIFS('Cleaned Data'!$G$2:$G$2022,'Cleaned Data'!Q$2:Q$2022,"=1")</f>
        <v>7545</v>
      </c>
      <c r="N5" s="25">
        <f>SUMIFS('Cleaned Data'!$G$2:$G$2022,'Cleaned Data'!R$2:R$2022,"=1")</f>
        <v>636</v>
      </c>
      <c r="O5" s="25">
        <f>SUMIFS('Cleaned Data'!$G$2:$G$2022,'Cleaned Data'!S$2:S$2022,"=1")</f>
        <v>4221</v>
      </c>
      <c r="P5" s="25">
        <f>SUMIFS('Cleaned Data'!$G$2:$G$2022,'Cleaned Data'!T$2:T$2022,"=1")</f>
        <v>4301</v>
      </c>
      <c r="Q5" s="25">
        <f>SUMIFS('Cleaned Data'!$G$2:$G$2022,'Cleaned Data'!U$2:U$2022,"=1")</f>
        <v>8249</v>
      </c>
      <c r="R5" s="25">
        <f>SUMIFS('Cleaned Data'!$G$2:$G$2022,'Cleaned Data'!V$2:V$2022,"=1")</f>
        <v>15489</v>
      </c>
      <c r="S5" s="18">
        <f t="shared" ref="S5:S8" si="3">K5/$K$3</f>
        <v>4.6763347603776664E-2</v>
      </c>
      <c r="T5" s="18">
        <f t="shared" ref="T5:T8" si="4">L5/$L$3</f>
        <v>5.3711362182903434E-2</v>
      </c>
      <c r="U5" s="18">
        <f t="shared" ref="U5:U8" si="5">R5/$R$3</f>
        <v>3.5544142754860383E-2</v>
      </c>
    </row>
    <row r="6" spans="1:21" x14ac:dyDescent="0.35">
      <c r="A6" t="s">
        <v>155</v>
      </c>
      <c r="B6" s="25">
        <f>AVERAGE('Cleaned Data'!$H$2:$H$2022)</f>
        <v>166.05987135081642</v>
      </c>
      <c r="C6" s="25">
        <f>AVERAGEIFS('Cleaned Data'!$H$2:$H$2022,'Cleaned Data'!Q$2:Q$2022,"=1")</f>
        <v>441.36842105263156</v>
      </c>
      <c r="D6" s="25">
        <f>AVERAGEIFS('Cleaned Data'!$H$2:$H$2022,'Cleaned Data'!R$2:R$2022,"=1")</f>
        <v>260.03846153846155</v>
      </c>
      <c r="E6" s="25">
        <f>AVERAGEIFS('Cleaned Data'!$H$2:$H$2022,'Cleaned Data'!S$2:S$2022,"=1")</f>
        <v>182.41059602649005</v>
      </c>
      <c r="F6" s="25">
        <f>AVERAGEIFS('Cleaned Data'!$H$2:$H$2022,'Cleaned Data'!T$2:T$2022,"=1")</f>
        <v>229.6258064516129</v>
      </c>
      <c r="G6" s="25">
        <f>AVERAGEIFS('Cleaned Data'!$H$2:$H$2022,'Cleaned Data'!U$2:U$2022,"=1")</f>
        <v>470.97260273972603</v>
      </c>
      <c r="H6" s="25">
        <f>AVERAGEIFS('Cleaned Data'!$H$2:$H$2022,'Cleaned Data'!V$2:V$2022,"=1")</f>
        <v>284.88497652582157</v>
      </c>
      <c r="J6" t="s">
        <v>159</v>
      </c>
      <c r="K6" s="25">
        <f>SUM('Cleaned Data'!$H$2:$H$2022)</f>
        <v>335607</v>
      </c>
      <c r="L6">
        <f>SUMIFS('Cleaned Data'!$H$2:$H$2022,'Cleaned Data'!V$2:V$2022,"=0")</f>
        <v>214246</v>
      </c>
      <c r="M6" s="25">
        <f>SUMIFS('Cleaned Data'!$H$2:$H$2022,'Cleaned Data'!Q$2:Q$2022,"=1")</f>
        <v>58702</v>
      </c>
      <c r="N6" s="25">
        <f>SUMIFS('Cleaned Data'!$H$2:$H$2022,'Cleaned Data'!R$2:R$2022,"=1")</f>
        <v>6761</v>
      </c>
      <c r="O6" s="25">
        <f>SUMIFS('Cleaned Data'!$H$2:$H$2022,'Cleaned Data'!S$2:S$2022,"=1")</f>
        <v>27544</v>
      </c>
      <c r="P6" s="25">
        <f>SUMIFS('Cleaned Data'!$H$2:$H$2022,'Cleaned Data'!T$2:T$2022,"=1")</f>
        <v>35592</v>
      </c>
      <c r="Q6" s="25">
        <f>SUMIFS('Cleaned Data'!$H$2:$H$2022,'Cleaned Data'!U$2:U$2022,"=1")</f>
        <v>68762</v>
      </c>
      <c r="R6" s="25">
        <f>SUMIFS('Cleaned Data'!$H$2:$H$2022,'Cleaned Data'!V$2:V$2022,"=1")</f>
        <v>121361</v>
      </c>
      <c r="S6" s="18">
        <f t="shared" si="3"/>
        <v>0.29454247694875807</v>
      </c>
      <c r="T6" s="18">
        <f t="shared" si="4"/>
        <v>0.3044780785902082</v>
      </c>
      <c r="U6" s="18">
        <f t="shared" si="5"/>
        <v>0.27849910961796187</v>
      </c>
    </row>
    <row r="7" spans="1:21" x14ac:dyDescent="0.35">
      <c r="A7" t="s">
        <v>156</v>
      </c>
      <c r="B7" s="25">
        <f>AVERAGE('Cleaned Data'!$J$2:$J$2022)</f>
        <v>27.268678871845619</v>
      </c>
      <c r="C7" s="25">
        <f>AVERAGEIFS('Cleaned Data'!$J$2:$J$2022,'Cleaned Data'!Q$2:Q$2022,"=1")</f>
        <v>66.924812030075188</v>
      </c>
      <c r="D7" s="25">
        <f>AVERAGEIFS('Cleaned Data'!$J$2:$J$2022,'Cleaned Data'!R$2:R$2022,"=1")</f>
        <v>31.96153846153846</v>
      </c>
      <c r="E7" s="25">
        <f>AVERAGEIFS('Cleaned Data'!$J$2:$J$2022,'Cleaned Data'!S$2:S$2022,"=1")</f>
        <v>25.966887417218544</v>
      </c>
      <c r="F7" s="25">
        <f>AVERAGEIFS('Cleaned Data'!$J$2:$J$2022,'Cleaned Data'!T$2:T$2022,"=1")</f>
        <v>31.225806451612904</v>
      </c>
      <c r="G7" s="25">
        <f>AVERAGEIFS('Cleaned Data'!$J$2:$J$2022,'Cleaned Data'!U$2:U$2022,"=1")</f>
        <v>65.157534246575338</v>
      </c>
      <c r="H7" s="25">
        <f>AVERAGEIFS('Cleaned Data'!$J$2:$J$2022,'Cleaned Data'!V$2:V$2022,"=1")</f>
        <v>39.589201877934272</v>
      </c>
      <c r="J7" t="s">
        <v>160</v>
      </c>
      <c r="K7" s="25">
        <f>SUM('Cleaned Data'!$J$2:$J$2022)</f>
        <v>55110</v>
      </c>
      <c r="L7">
        <f>SUMIFS('Cleaned Data'!$J$2:$J$2022,'Cleaned Data'!V$2:V$2022,"=0")</f>
        <v>38245</v>
      </c>
      <c r="M7" s="25">
        <f>SUMIFS('Cleaned Data'!$J$2:$J$2022,'Cleaned Data'!Q$2:Q$2022,"=1")</f>
        <v>8901</v>
      </c>
      <c r="N7" s="25">
        <f>SUMIFS('Cleaned Data'!$J$2:$J$2022,'Cleaned Data'!R$2:R$2022,"=1")</f>
        <v>831</v>
      </c>
      <c r="O7" s="25">
        <f>SUMIFS('Cleaned Data'!$J$2:$J$2022,'Cleaned Data'!S$2:S$2022,"=1")</f>
        <v>3921</v>
      </c>
      <c r="P7" s="25">
        <f>SUMIFS('Cleaned Data'!$J$2:$J$2022,'Cleaned Data'!T$2:T$2022,"=1")</f>
        <v>4840</v>
      </c>
      <c r="Q7" s="25">
        <f>SUMIFS('Cleaned Data'!$J$2:$J$2022,'Cleaned Data'!U$2:U$2022,"=1")</f>
        <v>9513</v>
      </c>
      <c r="R7" s="25">
        <f>SUMIFS('Cleaned Data'!$J$2:$J$2022,'Cleaned Data'!V$2:V$2022,"=1")</f>
        <v>16865</v>
      </c>
      <c r="S7" s="18">
        <f t="shared" si="3"/>
        <v>4.8366797786238237E-2</v>
      </c>
      <c r="T7" s="18">
        <f t="shared" si="4"/>
        <v>5.4352305833866271E-2</v>
      </c>
      <c r="U7" s="18">
        <f t="shared" si="5"/>
        <v>3.8701786271594062E-2</v>
      </c>
    </row>
    <row r="8" spans="1:21" x14ac:dyDescent="0.35">
      <c r="A8" t="s">
        <v>152</v>
      </c>
      <c r="B8" s="25">
        <f>AVERAGE('Cleaned Data'!$F$2:$F$2022)</f>
        <v>306.49233052944089</v>
      </c>
      <c r="C8" s="25">
        <f>AVERAGEIFS('Cleaned Data'!$F$2:$F$2022,'Cleaned Data'!Q$2:Q$2022,"=1")</f>
        <v>756.5488721804511</v>
      </c>
      <c r="D8" s="25">
        <f>AVERAGEIFS('Cleaned Data'!$F$2:$F$2022,'Cleaned Data'!R$2:R$2022,"=1")</f>
        <v>897.30769230769226</v>
      </c>
      <c r="E8" s="25">
        <f>AVERAGEIFS('Cleaned Data'!$F$2:$F$2022,'Cleaned Data'!S$2:S$2022,"=1")</f>
        <v>380.74172185430461</v>
      </c>
      <c r="F8" s="25">
        <f>AVERAGEIFS('Cleaned Data'!$F$2:$F$2022,'Cleaned Data'!T$2:T$2022,"=1")</f>
        <v>728.70967741935488</v>
      </c>
      <c r="G8" s="25">
        <f>AVERAGEIFS('Cleaned Data'!$F$2:$F$2022,'Cleaned Data'!U$2:U$2022,"=1")</f>
        <v>869.41095890410963</v>
      </c>
      <c r="H8" s="25">
        <f>AVERAGEIFS('Cleaned Data'!$F$2:$F$2022,'Cleaned Data'!V$2:V$2022,"=1")</f>
        <v>608.43661971830988</v>
      </c>
      <c r="J8" t="s">
        <v>161</v>
      </c>
      <c r="K8" s="25">
        <f>SUM('Cleaned Data'!$F$2:$F$2022)</f>
        <v>619421</v>
      </c>
      <c r="L8">
        <f>SUMIFS('Cleaned Data'!$F$2:$F$2022,'Cleaned Data'!V$2:V$2022,"=0")</f>
        <v>360227</v>
      </c>
      <c r="M8" s="25">
        <f>SUMIFS('Cleaned Data'!$F$2:$F$2022,'Cleaned Data'!Q$2:Q$2022,"=1")</f>
        <v>100621</v>
      </c>
      <c r="N8" s="25">
        <f>SUMIFS('Cleaned Data'!$F$2:$F$2022,'Cleaned Data'!R$2:R$2022,"=1")</f>
        <v>23330</v>
      </c>
      <c r="O8" s="25">
        <f>SUMIFS('Cleaned Data'!$F$2:$F$2022,'Cleaned Data'!S$2:S$2022,"=1")</f>
        <v>57492</v>
      </c>
      <c r="P8" s="25">
        <f>SUMIFS('Cleaned Data'!$F$2:$F$2022,'Cleaned Data'!T$2:T$2022,"=1")</f>
        <v>112950</v>
      </c>
      <c r="Q8" s="25">
        <f>SUMIFS('Cleaned Data'!$F$2:$F$2022,'Cleaned Data'!U$2:U$2022,"=1")</f>
        <v>126934</v>
      </c>
      <c r="R8" s="25">
        <f>SUMIFS('Cleaned Data'!$F$2:$F$2022,'Cleaned Data'!V$2:V$2022,"=1")</f>
        <v>259194</v>
      </c>
      <c r="S8" s="18">
        <f t="shared" si="3"/>
        <v>0.54362929144528171</v>
      </c>
      <c r="T8" s="18">
        <f t="shared" si="4"/>
        <v>0.51194059546649617</v>
      </c>
      <c r="U8" s="18">
        <f t="shared" si="5"/>
        <v>0.59479814947403209</v>
      </c>
    </row>
    <row r="9" spans="1:21" x14ac:dyDescent="0.35">
      <c r="B9" s="25"/>
      <c r="C9" s="25"/>
      <c r="D9" s="25"/>
      <c r="E9" s="25"/>
      <c r="F9" s="25"/>
      <c r="G9" s="25"/>
      <c r="H9" s="25"/>
      <c r="K9" s="25"/>
      <c r="M9" s="25"/>
      <c r="N9" s="25"/>
      <c r="O9" s="25"/>
      <c r="P9" s="25"/>
      <c r="Q9" s="25"/>
      <c r="R9" s="25"/>
    </row>
    <row r="10" spans="1:21" x14ac:dyDescent="0.35">
      <c r="A10" s="6" t="s">
        <v>118</v>
      </c>
      <c r="B10" s="25"/>
      <c r="C10" s="25"/>
      <c r="D10" s="25"/>
      <c r="E10" s="25"/>
      <c r="F10" s="25"/>
      <c r="G10" s="25"/>
      <c r="H10" s="25"/>
      <c r="J10" s="6" t="s">
        <v>118</v>
      </c>
      <c r="K10" s="25">
        <f>SUMIFS('Cleaned Data'!$AN$2:$AN$2022,'Cleaned Data'!$BD$2:$BD$2022,$J$10)</f>
        <v>158929</v>
      </c>
      <c r="L10">
        <f>SUMIFS('Cleaned Data'!$AN$2:$AN$2022,'Cleaned Data'!$BD$2:$BD$2022,$J$10,'Cleaned Data'!V$2:V$2022,"=0")</f>
        <v>78495</v>
      </c>
      <c r="M10" s="25">
        <f>SUMIFS('Cleaned Data'!$AN$2:$AN$2022,'Cleaned Data'!$BD$2:$BD$2022,$J$10,'Cleaned Data'!Q$2:Q$2022,"=1")</f>
        <v>42644</v>
      </c>
      <c r="N10" s="25">
        <f>SUMIFS('Cleaned Data'!$AN$2:$AN$2022,'Cleaned Data'!$BD$2:$BD$2022,$J$10,'Cleaned Data'!R$2:R$2022,"=1")</f>
        <v>5065</v>
      </c>
      <c r="O10" s="25">
        <f>SUMIFS('Cleaned Data'!$AN$2:$AN$2022,'Cleaned Data'!$BD$2:$BD$2022,$J$10,'Cleaned Data'!S$2:S$2022,"=1")</f>
        <v>23110</v>
      </c>
      <c r="P10" s="25">
        <f>SUMIFS('Cleaned Data'!$AN$2:$AN$2022,'Cleaned Data'!$BD$2:$BD$2022,$J$10,'Cleaned Data'!T$2:T$2022,"=1")</f>
        <v>22696</v>
      </c>
      <c r="Q10" s="25">
        <f>SUMIFS('Cleaned Data'!$AN$2:$AN$2022,'Cleaned Data'!$BD$2:$BD$2022,$J$10,'Cleaned Data'!U$2:U$2022,"=1")</f>
        <v>36350</v>
      </c>
      <c r="R10" s="25">
        <f>SUMIFS('Cleaned Data'!$AN$2:$AN$2022,'Cleaned Data'!$BD$2:$BD$2022,$J$10,'Cleaned Data'!V$2:V$2022,"=1")</f>
        <v>80434</v>
      </c>
    </row>
    <row r="11" spans="1:21" x14ac:dyDescent="0.35">
      <c r="A11" t="s">
        <v>154</v>
      </c>
      <c r="B11" s="25">
        <f>AVERAGEIFS('Cleaned Data'!$I$2:$I$2022,'Cleaned Data'!$BD$2:$BD$2022,$A$10)</f>
        <v>75.229508196721312</v>
      </c>
      <c r="C11" s="25">
        <f>AVERAGEIFS('Cleaned Data'!$I$2:$I$2022,'Cleaned Data'!$BD$2:$BD$2022,$A$10,'Cleaned Data'!Q$2:Q$2022,"=1")</f>
        <v>112.11111111111111</v>
      </c>
      <c r="D11" s="25">
        <f>AVERAGEIFS('Cleaned Data'!$I$2:$I$2022,'Cleaned Data'!$BD$2:$BD$2022,$A$10,'Cleaned Data'!R$2:R$2022,"=1")</f>
        <v>21</v>
      </c>
      <c r="E11" s="25">
        <f>AVERAGEIFS('Cleaned Data'!$I$2:$I$2022,'Cleaned Data'!$BD$2:$BD$2022,$A$10,'Cleaned Data'!S$2:S$2022,"=1")</f>
        <v>82.470588235294116</v>
      </c>
      <c r="F11" s="25">
        <f>AVERAGEIFS('Cleaned Data'!$I$2:$I$2022,'Cleaned Data'!$BD$2:$BD$2022,$A$10,'Cleaned Data'!T$2:T$2022,"=1")</f>
        <v>44</v>
      </c>
      <c r="G11" s="25">
        <f>AVERAGEIFS('Cleaned Data'!$I$2:$I$2022,'Cleaned Data'!$BD$2:$BD$2022,$A$10,'Cleaned Data'!U$2:U$2022,"=1")</f>
        <v>67.347826086956516</v>
      </c>
      <c r="H11" s="25">
        <f>AVERAGEIFS('Cleaned Data'!$I$2:$I$2022,'Cleaned Data'!$BD$2:$BD$2022,$A$10,'Cleaned Data'!V$2:V$2022,"=1")</f>
        <v>76.946428571428569</v>
      </c>
      <c r="J11" t="s">
        <v>157</v>
      </c>
      <c r="K11" s="25">
        <f>SUMIFS('Cleaned Data'!$I$2:$I$2022,'Cleaned Data'!$BD$2:$BD$2022,$J$10)</f>
        <v>9178</v>
      </c>
      <c r="L11">
        <f>SUMIFS('Cleaned Data'!$I$2:$I$2022,'Cleaned Data'!$BD$2:$BD$2022,$J$10,'Cleaned Data'!V$2:V$2022,"=0")</f>
        <v>4869</v>
      </c>
      <c r="M11" s="25">
        <f>SUMIFS('Cleaned Data'!$I$2:$I$2022,'Cleaned Data'!$BD$2:$BD$2022,$J$10,'Cleaned Data'!Q$2:Q$2022,"=1")</f>
        <v>3027</v>
      </c>
      <c r="N11" s="25">
        <f>SUMIFS('Cleaned Data'!$I$2:$I$2022,'Cleaned Data'!$BD$2:$BD$2022,$J$10,'Cleaned Data'!R$2:R$2022,"=1")</f>
        <v>84</v>
      </c>
      <c r="O11" s="25">
        <f>SUMIFS('Cleaned Data'!$I$2:$I$2022,'Cleaned Data'!$BD$2:$BD$2022,$J$10,'Cleaned Data'!S$2:S$2022,"=1")</f>
        <v>1402</v>
      </c>
      <c r="P11" s="25">
        <f>SUMIFS('Cleaned Data'!$I$2:$I$2022,'Cleaned Data'!$BD$2:$BD$2022,$J$10,'Cleaned Data'!T$2:T$2022,"=1")</f>
        <v>748</v>
      </c>
      <c r="Q11" s="25">
        <f>SUMIFS('Cleaned Data'!$I$2:$I$2022,'Cleaned Data'!$BD$2:$BD$2022,$J$10,'Cleaned Data'!U$2:U$2022,"=1")</f>
        <v>1549</v>
      </c>
      <c r="R11" s="25">
        <f>SUMIFS('Cleaned Data'!$I$2:$I$2022,'Cleaned Data'!$BD$2:$BD$2022,$J$10,'Cleaned Data'!V$2:V$2022,"=1")</f>
        <v>4309</v>
      </c>
      <c r="S11" s="18">
        <f>K11/$K$10</f>
        <v>5.7749057755349872E-2</v>
      </c>
      <c r="T11" s="18">
        <f>L11/$L$10</f>
        <v>6.2029428626027137E-2</v>
      </c>
      <c r="U11" s="18">
        <f>R11/$R$10</f>
        <v>5.3571872591192782E-2</v>
      </c>
    </row>
    <row r="12" spans="1:21" x14ac:dyDescent="0.35">
      <c r="A12" t="s">
        <v>153</v>
      </c>
      <c r="B12" s="25">
        <f>AVERAGEIFS('Cleaned Data'!$G$2:$G$2022,'Cleaned Data'!$BD$2:$BD$2022,$A$10)</f>
        <v>55.672131147540981</v>
      </c>
      <c r="C12" s="25">
        <f>AVERAGEIFS('Cleaned Data'!$G$2:$G$2022,'Cleaned Data'!$BD$2:$BD$2022,$A$10,'Cleaned Data'!Q$2:Q$2022,"=1")</f>
        <v>72.629629629629633</v>
      </c>
      <c r="D12" s="25">
        <f>AVERAGEIFS('Cleaned Data'!$G$2:$G$2022,'Cleaned Data'!$BD$2:$BD$2022,$A$10,'Cleaned Data'!R$2:R$2022,"=1")</f>
        <v>47.5</v>
      </c>
      <c r="E12" s="25">
        <f>AVERAGEIFS('Cleaned Data'!$G$2:$G$2022,'Cleaned Data'!$BD$2:$BD$2022,$A$10,'Cleaned Data'!S$2:S$2022,"=1")</f>
        <v>54.529411764705884</v>
      </c>
      <c r="F12" s="25">
        <f>AVERAGEIFS('Cleaned Data'!$G$2:$G$2022,'Cleaned Data'!$BD$2:$BD$2022,$A$10,'Cleaned Data'!T$2:T$2022,"=1")</f>
        <v>56.235294117647058</v>
      </c>
      <c r="G12" s="25">
        <f>AVERAGEIFS('Cleaned Data'!$G$2:$G$2022,'Cleaned Data'!$BD$2:$BD$2022,$A$10,'Cleaned Data'!U$2:U$2022,"=1")</f>
        <v>67.782608695652172</v>
      </c>
      <c r="H12" s="25">
        <f>AVERAGEIFS('Cleaned Data'!$G$2:$G$2022,'Cleaned Data'!$BD$2:$BD$2022,$A$10,'Cleaned Data'!V$2:V$2022,"=1")</f>
        <v>59.125</v>
      </c>
      <c r="J12" t="s">
        <v>158</v>
      </c>
      <c r="K12" s="25">
        <f>SUMIFS('Cleaned Data'!$G$2:$G$2022,'Cleaned Data'!$BD$2:$BD$2022,$J$10)</f>
        <v>6792</v>
      </c>
      <c r="L12">
        <f>SUMIFS('Cleaned Data'!$G$2:$G$2022,'Cleaned Data'!$BD$2:$BD$2022,$J$10,'Cleaned Data'!V$2:V$2022,"=0")</f>
        <v>3481</v>
      </c>
      <c r="M12" s="25">
        <f>SUMIFS('Cleaned Data'!$G$2:$G$2022,'Cleaned Data'!$BD$2:$BD$2022,$J$10,'Cleaned Data'!Q$2:Q$2022,"=1")</f>
        <v>1961</v>
      </c>
      <c r="N12" s="25">
        <f>SUMIFS('Cleaned Data'!$G$2:$G$2022,'Cleaned Data'!$BD$2:$BD$2022,$J$10,'Cleaned Data'!R$2:R$2022,"=1")</f>
        <v>190</v>
      </c>
      <c r="O12" s="25">
        <f>SUMIFS('Cleaned Data'!$G$2:$G$2022,'Cleaned Data'!$BD$2:$BD$2022,$J$10,'Cleaned Data'!S$2:S$2022,"=1")</f>
        <v>927</v>
      </c>
      <c r="P12" s="25">
        <f>SUMIFS('Cleaned Data'!$G$2:$G$2022,'Cleaned Data'!$BD$2:$BD$2022,$J$10,'Cleaned Data'!T$2:T$2022,"=1")</f>
        <v>956</v>
      </c>
      <c r="Q12" s="25">
        <f>SUMIFS('Cleaned Data'!$G$2:$G$2022,'Cleaned Data'!$BD$2:$BD$2022,$J$10,'Cleaned Data'!U$2:U$2022,"=1")</f>
        <v>1559</v>
      </c>
      <c r="R12" s="25">
        <f>SUMIFS('Cleaned Data'!$G$2:$G$2022,'Cleaned Data'!$BD$2:$BD$2022,$J$10,'Cleaned Data'!V$2:V$2022,"=1")</f>
        <v>3311</v>
      </c>
      <c r="S12" s="18">
        <f t="shared" ref="S12:S15" si="6">K12/$K$10</f>
        <v>4.2736064531960813E-2</v>
      </c>
      <c r="T12" s="18">
        <f t="shared" ref="T12:T15" si="7">L12/$L$10</f>
        <v>4.4346773679852222E-2</v>
      </c>
      <c r="U12" s="18">
        <f t="shared" ref="U12:U15" si="8">R12/$R$10</f>
        <v>4.1164184300171568E-2</v>
      </c>
    </row>
    <row r="13" spans="1:21" x14ac:dyDescent="0.35">
      <c r="A13" t="s">
        <v>155</v>
      </c>
      <c r="B13" s="25">
        <f>AVERAGEIFS('Cleaned Data'!$H$2:$H$2022,'Cleaned Data'!$BD$2:$BD$2022,$A$10)</f>
        <v>367.48360655737707</v>
      </c>
      <c r="C13" s="25">
        <f>AVERAGEIFS('Cleaned Data'!$H$2:$H$2022,'Cleaned Data'!$BD$2:$BD$2022,$A$10,'Cleaned Data'!Q$2:Q$2022,"=1")</f>
        <v>465.37037037037038</v>
      </c>
      <c r="D13" s="25">
        <f>AVERAGEIFS('Cleaned Data'!$H$2:$H$2022,'Cleaned Data'!$BD$2:$BD$2022,$A$10,'Cleaned Data'!R$2:R$2022,"=1")</f>
        <v>230.75</v>
      </c>
      <c r="E13" s="25">
        <f>AVERAGEIFS('Cleaned Data'!$H$2:$H$2022,'Cleaned Data'!$BD$2:$BD$2022,$A$10,'Cleaned Data'!S$2:S$2022,"=1")</f>
        <v>402.47058823529414</v>
      </c>
      <c r="F13" s="25">
        <f>AVERAGEIFS('Cleaned Data'!$H$2:$H$2022,'Cleaned Data'!$BD$2:$BD$2022,$A$10,'Cleaned Data'!T$2:T$2022,"=1")</f>
        <v>294.88235294117646</v>
      </c>
      <c r="G13" s="25">
        <f>AVERAGEIFS('Cleaned Data'!$H$2:$H$2022,'Cleaned Data'!$BD$2:$BD$2022,$A$10,'Cleaned Data'!U$2:U$2022,"=1")</f>
        <v>412.39130434782606</v>
      </c>
      <c r="H13" s="25">
        <f>AVERAGEIFS('Cleaned Data'!$H$2:$H$2022,'Cleaned Data'!$BD$2:$BD$2022,$A$10,'Cleaned Data'!V$2:V$2022,"=1")</f>
        <v>385.17857142857144</v>
      </c>
      <c r="J13" t="s">
        <v>159</v>
      </c>
      <c r="K13" s="25">
        <f>SUMIFS('Cleaned Data'!$H$2:$H$2022,'Cleaned Data'!$BD$2:$BD$2022,$J$10)</f>
        <v>44833</v>
      </c>
      <c r="L13">
        <f>SUMIFS('Cleaned Data'!$H$2:$H$2022,'Cleaned Data'!$BD$2:$BD$2022,$J$10,'Cleaned Data'!V$2:V$2022,"=0")</f>
        <v>23263</v>
      </c>
      <c r="M13" s="25">
        <f>SUMIFS('Cleaned Data'!$H$2:$H$2022,'Cleaned Data'!$BD$2:$BD$2022,$J$10,'Cleaned Data'!Q$2:Q$2022,"=1")</f>
        <v>12565</v>
      </c>
      <c r="N13" s="25">
        <f>SUMIFS('Cleaned Data'!$H$2:$H$2022,'Cleaned Data'!$BD$2:$BD$2022,$J$10,'Cleaned Data'!R$2:R$2022,"=1")</f>
        <v>923</v>
      </c>
      <c r="O13" s="25">
        <f>SUMIFS('Cleaned Data'!$H$2:$H$2022,'Cleaned Data'!$BD$2:$BD$2022,$J$10,'Cleaned Data'!S$2:S$2022,"=1")</f>
        <v>6842</v>
      </c>
      <c r="P13" s="25">
        <f>SUMIFS('Cleaned Data'!$H$2:$H$2022,'Cleaned Data'!$BD$2:$BD$2022,$J$10,'Cleaned Data'!T$2:T$2022,"=1")</f>
        <v>5013</v>
      </c>
      <c r="Q13" s="25">
        <f>SUMIFS('Cleaned Data'!$H$2:$H$2022,'Cleaned Data'!$BD$2:$BD$2022,$J$10,'Cleaned Data'!U$2:U$2022,"=1")</f>
        <v>9485</v>
      </c>
      <c r="R13" s="25">
        <f>SUMIFS('Cleaned Data'!$H$2:$H$2022,'Cleaned Data'!$BD$2:$BD$2022,$J$10,'Cleaned Data'!V$2:V$2022,"=1")</f>
        <v>21570</v>
      </c>
      <c r="S13" s="18">
        <f t="shared" si="6"/>
        <v>0.28209452019455228</v>
      </c>
      <c r="T13" s="18">
        <f t="shared" si="7"/>
        <v>0.29636282565768518</v>
      </c>
      <c r="U13" s="18">
        <f t="shared" si="8"/>
        <v>0.26817017679090932</v>
      </c>
    </row>
    <row r="14" spans="1:21" x14ac:dyDescent="0.35">
      <c r="A14" t="s">
        <v>156</v>
      </c>
      <c r="B14" s="25">
        <f>AVERAGEIFS('Cleaned Data'!$J$2:$J$2022,'Cleaned Data'!$BD$2:$BD$2022,$A$10)</f>
        <v>50.704918032786885</v>
      </c>
      <c r="C14" s="25">
        <f>AVERAGEIFS('Cleaned Data'!$J$2:$J$2022,'Cleaned Data'!$BD$2:$BD$2022,$A$10,'Cleaned Data'!Q$2:Q$2022,"=1")</f>
        <v>62.25925925925926</v>
      </c>
      <c r="D14" s="25">
        <f>AVERAGEIFS('Cleaned Data'!$J$2:$J$2022,'Cleaned Data'!$BD$2:$BD$2022,$A$10,'Cleaned Data'!R$2:R$2022,"=1")</f>
        <v>49.5</v>
      </c>
      <c r="E14" s="25">
        <f>AVERAGEIFS('Cleaned Data'!$J$2:$J$2022,'Cleaned Data'!$BD$2:$BD$2022,$A$10,'Cleaned Data'!S$2:S$2022,"=1")</f>
        <v>46.294117647058826</v>
      </c>
      <c r="F14" s="25">
        <f>AVERAGEIFS('Cleaned Data'!$J$2:$J$2022,'Cleaned Data'!$BD$2:$BD$2022,$A$10,'Cleaned Data'!T$2:T$2022,"=1")</f>
        <v>40.588235294117645</v>
      </c>
      <c r="G14" s="25">
        <f>AVERAGEIFS('Cleaned Data'!$J$2:$J$2022,'Cleaned Data'!$BD$2:$BD$2022,$A$10,'Cleaned Data'!U$2:U$2022,"=1")</f>
        <v>57.739130434782609</v>
      </c>
      <c r="H14" s="25">
        <f>AVERAGEIFS('Cleaned Data'!$J$2:$J$2022,'Cleaned Data'!$BD$2:$BD$2022,$A$10,'Cleaned Data'!V$2:V$2022,"=1")</f>
        <v>48.035714285714285</v>
      </c>
      <c r="J14" t="s">
        <v>160</v>
      </c>
      <c r="K14" s="25">
        <f>SUMIFS('Cleaned Data'!$J$2:$J$2022,'Cleaned Data'!$BD$2:$BD$2022,$J$10)</f>
        <v>6186</v>
      </c>
      <c r="L14">
        <f>SUMIFS('Cleaned Data'!$J$2:$J$2022,'Cleaned Data'!$BD$2:$BD$2022,$J$10,'Cleaned Data'!V$2:V$2022,"=0")</f>
        <v>3496</v>
      </c>
      <c r="M14" s="25">
        <f>SUMIFS('Cleaned Data'!$J$2:$J$2022,'Cleaned Data'!$BD$2:$BD$2022,$J$10,'Cleaned Data'!Q$2:Q$2022,"=1")</f>
        <v>1681</v>
      </c>
      <c r="N14" s="25">
        <f>SUMIFS('Cleaned Data'!$J$2:$J$2022,'Cleaned Data'!$BD$2:$BD$2022,$J$10,'Cleaned Data'!R$2:R$2022,"=1")</f>
        <v>198</v>
      </c>
      <c r="O14" s="25">
        <f>SUMIFS('Cleaned Data'!$J$2:$J$2022,'Cleaned Data'!$BD$2:$BD$2022,$J$10,'Cleaned Data'!S$2:S$2022,"=1")</f>
        <v>787</v>
      </c>
      <c r="P14" s="25">
        <f>SUMIFS('Cleaned Data'!$J$2:$J$2022,'Cleaned Data'!$BD$2:$BD$2022,$J$10,'Cleaned Data'!T$2:T$2022,"=1")</f>
        <v>690</v>
      </c>
      <c r="Q14" s="25">
        <f>SUMIFS('Cleaned Data'!$J$2:$J$2022,'Cleaned Data'!$BD$2:$BD$2022,$J$10,'Cleaned Data'!U$2:U$2022,"=1")</f>
        <v>1328</v>
      </c>
      <c r="R14" s="25">
        <f>SUMIFS('Cleaned Data'!$J$2:$J$2022,'Cleaned Data'!$BD$2:$BD$2022,$J$10,'Cleaned Data'!V$2:V$2022,"=1")</f>
        <v>2690</v>
      </c>
      <c r="S14" s="18">
        <f t="shared" si="6"/>
        <v>3.8923041106406008E-2</v>
      </c>
      <c r="T14" s="18">
        <f t="shared" si="7"/>
        <v>4.4537868654054395E-2</v>
      </c>
      <c r="U14" s="18">
        <f t="shared" si="8"/>
        <v>3.3443568640127312E-2</v>
      </c>
    </row>
    <row r="15" spans="1:21" x14ac:dyDescent="0.35">
      <c r="A15" t="s">
        <v>152</v>
      </c>
      <c r="B15" s="25">
        <f>AVERAGEIFS('Cleaned Data'!$F$2:$F$2022,'Cleaned Data'!$BD$2:$BD$2022,$A$10)</f>
        <v>753.60655737704917</v>
      </c>
      <c r="C15" s="25">
        <f>AVERAGEIFS('Cleaned Data'!$F$2:$F$2022,'Cleaned Data'!$BD$2:$BD$2022,$A$10,'Cleaned Data'!Q$2:Q$2022,"=1")</f>
        <v>867.03703703703707</v>
      </c>
      <c r="D15" s="25">
        <f>AVERAGEIFS('Cleaned Data'!$F$2:$F$2022,'Cleaned Data'!$BD$2:$BD$2022,$A$10,'Cleaned Data'!R$2:R$2022,"=1")</f>
        <v>917.5</v>
      </c>
      <c r="E15" s="25">
        <f>AVERAGEIFS('Cleaned Data'!$F$2:$F$2022,'Cleaned Data'!$BD$2:$BD$2022,$A$10,'Cleaned Data'!S$2:S$2022,"=1")</f>
        <v>773.64705882352939</v>
      </c>
      <c r="F15" s="25">
        <f>AVERAGEIFS('Cleaned Data'!$F$2:$F$2022,'Cleaned Data'!$BD$2:$BD$2022,$A$10,'Cleaned Data'!T$2:T$2022,"=1")</f>
        <v>899.35294117647061</v>
      </c>
      <c r="G15" s="25">
        <f>AVERAGEIFS('Cleaned Data'!$F$2:$F$2022,'Cleaned Data'!$BD$2:$BD$2022,$A$10,'Cleaned Data'!U$2:U$2022,"=1")</f>
        <v>975.17391304347825</v>
      </c>
      <c r="H15" s="25">
        <f>AVERAGEIFS('Cleaned Data'!$F$2:$F$2022,'Cleaned Data'!$BD$2:$BD$2022,$A$10,'Cleaned Data'!V$2:V$2022,"=1")</f>
        <v>867.03571428571433</v>
      </c>
      <c r="J15" t="s">
        <v>161</v>
      </c>
      <c r="K15" s="25">
        <f>SUMIFS('Cleaned Data'!$F$2:$F$2022,'Cleaned Data'!$BD$2:$BD$2022,$J$10)</f>
        <v>91940</v>
      </c>
      <c r="L15">
        <f>SUMIFS('Cleaned Data'!$F$2:$F$2022,'Cleaned Data'!$BD$2:$BD$2022,$J$10,'Cleaned Data'!V$2:V$2022,"=0")</f>
        <v>43386</v>
      </c>
      <c r="M15" s="25">
        <f>SUMIFS('Cleaned Data'!$F$2:$F$2022,'Cleaned Data'!$BD$2:$BD$2022,$J$10,'Cleaned Data'!Q$2:Q$2022,"=1")</f>
        <v>23410</v>
      </c>
      <c r="N15" s="25">
        <f>SUMIFS('Cleaned Data'!$F$2:$F$2022,'Cleaned Data'!$BD$2:$BD$2022,$J$10,'Cleaned Data'!R$2:R$2022,"=1")</f>
        <v>3670</v>
      </c>
      <c r="O15" s="25">
        <f>SUMIFS('Cleaned Data'!$F$2:$F$2022,'Cleaned Data'!$BD$2:$BD$2022,$J$10,'Cleaned Data'!S$2:S$2022,"=1")</f>
        <v>13152</v>
      </c>
      <c r="P15" s="25">
        <f>SUMIFS('Cleaned Data'!$F$2:$F$2022,'Cleaned Data'!$BD$2:$BD$2022,$J$10,'Cleaned Data'!T$2:T$2022,"=1")</f>
        <v>15289</v>
      </c>
      <c r="Q15" s="25">
        <f>SUMIFS('Cleaned Data'!$F$2:$F$2022,'Cleaned Data'!$BD$2:$BD$2022,$J$10,'Cleaned Data'!U$2:U$2022,"=1")</f>
        <v>22429</v>
      </c>
      <c r="R15" s="25">
        <f>SUMIFS('Cleaned Data'!$F$2:$F$2022,'Cleaned Data'!$BD$2:$BD$2022,$J$10,'Cleaned Data'!V$2:V$2022,"=1")</f>
        <v>48554</v>
      </c>
      <c r="S15" s="18">
        <f t="shared" si="6"/>
        <v>0.57849731641173108</v>
      </c>
      <c r="T15" s="18">
        <f t="shared" si="7"/>
        <v>0.55272310338238106</v>
      </c>
      <c r="U15" s="18">
        <f t="shared" si="8"/>
        <v>0.60365019767759898</v>
      </c>
    </row>
    <row r="16" spans="1:21" x14ac:dyDescent="0.35">
      <c r="B16" s="25"/>
      <c r="C16" s="25"/>
      <c r="D16" s="25"/>
      <c r="E16" s="25"/>
      <c r="F16" s="25"/>
      <c r="G16" s="25"/>
      <c r="H16" s="25"/>
      <c r="K16" s="25"/>
      <c r="M16" s="25"/>
      <c r="N16" s="25"/>
      <c r="O16" s="25"/>
      <c r="P16" s="25"/>
      <c r="Q16" s="25"/>
      <c r="R16" s="25"/>
    </row>
    <row r="17" spans="1:21" x14ac:dyDescent="0.35">
      <c r="A17" s="6" t="s">
        <v>119</v>
      </c>
      <c r="J17" s="6" t="s">
        <v>119</v>
      </c>
      <c r="K17" s="25">
        <f>SUMIFS('Cleaned Data'!$AN$2:$AN$2022,'Cleaned Data'!$BD$2:$BD$2022,$J$17)</f>
        <v>479618</v>
      </c>
      <c r="L17">
        <f>SUMIFS('Cleaned Data'!$AN$2:$AN$2022,'Cleaned Data'!$BD$2:$BD$2022,$J$17,'Cleaned Data'!V$2:V$2022,"=0")</f>
        <v>275756</v>
      </c>
      <c r="M17" s="25">
        <f>SUMIFS('Cleaned Data'!$AN$2:$AN$2022,'Cleaned Data'!$BD$2:$BD$2022,$J$17,'Cleaned Data'!Q$2:Q$2022,"=1")</f>
        <v>96440</v>
      </c>
      <c r="N17" s="25">
        <f>SUMIFS('Cleaned Data'!$AN$2:$AN$2022,'Cleaned Data'!$BD$2:$BD$2022,$J$17,'Cleaned Data'!R$2:R$2022,"=1")</f>
        <v>18839</v>
      </c>
      <c r="O17" s="25">
        <f>SUMIFS('Cleaned Data'!$AN$2:$AN$2022,'Cleaned Data'!$BD$2:$BD$2022,$J$17,'Cleaned Data'!S$2:S$2022,"=1")</f>
        <v>39150</v>
      </c>
      <c r="P17" s="25">
        <f>SUMIFS('Cleaned Data'!$AN$2:$AN$2022,'Cleaned Data'!$BD$2:$BD$2022,$J$17,'Cleaned Data'!T$2:T$2022,"=1")</f>
        <v>82830</v>
      </c>
      <c r="Q17" s="25">
        <f>SUMIFS('Cleaned Data'!$AN$2:$AN$2022,'Cleaned Data'!$BD$2:$BD$2022,$J$17,'Cleaned Data'!U$2:U$2022,"=1")</f>
        <v>112239</v>
      </c>
      <c r="R17" s="25">
        <f>SUMIFS('Cleaned Data'!$AN$2:$AN$2022,'Cleaned Data'!$BD$2:$BD$2022,$J$17,'Cleaned Data'!V$2:V$2022,"=1")</f>
        <v>203862</v>
      </c>
    </row>
    <row r="18" spans="1:21" x14ac:dyDescent="0.35">
      <c r="A18" t="s">
        <v>154</v>
      </c>
      <c r="B18" s="25">
        <f>AVERAGEIFS('Cleaned Data'!$I$2:$I$2022,'Cleaned Data'!$BD$2:$BD$2022,$A$17)</f>
        <v>65.778741865509758</v>
      </c>
      <c r="C18" s="25">
        <f>AVERAGEIFS('Cleaned Data'!$I$2:$I$2022,'Cleaned Data'!$BD$2:$BD$2022,$A$17,'Cleaned Data'!Q$2:Q$2022,"=1")</f>
        <v>79.212121212121218</v>
      </c>
      <c r="D18" s="25">
        <f>AVERAGEIFS('Cleaned Data'!$I$2:$I$2022,'Cleaned Data'!$BD$2:$BD$2022,$A$17,'Cleaned Data'!R$2:R$2022,"=1")</f>
        <v>37.214285714285715</v>
      </c>
      <c r="E18" s="25">
        <f>AVERAGEIFS('Cleaned Data'!$I$2:$I$2022,'Cleaned Data'!$BD$2:$BD$2022,$A$17,'Cleaned Data'!S$2:S$2022,"=1")</f>
        <v>39.555555555555557</v>
      </c>
      <c r="F18" s="25">
        <f>AVERAGEIFS('Cleaned Data'!$I$2:$I$2022,'Cleaned Data'!$BD$2:$BD$2022,$A$17,'Cleaned Data'!T$2:T$2022,"=1")</f>
        <v>44.94202898550725</v>
      </c>
      <c r="G18" s="25">
        <f>AVERAGEIFS('Cleaned Data'!$I$2:$I$2022,'Cleaned Data'!$BD$2:$BD$2022,$A$17,'Cleaned Data'!U$2:U$2022,"=1")</f>
        <v>75.625</v>
      </c>
      <c r="H18" s="25">
        <f>AVERAGEIFS('Cleaned Data'!$I$2:$I$2022,'Cleaned Data'!$BD$2:$BD$2022,$A$17,'Cleaned Data'!V$2:V$2022,"=1")</f>
        <v>63.377358490566039</v>
      </c>
      <c r="J18" t="s">
        <v>157</v>
      </c>
      <c r="K18" s="25">
        <f>SUMIFS('Cleaned Data'!$I$2:$I$2022,'Cleaned Data'!$BD$2:$BD$2022,$J$17)</f>
        <v>30324</v>
      </c>
      <c r="L18">
        <f>SUMIFS('Cleaned Data'!$I$2:$I$2022,'Cleaned Data'!$BD$2:$BD$2022,$J$17,'Cleaned Data'!V$2:V$2022,"=0")</f>
        <v>20247</v>
      </c>
      <c r="M18" s="25">
        <f>SUMIFS('Cleaned Data'!$I$2:$I$2022,'Cleaned Data'!$BD$2:$BD$2022,$J$17,'Cleaned Data'!Q$2:Q$2022,"=1")</f>
        <v>5228</v>
      </c>
      <c r="N18" s="25">
        <f>SUMIFS('Cleaned Data'!$I$2:$I$2022,'Cleaned Data'!$BD$2:$BD$2022,$J$17,'Cleaned Data'!R$2:R$2022,"=1")</f>
        <v>521</v>
      </c>
      <c r="O18" s="25">
        <f>SUMIFS('Cleaned Data'!$I$2:$I$2022,'Cleaned Data'!$BD$2:$BD$2022,$J$17,'Cleaned Data'!S$2:S$2022,"=1")</f>
        <v>1424</v>
      </c>
      <c r="P18" s="25">
        <f>SUMIFS('Cleaned Data'!$I$2:$I$2022,'Cleaned Data'!$BD$2:$BD$2022,$J$17,'Cleaned Data'!T$2:T$2022,"=1")</f>
        <v>3101</v>
      </c>
      <c r="Q18" s="25">
        <f>SUMIFS('Cleaned Data'!$I$2:$I$2022,'Cleaned Data'!$BD$2:$BD$2022,$J$17,'Cleaned Data'!U$2:U$2022,"=1")</f>
        <v>5445</v>
      </c>
      <c r="R18" s="25">
        <f>SUMIFS('Cleaned Data'!$I$2:$I$2022,'Cleaned Data'!$BD$2:$BD$2022,$J$17,'Cleaned Data'!V$2:V$2022,"=1")</f>
        <v>10077</v>
      </c>
      <c r="S18" s="18">
        <f>K18/$K$17</f>
        <v>6.3225316814631644E-2</v>
      </c>
      <c r="T18" s="18">
        <f>L18/$L$17</f>
        <v>7.3423606376651823E-2</v>
      </c>
      <c r="U18" s="18">
        <f>R18/$R$17</f>
        <v>4.9430497100980075E-2</v>
      </c>
    </row>
    <row r="19" spans="1:21" x14ac:dyDescent="0.35">
      <c r="A19" t="s">
        <v>153</v>
      </c>
      <c r="B19" s="25">
        <f>AVERAGEIFS('Cleaned Data'!$G$2:$G$2022,'Cleaned Data'!$BD$2:$BD$2022,$A$17)</f>
        <v>45.832971800433839</v>
      </c>
      <c r="C19" s="25">
        <f>AVERAGEIFS('Cleaned Data'!$G$2:$G$2022,'Cleaned Data'!$BD$2:$BD$2022,$A$17,'Cleaned Data'!Q$2:Q$2022,"=1")</f>
        <v>50.833333333333336</v>
      </c>
      <c r="D19" s="25">
        <f>AVERAGEIFS('Cleaned Data'!$G$2:$G$2022,'Cleaned Data'!$BD$2:$BD$2022,$A$17,'Cleaned Data'!R$2:R$2022,"=1")</f>
        <v>20.214285714285715</v>
      </c>
      <c r="E19" s="25">
        <f>AVERAGEIFS('Cleaned Data'!$G$2:$G$2022,'Cleaned Data'!$BD$2:$BD$2022,$A$17,'Cleaned Data'!S$2:S$2022,"=1")</f>
        <v>32.722222222222221</v>
      </c>
      <c r="F19" s="25">
        <f>AVERAGEIFS('Cleaned Data'!$G$2:$G$2022,'Cleaned Data'!$BD$2:$BD$2022,$A$17,'Cleaned Data'!T$2:T$2022,"=1")</f>
        <v>27.362318840579711</v>
      </c>
      <c r="G19" s="25">
        <f>AVERAGEIFS('Cleaned Data'!$G$2:$G$2022,'Cleaned Data'!$BD$2:$BD$2022,$A$17,'Cleaned Data'!U$2:U$2022,"=1")</f>
        <v>59.736111111111114</v>
      </c>
      <c r="H19" s="25">
        <f>AVERAGEIFS('Cleaned Data'!$G$2:$G$2022,'Cleaned Data'!$BD$2:$BD$2022,$A$17,'Cleaned Data'!V$2:V$2022,"=1")</f>
        <v>42.855345911949684</v>
      </c>
      <c r="J19" t="s">
        <v>158</v>
      </c>
      <c r="K19" s="25">
        <f>SUMIFS('Cleaned Data'!$G$2:$G$2022,'Cleaned Data'!$BD$2:$BD$2022,$J$17)</f>
        <v>21129</v>
      </c>
      <c r="L19">
        <f>SUMIFS('Cleaned Data'!$G$2:$G$2022,'Cleaned Data'!$BD$2:$BD$2022,$J$17,'Cleaned Data'!V$2:V$2022,"=0")</f>
        <v>14315</v>
      </c>
      <c r="M19" s="25">
        <f>SUMIFS('Cleaned Data'!$G$2:$G$2022,'Cleaned Data'!$BD$2:$BD$2022,$J$17,'Cleaned Data'!Q$2:Q$2022,"=1")</f>
        <v>3355</v>
      </c>
      <c r="N19" s="25">
        <f>SUMIFS('Cleaned Data'!$G$2:$G$2022,'Cleaned Data'!$BD$2:$BD$2022,$J$17,'Cleaned Data'!R$2:R$2022,"=1")</f>
        <v>283</v>
      </c>
      <c r="O19" s="25">
        <f>SUMIFS('Cleaned Data'!$G$2:$G$2022,'Cleaned Data'!$BD$2:$BD$2022,$J$17,'Cleaned Data'!S$2:S$2022,"=1")</f>
        <v>1178</v>
      </c>
      <c r="P19" s="25">
        <f>SUMIFS('Cleaned Data'!$G$2:$G$2022,'Cleaned Data'!$BD$2:$BD$2022,$J$17,'Cleaned Data'!T$2:T$2022,"=1")</f>
        <v>1888</v>
      </c>
      <c r="Q19" s="25">
        <f>SUMIFS('Cleaned Data'!$G$2:$G$2022,'Cleaned Data'!$BD$2:$BD$2022,$J$17,'Cleaned Data'!U$2:U$2022,"=1")</f>
        <v>4301</v>
      </c>
      <c r="R19" s="25">
        <f>SUMIFS('Cleaned Data'!$G$2:$G$2022,'Cleaned Data'!$BD$2:$BD$2022,$J$17,'Cleaned Data'!V$2:V$2022,"=1")</f>
        <v>6814</v>
      </c>
      <c r="S19" s="18">
        <f t="shared" ref="S19:S22" si="9">K19/$K$17</f>
        <v>4.4053809490052498E-2</v>
      </c>
      <c r="T19" s="18">
        <f t="shared" ref="T19:T22" si="10">L19/$L$17</f>
        <v>5.1911835100596181E-2</v>
      </c>
      <c r="U19" s="18">
        <f t="shared" ref="U19:U22" si="11">R19/$R$17</f>
        <v>3.3424571523873993E-2</v>
      </c>
    </row>
    <row r="20" spans="1:21" x14ac:dyDescent="0.35">
      <c r="A20" t="s">
        <v>155</v>
      </c>
      <c r="B20" s="25">
        <f>AVERAGEIFS('Cleaned Data'!$H$2:$H$2022,'Cleaned Data'!$BD$2:$BD$2022,$A$17)</f>
        <v>303.50108459869847</v>
      </c>
      <c r="C20" s="25">
        <f>AVERAGEIFS('Cleaned Data'!$H$2:$H$2022,'Cleaned Data'!$BD$2:$BD$2022,$A$17,'Cleaned Data'!Q$2:Q$2022,"=1")</f>
        <v>451.66666666666669</v>
      </c>
      <c r="D20" s="25">
        <f>AVERAGEIFS('Cleaned Data'!$H$2:$H$2022,'Cleaned Data'!$BD$2:$BD$2022,$A$17,'Cleaned Data'!R$2:R$2022,"=1")</f>
        <v>282.42857142857144</v>
      </c>
      <c r="E20" s="25">
        <f>AVERAGEIFS('Cleaned Data'!$H$2:$H$2022,'Cleaned Data'!$BD$2:$BD$2022,$A$17,'Cleaned Data'!S$2:S$2022,"=1")</f>
        <v>288.52777777777777</v>
      </c>
      <c r="F20" s="25">
        <f>AVERAGEIFS('Cleaned Data'!$H$2:$H$2022,'Cleaned Data'!$BD$2:$BD$2022,$A$17,'Cleaned Data'!T$2:T$2022,"=1")</f>
        <v>265.463768115942</v>
      </c>
      <c r="G20" s="25">
        <f>AVERAGEIFS('Cleaned Data'!$H$2:$H$2022,'Cleaned Data'!$BD$2:$BD$2022,$A$17,'Cleaned Data'!U$2:U$2022,"=1")</f>
        <v>493.91666666666669</v>
      </c>
      <c r="H20" s="25">
        <f>AVERAGEIFS('Cleaned Data'!$H$2:$H$2022,'Cleaned Data'!$BD$2:$BD$2022,$A$17,'Cleaned Data'!V$2:V$2022,"=1")</f>
        <v>359.1320754716981</v>
      </c>
      <c r="J20" t="s">
        <v>159</v>
      </c>
      <c r="K20" s="25">
        <f>SUMIFS('Cleaned Data'!$H$2:$H$2022,'Cleaned Data'!$BD$2:$BD$2022,$J$17)</f>
        <v>139914</v>
      </c>
      <c r="L20">
        <f>SUMIFS('Cleaned Data'!$H$2:$H$2022,'Cleaned Data'!$BD$2:$BD$2022,$J$17,'Cleaned Data'!V$2:V$2022,"=0")</f>
        <v>82812</v>
      </c>
      <c r="M20" s="25">
        <f>SUMIFS('Cleaned Data'!$H$2:$H$2022,'Cleaned Data'!$BD$2:$BD$2022,$J$17,'Cleaned Data'!Q$2:Q$2022,"=1")</f>
        <v>29810</v>
      </c>
      <c r="N20" s="25">
        <f>SUMIFS('Cleaned Data'!$H$2:$H$2022,'Cleaned Data'!$BD$2:$BD$2022,$J$17,'Cleaned Data'!R$2:R$2022,"=1")</f>
        <v>3954</v>
      </c>
      <c r="O20" s="25">
        <f>SUMIFS('Cleaned Data'!$H$2:$H$2022,'Cleaned Data'!$BD$2:$BD$2022,$J$17,'Cleaned Data'!S$2:S$2022,"=1")</f>
        <v>10387</v>
      </c>
      <c r="P20" s="25">
        <f>SUMIFS('Cleaned Data'!$H$2:$H$2022,'Cleaned Data'!$BD$2:$BD$2022,$J$17,'Cleaned Data'!T$2:T$2022,"=1")</f>
        <v>18317</v>
      </c>
      <c r="Q20" s="25">
        <f>SUMIFS('Cleaned Data'!$H$2:$H$2022,'Cleaned Data'!$BD$2:$BD$2022,$J$17,'Cleaned Data'!U$2:U$2022,"=1")</f>
        <v>35562</v>
      </c>
      <c r="R20" s="25">
        <f>SUMIFS('Cleaned Data'!$H$2:$H$2022,'Cleaned Data'!$BD$2:$BD$2022,$J$17,'Cleaned Data'!V$2:V$2022,"=1")</f>
        <v>57102</v>
      </c>
      <c r="S20" s="18">
        <f t="shared" si="9"/>
        <v>0.29171966022959939</v>
      </c>
      <c r="T20" s="18">
        <f t="shared" si="10"/>
        <v>0.30030896879850305</v>
      </c>
      <c r="U20" s="18">
        <f t="shared" si="11"/>
        <v>0.28010124495982575</v>
      </c>
    </row>
    <row r="21" spans="1:21" x14ac:dyDescent="0.35">
      <c r="A21" t="s">
        <v>156</v>
      </c>
      <c r="B21" s="25">
        <f>AVERAGEIFS('Cleaned Data'!$J$2:$J$2022,'Cleaned Data'!$BD$2:$BD$2022,$A$17)</f>
        <v>48.238611713665946</v>
      </c>
      <c r="C21" s="25">
        <f>AVERAGEIFS('Cleaned Data'!$J$2:$J$2022,'Cleaned Data'!$BD$2:$BD$2022,$A$17,'Cleaned Data'!Q$2:Q$2022,"=1")</f>
        <v>65.424242424242422</v>
      </c>
      <c r="D21" s="25">
        <f>AVERAGEIFS('Cleaned Data'!$J$2:$J$2022,'Cleaned Data'!$BD$2:$BD$2022,$A$17,'Cleaned Data'!R$2:R$2022,"=1")</f>
        <v>20.571428571428573</v>
      </c>
      <c r="E21" s="25">
        <f>AVERAGEIFS('Cleaned Data'!$J$2:$J$2022,'Cleaned Data'!$BD$2:$BD$2022,$A$17,'Cleaned Data'!S$2:S$2022,"=1")</f>
        <v>32.25</v>
      </c>
      <c r="F21" s="25">
        <f>AVERAGEIFS('Cleaned Data'!$J$2:$J$2022,'Cleaned Data'!$BD$2:$BD$2022,$A$17,'Cleaned Data'!T$2:T$2022,"=1")</f>
        <v>37.884057971014492</v>
      </c>
      <c r="G21" s="25">
        <f>AVERAGEIFS('Cleaned Data'!$J$2:$J$2022,'Cleaned Data'!$BD$2:$BD$2022,$A$17,'Cleaned Data'!U$2:U$2022,"=1")</f>
        <v>70.486111111111114</v>
      </c>
      <c r="H21" s="25">
        <f>AVERAGEIFS('Cleaned Data'!$J$2:$J$2022,'Cleaned Data'!$BD$2:$BD$2022,$A$17,'Cleaned Data'!V$2:V$2022,"=1")</f>
        <v>49.320754716981135</v>
      </c>
      <c r="J21" t="s">
        <v>160</v>
      </c>
      <c r="K21" s="25">
        <f>SUMIFS('Cleaned Data'!$J$2:$J$2022,'Cleaned Data'!$BD$2:$BD$2022,$J$17)</f>
        <v>22238</v>
      </c>
      <c r="L21">
        <f>SUMIFS('Cleaned Data'!$J$2:$J$2022,'Cleaned Data'!$BD$2:$BD$2022,$J$17,'Cleaned Data'!V$2:V$2022,"=0")</f>
        <v>14396</v>
      </c>
      <c r="M21" s="25">
        <f>SUMIFS('Cleaned Data'!$J$2:$J$2022,'Cleaned Data'!$BD$2:$BD$2022,$J$17,'Cleaned Data'!Q$2:Q$2022,"=1")</f>
        <v>4318</v>
      </c>
      <c r="N21" s="25">
        <f>SUMIFS('Cleaned Data'!$J$2:$J$2022,'Cleaned Data'!$BD$2:$BD$2022,$J$17,'Cleaned Data'!R$2:R$2022,"=1")</f>
        <v>288</v>
      </c>
      <c r="O21" s="25">
        <f>SUMIFS('Cleaned Data'!$J$2:$J$2022,'Cleaned Data'!$BD$2:$BD$2022,$J$17,'Cleaned Data'!S$2:S$2022,"=1")</f>
        <v>1161</v>
      </c>
      <c r="P21" s="25">
        <f>SUMIFS('Cleaned Data'!$J$2:$J$2022,'Cleaned Data'!$BD$2:$BD$2022,$J$17,'Cleaned Data'!T$2:T$2022,"=1")</f>
        <v>2614</v>
      </c>
      <c r="Q21" s="25">
        <f>SUMIFS('Cleaned Data'!$J$2:$J$2022,'Cleaned Data'!$BD$2:$BD$2022,$J$17,'Cleaned Data'!U$2:U$2022,"=1")</f>
        <v>5075</v>
      </c>
      <c r="R21" s="25">
        <f>SUMIFS('Cleaned Data'!$J$2:$J$2022,'Cleaned Data'!$BD$2:$BD$2022,$J$17,'Cleaned Data'!V$2:V$2022,"=1")</f>
        <v>7842</v>
      </c>
      <c r="S21" s="18">
        <f t="shared" si="9"/>
        <v>4.6366066327785865E-2</v>
      </c>
      <c r="T21" s="18">
        <f t="shared" si="10"/>
        <v>5.220557304283497E-2</v>
      </c>
      <c r="U21" s="18">
        <f t="shared" si="11"/>
        <v>3.8467198398916914E-2</v>
      </c>
    </row>
    <row r="22" spans="1:21" x14ac:dyDescent="0.35">
      <c r="A22" t="s">
        <v>152</v>
      </c>
      <c r="B22" s="25">
        <f>AVERAGEIFS('Cleaned Data'!$F$2:$F$2022,'Cleaned Data'!$BD$2:$BD$2022,$A$17)</f>
        <v>577.03470715835147</v>
      </c>
      <c r="C22" s="25">
        <f>AVERAGEIFS('Cleaned Data'!$F$2:$F$2022,'Cleaned Data'!$BD$2:$BD$2022,$A$17,'Cleaned Data'!Q$2:Q$2022,"=1")</f>
        <v>814.07575757575762</v>
      </c>
      <c r="D22" s="25">
        <f>AVERAGEIFS('Cleaned Data'!$F$2:$F$2022,'Cleaned Data'!$BD$2:$BD$2022,$A$17,'Cleaned Data'!R$2:R$2022,"=1")</f>
        <v>985.21428571428567</v>
      </c>
      <c r="E22" s="25">
        <f>AVERAGEIFS('Cleaned Data'!$F$2:$F$2022,'Cleaned Data'!$BD$2:$BD$2022,$A$17,'Cleaned Data'!S$2:S$2022,"=1")</f>
        <v>694.44444444444446</v>
      </c>
      <c r="F22" s="25">
        <f>AVERAGEIFS('Cleaned Data'!$F$2:$F$2022,'Cleaned Data'!$BD$2:$BD$2022,$A$17,'Cleaned Data'!T$2:T$2022,"=1")</f>
        <v>824.78260869565213</v>
      </c>
      <c r="G22" s="25">
        <f>AVERAGEIFS('Cleaned Data'!$F$2:$F$2022,'Cleaned Data'!$BD$2:$BD$2022,$A$17,'Cleaned Data'!U$2:U$2022,"=1")</f>
        <v>859.11111111111109</v>
      </c>
      <c r="H22" s="25">
        <f>AVERAGEIFS('Cleaned Data'!$F$2:$F$2022,'Cleaned Data'!$BD$2:$BD$2022,$A$17,'Cleaned Data'!V$2:V$2022,"=1")</f>
        <v>767.46540880503142</v>
      </c>
      <c r="J22" t="s">
        <v>161</v>
      </c>
      <c r="K22" s="25">
        <f>SUMIFS('Cleaned Data'!$F$2:$F$2022,'Cleaned Data'!$BD$2:$BD$2022,$J$17)</f>
        <v>266013</v>
      </c>
      <c r="L22">
        <f>SUMIFS('Cleaned Data'!$F$2:$F$2022,'Cleaned Data'!$BD$2:$BD$2022,$J$17,'Cleaned Data'!V$2:V$2022,"=0")</f>
        <v>143986</v>
      </c>
      <c r="M22" s="25">
        <f>SUMIFS('Cleaned Data'!$F$2:$F$2022,'Cleaned Data'!$BD$2:$BD$2022,$J$17,'Cleaned Data'!Q$2:Q$2022,"=1")</f>
        <v>53729</v>
      </c>
      <c r="N22" s="25">
        <f>SUMIFS('Cleaned Data'!$F$2:$F$2022,'Cleaned Data'!$BD$2:$BD$2022,$J$17,'Cleaned Data'!R$2:R$2022,"=1")</f>
        <v>13793</v>
      </c>
      <c r="O22" s="25">
        <f>SUMIFS('Cleaned Data'!$F$2:$F$2022,'Cleaned Data'!$BD$2:$BD$2022,$J$17,'Cleaned Data'!S$2:S$2022,"=1")</f>
        <v>25000</v>
      </c>
      <c r="P22" s="25">
        <f>SUMIFS('Cleaned Data'!$F$2:$F$2022,'Cleaned Data'!$BD$2:$BD$2022,$J$17,'Cleaned Data'!T$2:T$2022,"=1")</f>
        <v>56910</v>
      </c>
      <c r="Q22" s="25">
        <f>SUMIFS('Cleaned Data'!$F$2:$F$2022,'Cleaned Data'!$BD$2:$BD$2022,$J$17,'Cleaned Data'!U$2:U$2022,"=1")</f>
        <v>61856</v>
      </c>
      <c r="R22" s="25">
        <f>SUMIFS('Cleaned Data'!$F$2:$F$2022,'Cleaned Data'!$BD$2:$BD$2022,$J$17,'Cleaned Data'!V$2:V$2022,"=1")</f>
        <v>122027</v>
      </c>
      <c r="S22" s="18">
        <f t="shared" si="9"/>
        <v>0.55463514713793061</v>
      </c>
      <c r="T22" s="18">
        <f t="shared" si="10"/>
        <v>0.52215001668141403</v>
      </c>
      <c r="U22" s="18">
        <f t="shared" si="11"/>
        <v>0.59857648801640329</v>
      </c>
    </row>
    <row r="23" spans="1:21" x14ac:dyDescent="0.35">
      <c r="A23" s="35"/>
      <c r="B23" s="25"/>
      <c r="C23" s="25"/>
      <c r="D23" s="25"/>
      <c r="E23" s="25"/>
      <c r="F23" s="25"/>
      <c r="G23" s="25"/>
      <c r="H23" s="25"/>
      <c r="J23" s="35"/>
      <c r="K23" s="25"/>
      <c r="M23" s="25"/>
      <c r="N23" s="25"/>
      <c r="O23" s="25"/>
      <c r="P23" s="25"/>
      <c r="Q23" s="25"/>
      <c r="R23" s="25"/>
    </row>
    <row r="24" spans="1:21" x14ac:dyDescent="0.35">
      <c r="A24" s="6" t="s">
        <v>120</v>
      </c>
      <c r="J24" s="6" t="s">
        <v>120</v>
      </c>
      <c r="K24" s="25">
        <f>SUMIFS('Cleaned Data'!$AN$2:$AN$2022,'Cleaned Data'!$BD$2:$BD$2022,$J$24)</f>
        <v>280071</v>
      </c>
      <c r="L24">
        <f>SUMIFS('Cleaned Data'!$AN$2:$AN$2022,'Cleaned Data'!$BD$2:$BD$2022,$J$24,'Cleaned Data'!V$2:V$2022,"=0")</f>
        <v>182989</v>
      </c>
      <c r="M24" s="25">
        <f>SUMIFS('Cleaned Data'!$AN$2:$AN$2022,'Cleaned Data'!$BD$2:$BD$2022,$J$24,'Cleaned Data'!Q$2:Q$2022,"=1")</f>
        <v>32223</v>
      </c>
      <c r="N24" s="25">
        <f>SUMIFS('Cleaned Data'!$AN$2:$AN$2022,'Cleaned Data'!$BD$2:$BD$2022,$J$24,'Cleaned Data'!R$2:R$2022,"=1")</f>
        <v>5849</v>
      </c>
      <c r="O24" s="25">
        <f>SUMIFS('Cleaned Data'!$AN$2:$AN$2022,'Cleaned Data'!$BD$2:$BD$2022,$J$24,'Cleaned Data'!S$2:S$2022,"=1")</f>
        <v>23464</v>
      </c>
      <c r="P24" s="25">
        <f>SUMIFS('Cleaned Data'!$AN$2:$AN$2022,'Cleaned Data'!$BD$2:$BD$2022,$J$24,'Cleaned Data'!T$2:T$2022,"=1")</f>
        <v>34523</v>
      </c>
      <c r="Q24" s="25">
        <f>SUMIFS('Cleaned Data'!$AN$2:$AN$2022,'Cleaned Data'!$BD$2:$BD$2022,$J$24,'Cleaned Data'!U$2:U$2022,"=1")</f>
        <v>51524</v>
      </c>
      <c r="R24" s="25">
        <f>SUMIFS('Cleaned Data'!$AN$2:$AN$2022,'Cleaned Data'!$BD$2:$BD$2022,$J$24,'Cleaned Data'!V$2:V$2022,"=1")</f>
        <v>97082</v>
      </c>
    </row>
    <row r="25" spans="1:21" x14ac:dyDescent="0.35">
      <c r="A25" t="s">
        <v>154</v>
      </c>
      <c r="B25" s="25">
        <f>AVERAGEIFS('Cleaned Data'!$I$2:$I$2022,'Cleaned Data'!$BD$2:$BD$2022,$A$24)</f>
        <v>55.742690058479532</v>
      </c>
      <c r="C25" s="25">
        <f>AVERAGEIFS('Cleaned Data'!$I$2:$I$2022,'Cleaned Data'!$BD$2:$BD$2022,$A$24,'Cleaned Data'!Q$2:Q$2022,"=1")</f>
        <v>113.59090909090909</v>
      </c>
      <c r="D25" s="25">
        <f>AVERAGEIFS('Cleaned Data'!$I$2:$I$2022,'Cleaned Data'!$BD$2:$BD$2022,$A$24,'Cleaned Data'!R$2:R$2022,"=1")</f>
        <v>67.25</v>
      </c>
      <c r="E25" s="25">
        <f>AVERAGEIFS('Cleaned Data'!$I$2:$I$2022,'Cleaned Data'!$BD$2:$BD$2022,$A$24,'Cleaned Data'!S$2:S$2022,"=1")</f>
        <v>67.07692307692308</v>
      </c>
      <c r="F25" s="25">
        <f>AVERAGEIFS('Cleaned Data'!$I$2:$I$2022,'Cleaned Data'!$BD$2:$BD$2022,$A$24,'Cleaned Data'!T$2:T$2022,"=1")</f>
        <v>44.866666666666667</v>
      </c>
      <c r="G25" s="25">
        <f>AVERAGEIFS('Cleaned Data'!$I$2:$I$2022,'Cleaned Data'!$BD$2:$BD$2022,$A$24,'Cleaned Data'!U$2:U$2022,"=1")</f>
        <v>91.129032258064512</v>
      </c>
      <c r="H25" s="25">
        <f>AVERAGEIFS('Cleaned Data'!$I$2:$I$2022,'Cleaned Data'!$BD$2:$BD$2022,$A$24,'Cleaned Data'!V$2:V$2022,"=1")</f>
        <v>67.92771084337349</v>
      </c>
      <c r="J25" t="s">
        <v>157</v>
      </c>
      <c r="K25" s="25">
        <f>SUMIFS('Cleaned Data'!$I$2:$I$2022,'Cleaned Data'!$BD$2:$BD$2022,$J$24)</f>
        <v>19064</v>
      </c>
      <c r="L25">
        <f>SUMIFS('Cleaned Data'!$I$2:$I$2022,'Cleaned Data'!$BD$2:$BD$2022,$J$24,'Cleaned Data'!V$2:V$2022,"=0")</f>
        <v>13426</v>
      </c>
      <c r="M25" s="25">
        <f>SUMIFS('Cleaned Data'!$I$2:$I$2022,'Cleaned Data'!$BD$2:$BD$2022,$J$24,'Cleaned Data'!Q$2:Q$2022,"=1")</f>
        <v>2499</v>
      </c>
      <c r="N25" s="25">
        <f>SUMIFS('Cleaned Data'!$I$2:$I$2022,'Cleaned Data'!$BD$2:$BD$2022,$J$24,'Cleaned Data'!R$2:R$2022,"=1")</f>
        <v>269</v>
      </c>
      <c r="O25" s="25">
        <f>SUMIFS('Cleaned Data'!$I$2:$I$2022,'Cleaned Data'!$BD$2:$BD$2022,$J$24,'Cleaned Data'!S$2:S$2022,"=1")</f>
        <v>1744</v>
      </c>
      <c r="P25" s="25">
        <f>SUMIFS('Cleaned Data'!$I$2:$I$2022,'Cleaned Data'!$BD$2:$BD$2022,$J$24,'Cleaned Data'!T$2:T$2022,"=1")</f>
        <v>1346</v>
      </c>
      <c r="Q25" s="25">
        <f>SUMIFS('Cleaned Data'!$I$2:$I$2022,'Cleaned Data'!$BD$2:$BD$2022,$J$24,'Cleaned Data'!U$2:U$2022,"=1")</f>
        <v>2825</v>
      </c>
      <c r="R25" s="25">
        <f>SUMIFS('Cleaned Data'!$I$2:$I$2022,'Cleaned Data'!$BD$2:$BD$2022,$J$24,'Cleaned Data'!V$2:V$2022,"=1")</f>
        <v>5638</v>
      </c>
      <c r="S25" s="18">
        <f>K25/$K$24</f>
        <v>6.8068454070574963E-2</v>
      </c>
      <c r="T25" s="18">
        <f>L25/$L$24</f>
        <v>7.3370530469044584E-2</v>
      </c>
      <c r="U25" s="18">
        <f>R25/$R$24</f>
        <v>5.8074617333800295E-2</v>
      </c>
    </row>
    <row r="26" spans="1:21" x14ac:dyDescent="0.35">
      <c r="A26" t="s">
        <v>153</v>
      </c>
      <c r="B26" s="25">
        <f>AVERAGEIFS('Cleaned Data'!$G$2:$G$2022,'Cleaned Data'!$BD$2:$BD$2022,$A$24)</f>
        <v>40.970760233918128</v>
      </c>
      <c r="C26" s="25">
        <f>AVERAGEIFS('Cleaned Data'!$G$2:$G$2022,'Cleaned Data'!$BD$2:$BD$2022,$A$24,'Cleaned Data'!Q$2:Q$2022,"=1")</f>
        <v>68.63636363636364</v>
      </c>
      <c r="D26" s="25">
        <f>AVERAGEIFS('Cleaned Data'!$G$2:$G$2022,'Cleaned Data'!$BD$2:$BD$2022,$A$24,'Cleaned Data'!R$2:R$2022,"=1")</f>
        <v>24</v>
      </c>
      <c r="E26" s="25">
        <f>AVERAGEIFS('Cleaned Data'!$G$2:$G$2022,'Cleaned Data'!$BD$2:$BD$2022,$A$24,'Cleaned Data'!S$2:S$2022,"=1")</f>
        <v>52.42307692307692</v>
      </c>
      <c r="F26" s="25">
        <f>AVERAGEIFS('Cleaned Data'!$G$2:$G$2022,'Cleaned Data'!$BD$2:$BD$2022,$A$24,'Cleaned Data'!T$2:T$2022,"=1")</f>
        <v>28.233333333333334</v>
      </c>
      <c r="G26" s="25">
        <f>AVERAGEIFS('Cleaned Data'!$G$2:$G$2022,'Cleaned Data'!$BD$2:$BD$2022,$A$24,'Cleaned Data'!U$2:U$2022,"=1")</f>
        <v>53</v>
      </c>
      <c r="H26" s="25">
        <f>AVERAGEIFS('Cleaned Data'!$G$2:$G$2022,'Cleaned Data'!$BD$2:$BD$2022,$A$24,'Cleaned Data'!V$2:V$2022,"=1")</f>
        <v>42.927710843373497</v>
      </c>
      <c r="J26" t="s">
        <v>158</v>
      </c>
      <c r="K26" s="25">
        <f>SUMIFS('Cleaned Data'!$G$2:$G$2022,'Cleaned Data'!$BD$2:$BD$2022,$J$24)</f>
        <v>14012</v>
      </c>
      <c r="L26">
        <f>SUMIFS('Cleaned Data'!$G$2:$G$2022,'Cleaned Data'!$BD$2:$BD$2022,$J$24,'Cleaned Data'!V$2:V$2022,"=0")</f>
        <v>10449</v>
      </c>
      <c r="M26" s="25">
        <f>SUMIFS('Cleaned Data'!$G$2:$G$2022,'Cleaned Data'!$BD$2:$BD$2022,$J$24,'Cleaned Data'!Q$2:Q$2022,"=1")</f>
        <v>1510</v>
      </c>
      <c r="N26" s="25">
        <f>SUMIFS('Cleaned Data'!$G$2:$G$2022,'Cleaned Data'!$BD$2:$BD$2022,$J$24,'Cleaned Data'!R$2:R$2022,"=1")</f>
        <v>96</v>
      </c>
      <c r="O26" s="25">
        <f>SUMIFS('Cleaned Data'!$G$2:$G$2022,'Cleaned Data'!$BD$2:$BD$2022,$J$24,'Cleaned Data'!S$2:S$2022,"=1")</f>
        <v>1363</v>
      </c>
      <c r="P26" s="25">
        <f>SUMIFS('Cleaned Data'!$G$2:$G$2022,'Cleaned Data'!$BD$2:$BD$2022,$J$24,'Cleaned Data'!T$2:T$2022,"=1")</f>
        <v>847</v>
      </c>
      <c r="Q26" s="25">
        <f>SUMIFS('Cleaned Data'!$G$2:$G$2022,'Cleaned Data'!$BD$2:$BD$2022,$J$24,'Cleaned Data'!U$2:U$2022,"=1")</f>
        <v>1643</v>
      </c>
      <c r="R26" s="25">
        <f>SUMIFS('Cleaned Data'!$G$2:$G$2022,'Cleaned Data'!$BD$2:$BD$2022,$J$24,'Cleaned Data'!V$2:V$2022,"=1")</f>
        <v>3563</v>
      </c>
      <c r="S26" s="18">
        <f t="shared" ref="S26:S29" si="12">K26/$K$24</f>
        <v>5.0030170920945048E-2</v>
      </c>
      <c r="T26" s="18">
        <f t="shared" ref="T26:T29" si="13">L26/$L$24</f>
        <v>5.710179300395106E-2</v>
      </c>
      <c r="U26" s="18">
        <f t="shared" ref="U26:U29" si="14">R26/$R$24</f>
        <v>3.6700933231701038E-2</v>
      </c>
    </row>
    <row r="27" spans="1:21" x14ac:dyDescent="0.35">
      <c r="A27" t="s">
        <v>155</v>
      </c>
      <c r="B27" s="25">
        <f>AVERAGEIFS('Cleaned Data'!$H$2:$H$2022,'Cleaned Data'!$BD$2:$BD$2022,$A$24)</f>
        <v>243.91812865497076</v>
      </c>
      <c r="C27" s="25">
        <f>AVERAGEIFS('Cleaned Data'!$H$2:$H$2022,'Cleaned Data'!$BD$2:$BD$2022,$A$24,'Cleaned Data'!Q$2:Q$2022,"=1")</f>
        <v>470.86363636363637</v>
      </c>
      <c r="D27" s="25">
        <f>AVERAGEIFS('Cleaned Data'!$H$2:$H$2022,'Cleaned Data'!$BD$2:$BD$2022,$A$24,'Cleaned Data'!R$2:R$2022,"=1")</f>
        <v>208.25</v>
      </c>
      <c r="E27" s="25">
        <f>AVERAGEIFS('Cleaned Data'!$H$2:$H$2022,'Cleaned Data'!$BD$2:$BD$2022,$A$24,'Cleaned Data'!S$2:S$2022,"=1")</f>
        <v>247.46153846153845</v>
      </c>
      <c r="F27" s="25">
        <f>AVERAGEIFS('Cleaned Data'!$H$2:$H$2022,'Cleaned Data'!$BD$2:$BD$2022,$A$24,'Cleaned Data'!T$2:T$2022,"=1")</f>
        <v>227.06666666666666</v>
      </c>
      <c r="G27" s="25">
        <f>AVERAGEIFS('Cleaned Data'!$H$2:$H$2022,'Cleaned Data'!$BD$2:$BD$2022,$A$24,'Cleaned Data'!U$2:U$2022,"=1")</f>
        <v>498.16129032258067</v>
      </c>
      <c r="H27" s="25">
        <f>AVERAGEIFS('Cleaned Data'!$H$2:$H$2022,'Cleaned Data'!$BD$2:$BD$2022,$A$24,'Cleaned Data'!V$2:V$2022,"=1")</f>
        <v>330.14457831325302</v>
      </c>
      <c r="J27" t="s">
        <v>159</v>
      </c>
      <c r="K27" s="25">
        <f>SUMIFS('Cleaned Data'!$H$2:$H$2022,'Cleaned Data'!$BD$2:$BD$2022,$J$24)</f>
        <v>83420</v>
      </c>
      <c r="L27">
        <f>SUMIFS('Cleaned Data'!$H$2:$H$2022,'Cleaned Data'!$BD$2:$BD$2022,$J$24,'Cleaned Data'!V$2:V$2022,"=0")</f>
        <v>56018</v>
      </c>
      <c r="M27" s="25">
        <f>SUMIFS('Cleaned Data'!$H$2:$H$2022,'Cleaned Data'!$BD$2:$BD$2022,$J$24,'Cleaned Data'!Q$2:Q$2022,"=1")</f>
        <v>10359</v>
      </c>
      <c r="N27" s="25">
        <f>SUMIFS('Cleaned Data'!$H$2:$H$2022,'Cleaned Data'!$BD$2:$BD$2022,$J$24,'Cleaned Data'!R$2:R$2022,"=1")</f>
        <v>833</v>
      </c>
      <c r="O27" s="25">
        <f>SUMIFS('Cleaned Data'!$H$2:$H$2022,'Cleaned Data'!$BD$2:$BD$2022,$J$24,'Cleaned Data'!S$2:S$2022,"=1")</f>
        <v>6434</v>
      </c>
      <c r="P27" s="25">
        <f>SUMIFS('Cleaned Data'!$H$2:$H$2022,'Cleaned Data'!$BD$2:$BD$2022,$J$24,'Cleaned Data'!T$2:T$2022,"=1")</f>
        <v>6812</v>
      </c>
      <c r="Q27" s="25">
        <f>SUMIFS('Cleaned Data'!$H$2:$H$2022,'Cleaned Data'!$BD$2:$BD$2022,$J$24,'Cleaned Data'!U$2:U$2022,"=1")</f>
        <v>15443</v>
      </c>
      <c r="R27" s="25">
        <f>SUMIFS('Cleaned Data'!$H$2:$H$2022,'Cleaned Data'!$BD$2:$BD$2022,$J$24,'Cleaned Data'!V$2:V$2022,"=1")</f>
        <v>27402</v>
      </c>
      <c r="S27" s="18">
        <f>K27/$K$24</f>
        <v>0.29785304440659688</v>
      </c>
      <c r="T27" s="18">
        <f t="shared" si="13"/>
        <v>0.30612769073550872</v>
      </c>
      <c r="U27" s="18">
        <f t="shared" si="14"/>
        <v>0.28225623699552954</v>
      </c>
    </row>
    <row r="28" spans="1:21" x14ac:dyDescent="0.35">
      <c r="A28" t="s">
        <v>156</v>
      </c>
      <c r="B28" s="25">
        <f>AVERAGEIFS('Cleaned Data'!$J$2:$J$2022,'Cleaned Data'!$BD$2:$BD$2022,$A$24)</f>
        <v>41.1812865497076</v>
      </c>
      <c r="C28" s="25">
        <f>AVERAGEIFS('Cleaned Data'!$J$2:$J$2022,'Cleaned Data'!$BD$2:$BD$2022,$A$24,'Cleaned Data'!Q$2:Q$2022,"=1")</f>
        <v>80.909090909090907</v>
      </c>
      <c r="D28" s="25">
        <f>AVERAGEIFS('Cleaned Data'!$J$2:$J$2022,'Cleaned Data'!$BD$2:$BD$2022,$A$24,'Cleaned Data'!R$2:R$2022,"=1")</f>
        <v>62.75</v>
      </c>
      <c r="E28" s="25">
        <f>AVERAGEIFS('Cleaned Data'!$J$2:$J$2022,'Cleaned Data'!$BD$2:$BD$2022,$A$24,'Cleaned Data'!S$2:S$2022,"=1")</f>
        <v>46.57692307692308</v>
      </c>
      <c r="F28" s="25">
        <f>AVERAGEIFS('Cleaned Data'!$J$2:$J$2022,'Cleaned Data'!$BD$2:$BD$2022,$A$24,'Cleaned Data'!T$2:T$2022,"=1")</f>
        <v>32.133333333333333</v>
      </c>
      <c r="G28" s="25">
        <f>AVERAGEIFS('Cleaned Data'!$J$2:$J$2022,'Cleaned Data'!$BD$2:$BD$2022,$A$24,'Cleaned Data'!U$2:U$2022,"=1")</f>
        <v>66.354838709677423</v>
      </c>
      <c r="H28" s="25">
        <f>AVERAGEIFS('Cleaned Data'!$J$2:$J$2022,'Cleaned Data'!$BD$2:$BD$2022,$A$24,'Cleaned Data'!V$2:V$2022,"=1")</f>
        <v>49.807228915662648</v>
      </c>
      <c r="J28" t="s">
        <v>160</v>
      </c>
      <c r="K28" s="25">
        <f>SUMIFS('Cleaned Data'!$J$2:$J$2022,'Cleaned Data'!$BD$2:$BD$2022,$J$24)</f>
        <v>14084</v>
      </c>
      <c r="L28">
        <f>SUMIFS('Cleaned Data'!$J$2:$J$2022,'Cleaned Data'!$BD$2:$BD$2022,$J$24,'Cleaned Data'!V$2:V$2022,"=0")</f>
        <v>9950</v>
      </c>
      <c r="M28" s="25">
        <f>SUMIFS('Cleaned Data'!$J$2:$J$2022,'Cleaned Data'!$BD$2:$BD$2022,$J$24,'Cleaned Data'!Q$2:Q$2022,"=1")</f>
        <v>1780</v>
      </c>
      <c r="N28" s="25">
        <f>SUMIFS('Cleaned Data'!$J$2:$J$2022,'Cleaned Data'!$BD$2:$BD$2022,$J$24,'Cleaned Data'!R$2:R$2022,"=1")</f>
        <v>251</v>
      </c>
      <c r="O28" s="25">
        <f>SUMIFS('Cleaned Data'!$J$2:$J$2022,'Cleaned Data'!$BD$2:$BD$2022,$J$24,'Cleaned Data'!S$2:S$2022,"=1")</f>
        <v>1211</v>
      </c>
      <c r="P28" s="25">
        <f>SUMIFS('Cleaned Data'!$J$2:$J$2022,'Cleaned Data'!$BD$2:$BD$2022,$J$24,'Cleaned Data'!T$2:T$2022,"=1")</f>
        <v>964</v>
      </c>
      <c r="Q28" s="25">
        <f>SUMIFS('Cleaned Data'!$J$2:$J$2022,'Cleaned Data'!$BD$2:$BD$2022,$J$24,'Cleaned Data'!U$2:U$2022,"=1")</f>
        <v>2057</v>
      </c>
      <c r="R28" s="25">
        <f>SUMIFS('Cleaned Data'!$J$2:$J$2022,'Cleaned Data'!$BD$2:$BD$2022,$J$24,'Cleaned Data'!V$2:V$2022,"=1")</f>
        <v>4134</v>
      </c>
      <c r="S28" s="18">
        <f t="shared" si="12"/>
        <v>5.0287248590535974E-2</v>
      </c>
      <c r="T28" s="18">
        <f t="shared" si="13"/>
        <v>5.4374853133248448E-2</v>
      </c>
      <c r="U28" s="18">
        <f t="shared" si="14"/>
        <v>4.2582559073772688E-2</v>
      </c>
    </row>
    <row r="29" spans="1:21" x14ac:dyDescent="0.35">
      <c r="A29" t="s">
        <v>152</v>
      </c>
      <c r="B29" s="25">
        <f>AVERAGEIFS('Cleaned Data'!$F$2:$F$2022,'Cleaned Data'!$BD$2:$BD$2022,$A$24)</f>
        <v>437.10818713450294</v>
      </c>
      <c r="C29" s="25">
        <f>AVERAGEIFS('Cleaned Data'!$F$2:$F$2022,'Cleaned Data'!$BD$2:$BD$2022,$A$24,'Cleaned Data'!Q$2:Q$2022,"=1")</f>
        <v>730.68181818181813</v>
      </c>
      <c r="D29" s="25">
        <f>AVERAGEIFS('Cleaned Data'!$F$2:$F$2022,'Cleaned Data'!$BD$2:$BD$2022,$A$24,'Cleaned Data'!R$2:R$2022,"=1")</f>
        <v>1100</v>
      </c>
      <c r="E29" s="25">
        <f>AVERAGEIFS('Cleaned Data'!$F$2:$F$2022,'Cleaned Data'!$BD$2:$BD$2022,$A$24,'Cleaned Data'!S$2:S$2022,"=1")</f>
        <v>488.92307692307691</v>
      </c>
      <c r="F29" s="25">
        <f>AVERAGEIFS('Cleaned Data'!$F$2:$F$2022,'Cleaned Data'!$BD$2:$BD$2022,$A$24,'Cleaned Data'!T$2:T$2022,"=1")</f>
        <v>818.4666666666667</v>
      </c>
      <c r="G29" s="25">
        <f>AVERAGEIFS('Cleaned Data'!$F$2:$F$2022,'Cleaned Data'!$BD$2:$BD$2022,$A$24,'Cleaned Data'!U$2:U$2022,"=1")</f>
        <v>953.41935483870964</v>
      </c>
      <c r="H29" s="25">
        <f>AVERAGEIFS('Cleaned Data'!$F$2:$F$2022,'Cleaned Data'!$BD$2:$BD$2022,$A$24,'Cleaned Data'!V$2:V$2022,"=1")</f>
        <v>678.85542168674704</v>
      </c>
      <c r="J29" t="s">
        <v>161</v>
      </c>
      <c r="K29" s="25">
        <f>SUMIFS('Cleaned Data'!$F$2:$F$2022,'Cleaned Data'!$BD$2:$BD$2022,$J$24)</f>
        <v>149491</v>
      </c>
      <c r="L29">
        <f>SUMIFS('Cleaned Data'!$F$2:$F$2022,'Cleaned Data'!$BD$2:$BD$2022,$J$24,'Cleaned Data'!V$2:V$2022,"=0")</f>
        <v>93146</v>
      </c>
      <c r="M29" s="25">
        <f>SUMIFS('Cleaned Data'!$F$2:$F$2022,'Cleaned Data'!$BD$2:$BD$2022,$J$24,'Cleaned Data'!Q$2:Q$2022,"=1")</f>
        <v>16075</v>
      </c>
      <c r="N29" s="25">
        <f>SUMIFS('Cleaned Data'!$F$2:$F$2022,'Cleaned Data'!$BD$2:$BD$2022,$J$24,'Cleaned Data'!R$2:R$2022,"=1")</f>
        <v>4400</v>
      </c>
      <c r="O29" s="25">
        <f>SUMIFS('Cleaned Data'!$F$2:$F$2022,'Cleaned Data'!$BD$2:$BD$2022,$J$24,'Cleaned Data'!S$2:S$2022,"=1")</f>
        <v>12712</v>
      </c>
      <c r="P29" s="25">
        <f>SUMIFS('Cleaned Data'!$F$2:$F$2022,'Cleaned Data'!$BD$2:$BD$2022,$J$24,'Cleaned Data'!T$2:T$2022,"=1")</f>
        <v>24554</v>
      </c>
      <c r="Q29" s="25">
        <f>SUMIFS('Cleaned Data'!$F$2:$F$2022,'Cleaned Data'!$BD$2:$BD$2022,$J$24,'Cleaned Data'!U$2:U$2022,"=1")</f>
        <v>29556</v>
      </c>
      <c r="R29" s="25">
        <f>SUMIFS('Cleaned Data'!$F$2:$F$2022,'Cleaned Data'!$BD$2:$BD$2022,$J$24,'Cleaned Data'!V$2:V$2022,"=1")</f>
        <v>56345</v>
      </c>
      <c r="S29" s="18">
        <f t="shared" si="12"/>
        <v>0.53376108201134709</v>
      </c>
      <c r="T29" s="18">
        <f t="shared" si="13"/>
        <v>0.50902513265824723</v>
      </c>
      <c r="U29" s="18">
        <f t="shared" si="14"/>
        <v>0.58038565336519643</v>
      </c>
    </row>
    <row r="31" spans="1:21" x14ac:dyDescent="0.35">
      <c r="A31" s="6" t="s">
        <v>121</v>
      </c>
      <c r="J31" s="6" t="s">
        <v>121</v>
      </c>
      <c r="K31" s="25">
        <f>SUMIFS('Cleaned Data'!$AN$2:$AN$2022,'Cleaned Data'!$BD$2:$BD$2022,$J$31)</f>
        <v>211938</v>
      </c>
      <c r="L31">
        <f>SUMIFS('Cleaned Data'!$AN$2:$AN$2022,'Cleaned Data'!$BD$2:$BD$2022,$J$31,'Cleaned Data'!V$2:V$2022,"=0")</f>
        <v>157914</v>
      </c>
      <c r="M31" s="25">
        <f>SUMIFS('Cleaned Data'!$AN$2:$AN$2022,'Cleaned Data'!$BD$2:$BD$2022,$J$31,'Cleaned Data'!Q$2:Q$2022,"=1")</f>
        <v>16777</v>
      </c>
      <c r="N31" s="25">
        <f>SUMIFS('Cleaned Data'!$AN$2:$AN$2022,'Cleaned Data'!$BD$2:$BD$2022,$J$31,'Cleaned Data'!R$2:R$2022,"=1")</f>
        <v>2818</v>
      </c>
      <c r="O31" s="25">
        <f>SUMIFS('Cleaned Data'!$AN$2:$AN$2022,'Cleaned Data'!$BD$2:$BD$2022,$J$31,'Cleaned Data'!S$2:S$2022,"=1")</f>
        <v>12421</v>
      </c>
      <c r="P31" s="25">
        <f>SUMIFS('Cleaned Data'!$AN$2:$AN$2022,'Cleaned Data'!$BD$2:$BD$2022,$J$31,'Cleaned Data'!T$2:T$2022,"=1")</f>
        <v>23695</v>
      </c>
      <c r="Q31" s="25">
        <f>SUMIFS('Cleaned Data'!$AN$2:$AN$2022,'Cleaned Data'!$BD$2:$BD$2022,$J$31,'Cleaned Data'!U$2:U$2022,"=1")</f>
        <v>24220</v>
      </c>
      <c r="R31" s="25">
        <f>SUMIFS('Cleaned Data'!$AN$2:$AN$2022,'Cleaned Data'!$BD$2:$BD$2022,$J$31,'Cleaned Data'!V$2:V$2022,"=1")</f>
        <v>54024</v>
      </c>
    </row>
    <row r="32" spans="1:21" x14ac:dyDescent="0.35">
      <c r="A32" t="s">
        <v>154</v>
      </c>
      <c r="B32" s="25">
        <f>AVERAGEIFS('Cleaned Data'!$I$2:$I$2022,'Cleaned Data'!$BD$2:$BD$2022,$A$31,'Cleaned Data'!Q$2:Q$2022,"=1")</f>
        <v>86.722222222222229</v>
      </c>
      <c r="C32" s="25">
        <f>AVERAGEIFS('Cleaned Data'!$I$2:$I$2022,'Cleaned Data'!$BD$2:$BD$2022,$A$31,'Cleaned Data'!Q$2:Q$2022,"=1")</f>
        <v>86.722222222222229</v>
      </c>
      <c r="D32" s="25">
        <f>AVERAGEIFS('Cleaned Data'!$I$2:$I$2022,'Cleaned Data'!$BD$2:$BD$2022,$A$31,'Cleaned Data'!R$2:R$2022,"=1")</f>
        <v>34.75</v>
      </c>
      <c r="E32" s="25">
        <f>AVERAGEIFS('Cleaned Data'!$I$2:$I$2022,'Cleaned Data'!$BD$2:$BD$2022,$A$31,'Cleaned Data'!S$2:S$2022,"=1")</f>
        <v>12.59322033898305</v>
      </c>
      <c r="F32" s="25">
        <f>AVERAGEIFS('Cleaned Data'!$I$2:$I$2022,'Cleaned Data'!$BD$2:$BD$2022,$A$31,'Cleaned Data'!T$2:T$2022,"=1")</f>
        <v>22.205128205128204</v>
      </c>
      <c r="G32" s="25">
        <f>AVERAGEIFS('Cleaned Data'!$I$2:$I$2022,'Cleaned Data'!$BD$2:$BD$2022,$A$31,'Cleaned Data'!U$2:U$2022,"=1")</f>
        <v>52.8</v>
      </c>
      <c r="H32" s="25">
        <f>AVERAGEIFS('Cleaned Data'!$I$2:$I$2022,'Cleaned Data'!$BD$2:$BD$2022,$A$31,'Cleaned Data'!V$2:V$2022,"=1")</f>
        <v>24.478260869565219</v>
      </c>
      <c r="J32" t="s">
        <v>157</v>
      </c>
      <c r="K32" s="25">
        <f>SUMIFS('Cleaned Data'!$I$2:$I$2022,'Cleaned Data'!$BD$2:$BD$2022,$J$31)</f>
        <v>16537</v>
      </c>
      <c r="L32">
        <f>SUMIFS('Cleaned Data'!$I$2:$I$2022,'Cleaned Data'!$BD$2:$BD$2022,$J$31,'Cleaned Data'!V$2:V$2022,"=0")</f>
        <v>13722</v>
      </c>
      <c r="M32" s="25">
        <f>SUMIFS('Cleaned Data'!$I$2:$I$2022,'Cleaned Data'!$BD$2:$BD$2022,$J$31,'Cleaned Data'!Q$2:Q$2022,"=1")</f>
        <v>1561</v>
      </c>
      <c r="N32" s="25">
        <f>SUMIFS('Cleaned Data'!$I$2:$I$2022,'Cleaned Data'!$BD$2:$BD$2022,$J$31,'Cleaned Data'!R$2:R$2022,"=1")</f>
        <v>139</v>
      </c>
      <c r="O32" s="25">
        <f>SUMIFS('Cleaned Data'!$I$2:$I$2022,'Cleaned Data'!$BD$2:$BD$2022,$J$31,'Cleaned Data'!S$2:S$2022,"=1")</f>
        <v>743</v>
      </c>
      <c r="P32" s="25">
        <f>SUMIFS('Cleaned Data'!$I$2:$I$2022,'Cleaned Data'!$BD$2:$BD$2022,$J$31,'Cleaned Data'!T$2:T$2022,"=1")</f>
        <v>866</v>
      </c>
      <c r="Q32" s="25">
        <f>SUMIFS('Cleaned Data'!$I$2:$I$2022,'Cleaned Data'!$BD$2:$BD$2022,$J$31,'Cleaned Data'!U$2:U$2022,"=1")</f>
        <v>1056</v>
      </c>
      <c r="R32" s="25">
        <f>SUMIFS('Cleaned Data'!$I$2:$I$2022,'Cleaned Data'!$BD$2:$BD$2022,$J$31,'Cleaned Data'!V$2:V$2022,"=1")</f>
        <v>2815</v>
      </c>
      <c r="S32" s="18">
        <f>K32/$K$31</f>
        <v>7.8027536354971741E-2</v>
      </c>
      <c r="T32" s="18">
        <f>L32/$L$31</f>
        <v>8.689539876135112E-2</v>
      </c>
      <c r="U32" s="18">
        <f>R32/$R$31</f>
        <v>5.210647119798608E-2</v>
      </c>
    </row>
    <row r="33" spans="1:21" x14ac:dyDescent="0.35">
      <c r="A33" t="s">
        <v>153</v>
      </c>
      <c r="B33" s="25">
        <f>AVERAGEIFS('Cleaned Data'!$G$2:$G$2022,'Cleaned Data'!$BD$2:$BD$2022,$A$31)</f>
        <v>12.466821885913854</v>
      </c>
      <c r="C33" s="25">
        <f>AVERAGEIFS('Cleaned Data'!$G$2:$G$2022,'Cleaned Data'!$BD$2:$BD$2022,$A$31,'Cleaned Data'!Q$2:Q$2022,"=1")</f>
        <v>39.944444444444443</v>
      </c>
      <c r="D33" s="25">
        <f>AVERAGEIFS('Cleaned Data'!$G$2:$G$2022,'Cleaned Data'!$BD$2:$BD$2022,$A$31,'Cleaned Data'!R$2:R$2022,"=1")</f>
        <v>16.75</v>
      </c>
      <c r="E33" s="25">
        <f>AVERAGEIFS('Cleaned Data'!$G$2:$G$2022,'Cleaned Data'!$BD$2:$BD$2022,$A$31,'Cleaned Data'!S$2:S$2022,"=1")</f>
        <v>12.440677966101696</v>
      </c>
      <c r="F33" s="25">
        <f>AVERAGEIFS('Cleaned Data'!$G$2:$G$2022,'Cleaned Data'!$BD$2:$BD$2022,$A$31,'Cleaned Data'!T$2:T$2022,"=1")</f>
        <v>15.641025641025641</v>
      </c>
      <c r="G33" s="25">
        <f>AVERAGEIFS('Cleaned Data'!$G$2:$G$2022,'Cleaned Data'!$BD$2:$BD$2022,$A$31,'Cleaned Data'!U$2:U$2022,"=1")</f>
        <v>37.299999999999997</v>
      </c>
      <c r="H33" s="25">
        <f>AVERAGEIFS('Cleaned Data'!$G$2:$G$2022,'Cleaned Data'!$BD$2:$BD$2022,$A$31,'Cleaned Data'!V$2:V$2022,"=1")</f>
        <v>15.495652173913044</v>
      </c>
      <c r="J33" t="s">
        <v>158</v>
      </c>
      <c r="K33" s="25">
        <f>SUMIFS('Cleaned Data'!$G$2:$G$2022,'Cleaned Data'!$BD$2:$BD$2022,$J$31)</f>
        <v>10709</v>
      </c>
      <c r="L33">
        <f>SUMIFS('Cleaned Data'!$G$2:$G$2022,'Cleaned Data'!$BD$2:$BD$2022,$J$31,'Cleaned Data'!V$2:V$2022,"=0")</f>
        <v>8927</v>
      </c>
      <c r="M33" s="25">
        <f>SUMIFS('Cleaned Data'!$G$2:$G$2022,'Cleaned Data'!$BD$2:$BD$2022,$J$31,'Cleaned Data'!Q$2:Q$2022,"=1")</f>
        <v>719</v>
      </c>
      <c r="N33" s="25">
        <f>SUMIFS('Cleaned Data'!$G$2:$G$2022,'Cleaned Data'!$BD$2:$BD$2022,$J$31,'Cleaned Data'!R$2:R$2022,"=1")</f>
        <v>67</v>
      </c>
      <c r="O33" s="25">
        <f>SUMIFS('Cleaned Data'!$G$2:$G$2022,'Cleaned Data'!$BD$2:$BD$2022,$J$31,'Cleaned Data'!S$2:S$2022,"=1")</f>
        <v>734</v>
      </c>
      <c r="P33" s="25">
        <f>SUMIFS('Cleaned Data'!$G$2:$G$2022,'Cleaned Data'!$BD$2:$BD$2022,$J$31,'Cleaned Data'!T$2:T$2022,"=1")</f>
        <v>610</v>
      </c>
      <c r="Q33" s="25">
        <f>SUMIFS('Cleaned Data'!$G$2:$G$2022,'Cleaned Data'!$BD$2:$BD$2022,$J$31,'Cleaned Data'!U$2:U$2022,"=1")</f>
        <v>746</v>
      </c>
      <c r="R33" s="25">
        <f>SUMIFS('Cleaned Data'!$G$2:$G$2022,'Cleaned Data'!$BD$2:$BD$2022,$J$31,'Cleaned Data'!V$2:V$2022,"=1")</f>
        <v>1782</v>
      </c>
      <c r="S33" s="18">
        <f t="shared" ref="S33:S36" si="15">K33/$K$31</f>
        <v>5.052892827147562E-2</v>
      </c>
      <c r="T33" s="18">
        <f t="shared" ref="T33:T36" si="16">L33/$L$31</f>
        <v>5.6530769912737311E-2</v>
      </c>
      <c r="U33" s="18">
        <f t="shared" ref="U33:U36" si="17">R33/$R$31</f>
        <v>3.2985339848956019E-2</v>
      </c>
    </row>
    <row r="34" spans="1:21" x14ac:dyDescent="0.35">
      <c r="A34" t="s">
        <v>155</v>
      </c>
      <c r="B34" s="25">
        <f>AVERAGEIFS('Cleaned Data'!$H$2:$H$2022,'Cleaned Data'!$BD$2:$BD$2022,$A$31)</f>
        <v>75.492433061699657</v>
      </c>
      <c r="C34" s="25">
        <f>AVERAGEIFS('Cleaned Data'!$H$2:$H$2022,'Cleaned Data'!$BD$2:$BD$2022,$A$31,'Cleaned Data'!Q$2:Q$2022,"=1")</f>
        <v>331.55555555555554</v>
      </c>
      <c r="D34" s="25">
        <f>AVERAGEIFS('Cleaned Data'!$H$2:$H$2022,'Cleaned Data'!$BD$2:$BD$2022,$A$31,'Cleaned Data'!R$2:R$2022,"=1")</f>
        <v>262.75</v>
      </c>
      <c r="E34" s="25">
        <f>AVERAGEIFS('Cleaned Data'!$H$2:$H$2022,'Cleaned Data'!$BD$2:$BD$2022,$A$31,'Cleaned Data'!S$2:S$2022,"=1")</f>
        <v>64.067796610169495</v>
      </c>
      <c r="F34" s="25">
        <f>AVERAGEIFS('Cleaned Data'!$H$2:$H$2022,'Cleaned Data'!$BD$2:$BD$2022,$A$31,'Cleaned Data'!T$2:T$2022,"=1")</f>
        <v>139.74358974358975</v>
      </c>
      <c r="G34" s="25">
        <f>AVERAGEIFS('Cleaned Data'!$H$2:$H$2022,'Cleaned Data'!$BD$2:$BD$2022,$A$31,'Cleaned Data'!U$2:U$2022,"=1")</f>
        <v>413.6</v>
      </c>
      <c r="H34" s="25">
        <f>AVERAGEIFS('Cleaned Data'!$H$2:$H$2022,'Cleaned Data'!$BD$2:$BD$2022,$A$31,'Cleaned Data'!V$2:V$2022,"=1")</f>
        <v>132.05217391304348</v>
      </c>
      <c r="J34" t="s">
        <v>159</v>
      </c>
      <c r="K34" s="25">
        <f>SUMIFS('Cleaned Data'!$H$2:$H$2022,'Cleaned Data'!$BD$2:$BD$2022,$J$31)</f>
        <v>64848</v>
      </c>
      <c r="L34">
        <f>SUMIFS('Cleaned Data'!$H$2:$H$2022,'Cleaned Data'!$BD$2:$BD$2022,$J$31,'Cleaned Data'!V$2:V$2022,"=0")</f>
        <v>49662</v>
      </c>
      <c r="M34" s="25">
        <f>SUMIFS('Cleaned Data'!$H$2:$H$2022,'Cleaned Data'!$BD$2:$BD$2022,$J$31,'Cleaned Data'!Q$2:Q$2022,"=1")</f>
        <v>5968</v>
      </c>
      <c r="N34" s="25">
        <f>SUMIFS('Cleaned Data'!$H$2:$H$2022,'Cleaned Data'!$BD$2:$BD$2022,$J$31,'Cleaned Data'!R$2:R$2022,"=1")</f>
        <v>1051</v>
      </c>
      <c r="O34" s="25">
        <f>SUMIFS('Cleaned Data'!$H$2:$H$2022,'Cleaned Data'!$BD$2:$BD$2022,$J$31,'Cleaned Data'!S$2:S$2022,"=1")</f>
        <v>3780</v>
      </c>
      <c r="P34" s="25">
        <f>SUMIFS('Cleaned Data'!$H$2:$H$2022,'Cleaned Data'!$BD$2:$BD$2022,$J$31,'Cleaned Data'!T$2:T$2022,"=1")</f>
        <v>5450</v>
      </c>
      <c r="Q34" s="25">
        <f>SUMIFS('Cleaned Data'!$H$2:$H$2022,'Cleaned Data'!$BD$2:$BD$2022,$J$31,'Cleaned Data'!U$2:U$2022,"=1")</f>
        <v>8272</v>
      </c>
      <c r="R34" s="25">
        <f>SUMIFS('Cleaned Data'!$H$2:$H$2022,'Cleaned Data'!$BD$2:$BD$2022,$J$31,'Cleaned Data'!V$2:V$2022,"=1")</f>
        <v>15186</v>
      </c>
      <c r="S34" s="18">
        <f t="shared" si="15"/>
        <v>0.30597627608074057</v>
      </c>
      <c r="T34" s="18">
        <f t="shared" si="16"/>
        <v>0.31448763250883394</v>
      </c>
      <c r="U34" s="18">
        <f t="shared" si="17"/>
        <v>0.28109729009329187</v>
      </c>
    </row>
    <row r="35" spans="1:21" x14ac:dyDescent="0.35">
      <c r="A35" t="s">
        <v>156</v>
      </c>
      <c r="B35" s="25">
        <f>AVERAGEIFS('Cleaned Data'!$J$2:$J$2022,'Cleaned Data'!$BD$2:$BD$2022,$A$31)</f>
        <v>13.848661233993015</v>
      </c>
      <c r="C35" s="25">
        <f>AVERAGEIFS('Cleaned Data'!$J$2:$J$2022,'Cleaned Data'!$BD$2:$BD$2022,$A$31,'Cleaned Data'!Q$2:Q$2022,"=1")</f>
        <v>62.333333333333336</v>
      </c>
      <c r="D35" s="25">
        <f>AVERAGEIFS('Cleaned Data'!$J$2:$J$2022,'Cleaned Data'!$BD$2:$BD$2022,$A$31,'Cleaned Data'!R$2:R$2022,"=1")</f>
        <v>23.5</v>
      </c>
      <c r="E35" s="25">
        <f>AVERAGEIFS('Cleaned Data'!$J$2:$J$2022,'Cleaned Data'!$BD$2:$BD$2022,$A$31,'Cleaned Data'!S$2:S$2022,"=1")</f>
        <v>12.677966101694915</v>
      </c>
      <c r="F35" s="25">
        <f>AVERAGEIFS('Cleaned Data'!$J$2:$J$2022,'Cleaned Data'!$BD$2:$BD$2022,$A$31,'Cleaned Data'!T$2:T$2022,"=1")</f>
        <v>14.666666666666666</v>
      </c>
      <c r="G35" s="25">
        <f>AVERAGEIFS('Cleaned Data'!$J$2:$J$2022,'Cleaned Data'!$BD$2:$BD$2022,$A$31,'Cleaned Data'!U$2:U$2022,"=1")</f>
        <v>52.65</v>
      </c>
      <c r="H35" s="25">
        <f>AVERAGEIFS('Cleaned Data'!$J$2:$J$2022,'Cleaned Data'!$BD$2:$BD$2022,$A$31,'Cleaned Data'!V$2:V$2022,"=1")</f>
        <v>19</v>
      </c>
      <c r="J35" t="s">
        <v>160</v>
      </c>
      <c r="K35" s="25">
        <f>SUMIFS('Cleaned Data'!$J$2:$J$2022,'Cleaned Data'!$BD$2:$BD$2022,$J$31)</f>
        <v>11896</v>
      </c>
      <c r="L35">
        <f>SUMIFS('Cleaned Data'!$J$2:$J$2022,'Cleaned Data'!$BD$2:$BD$2022,$J$31,'Cleaned Data'!V$2:V$2022,"=0")</f>
        <v>9711</v>
      </c>
      <c r="M35" s="25">
        <f>SUMIFS('Cleaned Data'!$J$2:$J$2022,'Cleaned Data'!$BD$2:$BD$2022,$J$31,'Cleaned Data'!Q$2:Q$2022,"=1")</f>
        <v>1122</v>
      </c>
      <c r="N35" s="25">
        <f>SUMIFS('Cleaned Data'!$J$2:$J$2022,'Cleaned Data'!$BD$2:$BD$2022,$J$31,'Cleaned Data'!R$2:R$2022,"=1")</f>
        <v>94</v>
      </c>
      <c r="O35" s="25">
        <f>SUMIFS('Cleaned Data'!$J$2:$J$2022,'Cleaned Data'!$BD$2:$BD$2022,$J$31,'Cleaned Data'!S$2:S$2022,"=1")</f>
        <v>748</v>
      </c>
      <c r="P35" s="25">
        <f>SUMIFS('Cleaned Data'!$J$2:$J$2022,'Cleaned Data'!$BD$2:$BD$2022,$J$31,'Cleaned Data'!T$2:T$2022,"=1")</f>
        <v>572</v>
      </c>
      <c r="Q35" s="25">
        <f>SUMIFS('Cleaned Data'!$J$2:$J$2022,'Cleaned Data'!$BD$2:$BD$2022,$J$31,'Cleaned Data'!U$2:U$2022,"=1")</f>
        <v>1053</v>
      </c>
      <c r="R35" s="25">
        <f>SUMIFS('Cleaned Data'!$J$2:$J$2022,'Cleaned Data'!$BD$2:$BD$2022,$J$31,'Cleaned Data'!V$2:V$2022,"=1")</f>
        <v>2185</v>
      </c>
      <c r="S35" s="18">
        <f t="shared" si="15"/>
        <v>5.6129622814219252E-2</v>
      </c>
      <c r="T35" s="18">
        <f t="shared" si="16"/>
        <v>6.1495497549298984E-2</v>
      </c>
      <c r="U35" s="18">
        <f t="shared" si="17"/>
        <v>4.0444987413001628E-2</v>
      </c>
    </row>
    <row r="36" spans="1:21" x14ac:dyDescent="0.35">
      <c r="A36" t="s">
        <v>152</v>
      </c>
      <c r="B36" s="25">
        <f>AVERAGEIFS('Cleaned Data'!$F$2:$F$2022,'Cleaned Data'!$BD$2:$BD$2022,$A$31)</f>
        <v>125.66705471478463</v>
      </c>
      <c r="C36" s="25">
        <f>AVERAGEIFS('Cleaned Data'!$F$2:$F$2022,'Cleaned Data'!$BD$2:$BD$2022,$A$31,'Cleaned Data'!Q$2:Q$2022,"=1")</f>
        <v>411.5</v>
      </c>
      <c r="D36" s="25">
        <f>AVERAGEIFS('Cleaned Data'!$F$2:$F$2022,'Cleaned Data'!$BD$2:$BD$2022,$A$31,'Cleaned Data'!R$2:R$2022,"=1")</f>
        <v>366.75</v>
      </c>
      <c r="E36" s="25">
        <f>AVERAGEIFS('Cleaned Data'!$F$2:$F$2022,'Cleaned Data'!$BD$2:$BD$2022,$A$31,'Cleaned Data'!S$2:S$2022,"=1")</f>
        <v>108.7457627118644</v>
      </c>
      <c r="F36" s="25">
        <f>AVERAGEIFS('Cleaned Data'!$F$2:$F$2022,'Cleaned Data'!$BD$2:$BD$2022,$A$31,'Cleaned Data'!T$2:T$2022,"=1")</f>
        <v>415.30769230769232</v>
      </c>
      <c r="G36" s="25">
        <f>AVERAGEIFS('Cleaned Data'!$F$2:$F$2022,'Cleaned Data'!$BD$2:$BD$2022,$A$31,'Cleaned Data'!U$2:U$2022,"=1")</f>
        <v>654.65</v>
      </c>
      <c r="H36" s="25">
        <f>AVERAGEIFS('Cleaned Data'!$F$2:$F$2022,'Cleaned Data'!$BD$2:$BD$2022,$A$31,'Cleaned Data'!V$2:V$2022,"=1")</f>
        <v>278.74782608695654</v>
      </c>
      <c r="J36" t="s">
        <v>161</v>
      </c>
      <c r="K36" s="25">
        <f>SUMIFS('Cleaned Data'!$F$2:$F$2022,'Cleaned Data'!$BD$2:$BD$2022,$J$31)</f>
        <v>107948</v>
      </c>
      <c r="L36">
        <f>SUMIFS('Cleaned Data'!$F$2:$F$2022,'Cleaned Data'!$BD$2:$BD$2022,$J$31,'Cleaned Data'!V$2:V$2022,"=0")</f>
        <v>75892</v>
      </c>
      <c r="M36" s="25">
        <f>SUMIFS('Cleaned Data'!$F$2:$F$2022,'Cleaned Data'!$BD$2:$BD$2022,$J$31,'Cleaned Data'!Q$2:Q$2022,"=1")</f>
        <v>7407</v>
      </c>
      <c r="N36" s="25">
        <f>SUMIFS('Cleaned Data'!$F$2:$F$2022,'Cleaned Data'!$BD$2:$BD$2022,$J$31,'Cleaned Data'!R$2:R$2022,"=1")</f>
        <v>1467</v>
      </c>
      <c r="O36" s="25">
        <f>SUMIFS('Cleaned Data'!$F$2:$F$2022,'Cleaned Data'!$BD$2:$BD$2022,$J$31,'Cleaned Data'!S$2:S$2022,"=1")</f>
        <v>6416</v>
      </c>
      <c r="P36" s="25">
        <f>SUMIFS('Cleaned Data'!$F$2:$F$2022,'Cleaned Data'!$BD$2:$BD$2022,$J$31,'Cleaned Data'!T$2:T$2022,"=1")</f>
        <v>16197</v>
      </c>
      <c r="Q36" s="25">
        <f>SUMIFS('Cleaned Data'!$F$2:$F$2022,'Cleaned Data'!$BD$2:$BD$2022,$J$31,'Cleaned Data'!U$2:U$2022,"=1")</f>
        <v>13093</v>
      </c>
      <c r="R36" s="25">
        <f>SUMIFS('Cleaned Data'!$F$2:$F$2022,'Cleaned Data'!$BD$2:$BD$2022,$J$31,'Cleaned Data'!V$2:V$2022,"=1")</f>
        <v>32056</v>
      </c>
      <c r="S36" s="18">
        <f t="shared" si="15"/>
        <v>0.50933763647859276</v>
      </c>
      <c r="T36" s="18">
        <f t="shared" si="16"/>
        <v>0.48059070126777864</v>
      </c>
      <c r="U36" s="18">
        <f t="shared" si="17"/>
        <v>0.59336591144676443</v>
      </c>
    </row>
    <row r="40" spans="1:21" x14ac:dyDescent="0.35">
      <c r="A40" s="72" t="s">
        <v>162</v>
      </c>
      <c r="B40" s="72"/>
      <c r="C40" s="72"/>
      <c r="D40" s="72"/>
      <c r="E40" s="72"/>
      <c r="F40" s="72"/>
      <c r="G40" s="72"/>
      <c r="H40" s="72"/>
      <c r="J40" s="72" t="s">
        <v>162</v>
      </c>
      <c r="K40" s="72"/>
      <c r="L40" s="72"/>
      <c r="M40" s="72"/>
      <c r="N40" s="72"/>
      <c r="O40" s="72"/>
      <c r="P40" s="72"/>
      <c r="Q40" s="72"/>
      <c r="S40" s="14"/>
      <c r="T40" s="14"/>
      <c r="U40" s="14"/>
    </row>
    <row r="41" spans="1:21" ht="29" x14ac:dyDescent="0.35">
      <c r="A41" s="4" t="s">
        <v>142</v>
      </c>
      <c r="B41" s="4" t="s">
        <v>175</v>
      </c>
      <c r="C41" s="4" t="s">
        <v>107</v>
      </c>
      <c r="D41" s="4" t="s">
        <v>108</v>
      </c>
      <c r="E41" s="4" t="s">
        <v>109</v>
      </c>
      <c r="F41" s="4" t="s">
        <v>110</v>
      </c>
      <c r="G41" s="4" t="s">
        <v>111</v>
      </c>
      <c r="H41" s="4" t="s">
        <v>145</v>
      </c>
      <c r="J41" s="4" t="s">
        <v>142</v>
      </c>
      <c r="K41" s="4" t="s">
        <v>175</v>
      </c>
      <c r="L41" s="14" t="s">
        <v>241</v>
      </c>
      <c r="M41" s="4" t="s">
        <v>107</v>
      </c>
      <c r="N41" s="4" t="s">
        <v>108</v>
      </c>
      <c r="O41" s="4" t="s">
        <v>109</v>
      </c>
      <c r="P41" s="4" t="s">
        <v>110</v>
      </c>
      <c r="Q41" s="4" t="s">
        <v>111</v>
      </c>
      <c r="R41" s="4" t="s">
        <v>145</v>
      </c>
      <c r="S41" s="14" t="s">
        <v>240</v>
      </c>
      <c r="T41" s="14" t="s">
        <v>242</v>
      </c>
      <c r="U41" s="14" t="s">
        <v>239</v>
      </c>
    </row>
    <row r="42" spans="1:21" x14ac:dyDescent="0.35">
      <c r="A42" t="s">
        <v>164</v>
      </c>
      <c r="B42" s="25">
        <f>AVERAGE('Cleaned Data'!$N$2:$N$2022)</f>
        <v>2.64473033151905</v>
      </c>
      <c r="C42" s="25">
        <f>AVERAGEIFS('Cleaned Data'!$N$2:$N$2022,'Cleaned Data'!Q$2:Q$2022,"=1")</f>
        <v>6.1203007518796992</v>
      </c>
      <c r="D42" s="25">
        <f>AVERAGEIFS('Cleaned Data'!$N$2:$N$2022,'Cleaned Data'!R$2:R$2022,"=1")</f>
        <v>5.2692307692307692</v>
      </c>
      <c r="E42" s="25">
        <f>AVERAGEIFS('Cleaned Data'!$N$2:$N$2022,'Cleaned Data'!S$2:S$2022,"=1")</f>
        <v>3.7152317880794703</v>
      </c>
      <c r="F42" s="25">
        <f>AVERAGEIFS('Cleaned Data'!$N$2:$N$2022,'Cleaned Data'!T$2:T$2022,"=1")</f>
        <v>4.0387096774193552</v>
      </c>
      <c r="G42" s="25">
        <f>AVERAGEIFS('Cleaned Data'!$N$2:$N$2022,'Cleaned Data'!U$2:U$2022,"=1")</f>
        <v>6.0273972602739727</v>
      </c>
      <c r="H42" s="25">
        <f>AVERAGEIFS('Cleaned Data'!$N$2:$N$2022,'Cleaned Data'!V$2:V$2022,"=1")</f>
        <v>4.42018779342723</v>
      </c>
      <c r="J42" t="s">
        <v>167</v>
      </c>
      <c r="K42" s="25">
        <f>SUM('Cleaned Data'!$N$2:$N$2022)</f>
        <v>5345</v>
      </c>
      <c r="L42">
        <f>SUMIFS('Cleaned Data'!$N$2:$N$2022,'Cleaned Data'!V$2:V$2022,"=0")</f>
        <v>3462</v>
      </c>
      <c r="M42" s="25">
        <f>SUMIFS('Cleaned Data'!$N$2:$N$2022,'Cleaned Data'!Q$2:Q$2022,"=1")</f>
        <v>814</v>
      </c>
      <c r="N42" s="25">
        <f>SUMIFS('Cleaned Data'!$N$2:$N$2022,'Cleaned Data'!R$2:R$2022,"=1")</f>
        <v>137</v>
      </c>
      <c r="O42" s="25">
        <f>SUMIFS('Cleaned Data'!$N$2:$N$2022,'Cleaned Data'!S$2:S$2022,"=1")</f>
        <v>561</v>
      </c>
      <c r="P42" s="25">
        <f>SUMIFS('Cleaned Data'!$N$2:$N$2022,'Cleaned Data'!T$2:T$2022,"=1")</f>
        <v>626</v>
      </c>
      <c r="Q42" s="25">
        <f>SUMIFS('Cleaned Data'!$N$2:$N$2022,'Cleaned Data'!U$2:U$2022,"=1")</f>
        <v>880</v>
      </c>
      <c r="R42" s="25">
        <f>SUMIFS('Cleaned Data'!$N$2:$N$2022,'Cleaned Data'!V$2:V$2022,"=1")</f>
        <v>1883</v>
      </c>
      <c r="S42" s="18">
        <f>K42/$K$45</f>
        <v>0.21044135595889601</v>
      </c>
      <c r="T42" s="18">
        <f>L42/$L$45</f>
        <v>0.18919066615662058</v>
      </c>
      <c r="U42" s="18">
        <f>R42/$R$45</f>
        <v>0.26521126760563379</v>
      </c>
    </row>
    <row r="43" spans="1:21" x14ac:dyDescent="0.35">
      <c r="A43" t="s">
        <v>165</v>
      </c>
      <c r="B43" s="25">
        <f>AVERAGE('Cleaned Data'!$O$2:$O$2022)</f>
        <v>5.8075210291934685</v>
      </c>
      <c r="C43" s="25">
        <f>AVERAGEIFS('Cleaned Data'!$O$2:$O$2022,'Cleaned Data'!Q$2:Q$2022,"=1")</f>
        <v>8.1127819548872182</v>
      </c>
      <c r="D43" s="25">
        <f>AVERAGEIFS('Cleaned Data'!$O$2:$O$2022,'Cleaned Data'!R$2:R$2022,"=1")</f>
        <v>8.2692307692307701</v>
      </c>
      <c r="E43" s="25">
        <f>AVERAGEIFS('Cleaned Data'!$O$2:$O$2022,'Cleaned Data'!S$2:S$2022,"=1")</f>
        <v>5.0132450331125824</v>
      </c>
      <c r="F43" s="25">
        <f>AVERAGEIFS('Cleaned Data'!$O$2:$O$2022,'Cleaned Data'!T$2:T$2022,"=1")</f>
        <v>7.8129032258064512</v>
      </c>
      <c r="G43" s="25">
        <f>AVERAGEIFS('Cleaned Data'!$O$2:$O$2022,'Cleaned Data'!U$2:U$2022,"=1")</f>
        <v>8.3013698630136989</v>
      </c>
      <c r="H43" s="25">
        <f>AVERAGEIFS('Cleaned Data'!$O$2:$O$2022,'Cleaned Data'!V$2:V$2022,"=1")</f>
        <v>6.988262910798122</v>
      </c>
      <c r="J43" t="s">
        <v>168</v>
      </c>
      <c r="K43" s="25">
        <f>SUM('Cleaned Data'!$O$2:$O$2022)</f>
        <v>11737</v>
      </c>
      <c r="L43">
        <f>SUMIFS('Cleaned Data'!$O$2:$O$2022,'Cleaned Data'!V$2:V$2022,"=0")</f>
        <v>8760</v>
      </c>
      <c r="M43" s="25">
        <f>SUMIFS('Cleaned Data'!$O$2:$O$2022,'Cleaned Data'!Q$2:Q$2022,"=1")</f>
        <v>1079</v>
      </c>
      <c r="N43" s="25">
        <f>SUMIFS('Cleaned Data'!$O$2:$O$2022,'Cleaned Data'!R$2:R$2022,"=1")</f>
        <v>215</v>
      </c>
      <c r="O43" s="25">
        <f>SUMIFS('Cleaned Data'!$O$2:$O$2022,'Cleaned Data'!S$2:S$2022,"=1")</f>
        <v>757</v>
      </c>
      <c r="P43" s="25">
        <f>SUMIFS('Cleaned Data'!$O$2:$O$2022,'Cleaned Data'!T$2:T$2022,"=1")</f>
        <v>1211</v>
      </c>
      <c r="Q43" s="25">
        <f>SUMIFS('Cleaned Data'!$O$2:$O$2022,'Cleaned Data'!U$2:U$2022,"=1")</f>
        <v>1212</v>
      </c>
      <c r="R43" s="25">
        <f>SUMIFS('Cleaned Data'!$O$2:$O$2022,'Cleaned Data'!V$2:V$2022,"=1")</f>
        <v>2977</v>
      </c>
      <c r="S43" s="18">
        <f t="shared" ref="S43:S44" si="18">K43/$K$45</f>
        <v>0.46210480727587699</v>
      </c>
      <c r="T43" s="18">
        <f t="shared" ref="T43:T44" si="19">L43/$L$45</f>
        <v>0.47871468386250615</v>
      </c>
      <c r="U43" s="18">
        <f t="shared" ref="U43:U44" si="20">R43/$R$45</f>
        <v>0.41929577464788731</v>
      </c>
    </row>
    <row r="44" spans="1:21" x14ac:dyDescent="0.35">
      <c r="A44" t="s">
        <v>166</v>
      </c>
      <c r="B44" s="25">
        <f>AVERAGE('Cleaned Data'!$M$2:$M$2022)</f>
        <v>4.1152894606630381</v>
      </c>
      <c r="C44" s="25">
        <f>AVERAGEIFS('Cleaned Data'!$M$2:$M$2022,'Cleaned Data'!Q$2:Q$2022,"=1")</f>
        <v>5.7744360902255636</v>
      </c>
      <c r="D44" s="25">
        <f>AVERAGEIFS('Cleaned Data'!$M$2:$M$2022,'Cleaned Data'!R$2:R$2022,"=1")</f>
        <v>5.0769230769230766</v>
      </c>
      <c r="E44" s="25">
        <f>AVERAGEIFS('Cleaned Data'!$M$2:$M$2022,'Cleaned Data'!S$2:S$2022,"=1")</f>
        <v>4.5231788079470201</v>
      </c>
      <c r="F44" s="25">
        <f>AVERAGEIFS('Cleaned Data'!$M$2:$M$2022,'Cleaned Data'!T$2:T$2022,"=1")</f>
        <v>5.7225806451612904</v>
      </c>
      <c r="G44" s="25">
        <f>AVERAGEIFS('Cleaned Data'!$M$2:$M$2022,'Cleaned Data'!U$2:U$2022,"=1")</f>
        <v>5.4863013698630141</v>
      </c>
      <c r="H44" s="25">
        <f>AVERAGEIFS('Cleaned Data'!$M$2:$M$2022,'Cleaned Data'!V$2:V$2022,"=1")</f>
        <v>5.258215962441315</v>
      </c>
      <c r="J44" t="s">
        <v>169</v>
      </c>
      <c r="K44" s="25">
        <f>SUM('Cleaned Data'!$M$2:$M$2022)</f>
        <v>8317</v>
      </c>
      <c r="L44">
        <f>SUMIFS('Cleaned Data'!$M$2:$M$2022,'Cleaned Data'!V$2:V$2022,"=0")</f>
        <v>6077</v>
      </c>
      <c r="M44" s="25">
        <f>SUMIFS('Cleaned Data'!$M$2:$M$2022,'Cleaned Data'!Q$2:Q$2022,"=1")</f>
        <v>768</v>
      </c>
      <c r="N44" s="25">
        <f>SUMIFS('Cleaned Data'!$M$2:$M$2022,'Cleaned Data'!R$2:R$2022,"=1")</f>
        <v>132</v>
      </c>
      <c r="O44" s="25">
        <f>SUMIFS('Cleaned Data'!$M$2:$M$2022,'Cleaned Data'!S$2:S$2022,"=1")</f>
        <v>683</v>
      </c>
      <c r="P44" s="25">
        <f>SUMIFS('Cleaned Data'!$M$2:$M$2022,'Cleaned Data'!T$2:T$2022,"=1")</f>
        <v>887</v>
      </c>
      <c r="Q44" s="25">
        <f>SUMIFS('Cleaned Data'!$M$2:$M$2022,'Cleaned Data'!U$2:U$2022,"=1")</f>
        <v>801</v>
      </c>
      <c r="R44" s="25">
        <f>SUMIFS('Cleaned Data'!$M$2:$M$2022,'Cleaned Data'!V$2:V$2022,"=1")</f>
        <v>2240</v>
      </c>
      <c r="S44" s="18">
        <f t="shared" si="18"/>
        <v>0.32745383676522699</v>
      </c>
      <c r="T44" s="18">
        <f t="shared" si="19"/>
        <v>0.33209464998087329</v>
      </c>
      <c r="U44" s="18">
        <f t="shared" si="20"/>
        <v>0.3154929577464789</v>
      </c>
    </row>
    <row r="45" spans="1:21" x14ac:dyDescent="0.35">
      <c r="B45" s="25"/>
      <c r="C45" s="25"/>
      <c r="D45" s="25"/>
      <c r="E45" s="25"/>
      <c r="F45" s="25"/>
      <c r="G45" s="25"/>
      <c r="H45" s="25"/>
      <c r="J45" t="s">
        <v>128</v>
      </c>
      <c r="K45" s="25">
        <f t="shared" ref="K45:R45" si="21">SUM(K42:K44)</f>
        <v>25399</v>
      </c>
      <c r="L45" s="25">
        <f t="shared" si="21"/>
        <v>18299</v>
      </c>
      <c r="M45" s="25">
        <f t="shared" si="21"/>
        <v>2661</v>
      </c>
      <c r="N45" s="25">
        <f t="shared" si="21"/>
        <v>484</v>
      </c>
      <c r="O45" s="25">
        <f t="shared" si="21"/>
        <v>2001</v>
      </c>
      <c r="P45" s="25">
        <f t="shared" si="21"/>
        <v>2724</v>
      </c>
      <c r="Q45" s="25">
        <f t="shared" si="21"/>
        <v>2893</v>
      </c>
      <c r="R45" s="25">
        <f t="shared" si="21"/>
        <v>7100</v>
      </c>
      <c r="S45" s="18"/>
      <c r="T45" s="18"/>
      <c r="U45" s="18"/>
    </row>
    <row r="46" spans="1:21" x14ac:dyDescent="0.35">
      <c r="B46" s="25"/>
      <c r="C46" s="25"/>
      <c r="D46" s="25"/>
      <c r="E46" s="25"/>
      <c r="F46" s="25"/>
      <c r="G46" s="25"/>
      <c r="H46" s="25"/>
      <c r="K46" s="25"/>
      <c r="M46" s="25"/>
      <c r="N46" s="25"/>
      <c r="O46" s="25"/>
      <c r="P46" s="25"/>
      <c r="Q46" s="25"/>
      <c r="R46" s="25"/>
    </row>
    <row r="47" spans="1:21" ht="29" x14ac:dyDescent="0.35">
      <c r="A47" s="6" t="s">
        <v>118</v>
      </c>
      <c r="J47" s="64" t="s">
        <v>118</v>
      </c>
      <c r="K47" s="4" t="s">
        <v>175</v>
      </c>
      <c r="L47" s="14" t="s">
        <v>241</v>
      </c>
      <c r="M47" s="4" t="s">
        <v>107</v>
      </c>
      <c r="N47" s="4" t="s">
        <v>108</v>
      </c>
      <c r="O47" s="4" t="s">
        <v>109</v>
      </c>
      <c r="P47" s="4" t="s">
        <v>110</v>
      </c>
      <c r="Q47" s="4" t="s">
        <v>111</v>
      </c>
      <c r="R47" s="4" t="s">
        <v>145</v>
      </c>
      <c r="S47" s="14" t="s">
        <v>240</v>
      </c>
      <c r="T47" s="14" t="s">
        <v>242</v>
      </c>
      <c r="U47" s="14" t="s">
        <v>239</v>
      </c>
    </row>
    <row r="48" spans="1:21" x14ac:dyDescent="0.35">
      <c r="A48" t="s">
        <v>164</v>
      </c>
      <c r="B48" s="25">
        <f>AVERAGEIFS('Cleaned Data'!$N$2:$N$2022,'Cleaned Data'!$BD$2:$BD$2022,$A$47)</f>
        <v>5.860655737704918</v>
      </c>
      <c r="C48" s="25">
        <f>AVERAGEIFS('Cleaned Data'!$N$2:$N$2022,'Cleaned Data'!$BD$2:$BD$2022,$A$47,'Cleaned Data'!Q$2:Q$2022,"=1")</f>
        <v>6.5555555555555554</v>
      </c>
      <c r="D48" s="25">
        <f>AVERAGEIFS('Cleaned Data'!$N$2:$N$2022,'Cleaned Data'!$BD$2:$BD$2022,$A$47,'Cleaned Data'!R$2:R$2022,"=1")</f>
        <v>5.75</v>
      </c>
      <c r="E48" s="25">
        <f>AVERAGEIFS('Cleaned Data'!$N$2:$N$2022,'Cleaned Data'!$BD$2:$BD$2022,$A$47,'Cleaned Data'!S$2:S$2022,"=1")</f>
        <v>6.3529411764705879</v>
      </c>
      <c r="F48" s="25">
        <f>AVERAGEIFS('Cleaned Data'!$N$2:$N$2022,'Cleaned Data'!$BD$2:$BD$2022,$A$47,'Cleaned Data'!T$2:T$2022,"=1")</f>
        <v>4.8235294117647056</v>
      </c>
      <c r="G48" s="25">
        <f>AVERAGEIFS('Cleaned Data'!$N$2:$N$2022,'Cleaned Data'!$BD$2:$BD$2022,$A$47,'Cleaned Data'!U$2:U$2022,"=1")</f>
        <v>6.2608695652173916</v>
      </c>
      <c r="H48" s="25">
        <f>AVERAGEIFS('Cleaned Data'!$N$2:$N$2022,'Cleaned Data'!$BD$2:$BD$2022,$A$47,'Cleaned Data'!V$2:V$2022,"=1")</f>
        <v>5.8928571428571432</v>
      </c>
      <c r="J48" t="s">
        <v>167</v>
      </c>
      <c r="K48" s="25">
        <f>SUMIFS('Cleaned Data'!$N$2:$N$2022,'Cleaned Data'!$BD$2:$BD$2022,$J$47)</f>
        <v>715</v>
      </c>
      <c r="L48">
        <f>SUMIFS('Cleaned Data'!$N$2:$N$2022,'Cleaned Data'!$BD$2:$BD$2022,$J$47,'Cleaned Data'!V$2:V$2022,"=0")</f>
        <v>385</v>
      </c>
      <c r="M48" s="25">
        <f>SUMIFS('Cleaned Data'!$N$2:$N$2022,'Cleaned Data'!$BD$2:$BD$2022,$J$47,'Cleaned Data'!Q$2:Q$2022,"=1")</f>
        <v>177</v>
      </c>
      <c r="N48" s="25">
        <f>SUMIFS('Cleaned Data'!$N$2:$N$2022,'Cleaned Data'!$BD$2:$BD$2022,$J$47,'Cleaned Data'!R$2:R$2022,"=1")</f>
        <v>23</v>
      </c>
      <c r="O48" s="25">
        <f>SUMIFS('Cleaned Data'!$N$2:$N$2022,'Cleaned Data'!$BD$2:$BD$2022,$J$47,'Cleaned Data'!S$2:S$2022,"=1")</f>
        <v>108</v>
      </c>
      <c r="P48" s="25">
        <f>SUMIFS('Cleaned Data'!$N$2:$N$2022,'Cleaned Data'!$BD$2:$BD$2022,$J$47,'Cleaned Data'!T$2:T$2022,"=1")</f>
        <v>82</v>
      </c>
      <c r="Q48" s="25">
        <f>SUMIFS('Cleaned Data'!$N$2:$N$2022,'Cleaned Data'!$BD$2:$BD$2022,$J$47,'Cleaned Data'!U$2:U$2022,"=1")</f>
        <v>144</v>
      </c>
      <c r="R48" s="25">
        <f>SUMIFS('Cleaned Data'!$N$2:$N$2022,'Cleaned Data'!$BD$2:$BD$2022,$J$47,'Cleaned Data'!V$2:V$2022,"=1")</f>
        <v>330</v>
      </c>
      <c r="S48" s="18">
        <f>K48/$K$51</f>
        <v>0.26393503137689184</v>
      </c>
      <c r="T48" s="18">
        <f>L48/$L$51</f>
        <v>0.26406035665294925</v>
      </c>
      <c r="U48" s="18">
        <f>R48/$R$51</f>
        <v>0.26378896882494007</v>
      </c>
    </row>
    <row r="49" spans="1:21" x14ac:dyDescent="0.35">
      <c r="A49" t="s">
        <v>165</v>
      </c>
      <c r="B49" s="25">
        <f>AVERAGEIFS('Cleaned Data'!$O$2:$O$2022,'Cleaned Data'!$BD$2:$BD$2022,$A$47)</f>
        <v>9.3934426229508201</v>
      </c>
      <c r="C49" s="25">
        <f>AVERAGEIFS('Cleaned Data'!$O$2:$O$2022,'Cleaned Data'!$BD$2:$BD$2022,$A$47,'Cleaned Data'!Q$2:Q$2022,"=1")</f>
        <v>9.7407407407407405</v>
      </c>
      <c r="D49" s="25">
        <f>AVERAGEIFS('Cleaned Data'!$O$2:$O$2022,'Cleaned Data'!$BD$2:$BD$2022,$A$47,'Cleaned Data'!R$2:R$2022,"=1")</f>
        <v>10.75</v>
      </c>
      <c r="E49" s="25">
        <f>AVERAGEIFS('Cleaned Data'!$O$2:$O$2022,'Cleaned Data'!$BD$2:$BD$2022,$A$47,'Cleaned Data'!S$2:S$2022,"=1")</f>
        <v>9.0588235294117645</v>
      </c>
      <c r="F49" s="25">
        <f>AVERAGEIFS('Cleaned Data'!$O$2:$O$2022,'Cleaned Data'!$BD$2:$BD$2022,$A$47,'Cleaned Data'!T$2:T$2022,"=1")</f>
        <v>9.2941176470588243</v>
      </c>
      <c r="G49" s="25">
        <f>AVERAGEIFS('Cleaned Data'!$O$2:$O$2022,'Cleaned Data'!$BD$2:$BD$2022,$A$47,'Cleaned Data'!U$2:U$2022,"=1")</f>
        <v>9.3478260869565215</v>
      </c>
      <c r="H49" s="25">
        <f>AVERAGEIFS('Cleaned Data'!$O$2:$O$2022,'Cleaned Data'!$BD$2:$BD$2022,$A$47,'Cleaned Data'!V$2:V$2022,"=1")</f>
        <v>9.3571428571428577</v>
      </c>
      <c r="J49" t="s">
        <v>168</v>
      </c>
      <c r="K49" s="25">
        <f>SUMIFS('Cleaned Data'!$O$2:$O$2022,'Cleaned Data'!$BD$2:$BD$2022,$J$47)</f>
        <v>1146</v>
      </c>
      <c r="L49">
        <f>SUMIFS('Cleaned Data'!$O$2:$O$2022,'Cleaned Data'!$BD$2:$BD$2022,$J$47,'Cleaned Data'!V$2:V$2022,"=0")</f>
        <v>622</v>
      </c>
      <c r="M49" s="25">
        <f>SUMIFS('Cleaned Data'!$O$2:$O$2022,'Cleaned Data'!$BD$2:$BD$2022,$J$47,'Cleaned Data'!Q$2:Q$2022,"=1")</f>
        <v>263</v>
      </c>
      <c r="N49" s="25">
        <f>SUMIFS('Cleaned Data'!$O$2:$O$2022,'Cleaned Data'!$BD$2:$BD$2022,$J$47,'Cleaned Data'!R$2:R$2022,"=1")</f>
        <v>43</v>
      </c>
      <c r="O49" s="25">
        <f>SUMIFS('Cleaned Data'!$O$2:$O$2022,'Cleaned Data'!$BD$2:$BD$2022,$J$47,'Cleaned Data'!S$2:S$2022,"=1")</f>
        <v>154</v>
      </c>
      <c r="P49" s="25">
        <f>SUMIFS('Cleaned Data'!$O$2:$O$2022,'Cleaned Data'!$BD$2:$BD$2022,$J$47,'Cleaned Data'!T$2:T$2022,"=1")</f>
        <v>158</v>
      </c>
      <c r="Q49" s="25">
        <f>SUMIFS('Cleaned Data'!$O$2:$O$2022,'Cleaned Data'!$BD$2:$BD$2022,$J$47,'Cleaned Data'!U$2:U$2022,"=1")</f>
        <v>215</v>
      </c>
      <c r="R49" s="25">
        <f>SUMIFS('Cleaned Data'!$O$2:$O$2022,'Cleaned Data'!$BD$2:$BD$2022,$J$47,'Cleaned Data'!V$2:V$2022,"=1")</f>
        <v>524</v>
      </c>
      <c r="S49" s="18">
        <f t="shared" ref="S49:S50" si="22">K49/$K$51</f>
        <v>0.42303433001107421</v>
      </c>
      <c r="T49" s="18">
        <f t="shared" ref="T49:T50" si="23">L49/$L$51</f>
        <v>0.42661179698216734</v>
      </c>
      <c r="U49" s="18">
        <f t="shared" ref="U49:U50" si="24">R49/$R$51</f>
        <v>0.41886490807354115</v>
      </c>
    </row>
    <row r="50" spans="1:21" x14ac:dyDescent="0.35">
      <c r="A50" t="s">
        <v>166</v>
      </c>
      <c r="B50" s="25">
        <f>AVERAGEIFS('Cleaned Data'!$M$2:$M$2022,'Cleaned Data'!$BD$2:$BD$2022,$A$47)</f>
        <v>6.9508196721311473</v>
      </c>
      <c r="C50" s="25">
        <f>AVERAGEIFS('Cleaned Data'!$M$2:$M$2022,'Cleaned Data'!$BD$2:$BD$2022,$A$47,'Cleaned Data'!Q$2:Q$2022,"=1")</f>
        <v>7.1851851851851851</v>
      </c>
      <c r="D50" s="25">
        <f>AVERAGEIFS('Cleaned Data'!$M$2:$M$2022,'Cleaned Data'!$BD$2:$BD$2022,$A$47,'Cleaned Data'!R$2:R$2022,"=1")</f>
        <v>5.75</v>
      </c>
      <c r="E50" s="25">
        <f>AVERAGEIFS('Cleaned Data'!$M$2:$M$2022,'Cleaned Data'!$BD$2:$BD$2022,$A$47,'Cleaned Data'!S$2:S$2022,"=1")</f>
        <v>8.117647058823529</v>
      </c>
      <c r="F50" s="25">
        <f>AVERAGEIFS('Cleaned Data'!$M$2:$M$2022,'Cleaned Data'!$BD$2:$BD$2022,$A$47,'Cleaned Data'!T$2:T$2022,"=1")</f>
        <v>6.4117647058823533</v>
      </c>
      <c r="G50" s="25">
        <f>AVERAGEIFS('Cleaned Data'!$M$2:$M$2022,'Cleaned Data'!$BD$2:$BD$2022,$A$47,'Cleaned Data'!U$2:U$2022,"=1")</f>
        <v>6.7391304347826084</v>
      </c>
      <c r="H50" s="25">
        <f>AVERAGEIFS('Cleaned Data'!$M$2:$M$2022,'Cleaned Data'!$BD$2:$BD$2022,$A$47,'Cleaned Data'!V$2:V$2022,"=1")</f>
        <v>7.0892857142857144</v>
      </c>
      <c r="J50" t="s">
        <v>169</v>
      </c>
      <c r="K50" s="25">
        <f>SUMIFS('Cleaned Data'!$M$2:$M$2022,'Cleaned Data'!$BD$2:$BD$2022,$J$47)</f>
        <v>848</v>
      </c>
      <c r="L50">
        <f>SUMIFS('Cleaned Data'!$M$2:$M$2022,'Cleaned Data'!$BD$2:$BD$2022,$J$47,'Cleaned Data'!V$2:V$2022,"=0")</f>
        <v>451</v>
      </c>
      <c r="M50" s="25">
        <f>SUMIFS('Cleaned Data'!$M$2:$M$2022,'Cleaned Data'!$BD$2:$BD$2022,$J$47,'Cleaned Data'!Q$2:Q$2022,"=1")</f>
        <v>194</v>
      </c>
      <c r="N50" s="25">
        <f>SUMIFS('Cleaned Data'!$M$2:$M$2022,'Cleaned Data'!$BD$2:$BD$2022,$J$47,'Cleaned Data'!R$2:R$2022,"=1")</f>
        <v>23</v>
      </c>
      <c r="O50" s="25">
        <f>SUMIFS('Cleaned Data'!$M$2:$M$2022,'Cleaned Data'!$BD$2:$BD$2022,$J$47,'Cleaned Data'!S$2:S$2022,"=1")</f>
        <v>138</v>
      </c>
      <c r="P50" s="25">
        <f>SUMIFS('Cleaned Data'!$M$2:$M$2022,'Cleaned Data'!$BD$2:$BD$2022,$J$47,'Cleaned Data'!T$2:T$2022,"=1")</f>
        <v>109</v>
      </c>
      <c r="Q50" s="25">
        <f>SUMIFS('Cleaned Data'!$M$2:$M$2022,'Cleaned Data'!$BD$2:$BD$2022,$J$47,'Cleaned Data'!U$2:U$2022,"=1")</f>
        <v>155</v>
      </c>
      <c r="R50" s="25">
        <f>SUMIFS('Cleaned Data'!$M$2:$M$2022,'Cleaned Data'!$BD$2:$BD$2022,$J$47,'Cleaned Data'!V$2:V$2022,"=1")</f>
        <v>397</v>
      </c>
      <c r="S50" s="18">
        <f t="shared" si="22"/>
        <v>0.31303063861203395</v>
      </c>
      <c r="T50" s="18">
        <f t="shared" si="23"/>
        <v>0.30932784636488342</v>
      </c>
      <c r="U50" s="18">
        <f t="shared" si="24"/>
        <v>0.31734612310151877</v>
      </c>
    </row>
    <row r="51" spans="1:21" x14ac:dyDescent="0.35">
      <c r="B51" s="25"/>
      <c r="C51" s="25"/>
      <c r="D51" s="25"/>
      <c r="E51" s="25"/>
      <c r="F51" s="25"/>
      <c r="G51" s="25"/>
      <c r="H51" s="25"/>
      <c r="J51" t="s">
        <v>128</v>
      </c>
      <c r="K51" s="25">
        <f t="shared" ref="K51:R51" si="25">SUM(K48:K50)</f>
        <v>2709</v>
      </c>
      <c r="L51" s="25">
        <f t="shared" si="25"/>
        <v>1458</v>
      </c>
      <c r="M51" s="25">
        <f t="shared" si="25"/>
        <v>634</v>
      </c>
      <c r="N51" s="25">
        <f t="shared" si="25"/>
        <v>89</v>
      </c>
      <c r="O51" s="25">
        <f t="shared" si="25"/>
        <v>400</v>
      </c>
      <c r="P51" s="25">
        <f t="shared" si="25"/>
        <v>349</v>
      </c>
      <c r="Q51" s="25">
        <f t="shared" si="25"/>
        <v>514</v>
      </c>
      <c r="R51" s="25">
        <f t="shared" si="25"/>
        <v>1251</v>
      </c>
      <c r="S51" s="18"/>
      <c r="T51" s="18"/>
      <c r="U51" s="18"/>
    </row>
    <row r="52" spans="1:21" x14ac:dyDescent="0.35">
      <c r="B52" s="25"/>
      <c r="C52" s="25"/>
      <c r="D52" s="25"/>
      <c r="E52" s="25"/>
      <c r="F52" s="25"/>
      <c r="G52" s="25"/>
      <c r="H52" s="25"/>
      <c r="J52" s="35"/>
      <c r="K52" s="25"/>
      <c r="M52" s="25"/>
      <c r="N52" s="25"/>
      <c r="O52" s="25"/>
      <c r="P52" s="25"/>
      <c r="Q52" s="25"/>
      <c r="R52" s="25"/>
    </row>
    <row r="53" spans="1:21" ht="29" x14ac:dyDescent="0.35">
      <c r="A53" s="6" t="s">
        <v>119</v>
      </c>
      <c r="J53" s="64" t="s">
        <v>119</v>
      </c>
      <c r="K53" s="4" t="s">
        <v>175</v>
      </c>
      <c r="L53" s="14" t="s">
        <v>241</v>
      </c>
      <c r="M53" s="4" t="s">
        <v>107</v>
      </c>
      <c r="N53" s="4" t="s">
        <v>108</v>
      </c>
      <c r="O53" s="4" t="s">
        <v>109</v>
      </c>
      <c r="P53" s="4" t="s">
        <v>110</v>
      </c>
      <c r="Q53" s="4" t="s">
        <v>111</v>
      </c>
      <c r="R53" s="4" t="s">
        <v>145</v>
      </c>
      <c r="S53" s="14" t="s">
        <v>240</v>
      </c>
      <c r="T53" s="14" t="s">
        <v>242</v>
      </c>
      <c r="U53" s="14" t="s">
        <v>239</v>
      </c>
    </row>
    <row r="54" spans="1:21" x14ac:dyDescent="0.35">
      <c r="A54" t="s">
        <v>164</v>
      </c>
      <c r="B54" s="25">
        <f>AVERAGEIFS('Cleaned Data'!$N$2:$N$2022,'Cleaned Data'!$BD$2:$BD$2022,$A$53)</f>
        <v>4.6507592190889371</v>
      </c>
      <c r="C54" s="25">
        <f>AVERAGEIFS('Cleaned Data'!$N$2:$N$2022,'Cleaned Data'!$BD$2:$BD$2022,$A$53,'Cleaned Data'!Q$2:Q$2022,"=1")</f>
        <v>6.1060606060606064</v>
      </c>
      <c r="D54" s="25">
        <f>AVERAGEIFS('Cleaned Data'!$N$2:$N$2022,'Cleaned Data'!$BD$2:$BD$2022,$A$53,'Cleaned Data'!R$2:R$2022,"=1")</f>
        <v>5.1428571428571432</v>
      </c>
      <c r="E54" s="25">
        <f>AVERAGEIFS('Cleaned Data'!$N$2:$N$2022,'Cleaned Data'!$BD$2:$BD$2022,$A$53,'Cleaned Data'!S$2:S$2022,"=1")</f>
        <v>5.8888888888888893</v>
      </c>
      <c r="F54" s="25">
        <f>AVERAGEIFS('Cleaned Data'!$N$2:$N$2022,'Cleaned Data'!$BD$2:$BD$2022,$A$53,'Cleaned Data'!T$2:T$2022,"=1")</f>
        <v>4.5362318840579707</v>
      </c>
      <c r="G54" s="25">
        <f>AVERAGEIFS('Cleaned Data'!$N$2:$N$2022,'Cleaned Data'!$BD$2:$BD$2022,$A$53,'Cleaned Data'!U$2:U$2022,"=1")</f>
        <v>6.291666666666667</v>
      </c>
      <c r="H54" s="25">
        <f>AVERAGEIFS('Cleaned Data'!$N$2:$N$2022,'Cleaned Data'!$BD$2:$BD$2022,$A$53,'Cleaned Data'!V$2:V$2022,"=1")</f>
        <v>5.3081761006289305</v>
      </c>
      <c r="J54" t="s">
        <v>167</v>
      </c>
      <c r="K54" s="25">
        <f>SUMIFS('Cleaned Data'!$N$2:$N$2022,'Cleaned Data'!$BD$2:$BD$2022,$J$53)</f>
        <v>2144</v>
      </c>
      <c r="L54">
        <f>SUMIFS('Cleaned Data'!$N$2:$N$2022,'Cleaned Data'!$BD$2:$BD$2022,$J$53,'Cleaned Data'!V$2:V$2022,"=0")</f>
        <v>1300</v>
      </c>
      <c r="M54" s="25">
        <f>SUMIFS('Cleaned Data'!$N$2:$N$2022,'Cleaned Data'!$BD$2:$BD$2022,$J$53,'Cleaned Data'!Q$2:Q$2022,"=1")</f>
        <v>403</v>
      </c>
      <c r="N54" s="25">
        <f>SUMIFS('Cleaned Data'!$N$2:$N$2022,'Cleaned Data'!$BD$2:$BD$2022,$J$53,'Cleaned Data'!R$2:R$2022,"=1")</f>
        <v>72</v>
      </c>
      <c r="O54" s="25">
        <f>SUMIFS('Cleaned Data'!$N$2:$N$2022,'Cleaned Data'!$BD$2:$BD$2022,$J$53,'Cleaned Data'!S$2:S$2022,"=1")</f>
        <v>212</v>
      </c>
      <c r="P54" s="25">
        <f>SUMIFS('Cleaned Data'!$N$2:$N$2022,'Cleaned Data'!$BD$2:$BD$2022,$J$53,'Cleaned Data'!T$2:T$2022,"=1")</f>
        <v>313</v>
      </c>
      <c r="Q54" s="25">
        <f>SUMIFS('Cleaned Data'!$N$2:$N$2022,'Cleaned Data'!$BD$2:$BD$2022,$J$53,'Cleaned Data'!U$2:U$2022,"=1")</f>
        <v>453</v>
      </c>
      <c r="R54" s="25">
        <f>SUMIFS('Cleaned Data'!$N$2:$N$2022,'Cleaned Data'!$BD$2:$BD$2022,$J$53,'Cleaned Data'!V$2:V$2022,"=1")</f>
        <v>844</v>
      </c>
      <c r="S54" s="18">
        <f>K54/$K$57</f>
        <v>0.24209575429087624</v>
      </c>
      <c r="T54" s="18">
        <f>L54/$L$57</f>
        <v>0.22715359077406955</v>
      </c>
      <c r="U54" s="18">
        <f>R54/$R$57</f>
        <v>0.26939036067666772</v>
      </c>
    </row>
    <row r="55" spans="1:21" x14ac:dyDescent="0.35">
      <c r="A55" t="s">
        <v>165</v>
      </c>
      <c r="B55" s="25">
        <f>AVERAGEIFS('Cleaned Data'!$O$2:$O$2022,'Cleaned Data'!$BD$2:$BD$2022,$A$53)</f>
        <v>8.3752711496746208</v>
      </c>
      <c r="C55" s="25">
        <f>AVERAGEIFS('Cleaned Data'!$O$2:$O$2022,'Cleaned Data'!$BD$2:$BD$2022,$A$53,'Cleaned Data'!Q$2:Q$2022,"=1")</f>
        <v>8.3333333333333339</v>
      </c>
      <c r="D55" s="25">
        <f>AVERAGEIFS('Cleaned Data'!$O$2:$O$2022,'Cleaned Data'!$BD$2:$BD$2022,$A$53,'Cleaned Data'!R$2:R$2022,"=1")</f>
        <v>8.5714285714285712</v>
      </c>
      <c r="E55" s="25">
        <f>AVERAGEIFS('Cleaned Data'!$O$2:$O$2022,'Cleaned Data'!$BD$2:$BD$2022,$A$53,'Cleaned Data'!S$2:S$2022,"=1")</f>
        <v>7.5</v>
      </c>
      <c r="F55" s="25">
        <f>AVERAGEIFS('Cleaned Data'!$O$2:$O$2022,'Cleaned Data'!$BD$2:$BD$2022,$A$53,'Cleaned Data'!T$2:T$2022,"=1")</f>
        <v>8.3913043478260878</v>
      </c>
      <c r="G55" s="25">
        <f>AVERAGEIFS('Cleaned Data'!$O$2:$O$2022,'Cleaned Data'!$BD$2:$BD$2022,$A$53,'Cleaned Data'!U$2:U$2022,"=1")</f>
        <v>8.4861111111111107</v>
      </c>
      <c r="H55" s="25">
        <f>AVERAGEIFS('Cleaned Data'!$O$2:$O$2022,'Cleaned Data'!$BD$2:$BD$2022,$A$53,'Cleaned Data'!V$2:V$2022,"=1")</f>
        <v>8.2138364779874209</v>
      </c>
      <c r="J55" t="s">
        <v>168</v>
      </c>
      <c r="K55" s="25">
        <f>SUMIFS('Cleaned Data'!$O$2:$O$2022,'Cleaned Data'!$BD$2:$BD$2022,$J$53)</f>
        <v>3861</v>
      </c>
      <c r="L55">
        <f>SUMIFS('Cleaned Data'!$O$2:$O$2022,'Cleaned Data'!$BD$2:$BD$2022,$J$53,'Cleaned Data'!V$2:V$2022,"=0")</f>
        <v>2555</v>
      </c>
      <c r="M55" s="25">
        <f>SUMIFS('Cleaned Data'!$O$2:$O$2022,'Cleaned Data'!$BD$2:$BD$2022,$J$53,'Cleaned Data'!Q$2:Q$2022,"=1")</f>
        <v>550</v>
      </c>
      <c r="N55" s="25">
        <f>SUMIFS('Cleaned Data'!$O$2:$O$2022,'Cleaned Data'!$BD$2:$BD$2022,$J$53,'Cleaned Data'!R$2:R$2022,"=1")</f>
        <v>120</v>
      </c>
      <c r="O55" s="25">
        <f>SUMIFS('Cleaned Data'!$O$2:$O$2022,'Cleaned Data'!$BD$2:$BD$2022,$J$53,'Cleaned Data'!S$2:S$2022,"=1")</f>
        <v>270</v>
      </c>
      <c r="P55" s="25">
        <f>SUMIFS('Cleaned Data'!$O$2:$O$2022,'Cleaned Data'!$BD$2:$BD$2022,$J$53,'Cleaned Data'!T$2:T$2022,"=1")</f>
        <v>579</v>
      </c>
      <c r="Q55" s="25">
        <f>SUMIFS('Cleaned Data'!$O$2:$O$2022,'Cleaned Data'!$BD$2:$BD$2022,$J$53,'Cleaned Data'!U$2:U$2022,"=1")</f>
        <v>611</v>
      </c>
      <c r="R55" s="25">
        <f>SUMIFS('Cleaned Data'!$O$2:$O$2022,'Cleaned Data'!$BD$2:$BD$2022,$J$53,'Cleaned Data'!V$2:V$2022,"=1")</f>
        <v>1306</v>
      </c>
      <c r="S55" s="18">
        <f t="shared" ref="S55:S56" si="26">K55/$K$57</f>
        <v>0.43597560975609756</v>
      </c>
      <c r="T55" s="18">
        <f t="shared" ref="T55:T56" si="27">L55/$L$57</f>
        <v>0.44644417263672898</v>
      </c>
      <c r="U55" s="18">
        <f t="shared" ref="U55:U56" si="28">R55/$R$57</f>
        <v>0.4168528566868816</v>
      </c>
    </row>
    <row r="56" spans="1:21" x14ac:dyDescent="0.35">
      <c r="A56" t="s">
        <v>166</v>
      </c>
      <c r="B56" s="25">
        <f>AVERAGEIFS('Cleaned Data'!$M$2:$M$2022,'Cleaned Data'!$BD$2:$BD$2022,$A$53)</f>
        <v>6.1843817787418658</v>
      </c>
      <c r="C56" s="25">
        <f>AVERAGEIFS('Cleaned Data'!$M$2:$M$2022,'Cleaned Data'!$BD$2:$BD$2022,$A$53,'Cleaned Data'!Q$2:Q$2022,"=1")</f>
        <v>5.8181818181818183</v>
      </c>
      <c r="D56" s="25">
        <f>AVERAGEIFS('Cleaned Data'!$M$2:$M$2022,'Cleaned Data'!$BD$2:$BD$2022,$A$53,'Cleaned Data'!R$2:R$2022,"=1")</f>
        <v>5</v>
      </c>
      <c r="E56" s="25">
        <f>AVERAGEIFS('Cleaned Data'!$M$2:$M$2022,'Cleaned Data'!$BD$2:$BD$2022,$A$53,'Cleaned Data'!S$2:S$2022,"=1")</f>
        <v>6.6944444444444446</v>
      </c>
      <c r="F56" s="25">
        <f>AVERAGEIFS('Cleaned Data'!$M$2:$M$2022,'Cleaned Data'!$BD$2:$BD$2022,$A$53,'Cleaned Data'!T$2:T$2022,"=1")</f>
        <v>6.1594202898550723</v>
      </c>
      <c r="G56" s="25">
        <f>AVERAGEIFS('Cleaned Data'!$M$2:$M$2022,'Cleaned Data'!$BD$2:$BD$2022,$A$53,'Cleaned Data'!U$2:U$2022,"=1")</f>
        <v>5.6805555555555554</v>
      </c>
      <c r="H56" s="25">
        <f>AVERAGEIFS('Cleaned Data'!$M$2:$M$2022,'Cleaned Data'!$BD$2:$BD$2022,$A$53,'Cleaned Data'!V$2:V$2022,"=1")</f>
        <v>6.182389937106918</v>
      </c>
      <c r="J56" t="s">
        <v>169</v>
      </c>
      <c r="K56" s="25">
        <f>SUMIFS('Cleaned Data'!$M$2:$M$2022,'Cleaned Data'!$BD$2:$BD$2022,$J$53)</f>
        <v>2851</v>
      </c>
      <c r="L56">
        <f>SUMIFS('Cleaned Data'!$M$2:$M$2022,'Cleaned Data'!$BD$2:$BD$2022,$J$53,'Cleaned Data'!V$2:V$2022,"=0")</f>
        <v>1868</v>
      </c>
      <c r="M56" s="25">
        <f>SUMIFS('Cleaned Data'!$M$2:$M$2022,'Cleaned Data'!$BD$2:$BD$2022,$J$53,'Cleaned Data'!Q$2:Q$2022,"=1")</f>
        <v>384</v>
      </c>
      <c r="N56" s="25">
        <f>SUMIFS('Cleaned Data'!$M$2:$M$2022,'Cleaned Data'!$BD$2:$BD$2022,$J$53,'Cleaned Data'!R$2:R$2022,"=1")</f>
        <v>70</v>
      </c>
      <c r="O56" s="25">
        <f>SUMIFS('Cleaned Data'!$M$2:$M$2022,'Cleaned Data'!$BD$2:$BD$2022,$J$53,'Cleaned Data'!S$2:S$2022,"=1")</f>
        <v>241</v>
      </c>
      <c r="P56" s="25">
        <f>SUMIFS('Cleaned Data'!$M$2:$M$2022,'Cleaned Data'!$BD$2:$BD$2022,$J$53,'Cleaned Data'!T$2:T$2022,"=1")</f>
        <v>425</v>
      </c>
      <c r="Q56" s="25">
        <f>SUMIFS('Cleaned Data'!$M$2:$M$2022,'Cleaned Data'!$BD$2:$BD$2022,$J$53,'Cleaned Data'!U$2:U$2022,"=1")</f>
        <v>409</v>
      </c>
      <c r="R56" s="25">
        <f>SUMIFS('Cleaned Data'!$M$2:$M$2022,'Cleaned Data'!$BD$2:$BD$2022,$J$53,'Cleaned Data'!V$2:V$2022,"=1")</f>
        <v>983</v>
      </c>
      <c r="S56" s="18">
        <f t="shared" si="26"/>
        <v>0.32192863595302618</v>
      </c>
      <c r="T56" s="18">
        <f t="shared" si="27"/>
        <v>0.32640223658920148</v>
      </c>
      <c r="U56" s="18">
        <f t="shared" si="28"/>
        <v>0.31375678263645068</v>
      </c>
    </row>
    <row r="57" spans="1:21" x14ac:dyDescent="0.35">
      <c r="B57" s="25"/>
      <c r="C57" s="25"/>
      <c r="D57" s="25"/>
      <c r="E57" s="25"/>
      <c r="F57" s="25"/>
      <c r="G57" s="25"/>
      <c r="H57" s="25"/>
      <c r="J57" t="s">
        <v>128</v>
      </c>
      <c r="K57" s="25">
        <f t="shared" ref="K57:R57" si="29">SUM(K54:K56)</f>
        <v>8856</v>
      </c>
      <c r="L57" s="25">
        <f t="shared" si="29"/>
        <v>5723</v>
      </c>
      <c r="M57" s="25">
        <f t="shared" si="29"/>
        <v>1337</v>
      </c>
      <c r="N57" s="25">
        <f t="shared" si="29"/>
        <v>262</v>
      </c>
      <c r="O57" s="25">
        <f t="shared" si="29"/>
        <v>723</v>
      </c>
      <c r="P57" s="25">
        <f t="shared" si="29"/>
        <v>1317</v>
      </c>
      <c r="Q57" s="25">
        <f t="shared" si="29"/>
        <v>1473</v>
      </c>
      <c r="R57" s="25">
        <f t="shared" si="29"/>
        <v>3133</v>
      </c>
    </row>
    <row r="58" spans="1:21" x14ac:dyDescent="0.35">
      <c r="A58" s="35"/>
      <c r="B58" s="25"/>
      <c r="C58" s="25"/>
      <c r="D58" s="25"/>
      <c r="E58" s="25"/>
      <c r="F58" s="25"/>
      <c r="G58" s="25"/>
      <c r="H58" s="25"/>
      <c r="J58" s="35"/>
      <c r="K58" s="25"/>
      <c r="M58" s="25"/>
      <c r="N58" s="25"/>
      <c r="O58" s="25"/>
      <c r="P58" s="25"/>
      <c r="Q58" s="25"/>
      <c r="R58" s="25"/>
    </row>
    <row r="59" spans="1:21" ht="29" x14ac:dyDescent="0.35">
      <c r="A59" s="6" t="s">
        <v>120</v>
      </c>
      <c r="J59" s="64" t="s">
        <v>120</v>
      </c>
      <c r="K59" s="4" t="s">
        <v>175</v>
      </c>
      <c r="L59" s="14" t="s">
        <v>241</v>
      </c>
      <c r="M59" s="4" t="s">
        <v>107</v>
      </c>
      <c r="N59" s="4" t="s">
        <v>108</v>
      </c>
      <c r="O59" s="4" t="s">
        <v>109</v>
      </c>
      <c r="P59" s="4" t="s">
        <v>110</v>
      </c>
      <c r="Q59" s="4" t="s">
        <v>111</v>
      </c>
      <c r="R59" s="4" t="s">
        <v>145</v>
      </c>
      <c r="S59" s="14" t="s">
        <v>240</v>
      </c>
      <c r="T59" s="14" t="s">
        <v>242</v>
      </c>
      <c r="U59" s="14" t="s">
        <v>239</v>
      </c>
    </row>
    <row r="60" spans="1:21" x14ac:dyDescent="0.35">
      <c r="A60" t="s">
        <v>164</v>
      </c>
      <c r="B60" s="25">
        <f>AVERAGEIFS('Cleaned Data'!$N$2:$N$2022,'Cleaned Data'!$BD$2:$BD$2022,$A$59,'Cleaned Data'!Q$2:Q$2022,"=1")</f>
        <v>6.0909090909090908</v>
      </c>
      <c r="C60" s="25">
        <f>AVERAGEIFS('Cleaned Data'!$N$2:$N$2022,'Cleaned Data'!$BD$2:$BD$2022,$A$59,'Cleaned Data'!Q$2:Q$2022,"=1")</f>
        <v>6.0909090909090908</v>
      </c>
      <c r="D60" s="25">
        <f>AVERAGEIFS('Cleaned Data'!$N$2:$N$2022,'Cleaned Data'!$BD$2:$BD$2022,$A$59,'Cleaned Data'!R$2:R$2022,"=1")</f>
        <v>6.75</v>
      </c>
      <c r="E60" s="25">
        <f>AVERAGEIFS('Cleaned Data'!$N$2:$N$2022,'Cleaned Data'!$BD$2:$BD$2022,$A$59,'Cleaned Data'!S$2:S$2022,"=1")</f>
        <v>5.3076923076923075</v>
      </c>
      <c r="F60" s="25">
        <f>AVERAGEIFS('Cleaned Data'!$N$2:$N$2022,'Cleaned Data'!$BD$2:$BD$2022,$A$59,'Cleaned Data'!T$2:T$2022,"=1")</f>
        <v>4.0666666666666664</v>
      </c>
      <c r="G60" s="25">
        <f>AVERAGEIFS('Cleaned Data'!$N$2:$N$2022,'Cleaned Data'!$BD$2:$BD$2022,$A$59,'Cleaned Data'!U$2:U$2022,"=1")</f>
        <v>6</v>
      </c>
      <c r="H60" s="25">
        <f>AVERAGEIFS('Cleaned Data'!$N$2:$N$2022,'Cleaned Data'!$BD$2:$BD$2022,$A$59,'Cleaned Data'!V$2:V$2022,"=1")</f>
        <v>5.0602409638554215</v>
      </c>
      <c r="J60" t="s">
        <v>167</v>
      </c>
      <c r="K60" s="25">
        <f>SUMIFS('Cleaned Data'!$N$2:$N$2022,'Cleaned Data'!$BD$2:$BD$2022,$J$59,'Cleaned Data'!Z$2:Z$2022,"=1")</f>
        <v>168</v>
      </c>
      <c r="L60">
        <f>SUMIFS('Cleaned Data'!$N$2:$N$2022,'Cleaned Data'!$BD$2:$BD$2022,$J$59,'Cleaned Data'!V$2:V$2022,"=0")</f>
        <v>855</v>
      </c>
      <c r="M60" s="25">
        <f>SUMIFS('Cleaned Data'!$N$2:$N$2022,'Cleaned Data'!$BD$2:$BD$2022,$J$59,'Cleaned Data'!Q$2:Q$2022,"=1")</f>
        <v>134</v>
      </c>
      <c r="N60" s="25">
        <f>SUMIFS('Cleaned Data'!$N$2:$N$2022,'Cleaned Data'!$BD$2:$BD$2022,$J$59,'Cleaned Data'!R$2:R$2022,"=1")</f>
        <v>27</v>
      </c>
      <c r="O60" s="25">
        <f>SUMIFS('Cleaned Data'!$N$2:$N$2022,'Cleaned Data'!$BD$2:$BD$2022,$J$59,'Cleaned Data'!S$2:S$2022,"=1")</f>
        <v>138</v>
      </c>
      <c r="P60" s="25">
        <f>SUMIFS('Cleaned Data'!$N$2:$N$2022,'Cleaned Data'!$BD$2:$BD$2022,$J$59,'Cleaned Data'!T$2:T$2022,"=1")</f>
        <v>122</v>
      </c>
      <c r="Q60" s="25">
        <f>SUMIFS('Cleaned Data'!$N$2:$N$2022,'Cleaned Data'!$BD$2:$BD$2022,$J$59,'Cleaned Data'!U$2:U$2022,"=1")</f>
        <v>186</v>
      </c>
      <c r="R60" s="25">
        <f>SUMIFS('Cleaned Data'!$N$2:$N$2022,'Cleaned Data'!$BD$2:$BD$2022,$J$59,'Cleaned Data'!V$2:V$2022,"=1")</f>
        <v>420</v>
      </c>
      <c r="S60" s="18">
        <f>K60/$K$63</f>
        <v>3.7923250564334085E-2</v>
      </c>
      <c r="T60" s="18">
        <f>L60/$L$63</f>
        <v>0.2102803738317757</v>
      </c>
      <c r="U60" s="18">
        <f>R60/$R$63</f>
        <v>0.28552005438477224</v>
      </c>
    </row>
    <row r="61" spans="1:21" x14ac:dyDescent="0.35">
      <c r="A61" t="s">
        <v>165</v>
      </c>
      <c r="B61" s="25">
        <f>AVERAGEIFS('Cleaned Data'!$O$2:$O$2022,'Cleaned Data'!$BD$2:$BD$2022,$A$59,'Cleaned Data'!Q$2:Q$2022,"=1")</f>
        <v>7.2727272727272725</v>
      </c>
      <c r="C61" s="25">
        <f>AVERAGEIFS('Cleaned Data'!$O$2:$O$2022,'Cleaned Data'!$BD$2:$BD$2022,$A$59,'Cleaned Data'!Q$2:Q$2022,"=1")</f>
        <v>7.2727272727272725</v>
      </c>
      <c r="D61" s="25">
        <f>AVERAGEIFS('Cleaned Data'!$O$2:$O$2022,'Cleaned Data'!$BD$2:$BD$2022,$A$59,'Cleaned Data'!R$2:R$2022,"=1")</f>
        <v>8.5</v>
      </c>
      <c r="E61" s="25">
        <f>AVERAGEIFS('Cleaned Data'!$O$2:$O$2022,'Cleaned Data'!$BD$2:$BD$2022,$A$59,'Cleaned Data'!S$2:S$2022,"=1")</f>
        <v>5.3076923076923075</v>
      </c>
      <c r="F61" s="25">
        <f>AVERAGEIFS('Cleaned Data'!$O$2:$O$2022,'Cleaned Data'!$BD$2:$BD$2022,$A$59,'Cleaned Data'!T$2:T$2022,"=1")</f>
        <v>8.1999999999999993</v>
      </c>
      <c r="G61" s="25">
        <f>AVERAGEIFS('Cleaned Data'!$O$2:$O$2022,'Cleaned Data'!$BD$2:$BD$2022,$A$59,'Cleaned Data'!U$2:U$2022,"=1")</f>
        <v>8.4516129032258061</v>
      </c>
      <c r="H61" s="25">
        <f>AVERAGEIFS('Cleaned Data'!$O$2:$O$2022,'Cleaned Data'!$BD$2:$BD$2022,$A$59,'Cleaned Data'!V$2:V$2022,"=1")</f>
        <v>7.4337349397590362</v>
      </c>
      <c r="J61" t="s">
        <v>168</v>
      </c>
      <c r="K61" s="25">
        <f>SUMIFS('Cleaned Data'!$O$2:$O$2022,'Cleaned Data'!$BD$2:$BD$2022,$J$59)</f>
        <v>2442</v>
      </c>
      <c r="L61">
        <f>SUMIFS('Cleaned Data'!$O$2:$O$2022,'Cleaned Data'!$BD$2:$BD$2022,$J$59,'Cleaned Data'!V$2:V$2022,"=0")</f>
        <v>1825</v>
      </c>
      <c r="M61" s="25">
        <f>SUMIFS('Cleaned Data'!$O$2:$O$2022,'Cleaned Data'!$BD$2:$BD$2022,$J$59,'Cleaned Data'!Q$2:Q$2022,"=1")</f>
        <v>160</v>
      </c>
      <c r="N61" s="25">
        <f>SUMIFS('Cleaned Data'!$O$2:$O$2022,'Cleaned Data'!$BD$2:$BD$2022,$J$59,'Cleaned Data'!R$2:R$2022,"=1")</f>
        <v>34</v>
      </c>
      <c r="O61" s="25">
        <f>SUMIFS('Cleaned Data'!$O$2:$O$2022,'Cleaned Data'!$BD$2:$BD$2022,$J$59,'Cleaned Data'!S$2:S$2022,"=1")</f>
        <v>138</v>
      </c>
      <c r="P61" s="25">
        <f>SUMIFS('Cleaned Data'!$O$2:$O$2022,'Cleaned Data'!$BD$2:$BD$2022,$J$59,'Cleaned Data'!T$2:T$2022,"=1")</f>
        <v>246</v>
      </c>
      <c r="Q61" s="25">
        <f>SUMIFS('Cleaned Data'!$O$2:$O$2022,'Cleaned Data'!$BD$2:$BD$2022,$J$59,'Cleaned Data'!U$2:U$2022,"=1")</f>
        <v>262</v>
      </c>
      <c r="R61" s="25">
        <f>SUMIFS('Cleaned Data'!$O$2:$O$2022,'Cleaned Data'!$BD$2:$BD$2022,$J$59,'Cleaned Data'!V$2:V$2022,"=1")</f>
        <v>617</v>
      </c>
      <c r="S61" s="18">
        <f t="shared" ref="S61:S62" si="30">K61/$K$63</f>
        <v>0.55124153498871331</v>
      </c>
      <c r="T61" s="18">
        <f t="shared" ref="T61:T62" si="31">L61/$L$63</f>
        <v>0.44884407279881949</v>
      </c>
      <c r="U61" s="18">
        <f t="shared" ref="U61:U62" si="32">R61/$R$63</f>
        <v>0.41944255608429637</v>
      </c>
    </row>
    <row r="62" spans="1:21" x14ac:dyDescent="0.35">
      <c r="A62" t="s">
        <v>166</v>
      </c>
      <c r="B62" s="25">
        <f>AVERAGEIFS('Cleaned Data'!$M$2:$M$2022,'Cleaned Data'!$BD$2:$BD$2022,$A$59,'Cleaned Data'!Q$2:Q$2022,"=1")</f>
        <v>4.5909090909090908</v>
      </c>
      <c r="C62" s="25">
        <f>AVERAGEIFS('Cleaned Data'!$M$2:$M$2022,'Cleaned Data'!$BD$2:$BD$2022,$A$59,'Cleaned Data'!Q$2:Q$2022,"=1")</f>
        <v>4.5909090909090908</v>
      </c>
      <c r="D62" s="25">
        <f>AVERAGEIFS('Cleaned Data'!$M$2:$M$2022,'Cleaned Data'!$BD$2:$BD$2022,$A$59,'Cleaned Data'!R$2:R$2022,"=1")</f>
        <v>5.75</v>
      </c>
      <c r="E62" s="25">
        <f>AVERAGEIFS('Cleaned Data'!$M$2:$M$2022,'Cleaned Data'!$BD$2:$BD$2022,$A$59,'Cleaned Data'!S$2:S$2022,"=1")</f>
        <v>5.5</v>
      </c>
      <c r="F62" s="25">
        <f>AVERAGEIFS('Cleaned Data'!$M$2:$M$2022,'Cleaned Data'!$BD$2:$BD$2022,$A$59,'Cleaned Data'!T$2:T$2022,"=1")</f>
        <v>5.5666666666666664</v>
      </c>
      <c r="G62" s="25">
        <f>AVERAGEIFS('Cleaned Data'!$M$2:$M$2022,'Cleaned Data'!$BD$2:$BD$2022,$A$59,'Cleaned Data'!U$2:U$2022,"=1")</f>
        <v>4.806451612903226</v>
      </c>
      <c r="H62" s="25">
        <f>AVERAGEIFS('Cleaned Data'!$M$2:$M$2022,'Cleaned Data'!$BD$2:$BD$2022,$A$59,'Cleaned Data'!V$2:V$2022,"=1")</f>
        <v>5.2289156626506026</v>
      </c>
      <c r="J62" t="s">
        <v>169</v>
      </c>
      <c r="K62" s="25">
        <f>SUMIFS('Cleaned Data'!$M$2:$M$2022,'Cleaned Data'!$BD$2:$BD$2022,$J$59)</f>
        <v>1820</v>
      </c>
      <c r="L62">
        <f>SUMIFS('Cleaned Data'!$M$2:$M$2022,'Cleaned Data'!$BD$2:$BD$2022,$J$59,'Cleaned Data'!V$2:V$2022,"=0")</f>
        <v>1386</v>
      </c>
      <c r="M62" s="25">
        <f>SUMIFS('Cleaned Data'!$M$2:$M$2022,'Cleaned Data'!$BD$2:$BD$2022,$J$59,'Cleaned Data'!Q$2:Q$2022,"=1")</f>
        <v>101</v>
      </c>
      <c r="N62" s="25">
        <f>SUMIFS('Cleaned Data'!$M$2:$M$2022,'Cleaned Data'!$BD$2:$BD$2022,$J$59,'Cleaned Data'!R$2:R$2022,"=1")</f>
        <v>23</v>
      </c>
      <c r="O62" s="25">
        <f>SUMIFS('Cleaned Data'!$M$2:$M$2022,'Cleaned Data'!$BD$2:$BD$2022,$J$59,'Cleaned Data'!S$2:S$2022,"=1")</f>
        <v>143</v>
      </c>
      <c r="P62" s="25">
        <f>SUMIFS('Cleaned Data'!$M$2:$M$2022,'Cleaned Data'!$BD$2:$BD$2022,$J$59,'Cleaned Data'!T$2:T$2022,"=1")</f>
        <v>167</v>
      </c>
      <c r="Q62" s="25">
        <f>SUMIFS('Cleaned Data'!$M$2:$M$2022,'Cleaned Data'!$BD$2:$BD$2022,$J$59,'Cleaned Data'!U$2:U$2022,"=1")</f>
        <v>149</v>
      </c>
      <c r="R62" s="25">
        <f>SUMIFS('Cleaned Data'!$M$2:$M$2022,'Cleaned Data'!$BD$2:$BD$2022,$J$59,'Cleaned Data'!V$2:V$2022,"=1")</f>
        <v>434</v>
      </c>
      <c r="S62" s="18">
        <f t="shared" si="30"/>
        <v>0.41083521444695259</v>
      </c>
      <c r="T62" s="18">
        <f t="shared" si="31"/>
        <v>0.34087555336940484</v>
      </c>
      <c r="U62" s="18">
        <f t="shared" si="32"/>
        <v>0.29503738953093134</v>
      </c>
    </row>
    <row r="63" spans="1:21" x14ac:dyDescent="0.35">
      <c r="B63" s="25"/>
      <c r="C63" s="25"/>
      <c r="D63" s="25"/>
      <c r="E63" s="25"/>
      <c r="F63" s="25"/>
      <c r="G63" s="25"/>
      <c r="H63" s="25"/>
      <c r="J63" t="s">
        <v>128</v>
      </c>
      <c r="K63" s="25">
        <f t="shared" ref="K63:R63" si="33">SUM(K60:K62)</f>
        <v>4430</v>
      </c>
      <c r="L63" s="25">
        <f t="shared" si="33"/>
        <v>4066</v>
      </c>
      <c r="M63" s="25">
        <f t="shared" si="33"/>
        <v>395</v>
      </c>
      <c r="N63" s="25">
        <f t="shared" si="33"/>
        <v>84</v>
      </c>
      <c r="O63" s="25">
        <f t="shared" si="33"/>
        <v>419</v>
      </c>
      <c r="P63" s="25">
        <f t="shared" si="33"/>
        <v>535</v>
      </c>
      <c r="Q63" s="25">
        <f t="shared" si="33"/>
        <v>597</v>
      </c>
      <c r="R63" s="25">
        <f t="shared" si="33"/>
        <v>1471</v>
      </c>
    </row>
    <row r="64" spans="1:21" x14ac:dyDescent="0.35">
      <c r="B64" s="25"/>
      <c r="C64" s="25"/>
      <c r="D64" s="25"/>
      <c r="E64" s="25"/>
      <c r="F64" s="25"/>
      <c r="G64" s="25"/>
      <c r="H64" s="25"/>
      <c r="K64" s="25"/>
      <c r="M64" s="25"/>
      <c r="N64" s="25"/>
      <c r="O64" s="25"/>
      <c r="P64" s="25"/>
      <c r="Q64" s="25"/>
      <c r="R64" s="25"/>
    </row>
    <row r="65" spans="1:21" ht="29" x14ac:dyDescent="0.35">
      <c r="A65" s="6" t="s">
        <v>121</v>
      </c>
      <c r="J65" s="64" t="s">
        <v>121</v>
      </c>
      <c r="K65" s="4" t="s">
        <v>175</v>
      </c>
      <c r="L65" s="14" t="s">
        <v>241</v>
      </c>
      <c r="M65" s="4" t="s">
        <v>107</v>
      </c>
      <c r="N65" s="4" t="s">
        <v>108</v>
      </c>
      <c r="O65" s="4" t="s">
        <v>109</v>
      </c>
      <c r="P65" s="4" t="s">
        <v>110</v>
      </c>
      <c r="Q65" s="4" t="s">
        <v>111</v>
      </c>
      <c r="R65" s="4" t="s">
        <v>145</v>
      </c>
      <c r="S65" s="14" t="s">
        <v>240</v>
      </c>
      <c r="T65" s="14" t="s">
        <v>242</v>
      </c>
      <c r="U65" s="14" t="s">
        <v>239</v>
      </c>
    </row>
    <row r="66" spans="1:21" x14ac:dyDescent="0.35">
      <c r="A66" t="s">
        <v>164</v>
      </c>
      <c r="B66" s="25">
        <f>AVERAGEIFS('Cleaned Data'!$N$2:$N$2022,'Cleaned Data'!$BD$2:$BD$2022,$A$65,'Cleaned Data'!Q$2:Q$2022,"=1")</f>
        <v>5.5555555555555554</v>
      </c>
      <c r="C66" s="25">
        <f>AVERAGEIFS('Cleaned Data'!$N$2:$N$2022,'Cleaned Data'!$BD$2:$BD$2022,$A$65,'Cleaned Data'!Q$2:Q$2022,"=1")</f>
        <v>5.5555555555555554</v>
      </c>
      <c r="D66" s="25">
        <f>AVERAGEIFS('Cleaned Data'!$N$2:$N$2022,'Cleaned Data'!$BD$2:$BD$2022,$A$65,'Cleaned Data'!R$2:R$2022,"=1")</f>
        <v>3.75</v>
      </c>
      <c r="E66" s="25">
        <f>AVERAGEIFS('Cleaned Data'!$N$2:$N$2022,'Cleaned Data'!$BD$2:$BD$2022,$A$65,'Cleaned Data'!S$2:S$2022,"=1")</f>
        <v>1.576271186440678</v>
      </c>
      <c r="F66" s="25">
        <f>AVERAGEIFS('Cleaned Data'!$N$2:$N$2022,'Cleaned Data'!$BD$2:$BD$2022,$A$65,'Cleaned Data'!T$2:T$2022,"=1")</f>
        <v>2.7948717948717947</v>
      </c>
      <c r="G66" s="25">
        <f>AVERAGEIFS('Cleaned Data'!$N$2:$N$2022,'Cleaned Data'!$BD$2:$BD$2022,$A$65,'Cleaned Data'!U$2:U$2022,"=1")</f>
        <v>4.8499999999999996</v>
      </c>
      <c r="H66" s="25">
        <f>AVERAGEIFS('Cleaned Data'!$N$2:$N$2022,'Cleaned Data'!$BD$2:$BD$2022,$A$65,'Cleaned Data'!V$2:V$2022,"=1")</f>
        <v>2.4260869565217393</v>
      </c>
      <c r="J66" t="s">
        <v>167</v>
      </c>
      <c r="K66" s="25">
        <f>SUMIFS('Cleaned Data'!$N$2:$N$2022,'Cleaned Data'!$BD$2:$BD$2022,$J$65,'Cleaned Data'!Z$2:Z$2022,"=1")</f>
        <v>141</v>
      </c>
      <c r="L66">
        <f>SUMIFS('Cleaned Data'!$N$2:$N$2022,'Cleaned Data'!$BD$2:$BD$2022,$J$65,'Cleaned Data'!V$2:V$2022,"=0")</f>
        <v>865</v>
      </c>
      <c r="M66" s="25">
        <f>SUMIFS('Cleaned Data'!$N$2:$N$2022,'Cleaned Data'!$BD$2:$BD$2022,$J$65,'Cleaned Data'!Q$2:Q$2022,"=1")</f>
        <v>100</v>
      </c>
      <c r="N66" s="25">
        <f>SUMIFS('Cleaned Data'!$N$2:$N$2022,'Cleaned Data'!$BD$2:$BD$2022,$J$65,'Cleaned Data'!R$2:R$2022,"=1")</f>
        <v>15</v>
      </c>
      <c r="O66" s="25">
        <f>SUMIFS('Cleaned Data'!$N$2:$N$2022,'Cleaned Data'!$BD$2:$BD$2022,$J$65,'Cleaned Data'!S$2:S$2022,"=1")</f>
        <v>93</v>
      </c>
      <c r="P66" s="25">
        <f>SUMIFS('Cleaned Data'!$N$2:$N$2022,'Cleaned Data'!$BD$2:$BD$2022,$J$65,'Cleaned Data'!T$2:T$2022,"=1")</f>
        <v>109</v>
      </c>
      <c r="Q66" s="25">
        <f>SUMIFS('Cleaned Data'!$N$2:$N$2022,'Cleaned Data'!$BD$2:$BD$2022,$J$65,'Cleaned Data'!U$2:U$2022,"=1")</f>
        <v>97</v>
      </c>
      <c r="R66" s="25">
        <f>SUMIFS('Cleaned Data'!$N$2:$N$2022,'Cleaned Data'!$BD$2:$BD$2022,$J$65,'Cleaned Data'!V$2:V$2022,"=1")</f>
        <v>279</v>
      </c>
      <c r="S66" s="18">
        <f>K66/$K$69</f>
        <v>2.2574447646493755E-2</v>
      </c>
      <c r="T66" s="18">
        <f>L66/$L$69</f>
        <v>0.14285714285714285</v>
      </c>
      <c r="U66" s="18">
        <f>R66/$R$69</f>
        <v>0.23366834170854273</v>
      </c>
    </row>
    <row r="67" spans="1:21" x14ac:dyDescent="0.35">
      <c r="A67" t="s">
        <v>165</v>
      </c>
      <c r="B67" s="25">
        <f>AVERAGEIFS('Cleaned Data'!$O$2:$O$2022,'Cleaned Data'!$BD$2:$BD$2022,$A$65,'Cleaned Data'!Q$2:Q$2022,"=1")</f>
        <v>5.8888888888888893</v>
      </c>
      <c r="C67" s="25">
        <f>AVERAGEIFS('Cleaned Data'!$O$2:$O$2022,'Cleaned Data'!$BD$2:$BD$2022,$A$65,'Cleaned Data'!Q$2:Q$2022,"=1")</f>
        <v>5.8888888888888893</v>
      </c>
      <c r="D67" s="25">
        <f>AVERAGEIFS('Cleaned Data'!$O$2:$O$2022,'Cleaned Data'!$BD$2:$BD$2022,$A$65,'Cleaned Data'!R$2:R$2022,"=1")</f>
        <v>4.5</v>
      </c>
      <c r="E67" s="25">
        <f>AVERAGEIFS('Cleaned Data'!$O$2:$O$2022,'Cleaned Data'!$BD$2:$BD$2022,$A$65,'Cleaned Data'!S$2:S$2022,"=1")</f>
        <v>2.847457627118644</v>
      </c>
      <c r="F67" s="25">
        <f>AVERAGEIFS('Cleaned Data'!$O$2:$O$2022,'Cleaned Data'!$BD$2:$BD$2022,$A$65,'Cleaned Data'!T$2:T$2022,"=1")</f>
        <v>5.8461538461538458</v>
      </c>
      <c r="G67" s="25">
        <f>AVERAGEIFS('Cleaned Data'!$O$2:$O$2022,'Cleaned Data'!$BD$2:$BD$2022,$A$65,'Cleaned Data'!U$2:U$2022,"=1")</f>
        <v>6.2</v>
      </c>
      <c r="H67" s="25">
        <f>AVERAGEIFS('Cleaned Data'!$O$2:$O$2022,'Cleaned Data'!$BD$2:$BD$2022,$A$65,'Cleaned Data'!V$2:V$2022,"=1")</f>
        <v>4.3739130434782609</v>
      </c>
      <c r="J67" t="s">
        <v>168</v>
      </c>
      <c r="K67" s="25">
        <f>SUMIFS('Cleaned Data'!$O$2:$O$2022,'Cleaned Data'!$BD$2:$BD$2022,$J$65)</f>
        <v>3627</v>
      </c>
      <c r="L67">
        <f>SUMIFS('Cleaned Data'!$O$2:$O$2022,'Cleaned Data'!$BD$2:$BD$2022,$J$65,'Cleaned Data'!V$2:V$2022,"=0")</f>
        <v>3124</v>
      </c>
      <c r="M67" s="25">
        <f>SUMIFS('Cleaned Data'!$O$2:$O$2022,'Cleaned Data'!$BD$2:$BD$2022,$J$65,'Cleaned Data'!Q$2:Q$2022,"=1")</f>
        <v>106</v>
      </c>
      <c r="N67" s="25">
        <f>SUMIFS('Cleaned Data'!$O$2:$O$2022,'Cleaned Data'!$BD$2:$BD$2022,$J$65,'Cleaned Data'!R$2:R$2022,"=1")</f>
        <v>18</v>
      </c>
      <c r="O67" s="25">
        <f>SUMIFS('Cleaned Data'!$O$2:$O$2022,'Cleaned Data'!$BD$2:$BD$2022,$J$65,'Cleaned Data'!S$2:S$2022,"=1")</f>
        <v>168</v>
      </c>
      <c r="P67" s="25">
        <f>SUMIFS('Cleaned Data'!$O$2:$O$2022,'Cleaned Data'!$BD$2:$BD$2022,$J$65,'Cleaned Data'!T$2:T$2022,"=1")</f>
        <v>228</v>
      </c>
      <c r="Q67" s="25">
        <f>SUMIFS('Cleaned Data'!$O$2:$O$2022,'Cleaned Data'!$BD$2:$BD$2022,$J$65,'Cleaned Data'!U$2:U$2022,"=1")</f>
        <v>124</v>
      </c>
      <c r="R67" s="25">
        <f>SUMIFS('Cleaned Data'!$O$2:$O$2022,'Cleaned Data'!$BD$2:$BD$2022,$J$65,'Cleaned Data'!V$2:V$2022,"=1")</f>
        <v>503</v>
      </c>
      <c r="S67" s="18">
        <f t="shared" ref="S67:S68" si="34">K67/$K$69</f>
        <v>0.5806916426512968</v>
      </c>
      <c r="T67" s="18">
        <f t="shared" ref="T67:T68" si="35">L67/$L$69</f>
        <v>0.51593724194880264</v>
      </c>
      <c r="U67" s="18">
        <f t="shared" ref="U67:U68" si="36">R67/$R$69</f>
        <v>0.42127303182579562</v>
      </c>
    </row>
    <row r="68" spans="1:21" x14ac:dyDescent="0.35">
      <c r="A68" t="s">
        <v>166</v>
      </c>
      <c r="B68" s="25">
        <f>AVERAGEIFS('Cleaned Data'!$M$2:$M$2022,'Cleaned Data'!$BD$2:$BD$2022,$A$65,'Cleaned Data'!Q$2:Q$2022,"=1")</f>
        <v>4.9444444444444446</v>
      </c>
      <c r="C68" s="25">
        <f>AVERAGEIFS('Cleaned Data'!$M$2:$M$2022,'Cleaned Data'!$BD$2:$BD$2022,$A$65,'Cleaned Data'!Q$2:Q$2022,"=1")</f>
        <v>4.9444444444444446</v>
      </c>
      <c r="D68" s="25">
        <f>AVERAGEIFS('Cleaned Data'!$M$2:$M$2022,'Cleaned Data'!$BD$2:$BD$2022,$A$65,'Cleaned Data'!R$2:R$2022,"=1")</f>
        <v>4</v>
      </c>
      <c r="E68" s="25">
        <f>AVERAGEIFS('Cleaned Data'!$M$2:$M$2022,'Cleaned Data'!$BD$2:$BD$2022,$A$65,'Cleaned Data'!S$2:S$2022,"=1")</f>
        <v>2.4915254237288136</v>
      </c>
      <c r="F68" s="25">
        <f>AVERAGEIFS('Cleaned Data'!$M$2:$M$2022,'Cleaned Data'!$BD$2:$BD$2022,$A$65,'Cleaned Data'!T$2:T$2022,"=1")</f>
        <v>4.7692307692307692</v>
      </c>
      <c r="G68" s="25">
        <f>AVERAGEIFS('Cleaned Data'!$M$2:$M$2022,'Cleaned Data'!$BD$2:$BD$2022,$A$65,'Cleaned Data'!U$2:U$2022,"=1")</f>
        <v>4.4000000000000004</v>
      </c>
      <c r="H68" s="25">
        <f>AVERAGEIFS('Cleaned Data'!$M$2:$M$2022,'Cleaned Data'!$BD$2:$BD$2022,$A$65,'Cleaned Data'!V$2:V$2022,"=1")</f>
        <v>3.5826086956521741</v>
      </c>
      <c r="J68" t="s">
        <v>169</v>
      </c>
      <c r="K68" s="25">
        <f>SUMIFS('Cleaned Data'!$M$2:$M$2022,'Cleaned Data'!$BD$2:$BD$2022,$J$65)</f>
        <v>2478</v>
      </c>
      <c r="L68">
        <f>SUMIFS('Cleaned Data'!$M$2:$M$2022,'Cleaned Data'!$BD$2:$BD$2022,$J$65,'Cleaned Data'!V$2:V$2022,"=0")</f>
        <v>2066</v>
      </c>
      <c r="M68" s="25">
        <f>SUMIFS('Cleaned Data'!$M$2:$M$2022,'Cleaned Data'!$BD$2:$BD$2022,$J$65,'Cleaned Data'!Q$2:Q$2022,"=1")</f>
        <v>89</v>
      </c>
      <c r="N68" s="25">
        <f>SUMIFS('Cleaned Data'!$M$2:$M$2022,'Cleaned Data'!$BD$2:$BD$2022,$J$65,'Cleaned Data'!R$2:R$2022,"=1")</f>
        <v>16</v>
      </c>
      <c r="O68" s="25">
        <f>SUMIFS('Cleaned Data'!$M$2:$M$2022,'Cleaned Data'!$BD$2:$BD$2022,$J$65,'Cleaned Data'!S$2:S$2022,"=1")</f>
        <v>147</v>
      </c>
      <c r="P68" s="25">
        <f>SUMIFS('Cleaned Data'!$M$2:$M$2022,'Cleaned Data'!$BD$2:$BD$2022,$J$65,'Cleaned Data'!T$2:T$2022,"=1")</f>
        <v>186</v>
      </c>
      <c r="Q68" s="25">
        <f>SUMIFS('Cleaned Data'!$M$2:$M$2022,'Cleaned Data'!$BD$2:$BD$2022,$J$65,'Cleaned Data'!U$2:U$2022,"=1")</f>
        <v>88</v>
      </c>
      <c r="R68" s="25">
        <f>SUMIFS('Cleaned Data'!$M$2:$M$2022,'Cleaned Data'!$BD$2:$BD$2022,$J$65,'Cleaned Data'!V$2:V$2022,"=1")</f>
        <v>412</v>
      </c>
      <c r="S68" s="18">
        <f t="shared" si="34"/>
        <v>0.3967339097022094</v>
      </c>
      <c r="T68" s="18">
        <f t="shared" si="35"/>
        <v>0.34120561519405451</v>
      </c>
      <c r="U68" s="18">
        <f t="shared" si="36"/>
        <v>0.34505862646566166</v>
      </c>
    </row>
    <row r="69" spans="1:21" x14ac:dyDescent="0.35">
      <c r="B69" s="25"/>
      <c r="C69" s="25"/>
      <c r="D69" s="25"/>
      <c r="E69" s="25"/>
      <c r="F69" s="25"/>
      <c r="G69" s="25"/>
      <c r="H69" s="25"/>
      <c r="J69" t="s">
        <v>128</v>
      </c>
      <c r="K69" s="25">
        <f t="shared" ref="K69:R69" si="37">SUM(K66:K68)</f>
        <v>6246</v>
      </c>
      <c r="L69" s="25">
        <f t="shared" si="37"/>
        <v>6055</v>
      </c>
      <c r="M69" s="25">
        <f t="shared" si="37"/>
        <v>295</v>
      </c>
      <c r="N69" s="25">
        <f t="shared" si="37"/>
        <v>49</v>
      </c>
      <c r="O69" s="25">
        <f t="shared" si="37"/>
        <v>408</v>
      </c>
      <c r="P69" s="25">
        <f t="shared" si="37"/>
        <v>523</v>
      </c>
      <c r="Q69" s="25">
        <f t="shared" si="37"/>
        <v>309</v>
      </c>
      <c r="R69" s="25">
        <f t="shared" si="37"/>
        <v>1194</v>
      </c>
    </row>
    <row r="70" spans="1:21" x14ac:dyDescent="0.35">
      <c r="B70" s="25"/>
      <c r="C70" s="25"/>
      <c r="D70" s="25"/>
      <c r="E70" s="25"/>
      <c r="F70" s="25"/>
      <c r="G70" s="25"/>
      <c r="H70" s="25"/>
    </row>
    <row r="71" spans="1:21" x14ac:dyDescent="0.35">
      <c r="B71" s="25"/>
      <c r="C71" s="25"/>
      <c r="D71" s="25"/>
      <c r="E71" s="25"/>
      <c r="F71" s="25"/>
      <c r="G71" s="25"/>
      <c r="H71" s="25"/>
    </row>
    <row r="72" spans="1:21" x14ac:dyDescent="0.35">
      <c r="A72" s="72" t="s">
        <v>170</v>
      </c>
      <c r="B72" s="72"/>
      <c r="C72" s="72"/>
      <c r="D72" s="72"/>
      <c r="E72" s="72"/>
      <c r="F72" s="72"/>
      <c r="G72" s="72"/>
      <c r="H72" s="72"/>
      <c r="J72" s="72" t="s">
        <v>170</v>
      </c>
      <c r="K72" s="72"/>
      <c r="L72" s="72"/>
      <c r="M72" s="72"/>
      <c r="N72" s="72"/>
      <c r="O72" s="72"/>
      <c r="P72" s="72"/>
      <c r="Q72" s="72"/>
    </row>
    <row r="73" spans="1:21" x14ac:dyDescent="0.35">
      <c r="A73" s="4" t="s">
        <v>142</v>
      </c>
      <c r="B73" s="4" t="s">
        <v>175</v>
      </c>
      <c r="C73" s="4" t="s">
        <v>107</v>
      </c>
      <c r="D73" s="4" t="s">
        <v>108</v>
      </c>
      <c r="E73" s="4" t="s">
        <v>109</v>
      </c>
      <c r="F73" s="4" t="s">
        <v>110</v>
      </c>
      <c r="G73" s="4" t="s">
        <v>111</v>
      </c>
      <c r="H73" s="4" t="s">
        <v>145</v>
      </c>
      <c r="J73" s="4" t="s">
        <v>142</v>
      </c>
      <c r="K73" s="4" t="s">
        <v>175</v>
      </c>
      <c r="L73" s="4" t="s">
        <v>107</v>
      </c>
      <c r="M73" s="4" t="s">
        <v>108</v>
      </c>
      <c r="N73" s="4" t="s">
        <v>109</v>
      </c>
      <c r="O73" s="4" t="s">
        <v>110</v>
      </c>
      <c r="P73" s="4" t="s">
        <v>111</v>
      </c>
      <c r="Q73" s="4" t="s">
        <v>145</v>
      </c>
    </row>
    <row r="74" spans="1:21" ht="29" x14ac:dyDescent="0.35">
      <c r="A74" s="1" t="s">
        <v>171</v>
      </c>
      <c r="B74" s="25">
        <f>AVERAGE('Cleaned Data'!$P$2:$P$2022)</f>
        <v>5.3404255319148932</v>
      </c>
      <c r="C74" s="25">
        <f>AVERAGEIFS('Cleaned Data'!$P$2:$P$2022,'Cleaned Data'!Q$2:Q$2022,"=1")</f>
        <v>3.511278195488722</v>
      </c>
      <c r="D74" s="25">
        <f>AVERAGEIFS('Cleaned Data'!$P$2:$P$2022,'Cleaned Data'!R$2:R$2022,"=1")</f>
        <v>5.0769230769230766</v>
      </c>
      <c r="E74" s="25">
        <f>AVERAGEIFS('Cleaned Data'!$P$2:$P$2022,'Cleaned Data'!S$2:S$2022,"=1")</f>
        <v>5.887417218543046</v>
      </c>
      <c r="F74" s="25">
        <f>AVERAGEIFS('Cleaned Data'!$P$2:$P$2022,'Cleaned Data'!T$2:T$2022,"=1")</f>
        <v>5.129032258064516</v>
      </c>
      <c r="G74" s="25">
        <f>AVERAGEIFS('Cleaned Data'!$P$2:$P$2022,'Cleaned Data'!U$2:U$2022,"=1")</f>
        <v>2.952054794520548</v>
      </c>
      <c r="H74" s="25">
        <f>AVERAGEIFS('Cleaned Data'!$P$2:$P$2022,'Cleaned Data'!V$2:V$2022,"=1")</f>
        <v>4.7699530516431921</v>
      </c>
      <c r="J74" s="1" t="s">
        <v>172</v>
      </c>
      <c r="K74" s="25">
        <f>SUM('Cleaned Data'!$P$2:$P$2022)</f>
        <v>10793</v>
      </c>
      <c r="L74" s="25">
        <f>SUMIFS('Cleaned Data'!$P$2:$P$2022,'Cleaned Data'!Q$2:Q$2022,"=1")</f>
        <v>467</v>
      </c>
      <c r="M74" s="25">
        <f>SUMIFS('Cleaned Data'!$P$2:$P$2022,'Cleaned Data'!R$2:R$2022,"=1")</f>
        <v>132</v>
      </c>
      <c r="N74" s="25">
        <f>SUMIFS('Cleaned Data'!$P$2:$P$2022,'Cleaned Data'!S$2:S$2022,"=1")</f>
        <v>889</v>
      </c>
      <c r="O74" s="25">
        <f>SUMIFS('Cleaned Data'!$P$2:$P$2022,'Cleaned Data'!T$2:T$2022,"=1")</f>
        <v>795</v>
      </c>
      <c r="P74" s="25">
        <f>SUMIFS('Cleaned Data'!$P$2:$P$2022,'Cleaned Data'!U$2:U$2022,"=1")</f>
        <v>431</v>
      </c>
      <c r="Q74" s="25">
        <f>SUMIFS('Cleaned Data'!$P$2:$P$2022,'Cleaned Data'!V$2:V$2022,"=1")</f>
        <v>2032</v>
      </c>
    </row>
    <row r="75" spans="1:21" x14ac:dyDescent="0.35">
      <c r="A75" s="1" t="s">
        <v>118</v>
      </c>
      <c r="B75" s="25">
        <f>AVERAGEIFS('Cleaned Data'!$P$2:$P$2022,'Cleaned Data'!$BD$2:$BD$2022,$A75)</f>
        <v>4.942622950819672</v>
      </c>
      <c r="C75" s="25">
        <f>IFERROR(AVERAGEIFS('Cleaned Data'!$P$2:$P$2022,'Cleaned Data'!$BD$2:$BD$2022,$A75,'Cleaned Data'!Q$2:Q$2022,"=1"),0)</f>
        <v>3.8518518518518516</v>
      </c>
      <c r="D75" s="25">
        <f>IFERROR(AVERAGEIFS('Cleaned Data'!$P$2:$P$2022,'Cleaned Data'!$BD$2:$BD$2022,$A75,'Cleaned Data'!R$2:R$2022,"=1"),0)</f>
        <v>4.75</v>
      </c>
      <c r="E75" s="25">
        <f>IFERROR(AVERAGEIFS('Cleaned Data'!$P$2:$P$2022,'Cleaned Data'!$BD$2:$BD$2022,$A75,'Cleaned Data'!S$2:S$2022,"=1"),0)</f>
        <v>5.2352941176470589</v>
      </c>
      <c r="F75" s="25">
        <f>IFERROR(AVERAGEIFS('Cleaned Data'!$P$2:$P$2022,'Cleaned Data'!$BD$2:$BD$2022,$A75,'Cleaned Data'!T$2:T$2022,"=1"),0)</f>
        <v>5.0588235294117645</v>
      </c>
      <c r="G75" s="25">
        <f>IFERROR(AVERAGEIFS('Cleaned Data'!$P$2:$P$2022,'Cleaned Data'!$BD$2:$BD$2022,$A75,'Cleaned Data'!U$2:U$2022,"=1"),0)</f>
        <v>3.8260869565217392</v>
      </c>
      <c r="H75" s="25">
        <f>IFERROR(AVERAGEIFS('Cleaned Data'!$P$2:$P$2022,'Cleaned Data'!$BD$2:$BD$2022,$A75,'Cleaned Data'!V$2:V$2022,"=1"),0)</f>
        <v>4.625</v>
      </c>
      <c r="J75" s="1" t="s">
        <v>118</v>
      </c>
      <c r="K75" s="25">
        <f>SUMIFS('Cleaned Data'!$P$2:$P$2022,'Cleaned Data'!$BD$2:$BD$2022,$J75)</f>
        <v>603</v>
      </c>
      <c r="L75" s="25">
        <f>IFERROR(SUMIFS('Cleaned Data'!$P$2:$P$2022,'Cleaned Data'!$BD$2:$BD$2022,$J75,'Cleaned Data'!Q$2:Q$2022,"=1"),0)</f>
        <v>104</v>
      </c>
      <c r="M75" s="25">
        <f>IFERROR(SUMIFS('Cleaned Data'!$P$2:$P$2022,'Cleaned Data'!$BD$2:$BD$2022,$J75,'Cleaned Data'!R$2:R$2022,"=1"),0)</f>
        <v>19</v>
      </c>
      <c r="N75" s="25">
        <f>IFERROR(SUMIFS('Cleaned Data'!$P$2:$P$2022,'Cleaned Data'!$BD$2:$BD$2022,$J75,'Cleaned Data'!S$2:S$2022,"=1"),0)</f>
        <v>89</v>
      </c>
      <c r="O75" s="25">
        <f>IFERROR(SUMIFS('Cleaned Data'!$P$2:$P$2022,'Cleaned Data'!$BD$2:$BD$2022,$J75,'Cleaned Data'!T$2:T$2022,"=1"),0)</f>
        <v>86</v>
      </c>
      <c r="P75" s="25">
        <f>IFERROR(SUMIFS('Cleaned Data'!$P$2:$P$2022,'Cleaned Data'!$BD$2:$BD$2022,$J75,'Cleaned Data'!U$2:U$2022,"=1"),0)</f>
        <v>88</v>
      </c>
      <c r="Q75" s="25">
        <f>IFERROR(SUMIFS('Cleaned Data'!$P$2:$P$2022,'Cleaned Data'!$BD$2:$BD$2022,$J75,'Cleaned Data'!V$2:V$2022,"=1"),0)</f>
        <v>259</v>
      </c>
    </row>
    <row r="76" spans="1:21" x14ac:dyDescent="0.35">
      <c r="A76" s="1" t="s">
        <v>119</v>
      </c>
      <c r="B76" s="25">
        <f>AVERAGEIFS('Cleaned Data'!$P$2:$P$2022,'Cleaned Data'!$BD$2:$BD$2022,$A76)</f>
        <v>4.6268980477223431</v>
      </c>
      <c r="C76" s="25">
        <f>IFERROR(AVERAGEIFS('Cleaned Data'!$P$2:$P$2022,'Cleaned Data'!$BD$2:$BD$2022,$A76,'Cleaned Data'!Q$2:Q$2022,"=1"),0)</f>
        <v>3.7272727272727271</v>
      </c>
      <c r="D76" s="25">
        <f>IFERROR(AVERAGEIFS('Cleaned Data'!$P$2:$P$2022,'Cleaned Data'!$BD$2:$BD$2022,$A76,'Cleaned Data'!R$2:R$2022,"=1"),0)</f>
        <v>5.2857142857142856</v>
      </c>
      <c r="E76" s="25">
        <f>IFERROR(AVERAGEIFS('Cleaned Data'!$P$2:$P$2022,'Cleaned Data'!$BD$2:$BD$2022,$A76,'Cleaned Data'!S$2:S$2022,"=1"),0)</f>
        <v>5.416666666666667</v>
      </c>
      <c r="F76" s="25">
        <f>IFERROR(AVERAGEIFS('Cleaned Data'!$P$2:$P$2022,'Cleaned Data'!$BD$2:$BD$2022,$A76,'Cleaned Data'!T$2:T$2022,"=1"),0)</f>
        <v>5.0289855072463769</v>
      </c>
      <c r="G76" s="25">
        <f>IFERROR(AVERAGEIFS('Cleaned Data'!$P$2:$P$2022,'Cleaned Data'!$BD$2:$BD$2022,$A76,'Cleaned Data'!U$2:U$2022,"=1"),0)</f>
        <v>3.0416666666666665</v>
      </c>
      <c r="H76" s="25">
        <f>IFERROR(AVERAGEIFS('Cleaned Data'!$P$2:$P$2022,'Cleaned Data'!$BD$2:$BD$2022,$A76,'Cleaned Data'!V$2:V$2022,"=1"),0)</f>
        <v>4.4025157232704402</v>
      </c>
      <c r="J76" s="1" t="s">
        <v>119</v>
      </c>
      <c r="K76" s="25">
        <f>SUMIFS('Cleaned Data'!$P$2:$P$2022,'Cleaned Data'!$BD$2:$BD$2022,$J76)</f>
        <v>2133</v>
      </c>
      <c r="L76" s="25">
        <f>IFERROR(SUMIFS('Cleaned Data'!$P$2:$P$2022,'Cleaned Data'!$BD$2:$BD$2022,$J76,'Cleaned Data'!Q$2:Q$2022,"=1"),0)</f>
        <v>246</v>
      </c>
      <c r="M76" s="25">
        <f>IFERROR(SUMIFS('Cleaned Data'!$P$2:$P$2022,'Cleaned Data'!$BD$2:$BD$2022,$J76,'Cleaned Data'!R$2:R$2022,"=1"),0)</f>
        <v>74</v>
      </c>
      <c r="N76" s="25">
        <f>IFERROR(SUMIFS('Cleaned Data'!$P$2:$P$2022,'Cleaned Data'!$BD$2:$BD$2022,$J76,'Cleaned Data'!S$2:S$2022,"=1"),0)</f>
        <v>195</v>
      </c>
      <c r="O76" s="25">
        <f>IFERROR(SUMIFS('Cleaned Data'!$P$2:$P$2022,'Cleaned Data'!$BD$2:$BD$2022,$J76,'Cleaned Data'!T$2:T$2022,"=1"),0)</f>
        <v>347</v>
      </c>
      <c r="P76" s="25">
        <f>IFERROR(SUMIFS('Cleaned Data'!$P$2:$P$2022,'Cleaned Data'!$BD$2:$BD$2022,$J76,'Cleaned Data'!U$2:U$2022,"=1"),0)</f>
        <v>219</v>
      </c>
      <c r="Q76" s="25">
        <f>IFERROR(SUMIFS('Cleaned Data'!$P$2:$P$2022,'Cleaned Data'!$BD$2:$BD$2022,$J76,'Cleaned Data'!V$2:V$2022,"=1"),0)</f>
        <v>700</v>
      </c>
    </row>
    <row r="77" spans="1:21" x14ac:dyDescent="0.35">
      <c r="A77" s="1" t="s">
        <v>120</v>
      </c>
      <c r="B77" s="25">
        <f>AVERAGEIFS('Cleaned Data'!$P$2:$P$2022,'Cleaned Data'!$BD$2:$BD$2022,$A77)</f>
        <v>4.8099415204678362</v>
      </c>
      <c r="C77" s="25">
        <f>IFERROR(AVERAGEIFS('Cleaned Data'!$P$2:$P$2022,'Cleaned Data'!$BD$2:$BD$2022,$A77,'Cleaned Data'!Q$2:Q$2022,"=1"),0)</f>
        <v>2.9090909090909092</v>
      </c>
      <c r="D77" s="25">
        <f>IFERROR(AVERAGEIFS('Cleaned Data'!$P$2:$P$2022,'Cleaned Data'!$BD$2:$BD$2022,$A77,'Cleaned Data'!R$2:R$2022,"=1"),0)</f>
        <v>4.5</v>
      </c>
      <c r="E77" s="25">
        <f>IFERROR(AVERAGEIFS('Cleaned Data'!$P$2:$P$2022,'Cleaned Data'!$BD$2:$BD$2022,$A77,'Cleaned Data'!S$2:S$2022,"=1"),0)</f>
        <v>4.8076923076923075</v>
      </c>
      <c r="F77" s="25">
        <f>IFERROR(AVERAGEIFS('Cleaned Data'!$P$2:$P$2022,'Cleaned Data'!$BD$2:$BD$2022,$A77,'Cleaned Data'!T$2:T$2022,"=1"),0)</f>
        <v>5.2</v>
      </c>
      <c r="G77" s="25">
        <f>IFERROR(AVERAGEIFS('Cleaned Data'!$P$2:$P$2022,'Cleaned Data'!$BD$2:$BD$2022,$A77,'Cleaned Data'!U$2:U$2022,"=1"),0)</f>
        <v>2.3870967741935485</v>
      </c>
      <c r="H77" s="25">
        <f>IFERROR(AVERAGEIFS('Cleaned Data'!$P$2:$P$2022,'Cleaned Data'!$BD$2:$BD$2022,$A77,'Cleaned Data'!V$2:V$2022,"=1"),0)</f>
        <v>4.1807228915662646</v>
      </c>
      <c r="J77" s="1" t="s">
        <v>120</v>
      </c>
      <c r="K77" s="25">
        <f>SUMIFS('Cleaned Data'!$P$2:$P$2022,'Cleaned Data'!$BD$2:$BD$2022,$J77)</f>
        <v>1645</v>
      </c>
      <c r="L77" s="25">
        <f>IFERROR(SUMIFS('Cleaned Data'!$P$2:$P$2022,'Cleaned Data'!$BD$2:$BD$2022,$J77,'Cleaned Data'!Q$2:Q$2022,"=1"),0)</f>
        <v>64</v>
      </c>
      <c r="M77" s="25">
        <f>IFERROR(SUMIFS('Cleaned Data'!$P$2:$P$2022,'Cleaned Data'!$BD$2:$BD$2022,$J77,'Cleaned Data'!R$2:R$2022,"=1"),0)</f>
        <v>18</v>
      </c>
      <c r="N77" s="25">
        <f>IFERROR(SUMIFS('Cleaned Data'!$P$2:$P$2022,'Cleaned Data'!$BD$2:$BD$2022,$J77,'Cleaned Data'!S$2:S$2022,"=1"),0)</f>
        <v>125</v>
      </c>
      <c r="O77" s="25">
        <f>IFERROR(SUMIFS('Cleaned Data'!$P$2:$P$2022,'Cleaned Data'!$BD$2:$BD$2022,$J77,'Cleaned Data'!T$2:T$2022,"=1"),0)</f>
        <v>156</v>
      </c>
      <c r="P77" s="25">
        <f>IFERROR(SUMIFS('Cleaned Data'!$P$2:$P$2022,'Cleaned Data'!$BD$2:$BD$2022,$J77,'Cleaned Data'!U$2:U$2022,"=1"),0)</f>
        <v>74</v>
      </c>
      <c r="Q77" s="25">
        <f>IFERROR(SUMIFS('Cleaned Data'!$P$2:$P$2022,'Cleaned Data'!$BD$2:$BD$2022,$J77,'Cleaned Data'!V$2:V$2022,"=1"),0)</f>
        <v>347</v>
      </c>
    </row>
    <row r="78" spans="1:21" x14ac:dyDescent="0.35">
      <c r="A78" s="1" t="s">
        <v>121</v>
      </c>
      <c r="B78" s="25">
        <f>AVERAGEIFS('Cleaned Data'!$P$2:$P$2022,'Cleaned Data'!$BD$2:$BD$2022,$A78)</f>
        <v>5.7857974388824216</v>
      </c>
      <c r="C78" s="25">
        <f>IFERROR(AVERAGEIFS('Cleaned Data'!$P$2:$P$2022,'Cleaned Data'!$BD$2:$BD$2022,$A78,'Cleaned Data'!Q$2:Q$2022,"=1"),0)</f>
        <v>2.9444444444444446</v>
      </c>
      <c r="D78" s="25">
        <f>IFERROR(AVERAGEIFS('Cleaned Data'!$P$2:$P$2022,'Cleaned Data'!$BD$2:$BD$2022,$A78,'Cleaned Data'!R$2:R$2022,"=1"),0)</f>
        <v>5.25</v>
      </c>
      <c r="E78" s="25">
        <f>IFERROR(AVERAGEIFS('Cleaned Data'!$P$2:$P$2022,'Cleaned Data'!$BD$2:$BD$2022,$A78,'Cleaned Data'!S$2:S$2022,"=1"),0)</f>
        <v>6.7457627118644066</v>
      </c>
      <c r="F78" s="25">
        <f>IFERROR(AVERAGEIFS('Cleaned Data'!$P$2:$P$2022,'Cleaned Data'!$BD$2:$BD$2022,$A78,'Cleaned Data'!T$2:T$2022,"=1"),0)</f>
        <v>5.2820512820512819</v>
      </c>
      <c r="G78" s="25">
        <f>IFERROR(AVERAGEIFS('Cleaned Data'!$P$2:$P$2022,'Cleaned Data'!$BD$2:$BD$2022,$A78,'Cleaned Data'!U$2:U$2022,"=1"),0)</f>
        <v>2.5</v>
      </c>
      <c r="H78" s="25">
        <f>IFERROR(AVERAGEIFS('Cleaned Data'!$P$2:$P$2022,'Cleaned Data'!$BD$2:$BD$2022,$A78,'Cleaned Data'!V$2:V$2022,"=1"),0)</f>
        <v>5.6</v>
      </c>
      <c r="J78" s="1" t="s">
        <v>121</v>
      </c>
      <c r="K78" s="25">
        <f>SUMIFS('Cleaned Data'!$P$2:$P$2022,'Cleaned Data'!$BD$2:$BD$2022,$J78)</f>
        <v>4970</v>
      </c>
      <c r="L78" s="25">
        <f>IFERROR(SUMIFS('Cleaned Data'!$P$2:$P$2022,'Cleaned Data'!$BD$2:$BD$2022,$J78,'Cleaned Data'!Q$2:Q$2022,"=1"),0)</f>
        <v>53</v>
      </c>
      <c r="M78" s="25">
        <f>IFERROR(SUMIFS('Cleaned Data'!$P$2:$P$2022,'Cleaned Data'!$BD$2:$BD$2022,$J78,'Cleaned Data'!R$2:R$2022,"=1"),0)</f>
        <v>21</v>
      </c>
      <c r="N78" s="25">
        <f>IFERROR(SUMIFS('Cleaned Data'!$P$2:$P$2022,'Cleaned Data'!$BD$2:$BD$2022,$J78,'Cleaned Data'!S$2:S$2022,"=1"),0)</f>
        <v>398</v>
      </c>
      <c r="O78" s="25">
        <f>IFERROR(SUMIFS('Cleaned Data'!$P$2:$P$2022,'Cleaned Data'!$BD$2:$BD$2022,$J78,'Cleaned Data'!T$2:T$2022,"=1"),0)</f>
        <v>206</v>
      </c>
      <c r="P78" s="25">
        <f>IFERROR(SUMIFS('Cleaned Data'!$P$2:$P$2022,'Cleaned Data'!$BD$2:$BD$2022,$J78,'Cleaned Data'!U$2:U$2022,"=1"),0)</f>
        <v>50</v>
      </c>
      <c r="Q78" s="25">
        <f>IFERROR(SUMIFS('Cleaned Data'!$P$2:$P$2022,'Cleaned Data'!$BD$2:$BD$2022,$J78,'Cleaned Data'!V$2:V$2022,"=1"),0)</f>
        <v>644</v>
      </c>
    </row>
    <row r="79" spans="1:21" x14ac:dyDescent="0.35">
      <c r="A79" s="1" t="s">
        <v>122</v>
      </c>
      <c r="B79" s="25">
        <f>AVERAGEIFS('Cleaned Data'!$P$2:$P$2022,'Cleaned Data'!$BD$2:$BD$2022,$A79)</f>
        <v>6.0843881856540083</v>
      </c>
      <c r="C79" s="25">
        <f>IFERROR(AVERAGEIFS('Cleaned Data'!$P$2:$P$2022,'Cleaned Data'!$BD$2:$BD$2022,$A79,'Cleaned Data'!Q$2:Q$2022,"=1"),0)</f>
        <v>0</v>
      </c>
      <c r="D79" s="25">
        <f>IFERROR(AVERAGEIFS('Cleaned Data'!$P$2:$P$2022,'Cleaned Data'!$BD$2:$BD$2022,$A79,'Cleaned Data'!R$2:R$2022,"=1"),0)</f>
        <v>0</v>
      </c>
      <c r="E79" s="25">
        <f>IFERROR(AVERAGEIFS('Cleaned Data'!$P$2:$P$2022,'Cleaned Data'!$BD$2:$BD$2022,$A79,'Cleaned Data'!S$2:S$2022,"=1"),0)</f>
        <v>6.3076923076923075</v>
      </c>
      <c r="F79" s="25">
        <f>IFERROR(AVERAGEIFS('Cleaned Data'!$P$2:$P$2022,'Cleaned Data'!$BD$2:$BD$2022,$A79,'Cleaned Data'!T$2:T$2022,"=1"),0)</f>
        <v>0</v>
      </c>
      <c r="G79" s="25">
        <f>IFERROR(AVERAGEIFS('Cleaned Data'!$P$2:$P$2022,'Cleaned Data'!$BD$2:$BD$2022,$A79,'Cleaned Data'!U$2:U$2022,"=1"),0)</f>
        <v>0</v>
      </c>
      <c r="H79" s="25">
        <f>IFERROR(AVERAGEIFS('Cleaned Data'!$P$2:$P$2022,'Cleaned Data'!$BD$2:$BD$2022,$A79,'Cleaned Data'!V$2:V$2022,"=1"),0)</f>
        <v>6.3076923076923075</v>
      </c>
      <c r="J79" s="1" t="s">
        <v>122</v>
      </c>
      <c r="K79" s="25">
        <f>SUMIFS('Cleaned Data'!$P$2:$P$2022,'Cleaned Data'!$BD$2:$BD$2022,$J79)</f>
        <v>1442</v>
      </c>
      <c r="L79" s="25">
        <f>IFERROR(SUMIFS('Cleaned Data'!$P$2:$P$2022,'Cleaned Data'!$BD$2:$BD$2022,$J79,'Cleaned Data'!Q$2:Q$2022,"=1"),0)</f>
        <v>0</v>
      </c>
      <c r="M79" s="25">
        <f>IFERROR(SUMIFS('Cleaned Data'!$P$2:$P$2022,'Cleaned Data'!$BD$2:$BD$2022,$J79,'Cleaned Data'!R$2:R$2022,"=1"),0)</f>
        <v>0</v>
      </c>
      <c r="N79" s="25">
        <f>IFERROR(SUMIFS('Cleaned Data'!$P$2:$P$2022,'Cleaned Data'!$BD$2:$BD$2022,$J79,'Cleaned Data'!S$2:S$2022,"=1"),0)</f>
        <v>82</v>
      </c>
      <c r="O79" s="25">
        <f>IFERROR(SUMIFS('Cleaned Data'!$P$2:$P$2022,'Cleaned Data'!$BD$2:$BD$2022,$J79,'Cleaned Data'!T$2:T$2022,"=1"),0)</f>
        <v>0</v>
      </c>
      <c r="P79" s="25">
        <f>IFERROR(SUMIFS('Cleaned Data'!$P$2:$P$2022,'Cleaned Data'!$BD$2:$BD$2022,$J79,'Cleaned Data'!U$2:U$2022,"=1"),0)</f>
        <v>0</v>
      </c>
      <c r="Q79" s="25">
        <f>IFERROR(SUMIFS('Cleaned Data'!$P$2:$P$2022,'Cleaned Data'!$BD$2:$BD$2022,$J79,'Cleaned Data'!V$2:V$2022,"=1"),0)</f>
        <v>82</v>
      </c>
    </row>
    <row r="82" spans="1:21" x14ac:dyDescent="0.35">
      <c r="A82" s="72" t="s">
        <v>184</v>
      </c>
      <c r="B82" s="72"/>
      <c r="C82" s="72"/>
      <c r="D82" s="72"/>
      <c r="E82" s="72"/>
      <c r="F82" s="72"/>
      <c r="G82" s="72"/>
      <c r="H82" s="72"/>
      <c r="J82" s="72" t="s">
        <v>185</v>
      </c>
      <c r="K82" s="72"/>
      <c r="L82" s="72"/>
      <c r="M82" s="72"/>
      <c r="N82" s="72"/>
      <c r="O82" s="72"/>
      <c r="P82" s="72"/>
      <c r="Q82" s="72"/>
    </row>
    <row r="83" spans="1:21" ht="58" x14ac:dyDescent="0.35">
      <c r="A83" s="4" t="s">
        <v>142</v>
      </c>
      <c r="B83" s="4" t="s">
        <v>175</v>
      </c>
      <c r="C83" s="4" t="s">
        <v>107</v>
      </c>
      <c r="D83" s="4" t="s">
        <v>108</v>
      </c>
      <c r="E83" s="4" t="s">
        <v>109</v>
      </c>
      <c r="F83" s="4" t="s">
        <v>110</v>
      </c>
      <c r="G83" s="4" t="s">
        <v>111</v>
      </c>
      <c r="H83" s="4" t="s">
        <v>145</v>
      </c>
      <c r="J83" s="4" t="s">
        <v>142</v>
      </c>
      <c r="K83" s="4" t="s">
        <v>175</v>
      </c>
      <c r="L83" s="4" t="s">
        <v>241</v>
      </c>
      <c r="M83" s="4" t="s">
        <v>107</v>
      </c>
      <c r="N83" s="4" t="s">
        <v>108</v>
      </c>
      <c r="O83" s="4" t="s">
        <v>109</v>
      </c>
      <c r="P83" s="4" t="s">
        <v>110</v>
      </c>
      <c r="Q83" s="4" t="s">
        <v>111</v>
      </c>
      <c r="R83" s="4" t="s">
        <v>145</v>
      </c>
      <c r="S83" s="4" t="s">
        <v>240</v>
      </c>
      <c r="T83" s="14" t="s">
        <v>242</v>
      </c>
      <c r="U83" s="14" t="s">
        <v>176</v>
      </c>
    </row>
    <row r="84" spans="1:21" ht="29" x14ac:dyDescent="0.35">
      <c r="A84" s="1" t="s">
        <v>173</v>
      </c>
      <c r="B84" s="25">
        <f>AVERAGE('Cleaned Data'!$L$2:$L$2022)</f>
        <v>2.3300346363186542</v>
      </c>
      <c r="C84" s="25">
        <f>AVERAGEIFS('Cleaned Data'!$L$2:$L$2022,'Cleaned Data'!Q$2:Q$2022,"=1")</f>
        <v>1.3759398496240602</v>
      </c>
      <c r="D84" s="25">
        <f>AVERAGEIFS('Cleaned Data'!$L$2:$L$2022,'Cleaned Data'!R$2:R$2022,"=1")</f>
        <v>1.7307692307692308</v>
      </c>
      <c r="E84" s="25">
        <f>AVERAGEIFS('Cleaned Data'!$L$2:$L$2022,'Cleaned Data'!S$2:S$2022,"=1")</f>
        <v>2.185430463576159</v>
      </c>
      <c r="F84" s="25">
        <f>AVERAGEIFS('Cleaned Data'!$L$2:$L$2022,'Cleaned Data'!T$2:T$2022,"=1")</f>
        <v>2.4903225806451612</v>
      </c>
      <c r="G84" s="25">
        <f>AVERAGEIFS('Cleaned Data'!$L$2:$L$2022,'Cleaned Data'!U$2:U$2022,"=1")</f>
        <v>1.0684931506849316</v>
      </c>
      <c r="H84" s="25">
        <f>AVERAGEIFS('Cleaned Data'!$L$2:$L$2022,'Cleaned Data'!V$2:V$2022,"=1")</f>
        <v>2.0211267605633805</v>
      </c>
      <c r="J84" s="1" t="s">
        <v>174</v>
      </c>
      <c r="K84" s="25">
        <f>SUM('Cleaned Data'!$L$2:$L$2022)</f>
        <v>4709</v>
      </c>
      <c r="L84" s="25">
        <f>SUMIFS('Cleaned Data'!$L$2:$L$2022,'Cleaned Data'!V$2:V$2022,"=0")</f>
        <v>3848</v>
      </c>
      <c r="M84" s="25">
        <f>SUMIFS('Cleaned Data'!$L$2:$L$2022,'Cleaned Data'!Q$2:Q$2022,"=1")</f>
        <v>183</v>
      </c>
      <c r="N84" s="25">
        <f>SUMIFS('Cleaned Data'!$L$2:$L$2022,'Cleaned Data'!R$2:R$2022,"=1")</f>
        <v>45</v>
      </c>
      <c r="O84" s="25">
        <f>SUMIFS('Cleaned Data'!$L$2:$L$2022,'Cleaned Data'!S$2:S$2022,"=1")</f>
        <v>330</v>
      </c>
      <c r="P84" s="25">
        <f>SUMIFS('Cleaned Data'!$L$2:$L$2022,'Cleaned Data'!T$2:T$2022,"=1")</f>
        <v>386</v>
      </c>
      <c r="Q84" s="25">
        <f>SUMIFS('Cleaned Data'!$L$2:$L$2022,'Cleaned Data'!U$2:U$2022,"=1")</f>
        <v>156</v>
      </c>
      <c r="R84" s="25">
        <f>SUMIFS('Cleaned Data'!$L$2:$L$2022,'Cleaned Data'!V$2:V$2022,"=1")</f>
        <v>861</v>
      </c>
      <c r="S84" s="18">
        <f>K84/SUM('Cleaned Data'!$M$2:$M$2022,'Cleaned Data'!$N$2:$N$2022,'Cleaned Data'!$O$2:$O$2022)</f>
        <v>0.18540100003937163</v>
      </c>
      <c r="T84" s="18">
        <f>L84/SUM(SUMIFS('Cleaned Data'!$M$2:$M$2022,'Cleaned Data'!$V$2:$V$2022,"=0"),SUMIFS('Cleaned Data'!$N$2:$N$2022,'Cleaned Data'!$V$2:$V$2022,"=0"),SUMIFS('Cleaned Data'!$O$2:$O$2022,'Cleaned Data'!$V$2:$V$2022,"=0"))</f>
        <v>0.21028471501174928</v>
      </c>
      <c r="U84" s="18">
        <f>R84/SUM(SUMIFS('Cleaned Data'!$M$2:$M$2022,'Cleaned Data'!$V$2:$V$2022,"=1"),SUMIFS('Cleaned Data'!$N$2:$N$2022,'Cleaned Data'!$V$2:$V$2022,"=1"),SUMIFS('Cleaned Data'!$O$2:$O$2022,'Cleaned Data'!$V$2:$V$2022,"=1"))</f>
        <v>0.12126760563380282</v>
      </c>
    </row>
    <row r="85" spans="1:21" x14ac:dyDescent="0.35">
      <c r="A85" s="1" t="s">
        <v>118</v>
      </c>
      <c r="B85" s="25">
        <f>AVERAGEIFS('Cleaned Data'!$L$2:$L$2022,'Cleaned Data'!$BD$2:$BD$2022,$A85)</f>
        <v>2.762295081967213</v>
      </c>
      <c r="C85" s="25">
        <f>AVERAGEIFS('Cleaned Data'!$L$2:$L$2022,'Cleaned Data'!$BD$2:$BD$2022,$A85,'Cleaned Data'!Q$2:Q$2022,"=1")</f>
        <v>1.2222222222222223</v>
      </c>
      <c r="D85" s="25">
        <f>AVERAGEIFS('Cleaned Data'!$L$2:$L$2022,'Cleaned Data'!$BD$2:$BD$2022,$A85,'Cleaned Data'!R$2:R$2022,"=1")</f>
        <v>1</v>
      </c>
      <c r="E85" s="25">
        <f>AVERAGEIFS('Cleaned Data'!$L$2:$L$2022,'Cleaned Data'!$BD$2:$BD$2022,$A85,'Cleaned Data'!S$2:S$2022,"=1")</f>
        <v>1.9411764705882353</v>
      </c>
      <c r="F85" s="25">
        <f>AVERAGEIFS('Cleaned Data'!$L$2:$L$2022,'Cleaned Data'!$BD$2:$BD$2022,$A85,'Cleaned Data'!T$2:T$2022,"=1")</f>
        <v>3.1176470588235294</v>
      </c>
      <c r="G85" s="25">
        <f>AVERAGEIFS('Cleaned Data'!$L$2:$L$2022,'Cleaned Data'!$BD$2:$BD$2022,$A85,'Cleaned Data'!U$2:U$2022,"=1")</f>
        <v>0.95652173913043481</v>
      </c>
      <c r="H85" s="25">
        <f>AVERAGEIFS('Cleaned Data'!$L$2:$L$2022,'Cleaned Data'!$BD$2:$BD$2022,$A85,'Cleaned Data'!V$2:V$2022,"=1")</f>
        <v>2.0535714285714284</v>
      </c>
      <c r="J85" s="1" t="s">
        <v>118</v>
      </c>
      <c r="K85" s="25">
        <f>SUMIFS('Cleaned Data'!$L$2:$L$2022,'Cleaned Data'!$BD$2:$BD$2022,"=Top Customer")</f>
        <v>337</v>
      </c>
      <c r="L85">
        <f>SUMIFS('Cleaned Data'!$L$2:$L$2022,'Cleaned Data'!$BD$2:$BD$2022,"=Top Customer",'Cleaned Data'!V$2:V$2022,"=0")</f>
        <v>222</v>
      </c>
      <c r="M85" s="25">
        <f>SUMIFS('Cleaned Data'!$L$2:$L$2022,'Cleaned Data'!$BD$2:$BD$2022,"=Top Customer",'Cleaned Data'!Q$2:Q$2022,"=1")</f>
        <v>33</v>
      </c>
      <c r="N85" s="25">
        <f>SUMIFS('Cleaned Data'!$L$2:$L$2022,'Cleaned Data'!$BD$2:$BD$2022,"=Top Customer",'Cleaned Data'!R$2:R$2022,"=1")</f>
        <v>4</v>
      </c>
      <c r="O85" s="25">
        <f>SUMIFS('Cleaned Data'!$L$2:$L$2022,'Cleaned Data'!$BD$2:$BD$2022,"=Top Customer",'Cleaned Data'!S$2:S$2022,"=1")</f>
        <v>33</v>
      </c>
      <c r="P85" s="25">
        <f>SUMIFS('Cleaned Data'!$L$2:$L$2022,'Cleaned Data'!$BD$2:$BD$2022,"=Top Customer",'Cleaned Data'!T$2:T$2022,"=1")</f>
        <v>53</v>
      </c>
      <c r="Q85" s="25">
        <f>SUMIFS('Cleaned Data'!$L$2:$L$2022,'Cleaned Data'!$BD$2:$BD$2022,"=Top Customer",'Cleaned Data'!U$2:U$2022,"=1")</f>
        <v>22</v>
      </c>
      <c r="R85" s="25">
        <f>SUMIFS('Cleaned Data'!$L$2:$L$2022,'Cleaned Data'!$BD$2:$BD$2022,"=Top Customer",'Cleaned Data'!V$2:V$2022,"=1")</f>
        <v>115</v>
      </c>
      <c r="S85" s="18">
        <f>K85/SUM('Cleaned Data'!$M$2:$M$2022,'Cleaned Data'!$N$2:$N$2022,'Cleaned Data'!$O$2:$O$2022)</f>
        <v>1.3268238907043584E-2</v>
      </c>
      <c r="T85" s="18">
        <f>L85/SUM(SUMIFS('Cleaned Data'!$M$2:$M$2022,'Cleaned Data'!$V$2:$V$2022,"=0",'Cleaned Data'!$BD$2:$BD$2022,$J85),SUMIFS('Cleaned Data'!$N$2:$N$2022,'Cleaned Data'!$V$2:$V$2022,"=0",'Cleaned Data'!$BD$2:$BD$2022,$J85),SUMIFS('Cleaned Data'!$O$2:$O$2022,'Cleaned Data'!$V$2:$V$2022,"=0",'Cleaned Data'!$BD$2:$BD$2022,$J85))</f>
        <v>0.15226337448559671</v>
      </c>
      <c r="U85" s="18">
        <f>R85/SUM(SUMIFS('Cleaned Data'!$M$2:$M$2022,'Cleaned Data'!$V$2:$V$2022,"=1",'Cleaned Data'!$BD$2:$BD$2022,$J85),SUMIFS('Cleaned Data'!$N$2:$N$2022,'Cleaned Data'!$V$2:$V$2022,"=1",'Cleaned Data'!$BD$2:$BD$2022,$J85),SUMIFS('Cleaned Data'!$O$2:$O$2022,'Cleaned Data'!$V$2:$V$2022,"=1",'Cleaned Data'!$BD$2:$BD$2022,$J85))</f>
        <v>9.1926458832933655E-2</v>
      </c>
    </row>
    <row r="86" spans="1:21" x14ac:dyDescent="0.35">
      <c r="A86" s="1" t="s">
        <v>119</v>
      </c>
      <c r="B86" s="25">
        <f>AVERAGEIFS('Cleaned Data'!$L$2:$L$2022,'Cleaned Data'!$BD$2:$BD$2022,$A86)</f>
        <v>2.6767895878524945</v>
      </c>
      <c r="C86" s="25">
        <f>AVERAGEIFS('Cleaned Data'!$L$2:$L$2022,'Cleaned Data'!$BD$2:$BD$2022,$A86,'Cleaned Data'!Q$2:Q$2022,"=1")</f>
        <v>1.5</v>
      </c>
      <c r="D86" s="25">
        <f>AVERAGEIFS('Cleaned Data'!$L$2:$L$2022,'Cleaned Data'!$BD$2:$BD$2022,$A86,'Cleaned Data'!R$2:R$2022,"=1")</f>
        <v>2.2142857142857144</v>
      </c>
      <c r="E86" s="25">
        <f>AVERAGEIFS('Cleaned Data'!$L$2:$L$2022,'Cleaned Data'!$BD$2:$BD$2022,$A86,'Cleaned Data'!S$2:S$2022,"=1")</f>
        <v>2.5277777777777777</v>
      </c>
      <c r="F86" s="25">
        <f>AVERAGEIFS('Cleaned Data'!$L$2:$L$2022,'Cleaned Data'!$BD$2:$BD$2022,$A86,'Cleaned Data'!T$2:T$2022,"=1")</f>
        <v>2.36231884057971</v>
      </c>
      <c r="G86" s="25">
        <f>AVERAGEIFS('Cleaned Data'!$L$2:$L$2022,'Cleaned Data'!$BD$2:$BD$2022,$A86,'Cleaned Data'!U$2:U$2022,"=1")</f>
        <v>1.0555555555555556</v>
      </c>
      <c r="H86" s="25">
        <f>AVERAGEIFS('Cleaned Data'!$L$2:$L$2022,'Cleaned Data'!$BD$2:$BD$2022,$A86,'Cleaned Data'!V$2:V$2022,"=1")</f>
        <v>1.9874213836477987</v>
      </c>
      <c r="J86" s="1" t="s">
        <v>119</v>
      </c>
      <c r="K86" s="25">
        <f>SUMIFS('Cleaned Data'!$L$2:$L$2022,'Cleaned Data'!$BD$2:$BD$2022,"=Loyal Customer")</f>
        <v>1234</v>
      </c>
      <c r="L86">
        <f>SUMIFS('Cleaned Data'!$L$2:$L$2022,'Cleaned Data'!$BD$2:$BD$2022,"=Loyal Customer",'Cleaned Data'!V$2:V$2022,"=0")</f>
        <v>918</v>
      </c>
      <c r="M86" s="25">
        <f>SUMIFS('Cleaned Data'!$L$2:$L$2022,'Cleaned Data'!$BD$2:$BD$2022,"=Loyal Customer",'Cleaned Data'!Q$2:Q$2022,"=1")</f>
        <v>99</v>
      </c>
      <c r="N86" s="25">
        <f>SUMIFS('Cleaned Data'!$L$2:$L$2022,'Cleaned Data'!$BD$2:$BD$2022,"=Loyal Customer",'Cleaned Data'!R$2:R$2022,"=1")</f>
        <v>31</v>
      </c>
      <c r="O86" s="25">
        <f>SUMIFS('Cleaned Data'!$L$2:$L$2022,'Cleaned Data'!$BD$2:$BD$2022,"=Loyal Customer",'Cleaned Data'!S$2:S$2022,"=1")</f>
        <v>91</v>
      </c>
      <c r="P86" s="25">
        <f>SUMIFS('Cleaned Data'!$L$2:$L$2022,'Cleaned Data'!$BD$2:$BD$2022,"=Loyal Customer",'Cleaned Data'!T$2:T$2022,"=1")</f>
        <v>163</v>
      </c>
      <c r="Q86" s="25">
        <f>SUMIFS('Cleaned Data'!$L$2:$L$2022,'Cleaned Data'!$BD$2:$BD$2022,"=Loyal Customer",'Cleaned Data'!U$2:U$2022,"=1")</f>
        <v>76</v>
      </c>
      <c r="R86" s="25">
        <f>SUMIFS('Cleaned Data'!$L$2:$L$2022,'Cleaned Data'!$BD$2:$BD$2022,"=Loyal Customer",'Cleaned Data'!V$2:V$2022,"=1")</f>
        <v>316</v>
      </c>
      <c r="S86" s="18">
        <f>K86/SUM('Cleaned Data'!$M$2:$M$2022,'Cleaned Data'!$N$2:$N$2022,'Cleaned Data'!$O$2:$O$2022)</f>
        <v>4.8584589944486001E-2</v>
      </c>
      <c r="T86" s="18">
        <f>L86/SUM(SUMIFS('Cleaned Data'!$M$2:$M$2022,'Cleaned Data'!$V$2:$V$2022,"=0",'Cleaned Data'!$BD$2:$BD$2022,$J86),SUMIFS('Cleaned Data'!$N$2:$N$2022,'Cleaned Data'!$V$2:$V$2022,"=0",'Cleaned Data'!$BD$2:$BD$2022,$J86),SUMIFS('Cleaned Data'!$O$2:$O$2022,'Cleaned Data'!$V$2:$V$2022,"=0",'Cleaned Data'!$BD$2:$BD$2022,$J86))</f>
        <v>0.16040538179276603</v>
      </c>
      <c r="U86" s="18">
        <f>R86/SUM(SUMIFS('Cleaned Data'!$M$2:$M$2022,'Cleaned Data'!$V$2:$V$2022,"=1",'Cleaned Data'!$BD$2:$BD$2022,$J86),SUMIFS('Cleaned Data'!$N$2:$N$2022,'Cleaned Data'!$V$2:$V$2022,"=1",'Cleaned Data'!$BD$2:$BD$2022,$J86),SUMIFS('Cleaned Data'!$O$2:$O$2022,'Cleaned Data'!$V$2:$V$2022,"=1",'Cleaned Data'!$BD$2:$BD$2022,$J86))</f>
        <v>0.1008617938078519</v>
      </c>
    </row>
    <row r="87" spans="1:21" x14ac:dyDescent="0.35">
      <c r="A87" s="1" t="s">
        <v>120</v>
      </c>
      <c r="B87" s="25">
        <f>AVERAGEIFS('Cleaned Data'!$L$2:$L$2022,'Cleaned Data'!$BD$2:$BD$2022,$A87)</f>
        <v>2.7514619883040936</v>
      </c>
      <c r="C87" s="25">
        <f>AVERAGEIFS('Cleaned Data'!$L$2:$L$2022,'Cleaned Data'!$BD$2:$BD$2022,$A87,'Cleaned Data'!Q$2:Q$2022,"=1")</f>
        <v>1.4545454545454546</v>
      </c>
      <c r="D87" s="25">
        <f>AVERAGEIFS('Cleaned Data'!$L$2:$L$2022,'Cleaned Data'!$BD$2:$BD$2022,$A87,'Cleaned Data'!R$2:R$2022,"=1")</f>
        <v>2</v>
      </c>
      <c r="E87" s="25">
        <f>AVERAGEIFS('Cleaned Data'!$L$2:$L$2022,'Cleaned Data'!$BD$2:$BD$2022,$A87,'Cleaned Data'!S$2:S$2022,"=1")</f>
        <v>2.5769230769230771</v>
      </c>
      <c r="F87" s="25">
        <f>AVERAGEIFS('Cleaned Data'!$L$2:$L$2022,'Cleaned Data'!$BD$2:$BD$2022,$A87,'Cleaned Data'!T$2:T$2022,"=1")</f>
        <v>2.7</v>
      </c>
      <c r="G87" s="25">
        <f>AVERAGEIFS('Cleaned Data'!$L$2:$L$2022,'Cleaned Data'!$BD$2:$BD$2022,$A87,'Cleaned Data'!U$2:U$2022,"=1")</f>
        <v>1.1935483870967742</v>
      </c>
      <c r="H87" s="25">
        <f>AVERAGEIFS('Cleaned Data'!$L$2:$L$2022,'Cleaned Data'!$BD$2:$BD$2022,$A87,'Cleaned Data'!V$2:V$2022,"=1")</f>
        <v>2.2168674698795181</v>
      </c>
      <c r="J87" s="1" t="s">
        <v>120</v>
      </c>
      <c r="K87" s="25">
        <f>SUMIFS('Cleaned Data'!$L$2:$L$2022,'Cleaned Data'!$BD$2:$BD$2022,"=Promising",'Cleaned Data'!Z$2:Z$2022,"=1")</f>
        <v>106</v>
      </c>
      <c r="L87">
        <f>SUMIFS('Cleaned Data'!$L$2:$L$2022,'Cleaned Data'!$BD$2:$BD$2022,"=Promising",'Cleaned Data'!V$2:V$2022,"=0")</f>
        <v>757</v>
      </c>
      <c r="M87" s="25">
        <f>SUMIFS('Cleaned Data'!$L$2:$L$2022,'Cleaned Data'!$BD$2:$BD$2022,"=Promising",'Cleaned Data'!Q$2:Q$2022,"=1")</f>
        <v>32</v>
      </c>
      <c r="N87" s="25">
        <f>SUMIFS('Cleaned Data'!$L$2:$L$2022,'Cleaned Data'!$BD$2:$BD$2022,"=Promising",'Cleaned Data'!R$2:R$2022,"=1")</f>
        <v>8</v>
      </c>
      <c r="O87" s="25">
        <f>SUMIFS('Cleaned Data'!$L$2:$L$2022,'Cleaned Data'!$BD$2:$BD$2022,"=Promising",'Cleaned Data'!S$2:S$2022,"=1")</f>
        <v>67</v>
      </c>
      <c r="P87" s="25">
        <f>SUMIFS('Cleaned Data'!$L$2:$L$2022,'Cleaned Data'!$BD$2:$BD$2022,"=Promising",'Cleaned Data'!T$2:T$2022,"=1")</f>
        <v>81</v>
      </c>
      <c r="Q87" s="25">
        <f>SUMIFS('Cleaned Data'!$L$2:$L$2022,'Cleaned Data'!$BD$2:$BD$2022,"=Promising",'Cleaned Data'!U$2:U$2022,"=1")</f>
        <v>37</v>
      </c>
      <c r="R87" s="25">
        <f>SUMIFS('Cleaned Data'!$L$2:$L$2022,'Cleaned Data'!$BD$2:$BD$2022,"=Promising",'Cleaned Data'!V$2:V$2022,"=1")</f>
        <v>184</v>
      </c>
      <c r="S87" s="18">
        <f>K87/SUM('Cleaned Data'!$M$2:$M$2022,'Cleaned Data'!$N$2:$N$2022,'Cleaned Data'!$O$2:$O$2022)</f>
        <v>4.1733926532540652E-3</v>
      </c>
      <c r="T87" s="18">
        <f>L87/SUM(SUMIFS('Cleaned Data'!$M$2:$M$2022,'Cleaned Data'!$V$2:$V$2022,"=0",'Cleaned Data'!$BD$2:$BD$2022,$J87),SUMIFS('Cleaned Data'!$N$2:$N$2022,'Cleaned Data'!$V$2:$V$2022,"=0",'Cleaned Data'!$BD$2:$BD$2022,$J87),SUMIFS('Cleaned Data'!$O$2:$O$2022,'Cleaned Data'!$V$2:$V$2022,"=0",'Cleaned Data'!$BD$2:$BD$2022,$J87))</f>
        <v>0.18617806197737333</v>
      </c>
      <c r="U87" s="18">
        <f>R87/SUM(SUMIFS('Cleaned Data'!$M$2:$M$2022,'Cleaned Data'!$V$2:$V$2022,"=1",'Cleaned Data'!$BD$2:$BD$2022,$J87),SUMIFS('Cleaned Data'!$N$2:$N$2022,'Cleaned Data'!$V$2:$V$2022,"=1",'Cleaned Data'!$BD$2:$BD$2022,$J87),SUMIFS('Cleaned Data'!$O$2:$O$2022,'Cleaned Data'!$V$2:$V$2022,"=1",'Cleaned Data'!$BD$2:$BD$2022,$J87))</f>
        <v>0.12508497620666215</v>
      </c>
    </row>
    <row r="88" spans="1:21" x14ac:dyDescent="0.35">
      <c r="A88" s="1" t="s">
        <v>121</v>
      </c>
      <c r="B88" s="25">
        <f>AVERAGEIFS('Cleaned Data'!$L$2:$L$2022,'Cleaned Data'!$BD$2:$BD$2022,$A88)</f>
        <v>2.1583236321303843</v>
      </c>
      <c r="C88" s="25">
        <f>AVERAGEIFS('Cleaned Data'!$L$2:$L$2022,'Cleaned Data'!$BD$2:$BD$2022,$A88,'Cleaned Data'!Q$2:Q$2022,"=1")</f>
        <v>1.0555555555555556</v>
      </c>
      <c r="D88" s="25">
        <f>AVERAGEIFS('Cleaned Data'!$L$2:$L$2022,'Cleaned Data'!$BD$2:$BD$2022,$A88,'Cleaned Data'!R$2:R$2022,"=1")</f>
        <v>0.5</v>
      </c>
      <c r="E88" s="25">
        <f>AVERAGEIFS('Cleaned Data'!$L$2:$L$2022,'Cleaned Data'!$BD$2:$BD$2022,$A88,'Cleaned Data'!S$2:S$2022,"=1")</f>
        <v>2.0677966101694913</v>
      </c>
      <c r="F88" s="25">
        <f>AVERAGEIFS('Cleaned Data'!$L$2:$L$2022,'Cleaned Data'!$BD$2:$BD$2022,$A88,'Cleaned Data'!T$2:T$2022,"=1")</f>
        <v>2.2820512820512819</v>
      </c>
      <c r="G88" s="25">
        <f>AVERAGEIFS('Cleaned Data'!$L$2:$L$2022,'Cleaned Data'!$BD$2:$BD$2022,$A88,'Cleaned Data'!U$2:U$2022,"=1")</f>
        <v>1.05</v>
      </c>
      <c r="H88" s="25">
        <f>AVERAGEIFS('Cleaned Data'!$L$2:$L$2022,'Cleaned Data'!$BD$2:$BD$2022,$A88,'Cleaned Data'!V$2:V$2022,"=1")</f>
        <v>1.991304347826087</v>
      </c>
      <c r="J88" s="1" t="s">
        <v>121</v>
      </c>
      <c r="K88" s="25">
        <f>SUMIFS('Cleaned Data'!$L$2:$L$2022,'Cleaned Data'!$BD$2:$BD$2022,"=At Risk")</f>
        <v>1854</v>
      </c>
      <c r="L88">
        <f>SUMIFS('Cleaned Data'!$L$2:$L$2022,'Cleaned Data'!$BD$2:$BD$2022,"=At Risk",'Cleaned Data'!V$2:V$2022,"=0")</f>
        <v>1625</v>
      </c>
      <c r="M88" s="25">
        <f>SUMIFS('Cleaned Data'!$L$2:$L$2022,'Cleaned Data'!$BD$2:$BD$2022,"=At Risk",'Cleaned Data'!Q$2:Q$2022,"=1")</f>
        <v>19</v>
      </c>
      <c r="N88" s="25">
        <f>SUMIFS('Cleaned Data'!$L$2:$L$2022,'Cleaned Data'!$BD$2:$BD$2022,"=At Risk",'Cleaned Data'!R$2:R$2022,"=1")</f>
        <v>2</v>
      </c>
      <c r="O88" s="25">
        <f>SUMIFS('Cleaned Data'!$L$2:$L$2022,'Cleaned Data'!$BD$2:$BD$2022,"=At Risk",'Cleaned Data'!S$2:S$2022,"=1")</f>
        <v>122</v>
      </c>
      <c r="P88" s="25">
        <f>SUMIFS('Cleaned Data'!$L$2:$L$2022,'Cleaned Data'!$BD$2:$BD$2022,"=At Risk",'Cleaned Data'!T$2:T$2022,"=1")</f>
        <v>89</v>
      </c>
      <c r="Q88" s="25">
        <f>SUMIFS('Cleaned Data'!$L$2:$L$2022,'Cleaned Data'!$BD$2:$BD$2022,"=At Risk",'Cleaned Data'!U$2:U$2022,"=1")</f>
        <v>21</v>
      </c>
      <c r="R88" s="25">
        <f>SUMIFS('Cleaned Data'!$L$2:$L$2022,'Cleaned Data'!$BD$2:$BD$2022,"=At Risk",'Cleaned Data'!V$2:V$2022,"=1")</f>
        <v>229</v>
      </c>
      <c r="S88" s="18">
        <f>K88/SUM('Cleaned Data'!$M$2:$M$2022,'Cleaned Data'!$N$2:$N$2022,'Cleaned Data'!$O$2:$O$2022)</f>
        <v>7.299499980314185E-2</v>
      </c>
      <c r="T88" s="18">
        <f>L88/SUM(SUMIFS('Cleaned Data'!$M$2:$M$2022,'Cleaned Data'!$V$2:$V$2022,"=0",'Cleaned Data'!$BD$2:$BD$2022,$J88),SUMIFS('Cleaned Data'!$N$2:$N$2022,'Cleaned Data'!$V$2:$V$2022,"=0",'Cleaned Data'!$BD$2:$BD$2022,$J88),SUMIFS('Cleaned Data'!$O$2:$O$2022,'Cleaned Data'!$V$2:$V$2022,"=0",'Cleaned Data'!$BD$2:$BD$2022,$J88))</f>
        <v>0.26837324525185796</v>
      </c>
      <c r="U88" s="18">
        <f>R88/SUM(SUMIFS('Cleaned Data'!$M$2:$M$2022,'Cleaned Data'!$V$2:$V$2022,"=1",'Cleaned Data'!$BD$2:$BD$2022,$J88),SUMIFS('Cleaned Data'!$N$2:$N$2022,'Cleaned Data'!$V$2:$V$2022,"=1",'Cleaned Data'!$BD$2:$BD$2022,$J88),SUMIFS('Cleaned Data'!$O$2:$O$2022,'Cleaned Data'!$V$2:$V$2022,"=1",'Cleaned Data'!$BD$2:$BD$2022,$J88))</f>
        <v>0.19179229480737017</v>
      </c>
    </row>
    <row r="89" spans="1:21" x14ac:dyDescent="0.35">
      <c r="A89" s="1" t="s">
        <v>122</v>
      </c>
      <c r="B89" s="25">
        <f>AVERAGEIFS('Cleaned Data'!$L$2:$L$2022,'Cleaned Data'!$BD$2:$BD$2022,$A89)</f>
        <v>1.4472573839662448</v>
      </c>
      <c r="C89" s="25">
        <f>IFERROR(AVERAGEIFS('Cleaned Data'!$L$2:$L$2022,'Cleaned Data'!$BD$2:$BD$2022,$A89,'Cleaned Data'!Q$2:Q$2022,"=1"),0)</f>
        <v>0</v>
      </c>
      <c r="D89" s="25">
        <f>IFERROR(AVERAGEIFS('Cleaned Data'!$L$2:$L$2022,'Cleaned Data'!$BD$2:$BD$2022,$A89,'Cleaned Data'!R$2:R$2022,"=1"),0)</f>
        <v>0</v>
      </c>
      <c r="E89" s="25">
        <f>IFERROR(AVERAGEIFS('Cleaned Data'!$L$2:$L$2022,'Cleaned Data'!$BD$2:$BD$2022,$A89,'Cleaned Data'!S$2:S$2022,"=1"),0)</f>
        <v>1.3076923076923077</v>
      </c>
      <c r="F89" s="25">
        <f>IFERROR(AVERAGEIFS('Cleaned Data'!$L$2:$L$2022,'Cleaned Data'!$BD$2:$BD$2022,$A89,'Cleaned Data'!T$2:T$2022,"=1"),0)</f>
        <v>0</v>
      </c>
      <c r="G89" s="25">
        <f>IFERROR(AVERAGEIFS('Cleaned Data'!$L$2:$L$2022,'Cleaned Data'!$BD$2:$BD$2022,$A89,'Cleaned Data'!U$2:U$2022,"=1"),0)</f>
        <v>0</v>
      </c>
      <c r="H89" s="25">
        <f>IFERROR(AVERAGEIFS('Cleaned Data'!$L$2:$L$2022,'Cleaned Data'!$BD$2:$BD$2022,$A89,'Cleaned Data'!V$2:V$2022,"=1"),0)</f>
        <v>1.3076923076923077</v>
      </c>
      <c r="J89" s="1" t="s">
        <v>122</v>
      </c>
      <c r="K89" s="25">
        <f>SUMIFS('Cleaned Data'!$L$2:$L$2022,'Cleaned Data'!$BD$2:$BD$2022,"=Lost")</f>
        <v>343</v>
      </c>
      <c r="L89">
        <f>SUMIFS('Cleaned Data'!$L$2:$L$2022,'Cleaned Data'!$BD$2:$BD$2022,"=Lost",'Cleaned Data'!V$2:V$2022,"=0")</f>
        <v>326</v>
      </c>
      <c r="M89" s="25">
        <f>SUMIFS('Cleaned Data'!$L$2:$L$2022,'Cleaned Data'!$BD$2:$BD$2022,"=Lost",'Cleaned Data'!Q$2:Q$2022,"=1")</f>
        <v>0</v>
      </c>
      <c r="N89" s="25">
        <f>SUMIFS('Cleaned Data'!$L$2:$L$2022,'Cleaned Data'!$BD$2:$BD$2022,"=Lost",'Cleaned Data'!R$2:R$2022,"=1")</f>
        <v>0</v>
      </c>
      <c r="O89" s="25">
        <f>SUMIFS('Cleaned Data'!$L$2:$L$2022,'Cleaned Data'!$BD$2:$BD$2022,"=Lost",'Cleaned Data'!S$2:S$2022,"=1")</f>
        <v>17</v>
      </c>
      <c r="P89" s="25">
        <f>SUMIFS('Cleaned Data'!$L$2:$L$2022,'Cleaned Data'!$BD$2:$BD$2022,"=Lost",'Cleaned Data'!T$2:T$2022,"=1")</f>
        <v>0</v>
      </c>
      <c r="Q89" s="25">
        <f>SUMIFS('Cleaned Data'!$L$2:$L$2022,'Cleaned Data'!$BD$2:$BD$2022,"=Lost",'Cleaned Data'!U$2:U$2022,"=1")</f>
        <v>0</v>
      </c>
      <c r="R89" s="25">
        <f>SUMIFS('Cleaned Data'!$L$2:$L$2022,'Cleaned Data'!$BD$2:$BD$2022,"=Lost",'Cleaned Data'!V$2:V$2022,"=1")</f>
        <v>17</v>
      </c>
      <c r="S89" s="18">
        <f>K89/SUM('Cleaned Data'!$M$2:$M$2022,'Cleaned Data'!$N$2:$N$2022,'Cleaned Data'!$O$2:$O$2022)</f>
        <v>1.3504468679869286E-2</v>
      </c>
      <c r="T89" s="18">
        <f>L89/SUM(SUMIFS('Cleaned Data'!$M$2:$M$2022,'Cleaned Data'!$V$2:$V$2022,"=0",'Cleaned Data'!$BD$2:$BD$2022,$J89),SUMIFS('Cleaned Data'!$N$2:$N$2022,'Cleaned Data'!$V$2:$V$2022,"=0",'Cleaned Data'!$BD$2:$BD$2022,$J89),SUMIFS('Cleaned Data'!$O$2:$O$2022,'Cleaned Data'!$V$2:$V$2022,"=0",'Cleaned Data'!$BD$2:$BD$2022,$J89))</f>
        <v>0.32698094282848544</v>
      </c>
      <c r="U89" s="18">
        <f>R89/SUM(SUMIFS('Cleaned Data'!$M$2:$M$2022,'Cleaned Data'!$V$2:$V$2022,"=1",'Cleaned Data'!$BD$2:$BD$2022,$J89),SUMIFS('Cleaned Data'!$N$2:$N$2022,'Cleaned Data'!$V$2:$V$2022,"=1",'Cleaned Data'!$BD$2:$BD$2022,$J89),SUMIFS('Cleaned Data'!$O$2:$O$2022,'Cleaned Data'!$V$2:$V$2022,"=1",'Cleaned Data'!$BD$2:$BD$2022,$J89))</f>
        <v>0.33333333333333331</v>
      </c>
    </row>
    <row r="90" spans="1:21" x14ac:dyDescent="0.35">
      <c r="T90" s="65"/>
      <c r="U90" s="65"/>
    </row>
  </sheetData>
  <mergeCells count="8">
    <mergeCell ref="A82:H82"/>
    <mergeCell ref="J82:Q82"/>
    <mergeCell ref="A1:H1"/>
    <mergeCell ref="J1:Q1"/>
    <mergeCell ref="A72:H72"/>
    <mergeCell ref="J72:Q72"/>
    <mergeCell ref="A40:H40"/>
    <mergeCell ref="J40:Q4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C10501-7258-47E8-8D10-22AFE72908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Cleaned Data</vt:lpstr>
      <vt:lpstr>Regression Data</vt:lpstr>
      <vt:lpstr>Data Cleaning</vt:lpstr>
      <vt:lpstr>Data Quality Checks</vt:lpstr>
      <vt:lpstr>Demographics</vt:lpstr>
      <vt:lpstr>RFM Analysis</vt:lpstr>
      <vt:lpstr>Gross CLV</vt:lpstr>
      <vt:lpstr>Regression Models</vt:lpstr>
      <vt:lpstr>Campaign Cost</vt:lpstr>
      <vt:lpstr>ROI</vt:lpstr>
      <vt:lpstr>Premium vs Regular Prods</vt:lpstr>
      <vt:lpstr>Purchasing Behavior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Hiek</dc:creator>
  <cp:lastModifiedBy>Steven Hiek</cp:lastModifiedBy>
  <dcterms:created xsi:type="dcterms:W3CDTF">2025-04-22T00:25:55Z</dcterms:created>
  <dcterms:modified xsi:type="dcterms:W3CDTF">2025-06-12T06:33:40Z</dcterms:modified>
</cp:coreProperties>
</file>